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C\Desktop\Python\Github\lome_python\"/>
    </mc:Choice>
  </mc:AlternateContent>
  <xr:revisionPtr revIDLastSave="0" documentId="13_ncr:1_{C6443BB5-895F-4B6D-9A24-89E4E07D13F4}" xr6:coauthVersionLast="47" xr6:coauthVersionMax="47" xr10:uidLastSave="{00000000-0000-0000-0000-000000000000}"/>
  <bookViews>
    <workbookView xWindow="-120" yWindow="-120" windowWidth="20730" windowHeight="11160" firstSheet="9" activeTab="12" xr2:uid="{00000000-000D-0000-FFFF-FFFF00000000}"/>
  </bookViews>
  <sheets>
    <sheet name="Resumen" sheetId="1" r:id="rId1"/>
    <sheet name="Resumen_Alt 3" sheetId="39" r:id="rId2"/>
    <sheet name="Costos de Inversión_xLocalidad" sheetId="31" r:id="rId3"/>
    <sheet name="Orden" sheetId="33" r:id="rId4"/>
    <sheet name="Estimación  PRESUPUESTO PCAS" sheetId="30" r:id="rId5"/>
    <sheet name="DATOS" sheetId="19" r:id="rId6"/>
    <sheet name="Inputs_costos" sheetId="23" r:id="rId7"/>
    <sheet name="Valoración_Equip_actual" sheetId="28" r:id="rId8"/>
    <sheet name="Valoración_Eq_REG" sheetId="29" r:id="rId9"/>
    <sheet name="Costo de cierre de BCA" sheetId="25" r:id="rId10"/>
    <sheet name="Verif_Basurales" sheetId="26" r:id="rId11"/>
    <sheet name="Costo Social x localidad" sheetId="24" r:id="rId12"/>
    <sheet name="Resumen_Generación" sheetId="20" r:id="rId13"/>
    <sheet name="Pobl_adoptada" sheetId="6" r:id="rId14"/>
    <sheet name="Verif" sheetId="22" r:id="rId15"/>
    <sheet name="Turísticas" sheetId="7" r:id="rId16"/>
    <sheet name="Proyeccion_Localidades" sheetId="8" r:id="rId17"/>
    <sheet name="PROYECCIÓN GENERACIÓN" sheetId="9" r:id="rId18"/>
    <sheet name="SEP ORIGEN" sheetId="10" r:id="rId19"/>
    <sheet name="GENERADO NO Sep Origen" sheetId="11" r:id="rId20"/>
    <sheet name="GENERADO PS locales" sheetId="12" r:id="rId21"/>
    <sheet name="RECH-RECUP_PS locales" sheetId="13" r:id="rId22"/>
    <sheet name="RECHAZADOS A CA" sheetId="14" r:id="rId23"/>
    <sheet name="INGRESO TOTAL A CA" sheetId="15" r:id="rId24"/>
    <sheet name="INGRESO A PS DE CA" sheetId="16" r:id="rId25"/>
    <sheet name="RECH-RECUP_PS CA" sheetId="17" r:id="rId26"/>
    <sheet name="RELLENO SANITARIO" sheetId="18" r:id="rId27"/>
    <sheet name="Datos_caracteriz" sheetId="36" r:id="rId28"/>
    <sheet name="CARACTERIZACIÓN" sheetId="37" r:id="rId29"/>
    <sheet name="Ri" sheetId="38" r:id="rId30"/>
  </sheets>
  <externalReferences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  <externalReference r:id="rId290"/>
    <externalReference r:id="rId291"/>
    <externalReference r:id="rId292"/>
    <externalReference r:id="rId293"/>
    <externalReference r:id="rId294"/>
    <externalReference r:id="rId295"/>
  </externalReferences>
  <definedNames>
    <definedName name="_xlnm._FilterDatabase" localSheetId="28" hidden="1">CARACTERIZACIÓN!$B$4:$N$158</definedName>
    <definedName name="_xlnm._FilterDatabase" localSheetId="9" hidden="1">'Costo de cierre de BCA'!$B$4:$G$145</definedName>
    <definedName name="_xlnm._FilterDatabase" localSheetId="11" hidden="1">'Costo Social x localidad'!$A$1:$N$156</definedName>
    <definedName name="_xlnm._FilterDatabase" localSheetId="4" hidden="1">'Estimación  PRESUPUESTO PCAS'!$B$3:$D$158</definedName>
    <definedName name="_xlnm._FilterDatabase" localSheetId="19" hidden="1">'GENERADO NO Sep Origen'!$D$4:$Z$158</definedName>
    <definedName name="_xlnm._FilterDatabase" localSheetId="20" hidden="1">'GENERADO PS locales'!$A$4:$Z$140</definedName>
    <definedName name="_xlnm._FilterDatabase" localSheetId="23" hidden="1">'INGRESO TOTAL A CA'!$A$4:$Z$140</definedName>
    <definedName name="_xlnm._FilterDatabase" localSheetId="13" hidden="1">Pobl_adoptada!$A$4:$AB$159</definedName>
    <definedName name="_xlnm._FilterDatabase" localSheetId="17" hidden="1">'PROYECCIÓN GENERACIÓN'!$A$4:$Z$158</definedName>
    <definedName name="_xlnm._FilterDatabase" localSheetId="16" hidden="1">Proyeccion_Localidades!$A$4:$BU$169</definedName>
    <definedName name="_xlnm._FilterDatabase" localSheetId="22" hidden="1">'RECHAZADOS A CA'!$A$4:$Z$140</definedName>
    <definedName name="_xlnm._FilterDatabase" localSheetId="25" hidden="1">'RECH-RECUP_PS CA'!$A$4:$Z$140</definedName>
    <definedName name="_xlnm._FilterDatabase" localSheetId="21" hidden="1">'RECH-RECUP_PS locales'!$A$4:$Z$140</definedName>
    <definedName name="_xlnm._FilterDatabase" localSheetId="26" hidden="1">'RELLENO SANITARIO'!$A$4:$Z$158</definedName>
    <definedName name="_xlnm._FilterDatabase" localSheetId="12" hidden="1">Resumen_Generación!$A$4:$F$158</definedName>
    <definedName name="_xlnm._FilterDatabase" localSheetId="18" hidden="1">'SEP ORIGEN'!$D$4:$Z$158</definedName>
    <definedName name="_xlnm._FilterDatabase" localSheetId="14" hidden="1">Verif!$A$4:$AB$169</definedName>
    <definedName name="_xlnm._FilterDatabase" localSheetId="10" hidden="1">Verif_Basurales!#REF!</definedName>
    <definedName name="_xlnm.Extract" localSheetId="10">Verif_Basurales!$A$1</definedName>
    <definedName name="_xlnm.Print_Area" localSheetId="28">CARACTERIZACIÓN!$A$1:$N$165</definedName>
    <definedName name="_xlnm.Print_Area" localSheetId="19">'GENERADO NO Sep Origen'!$A$1:$Z$165</definedName>
    <definedName name="_xlnm.Print_Area" localSheetId="20">'GENERADO PS locales'!$A$1:$Z$318</definedName>
    <definedName name="_xlnm.Print_Area" localSheetId="24">'INGRESO A PS DE CA'!$A$1:$Z$159</definedName>
    <definedName name="_xlnm.Print_Area" localSheetId="23">'INGRESO TOTAL A CA'!$A$1:$Z$158</definedName>
    <definedName name="_xlnm.Print_Area" localSheetId="13">Pobl_adoptada!$A$1:$AB$164</definedName>
    <definedName name="_xlnm.Print_Area" localSheetId="17">'PROYECCIÓN GENERACIÓN'!$A$1:$Z$165</definedName>
    <definedName name="_xlnm.Print_Area" localSheetId="16">Proyeccion_Localidades!#REF!</definedName>
    <definedName name="_xlnm.Print_Area" localSheetId="22">'RECHAZADOS A CA'!$A$1:$Z$160</definedName>
    <definedName name="_xlnm.Print_Area" localSheetId="25">'RECH-RECUP_PS CA'!$A$1:$Z$320</definedName>
    <definedName name="_xlnm.Print_Area" localSheetId="21">'RECH-RECUP_PS locales'!$A$1:$Z$320</definedName>
    <definedName name="_xlnm.Print_Area" localSheetId="26">'RELLENO SANITARIO'!$A$1:$AA$331</definedName>
    <definedName name="_xlnm.Print_Area" localSheetId="0">Resumen!$A$1:$AP$501</definedName>
    <definedName name="_xlnm.Print_Area" localSheetId="1">'Resumen_Alt 3'!$A$1:$AP$50</definedName>
    <definedName name="_xlnm.Print_Area" localSheetId="12">Resumen_Generación!$A$1:$G$165</definedName>
    <definedName name="_xlnm.Print_Area" localSheetId="18">'SEP ORIGEN'!$A$1:$AA$163</definedName>
    <definedName name="_xlnm.Print_Area" localSheetId="14">Verif!$A$1:$AB$175</definedName>
    <definedName name="ciudad" localSheetId="28">#REF!</definedName>
    <definedName name="ciudad" localSheetId="5">#REF!</definedName>
    <definedName name="ciudad" localSheetId="19">#REF!</definedName>
    <definedName name="ciudad" localSheetId="20">#REF!</definedName>
    <definedName name="ciudad" localSheetId="24">#REF!</definedName>
    <definedName name="ciudad" localSheetId="23">#REF!</definedName>
    <definedName name="ciudad" localSheetId="17">#REF!</definedName>
    <definedName name="ciudad" localSheetId="22">#REF!</definedName>
    <definedName name="ciudad" localSheetId="25">#REF!</definedName>
    <definedName name="ciudad" localSheetId="21">#REF!</definedName>
    <definedName name="ciudad" localSheetId="26">#REF!</definedName>
    <definedName name="ciudad" localSheetId="1">#REF!</definedName>
    <definedName name="ciudad" localSheetId="12">#REF!</definedName>
    <definedName name="ciudad" localSheetId="18">#REF!</definedName>
    <definedName name="ciudad" localSheetId="14">#REF!</definedName>
    <definedName name="ciudad">#REF!</definedName>
    <definedName name="conex_agua_exist" localSheetId="28">#REF!</definedName>
    <definedName name="conex_agua_exist" localSheetId="5">#REF!</definedName>
    <definedName name="conex_agua_exist" localSheetId="19">#REF!</definedName>
    <definedName name="conex_agua_exist" localSheetId="20">#REF!</definedName>
    <definedName name="conex_agua_exist" localSheetId="24">#REF!</definedName>
    <definedName name="conex_agua_exist" localSheetId="23">#REF!</definedName>
    <definedName name="conex_agua_exist" localSheetId="17">#REF!</definedName>
    <definedName name="conex_agua_exist" localSheetId="22">#REF!</definedName>
    <definedName name="conex_agua_exist" localSheetId="25">#REF!</definedName>
    <definedName name="conex_agua_exist" localSheetId="21">#REF!</definedName>
    <definedName name="conex_agua_exist" localSheetId="26">#REF!</definedName>
    <definedName name="conex_agua_exist" localSheetId="1">#REF!</definedName>
    <definedName name="conex_agua_exist" localSheetId="12">#REF!</definedName>
    <definedName name="conex_agua_exist" localSheetId="18">#REF!</definedName>
    <definedName name="conex_agua_exist" localSheetId="14">#REF!</definedName>
    <definedName name="conex_agua_exist">#REF!</definedName>
    <definedName name="conex_cloaca_exist" localSheetId="28">#REF!</definedName>
    <definedName name="conex_cloaca_exist" localSheetId="5">#REF!</definedName>
    <definedName name="conex_cloaca_exist" localSheetId="19">#REF!</definedName>
    <definedName name="conex_cloaca_exist" localSheetId="20">#REF!</definedName>
    <definedName name="conex_cloaca_exist" localSheetId="24">#REF!</definedName>
    <definedName name="conex_cloaca_exist" localSheetId="23">#REF!</definedName>
    <definedName name="conex_cloaca_exist" localSheetId="17">#REF!</definedName>
    <definedName name="conex_cloaca_exist" localSheetId="22">#REF!</definedName>
    <definedName name="conex_cloaca_exist" localSheetId="25">#REF!</definedName>
    <definedName name="conex_cloaca_exist" localSheetId="21">#REF!</definedName>
    <definedName name="conex_cloaca_exist" localSheetId="26">#REF!</definedName>
    <definedName name="conex_cloaca_exist" localSheetId="1">#REF!</definedName>
    <definedName name="conex_cloaca_exist" localSheetId="12">#REF!</definedName>
    <definedName name="conex_cloaca_exist" localSheetId="18">#REF!</definedName>
    <definedName name="conex_cloaca_exist" localSheetId="14">#REF!</definedName>
    <definedName name="conex_cloaca_exist">#REF!</definedName>
    <definedName name="_xlnm.Criteria" localSheetId="10">Verif_Basurales!#REF!</definedName>
    <definedName name="dotacion_promedio" localSheetId="28">#REF!</definedName>
    <definedName name="dotacion_promedio" localSheetId="5">#REF!</definedName>
    <definedName name="dotacion_promedio" localSheetId="19">#REF!</definedName>
    <definedName name="dotacion_promedio" localSheetId="20">#REF!</definedName>
    <definedName name="dotacion_promedio" localSheetId="24">#REF!</definedName>
    <definedName name="dotacion_promedio" localSheetId="23">#REF!</definedName>
    <definedName name="dotacion_promedio" localSheetId="17">#REF!</definedName>
    <definedName name="dotacion_promedio" localSheetId="22">#REF!</definedName>
    <definedName name="dotacion_promedio" localSheetId="25">#REF!</definedName>
    <definedName name="dotacion_promedio" localSheetId="21">#REF!</definedName>
    <definedName name="dotacion_promedio" localSheetId="26">#REF!</definedName>
    <definedName name="dotacion_promedio" localSheetId="1">#REF!</definedName>
    <definedName name="dotacion_promedio" localSheetId="12">#REF!</definedName>
    <definedName name="dotacion_promedio" localSheetId="18">#REF!</definedName>
    <definedName name="dotacion_promedio" localSheetId="14">#REF!</definedName>
    <definedName name="dotacion_promedio">#REF!</definedName>
    <definedName name="Expansión_de_agua__ha" localSheetId="28">#REF!</definedName>
    <definedName name="Expansión_de_agua__ha" localSheetId="5">#REF!</definedName>
    <definedName name="Expansión_de_agua__ha" localSheetId="19">#REF!</definedName>
    <definedName name="Expansión_de_agua__ha" localSheetId="20">#REF!</definedName>
    <definedName name="Expansión_de_agua__ha" localSheetId="24">#REF!</definedName>
    <definedName name="Expansión_de_agua__ha" localSheetId="23">#REF!</definedName>
    <definedName name="Expansión_de_agua__ha" localSheetId="17">#REF!</definedName>
    <definedName name="Expansión_de_agua__ha" localSheetId="22">#REF!</definedName>
    <definedName name="Expansión_de_agua__ha" localSheetId="25">#REF!</definedName>
    <definedName name="Expansión_de_agua__ha" localSheetId="21">#REF!</definedName>
    <definedName name="Expansión_de_agua__ha" localSheetId="26">#REF!</definedName>
    <definedName name="Expansión_de_agua__ha" localSheetId="1">#REF!</definedName>
    <definedName name="Expansión_de_agua__ha" localSheetId="12">#REF!</definedName>
    <definedName name="Expansión_de_agua__ha" localSheetId="18">#REF!</definedName>
    <definedName name="Expansión_de_agua__ha" localSheetId="14">#REF!</definedName>
    <definedName name="Expansión_de_agua__ha">#REF!</definedName>
    <definedName name="Expansion_de_cloaca_ha" localSheetId="28">#REF!</definedName>
    <definedName name="Expansion_de_cloaca_ha" localSheetId="5">#REF!</definedName>
    <definedName name="Expansion_de_cloaca_ha" localSheetId="19">#REF!</definedName>
    <definedName name="Expansion_de_cloaca_ha" localSheetId="20">#REF!</definedName>
    <definedName name="Expansion_de_cloaca_ha" localSheetId="24">#REF!</definedName>
    <definedName name="Expansion_de_cloaca_ha" localSheetId="23">#REF!</definedName>
    <definedName name="Expansion_de_cloaca_ha" localSheetId="17">#REF!</definedName>
    <definedName name="Expansion_de_cloaca_ha" localSheetId="22">#REF!</definedName>
    <definedName name="Expansion_de_cloaca_ha" localSheetId="25">#REF!</definedName>
    <definedName name="Expansion_de_cloaca_ha" localSheetId="21">#REF!</definedName>
    <definedName name="Expansion_de_cloaca_ha" localSheetId="26">#REF!</definedName>
    <definedName name="Expansion_de_cloaca_ha" localSheetId="1">#REF!</definedName>
    <definedName name="Expansion_de_cloaca_ha" localSheetId="12">#REF!</definedName>
    <definedName name="Expansion_de_cloaca_ha" localSheetId="18">#REF!</definedName>
    <definedName name="Expansion_de_cloaca_ha" localSheetId="14">#REF!</definedName>
    <definedName name="Expansion_de_cloaca_ha">#REF!</definedName>
    <definedName name="hab_viv_agua" localSheetId="28">#REF!</definedName>
    <definedName name="hab_viv_agua" localSheetId="5">#REF!</definedName>
    <definedName name="hab_viv_agua" localSheetId="19">#REF!</definedName>
    <definedName name="hab_viv_agua" localSheetId="20">#REF!</definedName>
    <definedName name="hab_viv_agua" localSheetId="24">#REF!</definedName>
    <definedName name="hab_viv_agua" localSheetId="23">#REF!</definedName>
    <definedName name="hab_viv_agua" localSheetId="17">#REF!</definedName>
    <definedName name="hab_viv_agua" localSheetId="22">#REF!</definedName>
    <definedName name="hab_viv_agua" localSheetId="25">#REF!</definedName>
    <definedName name="hab_viv_agua" localSheetId="21">#REF!</definedName>
    <definedName name="hab_viv_agua" localSheetId="26">#REF!</definedName>
    <definedName name="hab_viv_agua" localSheetId="1">#REF!</definedName>
    <definedName name="hab_viv_agua" localSheetId="12">#REF!</definedName>
    <definedName name="hab_viv_agua" localSheetId="18">#REF!</definedName>
    <definedName name="hab_viv_agua" localSheetId="14">#REF!</definedName>
    <definedName name="hab_viv_agua">#REF!</definedName>
    <definedName name="hab_viv_cloaca" localSheetId="28">#REF!</definedName>
    <definedName name="hab_viv_cloaca" localSheetId="5">#REF!</definedName>
    <definedName name="hab_viv_cloaca" localSheetId="19">#REF!</definedName>
    <definedName name="hab_viv_cloaca" localSheetId="20">#REF!</definedName>
    <definedName name="hab_viv_cloaca" localSheetId="24">#REF!</definedName>
    <definedName name="hab_viv_cloaca" localSheetId="23">#REF!</definedName>
    <definedName name="hab_viv_cloaca" localSheetId="17">#REF!</definedName>
    <definedName name="hab_viv_cloaca" localSheetId="22">#REF!</definedName>
    <definedName name="hab_viv_cloaca" localSheetId="25">#REF!</definedName>
    <definedName name="hab_viv_cloaca" localSheetId="21">#REF!</definedName>
    <definedName name="hab_viv_cloaca" localSheetId="26">#REF!</definedName>
    <definedName name="hab_viv_cloaca" localSheetId="1">#REF!</definedName>
    <definedName name="hab_viv_cloaca" localSheetId="12">#REF!</definedName>
    <definedName name="hab_viv_cloaca" localSheetId="18">#REF!</definedName>
    <definedName name="hab_viv_cloaca" localSheetId="14">#REF!</definedName>
    <definedName name="hab_viv_cloaca">#REF!</definedName>
    <definedName name="km_red_exp_agua" localSheetId="28">#REF!</definedName>
    <definedName name="km_red_exp_agua" localSheetId="5">#REF!</definedName>
    <definedName name="km_red_exp_agua" localSheetId="19">#REF!</definedName>
    <definedName name="km_red_exp_agua" localSheetId="20">#REF!</definedName>
    <definedName name="km_red_exp_agua" localSheetId="24">#REF!</definedName>
    <definedName name="km_red_exp_agua" localSheetId="23">#REF!</definedName>
    <definedName name="km_red_exp_agua" localSheetId="17">#REF!</definedName>
    <definedName name="km_red_exp_agua" localSheetId="22">#REF!</definedName>
    <definedName name="km_red_exp_agua" localSheetId="25">#REF!</definedName>
    <definedName name="km_red_exp_agua" localSheetId="21">#REF!</definedName>
    <definedName name="km_red_exp_agua" localSheetId="26">#REF!</definedName>
    <definedName name="km_red_exp_agua" localSheetId="1">#REF!</definedName>
    <definedName name="km_red_exp_agua" localSheetId="12">#REF!</definedName>
    <definedName name="km_red_exp_agua" localSheetId="18">#REF!</definedName>
    <definedName name="km_red_exp_agua" localSheetId="14">#REF!</definedName>
    <definedName name="km_red_exp_agua">#REF!</definedName>
    <definedName name="km_redes_agua_rehab" localSheetId="28">#REF!</definedName>
    <definedName name="km_redes_agua_rehab" localSheetId="5">#REF!</definedName>
    <definedName name="km_redes_agua_rehab" localSheetId="19">#REF!</definedName>
    <definedName name="km_redes_agua_rehab" localSheetId="20">#REF!</definedName>
    <definedName name="km_redes_agua_rehab" localSheetId="24">#REF!</definedName>
    <definedName name="km_redes_agua_rehab" localSheetId="23">#REF!</definedName>
    <definedName name="km_redes_agua_rehab" localSheetId="17">#REF!</definedName>
    <definedName name="km_redes_agua_rehab" localSheetId="22">#REF!</definedName>
    <definedName name="km_redes_agua_rehab" localSheetId="25">#REF!</definedName>
    <definedName name="km_redes_agua_rehab" localSheetId="21">#REF!</definedName>
    <definedName name="km_redes_agua_rehab" localSheetId="26">#REF!</definedName>
    <definedName name="km_redes_agua_rehab" localSheetId="1">#REF!</definedName>
    <definedName name="km_redes_agua_rehab" localSheetId="12">#REF!</definedName>
    <definedName name="km_redes_agua_rehab" localSheetId="18">#REF!</definedName>
    <definedName name="km_redes_agua_rehab" localSheetId="14">#REF!</definedName>
    <definedName name="km_redes_agua_rehab">#REF!</definedName>
    <definedName name="km_redes_agua_renovar" localSheetId="28">#REF!</definedName>
    <definedName name="km_redes_agua_renovar" localSheetId="5">#REF!</definedName>
    <definedName name="km_redes_agua_renovar" localSheetId="19">#REF!</definedName>
    <definedName name="km_redes_agua_renovar" localSheetId="20">#REF!</definedName>
    <definedName name="km_redes_agua_renovar" localSheetId="24">#REF!</definedName>
    <definedName name="km_redes_agua_renovar" localSheetId="23">#REF!</definedName>
    <definedName name="km_redes_agua_renovar" localSheetId="17">#REF!</definedName>
    <definedName name="km_redes_agua_renovar" localSheetId="22">#REF!</definedName>
    <definedName name="km_redes_agua_renovar" localSheetId="25">#REF!</definedName>
    <definedName name="km_redes_agua_renovar" localSheetId="21">#REF!</definedName>
    <definedName name="km_redes_agua_renovar" localSheetId="26">#REF!</definedName>
    <definedName name="km_redes_agua_renovar" localSheetId="1">#REF!</definedName>
    <definedName name="km_redes_agua_renovar" localSheetId="12">#REF!</definedName>
    <definedName name="km_redes_agua_renovar" localSheetId="18">#REF!</definedName>
    <definedName name="km_redes_agua_renovar" localSheetId="14">#REF!</definedName>
    <definedName name="km_redes_agua_renovar">#REF!</definedName>
    <definedName name="medidores_red_exist" localSheetId="28">#REF!</definedName>
    <definedName name="medidores_red_exist" localSheetId="5">#REF!</definedName>
    <definedName name="medidores_red_exist" localSheetId="19">#REF!</definedName>
    <definedName name="medidores_red_exist" localSheetId="20">#REF!</definedName>
    <definedName name="medidores_red_exist" localSheetId="24">#REF!</definedName>
    <definedName name="medidores_red_exist" localSheetId="23">#REF!</definedName>
    <definedName name="medidores_red_exist" localSheetId="17">#REF!</definedName>
    <definedName name="medidores_red_exist" localSheetId="22">#REF!</definedName>
    <definedName name="medidores_red_exist" localSheetId="25">#REF!</definedName>
    <definedName name="medidores_red_exist" localSheetId="21">#REF!</definedName>
    <definedName name="medidores_red_exist" localSheetId="26">#REF!</definedName>
    <definedName name="medidores_red_exist" localSheetId="1">#REF!</definedName>
    <definedName name="medidores_red_exist" localSheetId="12">#REF!</definedName>
    <definedName name="medidores_red_exist" localSheetId="18">#REF!</definedName>
    <definedName name="medidores_red_exist" localSheetId="14">#REF!</definedName>
    <definedName name="medidores_red_exist">#REF!</definedName>
    <definedName name="medidores_red_nueva" localSheetId="28">#REF!</definedName>
    <definedName name="medidores_red_nueva" localSheetId="5">#REF!</definedName>
    <definedName name="medidores_red_nueva" localSheetId="19">#REF!</definedName>
    <definedName name="medidores_red_nueva" localSheetId="20">#REF!</definedName>
    <definedName name="medidores_red_nueva" localSheetId="24">#REF!</definedName>
    <definedName name="medidores_red_nueva" localSheetId="23">#REF!</definedName>
    <definedName name="medidores_red_nueva" localSheetId="17">#REF!</definedName>
    <definedName name="medidores_red_nueva" localSheetId="22">#REF!</definedName>
    <definedName name="medidores_red_nueva" localSheetId="25">#REF!</definedName>
    <definedName name="medidores_red_nueva" localSheetId="21">#REF!</definedName>
    <definedName name="medidores_red_nueva" localSheetId="26">#REF!</definedName>
    <definedName name="medidores_red_nueva" localSheetId="1">#REF!</definedName>
    <definedName name="medidores_red_nueva" localSheetId="12">#REF!</definedName>
    <definedName name="medidores_red_nueva" localSheetId="18">#REF!</definedName>
    <definedName name="medidores_red_nueva" localSheetId="14">#REF!</definedName>
    <definedName name="medidores_red_nueva">#REF!</definedName>
    <definedName name="npg" localSheetId="28">#REF!</definedName>
    <definedName name="npg" localSheetId="5">#REF!</definedName>
    <definedName name="npg" localSheetId="19">#REF!</definedName>
    <definedName name="npg" localSheetId="20">#REF!</definedName>
    <definedName name="npg" localSheetId="24">#REF!</definedName>
    <definedName name="npg" localSheetId="23">#REF!</definedName>
    <definedName name="npg" localSheetId="17">#REF!</definedName>
    <definedName name="npg" localSheetId="22">#REF!</definedName>
    <definedName name="npg" localSheetId="25">#REF!</definedName>
    <definedName name="npg" localSheetId="21">#REF!</definedName>
    <definedName name="npg" localSheetId="26">#REF!</definedName>
    <definedName name="npg" localSheetId="1">#REF!</definedName>
    <definedName name="npg" localSheetId="12">#REF!</definedName>
    <definedName name="npg" localSheetId="18">#REF!</definedName>
    <definedName name="npg" localSheetId="14">#REF!</definedName>
    <definedName name="npg">#REF!</definedName>
    <definedName name="npg_num" localSheetId="28">#REF!</definedName>
    <definedName name="npg_num" localSheetId="5">#REF!</definedName>
    <definedName name="npg_num" localSheetId="19">#REF!</definedName>
    <definedName name="npg_num" localSheetId="20">#REF!</definedName>
    <definedName name="npg_num" localSheetId="24">#REF!</definedName>
    <definedName name="npg_num" localSheetId="23">#REF!</definedName>
    <definedName name="npg_num" localSheetId="17">#REF!</definedName>
    <definedName name="npg_num" localSheetId="22">#REF!</definedName>
    <definedName name="npg_num" localSheetId="25">#REF!</definedName>
    <definedName name="npg_num" localSheetId="21">#REF!</definedName>
    <definedName name="npg_num" localSheetId="26">#REF!</definedName>
    <definedName name="npg_num" localSheetId="1">#REF!</definedName>
    <definedName name="npg_num" localSheetId="12">#REF!</definedName>
    <definedName name="npg_num" localSheetId="18">#REF!</definedName>
    <definedName name="npg_num" localSheetId="14">#REF!</definedName>
    <definedName name="npg_num">#REF!</definedName>
    <definedName name="nuevas_conex_agua_red_exist" localSheetId="28">#REF!</definedName>
    <definedName name="nuevas_conex_agua_red_exist" localSheetId="5">#REF!</definedName>
    <definedName name="nuevas_conex_agua_red_exist" localSheetId="19">#REF!</definedName>
    <definedName name="nuevas_conex_agua_red_exist" localSheetId="20">#REF!</definedName>
    <definedName name="nuevas_conex_agua_red_exist" localSheetId="24">#REF!</definedName>
    <definedName name="nuevas_conex_agua_red_exist" localSheetId="23">#REF!</definedName>
    <definedName name="nuevas_conex_agua_red_exist" localSheetId="17">#REF!</definedName>
    <definedName name="nuevas_conex_agua_red_exist" localSheetId="22">#REF!</definedName>
    <definedName name="nuevas_conex_agua_red_exist" localSheetId="25">#REF!</definedName>
    <definedName name="nuevas_conex_agua_red_exist" localSheetId="21">#REF!</definedName>
    <definedName name="nuevas_conex_agua_red_exist" localSheetId="26">#REF!</definedName>
    <definedName name="nuevas_conex_agua_red_exist" localSheetId="1">#REF!</definedName>
    <definedName name="nuevas_conex_agua_red_exist" localSheetId="12">#REF!</definedName>
    <definedName name="nuevas_conex_agua_red_exist" localSheetId="18">#REF!</definedName>
    <definedName name="nuevas_conex_agua_red_exist" localSheetId="14">#REF!</definedName>
    <definedName name="nuevas_conex_agua_red_exist">#REF!</definedName>
    <definedName name="nuevas_conex_agua_red_nueva" localSheetId="28">#REF!</definedName>
    <definedName name="nuevas_conex_agua_red_nueva" localSheetId="5">#REF!</definedName>
    <definedName name="nuevas_conex_agua_red_nueva" localSheetId="19">#REF!</definedName>
    <definedName name="nuevas_conex_agua_red_nueva" localSheetId="20">#REF!</definedName>
    <definedName name="nuevas_conex_agua_red_nueva" localSheetId="24">#REF!</definedName>
    <definedName name="nuevas_conex_agua_red_nueva" localSheetId="23">#REF!</definedName>
    <definedName name="nuevas_conex_agua_red_nueva" localSheetId="17">#REF!</definedName>
    <definedName name="nuevas_conex_agua_red_nueva" localSheetId="22">#REF!</definedName>
    <definedName name="nuevas_conex_agua_red_nueva" localSheetId="25">#REF!</definedName>
    <definedName name="nuevas_conex_agua_red_nueva" localSheetId="21">#REF!</definedName>
    <definedName name="nuevas_conex_agua_red_nueva" localSheetId="26">#REF!</definedName>
    <definedName name="nuevas_conex_agua_red_nueva" localSheetId="1">#REF!</definedName>
    <definedName name="nuevas_conex_agua_red_nueva" localSheetId="12">#REF!</definedName>
    <definedName name="nuevas_conex_agua_red_nueva" localSheetId="18">#REF!</definedName>
    <definedName name="nuevas_conex_agua_red_nueva" localSheetId="14">#REF!</definedName>
    <definedName name="nuevas_conex_agua_red_nueva">#REF!</definedName>
    <definedName name="nuevas_conex_cloaca_red_exist" localSheetId="28">#REF!</definedName>
    <definedName name="nuevas_conex_cloaca_red_exist" localSheetId="5">#REF!</definedName>
    <definedName name="nuevas_conex_cloaca_red_exist" localSheetId="19">#REF!</definedName>
    <definedName name="nuevas_conex_cloaca_red_exist" localSheetId="20">#REF!</definedName>
    <definedName name="nuevas_conex_cloaca_red_exist" localSheetId="24">#REF!</definedName>
    <definedName name="nuevas_conex_cloaca_red_exist" localSheetId="23">#REF!</definedName>
    <definedName name="nuevas_conex_cloaca_red_exist" localSheetId="17">#REF!</definedName>
    <definedName name="nuevas_conex_cloaca_red_exist" localSheetId="22">#REF!</definedName>
    <definedName name="nuevas_conex_cloaca_red_exist" localSheetId="25">#REF!</definedName>
    <definedName name="nuevas_conex_cloaca_red_exist" localSheetId="21">#REF!</definedName>
    <definedName name="nuevas_conex_cloaca_red_exist" localSheetId="26">#REF!</definedName>
    <definedName name="nuevas_conex_cloaca_red_exist" localSheetId="1">#REF!</definedName>
    <definedName name="nuevas_conex_cloaca_red_exist" localSheetId="12">#REF!</definedName>
    <definedName name="nuevas_conex_cloaca_red_exist" localSheetId="18">#REF!</definedName>
    <definedName name="nuevas_conex_cloaca_red_exist" localSheetId="14">#REF!</definedName>
    <definedName name="nuevas_conex_cloaca_red_exist">#REF!</definedName>
    <definedName name="nuevas_conex_cloaca_red_nueva" localSheetId="28">#REF!</definedName>
    <definedName name="nuevas_conex_cloaca_red_nueva" localSheetId="5">#REF!</definedName>
    <definedName name="nuevas_conex_cloaca_red_nueva" localSheetId="19">#REF!</definedName>
    <definedName name="nuevas_conex_cloaca_red_nueva" localSheetId="20">#REF!</definedName>
    <definedName name="nuevas_conex_cloaca_red_nueva" localSheetId="24">#REF!</definedName>
    <definedName name="nuevas_conex_cloaca_red_nueva" localSheetId="23">#REF!</definedName>
    <definedName name="nuevas_conex_cloaca_red_nueva" localSheetId="17">#REF!</definedName>
    <definedName name="nuevas_conex_cloaca_red_nueva" localSheetId="22">#REF!</definedName>
    <definedName name="nuevas_conex_cloaca_red_nueva" localSheetId="25">#REF!</definedName>
    <definedName name="nuevas_conex_cloaca_red_nueva" localSheetId="21">#REF!</definedName>
    <definedName name="nuevas_conex_cloaca_red_nueva" localSheetId="26">#REF!</definedName>
    <definedName name="nuevas_conex_cloaca_red_nueva" localSheetId="1">#REF!</definedName>
    <definedName name="nuevas_conex_cloaca_red_nueva" localSheetId="12">#REF!</definedName>
    <definedName name="nuevas_conex_cloaca_red_nueva" localSheetId="18">#REF!</definedName>
    <definedName name="nuevas_conex_cloaca_red_nueva" localSheetId="14">#REF!</definedName>
    <definedName name="nuevas_conex_cloaca_red_nueva">#REF!</definedName>
    <definedName name="porcentaje_medicion" localSheetId="28">#REF!</definedName>
    <definedName name="porcentaje_medicion" localSheetId="5">#REF!</definedName>
    <definedName name="porcentaje_medicion" localSheetId="19">#REF!</definedName>
    <definedName name="porcentaje_medicion" localSheetId="20">#REF!</definedName>
    <definedName name="porcentaje_medicion" localSheetId="24">#REF!</definedName>
    <definedName name="porcentaje_medicion" localSheetId="23">#REF!</definedName>
    <definedName name="porcentaje_medicion" localSheetId="17">#REF!</definedName>
    <definedName name="porcentaje_medicion" localSheetId="22">#REF!</definedName>
    <definedName name="porcentaje_medicion" localSheetId="25">#REF!</definedName>
    <definedName name="porcentaje_medicion" localSheetId="21">#REF!</definedName>
    <definedName name="porcentaje_medicion" localSheetId="26">#REF!</definedName>
    <definedName name="porcentaje_medicion" localSheetId="1">#REF!</definedName>
    <definedName name="porcentaje_medicion" localSheetId="12">#REF!</definedName>
    <definedName name="porcentaje_medicion" localSheetId="18">#REF!</definedName>
    <definedName name="porcentaje_medicion" localSheetId="14">#REF!</definedName>
    <definedName name="porcentaje_medicion">#REF!</definedName>
    <definedName name="PROYECCION_DE_POBLACION" localSheetId="28">#REF!</definedName>
    <definedName name="PROYECCION_DE_POBLACION" localSheetId="5">#REF!</definedName>
    <definedName name="PROYECCION_DE_POBLACION" localSheetId="19">#REF!</definedName>
    <definedName name="PROYECCION_DE_POBLACION" localSheetId="20">#REF!</definedName>
    <definedName name="PROYECCION_DE_POBLACION" localSheetId="24">#REF!</definedName>
    <definedName name="PROYECCION_DE_POBLACION" localSheetId="23">#REF!</definedName>
    <definedName name="PROYECCION_DE_POBLACION" localSheetId="17">#REF!</definedName>
    <definedName name="PROYECCION_DE_POBLACION" localSheetId="22">#REF!</definedName>
    <definedName name="PROYECCION_DE_POBLACION" localSheetId="25">#REF!</definedName>
    <definedName name="PROYECCION_DE_POBLACION" localSheetId="21">#REF!</definedName>
    <definedName name="PROYECCION_DE_POBLACION" localSheetId="26">#REF!</definedName>
    <definedName name="PROYECCION_DE_POBLACION" localSheetId="1">#REF!</definedName>
    <definedName name="PROYECCION_DE_POBLACION" localSheetId="12">#REF!</definedName>
    <definedName name="PROYECCION_DE_POBLACION" localSheetId="18">#REF!</definedName>
    <definedName name="PROYECCION_DE_POBLACION" localSheetId="14">#REF!</definedName>
    <definedName name="PROYECCION_DE_POBLACION">#REF!</definedName>
    <definedName name="remuneracion_total_anual" localSheetId="28">#REF!</definedName>
    <definedName name="remuneracion_total_anual" localSheetId="5">#REF!</definedName>
    <definedName name="remuneracion_total_anual" localSheetId="19">#REF!</definedName>
    <definedName name="remuneracion_total_anual" localSheetId="20">#REF!</definedName>
    <definedName name="remuneracion_total_anual" localSheetId="24">#REF!</definedName>
    <definedName name="remuneracion_total_anual" localSheetId="23">#REF!</definedName>
    <definedName name="remuneracion_total_anual" localSheetId="17">#REF!</definedName>
    <definedName name="remuneracion_total_anual" localSheetId="22">#REF!</definedName>
    <definedName name="remuneracion_total_anual" localSheetId="25">#REF!</definedName>
    <definedName name="remuneracion_total_anual" localSheetId="21">#REF!</definedName>
    <definedName name="remuneracion_total_anual" localSheetId="26">#REF!</definedName>
    <definedName name="remuneracion_total_anual" localSheetId="1">#REF!</definedName>
    <definedName name="remuneracion_total_anual" localSheetId="12">#REF!</definedName>
    <definedName name="remuneracion_total_anual" localSheetId="18">#REF!</definedName>
    <definedName name="remuneracion_total_anual" localSheetId="14">#REF!</definedName>
    <definedName name="remuneracion_total_anual">#REF!</definedName>
    <definedName name="_xlnm.Print_Titles" localSheetId="11">'Costo Social x localidad'!$2:$2</definedName>
    <definedName name="_xlnm.Print_Titles" localSheetId="16">Proyeccion_Localidades!$1:$4</definedName>
    <definedName name="_xlnm.Print_Titles" localSheetId="10">Verif_Basurales!$1:$1</definedName>
    <definedName name="total_cobert_agua" localSheetId="28">#REF!</definedName>
    <definedName name="total_cobert_agua" localSheetId="5">#REF!</definedName>
    <definedName name="total_cobert_agua" localSheetId="19">#REF!</definedName>
    <definedName name="total_cobert_agua" localSheetId="20">#REF!</definedName>
    <definedName name="total_cobert_agua" localSheetId="24">#REF!</definedName>
    <definedName name="total_cobert_agua" localSheetId="23">#REF!</definedName>
    <definedName name="total_cobert_agua" localSheetId="17">#REF!</definedName>
    <definedName name="total_cobert_agua" localSheetId="22">#REF!</definedName>
    <definedName name="total_cobert_agua" localSheetId="25">#REF!</definedName>
    <definedName name="total_cobert_agua" localSheetId="21">#REF!</definedName>
    <definedName name="total_cobert_agua" localSheetId="26">#REF!</definedName>
    <definedName name="total_cobert_agua" localSheetId="1">#REF!</definedName>
    <definedName name="total_cobert_agua" localSheetId="12">#REF!</definedName>
    <definedName name="total_cobert_agua" localSheetId="18">#REF!</definedName>
    <definedName name="total_cobert_agua" localSheetId="14">#REF!</definedName>
    <definedName name="total_cobert_agua">#REF!</definedName>
    <definedName name="total_cobertura_cloaca" localSheetId="28">#REF!</definedName>
    <definedName name="total_cobertura_cloaca" localSheetId="5">#REF!</definedName>
    <definedName name="total_cobertura_cloaca" localSheetId="19">#REF!</definedName>
    <definedName name="total_cobertura_cloaca" localSheetId="20">#REF!</definedName>
    <definedName name="total_cobertura_cloaca" localSheetId="24">#REF!</definedName>
    <definedName name="total_cobertura_cloaca" localSheetId="23">#REF!</definedName>
    <definedName name="total_cobertura_cloaca" localSheetId="17">#REF!</definedName>
    <definedName name="total_cobertura_cloaca" localSheetId="22">#REF!</definedName>
    <definedName name="total_cobertura_cloaca" localSheetId="25">#REF!</definedName>
    <definedName name="total_cobertura_cloaca" localSheetId="21">#REF!</definedName>
    <definedName name="total_cobertura_cloaca" localSheetId="26">#REF!</definedName>
    <definedName name="total_cobertura_cloaca" localSheetId="1">#REF!</definedName>
    <definedName name="total_cobertura_cloaca" localSheetId="12">#REF!</definedName>
    <definedName name="total_cobertura_cloaca" localSheetId="18">#REF!</definedName>
    <definedName name="total_cobertura_cloaca" localSheetId="14">#REF!</definedName>
    <definedName name="total_cobertura_cloaca">#REF!</definedName>
    <definedName name="total_usuarios_agua_no_med" localSheetId="28">#REF!</definedName>
    <definedName name="total_usuarios_agua_no_med" localSheetId="5">#REF!</definedName>
    <definedName name="total_usuarios_agua_no_med" localSheetId="19">#REF!</definedName>
    <definedName name="total_usuarios_agua_no_med" localSheetId="20">#REF!</definedName>
    <definedName name="total_usuarios_agua_no_med" localSheetId="24">#REF!</definedName>
    <definedName name="total_usuarios_agua_no_med" localSheetId="23">#REF!</definedName>
    <definedName name="total_usuarios_agua_no_med" localSheetId="17">#REF!</definedName>
    <definedName name="total_usuarios_agua_no_med" localSheetId="22">#REF!</definedName>
    <definedName name="total_usuarios_agua_no_med" localSheetId="25">#REF!</definedName>
    <definedName name="total_usuarios_agua_no_med" localSheetId="21">#REF!</definedName>
    <definedName name="total_usuarios_agua_no_med" localSheetId="26">#REF!</definedName>
    <definedName name="total_usuarios_agua_no_med" localSheetId="1">#REF!</definedName>
    <definedName name="total_usuarios_agua_no_med" localSheetId="12">#REF!</definedName>
    <definedName name="total_usuarios_agua_no_med" localSheetId="18">#REF!</definedName>
    <definedName name="total_usuarios_agua_no_med" localSheetId="14">#REF!</definedName>
    <definedName name="total_usuarios_agua_no_med">#REF!</definedName>
    <definedName name="total_usuarios_serv_agua_med" localSheetId="28">#REF!</definedName>
    <definedName name="total_usuarios_serv_agua_med" localSheetId="5">#REF!</definedName>
    <definedName name="total_usuarios_serv_agua_med" localSheetId="19">#REF!</definedName>
    <definedName name="total_usuarios_serv_agua_med" localSheetId="20">#REF!</definedName>
    <definedName name="total_usuarios_serv_agua_med" localSheetId="24">#REF!</definedName>
    <definedName name="total_usuarios_serv_agua_med" localSheetId="23">#REF!</definedName>
    <definedName name="total_usuarios_serv_agua_med" localSheetId="17">#REF!</definedName>
    <definedName name="total_usuarios_serv_agua_med" localSheetId="22">#REF!</definedName>
    <definedName name="total_usuarios_serv_agua_med" localSheetId="25">#REF!</definedName>
    <definedName name="total_usuarios_serv_agua_med" localSheetId="21">#REF!</definedName>
    <definedName name="total_usuarios_serv_agua_med" localSheetId="26">#REF!</definedName>
    <definedName name="total_usuarios_serv_agua_med" localSheetId="1">#REF!</definedName>
    <definedName name="total_usuarios_serv_agua_med" localSheetId="12">#REF!</definedName>
    <definedName name="total_usuarios_serv_agua_med" localSheetId="18">#REF!</definedName>
    <definedName name="total_usuarios_serv_agua_med" localSheetId="14">#REF!</definedName>
    <definedName name="total_usuarios_serv_agua_med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05" i="9" l="1"/>
  <c r="AC82" i="9"/>
  <c r="AC60" i="9"/>
  <c r="AC48" i="9"/>
  <c r="AC42" i="9"/>
  <c r="AC30" i="9"/>
  <c r="AB105" i="9"/>
  <c r="AB82" i="9"/>
  <c r="AB60" i="9"/>
  <c r="AB48" i="9"/>
  <c r="AB42" i="9"/>
  <c r="AB30" i="9"/>
  <c r="AA105" i="9"/>
  <c r="AA82" i="9"/>
  <c r="AA60" i="9"/>
  <c r="AA48" i="9"/>
  <c r="AA42" i="9"/>
  <c r="AA30" i="9"/>
  <c r="E30" i="9"/>
  <c r="C26" i="33" l="1"/>
  <c r="AP47" i="39"/>
  <c r="AO47" i="39"/>
  <c r="AP46" i="39"/>
  <c r="AO46" i="39"/>
  <c r="AH47" i="39"/>
  <c r="AG47" i="39"/>
  <c r="AH46" i="39"/>
  <c r="AG46" i="39"/>
  <c r="AH45" i="39"/>
  <c r="AG45" i="39"/>
  <c r="AH44" i="39"/>
  <c r="AG44" i="39"/>
  <c r="AH43" i="39"/>
  <c r="AG43" i="39"/>
  <c r="AH42" i="39"/>
  <c r="AG42" i="39"/>
  <c r="AH41" i="39"/>
  <c r="AG41" i="39"/>
  <c r="AH40" i="39"/>
  <c r="AG40" i="39"/>
  <c r="AH39" i="39"/>
  <c r="AG39" i="39"/>
  <c r="AH38" i="39"/>
  <c r="AG38" i="39"/>
  <c r="AH37" i="39"/>
  <c r="AG37" i="39"/>
  <c r="AH36" i="39"/>
  <c r="AG36" i="39"/>
  <c r="AH35" i="39"/>
  <c r="AG35" i="39"/>
  <c r="AH34" i="39"/>
  <c r="AG34" i="39"/>
  <c r="AP45" i="39"/>
  <c r="AO45" i="39"/>
  <c r="AP44" i="39"/>
  <c r="AO44" i="39"/>
  <c r="AP43" i="39"/>
  <c r="AO43" i="39"/>
  <c r="AP42" i="39"/>
  <c r="AO42" i="39"/>
  <c r="AP41" i="39"/>
  <c r="AO41" i="39"/>
  <c r="AP40" i="39"/>
  <c r="AO40" i="39"/>
  <c r="AP39" i="39"/>
  <c r="AO39" i="39"/>
  <c r="AP38" i="39"/>
  <c r="AO38" i="39"/>
  <c r="AP37" i="39"/>
  <c r="AO37" i="39"/>
  <c r="AP36" i="39"/>
  <c r="AO36" i="39"/>
  <c r="AP35" i="39"/>
  <c r="AO35" i="39"/>
  <c r="AO34" i="39"/>
  <c r="AO33" i="39"/>
  <c r="AO32" i="39"/>
  <c r="AO31" i="39"/>
  <c r="AO30" i="39"/>
  <c r="AO29" i="39"/>
  <c r="AP34" i="39"/>
  <c r="AO28" i="39"/>
  <c r="AN33" i="39"/>
  <c r="AN32" i="39"/>
  <c r="AN31" i="39"/>
  <c r="AN30" i="39"/>
  <c r="AN29" i="39"/>
  <c r="AM33" i="39"/>
  <c r="AL33" i="39"/>
  <c r="AK33" i="39"/>
  <c r="AJ33" i="39"/>
  <c r="AM32" i="39"/>
  <c r="AL32" i="39"/>
  <c r="AK32" i="39"/>
  <c r="AJ32" i="39"/>
  <c r="AM31" i="39"/>
  <c r="AL31" i="39"/>
  <c r="AK31" i="39"/>
  <c r="AJ31" i="39"/>
  <c r="L33" i="39"/>
  <c r="K33" i="39"/>
  <c r="L32" i="39"/>
  <c r="K32" i="39"/>
  <c r="L31" i="39"/>
  <c r="K31" i="39"/>
  <c r="I33" i="39"/>
  <c r="G33" i="39"/>
  <c r="I32" i="39"/>
  <c r="G32" i="39"/>
  <c r="I31" i="39"/>
  <c r="G31" i="39"/>
  <c r="L30" i="39"/>
  <c r="K30" i="39"/>
  <c r="L29" i="39"/>
  <c r="K29" i="39"/>
  <c r="I30" i="39" l="1"/>
  <c r="I29" i="39"/>
  <c r="D47" i="39"/>
  <c r="C47" i="39" s="1"/>
  <c r="D46" i="39"/>
  <c r="C46" i="39" s="1"/>
  <c r="D45" i="39"/>
  <c r="C45" i="39" s="1"/>
  <c r="D44" i="39"/>
  <c r="C44" i="39" s="1"/>
  <c r="D43" i="39"/>
  <c r="C43" i="39" s="1"/>
  <c r="D42" i="39"/>
  <c r="C42" i="39" s="1"/>
  <c r="D41" i="39"/>
  <c r="C41" i="39" s="1"/>
  <c r="D40" i="39"/>
  <c r="C40" i="39" s="1"/>
  <c r="D39" i="39"/>
  <c r="C39" i="39" s="1"/>
  <c r="D38" i="39"/>
  <c r="C38" i="39" s="1"/>
  <c r="D37" i="39"/>
  <c r="C37" i="39" s="1"/>
  <c r="D36" i="39"/>
  <c r="C36" i="39" s="1"/>
  <c r="D35" i="39"/>
  <c r="C35" i="39" s="1"/>
  <c r="D34" i="39"/>
  <c r="C34" i="39" s="1"/>
  <c r="AM30" i="39"/>
  <c r="AL30" i="39"/>
  <c r="AK30" i="39"/>
  <c r="AJ30" i="39"/>
  <c r="AM29" i="39"/>
  <c r="AL29" i="39"/>
  <c r="AK29" i="39"/>
  <c r="AJ29" i="39"/>
  <c r="AP26" i="39"/>
  <c r="AO26" i="39"/>
  <c r="AP25" i="39"/>
  <c r="AO25" i="39"/>
  <c r="AP24" i="39"/>
  <c r="AO24" i="39"/>
  <c r="AP23" i="39"/>
  <c r="AO23" i="39"/>
  <c r="AP22" i="39"/>
  <c r="AO22" i="39"/>
  <c r="AP21" i="39"/>
  <c r="AO21" i="39"/>
  <c r="AP20" i="39"/>
  <c r="AO20" i="39"/>
  <c r="AP19" i="39"/>
  <c r="AO19" i="39"/>
  <c r="AP18" i="39"/>
  <c r="AO18" i="39"/>
  <c r="AP17" i="39"/>
  <c r="AO17" i="39"/>
  <c r="AP16" i="39"/>
  <c r="AO16" i="39"/>
  <c r="AP15" i="39"/>
  <c r="AO15" i="39"/>
  <c r="AP14" i="39"/>
  <c r="AO14" i="39"/>
  <c r="AO7" i="39"/>
  <c r="AO8" i="39"/>
  <c r="AO9" i="39"/>
  <c r="AO10" i="39"/>
  <c r="AO11" i="39"/>
  <c r="AO12" i="39"/>
  <c r="AP13" i="39"/>
  <c r="AO13" i="39"/>
  <c r="Z26" i="39"/>
  <c r="Z47" i="39" s="1"/>
  <c r="Z25" i="39"/>
  <c r="Z46" i="39" s="1"/>
  <c r="Z24" i="39"/>
  <c r="Z45" i="39" s="1"/>
  <c r="Z23" i="39"/>
  <c r="Z44" i="39" s="1"/>
  <c r="Z22" i="39"/>
  <c r="Z43" i="39" s="1"/>
  <c r="Z21" i="39"/>
  <c r="Z42" i="39" s="1"/>
  <c r="Z20" i="39"/>
  <c r="Z41" i="39" s="1"/>
  <c r="Z19" i="39"/>
  <c r="Z40" i="39" s="1"/>
  <c r="Z18" i="39"/>
  <c r="Z39" i="39" s="1"/>
  <c r="Z17" i="39"/>
  <c r="Z38" i="39" s="1"/>
  <c r="Z16" i="39"/>
  <c r="Z37" i="39" s="1"/>
  <c r="Z15" i="39"/>
  <c r="Z36" i="39" s="1"/>
  <c r="Z14" i="39"/>
  <c r="Z35" i="39" s="1"/>
  <c r="Z13" i="39"/>
  <c r="Z34" i="39" s="1"/>
  <c r="Y26" i="39"/>
  <c r="Y47" i="39" s="1"/>
  <c r="Y25" i="39"/>
  <c r="Y46" i="39" s="1"/>
  <c r="Y24" i="39"/>
  <c r="Y45" i="39" s="1"/>
  <c r="Y23" i="39"/>
  <c r="Y44" i="39" s="1"/>
  <c r="Y22" i="39"/>
  <c r="Y43" i="39" s="1"/>
  <c r="Y21" i="39"/>
  <c r="Y42" i="39" s="1"/>
  <c r="Y20" i="39"/>
  <c r="Y41" i="39" s="1"/>
  <c r="Y19" i="39"/>
  <c r="Y40" i="39" s="1"/>
  <c r="Y18" i="39"/>
  <c r="Y39" i="39" s="1"/>
  <c r="Y17" i="39"/>
  <c r="Y38" i="39" s="1"/>
  <c r="Y16" i="39"/>
  <c r="Y37" i="39" s="1"/>
  <c r="Y15" i="39"/>
  <c r="Y36" i="39" s="1"/>
  <c r="Y14" i="39"/>
  <c r="Y35" i="39" s="1"/>
  <c r="Y13" i="39"/>
  <c r="Y34" i="39" s="1"/>
  <c r="W26" i="39"/>
  <c r="X26" i="39" s="1"/>
  <c r="X47" i="39" s="1"/>
  <c r="W25" i="39"/>
  <c r="W24" i="39"/>
  <c r="W23" i="39"/>
  <c r="W22" i="39"/>
  <c r="W21" i="39"/>
  <c r="W20" i="39"/>
  <c r="W19" i="39"/>
  <c r="W18" i="39"/>
  <c r="X18" i="39" s="1"/>
  <c r="X39" i="39" s="1"/>
  <c r="W17" i="39"/>
  <c r="W16" i="39"/>
  <c r="W15" i="39"/>
  <c r="W14" i="39"/>
  <c r="X14" i="39" s="1"/>
  <c r="X35" i="39" s="1"/>
  <c r="W13" i="39"/>
  <c r="V21" i="39"/>
  <c r="V42" i="39" s="1"/>
  <c r="V14" i="39"/>
  <c r="V35" i="39" s="1"/>
  <c r="U26" i="39"/>
  <c r="V26" i="39" s="1"/>
  <c r="V47" i="39" s="1"/>
  <c r="U25" i="39"/>
  <c r="V25" i="39" s="1"/>
  <c r="V46" i="39" s="1"/>
  <c r="U24" i="39"/>
  <c r="V24" i="39" s="1"/>
  <c r="V45" i="39" s="1"/>
  <c r="U23" i="39"/>
  <c r="V23" i="39" s="1"/>
  <c r="V44" i="39" s="1"/>
  <c r="U22" i="39"/>
  <c r="V22" i="39" s="1"/>
  <c r="V43" i="39" s="1"/>
  <c r="U21" i="39"/>
  <c r="U20" i="39"/>
  <c r="V20" i="39" s="1"/>
  <c r="V41" i="39" s="1"/>
  <c r="U19" i="39"/>
  <c r="V19" i="39" s="1"/>
  <c r="V40" i="39" s="1"/>
  <c r="U18" i="39"/>
  <c r="V18" i="39" s="1"/>
  <c r="V39" i="39" s="1"/>
  <c r="U17" i="39"/>
  <c r="V17" i="39" s="1"/>
  <c r="V38" i="39" s="1"/>
  <c r="U16" i="39"/>
  <c r="V16" i="39" s="1"/>
  <c r="V37" i="39" s="1"/>
  <c r="U15" i="39"/>
  <c r="V15" i="39" s="1"/>
  <c r="V36" i="39" s="1"/>
  <c r="U14" i="39"/>
  <c r="U13" i="39"/>
  <c r="V13" i="39" s="1"/>
  <c r="V34" i="39" s="1"/>
  <c r="T26" i="39"/>
  <c r="T25" i="39"/>
  <c r="T24" i="39"/>
  <c r="T23" i="39"/>
  <c r="T22" i="39"/>
  <c r="T21" i="39"/>
  <c r="T20" i="39"/>
  <c r="T19" i="39"/>
  <c r="T18" i="39"/>
  <c r="T17" i="39"/>
  <c r="T16" i="39"/>
  <c r="T15" i="39"/>
  <c r="T14" i="39"/>
  <c r="T13" i="39"/>
  <c r="S26" i="39"/>
  <c r="S47" i="39" s="1"/>
  <c r="S25" i="39"/>
  <c r="S46" i="39" s="1"/>
  <c r="S24" i="39"/>
  <c r="S45" i="39" s="1"/>
  <c r="S23" i="39"/>
  <c r="S44" i="39" s="1"/>
  <c r="S22" i="39"/>
  <c r="S43" i="39" s="1"/>
  <c r="S21" i="39"/>
  <c r="S42" i="39" s="1"/>
  <c r="S20" i="39"/>
  <c r="S41" i="39" s="1"/>
  <c r="S19" i="39"/>
  <c r="S40" i="39" s="1"/>
  <c r="S18" i="39"/>
  <c r="S39" i="39" s="1"/>
  <c r="S17" i="39"/>
  <c r="S38" i="39" s="1"/>
  <c r="S16" i="39"/>
  <c r="S37" i="39" s="1"/>
  <c r="S15" i="39"/>
  <c r="S36" i="39" s="1"/>
  <c r="S14" i="39"/>
  <c r="S35" i="39" s="1"/>
  <c r="S13" i="39"/>
  <c r="S34" i="39" s="1"/>
  <c r="R26" i="39"/>
  <c r="R25" i="39"/>
  <c r="R24" i="39"/>
  <c r="R23" i="39"/>
  <c r="R22" i="39"/>
  <c r="R21" i="39"/>
  <c r="R20" i="39"/>
  <c r="R19" i="39"/>
  <c r="R18" i="39"/>
  <c r="R17" i="39"/>
  <c r="R16" i="39"/>
  <c r="R15" i="39"/>
  <c r="R14" i="39"/>
  <c r="R13" i="39"/>
  <c r="AG23" i="39"/>
  <c r="AG16" i="39"/>
  <c r="AF26" i="39"/>
  <c r="AF25" i="39"/>
  <c r="AF24" i="39"/>
  <c r="AF23" i="39"/>
  <c r="AF22" i="39"/>
  <c r="AF21" i="39"/>
  <c r="AF20" i="39"/>
  <c r="AF19" i="39"/>
  <c r="AF18" i="39"/>
  <c r="AF17" i="39"/>
  <c r="AF16" i="39"/>
  <c r="AF15" i="39"/>
  <c r="AF14" i="39"/>
  <c r="AF13" i="39"/>
  <c r="AE26" i="39"/>
  <c r="AE25" i="39"/>
  <c r="AE24" i="39"/>
  <c r="AE23" i="39"/>
  <c r="AE22" i="39"/>
  <c r="AE21" i="39"/>
  <c r="AE20" i="39"/>
  <c r="AE19" i="39"/>
  <c r="AE18" i="39"/>
  <c r="AE17" i="39"/>
  <c r="AE16" i="39"/>
  <c r="AE15" i="39"/>
  <c r="AE14" i="39"/>
  <c r="AE13" i="39"/>
  <c r="AD26" i="39"/>
  <c r="AD25" i="39"/>
  <c r="AD24" i="39"/>
  <c r="AD23" i="39"/>
  <c r="AD22" i="39"/>
  <c r="AD21" i="39"/>
  <c r="AD20" i="39"/>
  <c r="AD19" i="39"/>
  <c r="AD18" i="39"/>
  <c r="AD17" i="39"/>
  <c r="AD16" i="39"/>
  <c r="AD15" i="39"/>
  <c r="AD14" i="39"/>
  <c r="AD13" i="39"/>
  <c r="AC26" i="39"/>
  <c r="AC25" i="39"/>
  <c r="AC24" i="39"/>
  <c r="AC23" i="39"/>
  <c r="AC22" i="39"/>
  <c r="AC21" i="39"/>
  <c r="AC20" i="39"/>
  <c r="AC19" i="39"/>
  <c r="AC18" i="39"/>
  <c r="AC17" i="39"/>
  <c r="AC16" i="39"/>
  <c r="AC15" i="39"/>
  <c r="AC14" i="39"/>
  <c r="AC13" i="39"/>
  <c r="P26" i="39"/>
  <c r="P25" i="39"/>
  <c r="P24" i="39"/>
  <c r="P23" i="39"/>
  <c r="P22" i="39"/>
  <c r="P21" i="39"/>
  <c r="P20" i="39"/>
  <c r="P19" i="39"/>
  <c r="P18" i="39"/>
  <c r="P17" i="39"/>
  <c r="P16" i="39"/>
  <c r="P15" i="39"/>
  <c r="P14" i="39"/>
  <c r="P13" i="39"/>
  <c r="O26" i="39"/>
  <c r="O25" i="39"/>
  <c r="O24" i="39"/>
  <c r="O23" i="39"/>
  <c r="O22" i="39"/>
  <c r="O21" i="39"/>
  <c r="O20" i="39"/>
  <c r="O19" i="39"/>
  <c r="O18" i="39"/>
  <c r="O17" i="39"/>
  <c r="O16" i="39"/>
  <c r="O15" i="39"/>
  <c r="O14" i="39"/>
  <c r="O13" i="39"/>
  <c r="G30" i="39"/>
  <c r="G29" i="39"/>
  <c r="D26" i="39"/>
  <c r="C26" i="39" s="1"/>
  <c r="D25" i="39"/>
  <c r="AG25" i="39" s="1"/>
  <c r="D24" i="39"/>
  <c r="AG24" i="39" s="1"/>
  <c r="D23" i="39"/>
  <c r="AH23" i="39" s="1"/>
  <c r="D22" i="39"/>
  <c r="C22" i="39" s="1"/>
  <c r="D21" i="39"/>
  <c r="AG21" i="39" s="1"/>
  <c r="D20" i="39"/>
  <c r="C20" i="39" s="1"/>
  <c r="D19" i="39"/>
  <c r="AG19" i="39" s="1"/>
  <c r="D18" i="39"/>
  <c r="AG18" i="39" s="1"/>
  <c r="D17" i="39"/>
  <c r="AH17" i="39" s="1"/>
  <c r="D16" i="39"/>
  <c r="C16" i="39" s="1"/>
  <c r="D15" i="39"/>
  <c r="AG15" i="39" s="1"/>
  <c r="D14" i="39"/>
  <c r="C14" i="39" s="1"/>
  <c r="M24" i="39"/>
  <c r="M23" i="39"/>
  <c r="M22" i="39"/>
  <c r="M21" i="39"/>
  <c r="M20" i="39"/>
  <c r="M19" i="39"/>
  <c r="M18" i="39"/>
  <c r="M17" i="39"/>
  <c r="M16" i="39"/>
  <c r="M15" i="39"/>
  <c r="M14" i="39"/>
  <c r="M13" i="39"/>
  <c r="D13" i="39"/>
  <c r="AG13" i="39" s="1"/>
  <c r="AN12" i="39"/>
  <c r="AN11" i="39"/>
  <c r="AN10" i="39"/>
  <c r="AI12" i="39"/>
  <c r="AI11" i="39"/>
  <c r="AI10" i="39"/>
  <c r="L12" i="39"/>
  <c r="K12" i="39"/>
  <c r="L11" i="39"/>
  <c r="K11" i="39"/>
  <c r="L10" i="39"/>
  <c r="K10" i="39"/>
  <c r="J12" i="39"/>
  <c r="H12" i="39"/>
  <c r="J11" i="39"/>
  <c r="H11" i="39"/>
  <c r="J10" i="39"/>
  <c r="H10" i="39"/>
  <c r="AN9" i="39"/>
  <c r="AN8" i="39"/>
  <c r="AI9" i="39"/>
  <c r="AI8" i="39"/>
  <c r="L9" i="39"/>
  <c r="K9" i="39"/>
  <c r="L8" i="39"/>
  <c r="K8" i="39"/>
  <c r="J9" i="39"/>
  <c r="H9" i="39"/>
  <c r="J8" i="39"/>
  <c r="H8" i="39"/>
  <c r="D49" i="39"/>
  <c r="AN28" i="39"/>
  <c r="AM28" i="39"/>
  <c r="AL28" i="39"/>
  <c r="AK28" i="39"/>
  <c r="AJ28" i="39"/>
  <c r="L28" i="39"/>
  <c r="K28" i="39"/>
  <c r="I28" i="39"/>
  <c r="G28" i="39"/>
  <c r="AN7" i="39"/>
  <c r="AI7" i="39"/>
  <c r="L7" i="39"/>
  <c r="K7" i="39"/>
  <c r="J7" i="39"/>
  <c r="H7" i="39"/>
  <c r="X4" i="39"/>
  <c r="P4" i="39"/>
  <c r="X3" i="39"/>
  <c r="X23" i="39" s="1"/>
  <c r="X44" i="39" s="1"/>
  <c r="P3" i="39"/>
  <c r="AA18" i="39" l="1"/>
  <c r="AB18" i="39" s="1"/>
  <c r="AG17" i="39"/>
  <c r="AH22" i="39"/>
  <c r="AA19" i="39"/>
  <c r="AB19" i="39" s="1"/>
  <c r="X15" i="39"/>
  <c r="X36" i="39" s="1"/>
  <c r="AG20" i="39"/>
  <c r="AH15" i="39"/>
  <c r="AA24" i="39"/>
  <c r="AB24" i="39" s="1"/>
  <c r="X20" i="39"/>
  <c r="X41" i="39" s="1"/>
  <c r="X24" i="39"/>
  <c r="X45" i="39" s="1"/>
  <c r="AH21" i="39"/>
  <c r="AG26" i="39"/>
  <c r="AG14" i="39"/>
  <c r="AG22" i="39"/>
  <c r="AH16" i="39"/>
  <c r="AA25" i="39"/>
  <c r="X21" i="39"/>
  <c r="X42" i="39" s="1"/>
  <c r="AA13" i="39"/>
  <c r="AB13" i="39" s="1"/>
  <c r="AH18" i="39"/>
  <c r="AH24" i="39"/>
  <c r="AA15" i="39"/>
  <c r="AB15" i="39" s="1"/>
  <c r="AA21" i="39"/>
  <c r="AB21" i="39" s="1"/>
  <c r="X13" i="39"/>
  <c r="X34" i="39" s="1"/>
  <c r="X19" i="39"/>
  <c r="X40" i="39" s="1"/>
  <c r="X25" i="39"/>
  <c r="X46" i="39" s="1"/>
  <c r="C15" i="39"/>
  <c r="C21" i="39"/>
  <c r="AH13" i="39"/>
  <c r="AH19" i="39"/>
  <c r="AH25" i="39"/>
  <c r="AA16" i="39"/>
  <c r="AB16" i="39" s="1"/>
  <c r="AA22" i="39"/>
  <c r="AB22" i="39" s="1"/>
  <c r="AH14" i="39"/>
  <c r="AH20" i="39"/>
  <c r="AH26" i="39"/>
  <c r="AA17" i="39"/>
  <c r="AB17" i="39" s="1"/>
  <c r="AA23" i="39"/>
  <c r="AB23" i="39" s="1"/>
  <c r="C17" i="39"/>
  <c r="C23" i="39"/>
  <c r="X16" i="39"/>
  <c r="X37" i="39" s="1"/>
  <c r="X22" i="39"/>
  <c r="X43" i="39" s="1"/>
  <c r="C18" i="39"/>
  <c r="C24" i="39"/>
  <c r="X17" i="39"/>
  <c r="X38" i="39" s="1"/>
  <c r="C13" i="39"/>
  <c r="C19" i="39"/>
  <c r="C25" i="39"/>
  <c r="AA14" i="39"/>
  <c r="AB14" i="39" s="1"/>
  <c r="AA20" i="39"/>
  <c r="AB20" i="39" s="1"/>
  <c r="AA26" i="39"/>
  <c r="AB26" i="39" s="1"/>
  <c r="M10" i="39"/>
  <c r="M12" i="39"/>
  <c r="M11" i="39"/>
  <c r="M8" i="39"/>
  <c r="M9" i="39"/>
  <c r="H27" i="39"/>
  <c r="J27" i="39"/>
  <c r="AM48" i="39"/>
  <c r="AM49" i="39" s="1"/>
  <c r="AL50" i="39" s="1"/>
  <c r="AK48" i="39"/>
  <c r="AK49" i="39" s="1"/>
  <c r="AJ50" i="39" s="1"/>
  <c r="M26" i="39"/>
  <c r="M7" i="39"/>
  <c r="M25" i="39"/>
  <c r="AL48" i="39"/>
  <c r="AI27" i="39"/>
  <c r="AJ48" i="39"/>
  <c r="M156" i="23"/>
  <c r="M155" i="23"/>
  <c r="M154" i="23"/>
  <c r="M153" i="23"/>
  <c r="M152" i="23"/>
  <c r="M151" i="23"/>
  <c r="O151" i="23" s="1"/>
  <c r="M150" i="23"/>
  <c r="M149" i="23"/>
  <c r="M148" i="23"/>
  <c r="M147" i="23"/>
  <c r="M146" i="23"/>
  <c r="M145" i="23"/>
  <c r="O145" i="23" s="1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O121" i="23" s="1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O38" i="23" s="1"/>
  <c r="M37" i="23"/>
  <c r="M36" i="23"/>
  <c r="M35" i="23"/>
  <c r="M34" i="23"/>
  <c r="M33" i="23"/>
  <c r="M32" i="23"/>
  <c r="O32" i="23" s="1"/>
  <c r="M31" i="23"/>
  <c r="M30" i="23"/>
  <c r="M29" i="23"/>
  <c r="M28" i="23"/>
  <c r="M27" i="23"/>
  <c r="M26" i="23"/>
  <c r="M25" i="23"/>
  <c r="M24" i="23"/>
  <c r="M23" i="23"/>
  <c r="O23" i="23" s="1"/>
  <c r="M22" i="23"/>
  <c r="M21" i="23"/>
  <c r="M20" i="23"/>
  <c r="O20" i="23" s="1"/>
  <c r="M19" i="23"/>
  <c r="M18" i="23"/>
  <c r="M17" i="23"/>
  <c r="M16" i="23"/>
  <c r="M15" i="23"/>
  <c r="M14" i="23"/>
  <c r="O14" i="23" s="1"/>
  <c r="M13" i="23"/>
  <c r="M12" i="23"/>
  <c r="M11" i="23"/>
  <c r="M10" i="23"/>
  <c r="O10" i="23" s="1"/>
  <c r="M9" i="23"/>
  <c r="M8" i="23"/>
  <c r="M7" i="23"/>
  <c r="M6" i="23"/>
  <c r="M5" i="23"/>
  <c r="M4" i="23"/>
  <c r="M3" i="23"/>
  <c r="L156" i="23"/>
  <c r="P156" i="23" s="1"/>
  <c r="L155" i="23"/>
  <c r="Q155" i="23" s="1"/>
  <c r="L154" i="23"/>
  <c r="L153" i="23"/>
  <c r="L152" i="23"/>
  <c r="L151" i="23"/>
  <c r="Q151" i="23" s="1"/>
  <c r="L150" i="23"/>
  <c r="Q150" i="23" s="1"/>
  <c r="O150" i="23" s="1"/>
  <c r="L149" i="23"/>
  <c r="Q149" i="23" s="1"/>
  <c r="L148" i="23"/>
  <c r="L147" i="23"/>
  <c r="Q147" i="23" s="1"/>
  <c r="L146" i="23"/>
  <c r="L145" i="23"/>
  <c r="Q145" i="23" s="1"/>
  <c r="L144" i="23"/>
  <c r="Q144" i="23" s="1"/>
  <c r="O144" i="23" s="1"/>
  <c r="L143" i="23"/>
  <c r="Q143" i="23" s="1"/>
  <c r="L142" i="23"/>
  <c r="L141" i="23"/>
  <c r="L140" i="23"/>
  <c r="L139" i="23"/>
  <c r="Q139" i="23" s="1"/>
  <c r="L138" i="23"/>
  <c r="Q138" i="23" s="1"/>
  <c r="O138" i="23" s="1"/>
  <c r="L137" i="23"/>
  <c r="Q137" i="23" s="1"/>
  <c r="L136" i="23"/>
  <c r="L135" i="23"/>
  <c r="L134" i="23"/>
  <c r="L133" i="23"/>
  <c r="Q133" i="23" s="1"/>
  <c r="L132" i="23"/>
  <c r="Q132" i="23" s="1"/>
  <c r="O132" i="23" s="1"/>
  <c r="L131" i="23"/>
  <c r="Q131" i="23" s="1"/>
  <c r="L130" i="23"/>
  <c r="L129" i="23"/>
  <c r="P129" i="23" s="1"/>
  <c r="L128" i="23"/>
  <c r="L127" i="23"/>
  <c r="Q127" i="23" s="1"/>
  <c r="L126" i="23"/>
  <c r="P126" i="23" s="1"/>
  <c r="L125" i="23"/>
  <c r="P125" i="23" s="1"/>
  <c r="L124" i="23"/>
  <c r="L123" i="23"/>
  <c r="L122" i="23"/>
  <c r="L121" i="23"/>
  <c r="Q121" i="23" s="1"/>
  <c r="L120" i="23"/>
  <c r="Q120" i="23" s="1"/>
  <c r="L119" i="23"/>
  <c r="Q119" i="23" s="1"/>
  <c r="L118" i="23"/>
  <c r="L117" i="23"/>
  <c r="Q117" i="23" s="1"/>
  <c r="L116" i="23"/>
  <c r="L115" i="23"/>
  <c r="Q115" i="23" s="1"/>
  <c r="L114" i="23"/>
  <c r="Q114" i="23" s="1"/>
  <c r="L113" i="23"/>
  <c r="Q113" i="23" s="1"/>
  <c r="L112" i="23"/>
  <c r="L111" i="23"/>
  <c r="P111" i="23" s="1"/>
  <c r="L110" i="23"/>
  <c r="L109" i="23"/>
  <c r="Q109" i="23" s="1"/>
  <c r="L108" i="23"/>
  <c r="Q108" i="23" s="1"/>
  <c r="O108" i="23" s="1"/>
  <c r="L107" i="23"/>
  <c r="P107" i="23" s="1"/>
  <c r="L106" i="23"/>
  <c r="L105" i="23"/>
  <c r="L104" i="23"/>
  <c r="L103" i="23"/>
  <c r="Q103" i="23" s="1"/>
  <c r="L102" i="23"/>
  <c r="P102" i="23" s="1"/>
  <c r="L101" i="23"/>
  <c r="Q101" i="23" s="1"/>
  <c r="L100" i="23"/>
  <c r="L99" i="23"/>
  <c r="Q99" i="23" s="1"/>
  <c r="L98" i="23"/>
  <c r="L97" i="23"/>
  <c r="Q97" i="23" s="1"/>
  <c r="L96" i="23"/>
  <c r="Q96" i="23" s="1"/>
  <c r="O96" i="23" s="1"/>
  <c r="L95" i="23"/>
  <c r="Q95" i="23" s="1"/>
  <c r="L94" i="23"/>
  <c r="L93" i="23"/>
  <c r="Q93" i="23" s="1"/>
  <c r="L92" i="23"/>
  <c r="L91" i="23"/>
  <c r="Q91" i="23" s="1"/>
  <c r="L90" i="23"/>
  <c r="Q90" i="23" s="1"/>
  <c r="O90" i="23" s="1"/>
  <c r="L89" i="23"/>
  <c r="Q89" i="23" s="1"/>
  <c r="L88" i="23"/>
  <c r="L87" i="23"/>
  <c r="P87" i="23" s="1"/>
  <c r="L86" i="23"/>
  <c r="L85" i="23"/>
  <c r="Q85" i="23" s="1"/>
  <c r="L84" i="23"/>
  <c r="Q84" i="23" s="1"/>
  <c r="L83" i="23"/>
  <c r="Q83" i="23" s="1"/>
  <c r="L82" i="23"/>
  <c r="L81" i="23"/>
  <c r="Q81" i="23" s="1"/>
  <c r="L80" i="23"/>
  <c r="L79" i="23"/>
  <c r="Q79" i="23" s="1"/>
  <c r="L78" i="23"/>
  <c r="Q78" i="23" s="1"/>
  <c r="O78" i="23" s="1"/>
  <c r="L77" i="23"/>
  <c r="Q77" i="23" s="1"/>
  <c r="L76" i="23"/>
  <c r="L75" i="23"/>
  <c r="Q75" i="23" s="1"/>
  <c r="L74" i="23"/>
  <c r="L73" i="23"/>
  <c r="Q73" i="23" s="1"/>
  <c r="L72" i="23"/>
  <c r="Q72" i="23" s="1"/>
  <c r="O72" i="23" s="1"/>
  <c r="L71" i="23"/>
  <c r="P71" i="23" s="1"/>
  <c r="L70" i="23"/>
  <c r="L69" i="23"/>
  <c r="P69" i="23" s="1"/>
  <c r="L68" i="23"/>
  <c r="L67" i="23"/>
  <c r="Q67" i="23" s="1"/>
  <c r="L66" i="23"/>
  <c r="Q66" i="23" s="1"/>
  <c r="O66" i="23" s="1"/>
  <c r="L65" i="23"/>
  <c r="Q65" i="23" s="1"/>
  <c r="L64" i="23"/>
  <c r="L63" i="23"/>
  <c r="Q63" i="23" s="1"/>
  <c r="L62" i="23"/>
  <c r="L61" i="23"/>
  <c r="Q61" i="23" s="1"/>
  <c r="L60" i="23"/>
  <c r="Q60" i="23" s="1"/>
  <c r="O60" i="23" s="1"/>
  <c r="L59" i="23"/>
  <c r="Q59" i="23" s="1"/>
  <c r="L58" i="23"/>
  <c r="L57" i="23"/>
  <c r="P57" i="23" s="1"/>
  <c r="L56" i="23"/>
  <c r="L55" i="23"/>
  <c r="Q55" i="23" s="1"/>
  <c r="L54" i="23"/>
  <c r="P54" i="23" s="1"/>
  <c r="L53" i="23"/>
  <c r="P53" i="23" s="1"/>
  <c r="L52" i="23"/>
  <c r="L51" i="23"/>
  <c r="L50" i="23"/>
  <c r="L49" i="23"/>
  <c r="Q49" i="23" s="1"/>
  <c r="L48" i="23"/>
  <c r="Q48" i="23" s="1"/>
  <c r="L47" i="23"/>
  <c r="P47" i="23" s="1"/>
  <c r="L46" i="23"/>
  <c r="L45" i="23"/>
  <c r="Q45" i="23" s="1"/>
  <c r="L44" i="23"/>
  <c r="L43" i="23"/>
  <c r="Q43" i="23" s="1"/>
  <c r="L42" i="23"/>
  <c r="Q42" i="23" s="1"/>
  <c r="O42" i="23" s="1"/>
  <c r="L41" i="23"/>
  <c r="Q41" i="23" s="1"/>
  <c r="L40" i="23"/>
  <c r="L39" i="23"/>
  <c r="Q39" i="23" s="1"/>
  <c r="L38" i="23"/>
  <c r="L37" i="23"/>
  <c r="Q37" i="23" s="1"/>
  <c r="L36" i="23"/>
  <c r="Q36" i="23" s="1"/>
  <c r="O36" i="23" s="1"/>
  <c r="L35" i="23"/>
  <c r="P35" i="23" s="1"/>
  <c r="L34" i="23"/>
  <c r="P34" i="23" s="1"/>
  <c r="L33" i="23"/>
  <c r="P33" i="23" s="1"/>
  <c r="L32" i="23"/>
  <c r="L31" i="23"/>
  <c r="P31" i="23" s="1"/>
  <c r="L30" i="23"/>
  <c r="P30" i="23" s="1"/>
  <c r="L29" i="23"/>
  <c r="P29" i="23" s="1"/>
  <c r="L28" i="23"/>
  <c r="Q28" i="23" s="1"/>
  <c r="L27" i="23"/>
  <c r="L26" i="23"/>
  <c r="L25" i="23"/>
  <c r="P25" i="23" s="1"/>
  <c r="L24" i="23"/>
  <c r="P24" i="23" s="1"/>
  <c r="L23" i="23"/>
  <c r="L22" i="23"/>
  <c r="P22" i="23" s="1"/>
  <c r="L21" i="23"/>
  <c r="P21" i="23" s="1"/>
  <c r="L20" i="23"/>
  <c r="P20" i="23" s="1"/>
  <c r="L19" i="23"/>
  <c r="P19" i="23" s="1"/>
  <c r="L18" i="23"/>
  <c r="P18" i="23" s="1"/>
  <c r="L17" i="23"/>
  <c r="L16" i="23"/>
  <c r="P16" i="23" s="1"/>
  <c r="L15" i="23"/>
  <c r="L14" i="23"/>
  <c r="P14" i="23" s="1"/>
  <c r="L13" i="23"/>
  <c r="P13" i="23" s="1"/>
  <c r="L12" i="23"/>
  <c r="P12" i="23" s="1"/>
  <c r="L11" i="23"/>
  <c r="P11" i="23" s="1"/>
  <c r="L10" i="23"/>
  <c r="P10" i="23" s="1"/>
  <c r="L9" i="23"/>
  <c r="P9" i="23" s="1"/>
  <c r="L8" i="23"/>
  <c r="P8" i="23" s="1"/>
  <c r="L7" i="23"/>
  <c r="P7" i="23" s="1"/>
  <c r="L6" i="23"/>
  <c r="Q6" i="23" s="1"/>
  <c r="L5" i="23"/>
  <c r="Q5" i="23" s="1"/>
  <c r="L4" i="23"/>
  <c r="L3" i="23"/>
  <c r="P3" i="23" s="1"/>
  <c r="Q82" i="23"/>
  <c r="O82" i="23" s="1"/>
  <c r="P88" i="23"/>
  <c r="Q100" i="23"/>
  <c r="O100" i="23" s="1"/>
  <c r="Q106" i="23"/>
  <c r="Q112" i="23"/>
  <c r="Q118" i="23"/>
  <c r="O118" i="23" s="1"/>
  <c r="P124" i="23"/>
  <c r="P136" i="23"/>
  <c r="Q142" i="23"/>
  <c r="Q148" i="23"/>
  <c r="Q154" i="23"/>
  <c r="P26" i="23"/>
  <c r="P32" i="23"/>
  <c r="Q44" i="23"/>
  <c r="O44" i="23" s="1"/>
  <c r="P68" i="23"/>
  <c r="Q86" i="23"/>
  <c r="P98" i="23"/>
  <c r="Q104" i="23"/>
  <c r="Q116" i="23"/>
  <c r="Q122" i="23"/>
  <c r="O122" i="23" s="1"/>
  <c r="Q124" i="23"/>
  <c r="P112" i="23"/>
  <c r="Q88" i="23"/>
  <c r="P76" i="23"/>
  <c r="Q70" i="23"/>
  <c r="P64" i="23"/>
  <c r="Q52" i="23"/>
  <c r="O52" i="23" s="1"/>
  <c r="Q46" i="23"/>
  <c r="P40" i="23"/>
  <c r="Q136" i="23"/>
  <c r="Q126" i="23"/>
  <c r="O126" i="23" s="1"/>
  <c r="Q94" i="23"/>
  <c r="O94" i="23" s="1"/>
  <c r="Q76" i="23"/>
  <c r="Q64" i="23"/>
  <c r="Q58" i="23"/>
  <c r="O58" i="23" s="1"/>
  <c r="Q40" i="23"/>
  <c r="O40" i="23" s="1"/>
  <c r="Q34" i="23"/>
  <c r="P148" i="23"/>
  <c r="P143" i="23"/>
  <c r="P132" i="23"/>
  <c r="P106" i="23"/>
  <c r="P70" i="23"/>
  <c r="P58" i="23"/>
  <c r="P52" i="23"/>
  <c r="O30" i="23"/>
  <c r="O26" i="23"/>
  <c r="AB25" i="39" l="1"/>
  <c r="M27" i="39"/>
  <c r="H48" i="39"/>
  <c r="P59" i="23"/>
  <c r="Q107" i="23"/>
  <c r="O33" i="23"/>
  <c r="O39" i="23"/>
  <c r="O45" i="23"/>
  <c r="O75" i="23"/>
  <c r="O93" i="23"/>
  <c r="O147" i="23"/>
  <c r="O9" i="23"/>
  <c r="O15" i="23"/>
  <c r="O21" i="23"/>
  <c r="Q47" i="23"/>
  <c r="O47" i="23" s="1"/>
  <c r="Q125" i="23"/>
  <c r="O125" i="23" s="1"/>
  <c r="P36" i="23"/>
  <c r="P78" i="23"/>
  <c r="Q156" i="23"/>
  <c r="O156" i="23" s="1"/>
  <c r="Q102" i="23"/>
  <c r="O102" i="23" s="1"/>
  <c r="Q54" i="23"/>
  <c r="O54" i="23" s="1"/>
  <c r="P42" i="23"/>
  <c r="P84" i="23"/>
  <c r="P108" i="23"/>
  <c r="P138" i="23"/>
  <c r="O116" i="23"/>
  <c r="P60" i="23"/>
  <c r="P90" i="23"/>
  <c r="P114" i="23"/>
  <c r="O104" i="23"/>
  <c r="P48" i="23"/>
  <c r="P66" i="23"/>
  <c r="P96" i="23"/>
  <c r="P120" i="23"/>
  <c r="P144" i="23"/>
  <c r="O86" i="23"/>
  <c r="P72" i="23"/>
  <c r="P150" i="23"/>
  <c r="Q24" i="23"/>
  <c r="O24" i="23" s="1"/>
  <c r="O17" i="23"/>
  <c r="O143" i="23"/>
  <c r="O65" i="23"/>
  <c r="O83" i="23"/>
  <c r="O101" i="23"/>
  <c r="O119" i="23"/>
  <c r="O137" i="23"/>
  <c r="O155" i="23"/>
  <c r="P93" i="23"/>
  <c r="P77" i="23"/>
  <c r="P95" i="23"/>
  <c r="Q35" i="23"/>
  <c r="O35" i="23" s="1"/>
  <c r="P65" i="23"/>
  <c r="P113" i="23"/>
  <c r="P131" i="23"/>
  <c r="Q53" i="23"/>
  <c r="O53" i="23" s="1"/>
  <c r="P83" i="23"/>
  <c r="P101" i="23"/>
  <c r="P149" i="23"/>
  <c r="P41" i="23"/>
  <c r="P119" i="23"/>
  <c r="P137" i="23"/>
  <c r="Q71" i="23"/>
  <c r="O71" i="23" s="1"/>
  <c r="P89" i="23"/>
  <c r="P94" i="23"/>
  <c r="P100" i="23"/>
  <c r="P142" i="23"/>
  <c r="Q130" i="23"/>
  <c r="O130" i="23" s="1"/>
  <c r="P130" i="23"/>
  <c r="P50" i="23"/>
  <c r="P155" i="23"/>
  <c r="Q68" i="23"/>
  <c r="O68" i="23" s="1"/>
  <c r="P38" i="23"/>
  <c r="P80" i="23"/>
  <c r="Q98" i="23"/>
  <c r="O98" i="23" s="1"/>
  <c r="P122" i="23"/>
  <c r="P110" i="23"/>
  <c r="P92" i="23"/>
  <c r="P152" i="23"/>
  <c r="Q50" i="23"/>
  <c r="O50" i="23" s="1"/>
  <c r="Q80" i="23"/>
  <c r="O80" i="23" s="1"/>
  <c r="Q92" i="23"/>
  <c r="O92" i="23" s="1"/>
  <c r="Q110" i="23"/>
  <c r="O110" i="23" s="1"/>
  <c r="Q140" i="23"/>
  <c r="O140" i="23" s="1"/>
  <c r="P62" i="23"/>
  <c r="P104" i="23"/>
  <c r="Q62" i="23"/>
  <c r="O62" i="23" s="1"/>
  <c r="Q152" i="23"/>
  <c r="O152" i="23" s="1"/>
  <c r="P134" i="23"/>
  <c r="P44" i="23"/>
  <c r="P74" i="23"/>
  <c r="P86" i="23"/>
  <c r="P116" i="23"/>
  <c r="P146" i="23"/>
  <c r="Q74" i="23"/>
  <c r="O74" i="23" s="1"/>
  <c r="Q134" i="23"/>
  <c r="O134" i="23" s="1"/>
  <c r="P56" i="23"/>
  <c r="P128" i="23"/>
  <c r="Q56" i="23"/>
  <c r="O56" i="23" s="1"/>
  <c r="Q146" i="23"/>
  <c r="O146" i="23" s="1"/>
  <c r="P140" i="23"/>
  <c r="Q128" i="23"/>
  <c r="O128" i="23" s="1"/>
  <c r="P51" i="23"/>
  <c r="Q141" i="23"/>
  <c r="O141" i="23" s="1"/>
  <c r="Q57" i="23"/>
  <c r="O57" i="23" s="1"/>
  <c r="P105" i="23"/>
  <c r="P123" i="23"/>
  <c r="P153" i="23"/>
  <c r="Q111" i="23"/>
  <c r="O111" i="23" s="1"/>
  <c r="Q135" i="23"/>
  <c r="O135" i="23" s="1"/>
  <c r="P45" i="23"/>
  <c r="P81" i="23"/>
  <c r="P27" i="23"/>
  <c r="P63" i="23"/>
  <c r="P99" i="23"/>
  <c r="P117" i="23"/>
  <c r="P141" i="23"/>
  <c r="Q69" i="23"/>
  <c r="O69" i="23" s="1"/>
  <c r="Q105" i="23"/>
  <c r="O105" i="23" s="1"/>
  <c r="Q153" i="23"/>
  <c r="O153" i="23" s="1"/>
  <c r="P15" i="23"/>
  <c r="P147" i="23"/>
  <c r="Q51" i="23"/>
  <c r="O51" i="23" s="1"/>
  <c r="Q129" i="23"/>
  <c r="O129" i="23" s="1"/>
  <c r="P5" i="23"/>
  <c r="Q123" i="23"/>
  <c r="O123" i="23" s="1"/>
  <c r="Q87" i="23"/>
  <c r="O87" i="23" s="1"/>
  <c r="P135" i="23"/>
  <c r="P4" i="23"/>
  <c r="P23" i="23"/>
  <c r="P17" i="23"/>
  <c r="Q4" i="23"/>
  <c r="O4" i="23" s="1"/>
  <c r="P28" i="23"/>
  <c r="P39" i="23"/>
  <c r="P46" i="23"/>
  <c r="P75" i="23"/>
  <c r="P82" i="23"/>
  <c r="P118" i="23"/>
  <c r="P154" i="23"/>
  <c r="P6" i="23"/>
  <c r="P37" i="23"/>
  <c r="P43" i="23"/>
  <c r="P49" i="23"/>
  <c r="P55" i="23"/>
  <c r="P61" i="23"/>
  <c r="P67" i="23"/>
  <c r="P73" i="23"/>
  <c r="P79" i="23"/>
  <c r="P85" i="23"/>
  <c r="P91" i="23"/>
  <c r="P97" i="23"/>
  <c r="P103" i="23"/>
  <c r="P109" i="23"/>
  <c r="P115" i="23"/>
  <c r="P121" i="23"/>
  <c r="P127" i="23"/>
  <c r="P133" i="23"/>
  <c r="P139" i="23"/>
  <c r="P145" i="23"/>
  <c r="P151" i="23"/>
  <c r="O28" i="23"/>
  <c r="O18" i="23"/>
  <c r="O11" i="23"/>
  <c r="O64" i="23"/>
  <c r="O59" i="23"/>
  <c r="O81" i="23"/>
  <c r="O114" i="23"/>
  <c r="O7" i="23"/>
  <c r="O16" i="23"/>
  <c r="O89" i="23"/>
  <c r="O107" i="23"/>
  <c r="O117" i="23"/>
  <c r="O124" i="23"/>
  <c r="O142" i="23"/>
  <c r="O148" i="23"/>
  <c r="O22" i="23"/>
  <c r="O76" i="23"/>
  <c r="O131" i="23"/>
  <c r="O154" i="23"/>
  <c r="O29" i="23"/>
  <c r="O46" i="23"/>
  <c r="O88" i="23"/>
  <c r="O95" i="23"/>
  <c r="O112" i="23"/>
  <c r="O136" i="23"/>
  <c r="O149" i="23"/>
  <c r="O12" i="23"/>
  <c r="O27" i="23"/>
  <c r="O34" i="23"/>
  <c r="O41" i="23"/>
  <c r="O48" i="23"/>
  <c r="O63" i="23"/>
  <c r="O70" i="23"/>
  <c r="O77" i="23"/>
  <c r="O84" i="23"/>
  <c r="O99" i="23"/>
  <c r="O106" i="23"/>
  <c r="O113" i="23"/>
  <c r="O120" i="23"/>
  <c r="O13" i="23"/>
  <c r="O19" i="23"/>
  <c r="O25" i="23"/>
  <c r="O31" i="23"/>
  <c r="O37" i="23"/>
  <c r="O43" i="23"/>
  <c r="O49" i="23"/>
  <c r="O55" i="23"/>
  <c r="O61" i="23"/>
  <c r="O67" i="23"/>
  <c r="O73" i="23"/>
  <c r="O79" i="23"/>
  <c r="O85" i="23"/>
  <c r="O91" i="23"/>
  <c r="O97" i="23"/>
  <c r="O103" i="23"/>
  <c r="O109" i="23"/>
  <c r="O115" i="23"/>
  <c r="O127" i="23"/>
  <c r="O133" i="23"/>
  <c r="O139" i="23"/>
  <c r="O8" i="23"/>
  <c r="O5" i="23"/>
  <c r="O6" i="23"/>
  <c r="O3" i="23"/>
  <c r="N3" i="23"/>
  <c r="J48" i="39" l="1"/>
  <c r="H156" i="23"/>
  <c r="H155" i="23"/>
  <c r="H154" i="23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J156" i="23"/>
  <c r="J155" i="23"/>
  <c r="J154" i="23"/>
  <c r="J153" i="23"/>
  <c r="J152" i="23"/>
  <c r="J151" i="23"/>
  <c r="J150" i="23"/>
  <c r="J149" i="23"/>
  <c r="J148" i="23"/>
  <c r="J147" i="23"/>
  <c r="J146" i="23"/>
  <c r="J145" i="23"/>
  <c r="J144" i="23"/>
  <c r="J143" i="23"/>
  <c r="J142" i="23"/>
  <c r="J141" i="23"/>
  <c r="J140" i="23"/>
  <c r="J139" i="23"/>
  <c r="J138" i="23"/>
  <c r="J137" i="23"/>
  <c r="J136" i="23"/>
  <c r="J135" i="23"/>
  <c r="J134" i="23"/>
  <c r="J133" i="23"/>
  <c r="J132" i="23"/>
  <c r="J131" i="23"/>
  <c r="J130" i="23"/>
  <c r="J129" i="23"/>
  <c r="J128" i="23"/>
  <c r="P8" i="39" s="1"/>
  <c r="J127" i="23"/>
  <c r="J126" i="23"/>
  <c r="J125" i="23"/>
  <c r="J124" i="23"/>
  <c r="J123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P7" i="39" s="1"/>
  <c r="J110" i="23"/>
  <c r="J109" i="23"/>
  <c r="J108" i="23"/>
  <c r="J107" i="23"/>
  <c r="J106" i="23"/>
  <c r="J105" i="23"/>
  <c r="J104" i="23"/>
  <c r="J103" i="23"/>
  <c r="J102" i="23"/>
  <c r="J101" i="23"/>
  <c r="J100" i="23"/>
  <c r="J99" i="23"/>
  <c r="J98" i="23"/>
  <c r="J97" i="23"/>
  <c r="H97" i="23" s="1"/>
  <c r="J96" i="23"/>
  <c r="H96" i="23" s="1"/>
  <c r="J95" i="23"/>
  <c r="H95" i="23" s="1"/>
  <c r="J94" i="23"/>
  <c r="J93" i="23"/>
  <c r="H93" i="23" s="1"/>
  <c r="J92" i="23"/>
  <c r="H92" i="23" s="1"/>
  <c r="J91" i="23"/>
  <c r="H91" i="23" s="1"/>
  <c r="J90" i="23"/>
  <c r="H90" i="23" s="1"/>
  <c r="J89" i="23"/>
  <c r="H89" i="23" s="1"/>
  <c r="J88" i="23"/>
  <c r="H88" i="23" s="1"/>
  <c r="J87" i="23"/>
  <c r="H87" i="23" s="1"/>
  <c r="J86" i="23"/>
  <c r="H86" i="23" s="1"/>
  <c r="J85" i="23"/>
  <c r="H85" i="23" s="1"/>
  <c r="J84" i="23"/>
  <c r="H84" i="23" s="1"/>
  <c r="J83" i="23"/>
  <c r="H83" i="23" s="1"/>
  <c r="J82" i="23"/>
  <c r="H82" i="23" s="1"/>
  <c r="J81" i="23"/>
  <c r="H81" i="23" s="1"/>
  <c r="J80" i="23"/>
  <c r="H80" i="23" s="1"/>
  <c r="J79" i="23"/>
  <c r="H79" i="23" s="1"/>
  <c r="J78" i="23"/>
  <c r="J77" i="23"/>
  <c r="H77" i="23" s="1"/>
  <c r="J76" i="23"/>
  <c r="H76" i="23" s="1"/>
  <c r="J75" i="23"/>
  <c r="H75" i="23" s="1"/>
  <c r="J74" i="23"/>
  <c r="H74" i="23" s="1"/>
  <c r="J73" i="23"/>
  <c r="H73" i="23" s="1"/>
  <c r="J72" i="23"/>
  <c r="H72" i="23" s="1"/>
  <c r="J71" i="23"/>
  <c r="H71" i="23" s="1"/>
  <c r="J70" i="23"/>
  <c r="J69" i="23"/>
  <c r="H69" i="23" s="1"/>
  <c r="J68" i="23"/>
  <c r="H68" i="23" s="1"/>
  <c r="J67" i="23"/>
  <c r="H67" i="23" s="1"/>
  <c r="J66" i="23"/>
  <c r="H66" i="23" s="1"/>
  <c r="J65" i="23"/>
  <c r="H65" i="23" s="1"/>
  <c r="J64" i="23"/>
  <c r="H64" i="23" s="1"/>
  <c r="J63" i="23"/>
  <c r="H63" i="23" s="1"/>
  <c r="J62" i="23"/>
  <c r="J61" i="23"/>
  <c r="H61" i="23" s="1"/>
  <c r="J60" i="23"/>
  <c r="H60" i="23" s="1"/>
  <c r="J59" i="23"/>
  <c r="H59" i="23" s="1"/>
  <c r="J58" i="23"/>
  <c r="H58" i="23" s="1"/>
  <c r="J57" i="23"/>
  <c r="H57" i="23" s="1"/>
  <c r="J56" i="23"/>
  <c r="H56" i="23" s="1"/>
  <c r="J55" i="23"/>
  <c r="H55" i="23" s="1"/>
  <c r="J54" i="23"/>
  <c r="H54" i="23" s="1"/>
  <c r="J53" i="23"/>
  <c r="H53" i="23" s="1"/>
  <c r="J52" i="23"/>
  <c r="H52" i="23" s="1"/>
  <c r="J51" i="23"/>
  <c r="H51" i="23" s="1"/>
  <c r="J50" i="23"/>
  <c r="H50" i="23" s="1"/>
  <c r="J49" i="23"/>
  <c r="H49" i="23" s="1"/>
  <c r="J48" i="23"/>
  <c r="H48" i="23" s="1"/>
  <c r="J47" i="23"/>
  <c r="H47" i="23" s="1"/>
  <c r="J46" i="23"/>
  <c r="H46" i="23" s="1"/>
  <c r="J45" i="23"/>
  <c r="H45" i="23" s="1"/>
  <c r="J44" i="23"/>
  <c r="H44" i="23" s="1"/>
  <c r="J43" i="23"/>
  <c r="H43" i="23" s="1"/>
  <c r="J42" i="23"/>
  <c r="H42" i="23" s="1"/>
  <c r="J41" i="23"/>
  <c r="H41" i="23" s="1"/>
  <c r="J40" i="23"/>
  <c r="H40" i="23" s="1"/>
  <c r="J39" i="23"/>
  <c r="H39" i="23" s="1"/>
  <c r="J38" i="23"/>
  <c r="H38" i="23" s="1"/>
  <c r="J37" i="23"/>
  <c r="H37" i="23" s="1"/>
  <c r="J36" i="23"/>
  <c r="H36" i="23" s="1"/>
  <c r="J35" i="23"/>
  <c r="H35" i="23" s="1"/>
  <c r="J34" i="23"/>
  <c r="H34" i="23" s="1"/>
  <c r="J33" i="23"/>
  <c r="H33" i="23" s="1"/>
  <c r="J32" i="23"/>
  <c r="H32" i="23" s="1"/>
  <c r="J31" i="23"/>
  <c r="H31" i="23" s="1"/>
  <c r="J30" i="23"/>
  <c r="H30" i="23" s="1"/>
  <c r="J29" i="23"/>
  <c r="H29" i="23" s="1"/>
  <c r="J28" i="23"/>
  <c r="H28" i="23" s="1"/>
  <c r="J27" i="23"/>
  <c r="H27" i="23" s="1"/>
  <c r="J26" i="23"/>
  <c r="H26" i="23" s="1"/>
  <c r="J25" i="23"/>
  <c r="H25" i="23" s="1"/>
  <c r="J24" i="23"/>
  <c r="H24" i="23" s="1"/>
  <c r="J23" i="23"/>
  <c r="H23" i="23" s="1"/>
  <c r="J22" i="23"/>
  <c r="H22" i="23" s="1"/>
  <c r="J21" i="23"/>
  <c r="H21" i="23" s="1"/>
  <c r="J20" i="23"/>
  <c r="H20" i="23" s="1"/>
  <c r="J19" i="23"/>
  <c r="H19" i="23" s="1"/>
  <c r="J18" i="23"/>
  <c r="H18" i="23" s="1"/>
  <c r="J17" i="23"/>
  <c r="H17" i="23" s="1"/>
  <c r="J16" i="23"/>
  <c r="H16" i="23" s="1"/>
  <c r="J15" i="23"/>
  <c r="H15" i="23" s="1"/>
  <c r="J14" i="23"/>
  <c r="H14" i="23" s="1"/>
  <c r="J13" i="23"/>
  <c r="H13" i="23" s="1"/>
  <c r="J12" i="23"/>
  <c r="H12" i="23" s="1"/>
  <c r="J11" i="23"/>
  <c r="H11" i="23" s="1"/>
  <c r="J10" i="23"/>
  <c r="H10" i="23" s="1"/>
  <c r="J9" i="23"/>
  <c r="H9" i="23" s="1"/>
  <c r="J8" i="23"/>
  <c r="H8" i="23" s="1"/>
  <c r="J7" i="23"/>
  <c r="H7" i="23" s="1"/>
  <c r="J6" i="23"/>
  <c r="H6" i="23" s="1"/>
  <c r="J5" i="23"/>
  <c r="H5" i="23" s="1"/>
  <c r="J4" i="23"/>
  <c r="H4" i="23" s="1"/>
  <c r="J3" i="23"/>
  <c r="H3" i="23" s="1"/>
  <c r="H62" i="23" l="1"/>
  <c r="P10" i="39"/>
  <c r="H70" i="23"/>
  <c r="P11" i="39"/>
  <c r="H78" i="23"/>
  <c r="P9" i="39"/>
  <c r="P27" i="39" s="1"/>
  <c r="H94" i="23"/>
  <c r="P12" i="39"/>
  <c r="I156" i="23"/>
  <c r="I155" i="23"/>
  <c r="I154" i="23"/>
  <c r="I153" i="23"/>
  <c r="I152" i="23"/>
  <c r="I151" i="23"/>
  <c r="I150" i="23"/>
  <c r="I149" i="23"/>
  <c r="I148" i="23"/>
  <c r="I147" i="23"/>
  <c r="I146" i="23"/>
  <c r="I145" i="23"/>
  <c r="I144" i="23"/>
  <c r="I143" i="23"/>
  <c r="I142" i="23"/>
  <c r="I141" i="23"/>
  <c r="I140" i="23"/>
  <c r="I139" i="23"/>
  <c r="I138" i="23"/>
  <c r="I137" i="23"/>
  <c r="I136" i="23"/>
  <c r="I135" i="23"/>
  <c r="I134" i="23"/>
  <c r="I133" i="23"/>
  <c r="I132" i="23"/>
  <c r="I131" i="23"/>
  <c r="I130" i="23"/>
  <c r="I129" i="23"/>
  <c r="I128" i="23"/>
  <c r="I127" i="23"/>
  <c r="I126" i="23"/>
  <c r="I125" i="23"/>
  <c r="I124" i="23"/>
  <c r="I123" i="23"/>
  <c r="I122" i="23"/>
  <c r="I121" i="23"/>
  <c r="I120" i="23"/>
  <c r="I119" i="23"/>
  <c r="I118" i="23"/>
  <c r="I117" i="23"/>
  <c r="I116" i="23"/>
  <c r="I115" i="23"/>
  <c r="I114" i="23"/>
  <c r="I113" i="23"/>
  <c r="I112" i="23"/>
  <c r="I111" i="23"/>
  <c r="I110" i="23"/>
  <c r="I109" i="23"/>
  <c r="I108" i="23"/>
  <c r="I107" i="23"/>
  <c r="I106" i="23"/>
  <c r="I105" i="23"/>
  <c r="I104" i="23"/>
  <c r="I103" i="23"/>
  <c r="I102" i="23"/>
  <c r="I101" i="23"/>
  <c r="I100" i="23"/>
  <c r="I99" i="23"/>
  <c r="I98" i="23"/>
  <c r="I97" i="23"/>
  <c r="I96" i="23"/>
  <c r="I95" i="23"/>
  <c r="I94" i="23"/>
  <c r="I93" i="23"/>
  <c r="I92" i="23"/>
  <c r="I91" i="23"/>
  <c r="I90" i="23"/>
  <c r="I89" i="23"/>
  <c r="I88" i="23"/>
  <c r="I87" i="23"/>
  <c r="I86" i="23"/>
  <c r="I85" i="23"/>
  <c r="I84" i="23"/>
  <c r="I83" i="23"/>
  <c r="I82" i="23"/>
  <c r="I81" i="23"/>
  <c r="I80" i="23"/>
  <c r="I79" i="23"/>
  <c r="I78" i="23"/>
  <c r="I77" i="23"/>
  <c r="I76" i="23"/>
  <c r="I75" i="23"/>
  <c r="I74" i="23"/>
  <c r="I73" i="23"/>
  <c r="I72" i="23"/>
  <c r="I71" i="23"/>
  <c r="I70" i="23"/>
  <c r="I69" i="23"/>
  <c r="I68" i="23"/>
  <c r="I67" i="23"/>
  <c r="I66" i="23"/>
  <c r="I65" i="23"/>
  <c r="I64" i="23"/>
  <c r="I63" i="23"/>
  <c r="I62" i="23"/>
  <c r="I61" i="23"/>
  <c r="I60" i="23"/>
  <c r="I59" i="23"/>
  <c r="I58" i="23"/>
  <c r="I57" i="23"/>
  <c r="I56" i="23"/>
  <c r="I55" i="23"/>
  <c r="I54" i="23"/>
  <c r="I53" i="23"/>
  <c r="I52" i="23"/>
  <c r="I51" i="23"/>
  <c r="I50" i="23"/>
  <c r="I49" i="23"/>
  <c r="I48" i="23"/>
  <c r="I47" i="23"/>
  <c r="I46" i="23"/>
  <c r="I45" i="23"/>
  <c r="I44" i="23"/>
  <c r="I43" i="23"/>
  <c r="I42" i="23"/>
  <c r="I41" i="23"/>
  <c r="I40" i="23"/>
  <c r="I39" i="23"/>
  <c r="I38" i="23"/>
  <c r="I37" i="23"/>
  <c r="I36" i="23"/>
  <c r="I35" i="23"/>
  <c r="I34" i="23"/>
  <c r="I33" i="23"/>
  <c r="I32" i="23"/>
  <c r="I31" i="23"/>
  <c r="I30" i="23"/>
  <c r="I29" i="23"/>
  <c r="I28" i="23"/>
  <c r="I27" i="23"/>
  <c r="I26" i="23"/>
  <c r="I25" i="23"/>
  <c r="I24" i="23"/>
  <c r="I23" i="23"/>
  <c r="I22" i="23"/>
  <c r="I21" i="23"/>
  <c r="I20" i="23"/>
  <c r="I19" i="23"/>
  <c r="I18" i="23"/>
  <c r="I17" i="23"/>
  <c r="I16" i="23"/>
  <c r="I15" i="23"/>
  <c r="I14" i="23"/>
  <c r="I13" i="23"/>
  <c r="I12" i="23"/>
  <c r="I11" i="23"/>
  <c r="I10" i="23"/>
  <c r="I9" i="23"/>
  <c r="I8" i="23"/>
  <c r="I7" i="23"/>
  <c r="I6" i="23"/>
  <c r="I5" i="23"/>
  <c r="I4" i="23"/>
  <c r="I3" i="23"/>
  <c r="E160" i="23"/>
  <c r="T3" i="37" l="1"/>
  <c r="S3" i="37"/>
  <c r="R3" i="37"/>
  <c r="Q3" i="37"/>
  <c r="P3" i="37"/>
  <c r="B3" i="38" l="1"/>
  <c r="N28" i="37" l="1"/>
  <c r="M28" i="37"/>
  <c r="L28" i="37"/>
  <c r="K28" i="37"/>
  <c r="J28" i="37"/>
  <c r="N27" i="37"/>
  <c r="M27" i="37"/>
  <c r="L27" i="37"/>
  <c r="K27" i="37"/>
  <c r="J27" i="37"/>
  <c r="N26" i="37"/>
  <c r="M26" i="37"/>
  <c r="L26" i="37"/>
  <c r="K26" i="37"/>
  <c r="J26" i="37"/>
  <c r="N25" i="37"/>
  <c r="M25" i="37"/>
  <c r="L25" i="37"/>
  <c r="K25" i="37"/>
  <c r="J25" i="37"/>
  <c r="N24" i="37"/>
  <c r="M24" i="37"/>
  <c r="L24" i="37"/>
  <c r="K24" i="37"/>
  <c r="J24" i="37"/>
  <c r="N23" i="37"/>
  <c r="M23" i="37"/>
  <c r="L23" i="37"/>
  <c r="K23" i="37"/>
  <c r="J23" i="37"/>
  <c r="N22" i="37"/>
  <c r="M22" i="37"/>
  <c r="L22" i="37"/>
  <c r="K22" i="37"/>
  <c r="J22" i="37"/>
  <c r="N21" i="37"/>
  <c r="M21" i="37"/>
  <c r="L21" i="37"/>
  <c r="K21" i="37"/>
  <c r="J21" i="37"/>
  <c r="N20" i="37"/>
  <c r="M20" i="37"/>
  <c r="L20" i="37"/>
  <c r="K20" i="37"/>
  <c r="J20" i="37"/>
  <c r="N19" i="37"/>
  <c r="M19" i="37"/>
  <c r="L19" i="37"/>
  <c r="K19" i="37"/>
  <c r="J19" i="37"/>
  <c r="N18" i="37"/>
  <c r="M18" i="37"/>
  <c r="L18" i="37"/>
  <c r="K18" i="37"/>
  <c r="J18" i="37"/>
  <c r="N17" i="37"/>
  <c r="M17" i="37"/>
  <c r="L17" i="37"/>
  <c r="K17" i="37"/>
  <c r="J17" i="37"/>
  <c r="N16" i="37"/>
  <c r="M16" i="37"/>
  <c r="L16" i="37"/>
  <c r="K16" i="37"/>
  <c r="J16" i="37"/>
  <c r="N15" i="37"/>
  <c r="M15" i="37"/>
  <c r="L15" i="37"/>
  <c r="K15" i="37"/>
  <c r="J15" i="37"/>
  <c r="N14" i="37"/>
  <c r="M14" i="37"/>
  <c r="L14" i="37"/>
  <c r="K14" i="37"/>
  <c r="J14" i="37"/>
  <c r="N13" i="37"/>
  <c r="M13" i="37"/>
  <c r="L13" i="37"/>
  <c r="K13" i="37"/>
  <c r="J13" i="37"/>
  <c r="N12" i="37"/>
  <c r="M12" i="37"/>
  <c r="L12" i="37"/>
  <c r="K12" i="37"/>
  <c r="J12" i="37"/>
  <c r="N11" i="37"/>
  <c r="M11" i="37"/>
  <c r="L11" i="37"/>
  <c r="K11" i="37"/>
  <c r="J11" i="37"/>
  <c r="N10" i="37"/>
  <c r="M10" i="37"/>
  <c r="L10" i="37"/>
  <c r="K10" i="37"/>
  <c r="J10" i="37"/>
  <c r="N9" i="37"/>
  <c r="M9" i="37"/>
  <c r="L9" i="37"/>
  <c r="K9" i="37"/>
  <c r="J9" i="37"/>
  <c r="N8" i="37"/>
  <c r="M8" i="37"/>
  <c r="L8" i="37"/>
  <c r="K8" i="37"/>
  <c r="J8" i="37"/>
  <c r="N7" i="37"/>
  <c r="M7" i="37"/>
  <c r="L7" i="37"/>
  <c r="K7" i="37"/>
  <c r="J7" i="37"/>
  <c r="N6" i="37"/>
  <c r="M6" i="37"/>
  <c r="L6" i="37"/>
  <c r="K6" i="37"/>
  <c r="J6" i="37"/>
  <c r="N5" i="37"/>
  <c r="M5" i="37"/>
  <c r="L5" i="37"/>
  <c r="K5" i="37"/>
  <c r="J5" i="37"/>
  <c r="D52" i="37"/>
  <c r="A52" i="37" s="1"/>
  <c r="D51" i="37"/>
  <c r="A51" i="37" s="1"/>
  <c r="D50" i="37"/>
  <c r="A50" i="37" s="1"/>
  <c r="D49" i="37"/>
  <c r="A49" i="37" s="1"/>
  <c r="D48" i="37"/>
  <c r="A48" i="37" s="1"/>
  <c r="D47" i="37"/>
  <c r="A47" i="37" s="1"/>
  <c r="D46" i="37"/>
  <c r="A46" i="37" s="1"/>
  <c r="D45" i="37"/>
  <c r="A45" i="37" s="1"/>
  <c r="D44" i="37"/>
  <c r="A44" i="37" s="1"/>
  <c r="D43" i="37"/>
  <c r="A43" i="37" s="1"/>
  <c r="D42" i="37"/>
  <c r="A42" i="37" s="1"/>
  <c r="D41" i="37"/>
  <c r="A41" i="37" s="1"/>
  <c r="D40" i="37"/>
  <c r="A40" i="37" s="1"/>
  <c r="D39" i="37"/>
  <c r="A39" i="37" s="1"/>
  <c r="D38" i="37"/>
  <c r="A38" i="37" s="1"/>
  <c r="D37" i="37"/>
  <c r="A37" i="37" s="1"/>
  <c r="D36" i="37"/>
  <c r="A36" i="37" s="1"/>
  <c r="D35" i="37"/>
  <c r="A35" i="37" s="1"/>
  <c r="D34" i="37"/>
  <c r="A34" i="37" s="1"/>
  <c r="D33" i="37"/>
  <c r="A33" i="37" s="1"/>
  <c r="D32" i="37"/>
  <c r="A32" i="37" s="1"/>
  <c r="D31" i="37"/>
  <c r="A31" i="37" s="1"/>
  <c r="D30" i="37"/>
  <c r="A30" i="37" s="1"/>
  <c r="D29" i="37"/>
  <c r="A29" i="37" s="1"/>
  <c r="D28" i="37"/>
  <c r="A28" i="37" s="1"/>
  <c r="D27" i="37"/>
  <c r="A27" i="37" s="1"/>
  <c r="D26" i="37"/>
  <c r="A26" i="37" s="1"/>
  <c r="D25" i="37"/>
  <c r="A25" i="37" s="1"/>
  <c r="D24" i="37"/>
  <c r="A24" i="37" s="1"/>
  <c r="D23" i="37"/>
  <c r="A23" i="37" s="1"/>
  <c r="D22" i="37"/>
  <c r="A22" i="37" s="1"/>
  <c r="D21" i="37"/>
  <c r="A21" i="37" s="1"/>
  <c r="D20" i="37"/>
  <c r="A20" i="37" s="1"/>
  <c r="D19" i="37"/>
  <c r="A19" i="37" s="1"/>
  <c r="D18" i="37"/>
  <c r="A18" i="37" s="1"/>
  <c r="D17" i="37"/>
  <c r="A17" i="37" s="1"/>
  <c r="D16" i="37"/>
  <c r="A16" i="37" s="1"/>
  <c r="D15" i="37"/>
  <c r="A15" i="37" s="1"/>
  <c r="D14" i="37"/>
  <c r="A14" i="37" s="1"/>
  <c r="D13" i="37"/>
  <c r="A13" i="37" s="1"/>
  <c r="D12" i="37"/>
  <c r="A12" i="37" s="1"/>
  <c r="D11" i="37"/>
  <c r="A11" i="37" s="1"/>
  <c r="D10" i="37"/>
  <c r="A10" i="37" s="1"/>
  <c r="D9" i="37"/>
  <c r="A9" i="37" s="1"/>
  <c r="D8" i="37"/>
  <c r="A8" i="37" s="1"/>
  <c r="D7" i="37"/>
  <c r="A7" i="37" s="1"/>
  <c r="D6" i="37"/>
  <c r="A6" i="37" s="1"/>
  <c r="D5" i="37"/>
  <c r="A5" i="37" s="1"/>
  <c r="H7" i="38" l="1"/>
  <c r="L7" i="38"/>
  <c r="J9" i="38"/>
  <c r="H10" i="38"/>
  <c r="L10" i="38"/>
  <c r="I7" i="38"/>
  <c r="B9" i="38"/>
  <c r="K9" i="38"/>
  <c r="I10" i="38"/>
  <c r="B11" i="38"/>
  <c r="J7" i="38"/>
  <c r="H9" i="38"/>
  <c r="L9" i="38"/>
  <c r="J10" i="38"/>
  <c r="B7" i="38"/>
  <c r="K7" i="38"/>
  <c r="I9" i="38"/>
  <c r="B10" i="38"/>
  <c r="K10" i="38"/>
  <c r="I8" i="38"/>
  <c r="B8" i="38"/>
  <c r="K8" i="38"/>
  <c r="L8" i="38"/>
  <c r="J8" i="38"/>
  <c r="H8" i="38"/>
  <c r="N156" i="23" l="1"/>
  <c r="N155" i="23"/>
  <c r="N154" i="23"/>
  <c r="N153" i="23"/>
  <c r="N152" i="23"/>
  <c r="N151" i="23"/>
  <c r="N150" i="23"/>
  <c r="N149" i="23"/>
  <c r="N148" i="23"/>
  <c r="N147" i="23"/>
  <c r="N146" i="23"/>
  <c r="N145" i="23"/>
  <c r="N144" i="23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D158" i="30" l="1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X160" i="31" l="1"/>
  <c r="X159" i="31"/>
  <c r="X158" i="31"/>
  <c r="X157" i="31"/>
  <c r="X156" i="31"/>
  <c r="X155" i="31"/>
  <c r="X154" i="31"/>
  <c r="X153" i="31"/>
  <c r="X152" i="31"/>
  <c r="X151" i="31"/>
  <c r="X150" i="31"/>
  <c r="X149" i="31"/>
  <c r="X148" i="31"/>
  <c r="X147" i="31"/>
  <c r="X146" i="31"/>
  <c r="X145" i="31"/>
  <c r="X144" i="31"/>
  <c r="X143" i="31"/>
  <c r="X142" i="31"/>
  <c r="X141" i="31"/>
  <c r="X140" i="31"/>
  <c r="X139" i="31"/>
  <c r="X138" i="31"/>
  <c r="X137" i="31"/>
  <c r="X136" i="31"/>
  <c r="X135" i="31"/>
  <c r="X134" i="31"/>
  <c r="X133" i="31"/>
  <c r="X132" i="31"/>
  <c r="X131" i="31"/>
  <c r="X130" i="31"/>
  <c r="X129" i="31"/>
  <c r="X128" i="31"/>
  <c r="X127" i="31"/>
  <c r="X126" i="31"/>
  <c r="X125" i="31"/>
  <c r="X124" i="31"/>
  <c r="X123" i="31"/>
  <c r="X122" i="31"/>
  <c r="X121" i="31"/>
  <c r="X120" i="31"/>
  <c r="X119" i="31"/>
  <c r="X118" i="31"/>
  <c r="X117" i="31"/>
  <c r="X116" i="31"/>
  <c r="X115" i="31"/>
  <c r="X114" i="31"/>
  <c r="X113" i="31"/>
  <c r="X112" i="31"/>
  <c r="X111" i="31"/>
  <c r="X110" i="31"/>
  <c r="X109" i="31"/>
  <c r="X108" i="31"/>
  <c r="X107" i="31"/>
  <c r="B219" i="31"/>
  <c r="B218" i="31"/>
  <c r="B217" i="31"/>
  <c r="B216" i="31"/>
  <c r="B215" i="31"/>
  <c r="B214" i="31"/>
  <c r="A111" i="31" l="1"/>
  <c r="A112" i="31" s="1"/>
  <c r="A113" i="31" s="1"/>
  <c r="A114" i="31" s="1"/>
  <c r="R171" i="31" l="1"/>
  <c r="AN281" i="1" l="1"/>
  <c r="AM281" i="1"/>
  <c r="AL281" i="1"/>
  <c r="AK281" i="1"/>
  <c r="AJ281" i="1"/>
  <c r="L281" i="1"/>
  <c r="K281" i="1"/>
  <c r="I281" i="1"/>
  <c r="G281" i="1"/>
  <c r="AN278" i="1"/>
  <c r="AI278" i="1"/>
  <c r="L278" i="1"/>
  <c r="K278" i="1"/>
  <c r="J278" i="1"/>
  <c r="H278" i="1"/>
  <c r="AN254" i="1"/>
  <c r="AM254" i="1"/>
  <c r="AL254" i="1"/>
  <c r="AK254" i="1"/>
  <c r="AJ254" i="1"/>
  <c r="L254" i="1"/>
  <c r="K254" i="1"/>
  <c r="I254" i="1"/>
  <c r="G254" i="1"/>
  <c r="AN251" i="1"/>
  <c r="AI251" i="1"/>
  <c r="L251" i="1"/>
  <c r="K251" i="1"/>
  <c r="J251" i="1"/>
  <c r="H251" i="1"/>
  <c r="AN403" i="1"/>
  <c r="AM403" i="1"/>
  <c r="AL403" i="1"/>
  <c r="AK403" i="1"/>
  <c r="AJ403" i="1"/>
  <c r="L403" i="1"/>
  <c r="K403" i="1"/>
  <c r="I403" i="1"/>
  <c r="G403" i="1"/>
  <c r="AN399" i="1"/>
  <c r="AI399" i="1"/>
  <c r="L399" i="1"/>
  <c r="K399" i="1"/>
  <c r="J399" i="1"/>
  <c r="H399" i="1"/>
  <c r="AN401" i="1"/>
  <c r="AM401" i="1"/>
  <c r="AL401" i="1"/>
  <c r="AK401" i="1"/>
  <c r="AJ401" i="1"/>
  <c r="L401" i="1"/>
  <c r="K401" i="1"/>
  <c r="I401" i="1"/>
  <c r="G401" i="1"/>
  <c r="AN397" i="1"/>
  <c r="AI397" i="1"/>
  <c r="L397" i="1"/>
  <c r="K397" i="1"/>
  <c r="J397" i="1"/>
  <c r="H397" i="1"/>
  <c r="AN473" i="1" l="1"/>
  <c r="AM473" i="1"/>
  <c r="AL473" i="1"/>
  <c r="AK473" i="1"/>
  <c r="AJ473" i="1"/>
  <c r="AI473" i="1"/>
  <c r="L473" i="1"/>
  <c r="K473" i="1"/>
  <c r="I473" i="1"/>
  <c r="G473" i="1"/>
  <c r="AN472" i="1"/>
  <c r="AM472" i="1"/>
  <c r="AL472" i="1"/>
  <c r="AK472" i="1"/>
  <c r="AJ472" i="1"/>
  <c r="AI472" i="1"/>
  <c r="L472" i="1"/>
  <c r="K472" i="1"/>
  <c r="I472" i="1"/>
  <c r="G472" i="1"/>
  <c r="AN471" i="1"/>
  <c r="AM471" i="1"/>
  <c r="AL471" i="1"/>
  <c r="AK471" i="1"/>
  <c r="AJ471" i="1"/>
  <c r="AI471" i="1"/>
  <c r="L471" i="1"/>
  <c r="K471" i="1"/>
  <c r="I471" i="1"/>
  <c r="G471" i="1"/>
  <c r="AN478" i="1"/>
  <c r="AM478" i="1"/>
  <c r="AL478" i="1"/>
  <c r="AK478" i="1"/>
  <c r="AJ478" i="1"/>
  <c r="AI478" i="1"/>
  <c r="L478" i="1"/>
  <c r="K478" i="1"/>
  <c r="I478" i="1"/>
  <c r="G478" i="1"/>
  <c r="AN477" i="1"/>
  <c r="AM477" i="1"/>
  <c r="AL477" i="1"/>
  <c r="AK477" i="1"/>
  <c r="AJ477" i="1"/>
  <c r="AI477" i="1"/>
  <c r="L477" i="1"/>
  <c r="K477" i="1"/>
  <c r="I477" i="1"/>
  <c r="G477" i="1"/>
  <c r="AN476" i="1"/>
  <c r="AM476" i="1"/>
  <c r="AL476" i="1"/>
  <c r="AK476" i="1"/>
  <c r="AJ476" i="1"/>
  <c r="AI476" i="1"/>
  <c r="L476" i="1"/>
  <c r="K476" i="1"/>
  <c r="I476" i="1"/>
  <c r="G476" i="1"/>
  <c r="B160" i="31"/>
  <c r="B159" i="31"/>
  <c r="B158" i="31"/>
  <c r="B157" i="31"/>
  <c r="B156" i="31"/>
  <c r="B155" i="31"/>
  <c r="B154" i="31"/>
  <c r="B153" i="31"/>
  <c r="A153" i="31"/>
  <c r="A154" i="31" s="1"/>
  <c r="B152" i="31"/>
  <c r="B151" i="31"/>
  <c r="B150" i="31"/>
  <c r="B149" i="31"/>
  <c r="B148" i="31"/>
  <c r="B147" i="31"/>
  <c r="B146" i="31"/>
  <c r="B145" i="31"/>
  <c r="B144" i="31"/>
  <c r="B143" i="31"/>
  <c r="A143" i="31"/>
  <c r="A144" i="31" s="1"/>
  <c r="A145" i="31" s="1"/>
  <c r="A146" i="31" s="1"/>
  <c r="A147" i="31" s="1"/>
  <c r="A148" i="31" s="1"/>
  <c r="A149" i="31" s="1"/>
  <c r="A150" i="31" s="1"/>
  <c r="A151" i="31" s="1"/>
  <c r="A152" i="31" s="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A116" i="3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B115" i="31"/>
  <c r="A115" i="31"/>
  <c r="B114" i="31"/>
  <c r="B113" i="31"/>
  <c r="B112" i="31"/>
  <c r="B111" i="31"/>
  <c r="B110" i="31"/>
  <c r="B109" i="31"/>
  <c r="B108" i="31"/>
  <c r="B107" i="31"/>
  <c r="A107" i="31"/>
  <c r="A108" i="31" s="1"/>
  <c r="A109" i="31" s="1"/>
  <c r="A110" i="31" s="1"/>
  <c r="B90" i="31"/>
  <c r="B89" i="31"/>
  <c r="B88" i="31"/>
  <c r="B87" i="31"/>
  <c r="B86" i="31"/>
  <c r="A86" i="31"/>
  <c r="A87" i="31" s="1"/>
  <c r="A88" i="31" s="1"/>
  <c r="A89" i="31" s="1"/>
  <c r="A90" i="31" s="1"/>
  <c r="B82" i="31"/>
  <c r="B81" i="31"/>
  <c r="B80" i="31"/>
  <c r="B79" i="31"/>
  <c r="B78" i="31"/>
  <c r="A78" i="31"/>
  <c r="A79" i="31" s="1"/>
  <c r="A80" i="31" s="1"/>
  <c r="A81" i="31" s="1"/>
  <c r="A82" i="31" s="1"/>
  <c r="B75" i="31"/>
  <c r="B74" i="31"/>
  <c r="B73" i="31"/>
  <c r="B72" i="31"/>
  <c r="B71" i="31"/>
  <c r="A71" i="31"/>
  <c r="A72" i="31" s="1"/>
  <c r="A73" i="31" s="1"/>
  <c r="A74" i="31" s="1"/>
  <c r="A75" i="31" s="1"/>
  <c r="B66" i="31"/>
  <c r="B65" i="31"/>
  <c r="B64" i="31"/>
  <c r="B63" i="31"/>
  <c r="B62" i="31"/>
  <c r="A62" i="31"/>
  <c r="A63" i="31" s="1"/>
  <c r="A64" i="31" s="1"/>
  <c r="A65" i="31" s="1"/>
  <c r="A66" i="31" s="1"/>
  <c r="B58" i="31"/>
  <c r="B57" i="31"/>
  <c r="B56" i="31"/>
  <c r="B55" i="31"/>
  <c r="B54" i="31"/>
  <c r="A54" i="31"/>
  <c r="A55" i="31" s="1"/>
  <c r="A56" i="31" s="1"/>
  <c r="A57" i="31" s="1"/>
  <c r="A58" i="31" s="1"/>
  <c r="B49" i="31"/>
  <c r="B48" i="31"/>
  <c r="B47" i="31"/>
  <c r="B46" i="31"/>
  <c r="B45" i="31"/>
  <c r="A45" i="31"/>
  <c r="A46" i="31" s="1"/>
  <c r="A47" i="31" s="1"/>
  <c r="A48" i="31" s="1"/>
  <c r="A49" i="31" s="1"/>
  <c r="B44" i="31"/>
  <c r="B43" i="31"/>
  <c r="B42" i="31"/>
  <c r="B41" i="31"/>
  <c r="B40" i="31"/>
  <c r="A40" i="31"/>
  <c r="A41" i="31" s="1"/>
  <c r="A42" i="31" s="1"/>
  <c r="A43" i="31" s="1"/>
  <c r="A44" i="31" s="1"/>
  <c r="B33" i="31"/>
  <c r="B32" i="31"/>
  <c r="B31" i="31"/>
  <c r="B30" i="31"/>
  <c r="B29" i="31"/>
  <c r="A29" i="31"/>
  <c r="B103" i="31"/>
  <c r="B102" i="31"/>
  <c r="A102" i="31"/>
  <c r="A103" i="31" s="1"/>
  <c r="B101" i="31"/>
  <c r="B100" i="31"/>
  <c r="A100" i="31"/>
  <c r="A101" i="31" s="1"/>
  <c r="B92" i="31"/>
  <c r="B91" i="31"/>
  <c r="A91" i="31"/>
  <c r="A92" i="31" s="1"/>
  <c r="B77" i="31"/>
  <c r="B76" i="31"/>
  <c r="A76" i="31"/>
  <c r="A77" i="31" s="1"/>
  <c r="B70" i="31"/>
  <c r="B69" i="31"/>
  <c r="A69" i="31"/>
  <c r="A70" i="31" s="1"/>
  <c r="B68" i="31"/>
  <c r="B67" i="31"/>
  <c r="A67" i="31"/>
  <c r="A68" i="31" s="1"/>
  <c r="B22" i="31"/>
  <c r="B21" i="31"/>
  <c r="A21" i="31"/>
  <c r="B106" i="31"/>
  <c r="B105" i="31"/>
  <c r="B104" i="31"/>
  <c r="A104" i="31"/>
  <c r="A105" i="31" s="1"/>
  <c r="A106" i="31" s="1"/>
  <c r="B95" i="31"/>
  <c r="B94" i="31"/>
  <c r="B93" i="31"/>
  <c r="A93" i="31"/>
  <c r="A94" i="31" s="1"/>
  <c r="A95" i="31" s="1"/>
  <c r="B85" i="31"/>
  <c r="B84" i="31"/>
  <c r="B83" i="31"/>
  <c r="A83" i="31"/>
  <c r="A84" i="31" s="1"/>
  <c r="A85" i="31" s="1"/>
  <c r="B61" i="31"/>
  <c r="B60" i="31"/>
  <c r="B59" i="31"/>
  <c r="A59" i="31"/>
  <c r="A60" i="31" s="1"/>
  <c r="A61" i="31" s="1"/>
  <c r="B39" i="31"/>
  <c r="B38" i="31"/>
  <c r="B37" i="31"/>
  <c r="A37" i="31"/>
  <c r="A38" i="31" s="1"/>
  <c r="A39" i="31" s="1"/>
  <c r="B36" i="31"/>
  <c r="B35" i="31"/>
  <c r="B34" i="31"/>
  <c r="A34" i="31"/>
  <c r="B28" i="31"/>
  <c r="B27" i="31"/>
  <c r="B26" i="31"/>
  <c r="A26" i="31"/>
  <c r="B25" i="31"/>
  <c r="B24" i="31"/>
  <c r="B23" i="31"/>
  <c r="A23" i="31"/>
  <c r="B20" i="31"/>
  <c r="B19" i="31"/>
  <c r="B18" i="31"/>
  <c r="A18" i="31"/>
  <c r="B17" i="31"/>
  <c r="B16" i="31"/>
  <c r="B15" i="31"/>
  <c r="A15" i="31"/>
  <c r="B99" i="31"/>
  <c r="B98" i="31"/>
  <c r="B97" i="31"/>
  <c r="B96" i="31"/>
  <c r="A96" i="31"/>
  <c r="A97" i="31" s="1"/>
  <c r="A98" i="31" s="1"/>
  <c r="A99" i="31" s="1"/>
  <c r="B53" i="31"/>
  <c r="B52" i="31"/>
  <c r="B51" i="31"/>
  <c r="B50" i="31"/>
  <c r="A50" i="31"/>
  <c r="A51" i="31" s="1"/>
  <c r="A52" i="31" s="1"/>
  <c r="A53" i="31" s="1"/>
  <c r="B14" i="31"/>
  <c r="B13" i="31"/>
  <c r="B12" i="31"/>
  <c r="B11" i="31"/>
  <c r="A11" i="31"/>
  <c r="A7" i="31"/>
  <c r="B10" i="31"/>
  <c r="B9" i="31"/>
  <c r="B8" i="31"/>
  <c r="B7" i="31"/>
  <c r="A8" i="31" l="1"/>
  <c r="A16" i="31"/>
  <c r="A24" i="31"/>
  <c r="A35" i="31"/>
  <c r="A22" i="31"/>
  <c r="A12" i="31"/>
  <c r="A19" i="31"/>
  <c r="A27" i="31"/>
  <c r="A30" i="31"/>
  <c r="E144" i="30"/>
  <c r="A28" i="31" l="1"/>
  <c r="A36" i="31"/>
  <c r="A20" i="31"/>
  <c r="A25" i="31"/>
  <c r="A13" i="31"/>
  <c r="A17" i="31"/>
  <c r="A31" i="31"/>
  <c r="A9" i="31"/>
  <c r="F144" i="30"/>
  <c r="G144" i="30" s="1"/>
  <c r="A32" i="31" l="1"/>
  <c r="A14" i="31"/>
  <c r="A10" i="31"/>
  <c r="AN389" i="1"/>
  <c r="AP389" i="1"/>
  <c r="N217" i="31" l="1"/>
  <c r="A33" i="31"/>
  <c r="AH499" i="1"/>
  <c r="AG499" i="1"/>
  <c r="AH498" i="1"/>
  <c r="AG498" i="1"/>
  <c r="AH497" i="1"/>
  <c r="AG497" i="1"/>
  <c r="AH496" i="1"/>
  <c r="AG496" i="1"/>
  <c r="AH495" i="1"/>
  <c r="AG495" i="1"/>
  <c r="AH494" i="1"/>
  <c r="AG494" i="1"/>
  <c r="AH487" i="1"/>
  <c r="AG487" i="1"/>
  <c r="AH486" i="1"/>
  <c r="AG486" i="1"/>
  <c r="AH479" i="1"/>
  <c r="AG479" i="1"/>
  <c r="AH478" i="1"/>
  <c r="AG478" i="1"/>
  <c r="AH477" i="1"/>
  <c r="AG477" i="1"/>
  <c r="AH476" i="1"/>
  <c r="AG476" i="1"/>
  <c r="AH475" i="1"/>
  <c r="AG475" i="1"/>
  <c r="AH474" i="1"/>
  <c r="AG474" i="1"/>
  <c r="AH473" i="1"/>
  <c r="AG473" i="1"/>
  <c r="AH472" i="1"/>
  <c r="AG472" i="1"/>
  <c r="AH471" i="1"/>
  <c r="AG471" i="1"/>
  <c r="AH470" i="1"/>
  <c r="AG470" i="1"/>
  <c r="AH463" i="1"/>
  <c r="AG463" i="1"/>
  <c r="AH462" i="1"/>
  <c r="AG462" i="1"/>
  <c r="AH461" i="1"/>
  <c r="AG461" i="1"/>
  <c r="AH460" i="1"/>
  <c r="AG460" i="1"/>
  <c r="AH459" i="1"/>
  <c r="AG459" i="1"/>
  <c r="AH458" i="1"/>
  <c r="AG458" i="1"/>
  <c r="AH457" i="1"/>
  <c r="AG457" i="1"/>
  <c r="AH456" i="1"/>
  <c r="AG456" i="1"/>
  <c r="AH455" i="1"/>
  <c r="AG455" i="1"/>
  <c r="AH454" i="1"/>
  <c r="AG454" i="1"/>
  <c r="AH453" i="1"/>
  <c r="AG453" i="1"/>
  <c r="AH452" i="1"/>
  <c r="AG452" i="1"/>
  <c r="AH451" i="1"/>
  <c r="AG451" i="1"/>
  <c r="AH450" i="1"/>
  <c r="AG450" i="1"/>
  <c r="AH449" i="1"/>
  <c r="AG449" i="1"/>
  <c r="AH448" i="1"/>
  <c r="AG448" i="1"/>
  <c r="AH447" i="1"/>
  <c r="AG447" i="1"/>
  <c r="AH446" i="1"/>
  <c r="AG446" i="1"/>
  <c r="AH445" i="1"/>
  <c r="AG445" i="1"/>
  <c r="AH444" i="1"/>
  <c r="AG444" i="1"/>
  <c r="AH443" i="1"/>
  <c r="AG443" i="1"/>
  <c r="AH442" i="1"/>
  <c r="AG442" i="1"/>
  <c r="AH441" i="1"/>
  <c r="AG441" i="1"/>
  <c r="AH440" i="1"/>
  <c r="AG440" i="1"/>
  <c r="AH439" i="1"/>
  <c r="AG439" i="1"/>
  <c r="AH438" i="1"/>
  <c r="AG438" i="1"/>
  <c r="AH437" i="1"/>
  <c r="AG437" i="1"/>
  <c r="AH430" i="1"/>
  <c r="AG430" i="1"/>
  <c r="AH423" i="1"/>
  <c r="AG423" i="1"/>
  <c r="AH422" i="1"/>
  <c r="AG422" i="1"/>
  <c r="AH421" i="1"/>
  <c r="AG421" i="1"/>
  <c r="AH420" i="1"/>
  <c r="AG420" i="1"/>
  <c r="AH413" i="1"/>
  <c r="AG413" i="1"/>
  <c r="AH412" i="1"/>
  <c r="AG412" i="1"/>
  <c r="AH411" i="1"/>
  <c r="AG411" i="1"/>
  <c r="AH410" i="1"/>
  <c r="AG410" i="1"/>
  <c r="AH403" i="1"/>
  <c r="AG403" i="1"/>
  <c r="AH402" i="1"/>
  <c r="AG402" i="1"/>
  <c r="AH401" i="1"/>
  <c r="AG401" i="1"/>
  <c r="AH390" i="1"/>
  <c r="AG390" i="1"/>
  <c r="AH389" i="1"/>
  <c r="AG389" i="1"/>
  <c r="AH379" i="1"/>
  <c r="AG379" i="1"/>
  <c r="AH378" i="1"/>
  <c r="AG378" i="1"/>
  <c r="AH368" i="1"/>
  <c r="AG368" i="1"/>
  <c r="AH367" i="1"/>
  <c r="AG367" i="1"/>
  <c r="AH366" i="1"/>
  <c r="AG366" i="1"/>
  <c r="AH365" i="1"/>
  <c r="AG365" i="1"/>
  <c r="AH353" i="1"/>
  <c r="AG353" i="1"/>
  <c r="AH352" i="1"/>
  <c r="AG352" i="1"/>
  <c r="AH351" i="1"/>
  <c r="AG351" i="1"/>
  <c r="AH340" i="1"/>
  <c r="AG340" i="1"/>
  <c r="AH339" i="1"/>
  <c r="AG339" i="1"/>
  <c r="AH329" i="1"/>
  <c r="AG329" i="1"/>
  <c r="AH328" i="1"/>
  <c r="AG328" i="1"/>
  <c r="AH327" i="1"/>
  <c r="AG327" i="1"/>
  <c r="AH326" i="1"/>
  <c r="AG326" i="1"/>
  <c r="AH325" i="1"/>
  <c r="AG325" i="1"/>
  <c r="AH312" i="1"/>
  <c r="AG312" i="1"/>
  <c r="AH311" i="1"/>
  <c r="AG311" i="1"/>
  <c r="AH310" i="1"/>
  <c r="AG310" i="1"/>
  <c r="AH299" i="1"/>
  <c r="AG299" i="1"/>
  <c r="AH298" i="1"/>
  <c r="AG298" i="1"/>
  <c r="AH297" i="1"/>
  <c r="AG297" i="1"/>
  <c r="AH296" i="1"/>
  <c r="AG296" i="1"/>
  <c r="AH295" i="1"/>
  <c r="AG295" i="1"/>
  <c r="AH282" i="1"/>
  <c r="AG282" i="1"/>
  <c r="AH281" i="1"/>
  <c r="AG281" i="1"/>
  <c r="AH271" i="1"/>
  <c r="AG271" i="1"/>
  <c r="AH270" i="1"/>
  <c r="AG270" i="1"/>
  <c r="AH269" i="1"/>
  <c r="AG269" i="1"/>
  <c r="AH268" i="1"/>
  <c r="AG268" i="1"/>
  <c r="AH267" i="1"/>
  <c r="AG267" i="1"/>
  <c r="AH254" i="1"/>
  <c r="AG254" i="1"/>
  <c r="AH253" i="1"/>
  <c r="AG253" i="1"/>
  <c r="AH243" i="1"/>
  <c r="AG243" i="1"/>
  <c r="AH242" i="1"/>
  <c r="AG242" i="1"/>
  <c r="AH232" i="1"/>
  <c r="AG232" i="1"/>
  <c r="AH231" i="1"/>
  <c r="AG231" i="1"/>
  <c r="AH230" i="1"/>
  <c r="AG230" i="1"/>
  <c r="AH229" i="1"/>
  <c r="AG229" i="1"/>
  <c r="AH228" i="1"/>
  <c r="AG228" i="1"/>
  <c r="AH215" i="1"/>
  <c r="AG215" i="1"/>
  <c r="AH214" i="1"/>
  <c r="AG214" i="1"/>
  <c r="AH213" i="1"/>
  <c r="AG213" i="1"/>
  <c r="AH202" i="1"/>
  <c r="AG202" i="1"/>
  <c r="AH201" i="1"/>
  <c r="AG201" i="1"/>
  <c r="AH200" i="1"/>
  <c r="AG200" i="1"/>
  <c r="AH199" i="1"/>
  <c r="AG199" i="1"/>
  <c r="AH198" i="1"/>
  <c r="AG198" i="1"/>
  <c r="AH185" i="1"/>
  <c r="AG185" i="1"/>
  <c r="AH184" i="1"/>
  <c r="AG184" i="1"/>
  <c r="AH183" i="1"/>
  <c r="AG183" i="1"/>
  <c r="AH182" i="1"/>
  <c r="AG182" i="1"/>
  <c r="AH170" i="1"/>
  <c r="AG170" i="1"/>
  <c r="AH169" i="1"/>
  <c r="AG169" i="1"/>
  <c r="AH168" i="1"/>
  <c r="AG168" i="1"/>
  <c r="AH167" i="1"/>
  <c r="AG167" i="1"/>
  <c r="AH166" i="1"/>
  <c r="AG166" i="1"/>
  <c r="AH153" i="1"/>
  <c r="AG153" i="1"/>
  <c r="AH152" i="1"/>
  <c r="AG152" i="1"/>
  <c r="AH151" i="1"/>
  <c r="AG151" i="1"/>
  <c r="AH150" i="1"/>
  <c r="AG150" i="1"/>
  <c r="AH149" i="1"/>
  <c r="AG149" i="1"/>
  <c r="AH136" i="1"/>
  <c r="AG136" i="1"/>
  <c r="AH135" i="1"/>
  <c r="AG135" i="1"/>
  <c r="AH134" i="1"/>
  <c r="AG134" i="1"/>
  <c r="AH123" i="1"/>
  <c r="AG123" i="1"/>
  <c r="AH122" i="1"/>
  <c r="AG122" i="1"/>
  <c r="AH121" i="1"/>
  <c r="AG121" i="1"/>
  <c r="AH110" i="1"/>
  <c r="AG110" i="1"/>
  <c r="AH109" i="1"/>
  <c r="AG109" i="1"/>
  <c r="AH108" i="1"/>
  <c r="AG108" i="1"/>
  <c r="AH107" i="1"/>
  <c r="AG107" i="1"/>
  <c r="AH106" i="1"/>
  <c r="AG106" i="1"/>
  <c r="AH93" i="1"/>
  <c r="AG93" i="1"/>
  <c r="AH92" i="1"/>
  <c r="AG92" i="1"/>
  <c r="AH91" i="1"/>
  <c r="AG91" i="1"/>
  <c r="AH80" i="1"/>
  <c r="AG80" i="1"/>
  <c r="AH79" i="1"/>
  <c r="AG79" i="1"/>
  <c r="AH78" i="1"/>
  <c r="AG78" i="1"/>
  <c r="AH67" i="1"/>
  <c r="AG67" i="1"/>
  <c r="AH66" i="1"/>
  <c r="AG66" i="1"/>
  <c r="AH56" i="1"/>
  <c r="AG56" i="1"/>
  <c r="AH55" i="1"/>
  <c r="AG55" i="1"/>
  <c r="AH54" i="1"/>
  <c r="AG54" i="1"/>
  <c r="AH43" i="1"/>
  <c r="AG43" i="1"/>
  <c r="AH42" i="1"/>
  <c r="AG42" i="1"/>
  <c r="AH41" i="1"/>
  <c r="AG41" i="1"/>
  <c r="AH30" i="1"/>
  <c r="AG30" i="1"/>
  <c r="AH29" i="1"/>
  <c r="AG29" i="1"/>
  <c r="AH28" i="1"/>
  <c r="AG28" i="1"/>
  <c r="AH27" i="1"/>
  <c r="AG27" i="1"/>
  <c r="AH399" i="1"/>
  <c r="AG399" i="1"/>
  <c r="AH398" i="1"/>
  <c r="AG398" i="1"/>
  <c r="AH397" i="1"/>
  <c r="AG397" i="1"/>
  <c r="AH387" i="1"/>
  <c r="AG387" i="1"/>
  <c r="AH386" i="1"/>
  <c r="AG386" i="1"/>
  <c r="AH376" i="1"/>
  <c r="AG376" i="1"/>
  <c r="AH375" i="1"/>
  <c r="AG375" i="1"/>
  <c r="AH363" i="1"/>
  <c r="AG363" i="1"/>
  <c r="AH362" i="1"/>
  <c r="AG362" i="1"/>
  <c r="AH361" i="1"/>
  <c r="AG361" i="1"/>
  <c r="AH360" i="1"/>
  <c r="AG360" i="1"/>
  <c r="AH349" i="1"/>
  <c r="AG349" i="1"/>
  <c r="AH348" i="1"/>
  <c r="AG348" i="1"/>
  <c r="AH347" i="1"/>
  <c r="AG347" i="1"/>
  <c r="AH337" i="1"/>
  <c r="AG337" i="1"/>
  <c r="AH336" i="1"/>
  <c r="AG336" i="1"/>
  <c r="AH323" i="1"/>
  <c r="AG323" i="1"/>
  <c r="AH322" i="1"/>
  <c r="AG322" i="1"/>
  <c r="AH321" i="1"/>
  <c r="AG321" i="1"/>
  <c r="AH320" i="1"/>
  <c r="AG320" i="1"/>
  <c r="AH319" i="1"/>
  <c r="AG319" i="1"/>
  <c r="AH308" i="1"/>
  <c r="AG308" i="1"/>
  <c r="AH307" i="1"/>
  <c r="AG307" i="1"/>
  <c r="AH306" i="1"/>
  <c r="AG306" i="1"/>
  <c r="AH293" i="1"/>
  <c r="AG293" i="1"/>
  <c r="AH292" i="1"/>
  <c r="AG292" i="1"/>
  <c r="AH291" i="1"/>
  <c r="AG291" i="1"/>
  <c r="AH290" i="1"/>
  <c r="AG290" i="1"/>
  <c r="AH289" i="1"/>
  <c r="AG289" i="1"/>
  <c r="AH279" i="1"/>
  <c r="AG279" i="1"/>
  <c r="AH278" i="1"/>
  <c r="AG278" i="1"/>
  <c r="AH265" i="1"/>
  <c r="AG265" i="1"/>
  <c r="AH264" i="1"/>
  <c r="AG264" i="1"/>
  <c r="AH263" i="1"/>
  <c r="AG263" i="1"/>
  <c r="AH262" i="1"/>
  <c r="AG262" i="1"/>
  <c r="AH261" i="1"/>
  <c r="AG261" i="1"/>
  <c r="AH251" i="1"/>
  <c r="AG251" i="1"/>
  <c r="AH250" i="1"/>
  <c r="AG250" i="1"/>
  <c r="AH240" i="1"/>
  <c r="AG240" i="1"/>
  <c r="AH239" i="1"/>
  <c r="AG239" i="1"/>
  <c r="AH226" i="1"/>
  <c r="AG226" i="1"/>
  <c r="AH225" i="1"/>
  <c r="AG225" i="1"/>
  <c r="AH224" i="1"/>
  <c r="AG224" i="1"/>
  <c r="AH223" i="1"/>
  <c r="AG223" i="1"/>
  <c r="AH222" i="1"/>
  <c r="AG222" i="1"/>
  <c r="AH211" i="1"/>
  <c r="AG211" i="1"/>
  <c r="AH210" i="1"/>
  <c r="AG210" i="1"/>
  <c r="AH209" i="1"/>
  <c r="AG209" i="1"/>
  <c r="AH196" i="1"/>
  <c r="AG196" i="1"/>
  <c r="AH195" i="1"/>
  <c r="AG195" i="1"/>
  <c r="AH194" i="1"/>
  <c r="AG194" i="1"/>
  <c r="AH193" i="1"/>
  <c r="AG193" i="1"/>
  <c r="AH192" i="1"/>
  <c r="AG192" i="1"/>
  <c r="AH180" i="1"/>
  <c r="AG180" i="1"/>
  <c r="AH179" i="1"/>
  <c r="AG179" i="1"/>
  <c r="AH178" i="1"/>
  <c r="AG178" i="1"/>
  <c r="AH177" i="1"/>
  <c r="AG177" i="1"/>
  <c r="AH164" i="1"/>
  <c r="AG164" i="1"/>
  <c r="AH163" i="1"/>
  <c r="AG163" i="1"/>
  <c r="AH162" i="1"/>
  <c r="AG162" i="1"/>
  <c r="AH161" i="1"/>
  <c r="AG161" i="1"/>
  <c r="AH160" i="1"/>
  <c r="AG160" i="1"/>
  <c r="AH147" i="1"/>
  <c r="AG147" i="1"/>
  <c r="AH146" i="1"/>
  <c r="AG146" i="1"/>
  <c r="AH145" i="1"/>
  <c r="AG145" i="1"/>
  <c r="AH144" i="1"/>
  <c r="AG144" i="1"/>
  <c r="AH143" i="1"/>
  <c r="AG143" i="1"/>
  <c r="AH132" i="1"/>
  <c r="AG132" i="1"/>
  <c r="AH131" i="1"/>
  <c r="AG131" i="1"/>
  <c r="AH130" i="1"/>
  <c r="AG130" i="1"/>
  <c r="AH119" i="1"/>
  <c r="AG119" i="1"/>
  <c r="AH118" i="1"/>
  <c r="AG118" i="1"/>
  <c r="AH117" i="1"/>
  <c r="AG117" i="1"/>
  <c r="AH104" i="1"/>
  <c r="AG104" i="1"/>
  <c r="AH103" i="1"/>
  <c r="AG103" i="1"/>
  <c r="AH102" i="1"/>
  <c r="AG102" i="1"/>
  <c r="AH101" i="1"/>
  <c r="AG101" i="1"/>
  <c r="AH100" i="1"/>
  <c r="AG100" i="1"/>
  <c r="AH89" i="1"/>
  <c r="AG89" i="1"/>
  <c r="AH88" i="1"/>
  <c r="AG88" i="1"/>
  <c r="AH87" i="1"/>
  <c r="AG87" i="1"/>
  <c r="AH76" i="1"/>
  <c r="AG76" i="1"/>
  <c r="AH75" i="1"/>
  <c r="AG75" i="1"/>
  <c r="AH74" i="1"/>
  <c r="AG74" i="1"/>
  <c r="AH64" i="1"/>
  <c r="AG64" i="1"/>
  <c r="AH63" i="1"/>
  <c r="AG63" i="1"/>
  <c r="AH52" i="1"/>
  <c r="AG52" i="1"/>
  <c r="AH51" i="1"/>
  <c r="AG51" i="1"/>
  <c r="AH50" i="1"/>
  <c r="AG50" i="1"/>
  <c r="AH39" i="1"/>
  <c r="AG39" i="1"/>
  <c r="AH38" i="1"/>
  <c r="AG38" i="1"/>
  <c r="AH37" i="1"/>
  <c r="AG37" i="1"/>
  <c r="AH25" i="1"/>
  <c r="AG25" i="1"/>
  <c r="AH24" i="1"/>
  <c r="AG24" i="1"/>
  <c r="AH23" i="1"/>
  <c r="AG23" i="1"/>
  <c r="AH22" i="1"/>
  <c r="AG22" i="1"/>
  <c r="AH15" i="1"/>
  <c r="AH14" i="1"/>
  <c r="AH13" i="1"/>
  <c r="AH12" i="1"/>
  <c r="AH10" i="1"/>
  <c r="AH8" i="1"/>
  <c r="AH7" i="1"/>
  <c r="AH9" i="1"/>
  <c r="AG15" i="1"/>
  <c r="AG14" i="1"/>
  <c r="AG13" i="1"/>
  <c r="AG12" i="1"/>
  <c r="AG10" i="1"/>
  <c r="AG9" i="1"/>
  <c r="AG8" i="1"/>
  <c r="AG7" i="1"/>
  <c r="L215" i="31" l="1"/>
  <c r="F210" i="31"/>
  <c r="M215" i="31"/>
  <c r="F208" i="31"/>
  <c r="K215" i="31"/>
  <c r="L214" i="31"/>
  <c r="G212" i="31"/>
  <c r="J219" i="31"/>
  <c r="D213" i="31"/>
  <c r="E209" i="31"/>
  <c r="G208" i="31"/>
  <c r="J215" i="31"/>
  <c r="E208" i="31"/>
  <c r="N215" i="31"/>
  <c r="M217" i="31"/>
  <c r="K216" i="31"/>
  <c r="N218" i="31"/>
  <c r="C208" i="31"/>
  <c r="M218" i="31"/>
  <c r="F213" i="31"/>
  <c r="F212" i="31"/>
  <c r="L218" i="31"/>
  <c r="H208" i="31"/>
  <c r="L217" i="31"/>
  <c r="E210" i="31"/>
  <c r="F211" i="31"/>
  <c r="E211" i="31"/>
  <c r="D208" i="31"/>
  <c r="H209" i="31"/>
  <c r="K217" i="31"/>
  <c r="J218" i="31"/>
  <c r="C212" i="31"/>
  <c r="I218" i="31"/>
  <c r="N219" i="31"/>
  <c r="K214" i="31"/>
  <c r="D212" i="31"/>
  <c r="C211" i="31"/>
  <c r="H211" i="31"/>
  <c r="D210" i="31"/>
  <c r="K218" i="31"/>
  <c r="I216" i="31"/>
  <c r="I217" i="31"/>
  <c r="G210" i="31"/>
  <c r="L216" i="31"/>
  <c r="D211" i="31"/>
  <c r="G213" i="31"/>
  <c r="C213" i="31"/>
  <c r="I215" i="31"/>
  <c r="H212" i="31"/>
  <c r="C210" i="31"/>
  <c r="G211" i="31"/>
  <c r="F209" i="31"/>
  <c r="H213" i="31"/>
  <c r="C209" i="31"/>
  <c r="J214" i="31"/>
  <c r="G209" i="31"/>
  <c r="I219" i="31"/>
  <c r="N214" i="31"/>
  <c r="N216" i="31"/>
  <c r="K219" i="31"/>
  <c r="E212" i="31"/>
  <c r="I214" i="31"/>
  <c r="L219" i="31"/>
  <c r="M216" i="31"/>
  <c r="H210" i="31"/>
  <c r="E213" i="31"/>
  <c r="J217" i="31"/>
  <c r="M219" i="31"/>
  <c r="D209" i="31"/>
  <c r="M214" i="31"/>
  <c r="J216" i="31"/>
  <c r="AG40" i="1"/>
  <c r="AH40" i="1"/>
  <c r="I487" i="1" l="1"/>
  <c r="I486" i="1"/>
  <c r="G487" i="1"/>
  <c r="G486" i="1"/>
  <c r="I479" i="1"/>
  <c r="I475" i="1"/>
  <c r="I474" i="1"/>
  <c r="I470" i="1"/>
  <c r="G479" i="1"/>
  <c r="G475" i="1"/>
  <c r="G474" i="1"/>
  <c r="G470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I430" i="1"/>
  <c r="G430" i="1"/>
  <c r="I423" i="1"/>
  <c r="I422" i="1"/>
  <c r="I421" i="1"/>
  <c r="I420" i="1"/>
  <c r="G423" i="1"/>
  <c r="G422" i="1"/>
  <c r="G421" i="1"/>
  <c r="G420" i="1"/>
  <c r="G413" i="1"/>
  <c r="G412" i="1"/>
  <c r="G411" i="1"/>
  <c r="G410" i="1"/>
  <c r="I413" i="1"/>
  <c r="I412" i="1"/>
  <c r="I411" i="1"/>
  <c r="I410" i="1"/>
  <c r="I402" i="1"/>
  <c r="G402" i="1"/>
  <c r="I390" i="1"/>
  <c r="I389" i="1"/>
  <c r="G390" i="1"/>
  <c r="G389" i="1"/>
  <c r="I379" i="1"/>
  <c r="I378" i="1"/>
  <c r="G379" i="1"/>
  <c r="G378" i="1"/>
  <c r="I368" i="1"/>
  <c r="I367" i="1"/>
  <c r="I366" i="1"/>
  <c r="I365" i="1"/>
  <c r="G368" i="1"/>
  <c r="G367" i="1"/>
  <c r="G366" i="1"/>
  <c r="G365" i="1"/>
  <c r="I353" i="1"/>
  <c r="I352" i="1"/>
  <c r="I351" i="1"/>
  <c r="G353" i="1"/>
  <c r="G352" i="1"/>
  <c r="G351" i="1"/>
  <c r="I340" i="1"/>
  <c r="I339" i="1"/>
  <c r="G340" i="1"/>
  <c r="G339" i="1"/>
  <c r="I329" i="1"/>
  <c r="I328" i="1"/>
  <c r="I327" i="1"/>
  <c r="I326" i="1"/>
  <c r="I325" i="1"/>
  <c r="G329" i="1"/>
  <c r="G328" i="1"/>
  <c r="G327" i="1"/>
  <c r="G326" i="1"/>
  <c r="G325" i="1"/>
  <c r="I312" i="1"/>
  <c r="I311" i="1"/>
  <c r="I310" i="1"/>
  <c r="G312" i="1"/>
  <c r="G311" i="1"/>
  <c r="G310" i="1"/>
  <c r="I299" i="1"/>
  <c r="I298" i="1"/>
  <c r="I297" i="1"/>
  <c r="I296" i="1"/>
  <c r="I295" i="1"/>
  <c r="G299" i="1"/>
  <c r="G298" i="1"/>
  <c r="G297" i="1"/>
  <c r="G296" i="1"/>
  <c r="G295" i="1"/>
  <c r="I282" i="1"/>
  <c r="G282" i="1"/>
  <c r="I271" i="1"/>
  <c r="I270" i="1"/>
  <c r="I269" i="1"/>
  <c r="I268" i="1"/>
  <c r="I267" i="1"/>
  <c r="G271" i="1"/>
  <c r="G270" i="1"/>
  <c r="G269" i="1"/>
  <c r="G268" i="1"/>
  <c r="G267" i="1"/>
  <c r="I253" i="1"/>
  <c r="G253" i="1"/>
  <c r="I243" i="1"/>
  <c r="I242" i="1"/>
  <c r="G243" i="1"/>
  <c r="G242" i="1"/>
  <c r="I232" i="1"/>
  <c r="I231" i="1"/>
  <c r="I230" i="1"/>
  <c r="I229" i="1"/>
  <c r="I228" i="1"/>
  <c r="G232" i="1"/>
  <c r="G231" i="1"/>
  <c r="G230" i="1"/>
  <c r="G229" i="1"/>
  <c r="G228" i="1"/>
  <c r="I215" i="1"/>
  <c r="I214" i="1"/>
  <c r="I213" i="1"/>
  <c r="G215" i="1"/>
  <c r="G214" i="1"/>
  <c r="G213" i="1"/>
  <c r="I202" i="1"/>
  <c r="I201" i="1"/>
  <c r="I200" i="1"/>
  <c r="I199" i="1"/>
  <c r="I198" i="1"/>
  <c r="G202" i="1"/>
  <c r="G201" i="1"/>
  <c r="G200" i="1"/>
  <c r="G199" i="1"/>
  <c r="G198" i="1"/>
  <c r="I185" i="1"/>
  <c r="I184" i="1"/>
  <c r="I183" i="1"/>
  <c r="I182" i="1"/>
  <c r="G185" i="1"/>
  <c r="G184" i="1"/>
  <c r="G183" i="1"/>
  <c r="G182" i="1"/>
  <c r="I170" i="1"/>
  <c r="I169" i="1"/>
  <c r="I168" i="1"/>
  <c r="I167" i="1"/>
  <c r="I166" i="1"/>
  <c r="G170" i="1"/>
  <c r="G169" i="1"/>
  <c r="G168" i="1"/>
  <c r="G167" i="1"/>
  <c r="G166" i="1"/>
  <c r="I153" i="1"/>
  <c r="I152" i="1"/>
  <c r="I151" i="1"/>
  <c r="I150" i="1"/>
  <c r="I149" i="1"/>
  <c r="G153" i="1"/>
  <c r="G152" i="1"/>
  <c r="G151" i="1"/>
  <c r="G150" i="1"/>
  <c r="G149" i="1"/>
  <c r="I136" i="1"/>
  <c r="I135" i="1"/>
  <c r="I134" i="1"/>
  <c r="G136" i="1"/>
  <c r="G135" i="1"/>
  <c r="G134" i="1"/>
  <c r="I123" i="1" l="1"/>
  <c r="I122" i="1"/>
  <c r="I121" i="1"/>
  <c r="G123" i="1"/>
  <c r="G122" i="1"/>
  <c r="G121" i="1"/>
  <c r="I110" i="1" l="1"/>
  <c r="I109" i="1"/>
  <c r="I108" i="1"/>
  <c r="I107" i="1"/>
  <c r="I106" i="1"/>
  <c r="G110" i="1"/>
  <c r="G109" i="1"/>
  <c r="G108" i="1"/>
  <c r="G107" i="1"/>
  <c r="G106" i="1"/>
  <c r="I93" i="1"/>
  <c r="I92" i="1"/>
  <c r="I91" i="1"/>
  <c r="G93" i="1"/>
  <c r="G92" i="1"/>
  <c r="G91" i="1"/>
  <c r="I80" i="1"/>
  <c r="I79" i="1"/>
  <c r="I78" i="1"/>
  <c r="G80" i="1"/>
  <c r="G79" i="1"/>
  <c r="G78" i="1"/>
  <c r="I67" i="1"/>
  <c r="I66" i="1"/>
  <c r="G67" i="1"/>
  <c r="G66" i="1"/>
  <c r="I56" i="1"/>
  <c r="I55" i="1"/>
  <c r="I54" i="1"/>
  <c r="G56" i="1"/>
  <c r="G55" i="1"/>
  <c r="G54" i="1"/>
  <c r="I43" i="1"/>
  <c r="I42" i="1"/>
  <c r="I41" i="1"/>
  <c r="G43" i="1"/>
  <c r="G42" i="1"/>
  <c r="G41" i="1"/>
  <c r="I30" i="1"/>
  <c r="I29" i="1"/>
  <c r="I28" i="1"/>
  <c r="I27" i="1"/>
  <c r="G30" i="1"/>
  <c r="G29" i="1"/>
  <c r="G28" i="1"/>
  <c r="G27" i="1"/>
  <c r="I15" i="1"/>
  <c r="I14" i="1"/>
  <c r="I13" i="1"/>
  <c r="I12" i="1"/>
  <c r="G15" i="1"/>
  <c r="G14" i="1"/>
  <c r="G13" i="1"/>
  <c r="G12" i="1"/>
  <c r="H7" i="1"/>
  <c r="C7" i="31" s="1"/>
  <c r="F31" i="1" l="1"/>
  <c r="C3" i="26" l="1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2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2" i="26"/>
  <c r="W499" i="1" l="1"/>
  <c r="W498" i="1"/>
  <c r="W497" i="1"/>
  <c r="W496" i="1"/>
  <c r="W495" i="1"/>
  <c r="W494" i="1"/>
  <c r="W487" i="1"/>
  <c r="W486" i="1"/>
  <c r="W479" i="1"/>
  <c r="W478" i="1"/>
  <c r="W477" i="1"/>
  <c r="W476" i="1"/>
  <c r="W475" i="1"/>
  <c r="W474" i="1"/>
  <c r="W473" i="1"/>
  <c r="W472" i="1"/>
  <c r="W471" i="1"/>
  <c r="W470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0" i="1"/>
  <c r="W423" i="1"/>
  <c r="W422" i="1"/>
  <c r="W421" i="1"/>
  <c r="W420" i="1"/>
  <c r="W413" i="1"/>
  <c r="W412" i="1"/>
  <c r="W411" i="1"/>
  <c r="W410" i="1"/>
  <c r="W399" i="1"/>
  <c r="W398" i="1"/>
  <c r="W397" i="1"/>
  <c r="W387" i="1"/>
  <c r="W386" i="1"/>
  <c r="W376" i="1"/>
  <c r="W375" i="1"/>
  <c r="W363" i="1"/>
  <c r="W362" i="1"/>
  <c r="W361" i="1"/>
  <c r="W360" i="1"/>
  <c r="W349" i="1"/>
  <c r="W348" i="1"/>
  <c r="W347" i="1"/>
  <c r="W337" i="1"/>
  <c r="W336" i="1"/>
  <c r="W323" i="1"/>
  <c r="W322" i="1"/>
  <c r="W321" i="1"/>
  <c r="W320" i="1"/>
  <c r="W319" i="1"/>
  <c r="W308" i="1"/>
  <c r="W307" i="1"/>
  <c r="W306" i="1"/>
  <c r="W293" i="1"/>
  <c r="W292" i="1"/>
  <c r="W291" i="1"/>
  <c r="W290" i="1"/>
  <c r="W289" i="1"/>
  <c r="W279" i="1"/>
  <c r="W278" i="1"/>
  <c r="W265" i="1"/>
  <c r="W264" i="1"/>
  <c r="W263" i="1"/>
  <c r="W262" i="1"/>
  <c r="W261" i="1"/>
  <c r="W251" i="1"/>
  <c r="W250" i="1"/>
  <c r="W240" i="1"/>
  <c r="W239" i="1"/>
  <c r="W226" i="1"/>
  <c r="W225" i="1"/>
  <c r="W224" i="1"/>
  <c r="W223" i="1"/>
  <c r="W222" i="1"/>
  <c r="W211" i="1"/>
  <c r="W210" i="1"/>
  <c r="W209" i="1"/>
  <c r="W196" i="1"/>
  <c r="W195" i="1"/>
  <c r="W194" i="1"/>
  <c r="W193" i="1"/>
  <c r="W192" i="1"/>
  <c r="W180" i="1"/>
  <c r="W179" i="1"/>
  <c r="W178" i="1"/>
  <c r="W177" i="1"/>
  <c r="W164" i="1"/>
  <c r="W163" i="1"/>
  <c r="W162" i="1"/>
  <c r="W161" i="1"/>
  <c r="W160" i="1"/>
  <c r="W147" i="1"/>
  <c r="W146" i="1"/>
  <c r="W145" i="1"/>
  <c r="W144" i="1"/>
  <c r="W143" i="1"/>
  <c r="W132" i="1"/>
  <c r="W131" i="1"/>
  <c r="W130" i="1"/>
  <c r="W119" i="1"/>
  <c r="W118" i="1"/>
  <c r="W117" i="1"/>
  <c r="W104" i="1"/>
  <c r="W103" i="1"/>
  <c r="W102" i="1"/>
  <c r="W101" i="1"/>
  <c r="W100" i="1"/>
  <c r="W89" i="1"/>
  <c r="W88" i="1"/>
  <c r="W87" i="1"/>
  <c r="W76" i="1"/>
  <c r="W75" i="1"/>
  <c r="W74" i="1"/>
  <c r="W64" i="1"/>
  <c r="W63" i="1"/>
  <c r="W52" i="1"/>
  <c r="W51" i="1"/>
  <c r="W50" i="1"/>
  <c r="W39" i="1"/>
  <c r="W38" i="1"/>
  <c r="W37" i="1"/>
  <c r="W25" i="1"/>
  <c r="W24" i="1"/>
  <c r="W23" i="1"/>
  <c r="W22" i="1"/>
  <c r="U499" i="1"/>
  <c r="U498" i="1"/>
  <c r="U497" i="1"/>
  <c r="U496" i="1"/>
  <c r="U495" i="1"/>
  <c r="U494" i="1"/>
  <c r="U487" i="1"/>
  <c r="U486" i="1"/>
  <c r="U479" i="1"/>
  <c r="U478" i="1"/>
  <c r="U477" i="1"/>
  <c r="U476" i="1"/>
  <c r="U475" i="1"/>
  <c r="U474" i="1"/>
  <c r="U473" i="1"/>
  <c r="U472" i="1"/>
  <c r="U471" i="1"/>
  <c r="U470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0" i="1"/>
  <c r="U423" i="1"/>
  <c r="U422" i="1"/>
  <c r="U421" i="1"/>
  <c r="U420" i="1"/>
  <c r="U413" i="1"/>
  <c r="U412" i="1"/>
  <c r="U411" i="1"/>
  <c r="U410" i="1"/>
  <c r="U399" i="1"/>
  <c r="U398" i="1"/>
  <c r="U397" i="1"/>
  <c r="U387" i="1"/>
  <c r="U386" i="1"/>
  <c r="U376" i="1"/>
  <c r="U375" i="1"/>
  <c r="U363" i="1"/>
  <c r="U362" i="1"/>
  <c r="U361" i="1"/>
  <c r="U360" i="1"/>
  <c r="U349" i="1"/>
  <c r="U348" i="1"/>
  <c r="U347" i="1"/>
  <c r="U337" i="1"/>
  <c r="U336" i="1"/>
  <c r="U323" i="1"/>
  <c r="U322" i="1"/>
  <c r="U321" i="1"/>
  <c r="U320" i="1"/>
  <c r="U319" i="1"/>
  <c r="U308" i="1"/>
  <c r="U307" i="1"/>
  <c r="U306" i="1"/>
  <c r="U293" i="1"/>
  <c r="U292" i="1"/>
  <c r="U291" i="1"/>
  <c r="U290" i="1"/>
  <c r="U289" i="1"/>
  <c r="U279" i="1"/>
  <c r="U278" i="1"/>
  <c r="U265" i="1"/>
  <c r="U264" i="1"/>
  <c r="U263" i="1"/>
  <c r="U262" i="1"/>
  <c r="U261" i="1"/>
  <c r="U251" i="1"/>
  <c r="U250" i="1"/>
  <c r="U240" i="1"/>
  <c r="U239" i="1"/>
  <c r="U226" i="1"/>
  <c r="U225" i="1"/>
  <c r="U224" i="1"/>
  <c r="U223" i="1"/>
  <c r="U211" i="1"/>
  <c r="U210" i="1"/>
  <c r="U209" i="1"/>
  <c r="U196" i="1"/>
  <c r="U195" i="1"/>
  <c r="U194" i="1"/>
  <c r="U193" i="1"/>
  <c r="U192" i="1"/>
  <c r="U180" i="1"/>
  <c r="U179" i="1"/>
  <c r="U178" i="1"/>
  <c r="U177" i="1"/>
  <c r="U164" i="1"/>
  <c r="U163" i="1"/>
  <c r="U162" i="1"/>
  <c r="U161" i="1"/>
  <c r="U160" i="1"/>
  <c r="U147" i="1"/>
  <c r="U146" i="1"/>
  <c r="U145" i="1"/>
  <c r="U144" i="1"/>
  <c r="U143" i="1"/>
  <c r="U132" i="1"/>
  <c r="U131" i="1"/>
  <c r="U130" i="1"/>
  <c r="U119" i="1"/>
  <c r="U118" i="1"/>
  <c r="U117" i="1"/>
  <c r="U104" i="1"/>
  <c r="U103" i="1"/>
  <c r="U102" i="1"/>
  <c r="U101" i="1"/>
  <c r="U100" i="1"/>
  <c r="U89" i="1"/>
  <c r="U88" i="1"/>
  <c r="U87" i="1"/>
  <c r="U76" i="1"/>
  <c r="U75" i="1"/>
  <c r="U74" i="1"/>
  <c r="U64" i="1"/>
  <c r="U63" i="1"/>
  <c r="U52" i="1"/>
  <c r="U51" i="1"/>
  <c r="U50" i="1"/>
  <c r="U39" i="1"/>
  <c r="U38" i="1"/>
  <c r="U37" i="1"/>
  <c r="G146" i="25"/>
  <c r="U25" i="1"/>
  <c r="U24" i="1"/>
  <c r="U23" i="1"/>
  <c r="U22" i="1"/>
  <c r="W10" i="1"/>
  <c r="W9" i="1"/>
  <c r="W8" i="1"/>
  <c r="W7" i="1"/>
  <c r="U10" i="1"/>
  <c r="U9" i="1"/>
  <c r="U7" i="1"/>
  <c r="U8" i="1"/>
  <c r="AN499" i="1" l="1"/>
  <c r="AI499" i="1"/>
  <c r="L499" i="1"/>
  <c r="K499" i="1"/>
  <c r="J499" i="1"/>
  <c r="H499" i="1"/>
  <c r="C160" i="31" s="1"/>
  <c r="C219" i="31" s="1"/>
  <c r="P219" i="31" s="1"/>
  <c r="AN498" i="1"/>
  <c r="AI498" i="1"/>
  <c r="L498" i="1"/>
  <c r="K498" i="1"/>
  <c r="J498" i="1"/>
  <c r="H498" i="1"/>
  <c r="C159" i="31" s="1"/>
  <c r="C218" i="31" s="1"/>
  <c r="P218" i="31" s="1"/>
  <c r="AN497" i="1"/>
  <c r="AI497" i="1"/>
  <c r="L497" i="1"/>
  <c r="K497" i="1"/>
  <c r="J497" i="1"/>
  <c r="H497" i="1"/>
  <c r="C158" i="31" s="1"/>
  <c r="C217" i="31" s="1"/>
  <c r="P217" i="31" s="1"/>
  <c r="AN496" i="1"/>
  <c r="AI496" i="1"/>
  <c r="L496" i="1"/>
  <c r="K496" i="1"/>
  <c r="J496" i="1"/>
  <c r="H496" i="1"/>
  <c r="C157" i="31" s="1"/>
  <c r="C216" i="31" s="1"/>
  <c r="P216" i="31" s="1"/>
  <c r="AN495" i="1"/>
  <c r="AI495" i="1"/>
  <c r="L495" i="1"/>
  <c r="K495" i="1"/>
  <c r="J495" i="1"/>
  <c r="H495" i="1"/>
  <c r="C156" i="31" s="1"/>
  <c r="C215" i="31" s="1"/>
  <c r="P215" i="31" s="1"/>
  <c r="AN494" i="1"/>
  <c r="AI494" i="1"/>
  <c r="L494" i="1"/>
  <c r="K494" i="1"/>
  <c r="J494" i="1"/>
  <c r="H494" i="1"/>
  <c r="C155" i="31" s="1"/>
  <c r="C214" i="31" s="1"/>
  <c r="P214" i="31" s="1"/>
  <c r="AP498" i="1"/>
  <c r="V498" i="1"/>
  <c r="F159" i="31" s="1"/>
  <c r="AP497" i="1"/>
  <c r="V497" i="1"/>
  <c r="F158" i="31" s="1"/>
  <c r="F217" i="31" s="1"/>
  <c r="S217" i="31" s="1"/>
  <c r="AP496" i="1"/>
  <c r="V496" i="1"/>
  <c r="F157" i="31" s="1"/>
  <c r="AP495" i="1"/>
  <c r="V495" i="1"/>
  <c r="F156" i="31" s="1"/>
  <c r="F215" i="31" s="1"/>
  <c r="S215" i="31" s="1"/>
  <c r="AP499" i="1"/>
  <c r="V499" i="1"/>
  <c r="F160" i="31" s="1"/>
  <c r="AP494" i="1"/>
  <c r="V494" i="1"/>
  <c r="F155" i="31" s="1"/>
  <c r="F214" i="31" s="1"/>
  <c r="S214" i="31" s="1"/>
  <c r="F219" i="31" l="1"/>
  <c r="S219" i="31" s="1"/>
  <c r="F218" i="31"/>
  <c r="S218" i="31" s="1"/>
  <c r="F216" i="31"/>
  <c r="S216" i="31" s="1"/>
  <c r="M494" i="1"/>
  <c r="M495" i="1"/>
  <c r="M496" i="1"/>
  <c r="M497" i="1"/>
  <c r="M498" i="1"/>
  <c r="M499" i="1"/>
  <c r="AN487" i="1"/>
  <c r="AM487" i="1"/>
  <c r="AL487" i="1"/>
  <c r="AK487" i="1"/>
  <c r="AJ487" i="1"/>
  <c r="AI487" i="1"/>
  <c r="L487" i="1"/>
  <c r="K487" i="1"/>
  <c r="AN486" i="1"/>
  <c r="AM486" i="1"/>
  <c r="AL486" i="1"/>
  <c r="AK486" i="1"/>
  <c r="AJ486" i="1"/>
  <c r="AI486" i="1"/>
  <c r="L486" i="1"/>
  <c r="K486" i="1"/>
  <c r="AH489" i="1"/>
  <c r="AG489" i="1"/>
  <c r="D489" i="1"/>
  <c r="AP487" i="1"/>
  <c r="V487" i="1"/>
  <c r="L154" i="31" s="1"/>
  <c r="AP486" i="1"/>
  <c r="V486" i="1"/>
  <c r="L153" i="31" s="1"/>
  <c r="AN479" i="1"/>
  <c r="AM479" i="1"/>
  <c r="AL479" i="1"/>
  <c r="AK479" i="1"/>
  <c r="AJ479" i="1"/>
  <c r="AI479" i="1"/>
  <c r="L479" i="1"/>
  <c r="K479" i="1"/>
  <c r="AN412" i="1"/>
  <c r="AM412" i="1"/>
  <c r="AL412" i="1"/>
  <c r="AK412" i="1"/>
  <c r="AJ412" i="1"/>
  <c r="AI412" i="1"/>
  <c r="L412" i="1"/>
  <c r="K412" i="1"/>
  <c r="AN475" i="1"/>
  <c r="AM475" i="1"/>
  <c r="AL475" i="1"/>
  <c r="AK475" i="1"/>
  <c r="AJ475" i="1"/>
  <c r="AI475" i="1"/>
  <c r="L475" i="1"/>
  <c r="K475" i="1"/>
  <c r="AN474" i="1"/>
  <c r="AM474" i="1"/>
  <c r="AL474" i="1"/>
  <c r="AK474" i="1"/>
  <c r="AJ474" i="1"/>
  <c r="AI474" i="1"/>
  <c r="L474" i="1"/>
  <c r="K474" i="1"/>
  <c r="AN470" i="1"/>
  <c r="AM470" i="1"/>
  <c r="AL470" i="1"/>
  <c r="AK470" i="1"/>
  <c r="AJ470" i="1"/>
  <c r="AI470" i="1"/>
  <c r="L470" i="1"/>
  <c r="K470" i="1"/>
  <c r="AP478" i="1"/>
  <c r="V478" i="1"/>
  <c r="L151" i="31" s="1"/>
  <c r="AP477" i="1"/>
  <c r="V477" i="1"/>
  <c r="L150" i="31" s="1"/>
  <c r="AP476" i="1"/>
  <c r="V476" i="1"/>
  <c r="L149" i="31" s="1"/>
  <c r="AP475" i="1"/>
  <c r="V475" i="1"/>
  <c r="L148" i="31" s="1"/>
  <c r="AP474" i="1"/>
  <c r="V474" i="1"/>
  <c r="L147" i="31" s="1"/>
  <c r="AP473" i="1"/>
  <c r="V473" i="1"/>
  <c r="L146" i="31" s="1"/>
  <c r="AH481" i="1"/>
  <c r="AG481" i="1"/>
  <c r="D481" i="1"/>
  <c r="AP479" i="1"/>
  <c r="V479" i="1"/>
  <c r="L152" i="31" s="1"/>
  <c r="AP472" i="1"/>
  <c r="V472" i="1"/>
  <c r="L145" i="31" s="1"/>
  <c r="AP471" i="1"/>
  <c r="V471" i="1"/>
  <c r="L144" i="31" s="1"/>
  <c r="AP470" i="1"/>
  <c r="V470" i="1"/>
  <c r="L143" i="31" s="1"/>
  <c r="L213" i="31" l="1"/>
  <c r="S213" i="31" s="1"/>
  <c r="L212" i="31"/>
  <c r="S212" i="31" s="1"/>
  <c r="AJ488" i="1"/>
  <c r="AL488" i="1"/>
  <c r="AJ480" i="1"/>
  <c r="AL480" i="1"/>
  <c r="AM488" i="1"/>
  <c r="AM489" i="1" s="1"/>
  <c r="AL490" i="1" s="1"/>
  <c r="AI489" i="1"/>
  <c r="AK488" i="1"/>
  <c r="AK489" i="1" s="1"/>
  <c r="AJ490" i="1" s="1"/>
  <c r="V489" i="1"/>
  <c r="AK480" i="1"/>
  <c r="AK481" i="1" s="1"/>
  <c r="AJ482" i="1" s="1"/>
  <c r="AM480" i="1"/>
  <c r="AM481" i="1" s="1"/>
  <c r="AL482" i="1" s="1"/>
  <c r="AI481" i="1"/>
  <c r="V481" i="1"/>
  <c r="AN463" i="1"/>
  <c r="AM463" i="1"/>
  <c r="AL463" i="1"/>
  <c r="AK463" i="1"/>
  <c r="AJ463" i="1"/>
  <c r="AI463" i="1"/>
  <c r="L463" i="1"/>
  <c r="K463" i="1"/>
  <c r="AN460" i="1"/>
  <c r="AM460" i="1"/>
  <c r="AL460" i="1"/>
  <c r="AK460" i="1"/>
  <c r="AJ460" i="1"/>
  <c r="AI460" i="1"/>
  <c r="L460" i="1"/>
  <c r="K460" i="1"/>
  <c r="AN457" i="1"/>
  <c r="AM457" i="1"/>
  <c r="AL457" i="1"/>
  <c r="AK457" i="1"/>
  <c r="AJ457" i="1"/>
  <c r="AI457" i="1"/>
  <c r="L457" i="1"/>
  <c r="K457" i="1"/>
  <c r="AN454" i="1"/>
  <c r="AM454" i="1"/>
  <c r="AL454" i="1"/>
  <c r="AK454" i="1"/>
  <c r="AJ454" i="1"/>
  <c r="AI454" i="1"/>
  <c r="L454" i="1"/>
  <c r="K454" i="1"/>
  <c r="AN451" i="1"/>
  <c r="AM451" i="1"/>
  <c r="AL451" i="1"/>
  <c r="AK451" i="1"/>
  <c r="AJ451" i="1"/>
  <c r="AI451" i="1"/>
  <c r="L451" i="1"/>
  <c r="K451" i="1"/>
  <c r="AN448" i="1"/>
  <c r="AM448" i="1"/>
  <c r="AL448" i="1"/>
  <c r="AK448" i="1"/>
  <c r="AJ448" i="1"/>
  <c r="AI448" i="1"/>
  <c r="L448" i="1"/>
  <c r="K448" i="1"/>
  <c r="AN445" i="1"/>
  <c r="AM445" i="1"/>
  <c r="AL445" i="1"/>
  <c r="AK445" i="1"/>
  <c r="AJ445" i="1"/>
  <c r="AI445" i="1"/>
  <c r="L445" i="1"/>
  <c r="K445" i="1"/>
  <c r="AN442" i="1"/>
  <c r="AM442" i="1"/>
  <c r="AL442" i="1"/>
  <c r="AK442" i="1"/>
  <c r="AJ442" i="1"/>
  <c r="AI442" i="1"/>
  <c r="L442" i="1"/>
  <c r="K442" i="1"/>
  <c r="AN439" i="1"/>
  <c r="AM439" i="1"/>
  <c r="AL439" i="1"/>
  <c r="AK439" i="1"/>
  <c r="AJ439" i="1"/>
  <c r="AI439" i="1"/>
  <c r="L439" i="1"/>
  <c r="K439" i="1"/>
  <c r="H488" i="1" l="1"/>
  <c r="H480" i="1"/>
  <c r="AN462" i="1"/>
  <c r="AM462" i="1"/>
  <c r="AL462" i="1"/>
  <c r="AK462" i="1"/>
  <c r="AJ462" i="1"/>
  <c r="AI462" i="1"/>
  <c r="L462" i="1"/>
  <c r="K462" i="1"/>
  <c r="AN459" i="1"/>
  <c r="AM459" i="1"/>
  <c r="AL459" i="1"/>
  <c r="AK459" i="1"/>
  <c r="AJ459" i="1"/>
  <c r="AI459" i="1"/>
  <c r="L459" i="1"/>
  <c r="K459" i="1"/>
  <c r="AN456" i="1"/>
  <c r="AM456" i="1"/>
  <c r="AL456" i="1"/>
  <c r="AK456" i="1"/>
  <c r="AJ456" i="1"/>
  <c r="AI456" i="1"/>
  <c r="L456" i="1"/>
  <c r="K456" i="1"/>
  <c r="AN453" i="1"/>
  <c r="AM453" i="1"/>
  <c r="AL453" i="1"/>
  <c r="AK453" i="1"/>
  <c r="AJ453" i="1"/>
  <c r="AI453" i="1"/>
  <c r="L453" i="1"/>
  <c r="K453" i="1"/>
  <c r="AN450" i="1"/>
  <c r="AM450" i="1"/>
  <c r="AL450" i="1"/>
  <c r="AK450" i="1"/>
  <c r="AJ450" i="1"/>
  <c r="AI450" i="1"/>
  <c r="L450" i="1"/>
  <c r="K450" i="1"/>
  <c r="AN447" i="1"/>
  <c r="AM447" i="1"/>
  <c r="AL447" i="1"/>
  <c r="AK447" i="1"/>
  <c r="AJ447" i="1"/>
  <c r="AI447" i="1"/>
  <c r="L447" i="1"/>
  <c r="K447" i="1"/>
  <c r="AN444" i="1"/>
  <c r="AM444" i="1"/>
  <c r="AL444" i="1"/>
  <c r="AK444" i="1"/>
  <c r="AJ444" i="1"/>
  <c r="AI444" i="1"/>
  <c r="L444" i="1"/>
  <c r="K444" i="1"/>
  <c r="AN441" i="1"/>
  <c r="AM441" i="1"/>
  <c r="AL441" i="1"/>
  <c r="AK441" i="1"/>
  <c r="AJ441" i="1"/>
  <c r="AI441" i="1"/>
  <c r="L441" i="1"/>
  <c r="K441" i="1"/>
  <c r="AN438" i="1"/>
  <c r="AM438" i="1"/>
  <c r="AL438" i="1"/>
  <c r="AK438" i="1"/>
  <c r="AJ438" i="1"/>
  <c r="AI438" i="1"/>
  <c r="L438" i="1"/>
  <c r="K438" i="1"/>
  <c r="AN461" i="1"/>
  <c r="AM461" i="1"/>
  <c r="AL461" i="1"/>
  <c r="AK461" i="1"/>
  <c r="AJ461" i="1"/>
  <c r="AI461" i="1"/>
  <c r="L461" i="1"/>
  <c r="K461" i="1"/>
  <c r="AN458" i="1"/>
  <c r="AM458" i="1"/>
  <c r="AL458" i="1"/>
  <c r="AK458" i="1"/>
  <c r="AJ458" i="1"/>
  <c r="AI458" i="1"/>
  <c r="L458" i="1"/>
  <c r="K458" i="1"/>
  <c r="AN455" i="1"/>
  <c r="AM455" i="1"/>
  <c r="AL455" i="1"/>
  <c r="AK455" i="1"/>
  <c r="AJ455" i="1"/>
  <c r="AI455" i="1"/>
  <c r="L455" i="1"/>
  <c r="K455" i="1"/>
  <c r="AN452" i="1"/>
  <c r="AM452" i="1"/>
  <c r="AL452" i="1"/>
  <c r="AK452" i="1"/>
  <c r="AJ452" i="1"/>
  <c r="AI452" i="1"/>
  <c r="L452" i="1"/>
  <c r="K452" i="1"/>
  <c r="AN449" i="1"/>
  <c r="AM449" i="1"/>
  <c r="AL449" i="1"/>
  <c r="AK449" i="1"/>
  <c r="AJ449" i="1"/>
  <c r="AI449" i="1"/>
  <c r="L449" i="1"/>
  <c r="K449" i="1"/>
  <c r="AN446" i="1"/>
  <c r="AM446" i="1"/>
  <c r="AL446" i="1"/>
  <c r="AK446" i="1"/>
  <c r="AJ446" i="1"/>
  <c r="AI446" i="1"/>
  <c r="L446" i="1"/>
  <c r="K446" i="1"/>
  <c r="AN443" i="1"/>
  <c r="AM443" i="1"/>
  <c r="AL443" i="1"/>
  <c r="AK443" i="1"/>
  <c r="AJ443" i="1"/>
  <c r="AI443" i="1"/>
  <c r="L443" i="1"/>
  <c r="K443" i="1"/>
  <c r="AN440" i="1"/>
  <c r="AM440" i="1"/>
  <c r="AL440" i="1"/>
  <c r="AK440" i="1"/>
  <c r="AJ440" i="1"/>
  <c r="AI440" i="1"/>
  <c r="L440" i="1"/>
  <c r="K440" i="1"/>
  <c r="AN437" i="1"/>
  <c r="AM437" i="1"/>
  <c r="AL437" i="1"/>
  <c r="AK437" i="1"/>
  <c r="AJ437" i="1"/>
  <c r="AI437" i="1"/>
  <c r="L437" i="1"/>
  <c r="K437" i="1"/>
  <c r="V462" i="1"/>
  <c r="L141" i="31" s="1"/>
  <c r="AP462" i="1"/>
  <c r="AP461" i="1"/>
  <c r="V461" i="1"/>
  <c r="L140" i="31" s="1"/>
  <c r="AP460" i="1"/>
  <c r="V460" i="1"/>
  <c r="L139" i="31" s="1"/>
  <c r="AP459" i="1"/>
  <c r="V459" i="1"/>
  <c r="L138" i="31" s="1"/>
  <c r="AP458" i="1"/>
  <c r="V458" i="1"/>
  <c r="L137" i="31" s="1"/>
  <c r="AP457" i="1"/>
  <c r="V457" i="1"/>
  <c r="L136" i="31" s="1"/>
  <c r="AP456" i="1"/>
  <c r="V456" i="1"/>
  <c r="L135" i="31" s="1"/>
  <c r="AP455" i="1"/>
  <c r="V455" i="1"/>
  <c r="L134" i="31" s="1"/>
  <c r="AP454" i="1"/>
  <c r="V454" i="1"/>
  <c r="L133" i="31" s="1"/>
  <c r="AP453" i="1"/>
  <c r="V453" i="1"/>
  <c r="L132" i="31" s="1"/>
  <c r="AP452" i="1"/>
  <c r="V452" i="1"/>
  <c r="L131" i="31" s="1"/>
  <c r="AP451" i="1"/>
  <c r="V451" i="1"/>
  <c r="L130" i="31" s="1"/>
  <c r="AP450" i="1"/>
  <c r="V450" i="1"/>
  <c r="L129" i="31" s="1"/>
  <c r="AP449" i="1"/>
  <c r="V449" i="1"/>
  <c r="L128" i="31" s="1"/>
  <c r="AP448" i="1"/>
  <c r="V448" i="1"/>
  <c r="L127" i="31" s="1"/>
  <c r="AP447" i="1"/>
  <c r="V447" i="1"/>
  <c r="L126" i="31" s="1"/>
  <c r="AP446" i="1"/>
  <c r="V446" i="1"/>
  <c r="L125" i="31" s="1"/>
  <c r="AP445" i="1"/>
  <c r="V445" i="1"/>
  <c r="L124" i="31" s="1"/>
  <c r="AP444" i="1"/>
  <c r="V444" i="1"/>
  <c r="L123" i="31" s="1"/>
  <c r="AP443" i="1"/>
  <c r="V443" i="1"/>
  <c r="L122" i="31" s="1"/>
  <c r="AP442" i="1"/>
  <c r="V442" i="1"/>
  <c r="L121" i="31" s="1"/>
  <c r="AP441" i="1"/>
  <c r="V441" i="1"/>
  <c r="L120" i="31" s="1"/>
  <c r="AP440" i="1"/>
  <c r="V440" i="1"/>
  <c r="L119" i="31" s="1"/>
  <c r="AH465" i="1"/>
  <c r="AG465" i="1"/>
  <c r="D465" i="1"/>
  <c r="AP463" i="1"/>
  <c r="V463" i="1"/>
  <c r="L142" i="31" s="1"/>
  <c r="AP439" i="1"/>
  <c r="V439" i="1"/>
  <c r="L118" i="31" s="1"/>
  <c r="AP438" i="1"/>
  <c r="V438" i="1"/>
  <c r="L117" i="31" s="1"/>
  <c r="AP437" i="1"/>
  <c r="V437" i="1"/>
  <c r="L116" i="31" s="1"/>
  <c r="L211" i="31" s="1"/>
  <c r="S211" i="31" s="1"/>
  <c r="AN430" i="1"/>
  <c r="AM430" i="1"/>
  <c r="AM431" i="1" s="1"/>
  <c r="AM432" i="1" s="1"/>
  <c r="AL433" i="1" s="1"/>
  <c r="AL430" i="1"/>
  <c r="AL431" i="1" s="1"/>
  <c r="AK430" i="1"/>
  <c r="AK431" i="1" s="1"/>
  <c r="AK432" i="1" s="1"/>
  <c r="AJ433" i="1" s="1"/>
  <c r="AJ430" i="1"/>
  <c r="AJ431" i="1" s="1"/>
  <c r="AI430" i="1"/>
  <c r="AI432" i="1" s="1"/>
  <c r="L430" i="1"/>
  <c r="K430" i="1"/>
  <c r="AH432" i="1"/>
  <c r="AG432" i="1"/>
  <c r="D432" i="1"/>
  <c r="AP430" i="1"/>
  <c r="V430" i="1"/>
  <c r="AN423" i="1"/>
  <c r="AM423" i="1"/>
  <c r="AL423" i="1"/>
  <c r="AK423" i="1"/>
  <c r="AJ423" i="1"/>
  <c r="AI423" i="1"/>
  <c r="L423" i="1"/>
  <c r="K423" i="1"/>
  <c r="AN422" i="1"/>
  <c r="AM422" i="1"/>
  <c r="AL422" i="1"/>
  <c r="AK422" i="1"/>
  <c r="AJ422" i="1"/>
  <c r="AI422" i="1"/>
  <c r="L422" i="1"/>
  <c r="K422" i="1"/>
  <c r="AN421" i="1"/>
  <c r="AM421" i="1"/>
  <c r="AL421" i="1"/>
  <c r="AK421" i="1"/>
  <c r="AJ421" i="1"/>
  <c r="AI421" i="1"/>
  <c r="L421" i="1"/>
  <c r="K421" i="1"/>
  <c r="AN420" i="1"/>
  <c r="AM420" i="1"/>
  <c r="AL420" i="1"/>
  <c r="AK420" i="1"/>
  <c r="AJ420" i="1"/>
  <c r="AI420" i="1"/>
  <c r="L420" i="1"/>
  <c r="K420" i="1"/>
  <c r="V432" i="1" l="1"/>
  <c r="L115" i="31"/>
  <c r="L210" i="31" s="1"/>
  <c r="S210" i="31" s="1"/>
  <c r="AJ464" i="1"/>
  <c r="AJ424" i="1"/>
  <c r="AL464" i="1"/>
  <c r="AL424" i="1"/>
  <c r="H431" i="1"/>
  <c r="AM464" i="1"/>
  <c r="AM465" i="1" s="1"/>
  <c r="AL466" i="1" s="1"/>
  <c r="V465" i="1"/>
  <c r="AI465" i="1"/>
  <c r="AK464" i="1"/>
  <c r="AK465" i="1" s="1"/>
  <c r="AJ466" i="1" s="1"/>
  <c r="AH425" i="1"/>
  <c r="AG425" i="1"/>
  <c r="D425" i="1"/>
  <c r="AP423" i="1"/>
  <c r="V423" i="1"/>
  <c r="L114" i="31" s="1"/>
  <c r="AP422" i="1"/>
  <c r="V422" i="1"/>
  <c r="L113" i="31" s="1"/>
  <c r="AP421" i="1"/>
  <c r="V421" i="1"/>
  <c r="L112" i="31" s="1"/>
  <c r="AP420" i="1"/>
  <c r="AM424" i="1"/>
  <c r="AM425" i="1" s="1"/>
  <c r="AL426" i="1" s="1"/>
  <c r="AK424" i="1"/>
  <c r="AK425" i="1" s="1"/>
  <c r="AJ426" i="1" s="1"/>
  <c r="AI425" i="1"/>
  <c r="V420" i="1"/>
  <c r="L111" i="31" s="1"/>
  <c r="L209" i="31" s="1"/>
  <c r="S209" i="31" s="1"/>
  <c r="H464" i="1" l="1"/>
  <c r="H424" i="1"/>
  <c r="V425" i="1"/>
  <c r="AN413" i="1"/>
  <c r="AM413" i="1"/>
  <c r="AL413" i="1"/>
  <c r="AK413" i="1"/>
  <c r="AJ413" i="1"/>
  <c r="AI413" i="1"/>
  <c r="L413" i="1"/>
  <c r="K413" i="1"/>
  <c r="AN411" i="1"/>
  <c r="AM411" i="1"/>
  <c r="AL411" i="1"/>
  <c r="AK411" i="1"/>
  <c r="AJ411" i="1"/>
  <c r="AI411" i="1"/>
  <c r="L411" i="1"/>
  <c r="K411" i="1"/>
  <c r="AN410" i="1"/>
  <c r="AM410" i="1"/>
  <c r="AL410" i="1"/>
  <c r="AK410" i="1"/>
  <c r="AJ410" i="1"/>
  <c r="AI410" i="1"/>
  <c r="L410" i="1"/>
  <c r="K410" i="1"/>
  <c r="V412" i="1"/>
  <c r="L109" i="31" s="1"/>
  <c r="V411" i="1"/>
  <c r="L108" i="31" s="1"/>
  <c r="V410" i="1"/>
  <c r="L107" i="31" s="1"/>
  <c r="D415" i="1"/>
  <c r="V413" i="1"/>
  <c r="L110" i="31" s="1"/>
  <c r="AH415" i="1"/>
  <c r="AG415" i="1"/>
  <c r="AP413" i="1"/>
  <c r="AP412" i="1"/>
  <c r="AP411" i="1"/>
  <c r="AP410" i="1"/>
  <c r="L208" i="31" l="1"/>
  <c r="S208" i="31" s="1"/>
  <c r="AL414" i="1"/>
  <c r="AJ414" i="1"/>
  <c r="AI415" i="1"/>
  <c r="AM414" i="1"/>
  <c r="AM415" i="1" s="1"/>
  <c r="AL416" i="1" s="1"/>
  <c r="AK414" i="1"/>
  <c r="AK415" i="1" s="1"/>
  <c r="AJ416" i="1" s="1"/>
  <c r="V415" i="1"/>
  <c r="H414" i="1" l="1"/>
  <c r="AN402" i="1"/>
  <c r="AM402" i="1"/>
  <c r="AL402" i="1"/>
  <c r="AK402" i="1"/>
  <c r="AJ402" i="1"/>
  <c r="L402" i="1"/>
  <c r="K402" i="1"/>
  <c r="AN398" i="1"/>
  <c r="AI398" i="1"/>
  <c r="L398" i="1"/>
  <c r="K398" i="1"/>
  <c r="J398" i="1"/>
  <c r="H398" i="1"/>
  <c r="D405" i="1"/>
  <c r="AP403" i="1"/>
  <c r="AP402" i="1"/>
  <c r="AP401" i="1"/>
  <c r="AH400" i="1"/>
  <c r="AG400" i="1"/>
  <c r="AP399" i="1"/>
  <c r="V399" i="1"/>
  <c r="AP398" i="1"/>
  <c r="V398" i="1"/>
  <c r="AP397" i="1"/>
  <c r="V397" i="1"/>
  <c r="F104" i="31" s="1"/>
  <c r="AN390" i="1"/>
  <c r="AM390" i="1"/>
  <c r="AL390" i="1"/>
  <c r="AK390" i="1"/>
  <c r="AJ390" i="1"/>
  <c r="L390" i="1"/>
  <c r="K390" i="1"/>
  <c r="AN379" i="1"/>
  <c r="AM379" i="1"/>
  <c r="AL379" i="1"/>
  <c r="AK379" i="1"/>
  <c r="AJ379" i="1"/>
  <c r="L379" i="1"/>
  <c r="K379" i="1"/>
  <c r="AN368" i="1"/>
  <c r="AM368" i="1"/>
  <c r="AL368" i="1"/>
  <c r="AK368" i="1"/>
  <c r="AJ368" i="1"/>
  <c r="L368" i="1"/>
  <c r="K368" i="1"/>
  <c r="AN353" i="1"/>
  <c r="AM353" i="1"/>
  <c r="AL353" i="1"/>
  <c r="AK353" i="1"/>
  <c r="AJ353" i="1"/>
  <c r="L353" i="1"/>
  <c r="K353" i="1"/>
  <c r="AN340" i="1"/>
  <c r="AM340" i="1"/>
  <c r="AL340" i="1"/>
  <c r="AK340" i="1"/>
  <c r="AJ340" i="1"/>
  <c r="L340" i="1"/>
  <c r="K340" i="1"/>
  <c r="AN367" i="1"/>
  <c r="AM367" i="1"/>
  <c r="AL367" i="1"/>
  <c r="AK367" i="1"/>
  <c r="AJ367" i="1"/>
  <c r="L367" i="1"/>
  <c r="K367" i="1"/>
  <c r="AN366" i="1"/>
  <c r="AM366" i="1"/>
  <c r="AL366" i="1"/>
  <c r="AK366" i="1"/>
  <c r="AJ366" i="1"/>
  <c r="L366" i="1"/>
  <c r="K366" i="1"/>
  <c r="AN352" i="1"/>
  <c r="AM352" i="1"/>
  <c r="AL352" i="1"/>
  <c r="AK352" i="1"/>
  <c r="AJ352" i="1"/>
  <c r="L352" i="1"/>
  <c r="K352" i="1"/>
  <c r="AM389" i="1"/>
  <c r="AL389" i="1"/>
  <c r="AK389" i="1"/>
  <c r="AJ389" i="1"/>
  <c r="L389" i="1"/>
  <c r="K389" i="1"/>
  <c r="AN378" i="1"/>
  <c r="AM378" i="1"/>
  <c r="AL378" i="1"/>
  <c r="AK378" i="1"/>
  <c r="AJ378" i="1"/>
  <c r="L378" i="1"/>
  <c r="K378" i="1"/>
  <c r="AN365" i="1"/>
  <c r="AM365" i="1"/>
  <c r="AL365" i="1"/>
  <c r="AK365" i="1"/>
  <c r="AJ365" i="1"/>
  <c r="L365" i="1"/>
  <c r="K365" i="1"/>
  <c r="AN351" i="1"/>
  <c r="AM351" i="1"/>
  <c r="AL351" i="1"/>
  <c r="AK351" i="1"/>
  <c r="AJ351" i="1"/>
  <c r="L351" i="1"/>
  <c r="K351" i="1"/>
  <c r="AN339" i="1"/>
  <c r="AM339" i="1"/>
  <c r="AL339" i="1"/>
  <c r="AK339" i="1"/>
  <c r="AJ339" i="1"/>
  <c r="L339" i="1"/>
  <c r="K339" i="1"/>
  <c r="AN387" i="1"/>
  <c r="AI387" i="1"/>
  <c r="L387" i="1"/>
  <c r="K387" i="1"/>
  <c r="J387" i="1"/>
  <c r="H387" i="1"/>
  <c r="C103" i="31" s="1"/>
  <c r="AN376" i="1"/>
  <c r="AI376" i="1"/>
  <c r="L376" i="1"/>
  <c r="K376" i="1"/>
  <c r="J376" i="1"/>
  <c r="H376" i="1"/>
  <c r="AN363" i="1"/>
  <c r="AI363" i="1"/>
  <c r="L363" i="1"/>
  <c r="K363" i="1"/>
  <c r="J363" i="1"/>
  <c r="H363" i="1"/>
  <c r="AN349" i="1"/>
  <c r="AI349" i="1"/>
  <c r="L349" i="1"/>
  <c r="K349" i="1"/>
  <c r="J349" i="1"/>
  <c r="H349" i="1"/>
  <c r="AN337" i="1"/>
  <c r="AI337" i="1"/>
  <c r="L337" i="1"/>
  <c r="K337" i="1"/>
  <c r="J337" i="1"/>
  <c r="H337" i="1"/>
  <c r="AN362" i="1"/>
  <c r="AI362" i="1"/>
  <c r="L362" i="1"/>
  <c r="K362" i="1"/>
  <c r="J362" i="1"/>
  <c r="H362" i="1"/>
  <c r="AN361" i="1"/>
  <c r="AI361" i="1"/>
  <c r="L361" i="1"/>
  <c r="K361" i="1"/>
  <c r="J361" i="1"/>
  <c r="H361" i="1"/>
  <c r="AN348" i="1"/>
  <c r="AI348" i="1"/>
  <c r="L348" i="1"/>
  <c r="K348" i="1"/>
  <c r="J348" i="1"/>
  <c r="H348" i="1"/>
  <c r="AN386" i="1"/>
  <c r="AI386" i="1"/>
  <c r="L386" i="1"/>
  <c r="K386" i="1"/>
  <c r="J386" i="1"/>
  <c r="H386" i="1"/>
  <c r="AN375" i="1"/>
  <c r="AI375" i="1"/>
  <c r="L375" i="1"/>
  <c r="K375" i="1"/>
  <c r="J375" i="1"/>
  <c r="H375" i="1"/>
  <c r="AN360" i="1"/>
  <c r="AI360" i="1"/>
  <c r="L360" i="1"/>
  <c r="K360" i="1"/>
  <c r="J360" i="1"/>
  <c r="H360" i="1"/>
  <c r="AN347" i="1"/>
  <c r="AI347" i="1"/>
  <c r="L347" i="1"/>
  <c r="K347" i="1"/>
  <c r="J347" i="1"/>
  <c r="H347" i="1"/>
  <c r="AN336" i="1"/>
  <c r="AI336" i="1"/>
  <c r="L336" i="1"/>
  <c r="K336" i="1"/>
  <c r="J336" i="1"/>
  <c r="J338" i="1" s="1"/>
  <c r="H336" i="1"/>
  <c r="D392" i="1"/>
  <c r="AP390" i="1"/>
  <c r="AH388" i="1"/>
  <c r="AG388" i="1"/>
  <c r="AP387" i="1"/>
  <c r="V387" i="1"/>
  <c r="AP386" i="1"/>
  <c r="V386" i="1"/>
  <c r="F102" i="31" s="1"/>
  <c r="D381" i="1"/>
  <c r="AP379" i="1"/>
  <c r="AP378" i="1"/>
  <c r="AH377" i="1"/>
  <c r="AG377" i="1"/>
  <c r="AP376" i="1"/>
  <c r="V376" i="1"/>
  <c r="AP375" i="1"/>
  <c r="V375" i="1"/>
  <c r="F100" i="31" s="1"/>
  <c r="D370" i="1"/>
  <c r="AP368" i="1"/>
  <c r="AP367" i="1"/>
  <c r="AP366" i="1"/>
  <c r="AP365" i="1"/>
  <c r="AH364" i="1"/>
  <c r="AG364" i="1"/>
  <c r="AP363" i="1"/>
  <c r="V363" i="1"/>
  <c r="AP362" i="1"/>
  <c r="V362" i="1"/>
  <c r="AP361" i="1"/>
  <c r="V361" i="1"/>
  <c r="AP360" i="1"/>
  <c r="V360" i="1"/>
  <c r="F96" i="31" s="1"/>
  <c r="D355" i="1"/>
  <c r="AP353" i="1"/>
  <c r="AP352" i="1"/>
  <c r="AP351" i="1"/>
  <c r="AH350" i="1"/>
  <c r="AG350" i="1"/>
  <c r="AP349" i="1"/>
  <c r="V349" i="1"/>
  <c r="AP348" i="1"/>
  <c r="V348" i="1"/>
  <c r="AP347" i="1"/>
  <c r="V347" i="1"/>
  <c r="F93" i="31" s="1"/>
  <c r="D342" i="1"/>
  <c r="AP340" i="1"/>
  <c r="AP339" i="1"/>
  <c r="AH338" i="1"/>
  <c r="AG338" i="1"/>
  <c r="AP337" i="1"/>
  <c r="V337" i="1"/>
  <c r="AP336" i="1"/>
  <c r="V336" i="1"/>
  <c r="F91" i="31" s="1"/>
  <c r="AN329" i="1"/>
  <c r="AM329" i="1"/>
  <c r="AL329" i="1"/>
  <c r="AK329" i="1"/>
  <c r="AJ329" i="1"/>
  <c r="L329" i="1"/>
  <c r="K329" i="1"/>
  <c r="AN312" i="1"/>
  <c r="AM312" i="1"/>
  <c r="AL312" i="1"/>
  <c r="AK312" i="1"/>
  <c r="AJ312" i="1"/>
  <c r="L312" i="1"/>
  <c r="K312" i="1"/>
  <c r="AN299" i="1"/>
  <c r="AM299" i="1"/>
  <c r="AL299" i="1"/>
  <c r="AK299" i="1"/>
  <c r="AJ299" i="1"/>
  <c r="L299" i="1"/>
  <c r="K299" i="1"/>
  <c r="AN282" i="1"/>
  <c r="AM282" i="1"/>
  <c r="AL282" i="1"/>
  <c r="AL283" i="1" s="1"/>
  <c r="AK282" i="1"/>
  <c r="AJ282" i="1"/>
  <c r="AJ283" i="1" s="1"/>
  <c r="L282" i="1"/>
  <c r="K282" i="1"/>
  <c r="AN15" i="1"/>
  <c r="AM15" i="1"/>
  <c r="AL15" i="1"/>
  <c r="AK15" i="1"/>
  <c r="AJ15" i="1"/>
  <c r="L15" i="1"/>
  <c r="K15" i="1"/>
  <c r="AN328" i="1"/>
  <c r="AM328" i="1"/>
  <c r="AL328" i="1"/>
  <c r="AK328" i="1"/>
  <c r="AJ328" i="1"/>
  <c r="L328" i="1"/>
  <c r="K328" i="1"/>
  <c r="AN298" i="1"/>
  <c r="AM298" i="1"/>
  <c r="AL298" i="1"/>
  <c r="AK298" i="1"/>
  <c r="AJ298" i="1"/>
  <c r="L298" i="1"/>
  <c r="K298" i="1"/>
  <c r="AN327" i="1"/>
  <c r="AM327" i="1"/>
  <c r="AL327" i="1"/>
  <c r="AK327" i="1"/>
  <c r="AJ327" i="1"/>
  <c r="L327" i="1"/>
  <c r="K327" i="1"/>
  <c r="AN311" i="1"/>
  <c r="AM311" i="1"/>
  <c r="AL311" i="1"/>
  <c r="AK311" i="1"/>
  <c r="AJ311" i="1"/>
  <c r="L311" i="1"/>
  <c r="K311" i="1"/>
  <c r="AN297" i="1"/>
  <c r="AM297" i="1"/>
  <c r="AL297" i="1"/>
  <c r="AK297" i="1"/>
  <c r="AJ297" i="1"/>
  <c r="L297" i="1"/>
  <c r="K297" i="1"/>
  <c r="AN326" i="1"/>
  <c r="AM326" i="1"/>
  <c r="AL326" i="1"/>
  <c r="AK326" i="1"/>
  <c r="AJ326" i="1"/>
  <c r="L326" i="1"/>
  <c r="K326" i="1"/>
  <c r="AN325" i="1"/>
  <c r="AM325" i="1"/>
  <c r="AL325" i="1"/>
  <c r="AK325" i="1"/>
  <c r="AJ325" i="1"/>
  <c r="L325" i="1"/>
  <c r="K325" i="1"/>
  <c r="AN310" i="1"/>
  <c r="AM310" i="1"/>
  <c r="AL310" i="1"/>
  <c r="AK310" i="1"/>
  <c r="AJ310" i="1"/>
  <c r="L310" i="1"/>
  <c r="K310" i="1"/>
  <c r="AN296" i="1"/>
  <c r="AM296" i="1"/>
  <c r="AL296" i="1"/>
  <c r="AK296" i="1"/>
  <c r="AJ296" i="1"/>
  <c r="L296" i="1"/>
  <c r="K296" i="1"/>
  <c r="AN295" i="1"/>
  <c r="AM295" i="1"/>
  <c r="AL295" i="1"/>
  <c r="AK295" i="1"/>
  <c r="AJ295" i="1"/>
  <c r="L295" i="1"/>
  <c r="K295" i="1"/>
  <c r="AN323" i="1"/>
  <c r="AI323" i="1"/>
  <c r="L323" i="1"/>
  <c r="K323" i="1"/>
  <c r="J323" i="1"/>
  <c r="H323" i="1"/>
  <c r="AN308" i="1"/>
  <c r="AI308" i="1"/>
  <c r="L308" i="1"/>
  <c r="K308" i="1"/>
  <c r="J308" i="1"/>
  <c r="H308" i="1"/>
  <c r="AN293" i="1"/>
  <c r="AI293" i="1"/>
  <c r="L293" i="1"/>
  <c r="K293" i="1"/>
  <c r="J293" i="1"/>
  <c r="H293" i="1"/>
  <c r="AN279" i="1"/>
  <c r="AI279" i="1"/>
  <c r="L279" i="1"/>
  <c r="K279" i="1"/>
  <c r="J279" i="1"/>
  <c r="H279" i="1"/>
  <c r="AN322" i="1"/>
  <c r="AI322" i="1"/>
  <c r="L322" i="1"/>
  <c r="K322" i="1"/>
  <c r="J322" i="1"/>
  <c r="H322" i="1"/>
  <c r="AN292" i="1"/>
  <c r="AI292" i="1"/>
  <c r="L292" i="1"/>
  <c r="K292" i="1"/>
  <c r="J292" i="1"/>
  <c r="H292" i="1"/>
  <c r="AN321" i="1"/>
  <c r="AI321" i="1"/>
  <c r="L321" i="1"/>
  <c r="K321" i="1"/>
  <c r="J321" i="1"/>
  <c r="H321" i="1"/>
  <c r="AN307" i="1"/>
  <c r="AI307" i="1"/>
  <c r="L307" i="1"/>
  <c r="K307" i="1"/>
  <c r="J307" i="1"/>
  <c r="H307" i="1"/>
  <c r="C84" i="31" s="1"/>
  <c r="AN291" i="1"/>
  <c r="AI291" i="1"/>
  <c r="L291" i="1"/>
  <c r="K291" i="1"/>
  <c r="J291" i="1"/>
  <c r="H291" i="1"/>
  <c r="V340" i="1" l="1"/>
  <c r="L92" i="31" s="1"/>
  <c r="F92" i="31"/>
  <c r="F202" i="31" s="1"/>
  <c r="V379" i="1"/>
  <c r="L101" i="31" s="1"/>
  <c r="F101" i="31"/>
  <c r="V402" i="1"/>
  <c r="L105" i="31" s="1"/>
  <c r="F105" i="31"/>
  <c r="F205" i="31" s="1"/>
  <c r="V368" i="1"/>
  <c r="L99" i="31" s="1"/>
  <c r="F99" i="31"/>
  <c r="V403" i="1"/>
  <c r="L106" i="31" s="1"/>
  <c r="F106" i="31"/>
  <c r="V353" i="1"/>
  <c r="L95" i="31" s="1"/>
  <c r="F95" i="31"/>
  <c r="V367" i="1"/>
  <c r="L98" i="31" s="1"/>
  <c r="F98" i="31"/>
  <c r="V352" i="1"/>
  <c r="L94" i="31" s="1"/>
  <c r="F94" i="31"/>
  <c r="V366" i="1"/>
  <c r="L97" i="31" s="1"/>
  <c r="F97" i="31"/>
  <c r="V390" i="1"/>
  <c r="L103" i="31" s="1"/>
  <c r="F103" i="31"/>
  <c r="F206" i="31" s="1"/>
  <c r="M291" i="1"/>
  <c r="C80" i="31"/>
  <c r="M321" i="1"/>
  <c r="C88" i="31"/>
  <c r="M292" i="1"/>
  <c r="C81" i="31"/>
  <c r="M322" i="1"/>
  <c r="C89" i="31"/>
  <c r="M279" i="1"/>
  <c r="C77" i="31"/>
  <c r="M293" i="1"/>
  <c r="C82" i="31"/>
  <c r="M308" i="1"/>
  <c r="C85" i="31"/>
  <c r="M323" i="1"/>
  <c r="C90" i="31"/>
  <c r="M397" i="1"/>
  <c r="C104" i="31"/>
  <c r="M398" i="1"/>
  <c r="C105" i="31"/>
  <c r="M399" i="1"/>
  <c r="C106" i="31"/>
  <c r="M336" i="1"/>
  <c r="C91" i="31"/>
  <c r="M347" i="1"/>
  <c r="C93" i="31"/>
  <c r="M360" i="1"/>
  <c r="C96" i="31"/>
  <c r="M375" i="1"/>
  <c r="C100" i="31"/>
  <c r="C205" i="31" s="1"/>
  <c r="M386" i="1"/>
  <c r="C102" i="31"/>
  <c r="C206" i="31" s="1"/>
  <c r="M348" i="1"/>
  <c r="C94" i="31"/>
  <c r="M361" i="1"/>
  <c r="C97" i="31"/>
  <c r="M362" i="1"/>
  <c r="C98" i="31"/>
  <c r="M337" i="1"/>
  <c r="C92" i="31"/>
  <c r="M349" i="1"/>
  <c r="C95" i="31"/>
  <c r="M363" i="1"/>
  <c r="C99" i="31"/>
  <c r="M376" i="1"/>
  <c r="C101" i="31"/>
  <c r="M387" i="1"/>
  <c r="M307" i="1"/>
  <c r="AJ380" i="1"/>
  <c r="AL341" i="1"/>
  <c r="AJ341" i="1"/>
  <c r="AL391" i="1"/>
  <c r="AJ354" i="1"/>
  <c r="AJ391" i="1"/>
  <c r="AJ313" i="1"/>
  <c r="AL354" i="1"/>
  <c r="AL380" i="1"/>
  <c r="AL369" i="1"/>
  <c r="AL330" i="1"/>
  <c r="AJ369" i="1"/>
  <c r="AJ300" i="1"/>
  <c r="AL404" i="1"/>
  <c r="AL300" i="1"/>
  <c r="AL313" i="1"/>
  <c r="AJ330" i="1"/>
  <c r="AJ404" i="1"/>
  <c r="AM404" i="1"/>
  <c r="AM405" i="1" s="1"/>
  <c r="AL406" i="1" s="1"/>
  <c r="J400" i="1"/>
  <c r="AI400" i="1"/>
  <c r="V400" i="1"/>
  <c r="AK404" i="1"/>
  <c r="AK405" i="1" s="1"/>
  <c r="AJ406" i="1" s="1"/>
  <c r="H400" i="1"/>
  <c r="V401" i="1"/>
  <c r="J388" i="1"/>
  <c r="J377" i="1"/>
  <c r="AM369" i="1"/>
  <c r="AM370" i="1" s="1"/>
  <c r="AL371" i="1" s="1"/>
  <c r="AI377" i="1"/>
  <c r="AM341" i="1"/>
  <c r="AM342" i="1" s="1"/>
  <c r="AL343" i="1" s="1"/>
  <c r="AK380" i="1"/>
  <c r="AK381" i="1" s="1"/>
  <c r="AJ382" i="1" s="1"/>
  <c r="AK391" i="1"/>
  <c r="AK392" i="1" s="1"/>
  <c r="AJ393" i="1" s="1"/>
  <c r="AI338" i="1"/>
  <c r="AK354" i="1"/>
  <c r="AK355" i="1" s="1"/>
  <c r="AJ356" i="1" s="1"/>
  <c r="AM380" i="1"/>
  <c r="AM381" i="1" s="1"/>
  <c r="AL382" i="1" s="1"/>
  <c r="AM391" i="1"/>
  <c r="AM392" i="1" s="1"/>
  <c r="AL393" i="1" s="1"/>
  <c r="AM354" i="1"/>
  <c r="AM355" i="1" s="1"/>
  <c r="AL356" i="1" s="1"/>
  <c r="V388" i="1"/>
  <c r="AK369" i="1"/>
  <c r="AK370" i="1" s="1"/>
  <c r="AJ371" i="1" s="1"/>
  <c r="V338" i="1"/>
  <c r="J350" i="1"/>
  <c r="AI364" i="1"/>
  <c r="V377" i="1"/>
  <c r="V364" i="1"/>
  <c r="AI350" i="1"/>
  <c r="AK341" i="1"/>
  <c r="AK342" i="1" s="1"/>
  <c r="AJ343" i="1" s="1"/>
  <c r="V350" i="1"/>
  <c r="J364" i="1"/>
  <c r="AI388" i="1"/>
  <c r="H388" i="1"/>
  <c r="V389" i="1"/>
  <c r="H377" i="1"/>
  <c r="V378" i="1"/>
  <c r="H364" i="1"/>
  <c r="V365" i="1"/>
  <c r="H350" i="1"/>
  <c r="V351" i="1"/>
  <c r="H338" i="1"/>
  <c r="V339" i="1"/>
  <c r="AN320" i="1"/>
  <c r="AI320" i="1"/>
  <c r="L320" i="1"/>
  <c r="K320" i="1"/>
  <c r="J320" i="1"/>
  <c r="H320" i="1"/>
  <c r="C87" i="31" s="1"/>
  <c r="AN319" i="1"/>
  <c r="AI319" i="1"/>
  <c r="L319" i="1"/>
  <c r="K319" i="1"/>
  <c r="J319" i="1"/>
  <c r="H319" i="1"/>
  <c r="C86" i="31" s="1"/>
  <c r="AN306" i="1"/>
  <c r="AI306" i="1"/>
  <c r="L306" i="1"/>
  <c r="K306" i="1"/>
  <c r="J306" i="1"/>
  <c r="H306" i="1"/>
  <c r="C83" i="31" s="1"/>
  <c r="AN290" i="1"/>
  <c r="AI290" i="1"/>
  <c r="L290" i="1"/>
  <c r="K290" i="1"/>
  <c r="J290" i="1"/>
  <c r="H290" i="1"/>
  <c r="C79" i="31" s="1"/>
  <c r="AN289" i="1"/>
  <c r="AI289" i="1"/>
  <c r="L289" i="1"/>
  <c r="K289" i="1"/>
  <c r="J289" i="1"/>
  <c r="H289" i="1"/>
  <c r="C78" i="31" s="1"/>
  <c r="J280" i="1"/>
  <c r="C76" i="31"/>
  <c r="AP326" i="1"/>
  <c r="AP320" i="1"/>
  <c r="V320" i="1"/>
  <c r="AP296" i="1"/>
  <c r="AP290" i="1"/>
  <c r="V290" i="1"/>
  <c r="D331" i="1"/>
  <c r="AP329" i="1"/>
  <c r="AP328" i="1"/>
  <c r="AP327" i="1"/>
  <c r="AP325" i="1"/>
  <c r="AH324" i="1"/>
  <c r="AG324" i="1"/>
  <c r="AP323" i="1"/>
  <c r="V323" i="1"/>
  <c r="AP322" i="1"/>
  <c r="V322" i="1"/>
  <c r="AP321" i="1"/>
  <c r="V321" i="1"/>
  <c r="AP319" i="1"/>
  <c r="V319" i="1"/>
  <c r="F86" i="31" s="1"/>
  <c r="D314" i="1"/>
  <c r="AP312" i="1"/>
  <c r="AP311" i="1"/>
  <c r="AP310" i="1"/>
  <c r="AH309" i="1"/>
  <c r="AG309" i="1"/>
  <c r="AP308" i="1"/>
  <c r="V308" i="1"/>
  <c r="AP307" i="1"/>
  <c r="V307" i="1"/>
  <c r="AP306" i="1"/>
  <c r="V306" i="1"/>
  <c r="F83" i="31" s="1"/>
  <c r="D301" i="1"/>
  <c r="AP299" i="1"/>
  <c r="AP298" i="1"/>
  <c r="AP297" i="1"/>
  <c r="AP295" i="1"/>
  <c r="AH294" i="1"/>
  <c r="AG294" i="1"/>
  <c r="AP293" i="1"/>
  <c r="V293" i="1"/>
  <c r="AP292" i="1"/>
  <c r="V292" i="1"/>
  <c r="AP291" i="1"/>
  <c r="V291" i="1"/>
  <c r="AP289" i="1"/>
  <c r="V289" i="1"/>
  <c r="F78" i="31" s="1"/>
  <c r="D284" i="1"/>
  <c r="AP282" i="1"/>
  <c r="AP281" i="1"/>
  <c r="AH280" i="1"/>
  <c r="AG280" i="1"/>
  <c r="AP279" i="1"/>
  <c r="V279" i="1"/>
  <c r="AP278" i="1"/>
  <c r="V278" i="1"/>
  <c r="F76" i="31" s="1"/>
  <c r="AN271" i="1"/>
  <c r="AM271" i="1"/>
  <c r="AL271" i="1"/>
  <c r="AK271" i="1"/>
  <c r="AJ271" i="1"/>
  <c r="L271" i="1"/>
  <c r="K271" i="1"/>
  <c r="AN243" i="1"/>
  <c r="AM243" i="1"/>
  <c r="AL243" i="1"/>
  <c r="AK243" i="1"/>
  <c r="AJ243" i="1"/>
  <c r="L243" i="1"/>
  <c r="K243" i="1"/>
  <c r="AN232" i="1"/>
  <c r="AM232" i="1"/>
  <c r="AL232" i="1"/>
  <c r="AK232" i="1"/>
  <c r="AJ232" i="1"/>
  <c r="L232" i="1"/>
  <c r="K232" i="1"/>
  <c r="AN215" i="1"/>
  <c r="AM215" i="1"/>
  <c r="AL215" i="1"/>
  <c r="AK215" i="1"/>
  <c r="AJ215" i="1"/>
  <c r="L215" i="1"/>
  <c r="K215" i="1"/>
  <c r="AN270" i="1"/>
  <c r="AM270" i="1"/>
  <c r="AL270" i="1"/>
  <c r="AK270" i="1"/>
  <c r="AJ270" i="1"/>
  <c r="L270" i="1"/>
  <c r="K270" i="1"/>
  <c r="AN231" i="1"/>
  <c r="AM231" i="1"/>
  <c r="AL231" i="1"/>
  <c r="AK231" i="1"/>
  <c r="AJ231" i="1"/>
  <c r="L231" i="1"/>
  <c r="K231" i="1"/>
  <c r="AN269" i="1"/>
  <c r="AM269" i="1"/>
  <c r="AL269" i="1"/>
  <c r="AK269" i="1"/>
  <c r="AJ269" i="1"/>
  <c r="L269" i="1"/>
  <c r="K269" i="1"/>
  <c r="AN230" i="1"/>
  <c r="AM230" i="1"/>
  <c r="AL230" i="1"/>
  <c r="AK230" i="1"/>
  <c r="AJ230" i="1"/>
  <c r="L230" i="1"/>
  <c r="K230" i="1"/>
  <c r="AN214" i="1"/>
  <c r="AM214" i="1"/>
  <c r="AL214" i="1"/>
  <c r="AK214" i="1"/>
  <c r="AJ214" i="1"/>
  <c r="L214" i="1"/>
  <c r="K214" i="1"/>
  <c r="AN268" i="1"/>
  <c r="AM268" i="1"/>
  <c r="AL268" i="1"/>
  <c r="AK268" i="1"/>
  <c r="AJ268" i="1"/>
  <c r="L268" i="1"/>
  <c r="K268" i="1"/>
  <c r="AN267" i="1"/>
  <c r="AM267" i="1"/>
  <c r="AL267" i="1"/>
  <c r="AK267" i="1"/>
  <c r="AJ267" i="1"/>
  <c r="L267" i="1"/>
  <c r="K267" i="1"/>
  <c r="AN253" i="1"/>
  <c r="AM253" i="1"/>
  <c r="AL253" i="1"/>
  <c r="AK253" i="1"/>
  <c r="AJ253" i="1"/>
  <c r="L253" i="1"/>
  <c r="K253" i="1"/>
  <c r="AN242" i="1"/>
  <c r="AM242" i="1"/>
  <c r="AL242" i="1"/>
  <c r="AK242" i="1"/>
  <c r="AJ242" i="1"/>
  <c r="L242" i="1"/>
  <c r="K242" i="1"/>
  <c r="AN229" i="1"/>
  <c r="AM229" i="1"/>
  <c r="AL229" i="1"/>
  <c r="AK229" i="1"/>
  <c r="AJ229" i="1"/>
  <c r="L229" i="1"/>
  <c r="K229" i="1"/>
  <c r="AN228" i="1"/>
  <c r="AM228" i="1"/>
  <c r="AL228" i="1"/>
  <c r="AK228" i="1"/>
  <c r="AJ228" i="1"/>
  <c r="L228" i="1"/>
  <c r="K228" i="1"/>
  <c r="AN213" i="1"/>
  <c r="AM213" i="1"/>
  <c r="AL213" i="1"/>
  <c r="AK213" i="1"/>
  <c r="AJ213" i="1"/>
  <c r="L213" i="1"/>
  <c r="K213" i="1"/>
  <c r="AN265" i="1"/>
  <c r="AI265" i="1"/>
  <c r="L265" i="1"/>
  <c r="K265" i="1"/>
  <c r="J265" i="1"/>
  <c r="H265" i="1"/>
  <c r="AN240" i="1"/>
  <c r="AI240" i="1"/>
  <c r="L240" i="1"/>
  <c r="K240" i="1"/>
  <c r="J240" i="1"/>
  <c r="H240" i="1"/>
  <c r="AN226" i="1"/>
  <c r="AI226" i="1"/>
  <c r="L226" i="1"/>
  <c r="K226" i="1"/>
  <c r="J226" i="1"/>
  <c r="H226" i="1"/>
  <c r="AN211" i="1"/>
  <c r="AI211" i="1"/>
  <c r="L211" i="1"/>
  <c r="K211" i="1"/>
  <c r="J211" i="1"/>
  <c r="H211" i="1"/>
  <c r="AN264" i="1"/>
  <c r="AI264" i="1"/>
  <c r="L264" i="1"/>
  <c r="K264" i="1"/>
  <c r="J264" i="1"/>
  <c r="H264" i="1"/>
  <c r="AN225" i="1"/>
  <c r="AI225" i="1"/>
  <c r="L225" i="1"/>
  <c r="K225" i="1"/>
  <c r="J225" i="1"/>
  <c r="H225" i="1"/>
  <c r="AN263" i="1"/>
  <c r="AI263" i="1"/>
  <c r="L263" i="1"/>
  <c r="K263" i="1"/>
  <c r="J263" i="1"/>
  <c r="H263" i="1"/>
  <c r="AN224" i="1"/>
  <c r="AI224" i="1"/>
  <c r="L224" i="1"/>
  <c r="K224" i="1"/>
  <c r="J224" i="1"/>
  <c r="H224" i="1"/>
  <c r="AN210" i="1"/>
  <c r="AI210" i="1"/>
  <c r="L210" i="1"/>
  <c r="K210" i="1"/>
  <c r="J210" i="1"/>
  <c r="H210" i="1"/>
  <c r="AN262" i="1"/>
  <c r="AI262" i="1"/>
  <c r="L262" i="1"/>
  <c r="K262" i="1"/>
  <c r="J262" i="1"/>
  <c r="H262" i="1"/>
  <c r="AN261" i="1"/>
  <c r="AI261" i="1"/>
  <c r="L261" i="1"/>
  <c r="K261" i="1"/>
  <c r="J261" i="1"/>
  <c r="H261" i="1"/>
  <c r="AN250" i="1"/>
  <c r="AI250" i="1"/>
  <c r="L250" i="1"/>
  <c r="K250" i="1"/>
  <c r="J250" i="1"/>
  <c r="H250" i="1"/>
  <c r="AN239" i="1"/>
  <c r="AI239" i="1"/>
  <c r="L239" i="1"/>
  <c r="K239" i="1"/>
  <c r="J239" i="1"/>
  <c r="H239" i="1"/>
  <c r="AN223" i="1"/>
  <c r="AI223" i="1"/>
  <c r="L223" i="1"/>
  <c r="K223" i="1"/>
  <c r="J223" i="1"/>
  <c r="H223" i="1"/>
  <c r="AN222" i="1"/>
  <c r="AI222" i="1"/>
  <c r="L222" i="1"/>
  <c r="K222" i="1"/>
  <c r="J222" i="1"/>
  <c r="H222" i="1"/>
  <c r="AN209" i="1"/>
  <c r="AI209" i="1"/>
  <c r="L209" i="1"/>
  <c r="K209" i="1"/>
  <c r="J209" i="1"/>
  <c r="H209" i="1"/>
  <c r="AP268" i="1"/>
  <c r="AP262" i="1"/>
  <c r="V262" i="1"/>
  <c r="AP229" i="1"/>
  <c r="AP223" i="1"/>
  <c r="V223" i="1"/>
  <c r="D273" i="1"/>
  <c r="AP271" i="1"/>
  <c r="AP270" i="1"/>
  <c r="AP269" i="1"/>
  <c r="AP267" i="1"/>
  <c r="AH266" i="1"/>
  <c r="AG266" i="1"/>
  <c r="AP265" i="1"/>
  <c r="V265" i="1"/>
  <c r="AP264" i="1"/>
  <c r="V264" i="1"/>
  <c r="AP263" i="1"/>
  <c r="V263" i="1"/>
  <c r="AP261" i="1"/>
  <c r="V261" i="1"/>
  <c r="F71" i="31" s="1"/>
  <c r="D256" i="1"/>
  <c r="AP254" i="1"/>
  <c r="AP253" i="1"/>
  <c r="AH252" i="1"/>
  <c r="AG252" i="1"/>
  <c r="AP251" i="1"/>
  <c r="V251" i="1"/>
  <c r="AP250" i="1"/>
  <c r="V250" i="1"/>
  <c r="F69" i="31" s="1"/>
  <c r="D245" i="1"/>
  <c r="AP243" i="1"/>
  <c r="AP242" i="1"/>
  <c r="AH241" i="1"/>
  <c r="AG241" i="1"/>
  <c r="AP240" i="1"/>
  <c r="V240" i="1"/>
  <c r="AP239" i="1"/>
  <c r="V239" i="1"/>
  <c r="F67" i="31" s="1"/>
  <c r="D234" i="1"/>
  <c r="AP232" i="1"/>
  <c r="AP231" i="1"/>
  <c r="AP230" i="1"/>
  <c r="AP228" i="1"/>
  <c r="AH227" i="1"/>
  <c r="AG227" i="1"/>
  <c r="AP226" i="1"/>
  <c r="V226" i="1"/>
  <c r="AP225" i="1"/>
  <c r="V225" i="1"/>
  <c r="AP224" i="1"/>
  <c r="V224" i="1"/>
  <c r="AP222" i="1"/>
  <c r="V222" i="1"/>
  <c r="F62" i="31" s="1"/>
  <c r="D217" i="1"/>
  <c r="AP215" i="1"/>
  <c r="AP214" i="1"/>
  <c r="AP213" i="1"/>
  <c r="AH212" i="1"/>
  <c r="AG212" i="1"/>
  <c r="AP211" i="1"/>
  <c r="V211" i="1"/>
  <c r="AP210" i="1"/>
  <c r="V210" i="1"/>
  <c r="AP209" i="1"/>
  <c r="V209" i="1"/>
  <c r="F59" i="31" s="1"/>
  <c r="C202" i="31" l="1"/>
  <c r="C207" i="31"/>
  <c r="C199" i="31"/>
  <c r="C200" i="31"/>
  <c r="F204" i="31"/>
  <c r="C198" i="31"/>
  <c r="C201" i="31"/>
  <c r="F203" i="31"/>
  <c r="C204" i="31"/>
  <c r="C203" i="31"/>
  <c r="V231" i="1"/>
  <c r="L65" i="31" s="1"/>
  <c r="F65" i="31"/>
  <c r="V329" i="1"/>
  <c r="L90" i="31" s="1"/>
  <c r="F90" i="31"/>
  <c r="F207" i="31" s="1"/>
  <c r="V326" i="1"/>
  <c r="L87" i="31" s="1"/>
  <c r="F87" i="31"/>
  <c r="V243" i="1"/>
  <c r="L68" i="31" s="1"/>
  <c r="F68" i="31"/>
  <c r="F195" i="31" s="1"/>
  <c r="V269" i="1"/>
  <c r="L73" i="31" s="1"/>
  <c r="F73" i="31"/>
  <c r="V298" i="1"/>
  <c r="L81" i="31" s="1"/>
  <c r="F81" i="31"/>
  <c r="V355" i="1"/>
  <c r="L93" i="31"/>
  <c r="L203" i="31" s="1"/>
  <c r="V392" i="1"/>
  <c r="L102" i="31"/>
  <c r="L206" i="31" s="1"/>
  <c r="V215" i="1"/>
  <c r="L61" i="31" s="1"/>
  <c r="F61" i="31"/>
  <c r="V232" i="1"/>
  <c r="L66" i="31" s="1"/>
  <c r="F66" i="31"/>
  <c r="V229" i="1"/>
  <c r="L63" i="31" s="1"/>
  <c r="F63" i="31"/>
  <c r="V282" i="1"/>
  <c r="L77" i="31" s="1"/>
  <c r="F77" i="31"/>
  <c r="V311" i="1"/>
  <c r="L84" i="31" s="1"/>
  <c r="F84" i="31"/>
  <c r="V327" i="1"/>
  <c r="L88" i="31" s="1"/>
  <c r="F88" i="31"/>
  <c r="V299" i="1"/>
  <c r="L82" i="31" s="1"/>
  <c r="F82" i="31"/>
  <c r="V296" i="1"/>
  <c r="L79" i="31" s="1"/>
  <c r="F79" i="31"/>
  <c r="V370" i="1"/>
  <c r="L96" i="31"/>
  <c r="L204" i="31" s="1"/>
  <c r="V405" i="1"/>
  <c r="L104" i="31"/>
  <c r="L207" i="31" s="1"/>
  <c r="V270" i="1"/>
  <c r="L74" i="31" s="1"/>
  <c r="F74" i="31"/>
  <c r="V214" i="1"/>
  <c r="L60" i="31" s="1"/>
  <c r="F60" i="31"/>
  <c r="V230" i="1"/>
  <c r="L64" i="31" s="1"/>
  <c r="F64" i="31"/>
  <c r="V254" i="1"/>
  <c r="L70" i="31" s="1"/>
  <c r="F70" i="31"/>
  <c r="V312" i="1"/>
  <c r="L85" i="31" s="1"/>
  <c r="F85" i="31"/>
  <c r="V328" i="1"/>
  <c r="L89" i="31" s="1"/>
  <c r="F89" i="31"/>
  <c r="F198" i="31" s="1"/>
  <c r="V271" i="1"/>
  <c r="L75" i="31" s="1"/>
  <c r="F75" i="31"/>
  <c r="V268" i="1"/>
  <c r="L72" i="31" s="1"/>
  <c r="F72" i="31"/>
  <c r="V297" i="1"/>
  <c r="L80" i="31" s="1"/>
  <c r="F80" i="31"/>
  <c r="V342" i="1"/>
  <c r="L91" i="31"/>
  <c r="L202" i="31" s="1"/>
  <c r="V381" i="1"/>
  <c r="L100" i="31"/>
  <c r="L205" i="31" s="1"/>
  <c r="M209" i="1"/>
  <c r="C59" i="31"/>
  <c r="M222" i="1"/>
  <c r="C62" i="31"/>
  <c r="M223" i="1"/>
  <c r="C63" i="31"/>
  <c r="M239" i="1"/>
  <c r="C67" i="31"/>
  <c r="M250" i="1"/>
  <c r="C69" i="31"/>
  <c r="M261" i="1"/>
  <c r="C71" i="31"/>
  <c r="M262" i="1"/>
  <c r="C72" i="31"/>
  <c r="M210" i="1"/>
  <c r="C60" i="31"/>
  <c r="M224" i="1"/>
  <c r="C64" i="31"/>
  <c r="M263" i="1"/>
  <c r="C73" i="31"/>
  <c r="M225" i="1"/>
  <c r="C65" i="31"/>
  <c r="M264" i="1"/>
  <c r="C74" i="31"/>
  <c r="M211" i="1"/>
  <c r="C61" i="31"/>
  <c r="M226" i="1"/>
  <c r="C66" i="31"/>
  <c r="M240" i="1"/>
  <c r="C68" i="31"/>
  <c r="M251" i="1"/>
  <c r="C70" i="31"/>
  <c r="M265" i="1"/>
  <c r="C75" i="31"/>
  <c r="M278" i="1"/>
  <c r="M289" i="1"/>
  <c r="M290" i="1"/>
  <c r="M306" i="1"/>
  <c r="M319" i="1"/>
  <c r="M320" i="1"/>
  <c r="H391" i="1"/>
  <c r="AL244" i="1"/>
  <c r="AJ216" i="1"/>
  <c r="AJ255" i="1"/>
  <c r="AL216" i="1"/>
  <c r="AL255" i="1"/>
  <c r="AL233" i="1"/>
  <c r="AL272" i="1"/>
  <c r="AJ233" i="1"/>
  <c r="AJ244" i="1"/>
  <c r="AJ272" i="1"/>
  <c r="H380" i="1"/>
  <c r="H341" i="1"/>
  <c r="H369" i="1"/>
  <c r="H354" i="1"/>
  <c r="H404" i="1"/>
  <c r="M377" i="1"/>
  <c r="M400" i="1"/>
  <c r="M350" i="1"/>
  <c r="M364" i="1"/>
  <c r="M338" i="1"/>
  <c r="M388" i="1"/>
  <c r="H294" i="1"/>
  <c r="AI324" i="1"/>
  <c r="AK283" i="1"/>
  <c r="AK284" i="1" s="1"/>
  <c r="AJ285" i="1" s="1"/>
  <c r="AM313" i="1"/>
  <c r="AM314" i="1" s="1"/>
  <c r="AL315" i="1" s="1"/>
  <c r="V294" i="1"/>
  <c r="AM300" i="1"/>
  <c r="AM301" i="1" s="1"/>
  <c r="AL302" i="1" s="1"/>
  <c r="AI280" i="1"/>
  <c r="AM283" i="1"/>
  <c r="AM284" i="1" s="1"/>
  <c r="AL285" i="1" s="1"/>
  <c r="AI294" i="1"/>
  <c r="AK300" i="1"/>
  <c r="AK301" i="1" s="1"/>
  <c r="AJ302" i="1" s="1"/>
  <c r="AI309" i="1"/>
  <c r="V324" i="1"/>
  <c r="AM330" i="1"/>
  <c r="AM331" i="1" s="1"/>
  <c r="AL332" i="1" s="1"/>
  <c r="V295" i="1"/>
  <c r="V309" i="1"/>
  <c r="AK313" i="1"/>
  <c r="AK314" i="1" s="1"/>
  <c r="AJ315" i="1" s="1"/>
  <c r="J294" i="1"/>
  <c r="J324" i="1"/>
  <c r="V280" i="1"/>
  <c r="J309" i="1"/>
  <c r="AK330" i="1"/>
  <c r="AK331" i="1" s="1"/>
  <c r="AJ332" i="1" s="1"/>
  <c r="H324" i="1"/>
  <c r="V325" i="1"/>
  <c r="H309" i="1"/>
  <c r="V310" i="1"/>
  <c r="H280" i="1"/>
  <c r="V281" i="1"/>
  <c r="AI252" i="1"/>
  <c r="AI266" i="1"/>
  <c r="AM233" i="1"/>
  <c r="AM234" i="1" s="1"/>
  <c r="AL235" i="1" s="1"/>
  <c r="V227" i="1"/>
  <c r="AM216" i="1"/>
  <c r="AM217" i="1" s="1"/>
  <c r="AL218" i="1" s="1"/>
  <c r="AK233" i="1"/>
  <c r="AK234" i="1" s="1"/>
  <c r="AJ235" i="1" s="1"/>
  <c r="AM255" i="1"/>
  <c r="AM256" i="1" s="1"/>
  <c r="AL257" i="1" s="1"/>
  <c r="J266" i="1"/>
  <c r="AI227" i="1"/>
  <c r="AM244" i="1"/>
  <c r="AM245" i="1" s="1"/>
  <c r="AL246" i="1" s="1"/>
  <c r="J212" i="1"/>
  <c r="AK216" i="1"/>
  <c r="AK217" i="1" s="1"/>
  <c r="AJ218" i="1" s="1"/>
  <c r="AK244" i="1"/>
  <c r="AK245" i="1" s="1"/>
  <c r="AJ246" i="1" s="1"/>
  <c r="V252" i="1"/>
  <c r="AK255" i="1"/>
  <c r="AK256" i="1" s="1"/>
  <c r="AJ257" i="1" s="1"/>
  <c r="AI241" i="1"/>
  <c r="V266" i="1"/>
  <c r="AM272" i="1"/>
  <c r="AM273" i="1" s="1"/>
  <c r="AL274" i="1" s="1"/>
  <c r="AI212" i="1"/>
  <c r="V241" i="1"/>
  <c r="V212" i="1"/>
  <c r="J227" i="1"/>
  <c r="J252" i="1"/>
  <c r="J241" i="1"/>
  <c r="AK272" i="1"/>
  <c r="AK273" i="1" s="1"/>
  <c r="AJ274" i="1" s="1"/>
  <c r="H266" i="1"/>
  <c r="V267" i="1"/>
  <c r="H252" i="1"/>
  <c r="V253" i="1"/>
  <c r="H241" i="1"/>
  <c r="V242" i="1"/>
  <c r="H227" i="1"/>
  <c r="V228" i="1"/>
  <c r="H212" i="1"/>
  <c r="V213" i="1"/>
  <c r="AN196" i="1"/>
  <c r="AI196" i="1"/>
  <c r="L196" i="1"/>
  <c r="K196" i="1"/>
  <c r="J196" i="1"/>
  <c r="H196" i="1"/>
  <c r="C58" i="31" s="1"/>
  <c r="AN202" i="1"/>
  <c r="AM202" i="1"/>
  <c r="AL202" i="1"/>
  <c r="AK202" i="1"/>
  <c r="AJ202" i="1"/>
  <c r="L202" i="1"/>
  <c r="K202" i="1"/>
  <c r="AN185" i="1"/>
  <c r="AM185" i="1"/>
  <c r="AL185" i="1"/>
  <c r="AK185" i="1"/>
  <c r="AJ185" i="1"/>
  <c r="L185" i="1"/>
  <c r="K185" i="1"/>
  <c r="AN170" i="1"/>
  <c r="AM170" i="1"/>
  <c r="AL170" i="1"/>
  <c r="AK170" i="1"/>
  <c r="AJ170" i="1"/>
  <c r="L170" i="1"/>
  <c r="K170" i="1"/>
  <c r="AN153" i="1"/>
  <c r="AM153" i="1"/>
  <c r="AL153" i="1"/>
  <c r="AK153" i="1"/>
  <c r="AJ153" i="1"/>
  <c r="L153" i="1"/>
  <c r="K153" i="1"/>
  <c r="AN136" i="1"/>
  <c r="AM136" i="1"/>
  <c r="AL136" i="1"/>
  <c r="AK136" i="1"/>
  <c r="AJ136" i="1"/>
  <c r="L136" i="1"/>
  <c r="K136" i="1"/>
  <c r="AN201" i="1"/>
  <c r="AM201" i="1"/>
  <c r="AL201" i="1"/>
  <c r="AK201" i="1"/>
  <c r="AJ201" i="1"/>
  <c r="L201" i="1"/>
  <c r="K201" i="1"/>
  <c r="AN184" i="1"/>
  <c r="AM184" i="1"/>
  <c r="AL184" i="1"/>
  <c r="AK184" i="1"/>
  <c r="AJ184" i="1"/>
  <c r="L184" i="1"/>
  <c r="K184" i="1"/>
  <c r="AN169" i="1"/>
  <c r="AM169" i="1"/>
  <c r="AL169" i="1"/>
  <c r="AK169" i="1"/>
  <c r="AJ169" i="1"/>
  <c r="L169" i="1"/>
  <c r="K169" i="1"/>
  <c r="AN152" i="1"/>
  <c r="AM152" i="1"/>
  <c r="AL152" i="1"/>
  <c r="AK152" i="1"/>
  <c r="AJ152" i="1"/>
  <c r="L152" i="1"/>
  <c r="K152" i="1"/>
  <c r="AN200" i="1"/>
  <c r="AM200" i="1"/>
  <c r="AL200" i="1"/>
  <c r="AK200" i="1"/>
  <c r="AJ200" i="1"/>
  <c r="L200" i="1"/>
  <c r="K200" i="1"/>
  <c r="AN183" i="1"/>
  <c r="AM183" i="1"/>
  <c r="AL183" i="1"/>
  <c r="AK183" i="1"/>
  <c r="AJ183" i="1"/>
  <c r="L183" i="1"/>
  <c r="K183" i="1"/>
  <c r="AN168" i="1"/>
  <c r="AM168" i="1"/>
  <c r="AL168" i="1"/>
  <c r="AK168" i="1"/>
  <c r="AJ168" i="1"/>
  <c r="L168" i="1"/>
  <c r="K168" i="1"/>
  <c r="AN151" i="1"/>
  <c r="AM151" i="1"/>
  <c r="AL151" i="1"/>
  <c r="AK151" i="1"/>
  <c r="AJ151" i="1"/>
  <c r="L151" i="1"/>
  <c r="K151" i="1"/>
  <c r="AN135" i="1"/>
  <c r="AM135" i="1"/>
  <c r="AL135" i="1"/>
  <c r="AK135" i="1"/>
  <c r="AJ135" i="1"/>
  <c r="L135" i="1"/>
  <c r="K135" i="1"/>
  <c r="AN199" i="1"/>
  <c r="AM199" i="1"/>
  <c r="AL199" i="1"/>
  <c r="AK199" i="1"/>
  <c r="AJ199" i="1"/>
  <c r="L199" i="1"/>
  <c r="K199" i="1"/>
  <c r="AN198" i="1"/>
  <c r="AM198" i="1"/>
  <c r="AL198" i="1"/>
  <c r="AK198" i="1"/>
  <c r="AJ198" i="1"/>
  <c r="L198" i="1"/>
  <c r="K198" i="1"/>
  <c r="AN182" i="1"/>
  <c r="AM182" i="1"/>
  <c r="AL182" i="1"/>
  <c r="AK182" i="1"/>
  <c r="AJ182" i="1"/>
  <c r="L182" i="1"/>
  <c r="K182" i="1"/>
  <c r="AN167" i="1"/>
  <c r="AM167" i="1"/>
  <c r="AL167" i="1"/>
  <c r="AK167" i="1"/>
  <c r="AJ167" i="1"/>
  <c r="L167" i="1"/>
  <c r="K167" i="1"/>
  <c r="AN166" i="1"/>
  <c r="AM166" i="1"/>
  <c r="AL166" i="1"/>
  <c r="AK166" i="1"/>
  <c r="AJ166" i="1"/>
  <c r="L166" i="1"/>
  <c r="K166" i="1"/>
  <c r="AN150" i="1"/>
  <c r="AM150" i="1"/>
  <c r="AL150" i="1"/>
  <c r="AK150" i="1"/>
  <c r="AJ150" i="1"/>
  <c r="L150" i="1"/>
  <c r="K150" i="1"/>
  <c r="AN149" i="1"/>
  <c r="AM149" i="1"/>
  <c r="AL149" i="1"/>
  <c r="AK149" i="1"/>
  <c r="AJ149" i="1"/>
  <c r="L149" i="1"/>
  <c r="K149" i="1"/>
  <c r="AN134" i="1"/>
  <c r="AM134" i="1"/>
  <c r="AL134" i="1"/>
  <c r="AK134" i="1"/>
  <c r="AJ134" i="1"/>
  <c r="L134" i="1"/>
  <c r="K134" i="1"/>
  <c r="AN180" i="1"/>
  <c r="AI180" i="1"/>
  <c r="L180" i="1"/>
  <c r="K180" i="1"/>
  <c r="J180" i="1"/>
  <c r="H180" i="1"/>
  <c r="AN164" i="1"/>
  <c r="AI164" i="1"/>
  <c r="L164" i="1"/>
  <c r="K164" i="1"/>
  <c r="J164" i="1"/>
  <c r="H164" i="1"/>
  <c r="AN147" i="1"/>
  <c r="AI147" i="1"/>
  <c r="L147" i="1"/>
  <c r="K147" i="1"/>
  <c r="J147" i="1"/>
  <c r="H147" i="1"/>
  <c r="AN132" i="1"/>
  <c r="AI132" i="1"/>
  <c r="L132" i="1"/>
  <c r="K132" i="1"/>
  <c r="J132" i="1"/>
  <c r="H132" i="1"/>
  <c r="AN195" i="1"/>
  <c r="AI195" i="1"/>
  <c r="L195" i="1"/>
  <c r="K195" i="1"/>
  <c r="J195" i="1"/>
  <c r="H195" i="1"/>
  <c r="AN179" i="1"/>
  <c r="AI179" i="1"/>
  <c r="L179" i="1"/>
  <c r="K179" i="1"/>
  <c r="J179" i="1"/>
  <c r="H179" i="1"/>
  <c r="AN163" i="1"/>
  <c r="AI163" i="1"/>
  <c r="L163" i="1"/>
  <c r="K163" i="1"/>
  <c r="J163" i="1"/>
  <c r="H163" i="1"/>
  <c r="AN146" i="1"/>
  <c r="AI146" i="1"/>
  <c r="L146" i="1"/>
  <c r="K146" i="1"/>
  <c r="J146" i="1"/>
  <c r="H146" i="1"/>
  <c r="AN194" i="1"/>
  <c r="AI194" i="1"/>
  <c r="L194" i="1"/>
  <c r="K194" i="1"/>
  <c r="J194" i="1"/>
  <c r="H194" i="1"/>
  <c r="AN178" i="1"/>
  <c r="AI178" i="1"/>
  <c r="L178" i="1"/>
  <c r="K178" i="1"/>
  <c r="J178" i="1"/>
  <c r="H178" i="1"/>
  <c r="AN162" i="1"/>
  <c r="AI162" i="1"/>
  <c r="L162" i="1"/>
  <c r="K162" i="1"/>
  <c r="J162" i="1"/>
  <c r="H162" i="1"/>
  <c r="AN145" i="1"/>
  <c r="AI145" i="1"/>
  <c r="L145" i="1"/>
  <c r="K145" i="1"/>
  <c r="J145" i="1"/>
  <c r="H145" i="1"/>
  <c r="AN131" i="1"/>
  <c r="AI131" i="1"/>
  <c r="L131" i="1"/>
  <c r="K131" i="1"/>
  <c r="J131" i="1"/>
  <c r="H131" i="1"/>
  <c r="AN193" i="1"/>
  <c r="AI193" i="1"/>
  <c r="L193" i="1"/>
  <c r="K193" i="1"/>
  <c r="J193" i="1"/>
  <c r="H193" i="1"/>
  <c r="AN192" i="1"/>
  <c r="AI192" i="1"/>
  <c r="L192" i="1"/>
  <c r="K192" i="1"/>
  <c r="J192" i="1"/>
  <c r="H192" i="1"/>
  <c r="AN177" i="1"/>
  <c r="AI177" i="1"/>
  <c r="L177" i="1"/>
  <c r="K177" i="1"/>
  <c r="J177" i="1"/>
  <c r="H177" i="1"/>
  <c r="AN161" i="1"/>
  <c r="AI161" i="1"/>
  <c r="L161" i="1"/>
  <c r="K161" i="1"/>
  <c r="J161" i="1"/>
  <c r="H161" i="1"/>
  <c r="AN160" i="1"/>
  <c r="AI160" i="1"/>
  <c r="L160" i="1"/>
  <c r="K160" i="1"/>
  <c r="J160" i="1"/>
  <c r="H160" i="1"/>
  <c r="AN144" i="1"/>
  <c r="AI144" i="1"/>
  <c r="L144" i="1"/>
  <c r="K144" i="1"/>
  <c r="J144" i="1"/>
  <c r="H144" i="1"/>
  <c r="AN143" i="1"/>
  <c r="AI143" i="1"/>
  <c r="L143" i="1"/>
  <c r="K143" i="1"/>
  <c r="J143" i="1"/>
  <c r="H143" i="1"/>
  <c r="AN130" i="1"/>
  <c r="AI130" i="1"/>
  <c r="L130" i="1"/>
  <c r="K130" i="1"/>
  <c r="J130" i="1"/>
  <c r="H130" i="1"/>
  <c r="AP199" i="1"/>
  <c r="AP193" i="1"/>
  <c r="V193" i="1"/>
  <c r="AP167" i="1"/>
  <c r="AP161" i="1"/>
  <c r="V161" i="1"/>
  <c r="AP150" i="1"/>
  <c r="AP144" i="1"/>
  <c r="V144" i="1"/>
  <c r="D204" i="1"/>
  <c r="AP202" i="1"/>
  <c r="AP201" i="1"/>
  <c r="AP200" i="1"/>
  <c r="AP198" i="1"/>
  <c r="AH197" i="1"/>
  <c r="AG197" i="1"/>
  <c r="AP196" i="1"/>
  <c r="V196" i="1"/>
  <c r="AP195" i="1"/>
  <c r="V195" i="1"/>
  <c r="AP194" i="1"/>
  <c r="V194" i="1"/>
  <c r="AP192" i="1"/>
  <c r="V192" i="1"/>
  <c r="F54" i="31" s="1"/>
  <c r="D187" i="1"/>
  <c r="AP185" i="1"/>
  <c r="AP184" i="1"/>
  <c r="AP183" i="1"/>
  <c r="AP182" i="1"/>
  <c r="AH181" i="1"/>
  <c r="AG181" i="1"/>
  <c r="AP180" i="1"/>
  <c r="V180" i="1"/>
  <c r="AP179" i="1"/>
  <c r="V179" i="1"/>
  <c r="AP178" i="1"/>
  <c r="V178" i="1"/>
  <c r="AP177" i="1"/>
  <c r="V177" i="1"/>
  <c r="F50" i="31" s="1"/>
  <c r="D172" i="1"/>
  <c r="AP170" i="1"/>
  <c r="AP169" i="1"/>
  <c r="AP168" i="1"/>
  <c r="AP166" i="1"/>
  <c r="AH165" i="1"/>
  <c r="AG165" i="1"/>
  <c r="AP164" i="1"/>
  <c r="V164" i="1"/>
  <c r="AP163" i="1"/>
  <c r="V163" i="1"/>
  <c r="AP162" i="1"/>
  <c r="V162" i="1"/>
  <c r="AP160" i="1"/>
  <c r="V160" i="1"/>
  <c r="F45" i="31" s="1"/>
  <c r="D155" i="1"/>
  <c r="AP153" i="1"/>
  <c r="AP152" i="1"/>
  <c r="AP151" i="1"/>
  <c r="AP149" i="1"/>
  <c r="AH148" i="1"/>
  <c r="AG148" i="1"/>
  <c r="AP147" i="1"/>
  <c r="V147" i="1"/>
  <c r="AP146" i="1"/>
  <c r="V146" i="1"/>
  <c r="AP145" i="1"/>
  <c r="V145" i="1"/>
  <c r="AP143" i="1"/>
  <c r="V143" i="1"/>
  <c r="F40" i="31" s="1"/>
  <c r="D138" i="1"/>
  <c r="AP136" i="1"/>
  <c r="AP135" i="1"/>
  <c r="AP134" i="1"/>
  <c r="AH133" i="1"/>
  <c r="AG133" i="1"/>
  <c r="AP132" i="1"/>
  <c r="V132" i="1"/>
  <c r="AP131" i="1"/>
  <c r="V131" i="1"/>
  <c r="AP130" i="1"/>
  <c r="V130" i="1"/>
  <c r="F37" i="31" s="1"/>
  <c r="AN109" i="1"/>
  <c r="AM109" i="1"/>
  <c r="AL109" i="1"/>
  <c r="AK109" i="1"/>
  <c r="AJ109" i="1"/>
  <c r="L109" i="1"/>
  <c r="K109" i="1"/>
  <c r="AN122" i="1"/>
  <c r="AM122" i="1"/>
  <c r="AL122" i="1"/>
  <c r="AK122" i="1"/>
  <c r="AJ122" i="1"/>
  <c r="L122" i="1"/>
  <c r="K122" i="1"/>
  <c r="AN108" i="1"/>
  <c r="AM108" i="1"/>
  <c r="AL108" i="1"/>
  <c r="AK108" i="1"/>
  <c r="AJ108" i="1"/>
  <c r="L108" i="1"/>
  <c r="K108" i="1"/>
  <c r="AN92" i="1"/>
  <c r="AM92" i="1"/>
  <c r="AL92" i="1"/>
  <c r="AK92" i="1"/>
  <c r="AJ92" i="1"/>
  <c r="L92" i="1"/>
  <c r="K92" i="1"/>
  <c r="AN79" i="1"/>
  <c r="AM79" i="1"/>
  <c r="AL79" i="1"/>
  <c r="AK79" i="1"/>
  <c r="AJ79" i="1"/>
  <c r="L79" i="1"/>
  <c r="K79" i="1"/>
  <c r="AN123" i="1"/>
  <c r="AM123" i="1"/>
  <c r="AL123" i="1"/>
  <c r="AK123" i="1"/>
  <c r="AJ123" i="1"/>
  <c r="L123" i="1"/>
  <c r="K123" i="1"/>
  <c r="AN110" i="1"/>
  <c r="AM110" i="1"/>
  <c r="AL110" i="1"/>
  <c r="AK110" i="1"/>
  <c r="AJ110" i="1"/>
  <c r="L110" i="1"/>
  <c r="K110" i="1"/>
  <c r="AN93" i="1"/>
  <c r="AM93" i="1"/>
  <c r="AL93" i="1"/>
  <c r="AK93" i="1"/>
  <c r="AJ93" i="1"/>
  <c r="L93" i="1"/>
  <c r="K93" i="1"/>
  <c r="AN80" i="1"/>
  <c r="AM80" i="1"/>
  <c r="AL80" i="1"/>
  <c r="AK80" i="1"/>
  <c r="AJ80" i="1"/>
  <c r="L80" i="1"/>
  <c r="K80" i="1"/>
  <c r="AN67" i="1"/>
  <c r="AM67" i="1"/>
  <c r="AL67" i="1"/>
  <c r="AK67" i="1"/>
  <c r="AJ67" i="1"/>
  <c r="L67" i="1"/>
  <c r="K67" i="1"/>
  <c r="AN121" i="1"/>
  <c r="AM121" i="1"/>
  <c r="AL121" i="1"/>
  <c r="AK121" i="1"/>
  <c r="AJ121" i="1"/>
  <c r="L121" i="1"/>
  <c r="K121" i="1"/>
  <c r="AN107" i="1"/>
  <c r="AM107" i="1"/>
  <c r="AL107" i="1"/>
  <c r="AK107" i="1"/>
  <c r="AJ107" i="1"/>
  <c r="L107" i="1"/>
  <c r="K107" i="1"/>
  <c r="AN106" i="1"/>
  <c r="AM106" i="1"/>
  <c r="AL106" i="1"/>
  <c r="AK106" i="1"/>
  <c r="AJ106" i="1"/>
  <c r="L106" i="1"/>
  <c r="K106" i="1"/>
  <c r="AN91" i="1"/>
  <c r="AM91" i="1"/>
  <c r="AL91" i="1"/>
  <c r="AK91" i="1"/>
  <c r="AJ91" i="1"/>
  <c r="L91" i="1"/>
  <c r="K91" i="1"/>
  <c r="AN78" i="1"/>
  <c r="AM78" i="1"/>
  <c r="AL78" i="1"/>
  <c r="AK78" i="1"/>
  <c r="AJ78" i="1"/>
  <c r="L78" i="1"/>
  <c r="K78" i="1"/>
  <c r="AN12" i="1"/>
  <c r="AM12" i="1"/>
  <c r="AL12" i="1"/>
  <c r="AK12" i="1"/>
  <c r="AJ12" i="1"/>
  <c r="L12" i="1"/>
  <c r="K12" i="1"/>
  <c r="AN66" i="1"/>
  <c r="AM66" i="1"/>
  <c r="AL66" i="1"/>
  <c r="AK66" i="1"/>
  <c r="AJ66" i="1"/>
  <c r="L66" i="1"/>
  <c r="K66" i="1"/>
  <c r="AN103" i="1"/>
  <c r="AI103" i="1"/>
  <c r="L103" i="1"/>
  <c r="K103" i="1"/>
  <c r="J103" i="1"/>
  <c r="H103" i="1"/>
  <c r="C32" i="31" s="1"/>
  <c r="AN101" i="1"/>
  <c r="AI101" i="1"/>
  <c r="L101" i="1"/>
  <c r="K101" i="1"/>
  <c r="J101" i="1"/>
  <c r="H101" i="1"/>
  <c r="C30" i="31" s="1"/>
  <c r="AN118" i="1"/>
  <c r="AI118" i="1"/>
  <c r="L118" i="1"/>
  <c r="K118" i="1"/>
  <c r="J118" i="1"/>
  <c r="H118" i="1"/>
  <c r="C35" i="31" s="1"/>
  <c r="AN102" i="1"/>
  <c r="AI102" i="1"/>
  <c r="L102" i="1"/>
  <c r="K102" i="1"/>
  <c r="J102" i="1"/>
  <c r="H102" i="1"/>
  <c r="C31" i="31" s="1"/>
  <c r="AN88" i="1"/>
  <c r="AI88" i="1"/>
  <c r="L88" i="1"/>
  <c r="K88" i="1"/>
  <c r="J88" i="1"/>
  <c r="H88" i="1"/>
  <c r="C27" i="31" s="1"/>
  <c r="AN75" i="1"/>
  <c r="AI75" i="1"/>
  <c r="L75" i="1"/>
  <c r="K75" i="1"/>
  <c r="J75" i="1"/>
  <c r="H75" i="1"/>
  <c r="C24" i="31" s="1"/>
  <c r="AN119" i="1"/>
  <c r="AI119" i="1"/>
  <c r="L119" i="1"/>
  <c r="K119" i="1"/>
  <c r="J119" i="1"/>
  <c r="H119" i="1"/>
  <c r="C36" i="31" s="1"/>
  <c r="AN104" i="1"/>
  <c r="AI104" i="1"/>
  <c r="L104" i="1"/>
  <c r="K104" i="1"/>
  <c r="J104" i="1"/>
  <c r="H104" i="1"/>
  <c r="C33" i="31" s="1"/>
  <c r="AN89" i="1"/>
  <c r="AI89" i="1"/>
  <c r="L89" i="1"/>
  <c r="K89" i="1"/>
  <c r="J89" i="1"/>
  <c r="H89" i="1"/>
  <c r="C28" i="31" s="1"/>
  <c r="AN76" i="1"/>
  <c r="AI76" i="1"/>
  <c r="L76" i="1"/>
  <c r="K76" i="1"/>
  <c r="J76" i="1"/>
  <c r="H76" i="1"/>
  <c r="C25" i="31" s="1"/>
  <c r="AN64" i="1"/>
  <c r="AI64" i="1"/>
  <c r="L64" i="1"/>
  <c r="K64" i="1"/>
  <c r="J64" i="1"/>
  <c r="H64" i="1"/>
  <c r="C22" i="31" s="1"/>
  <c r="AN117" i="1"/>
  <c r="AI117" i="1"/>
  <c r="L117" i="1"/>
  <c r="K117" i="1"/>
  <c r="J117" i="1"/>
  <c r="H117" i="1"/>
  <c r="C34" i="31" s="1"/>
  <c r="AN100" i="1"/>
  <c r="AI100" i="1"/>
  <c r="L100" i="1"/>
  <c r="K100" i="1"/>
  <c r="J100" i="1"/>
  <c r="H100" i="1"/>
  <c r="C29" i="31" s="1"/>
  <c r="C186" i="31" s="1"/>
  <c r="AN87" i="1"/>
  <c r="AI87" i="1"/>
  <c r="L87" i="1"/>
  <c r="K87" i="1"/>
  <c r="J87" i="1"/>
  <c r="H87" i="1"/>
  <c r="C26" i="31" s="1"/>
  <c r="AN74" i="1"/>
  <c r="AI74" i="1"/>
  <c r="L74" i="1"/>
  <c r="K74" i="1"/>
  <c r="J74" i="1"/>
  <c r="H74" i="1"/>
  <c r="C23" i="31" s="1"/>
  <c r="C184" i="31" s="1"/>
  <c r="AN63" i="1"/>
  <c r="AI63" i="1"/>
  <c r="L63" i="1"/>
  <c r="K63" i="1"/>
  <c r="J63" i="1"/>
  <c r="H63" i="1"/>
  <c r="C21" i="31" s="1"/>
  <c r="AP107" i="1"/>
  <c r="AP101" i="1"/>
  <c r="V101" i="1"/>
  <c r="D125" i="1"/>
  <c r="AP123" i="1"/>
  <c r="AP122" i="1"/>
  <c r="AP121" i="1"/>
  <c r="AH120" i="1"/>
  <c r="AG120" i="1"/>
  <c r="AP119" i="1"/>
  <c r="V119" i="1"/>
  <c r="AP118" i="1"/>
  <c r="V118" i="1"/>
  <c r="AP117" i="1"/>
  <c r="V117" i="1"/>
  <c r="F34" i="31" s="1"/>
  <c r="D112" i="1"/>
  <c r="AP110" i="1"/>
  <c r="AP109" i="1"/>
  <c r="AP108" i="1"/>
  <c r="AP106" i="1"/>
  <c r="AH105" i="1"/>
  <c r="AG105" i="1"/>
  <c r="AP104" i="1"/>
  <c r="V104" i="1"/>
  <c r="AP103" i="1"/>
  <c r="V103" i="1"/>
  <c r="AP102" i="1"/>
  <c r="V102" i="1"/>
  <c r="AP100" i="1"/>
  <c r="V100" i="1"/>
  <c r="F29" i="31" s="1"/>
  <c r="D95" i="1"/>
  <c r="AP93" i="1"/>
  <c r="AP92" i="1"/>
  <c r="AP91" i="1"/>
  <c r="AH90" i="1"/>
  <c r="AG90" i="1"/>
  <c r="AP89" i="1"/>
  <c r="V89" i="1"/>
  <c r="AP88" i="1"/>
  <c r="V88" i="1"/>
  <c r="AP87" i="1"/>
  <c r="V87" i="1"/>
  <c r="F26" i="31" s="1"/>
  <c r="D82" i="1"/>
  <c r="AP80" i="1"/>
  <c r="AP79" i="1"/>
  <c r="AP78" i="1"/>
  <c r="AH77" i="1"/>
  <c r="AG77" i="1"/>
  <c r="AP76" i="1"/>
  <c r="V76" i="1"/>
  <c r="AP75" i="1"/>
  <c r="V75" i="1"/>
  <c r="AP74" i="1"/>
  <c r="V74" i="1"/>
  <c r="F23" i="31" s="1"/>
  <c r="D69" i="1"/>
  <c r="AP67" i="1"/>
  <c r="AP66" i="1"/>
  <c r="AH65" i="1"/>
  <c r="AG65" i="1"/>
  <c r="AP64" i="1"/>
  <c r="V64" i="1"/>
  <c r="AP63" i="1"/>
  <c r="V63" i="1"/>
  <c r="F21" i="31" s="1"/>
  <c r="AN56" i="1"/>
  <c r="AM56" i="1"/>
  <c r="AL56" i="1"/>
  <c r="AK56" i="1"/>
  <c r="AJ56" i="1"/>
  <c r="L56" i="1"/>
  <c r="K56" i="1"/>
  <c r="AN55" i="1"/>
  <c r="AM55" i="1"/>
  <c r="AL55" i="1"/>
  <c r="AK55" i="1"/>
  <c r="AJ55" i="1"/>
  <c r="L55" i="1"/>
  <c r="K55" i="1"/>
  <c r="AN54" i="1"/>
  <c r="AM54" i="1"/>
  <c r="AL54" i="1"/>
  <c r="AK54" i="1"/>
  <c r="AJ54" i="1"/>
  <c r="L54" i="1"/>
  <c r="K54" i="1"/>
  <c r="AN52" i="1"/>
  <c r="AI52" i="1"/>
  <c r="L52" i="1"/>
  <c r="K52" i="1"/>
  <c r="J52" i="1"/>
  <c r="H52" i="1"/>
  <c r="AN51" i="1"/>
  <c r="AI51" i="1"/>
  <c r="L51" i="1"/>
  <c r="K51" i="1"/>
  <c r="J51" i="1"/>
  <c r="H51" i="1"/>
  <c r="AN50" i="1"/>
  <c r="AI50" i="1"/>
  <c r="L50" i="1"/>
  <c r="K50" i="1"/>
  <c r="J50" i="1"/>
  <c r="H50" i="1"/>
  <c r="D58" i="1"/>
  <c r="AP56" i="1"/>
  <c r="AP55" i="1"/>
  <c r="AP54" i="1"/>
  <c r="AH53" i="1"/>
  <c r="AG53" i="1"/>
  <c r="AP52" i="1"/>
  <c r="V52" i="1"/>
  <c r="AP51" i="1"/>
  <c r="V51" i="1"/>
  <c r="AP50" i="1"/>
  <c r="V50" i="1"/>
  <c r="F18" i="31" s="1"/>
  <c r="C187" i="31" l="1"/>
  <c r="F197" i="31"/>
  <c r="F193" i="31"/>
  <c r="C183" i="31"/>
  <c r="C185" i="31"/>
  <c r="V234" i="1"/>
  <c r="L62" i="31"/>
  <c r="F201" i="31"/>
  <c r="F199" i="31"/>
  <c r="F196" i="31"/>
  <c r="F194" i="31"/>
  <c r="L194" i="31"/>
  <c r="F200" i="31"/>
  <c r="C195" i="31"/>
  <c r="C197" i="31"/>
  <c r="C196" i="31"/>
  <c r="C194" i="31"/>
  <c r="C193" i="31"/>
  <c r="V170" i="1"/>
  <c r="L49" i="31" s="1"/>
  <c r="F49" i="31"/>
  <c r="V107" i="1"/>
  <c r="L30" i="31" s="1"/>
  <c r="F30" i="31"/>
  <c r="V136" i="1"/>
  <c r="L39" i="31" s="1"/>
  <c r="F39" i="31"/>
  <c r="V152" i="1"/>
  <c r="L43" i="31" s="1"/>
  <c r="F43" i="31"/>
  <c r="V184" i="1"/>
  <c r="L52" i="31" s="1"/>
  <c r="F52" i="31"/>
  <c r="V331" i="1"/>
  <c r="L86" i="31"/>
  <c r="L201" i="31" s="1"/>
  <c r="V79" i="1"/>
  <c r="L24" i="31" s="1"/>
  <c r="F24" i="31"/>
  <c r="V108" i="1"/>
  <c r="L31" i="31" s="1"/>
  <c r="F31" i="31"/>
  <c r="V167" i="1"/>
  <c r="L46" i="31" s="1"/>
  <c r="F46" i="31"/>
  <c r="V80" i="1"/>
  <c r="L25" i="31" s="1"/>
  <c r="F25" i="31"/>
  <c r="V93" i="1"/>
  <c r="L28" i="31" s="1"/>
  <c r="F28" i="31"/>
  <c r="V109" i="1"/>
  <c r="L32" i="31" s="1"/>
  <c r="F32" i="31"/>
  <c r="V168" i="1"/>
  <c r="L47" i="31" s="1"/>
  <c r="F47" i="31"/>
  <c r="V200" i="1"/>
  <c r="L56" i="31" s="1"/>
  <c r="F56" i="31"/>
  <c r="V245" i="1"/>
  <c r="L67" i="31"/>
  <c r="L195" i="31" s="1"/>
  <c r="V92" i="1"/>
  <c r="L27" i="31" s="1"/>
  <c r="F27" i="31"/>
  <c r="V202" i="1"/>
  <c r="L58" i="31" s="1"/>
  <c r="F58" i="31"/>
  <c r="V273" i="1"/>
  <c r="L71" i="31"/>
  <c r="L197" i="31" s="1"/>
  <c r="V67" i="1"/>
  <c r="L22" i="31" s="1"/>
  <c r="F22" i="31"/>
  <c r="V122" i="1"/>
  <c r="L35" i="31" s="1"/>
  <c r="F35" i="31"/>
  <c r="V153" i="1"/>
  <c r="L44" i="31" s="1"/>
  <c r="F44" i="31"/>
  <c r="V185" i="1"/>
  <c r="L53" i="31" s="1"/>
  <c r="F53" i="31"/>
  <c r="V150" i="1"/>
  <c r="L41" i="31" s="1"/>
  <c r="F41" i="31"/>
  <c r="V199" i="1"/>
  <c r="L55" i="31" s="1"/>
  <c r="F55" i="31"/>
  <c r="V284" i="1"/>
  <c r="L76" i="31"/>
  <c r="L198" i="31" s="1"/>
  <c r="V55" i="1"/>
  <c r="L19" i="31" s="1"/>
  <c r="F19" i="31"/>
  <c r="V56" i="1"/>
  <c r="L20" i="31" s="1"/>
  <c r="F20" i="31"/>
  <c r="V110" i="1"/>
  <c r="L33" i="31" s="1"/>
  <c r="F33" i="31"/>
  <c r="V169" i="1"/>
  <c r="L48" i="31" s="1"/>
  <c r="F48" i="31"/>
  <c r="V201" i="1"/>
  <c r="L57" i="31" s="1"/>
  <c r="F57" i="31"/>
  <c r="V217" i="1"/>
  <c r="L59" i="31"/>
  <c r="L193" i="31" s="1"/>
  <c r="V256" i="1"/>
  <c r="L69" i="31"/>
  <c r="L196" i="31" s="1"/>
  <c r="V301" i="1"/>
  <c r="L78" i="31"/>
  <c r="L199" i="31" s="1"/>
  <c r="V123" i="1"/>
  <c r="L36" i="31" s="1"/>
  <c r="F36" i="31"/>
  <c r="V135" i="1"/>
  <c r="L38" i="31" s="1"/>
  <c r="F38" i="31"/>
  <c r="F188" i="31" s="1"/>
  <c r="V151" i="1"/>
  <c r="L42" i="31" s="1"/>
  <c r="F42" i="31"/>
  <c r="V183" i="1"/>
  <c r="L51" i="31" s="1"/>
  <c r="F51" i="31"/>
  <c r="V314" i="1"/>
  <c r="L83" i="31"/>
  <c r="L200" i="31" s="1"/>
  <c r="M50" i="1"/>
  <c r="C18" i="31"/>
  <c r="M51" i="1"/>
  <c r="C19" i="31"/>
  <c r="M52" i="1"/>
  <c r="C20" i="31"/>
  <c r="M130" i="1"/>
  <c r="C37" i="31"/>
  <c r="M143" i="1"/>
  <c r="C40" i="31"/>
  <c r="M144" i="1"/>
  <c r="C41" i="31"/>
  <c r="M160" i="1"/>
  <c r="C45" i="31"/>
  <c r="M161" i="1"/>
  <c r="C46" i="31"/>
  <c r="M177" i="1"/>
  <c r="C50" i="31"/>
  <c r="M192" i="1"/>
  <c r="C54" i="31"/>
  <c r="M193" i="1"/>
  <c r="C55" i="31"/>
  <c r="M131" i="1"/>
  <c r="C38" i="31"/>
  <c r="M145" i="1"/>
  <c r="C42" i="31"/>
  <c r="M162" i="1"/>
  <c r="C47" i="31"/>
  <c r="M178" i="1"/>
  <c r="C51" i="31"/>
  <c r="M194" i="1"/>
  <c r="C56" i="31"/>
  <c r="M146" i="1"/>
  <c r="C43" i="31"/>
  <c r="M163" i="1"/>
  <c r="C48" i="31"/>
  <c r="M179" i="1"/>
  <c r="C52" i="31"/>
  <c r="M195" i="1"/>
  <c r="C57" i="31"/>
  <c r="M132" i="1"/>
  <c r="C39" i="31"/>
  <c r="M147" i="1"/>
  <c r="C44" i="31"/>
  <c r="M164" i="1"/>
  <c r="C49" i="31"/>
  <c r="M180" i="1"/>
  <c r="C53" i="31"/>
  <c r="H300" i="1"/>
  <c r="M63" i="1"/>
  <c r="M74" i="1"/>
  <c r="M89" i="1"/>
  <c r="M104" i="1"/>
  <c r="M119" i="1"/>
  <c r="M75" i="1"/>
  <c r="M88" i="1"/>
  <c r="M102" i="1"/>
  <c r="M118" i="1"/>
  <c r="M101" i="1"/>
  <c r="M103" i="1"/>
  <c r="M196" i="1"/>
  <c r="M87" i="1"/>
  <c r="M100" i="1"/>
  <c r="M117" i="1"/>
  <c r="M64" i="1"/>
  <c r="M76" i="1"/>
  <c r="AJ94" i="1"/>
  <c r="AJ68" i="1"/>
  <c r="AJ81" i="1"/>
  <c r="AL81" i="1"/>
  <c r="AL137" i="1"/>
  <c r="AL94" i="1"/>
  <c r="AJ124" i="1"/>
  <c r="AJ137" i="1"/>
  <c r="AL186" i="1"/>
  <c r="AL57" i="1"/>
  <c r="AJ111" i="1"/>
  <c r="AL203" i="1"/>
  <c r="AJ154" i="1"/>
  <c r="AJ171" i="1"/>
  <c r="AJ186" i="1"/>
  <c r="AL68" i="1"/>
  <c r="AL154" i="1"/>
  <c r="AL171" i="1"/>
  <c r="AL111" i="1"/>
  <c r="AL124" i="1"/>
  <c r="AJ57" i="1"/>
  <c r="AJ203" i="1"/>
  <c r="H255" i="1"/>
  <c r="H272" i="1"/>
  <c r="H283" i="1"/>
  <c r="H244" i="1"/>
  <c r="H330" i="1"/>
  <c r="H313" i="1"/>
  <c r="H233" i="1"/>
  <c r="H216" i="1"/>
  <c r="M280" i="1"/>
  <c r="M294" i="1"/>
  <c r="M324" i="1"/>
  <c r="M309" i="1"/>
  <c r="M252" i="1"/>
  <c r="M212" i="1"/>
  <c r="M241" i="1"/>
  <c r="M266" i="1"/>
  <c r="M227" i="1"/>
  <c r="J53" i="1"/>
  <c r="J165" i="1"/>
  <c r="AI197" i="1"/>
  <c r="V133" i="1"/>
  <c r="AK186" i="1"/>
  <c r="AK187" i="1" s="1"/>
  <c r="AJ188" i="1" s="1"/>
  <c r="AM203" i="1"/>
  <c r="AM204" i="1" s="1"/>
  <c r="AL205" i="1" s="1"/>
  <c r="AM186" i="1"/>
  <c r="AM187" i="1" s="1"/>
  <c r="AL188" i="1" s="1"/>
  <c r="AI165" i="1"/>
  <c r="V181" i="1"/>
  <c r="AI133" i="1"/>
  <c r="AM137" i="1"/>
  <c r="AM138" i="1" s="1"/>
  <c r="AL139" i="1" s="1"/>
  <c r="AK171" i="1"/>
  <c r="AK172" i="1" s="1"/>
  <c r="AJ173" i="1" s="1"/>
  <c r="AI181" i="1"/>
  <c r="V197" i="1"/>
  <c r="J148" i="1"/>
  <c r="AK154" i="1"/>
  <c r="AK155" i="1" s="1"/>
  <c r="AJ156" i="1" s="1"/>
  <c r="V165" i="1"/>
  <c r="AM171" i="1"/>
  <c r="AM172" i="1" s="1"/>
  <c r="AL173" i="1" s="1"/>
  <c r="AI148" i="1"/>
  <c r="AM154" i="1"/>
  <c r="AM155" i="1" s="1"/>
  <c r="AL156" i="1" s="1"/>
  <c r="J197" i="1"/>
  <c r="AK203" i="1"/>
  <c r="AK204" i="1" s="1"/>
  <c r="AJ205" i="1" s="1"/>
  <c r="J133" i="1"/>
  <c r="AK137" i="1"/>
  <c r="AK138" i="1" s="1"/>
  <c r="AJ139" i="1" s="1"/>
  <c r="V148" i="1"/>
  <c r="J181" i="1"/>
  <c r="H197" i="1"/>
  <c r="V198" i="1"/>
  <c r="H181" i="1"/>
  <c r="V182" i="1"/>
  <c r="H165" i="1"/>
  <c r="V166" i="1"/>
  <c r="H148" i="1"/>
  <c r="V149" i="1"/>
  <c r="H133" i="1"/>
  <c r="V134" i="1"/>
  <c r="J90" i="1"/>
  <c r="AI120" i="1"/>
  <c r="AK81" i="1"/>
  <c r="AK82" i="1" s="1"/>
  <c r="AJ83" i="1" s="1"/>
  <c r="AM124" i="1"/>
  <c r="AM125" i="1" s="1"/>
  <c r="AL126" i="1" s="1"/>
  <c r="J77" i="1"/>
  <c r="AI77" i="1"/>
  <c r="J120" i="1"/>
  <c r="AI65" i="1"/>
  <c r="AM111" i="1"/>
  <c r="AM112" i="1" s="1"/>
  <c r="AL113" i="1" s="1"/>
  <c r="J105" i="1"/>
  <c r="J65" i="1"/>
  <c r="H90" i="1"/>
  <c r="V65" i="1"/>
  <c r="AK111" i="1"/>
  <c r="AK112" i="1" s="1"/>
  <c r="AJ113" i="1" s="1"/>
  <c r="V120" i="1"/>
  <c r="AM81" i="1"/>
  <c r="AM82" i="1" s="1"/>
  <c r="AL83" i="1" s="1"/>
  <c r="AK94" i="1"/>
  <c r="AK95" i="1" s="1"/>
  <c r="AJ96" i="1" s="1"/>
  <c r="AK68" i="1"/>
  <c r="AK69" i="1" s="1"/>
  <c r="AJ70" i="1" s="1"/>
  <c r="V77" i="1"/>
  <c r="AI90" i="1"/>
  <c r="AM94" i="1"/>
  <c r="AM95" i="1" s="1"/>
  <c r="AL96" i="1" s="1"/>
  <c r="AI105" i="1"/>
  <c r="AK124" i="1"/>
  <c r="AK125" i="1" s="1"/>
  <c r="AJ126" i="1" s="1"/>
  <c r="AM68" i="1"/>
  <c r="AM69" i="1" s="1"/>
  <c r="AL70" i="1" s="1"/>
  <c r="V105" i="1"/>
  <c r="H120" i="1"/>
  <c r="V121" i="1"/>
  <c r="H105" i="1"/>
  <c r="V106" i="1"/>
  <c r="V90" i="1"/>
  <c r="V91" i="1"/>
  <c r="H77" i="1"/>
  <c r="V78" i="1"/>
  <c r="H65" i="1"/>
  <c r="V66" i="1"/>
  <c r="V53" i="1"/>
  <c r="AM57" i="1"/>
  <c r="AM58" i="1" s="1"/>
  <c r="AL59" i="1" s="1"/>
  <c r="AI53" i="1"/>
  <c r="AK57" i="1"/>
  <c r="AK58" i="1" s="1"/>
  <c r="AJ59" i="1" s="1"/>
  <c r="H53" i="1"/>
  <c r="V54" i="1"/>
  <c r="AN43" i="1"/>
  <c r="AM43" i="1"/>
  <c r="AL43" i="1"/>
  <c r="AK43" i="1"/>
  <c r="AJ43" i="1"/>
  <c r="L43" i="1"/>
  <c r="K43" i="1"/>
  <c r="AN42" i="1"/>
  <c r="AM42" i="1"/>
  <c r="AL42" i="1"/>
  <c r="AK42" i="1"/>
  <c r="AJ42" i="1"/>
  <c r="L42" i="1"/>
  <c r="K42" i="1"/>
  <c r="AN41" i="1"/>
  <c r="AM41" i="1"/>
  <c r="AL41" i="1"/>
  <c r="AK41" i="1"/>
  <c r="AJ41" i="1"/>
  <c r="L41" i="1"/>
  <c r="K41" i="1"/>
  <c r="AN39" i="1"/>
  <c r="AI39" i="1"/>
  <c r="L39" i="1"/>
  <c r="K39" i="1"/>
  <c r="J39" i="1"/>
  <c r="H39" i="1"/>
  <c r="C17" i="31" s="1"/>
  <c r="AN38" i="1"/>
  <c r="AI38" i="1"/>
  <c r="L38" i="1"/>
  <c r="K38" i="1"/>
  <c r="J38" i="1"/>
  <c r="H38" i="1"/>
  <c r="C16" i="31" s="1"/>
  <c r="AN37" i="1"/>
  <c r="AI37" i="1"/>
  <c r="L37" i="1"/>
  <c r="K37" i="1"/>
  <c r="J37" i="1"/>
  <c r="H37" i="1"/>
  <c r="C15" i="31" s="1"/>
  <c r="D45" i="1"/>
  <c r="AP43" i="1"/>
  <c r="AP42" i="1"/>
  <c r="AP41" i="1"/>
  <c r="AP39" i="1"/>
  <c r="V39" i="1"/>
  <c r="AP38" i="1"/>
  <c r="V38" i="1"/>
  <c r="AP37" i="1"/>
  <c r="V37" i="1"/>
  <c r="F15" i="31" s="1"/>
  <c r="F44" i="1"/>
  <c r="F57" i="1" s="1"/>
  <c r="F68" i="1" s="1"/>
  <c r="F81" i="1" s="1"/>
  <c r="F94" i="1" s="1"/>
  <c r="F111" i="1" s="1"/>
  <c r="F124" i="1" s="1"/>
  <c r="F137" i="1" s="1"/>
  <c r="F154" i="1" s="1"/>
  <c r="F171" i="1" s="1"/>
  <c r="F186" i="1" s="1"/>
  <c r="F203" i="1" s="1"/>
  <c r="F216" i="1" s="1"/>
  <c r="F233" i="1" s="1"/>
  <c r="F244" i="1" s="1"/>
  <c r="F255" i="1" s="1"/>
  <c r="F272" i="1" s="1"/>
  <c r="F283" i="1" s="1"/>
  <c r="F300" i="1" s="1"/>
  <c r="F313" i="1" s="1"/>
  <c r="F330" i="1" s="1"/>
  <c r="F341" i="1" s="1"/>
  <c r="F354" i="1" s="1"/>
  <c r="F369" i="1" s="1"/>
  <c r="F380" i="1" s="1"/>
  <c r="F391" i="1" s="1"/>
  <c r="AN30" i="1"/>
  <c r="AM30" i="1"/>
  <c r="AL30" i="1"/>
  <c r="AK30" i="1"/>
  <c r="AJ30" i="1"/>
  <c r="L30" i="1"/>
  <c r="K30" i="1"/>
  <c r="AN29" i="1"/>
  <c r="AM29" i="1"/>
  <c r="AL29" i="1"/>
  <c r="AK29" i="1"/>
  <c r="AJ29" i="1"/>
  <c r="L29" i="1"/>
  <c r="K29" i="1"/>
  <c r="AN28" i="1"/>
  <c r="AM28" i="1"/>
  <c r="AL28" i="1"/>
  <c r="AK28" i="1"/>
  <c r="AJ28" i="1"/>
  <c r="L28" i="1"/>
  <c r="K28" i="1"/>
  <c r="AN27" i="1"/>
  <c r="AM27" i="1"/>
  <c r="AL27" i="1"/>
  <c r="AK27" i="1"/>
  <c r="AJ27" i="1"/>
  <c r="L27" i="1"/>
  <c r="K27" i="1"/>
  <c r="AN25" i="1"/>
  <c r="AI25" i="1"/>
  <c r="L25" i="1"/>
  <c r="K25" i="1"/>
  <c r="J25" i="1"/>
  <c r="H25" i="1"/>
  <c r="AN24" i="1"/>
  <c r="AI24" i="1"/>
  <c r="L24" i="1"/>
  <c r="K24" i="1"/>
  <c r="J24" i="1"/>
  <c r="H24" i="1"/>
  <c r="AN23" i="1"/>
  <c r="AI23" i="1"/>
  <c r="L23" i="1"/>
  <c r="K23" i="1"/>
  <c r="J23" i="1"/>
  <c r="H23" i="1"/>
  <c r="AN22" i="1"/>
  <c r="AI22" i="1"/>
  <c r="L22" i="1"/>
  <c r="K22" i="1"/>
  <c r="J22" i="1"/>
  <c r="H22" i="1"/>
  <c r="D32" i="1"/>
  <c r="AP30" i="1"/>
  <c r="AP29" i="1"/>
  <c r="AP28" i="1"/>
  <c r="AP27" i="1"/>
  <c r="AH26" i="1"/>
  <c r="AG26" i="1"/>
  <c r="AP25" i="1"/>
  <c r="V25" i="1"/>
  <c r="AP24" i="1"/>
  <c r="V24" i="1"/>
  <c r="AP23" i="1"/>
  <c r="V23" i="1"/>
  <c r="AP22" i="1"/>
  <c r="V22" i="1"/>
  <c r="F11" i="31" s="1"/>
  <c r="C181" i="31" l="1"/>
  <c r="F182" i="31"/>
  <c r="C192" i="31"/>
  <c r="C190" i="31"/>
  <c r="C188" i="31"/>
  <c r="F187" i="31"/>
  <c r="F190" i="31"/>
  <c r="F191" i="31"/>
  <c r="F184" i="31"/>
  <c r="F189" i="31"/>
  <c r="F183" i="31"/>
  <c r="F185" i="31"/>
  <c r="F186" i="31"/>
  <c r="F192" i="31"/>
  <c r="C182" i="31"/>
  <c r="C189" i="31"/>
  <c r="C191" i="31"/>
  <c r="V69" i="1"/>
  <c r="L21" i="31"/>
  <c r="L183" i="31" s="1"/>
  <c r="V29" i="1"/>
  <c r="L13" i="31" s="1"/>
  <c r="F13" i="31"/>
  <c r="V42" i="1"/>
  <c r="L16" i="31" s="1"/>
  <c r="F16" i="31"/>
  <c r="V155" i="1"/>
  <c r="L40" i="31"/>
  <c r="L189" i="31" s="1"/>
  <c r="V204" i="1"/>
  <c r="L54" i="31"/>
  <c r="L192" i="31" s="1"/>
  <c r="V82" i="1"/>
  <c r="L23" i="31"/>
  <c r="L184" i="31" s="1"/>
  <c r="V125" i="1"/>
  <c r="L34" i="31"/>
  <c r="L187" i="31" s="1"/>
  <c r="V30" i="1"/>
  <c r="L14" i="31" s="1"/>
  <c r="F14" i="31"/>
  <c r="V43" i="1"/>
  <c r="L17" i="31" s="1"/>
  <c r="F17" i="31"/>
  <c r="V172" i="1"/>
  <c r="L45" i="31"/>
  <c r="L190" i="31" s="1"/>
  <c r="L18" i="31"/>
  <c r="L182" i="31" s="1"/>
  <c r="V58" i="1"/>
  <c r="V95" i="1"/>
  <c r="L26" i="31"/>
  <c r="L185" i="31" s="1"/>
  <c r="V112" i="1"/>
  <c r="L29" i="31"/>
  <c r="L186" i="31" s="1"/>
  <c r="V28" i="1"/>
  <c r="L12" i="31" s="1"/>
  <c r="F12" i="31"/>
  <c r="V138" i="1"/>
  <c r="L37" i="31"/>
  <c r="L188" i="31" s="1"/>
  <c r="V187" i="1"/>
  <c r="L50" i="31"/>
  <c r="L191" i="31" s="1"/>
  <c r="M22" i="1"/>
  <c r="C11" i="31"/>
  <c r="M23" i="1"/>
  <c r="C12" i="31"/>
  <c r="M24" i="1"/>
  <c r="C13" i="31"/>
  <c r="M25" i="1"/>
  <c r="C14" i="31"/>
  <c r="M37" i="1"/>
  <c r="M38" i="1"/>
  <c r="M39" i="1"/>
  <c r="AL44" i="1"/>
  <c r="F404" i="1"/>
  <c r="J391" i="1"/>
  <c r="J354" i="1"/>
  <c r="J380" i="1"/>
  <c r="J369" i="1"/>
  <c r="J300" i="1"/>
  <c r="AJ31" i="1"/>
  <c r="J341" i="1"/>
  <c r="J233" i="1"/>
  <c r="J283" i="1"/>
  <c r="J272" i="1"/>
  <c r="J313" i="1"/>
  <c r="J255" i="1"/>
  <c r="AL31" i="1"/>
  <c r="J330" i="1"/>
  <c r="J244" i="1"/>
  <c r="AJ44" i="1"/>
  <c r="J216" i="1"/>
  <c r="H137" i="1"/>
  <c r="H57" i="1"/>
  <c r="H81" i="1"/>
  <c r="H203" i="1"/>
  <c r="H154" i="1"/>
  <c r="J154" i="1" s="1"/>
  <c r="H111" i="1"/>
  <c r="H94" i="1"/>
  <c r="H68" i="1"/>
  <c r="H171" i="1"/>
  <c r="H124" i="1"/>
  <c r="H186" i="1"/>
  <c r="AI26" i="1"/>
  <c r="J26" i="1"/>
  <c r="M197" i="1"/>
  <c r="M165" i="1"/>
  <c r="M181" i="1"/>
  <c r="M133" i="1"/>
  <c r="M148" i="1"/>
  <c r="M120" i="1"/>
  <c r="M65" i="1"/>
  <c r="M53" i="1"/>
  <c r="M77" i="1"/>
  <c r="M105" i="1"/>
  <c r="M90" i="1"/>
  <c r="AK44" i="1"/>
  <c r="AK45" i="1" s="1"/>
  <c r="AJ46" i="1" s="1"/>
  <c r="AM44" i="1"/>
  <c r="AM45" i="1" s="1"/>
  <c r="AL46" i="1" s="1"/>
  <c r="V40" i="1"/>
  <c r="J40" i="1"/>
  <c r="AI40" i="1"/>
  <c r="H40" i="1"/>
  <c r="V41" i="1"/>
  <c r="AM31" i="1"/>
  <c r="AM32" i="1" s="1"/>
  <c r="AL33" i="1" s="1"/>
  <c r="V26" i="1"/>
  <c r="AK31" i="1"/>
  <c r="AK32" i="1" s="1"/>
  <c r="AJ33" i="1" s="1"/>
  <c r="H26" i="1"/>
  <c r="V27" i="1"/>
  <c r="F180" i="31" l="1"/>
  <c r="F181" i="31"/>
  <c r="C180" i="31"/>
  <c r="V45" i="1"/>
  <c r="L15" i="31"/>
  <c r="L181" i="31" s="1"/>
  <c r="V32" i="1"/>
  <c r="L11" i="31"/>
  <c r="L180" i="31" s="1"/>
  <c r="F414" i="1"/>
  <c r="J404" i="1"/>
  <c r="H31" i="1"/>
  <c r="J31" i="1" s="1"/>
  <c r="J68" i="1"/>
  <c r="J137" i="1"/>
  <c r="J94" i="1"/>
  <c r="J124" i="1"/>
  <c r="J81" i="1"/>
  <c r="J186" i="1"/>
  <c r="J111" i="1"/>
  <c r="J203" i="1"/>
  <c r="J57" i="1"/>
  <c r="J171" i="1"/>
  <c r="H44" i="1"/>
  <c r="M40" i="1"/>
  <c r="M26" i="1"/>
  <c r="F424" i="1" l="1"/>
  <c r="J414" i="1"/>
  <c r="J44" i="1"/>
  <c r="F431" i="1" l="1"/>
  <c r="J424" i="1"/>
  <c r="AM14" i="1"/>
  <c r="AL14" i="1"/>
  <c r="AK14" i="1"/>
  <c r="AJ14" i="1"/>
  <c r="AM13" i="1"/>
  <c r="AL13" i="1"/>
  <c r="AK13" i="1"/>
  <c r="AJ13" i="1"/>
  <c r="F464" i="1" l="1"/>
  <c r="J431" i="1"/>
  <c r="AJ16" i="1"/>
  <c r="AL16" i="1"/>
  <c r="AM16" i="1"/>
  <c r="AM17" i="1" s="1"/>
  <c r="AL18" i="1" s="1"/>
  <c r="AK16" i="1"/>
  <c r="AK17" i="1" s="1"/>
  <c r="AJ18" i="1" s="1"/>
  <c r="F480" i="1" l="1"/>
  <c r="J464" i="1"/>
  <c r="H16" i="1"/>
  <c r="AN14" i="1"/>
  <c r="L14" i="1"/>
  <c r="K14" i="1"/>
  <c r="AN13" i="1"/>
  <c r="L13" i="1"/>
  <c r="K13" i="1"/>
  <c r="F488" i="1" l="1"/>
  <c r="J488" i="1" s="1"/>
  <c r="J480" i="1"/>
  <c r="J16" i="1"/>
  <c r="AI10" i="1"/>
  <c r="AI9" i="1"/>
  <c r="AI8" i="1"/>
  <c r="AI7" i="1"/>
  <c r="AI11" i="1" l="1"/>
  <c r="AH11" i="1"/>
  <c r="AG11" i="1"/>
  <c r="AP15" i="1" l="1"/>
  <c r="AP14" i="1"/>
  <c r="AP13" i="1"/>
  <c r="AP12" i="1"/>
  <c r="AN10" i="1"/>
  <c r="AN9" i="1"/>
  <c r="AN8" i="1"/>
  <c r="AN7" i="1"/>
  <c r="L10" i="1"/>
  <c r="L9" i="1"/>
  <c r="L8" i="1"/>
  <c r="L7" i="1"/>
  <c r="K10" i="1"/>
  <c r="K9" i="1"/>
  <c r="K8" i="1"/>
  <c r="K7" i="1"/>
  <c r="J10" i="1"/>
  <c r="J9" i="1"/>
  <c r="J8" i="1"/>
  <c r="J7" i="1"/>
  <c r="H10" i="1"/>
  <c r="C10" i="31" s="1"/>
  <c r="H9" i="1"/>
  <c r="C9" i="31" s="1"/>
  <c r="H8" i="1"/>
  <c r="C8" i="31" s="1"/>
  <c r="D17" i="1"/>
  <c r="V10" i="1"/>
  <c r="F10" i="31" s="1"/>
  <c r="P3" i="1"/>
  <c r="P4" i="1"/>
  <c r="X3" i="1"/>
  <c r="X4" i="1"/>
  <c r="V9" i="1"/>
  <c r="V8" i="1"/>
  <c r="V7" i="1"/>
  <c r="J103" i="24"/>
  <c r="K103" i="24" s="1"/>
  <c r="L103" i="24" s="1"/>
  <c r="M103" i="24" s="1"/>
  <c r="J51" i="24"/>
  <c r="K51" i="24" s="1"/>
  <c r="L51" i="24" s="1"/>
  <c r="M51" i="24" s="1"/>
  <c r="J144" i="24"/>
  <c r="K144" i="24" s="1"/>
  <c r="L144" i="24" s="1"/>
  <c r="M144" i="24" s="1"/>
  <c r="J25" i="24"/>
  <c r="K25" i="24" s="1"/>
  <c r="L25" i="24" s="1"/>
  <c r="M25" i="24" s="1"/>
  <c r="AP10" i="1"/>
  <c r="AP9" i="1"/>
  <c r="AP8" i="1"/>
  <c r="AP7" i="1"/>
  <c r="J156" i="24"/>
  <c r="K156" i="24" s="1"/>
  <c r="L156" i="24" s="1"/>
  <c r="J155" i="24"/>
  <c r="K155" i="24" s="1"/>
  <c r="L155" i="24" s="1"/>
  <c r="M155" i="24" s="1"/>
  <c r="J154" i="24"/>
  <c r="K154" i="24" s="1"/>
  <c r="L154" i="24" s="1"/>
  <c r="M154" i="24" s="1"/>
  <c r="J153" i="24"/>
  <c r="K153" i="24" s="1"/>
  <c r="L153" i="24" s="1"/>
  <c r="M153" i="24" s="1"/>
  <c r="J152" i="24"/>
  <c r="K152" i="24" s="1"/>
  <c r="L152" i="24" s="1"/>
  <c r="J151" i="24"/>
  <c r="K151" i="24" s="1"/>
  <c r="L151" i="24" s="1"/>
  <c r="J150" i="24"/>
  <c r="K150" i="24" s="1"/>
  <c r="L150" i="24" s="1"/>
  <c r="M150" i="24" s="1"/>
  <c r="J149" i="24"/>
  <c r="K149" i="24" s="1"/>
  <c r="L149" i="24" s="1"/>
  <c r="M149" i="24" s="1"/>
  <c r="J148" i="24"/>
  <c r="K148" i="24" s="1"/>
  <c r="L148" i="24" s="1"/>
  <c r="J147" i="24"/>
  <c r="K147" i="24" s="1"/>
  <c r="L147" i="24" s="1"/>
  <c r="J146" i="24"/>
  <c r="K146" i="24" s="1"/>
  <c r="L146" i="24" s="1"/>
  <c r="M146" i="24" s="1"/>
  <c r="J145" i="24"/>
  <c r="K145" i="24" s="1"/>
  <c r="L145" i="24" s="1"/>
  <c r="J143" i="24"/>
  <c r="K143" i="24" s="1"/>
  <c r="L143" i="24" s="1"/>
  <c r="J142" i="24"/>
  <c r="K142" i="24" s="1"/>
  <c r="L142" i="24" s="1"/>
  <c r="M142" i="24" s="1"/>
  <c r="J141" i="24"/>
  <c r="K141" i="24" s="1"/>
  <c r="L141" i="24" s="1"/>
  <c r="J140" i="24"/>
  <c r="K140" i="24" s="1"/>
  <c r="L140" i="24" s="1"/>
  <c r="J139" i="24"/>
  <c r="K139" i="24" s="1"/>
  <c r="L139" i="24" s="1"/>
  <c r="M139" i="24" s="1"/>
  <c r="J138" i="24"/>
  <c r="K138" i="24" s="1"/>
  <c r="L138" i="24" s="1"/>
  <c r="J137" i="24"/>
  <c r="K137" i="24" s="1"/>
  <c r="L137" i="24" s="1"/>
  <c r="M137" i="24" s="1"/>
  <c r="J136" i="24"/>
  <c r="K136" i="24" s="1"/>
  <c r="L136" i="24" s="1"/>
  <c r="J135" i="24"/>
  <c r="K135" i="24" s="1"/>
  <c r="L135" i="24" s="1"/>
  <c r="J134" i="24"/>
  <c r="K134" i="24" s="1"/>
  <c r="L134" i="24" s="1"/>
  <c r="J133" i="24"/>
  <c r="K133" i="24" s="1"/>
  <c r="L133" i="24" s="1"/>
  <c r="M133" i="24" s="1"/>
  <c r="J132" i="24"/>
  <c r="K132" i="24" s="1"/>
  <c r="L132" i="24" s="1"/>
  <c r="J131" i="24"/>
  <c r="K131" i="24" s="1"/>
  <c r="L131" i="24" s="1"/>
  <c r="M131" i="24" s="1"/>
  <c r="J130" i="24"/>
  <c r="K130" i="24" s="1"/>
  <c r="L130" i="24" s="1"/>
  <c r="J129" i="24"/>
  <c r="K129" i="24" s="1"/>
  <c r="L129" i="24" s="1"/>
  <c r="J128" i="24"/>
  <c r="K128" i="24" s="1"/>
  <c r="L128" i="24" s="1"/>
  <c r="J127" i="24"/>
  <c r="K127" i="24" s="1"/>
  <c r="L127" i="24" s="1"/>
  <c r="M127" i="24" s="1"/>
  <c r="J126" i="24"/>
  <c r="K126" i="24" s="1"/>
  <c r="L126" i="24" s="1"/>
  <c r="M126" i="24" s="1"/>
  <c r="J125" i="24"/>
  <c r="K125" i="24" s="1"/>
  <c r="L125" i="24" s="1"/>
  <c r="M125" i="24" s="1"/>
  <c r="J124" i="24"/>
  <c r="K124" i="24" s="1"/>
  <c r="L124" i="24" s="1"/>
  <c r="M124" i="24" s="1"/>
  <c r="J123" i="24"/>
  <c r="K123" i="24" s="1"/>
  <c r="L123" i="24" s="1"/>
  <c r="M123" i="24" s="1"/>
  <c r="J122" i="24"/>
  <c r="K122" i="24" s="1"/>
  <c r="L122" i="24" s="1"/>
  <c r="J121" i="24"/>
  <c r="K121" i="24" s="1"/>
  <c r="L121" i="24" s="1"/>
  <c r="M121" i="24" s="1"/>
  <c r="J120" i="24"/>
  <c r="K120" i="24" s="1"/>
  <c r="L120" i="24" s="1"/>
  <c r="M120" i="24" s="1"/>
  <c r="J119" i="24"/>
  <c r="K119" i="24" s="1"/>
  <c r="L119" i="24" s="1"/>
  <c r="M119" i="24" s="1"/>
  <c r="J118" i="24"/>
  <c r="K118" i="24" s="1"/>
  <c r="L118" i="24" s="1"/>
  <c r="M118" i="24" s="1"/>
  <c r="J117" i="24"/>
  <c r="K117" i="24" s="1"/>
  <c r="L117" i="24" s="1"/>
  <c r="M117" i="24" s="1"/>
  <c r="J116" i="24"/>
  <c r="K116" i="24" s="1"/>
  <c r="L116" i="24" s="1"/>
  <c r="J115" i="24"/>
  <c r="K115" i="24" s="1"/>
  <c r="L115" i="24" s="1"/>
  <c r="J114" i="24"/>
  <c r="K114" i="24" s="1"/>
  <c r="L114" i="24" s="1"/>
  <c r="M114" i="24" s="1"/>
  <c r="J113" i="24"/>
  <c r="K113" i="24" s="1"/>
  <c r="L113" i="24" s="1"/>
  <c r="J112" i="24"/>
  <c r="K112" i="24" s="1"/>
  <c r="L112" i="24" s="1"/>
  <c r="J111" i="24"/>
  <c r="K111" i="24" s="1"/>
  <c r="L111" i="24" s="1"/>
  <c r="J110" i="24"/>
  <c r="K110" i="24" s="1"/>
  <c r="L110" i="24" s="1"/>
  <c r="J109" i="24"/>
  <c r="K109" i="24" s="1"/>
  <c r="L109" i="24" s="1"/>
  <c r="M109" i="24" s="1"/>
  <c r="J108" i="24"/>
  <c r="K108" i="24" s="1"/>
  <c r="L108" i="24" s="1"/>
  <c r="M108" i="24" s="1"/>
  <c r="J107" i="24"/>
  <c r="K107" i="24" s="1"/>
  <c r="L107" i="24" s="1"/>
  <c r="M107" i="24" s="1"/>
  <c r="J106" i="24"/>
  <c r="K106" i="24" s="1"/>
  <c r="L106" i="24" s="1"/>
  <c r="M106" i="24" s="1"/>
  <c r="J105" i="24"/>
  <c r="K105" i="24" s="1"/>
  <c r="L105" i="24" s="1"/>
  <c r="J104" i="24"/>
  <c r="K104" i="24" s="1"/>
  <c r="L104" i="24" s="1"/>
  <c r="J102" i="24"/>
  <c r="K102" i="24" s="1"/>
  <c r="L102" i="24" s="1"/>
  <c r="J101" i="24"/>
  <c r="K101" i="24" s="1"/>
  <c r="L101" i="24" s="1"/>
  <c r="M101" i="24" s="1"/>
  <c r="J100" i="24"/>
  <c r="K100" i="24" s="1"/>
  <c r="L100" i="24" s="1"/>
  <c r="M100" i="24" s="1"/>
  <c r="J99" i="24"/>
  <c r="K99" i="24" s="1"/>
  <c r="L99" i="24" s="1"/>
  <c r="M99" i="24" s="1"/>
  <c r="J98" i="24"/>
  <c r="K98" i="24" s="1"/>
  <c r="L98" i="24" s="1"/>
  <c r="J97" i="24"/>
  <c r="K97" i="24" s="1"/>
  <c r="L97" i="24" s="1"/>
  <c r="M97" i="24" s="1"/>
  <c r="J96" i="24"/>
  <c r="K96" i="24" s="1"/>
  <c r="L96" i="24" s="1"/>
  <c r="M96" i="24" s="1"/>
  <c r="J95" i="24"/>
  <c r="K95" i="24" s="1"/>
  <c r="L95" i="24" s="1"/>
  <c r="M95" i="24" s="1"/>
  <c r="J94" i="24"/>
  <c r="K94" i="24" s="1"/>
  <c r="L94" i="24" s="1"/>
  <c r="J93" i="24"/>
  <c r="K93" i="24" s="1"/>
  <c r="L93" i="24" s="1"/>
  <c r="M93" i="24" s="1"/>
  <c r="J92" i="24"/>
  <c r="K92" i="24" s="1"/>
  <c r="L92" i="24" s="1"/>
  <c r="M92" i="24" s="1"/>
  <c r="J91" i="24"/>
  <c r="K91" i="24" s="1"/>
  <c r="L91" i="24" s="1"/>
  <c r="M91" i="24" s="1"/>
  <c r="J90" i="24"/>
  <c r="K90" i="24" s="1"/>
  <c r="L90" i="24" s="1"/>
  <c r="J89" i="24"/>
  <c r="K89" i="24" s="1"/>
  <c r="L89" i="24" s="1"/>
  <c r="M89" i="24" s="1"/>
  <c r="J88" i="24"/>
  <c r="K88" i="24" s="1"/>
  <c r="L88" i="24" s="1"/>
  <c r="M88" i="24" s="1"/>
  <c r="J87" i="24"/>
  <c r="K87" i="24" s="1"/>
  <c r="L87" i="24" s="1"/>
  <c r="M87" i="24" s="1"/>
  <c r="J86" i="24"/>
  <c r="K86" i="24" s="1"/>
  <c r="L86" i="24" s="1"/>
  <c r="M86" i="24" s="1"/>
  <c r="J85" i="24"/>
  <c r="K85" i="24" s="1"/>
  <c r="L85" i="24" s="1"/>
  <c r="J84" i="24"/>
  <c r="K84" i="24" s="1"/>
  <c r="L84" i="24" s="1"/>
  <c r="J83" i="24"/>
  <c r="K83" i="24" s="1"/>
  <c r="L83" i="24" s="1"/>
  <c r="J82" i="24"/>
  <c r="K82" i="24" s="1"/>
  <c r="L82" i="24" s="1"/>
  <c r="M82" i="24" s="1"/>
  <c r="J81" i="24"/>
  <c r="K81" i="24" s="1"/>
  <c r="L81" i="24" s="1"/>
  <c r="M81" i="24" s="1"/>
  <c r="J80" i="24"/>
  <c r="K80" i="24" s="1"/>
  <c r="L80" i="24" s="1"/>
  <c r="J79" i="24"/>
  <c r="K79" i="24" s="1"/>
  <c r="L79" i="24" s="1"/>
  <c r="J78" i="24"/>
  <c r="K78" i="24" s="1"/>
  <c r="L78" i="24" s="1"/>
  <c r="M78" i="24" s="1"/>
  <c r="J77" i="24"/>
  <c r="K77" i="24" s="1"/>
  <c r="L77" i="24" s="1"/>
  <c r="M77" i="24" s="1"/>
  <c r="J76" i="24"/>
  <c r="K76" i="24" s="1"/>
  <c r="L76" i="24" s="1"/>
  <c r="M76" i="24" s="1"/>
  <c r="J75" i="24"/>
  <c r="K75" i="24" s="1"/>
  <c r="L75" i="24" s="1"/>
  <c r="J74" i="24"/>
  <c r="K74" i="24" s="1"/>
  <c r="L74" i="24" s="1"/>
  <c r="M74" i="24" s="1"/>
  <c r="J73" i="24"/>
  <c r="K73" i="24" s="1"/>
  <c r="L73" i="24" s="1"/>
  <c r="J72" i="24"/>
  <c r="K72" i="24" s="1"/>
  <c r="L72" i="24" s="1"/>
  <c r="J71" i="24"/>
  <c r="K71" i="24" s="1"/>
  <c r="L71" i="24" s="1"/>
  <c r="J70" i="24"/>
  <c r="K70" i="24" s="1"/>
  <c r="L70" i="24" s="1"/>
  <c r="M70" i="24" s="1"/>
  <c r="J69" i="24"/>
  <c r="K69" i="24" s="1"/>
  <c r="L69" i="24" s="1"/>
  <c r="M69" i="24" s="1"/>
  <c r="J68" i="24"/>
  <c r="K68" i="24" s="1"/>
  <c r="L68" i="24" s="1"/>
  <c r="J67" i="24"/>
  <c r="K67" i="24" s="1"/>
  <c r="L67" i="24" s="1"/>
  <c r="M67" i="24" s="1"/>
  <c r="J66" i="24"/>
  <c r="K66" i="24" s="1"/>
  <c r="L66" i="24" s="1"/>
  <c r="J65" i="24"/>
  <c r="K65" i="24" s="1"/>
  <c r="L65" i="24" s="1"/>
  <c r="J64" i="24"/>
  <c r="K64" i="24" s="1"/>
  <c r="L64" i="24" s="1"/>
  <c r="J63" i="24"/>
  <c r="K63" i="24" s="1"/>
  <c r="L63" i="24" s="1"/>
  <c r="J62" i="24"/>
  <c r="K62" i="24" s="1"/>
  <c r="L62" i="24" s="1"/>
  <c r="M62" i="24" s="1"/>
  <c r="J61" i="24"/>
  <c r="K61" i="24" s="1"/>
  <c r="L61" i="24" s="1"/>
  <c r="M61" i="24" s="1"/>
  <c r="J60" i="24"/>
  <c r="K60" i="24" s="1"/>
  <c r="L60" i="24" s="1"/>
  <c r="J59" i="24"/>
  <c r="K59" i="24" s="1"/>
  <c r="L59" i="24" s="1"/>
  <c r="J58" i="24"/>
  <c r="K58" i="24" s="1"/>
  <c r="L58" i="24" s="1"/>
  <c r="M58" i="24" s="1"/>
  <c r="J57" i="24"/>
  <c r="K57" i="24" s="1"/>
  <c r="L57" i="24" s="1"/>
  <c r="J56" i="24"/>
  <c r="K56" i="24" s="1"/>
  <c r="L56" i="24" s="1"/>
  <c r="J55" i="24"/>
  <c r="K55" i="24" s="1"/>
  <c r="L55" i="24" s="1"/>
  <c r="J54" i="24"/>
  <c r="K54" i="24" s="1"/>
  <c r="L54" i="24" s="1"/>
  <c r="M54" i="24" s="1"/>
  <c r="J53" i="24"/>
  <c r="K53" i="24" s="1"/>
  <c r="L53" i="24" s="1"/>
  <c r="J52" i="24"/>
  <c r="K52" i="24" s="1"/>
  <c r="L52" i="24" s="1"/>
  <c r="M52" i="24" s="1"/>
  <c r="J50" i="24"/>
  <c r="K50" i="24" s="1"/>
  <c r="L50" i="24" s="1"/>
  <c r="J49" i="24"/>
  <c r="K49" i="24" s="1"/>
  <c r="L49" i="24" s="1"/>
  <c r="J48" i="24"/>
  <c r="K48" i="24" s="1"/>
  <c r="L48" i="24" s="1"/>
  <c r="J47" i="24"/>
  <c r="K47" i="24" s="1"/>
  <c r="L47" i="24" s="1"/>
  <c r="J46" i="24"/>
  <c r="K46" i="24" s="1"/>
  <c r="L46" i="24" s="1"/>
  <c r="J45" i="24"/>
  <c r="K45" i="24" s="1"/>
  <c r="L45" i="24" s="1"/>
  <c r="M45" i="24" s="1"/>
  <c r="J44" i="24"/>
  <c r="K44" i="24" s="1"/>
  <c r="L44" i="24" s="1"/>
  <c r="J43" i="24"/>
  <c r="K43" i="24" s="1"/>
  <c r="L43" i="24" s="1"/>
  <c r="J42" i="24"/>
  <c r="K42" i="24" s="1"/>
  <c r="L42" i="24" s="1"/>
  <c r="J41" i="24"/>
  <c r="K41" i="24" s="1"/>
  <c r="L41" i="24" s="1"/>
  <c r="M41" i="24" s="1"/>
  <c r="J40" i="24"/>
  <c r="K40" i="24" s="1"/>
  <c r="L40" i="24" s="1"/>
  <c r="J39" i="24"/>
  <c r="K39" i="24" s="1"/>
  <c r="L39" i="24" s="1"/>
  <c r="J38" i="24"/>
  <c r="K38" i="24" s="1"/>
  <c r="L38" i="24" s="1"/>
  <c r="J37" i="24"/>
  <c r="K37" i="24" s="1"/>
  <c r="L37" i="24" s="1"/>
  <c r="M37" i="24" s="1"/>
  <c r="J36" i="24"/>
  <c r="K36" i="24" s="1"/>
  <c r="L36" i="24" s="1"/>
  <c r="J35" i="24"/>
  <c r="K35" i="24" s="1"/>
  <c r="L35" i="24" s="1"/>
  <c r="M35" i="24" s="1"/>
  <c r="J34" i="24"/>
  <c r="K34" i="24" s="1"/>
  <c r="L34" i="24" s="1"/>
  <c r="M34" i="24" s="1"/>
  <c r="J33" i="24"/>
  <c r="K33" i="24" s="1"/>
  <c r="L33" i="24" s="1"/>
  <c r="M33" i="24" s="1"/>
  <c r="J32" i="24"/>
  <c r="K32" i="24" s="1"/>
  <c r="L32" i="24" s="1"/>
  <c r="M32" i="24" s="1"/>
  <c r="J31" i="24"/>
  <c r="K31" i="24" s="1"/>
  <c r="L31" i="24" s="1"/>
  <c r="M31" i="24" s="1"/>
  <c r="J30" i="24"/>
  <c r="K30" i="24" s="1"/>
  <c r="L30" i="24" s="1"/>
  <c r="J29" i="24"/>
  <c r="K29" i="24" s="1"/>
  <c r="L29" i="24" s="1"/>
  <c r="M29" i="24" s="1"/>
  <c r="J28" i="24"/>
  <c r="K28" i="24" s="1"/>
  <c r="L28" i="24" s="1"/>
  <c r="J27" i="24"/>
  <c r="K27" i="24" s="1"/>
  <c r="L27" i="24" s="1"/>
  <c r="M27" i="24" s="1"/>
  <c r="J26" i="24"/>
  <c r="K26" i="24" s="1"/>
  <c r="L26" i="24" s="1"/>
  <c r="M26" i="24" s="1"/>
  <c r="J24" i="24"/>
  <c r="K24" i="24" s="1"/>
  <c r="L24" i="24" s="1"/>
  <c r="M24" i="24" s="1"/>
  <c r="J23" i="24"/>
  <c r="K23" i="24" s="1"/>
  <c r="L23" i="24" s="1"/>
  <c r="M23" i="24" s="1"/>
  <c r="J22" i="24"/>
  <c r="K22" i="24" s="1"/>
  <c r="L22" i="24" s="1"/>
  <c r="M22" i="24" s="1"/>
  <c r="J21" i="24"/>
  <c r="K21" i="24" s="1"/>
  <c r="L21" i="24" s="1"/>
  <c r="M21" i="24" s="1"/>
  <c r="J20" i="24"/>
  <c r="K20" i="24" s="1"/>
  <c r="L20" i="24" s="1"/>
  <c r="M20" i="24" s="1"/>
  <c r="J19" i="24"/>
  <c r="K19" i="24" s="1"/>
  <c r="L19" i="24" s="1"/>
  <c r="M19" i="24" s="1"/>
  <c r="J18" i="24"/>
  <c r="K18" i="24" s="1"/>
  <c r="L18" i="24" s="1"/>
  <c r="M18" i="24" s="1"/>
  <c r="J17" i="24"/>
  <c r="K17" i="24" s="1"/>
  <c r="L17" i="24" s="1"/>
  <c r="J16" i="24"/>
  <c r="K16" i="24" s="1"/>
  <c r="L16" i="24" s="1"/>
  <c r="M16" i="24" s="1"/>
  <c r="J15" i="24"/>
  <c r="K15" i="24" s="1"/>
  <c r="L15" i="24" s="1"/>
  <c r="M15" i="24" s="1"/>
  <c r="J14" i="24"/>
  <c r="K14" i="24" s="1"/>
  <c r="L14" i="24" s="1"/>
  <c r="M14" i="24" s="1"/>
  <c r="J13" i="24"/>
  <c r="K13" i="24" s="1"/>
  <c r="L13" i="24" s="1"/>
  <c r="M13" i="24" s="1"/>
  <c r="J12" i="24"/>
  <c r="K12" i="24" s="1"/>
  <c r="L12" i="24" s="1"/>
  <c r="M12" i="24" s="1"/>
  <c r="J11" i="24"/>
  <c r="K11" i="24" s="1"/>
  <c r="L11" i="24" s="1"/>
  <c r="J10" i="24"/>
  <c r="K10" i="24" s="1"/>
  <c r="L10" i="24" s="1"/>
  <c r="M10" i="24" s="1"/>
  <c r="J9" i="24"/>
  <c r="K9" i="24" s="1"/>
  <c r="L9" i="24" s="1"/>
  <c r="M9" i="24" s="1"/>
  <c r="J8" i="24"/>
  <c r="K8" i="24" s="1"/>
  <c r="L8" i="24" s="1"/>
  <c r="M8" i="24" s="1"/>
  <c r="J7" i="24"/>
  <c r="K7" i="24" s="1"/>
  <c r="L7" i="24" s="1"/>
  <c r="M7" i="24" s="1"/>
  <c r="J6" i="24"/>
  <c r="K6" i="24" s="1"/>
  <c r="L6" i="24" s="1"/>
  <c r="M6" i="24" s="1"/>
  <c r="J5" i="24"/>
  <c r="K5" i="24" s="1"/>
  <c r="L5" i="24" s="1"/>
  <c r="J4" i="24"/>
  <c r="K4" i="24" s="1"/>
  <c r="L4" i="24" s="1"/>
  <c r="M4" i="24" s="1"/>
  <c r="J3" i="24"/>
  <c r="K3" i="24" s="1"/>
  <c r="L3" i="24" s="1"/>
  <c r="J2" i="24"/>
  <c r="K2" i="24" s="1"/>
  <c r="L2" i="24" s="1"/>
  <c r="M2" i="24" s="1"/>
  <c r="Y463" i="1" s="1"/>
  <c r="M142" i="31" s="1"/>
  <c r="H5" i="7"/>
  <c r="H67" i="22" s="1"/>
  <c r="I5" i="7"/>
  <c r="I67" i="22" s="1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H6" i="7"/>
  <c r="H79" i="22" s="1"/>
  <c r="I6" i="7"/>
  <c r="I79" i="22" s="1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H7" i="7"/>
  <c r="H87" i="22" s="1"/>
  <c r="I7" i="7"/>
  <c r="I87" i="22" s="1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H8" i="7"/>
  <c r="H89" i="22" s="1"/>
  <c r="I8" i="7"/>
  <c r="I89" i="22" s="1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H9" i="7"/>
  <c r="H105" i="22" s="1"/>
  <c r="I9" i="7"/>
  <c r="I105" i="22" s="1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H10" i="7"/>
  <c r="H108" i="22" s="1"/>
  <c r="I10" i="7"/>
  <c r="I108" i="22" s="1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H11" i="7"/>
  <c r="H117" i="22" s="1"/>
  <c r="I11" i="7"/>
  <c r="I117" i="22" s="1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H12" i="7"/>
  <c r="H145" i="22" s="1"/>
  <c r="I12" i="7"/>
  <c r="I145" i="22" s="1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H13" i="7"/>
  <c r="H149" i="22" s="1"/>
  <c r="I13" i="7"/>
  <c r="I149" i="22" s="1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H14" i="7"/>
  <c r="H161" i="22" s="1"/>
  <c r="I14" i="7"/>
  <c r="I161" i="22" s="1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H15" i="7"/>
  <c r="H164" i="22" s="1"/>
  <c r="I15" i="7"/>
  <c r="I164" i="22" s="1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E15" i="7"/>
  <c r="G164" i="22" s="1"/>
  <c r="D15" i="7"/>
  <c r="F164" i="22" s="1"/>
  <c r="E14" i="7"/>
  <c r="G161" i="22" s="1"/>
  <c r="D14" i="7"/>
  <c r="F161" i="22" s="1"/>
  <c r="E13" i="7"/>
  <c r="G149" i="22" s="1"/>
  <c r="D13" i="7"/>
  <c r="F149" i="22" s="1"/>
  <c r="E12" i="7"/>
  <c r="G145" i="22" s="1"/>
  <c r="D12" i="7"/>
  <c r="F145" i="22" s="1"/>
  <c r="E11" i="7"/>
  <c r="G117" i="22" s="1"/>
  <c r="D11" i="7"/>
  <c r="F117" i="22" s="1"/>
  <c r="E10" i="7"/>
  <c r="G108" i="22" s="1"/>
  <c r="D10" i="7"/>
  <c r="F108" i="22" s="1"/>
  <c r="E9" i="7"/>
  <c r="G105" i="22" s="1"/>
  <c r="D9" i="7"/>
  <c r="F105" i="22" s="1"/>
  <c r="E8" i="7"/>
  <c r="G89" i="22" s="1"/>
  <c r="D8" i="7"/>
  <c r="F89" i="22" s="1"/>
  <c r="E7" i="7"/>
  <c r="G87" i="22" s="1"/>
  <c r="D7" i="7"/>
  <c r="F87" i="22" s="1"/>
  <c r="E6" i="7"/>
  <c r="G79" i="22" s="1"/>
  <c r="D6" i="7"/>
  <c r="F79" i="22" s="1"/>
  <c r="E5" i="7"/>
  <c r="G67" i="22" s="1"/>
  <c r="D5" i="7"/>
  <c r="F67" i="22" s="1"/>
  <c r="AB5" i="6"/>
  <c r="E5" i="6"/>
  <c r="J4" i="6"/>
  <c r="K4" i="6"/>
  <c r="L4" i="6" s="1"/>
  <c r="AB6" i="6"/>
  <c r="AA6" i="6" s="1"/>
  <c r="G6" i="37" s="1"/>
  <c r="AB7" i="6"/>
  <c r="AF7" i="6" s="1"/>
  <c r="AB8" i="6"/>
  <c r="AF8" i="6" s="1"/>
  <c r="AE8" i="6"/>
  <c r="AB9" i="6"/>
  <c r="AE9" i="6" s="1"/>
  <c r="AB10" i="6"/>
  <c r="AE10" i="6" s="1"/>
  <c r="AB11" i="6"/>
  <c r="AB12" i="6"/>
  <c r="AF12" i="6" s="1"/>
  <c r="AB13" i="6"/>
  <c r="E13" i="6"/>
  <c r="AB14" i="6"/>
  <c r="AD14" i="6" s="1"/>
  <c r="E14" i="6"/>
  <c r="AB15" i="6"/>
  <c r="AB16" i="6"/>
  <c r="AD16" i="6" s="1"/>
  <c r="E16" i="6"/>
  <c r="AB17" i="6"/>
  <c r="AA17" i="6" s="1"/>
  <c r="G17" i="37" s="1"/>
  <c r="AB18" i="6"/>
  <c r="AD18" i="6" s="1"/>
  <c r="E18" i="6"/>
  <c r="AB19" i="6"/>
  <c r="AE19" i="6" s="1"/>
  <c r="AB20" i="6"/>
  <c r="AD20" i="6" s="1"/>
  <c r="E20" i="6"/>
  <c r="AB21" i="6"/>
  <c r="AA21" i="6" s="1"/>
  <c r="G21" i="37" s="1"/>
  <c r="AB22" i="6"/>
  <c r="AD22" i="6" s="1"/>
  <c r="E22" i="6"/>
  <c r="AB23" i="6"/>
  <c r="AB24" i="6"/>
  <c r="AA24" i="6" s="1"/>
  <c r="G24" i="37" s="1"/>
  <c r="AB25" i="6"/>
  <c r="AA25" i="6" s="1"/>
  <c r="G25" i="37" s="1"/>
  <c r="AB26" i="6"/>
  <c r="AE26" i="6" s="1"/>
  <c r="AB27" i="6"/>
  <c r="AA27" i="6" s="1"/>
  <c r="G27" i="37" s="1"/>
  <c r="AB28" i="6"/>
  <c r="Z28" i="6" s="1"/>
  <c r="AB29" i="6"/>
  <c r="AD29" i="6" s="1"/>
  <c r="H29" i="6" s="1"/>
  <c r="E29" i="6"/>
  <c r="AB30" i="6"/>
  <c r="AE30" i="6" s="1"/>
  <c r="AB31" i="6"/>
  <c r="AD31" i="6" s="1"/>
  <c r="AB32" i="6"/>
  <c r="AA32" i="6" s="1"/>
  <c r="G32" i="37" s="1"/>
  <c r="AB33" i="6"/>
  <c r="AB34" i="6"/>
  <c r="E34" i="6"/>
  <c r="AB35" i="6"/>
  <c r="AD35" i="6" s="1"/>
  <c r="F35" i="6" s="1"/>
  <c r="E35" i="9" s="1"/>
  <c r="D35" i="9" s="1"/>
  <c r="E35" i="6"/>
  <c r="AB36" i="6"/>
  <c r="AA36" i="6" s="1"/>
  <c r="G36" i="37" s="1"/>
  <c r="AB37" i="6"/>
  <c r="AB38" i="6"/>
  <c r="AA38" i="6" s="1"/>
  <c r="G38" i="37" s="1"/>
  <c r="AB39" i="6"/>
  <c r="E39" i="6"/>
  <c r="AB40" i="6"/>
  <c r="AA40" i="6" s="1"/>
  <c r="G40" i="37" s="1"/>
  <c r="AB41" i="6"/>
  <c r="E41" i="6"/>
  <c r="AB42" i="6"/>
  <c r="AD42" i="6" s="1"/>
  <c r="E42" i="6"/>
  <c r="AB43" i="6"/>
  <c r="AE43" i="6" s="1"/>
  <c r="AB44" i="6"/>
  <c r="E44" i="6"/>
  <c r="AB45" i="6"/>
  <c r="AE45" i="6" s="1"/>
  <c r="AB46" i="6"/>
  <c r="AB47" i="6"/>
  <c r="AE47" i="6" s="1"/>
  <c r="AB48" i="6"/>
  <c r="E48" i="6"/>
  <c r="AB49" i="6"/>
  <c r="AE49" i="6" s="1"/>
  <c r="AB50" i="6"/>
  <c r="AB51" i="6"/>
  <c r="AB52" i="6"/>
  <c r="AB53" i="6"/>
  <c r="E53" i="6"/>
  <c r="AB54" i="6"/>
  <c r="AE54" i="6" s="1"/>
  <c r="AB55" i="6"/>
  <c r="AD55" i="6" s="1"/>
  <c r="E55" i="6"/>
  <c r="AB56" i="6"/>
  <c r="AA56" i="6" s="1"/>
  <c r="G56" i="37" s="1"/>
  <c r="AB57" i="6"/>
  <c r="AE57" i="6" s="1"/>
  <c r="AF57" i="6"/>
  <c r="AB58" i="6"/>
  <c r="AA58" i="6" s="1"/>
  <c r="G58" i="37" s="1"/>
  <c r="AB59" i="6"/>
  <c r="AB60" i="6"/>
  <c r="AF60" i="6" s="1"/>
  <c r="AE60" i="6"/>
  <c r="AB61" i="6"/>
  <c r="AA61" i="6" s="1"/>
  <c r="G61" i="37" s="1"/>
  <c r="AB62" i="6"/>
  <c r="AD62" i="6" s="1"/>
  <c r="E62" i="6"/>
  <c r="AB63" i="6"/>
  <c r="AE63" i="6" s="1"/>
  <c r="AB64" i="6"/>
  <c r="AA64" i="6" s="1"/>
  <c r="G64" i="37" s="1"/>
  <c r="AB65" i="6"/>
  <c r="AF65" i="6" s="1"/>
  <c r="AB67" i="6"/>
  <c r="E67" i="6"/>
  <c r="AB68" i="6"/>
  <c r="AB69" i="6"/>
  <c r="E69" i="6"/>
  <c r="AB70" i="6"/>
  <c r="E70" i="6"/>
  <c r="AB71" i="6"/>
  <c r="AA71" i="6" s="1"/>
  <c r="G71" i="37" s="1"/>
  <c r="AB72" i="6"/>
  <c r="AA72" i="6" s="1"/>
  <c r="G72" i="37" s="1"/>
  <c r="AB73" i="6"/>
  <c r="AF73" i="6" s="1"/>
  <c r="AE73" i="6"/>
  <c r="AB74" i="6"/>
  <c r="E74" i="6"/>
  <c r="AB75" i="6"/>
  <c r="AA75" i="6" s="1"/>
  <c r="G75" i="37" s="1"/>
  <c r="AB76" i="6"/>
  <c r="AB78" i="6"/>
  <c r="AB79" i="6"/>
  <c r="AB80" i="6"/>
  <c r="E80" i="6"/>
  <c r="AB81" i="6"/>
  <c r="AB82" i="6"/>
  <c r="E82" i="6"/>
  <c r="AD82" i="6"/>
  <c r="G82" i="6" s="1"/>
  <c r="AI82" i="6" s="1"/>
  <c r="AB83" i="6"/>
  <c r="AB86" i="6"/>
  <c r="AD86" i="6" s="1"/>
  <c r="E86" i="6"/>
  <c r="AB87" i="6"/>
  <c r="AD87" i="6" s="1"/>
  <c r="E87" i="6"/>
  <c r="AB88" i="6"/>
  <c r="AA88" i="6" s="1"/>
  <c r="G88" i="37" s="1"/>
  <c r="AB89" i="6"/>
  <c r="AF89" i="6" s="1"/>
  <c r="AB90" i="6"/>
  <c r="AD90" i="6" s="1"/>
  <c r="E90" i="6"/>
  <c r="AB91" i="6"/>
  <c r="E91" i="6"/>
  <c r="AB92" i="6"/>
  <c r="AD92" i="6" s="1"/>
  <c r="E92" i="6"/>
  <c r="AB93" i="6"/>
  <c r="AB94" i="6"/>
  <c r="AF94" i="6" s="1"/>
  <c r="AE94" i="6"/>
  <c r="AB95" i="6"/>
  <c r="AB96" i="6"/>
  <c r="AA96" i="6" s="1"/>
  <c r="G96" i="37" s="1"/>
  <c r="AB97" i="6"/>
  <c r="AB98" i="6"/>
  <c r="AD98" i="6" s="1"/>
  <c r="G98" i="6" s="1"/>
  <c r="AI98" i="6" s="1"/>
  <c r="E98" i="6"/>
  <c r="AB99" i="6"/>
  <c r="AE99" i="6" s="1"/>
  <c r="AB101" i="6"/>
  <c r="AD101" i="6" s="1"/>
  <c r="E101" i="6"/>
  <c r="AB103" i="6"/>
  <c r="E103" i="6"/>
  <c r="AB104" i="6"/>
  <c r="W104" i="6" s="1"/>
  <c r="AB105" i="6"/>
  <c r="AB106" i="6"/>
  <c r="AF106" i="6" s="1"/>
  <c r="AE106" i="6"/>
  <c r="AB107" i="6"/>
  <c r="AB108" i="6"/>
  <c r="E108" i="6"/>
  <c r="AB109" i="6"/>
  <c r="AE109" i="6" s="1"/>
  <c r="AB111" i="6"/>
  <c r="AB112" i="6"/>
  <c r="AB113" i="6"/>
  <c r="AA113" i="6" s="1"/>
  <c r="G113" i="37" s="1"/>
  <c r="AB114" i="6"/>
  <c r="E114" i="6"/>
  <c r="AB115" i="6"/>
  <c r="AB116" i="6"/>
  <c r="AE116" i="6" s="1"/>
  <c r="AF116" i="6"/>
  <c r="F116" i="6" s="1"/>
  <c r="E116" i="9" s="1"/>
  <c r="D116" i="9" s="1"/>
  <c r="AB117" i="6"/>
  <c r="AD117" i="6" s="1"/>
  <c r="E117" i="6"/>
  <c r="AB118" i="6"/>
  <c r="AF118" i="6" s="1"/>
  <c r="AB119" i="6"/>
  <c r="E119" i="6"/>
  <c r="AB120" i="6"/>
  <c r="AB121" i="6"/>
  <c r="AE121" i="6" s="1"/>
  <c r="AF121" i="6"/>
  <c r="AB122" i="6"/>
  <c r="E122" i="6"/>
  <c r="AB123" i="6"/>
  <c r="AE123" i="6" s="1"/>
  <c r="AB124" i="6"/>
  <c r="AB125" i="6"/>
  <c r="E125" i="6"/>
  <c r="AB126" i="6"/>
  <c r="AA126" i="6" s="1"/>
  <c r="G126" i="37" s="1"/>
  <c r="AB127" i="6"/>
  <c r="E127" i="6"/>
  <c r="AB128" i="6"/>
  <c r="Y128" i="6" s="1"/>
  <c r="AB129" i="6"/>
  <c r="AB130" i="6"/>
  <c r="E130" i="6"/>
  <c r="AB131" i="6"/>
  <c r="E131" i="6"/>
  <c r="AB132" i="6"/>
  <c r="AA132" i="6" s="1"/>
  <c r="G132" i="37" s="1"/>
  <c r="AB133" i="6"/>
  <c r="AA133" i="6" s="1"/>
  <c r="G133" i="37" s="1"/>
  <c r="AB134" i="6"/>
  <c r="AD134" i="6" s="1"/>
  <c r="E134" i="6"/>
  <c r="AB135" i="6"/>
  <c r="AD135" i="6" s="1"/>
  <c r="AB136" i="6"/>
  <c r="AE136" i="6" s="1"/>
  <c r="AB138" i="6"/>
  <c r="AB139" i="6"/>
  <c r="E139" i="6"/>
  <c r="AB141" i="6"/>
  <c r="AB142" i="6"/>
  <c r="AB143" i="6"/>
  <c r="AA143" i="6" s="1"/>
  <c r="G143" i="37" s="1"/>
  <c r="AB144" i="6"/>
  <c r="AA144" i="6" s="1"/>
  <c r="G144" i="37" s="1"/>
  <c r="AB145" i="6"/>
  <c r="AF145" i="6" s="1"/>
  <c r="AE145" i="6"/>
  <c r="G145" i="6" s="1"/>
  <c r="AI145" i="6" s="1"/>
  <c r="AB146" i="6"/>
  <c r="AB147" i="6"/>
  <c r="AE147" i="6" s="1"/>
  <c r="AB148" i="6"/>
  <c r="AD148" i="6" s="1"/>
  <c r="E148" i="6"/>
  <c r="F148" i="6" s="1"/>
  <c r="E148" i="9" s="1"/>
  <c r="D148" i="9" s="1"/>
  <c r="AB149" i="6"/>
  <c r="E149" i="6"/>
  <c r="AB150" i="6"/>
  <c r="AE150" i="6" s="1"/>
  <c r="AB152" i="6"/>
  <c r="AE152" i="6" s="1"/>
  <c r="AB154" i="6"/>
  <c r="E154" i="6"/>
  <c r="AB155" i="6"/>
  <c r="AD155" i="6" s="1"/>
  <c r="E155" i="6"/>
  <c r="AB156" i="6"/>
  <c r="AE156" i="6" s="1"/>
  <c r="E156" i="6"/>
  <c r="AB157" i="6"/>
  <c r="E157" i="6"/>
  <c r="AB158" i="6"/>
  <c r="AD158" i="6" s="1"/>
  <c r="E158" i="6"/>
  <c r="Z6" i="6"/>
  <c r="Z17" i="6"/>
  <c r="Z21" i="6"/>
  <c r="Z24" i="6"/>
  <c r="Z25" i="6"/>
  <c r="Z27" i="6"/>
  <c r="Z38" i="6"/>
  <c r="Z40" i="6"/>
  <c r="Z56" i="6"/>
  <c r="Z64" i="6"/>
  <c r="Z71" i="6"/>
  <c r="Z113" i="6"/>
  <c r="Z126" i="6"/>
  <c r="Y6" i="6"/>
  <c r="Y17" i="6"/>
  <c r="Y21" i="6"/>
  <c r="Y24" i="6"/>
  <c r="Y25" i="6"/>
  <c r="Y27" i="6"/>
  <c r="Y38" i="6"/>
  <c r="Y40" i="6"/>
  <c r="Y56" i="6"/>
  <c r="Y64" i="6"/>
  <c r="Y71" i="6"/>
  <c r="Y113" i="6"/>
  <c r="Y126" i="6"/>
  <c r="X6" i="6"/>
  <c r="X17" i="6"/>
  <c r="X21" i="6"/>
  <c r="X24" i="6"/>
  <c r="X25" i="6"/>
  <c r="X27" i="6"/>
  <c r="X38" i="6"/>
  <c r="X40" i="6"/>
  <c r="X56" i="6"/>
  <c r="X64" i="6"/>
  <c r="X71" i="6"/>
  <c r="X113" i="6"/>
  <c r="X126" i="6"/>
  <c r="X143" i="6"/>
  <c r="W6" i="6"/>
  <c r="W17" i="6"/>
  <c r="W21" i="6"/>
  <c r="W24" i="6"/>
  <c r="W25" i="6"/>
  <c r="W27" i="6"/>
  <c r="W38" i="6"/>
  <c r="W40" i="6"/>
  <c r="W56" i="6"/>
  <c r="W64" i="6"/>
  <c r="W71" i="6"/>
  <c r="W78" i="6"/>
  <c r="W113" i="6"/>
  <c r="W126" i="6"/>
  <c r="W128" i="6"/>
  <c r="W143" i="6"/>
  <c r="V6" i="6"/>
  <c r="V17" i="6"/>
  <c r="V21" i="6"/>
  <c r="V24" i="6"/>
  <c r="V25" i="6"/>
  <c r="V27" i="6"/>
  <c r="V38" i="6"/>
  <c r="V40" i="6"/>
  <c r="V56" i="6"/>
  <c r="V64" i="6"/>
  <c r="V71" i="6"/>
  <c r="V113" i="6"/>
  <c r="V126" i="6"/>
  <c r="V143" i="6"/>
  <c r="U6" i="6"/>
  <c r="U17" i="6"/>
  <c r="U21" i="6"/>
  <c r="U24" i="6"/>
  <c r="U25" i="6"/>
  <c r="U27" i="6"/>
  <c r="U28" i="6"/>
  <c r="U38" i="6"/>
  <c r="U40" i="6"/>
  <c r="U56" i="6"/>
  <c r="U64" i="6"/>
  <c r="U71" i="6"/>
  <c r="U78" i="6"/>
  <c r="U113" i="6"/>
  <c r="U126" i="6"/>
  <c r="U143" i="6"/>
  <c r="U144" i="6"/>
  <c r="T6" i="6"/>
  <c r="T17" i="6"/>
  <c r="T21" i="6"/>
  <c r="T24" i="6"/>
  <c r="T25" i="6"/>
  <c r="T27" i="6"/>
  <c r="T28" i="6"/>
  <c r="T38" i="6"/>
  <c r="T40" i="6"/>
  <c r="T56" i="6"/>
  <c r="T64" i="6"/>
  <c r="T71" i="6"/>
  <c r="T104" i="6"/>
  <c r="T113" i="6"/>
  <c r="T126" i="6"/>
  <c r="T143" i="6"/>
  <c r="S6" i="6"/>
  <c r="S11" i="6"/>
  <c r="S17" i="6"/>
  <c r="S21" i="6"/>
  <c r="S24" i="6"/>
  <c r="S25" i="6"/>
  <c r="S27" i="6"/>
  <c r="S38" i="6"/>
  <c r="S40" i="6"/>
  <c r="S46" i="6"/>
  <c r="S56" i="6"/>
  <c r="S64" i="6"/>
  <c r="S71" i="6"/>
  <c r="S113" i="6"/>
  <c r="S126" i="6"/>
  <c r="S143" i="6"/>
  <c r="R6" i="6"/>
  <c r="R17" i="6"/>
  <c r="R21" i="6"/>
  <c r="R24" i="6"/>
  <c r="R25" i="6"/>
  <c r="R27" i="6"/>
  <c r="R38" i="6"/>
  <c r="R40" i="6"/>
  <c r="R56" i="6"/>
  <c r="R64" i="6"/>
  <c r="R71" i="6"/>
  <c r="R78" i="6"/>
  <c r="R113" i="6"/>
  <c r="R126" i="6"/>
  <c r="R143" i="6"/>
  <c r="R144" i="6"/>
  <c r="Q6" i="6"/>
  <c r="F6" i="37" s="1"/>
  <c r="E8" i="38" s="1"/>
  <c r="Q17" i="6"/>
  <c r="F17" i="37" s="1"/>
  <c r="Q21" i="6"/>
  <c r="F21" i="37" s="1"/>
  <c r="Q24" i="6"/>
  <c r="F24" i="37" s="1"/>
  <c r="E10" i="38" s="1"/>
  <c r="Q25" i="6"/>
  <c r="F25" i="37" s="1"/>
  <c r="Q27" i="6"/>
  <c r="F27" i="37" s="1"/>
  <c r="Q38" i="6"/>
  <c r="F38" i="37" s="1"/>
  <c r="Q40" i="6"/>
  <c r="F40" i="37" s="1"/>
  <c r="Q56" i="6"/>
  <c r="F56" i="37" s="1"/>
  <c r="Q64" i="6"/>
  <c r="F64" i="37" s="1"/>
  <c r="Q71" i="6"/>
  <c r="F71" i="37" s="1"/>
  <c r="Q113" i="6"/>
  <c r="F113" i="37" s="1"/>
  <c r="Q126" i="6"/>
  <c r="F126" i="37" s="1"/>
  <c r="Q143" i="6"/>
  <c r="F143" i="37" s="1"/>
  <c r="P6" i="6"/>
  <c r="P17" i="6"/>
  <c r="P21" i="6"/>
  <c r="P24" i="6"/>
  <c r="P25" i="6"/>
  <c r="P27" i="6"/>
  <c r="P38" i="6"/>
  <c r="P40" i="6"/>
  <c r="P56" i="6"/>
  <c r="P64" i="6"/>
  <c r="P71" i="6"/>
  <c r="P113" i="6"/>
  <c r="P126" i="6"/>
  <c r="P143" i="6"/>
  <c r="O6" i="6"/>
  <c r="O17" i="6"/>
  <c r="O21" i="6"/>
  <c r="O24" i="6"/>
  <c r="O25" i="6"/>
  <c r="O27" i="6"/>
  <c r="O38" i="6"/>
  <c r="O40" i="6"/>
  <c r="O56" i="6"/>
  <c r="O64" i="6"/>
  <c r="O71" i="6"/>
  <c r="O113" i="6"/>
  <c r="O126" i="6"/>
  <c r="O143" i="6"/>
  <c r="N6" i="6"/>
  <c r="N11" i="6"/>
  <c r="N17" i="6"/>
  <c r="N21" i="6"/>
  <c r="N24" i="6"/>
  <c r="N25" i="6"/>
  <c r="N27" i="6"/>
  <c r="N38" i="6"/>
  <c r="N40" i="6"/>
  <c r="N56" i="6"/>
  <c r="N64" i="6"/>
  <c r="N71" i="6"/>
  <c r="N113" i="6"/>
  <c r="N126" i="6"/>
  <c r="N143" i="6"/>
  <c r="M6" i="6"/>
  <c r="M11" i="6"/>
  <c r="M17" i="6"/>
  <c r="M21" i="6"/>
  <c r="M24" i="6"/>
  <c r="M25" i="6"/>
  <c r="M27" i="6"/>
  <c r="M38" i="6"/>
  <c r="M40" i="6"/>
  <c r="M56" i="6"/>
  <c r="M64" i="6"/>
  <c r="M71" i="6"/>
  <c r="M113" i="6"/>
  <c r="M126" i="6"/>
  <c r="M143" i="6"/>
  <c r="L6" i="6"/>
  <c r="L11" i="6"/>
  <c r="L17" i="6"/>
  <c r="L21" i="6"/>
  <c r="L24" i="6"/>
  <c r="L25" i="6"/>
  <c r="L27" i="6"/>
  <c r="L32" i="6"/>
  <c r="L36" i="6"/>
  <c r="L38" i="6"/>
  <c r="L40" i="6"/>
  <c r="L56" i="6"/>
  <c r="L58" i="6"/>
  <c r="L61" i="6"/>
  <c r="L64" i="6"/>
  <c r="L71" i="6"/>
  <c r="L72" i="6"/>
  <c r="L75" i="6"/>
  <c r="L78" i="6"/>
  <c r="L88" i="6"/>
  <c r="L96" i="6"/>
  <c r="L113" i="6"/>
  <c r="L126" i="6"/>
  <c r="L128" i="6"/>
  <c r="L133" i="6"/>
  <c r="L143" i="6"/>
  <c r="K6" i="6"/>
  <c r="K11" i="6"/>
  <c r="K14" i="6"/>
  <c r="K17" i="6"/>
  <c r="K21" i="6"/>
  <c r="K24" i="6"/>
  <c r="K25" i="6"/>
  <c r="K27" i="6"/>
  <c r="K38" i="6"/>
  <c r="K40" i="6"/>
  <c r="K46" i="6"/>
  <c r="K56" i="6"/>
  <c r="K64" i="6"/>
  <c r="K71" i="6"/>
  <c r="K113" i="6"/>
  <c r="K126" i="6"/>
  <c r="K143" i="6"/>
  <c r="K144" i="6"/>
  <c r="J6" i="6"/>
  <c r="J11" i="6"/>
  <c r="J14" i="6"/>
  <c r="J17" i="6"/>
  <c r="J21" i="6"/>
  <c r="J24" i="6"/>
  <c r="J25" i="6"/>
  <c r="J27" i="6"/>
  <c r="J38" i="6"/>
  <c r="J40" i="6"/>
  <c r="J56" i="6"/>
  <c r="J64" i="6"/>
  <c r="J71" i="6"/>
  <c r="J78" i="6"/>
  <c r="J113" i="6"/>
  <c r="J126" i="6"/>
  <c r="J143" i="6"/>
  <c r="J144" i="6"/>
  <c r="I6" i="6"/>
  <c r="I11" i="6"/>
  <c r="I14" i="6"/>
  <c r="I17" i="6"/>
  <c r="I21" i="6"/>
  <c r="I24" i="6"/>
  <c r="I25" i="6"/>
  <c r="I27" i="6"/>
  <c r="I29" i="6"/>
  <c r="I38" i="6"/>
  <c r="I40" i="6"/>
  <c r="I56" i="6"/>
  <c r="I64" i="6"/>
  <c r="I71" i="6"/>
  <c r="I104" i="6"/>
  <c r="I113" i="6"/>
  <c r="I126" i="6"/>
  <c r="I128" i="6"/>
  <c r="I143" i="6"/>
  <c r="H6" i="6"/>
  <c r="H11" i="6"/>
  <c r="H14" i="6"/>
  <c r="H17" i="6"/>
  <c r="H21" i="6"/>
  <c r="H24" i="6"/>
  <c r="H25" i="6"/>
  <c r="H27" i="6"/>
  <c r="H28" i="6"/>
  <c r="H38" i="6"/>
  <c r="H40" i="6"/>
  <c r="H56" i="6"/>
  <c r="H64" i="6"/>
  <c r="H71" i="6"/>
  <c r="H101" i="6"/>
  <c r="H113" i="6"/>
  <c r="H126" i="6"/>
  <c r="H134" i="6"/>
  <c r="H143" i="6"/>
  <c r="G6" i="6"/>
  <c r="G11" i="6"/>
  <c r="AI11" i="6" s="1"/>
  <c r="G14" i="6"/>
  <c r="G17" i="6"/>
  <c r="AI17" i="6" s="1"/>
  <c r="G21" i="6"/>
  <c r="AI21" i="6" s="1"/>
  <c r="G24" i="6"/>
  <c r="G25" i="6"/>
  <c r="AI25" i="6" s="1"/>
  <c r="G27" i="6"/>
  <c r="G38" i="6"/>
  <c r="AI38" i="6" s="1"/>
  <c r="G40" i="6"/>
  <c r="AI40" i="6" s="1"/>
  <c r="G46" i="6"/>
  <c r="G56" i="6"/>
  <c r="G64" i="6"/>
  <c r="AI64" i="6" s="1"/>
  <c r="G71" i="6"/>
  <c r="AI71" i="6" s="1"/>
  <c r="G78" i="6"/>
  <c r="AI78" i="6" s="1"/>
  <c r="G113" i="6"/>
  <c r="AI113" i="6" s="1"/>
  <c r="G126" i="6"/>
  <c r="AI126" i="6" s="1"/>
  <c r="G128" i="6"/>
  <c r="AI128" i="6" s="1"/>
  <c r="G143" i="6"/>
  <c r="G144" i="6"/>
  <c r="AI144" i="6" s="1"/>
  <c r="G148" i="6"/>
  <c r="F6" i="6"/>
  <c r="E6" i="9" s="1"/>
  <c r="D6" i="9" s="1"/>
  <c r="J6" i="9" s="1"/>
  <c r="J6" i="10" s="1"/>
  <c r="F11" i="6"/>
  <c r="E11" i="9" s="1"/>
  <c r="D11" i="9" s="1"/>
  <c r="F14" i="6"/>
  <c r="E14" i="9" s="1"/>
  <c r="D14" i="9" s="1"/>
  <c r="F17" i="6"/>
  <c r="E17" i="9" s="1"/>
  <c r="D17" i="9" s="1"/>
  <c r="F21" i="6"/>
  <c r="E21" i="9" s="1"/>
  <c r="D21" i="9" s="1"/>
  <c r="F24" i="6"/>
  <c r="F25" i="6"/>
  <c r="E25" i="9" s="1"/>
  <c r="D25" i="9" s="1"/>
  <c r="F27" i="6"/>
  <c r="E27" i="9" s="1"/>
  <c r="D27" i="9" s="1"/>
  <c r="F28" i="6"/>
  <c r="E28" i="9" s="1"/>
  <c r="D28" i="9" s="1"/>
  <c r="F38" i="6"/>
  <c r="F40" i="6"/>
  <c r="E40" i="9" s="1"/>
  <c r="D40" i="9" s="1"/>
  <c r="F46" i="6"/>
  <c r="E46" i="9" s="1"/>
  <c r="D46" i="9" s="1"/>
  <c r="F56" i="6"/>
  <c r="E56" i="9" s="1"/>
  <c r="D56" i="9" s="1"/>
  <c r="F56" i="9" s="1"/>
  <c r="F64" i="6"/>
  <c r="F71" i="6"/>
  <c r="E71" i="9" s="1"/>
  <c r="D71" i="9" s="1"/>
  <c r="F78" i="6"/>
  <c r="E78" i="9" s="1"/>
  <c r="D78" i="9" s="1"/>
  <c r="F101" i="6"/>
  <c r="E101" i="9" s="1"/>
  <c r="D101" i="9" s="1"/>
  <c r="F104" i="6"/>
  <c r="E104" i="9" s="1"/>
  <c r="D104" i="9" s="1"/>
  <c r="F113" i="6"/>
  <c r="E113" i="9" s="1"/>
  <c r="D113" i="9" s="1"/>
  <c r="F126" i="6"/>
  <c r="F128" i="6"/>
  <c r="F143" i="6"/>
  <c r="E143" i="9" s="1"/>
  <c r="D143" i="9" s="1"/>
  <c r="F144" i="6"/>
  <c r="E144" i="9" s="1"/>
  <c r="D144" i="9" s="1"/>
  <c r="E6" i="6"/>
  <c r="E7" i="6"/>
  <c r="E8" i="6"/>
  <c r="E9" i="6"/>
  <c r="E10" i="6"/>
  <c r="E11" i="6"/>
  <c r="E12" i="6"/>
  <c r="E15" i="6"/>
  <c r="E17" i="6"/>
  <c r="E19" i="6"/>
  <c r="E21" i="6"/>
  <c r="E23" i="6"/>
  <c r="E24" i="6"/>
  <c r="E25" i="6"/>
  <c r="E26" i="6"/>
  <c r="E27" i="6"/>
  <c r="E28" i="6"/>
  <c r="E30" i="6"/>
  <c r="E31" i="6"/>
  <c r="E32" i="6"/>
  <c r="E33" i="6"/>
  <c r="E36" i="6"/>
  <c r="E37" i="6"/>
  <c r="E38" i="6"/>
  <c r="E40" i="6"/>
  <c r="E43" i="6"/>
  <c r="E45" i="6"/>
  <c r="E46" i="6"/>
  <c r="E47" i="6"/>
  <c r="E49" i="6"/>
  <c r="E50" i="6"/>
  <c r="E51" i="6"/>
  <c r="E52" i="6"/>
  <c r="E54" i="6"/>
  <c r="E56" i="6"/>
  <c r="E57" i="6"/>
  <c r="E58" i="6"/>
  <c r="E59" i="6"/>
  <c r="E60" i="6"/>
  <c r="E61" i="6"/>
  <c r="E63" i="6"/>
  <c r="E64" i="6"/>
  <c r="E65" i="6"/>
  <c r="E68" i="6"/>
  <c r="E71" i="6"/>
  <c r="E72" i="6"/>
  <c r="E73" i="6"/>
  <c r="E75" i="6"/>
  <c r="E76" i="6"/>
  <c r="E78" i="6"/>
  <c r="E79" i="6"/>
  <c r="E81" i="6"/>
  <c r="E83" i="6"/>
  <c r="E88" i="6"/>
  <c r="E89" i="6"/>
  <c r="E93" i="6"/>
  <c r="E94" i="6"/>
  <c r="E95" i="6"/>
  <c r="E96" i="6"/>
  <c r="E97" i="6"/>
  <c r="E99" i="6"/>
  <c r="E104" i="6"/>
  <c r="E105" i="6"/>
  <c r="E106" i="6"/>
  <c r="E107" i="6"/>
  <c r="E109" i="6"/>
  <c r="E111" i="6"/>
  <c r="E112" i="6"/>
  <c r="E113" i="6"/>
  <c r="E115" i="6"/>
  <c r="E116" i="6"/>
  <c r="E118" i="6"/>
  <c r="E120" i="6"/>
  <c r="E121" i="6"/>
  <c r="E123" i="6"/>
  <c r="E124" i="6"/>
  <c r="E126" i="6"/>
  <c r="E128" i="6"/>
  <c r="E129" i="6"/>
  <c r="E132" i="6"/>
  <c r="E133" i="6"/>
  <c r="E135" i="6"/>
  <c r="E136" i="6"/>
  <c r="E138" i="6"/>
  <c r="E141" i="6"/>
  <c r="E142" i="6"/>
  <c r="E143" i="6"/>
  <c r="E144" i="6"/>
  <c r="E145" i="6"/>
  <c r="E146" i="6"/>
  <c r="E147" i="6"/>
  <c r="E150" i="6"/>
  <c r="E152" i="6"/>
  <c r="AB5" i="22"/>
  <c r="E5" i="22"/>
  <c r="AB6" i="22"/>
  <c r="AB7" i="22"/>
  <c r="AB8" i="22"/>
  <c r="AE8" i="22" s="1"/>
  <c r="AB9" i="22"/>
  <c r="AE9" i="22" s="1"/>
  <c r="AB10" i="22"/>
  <c r="AE10" i="22" s="1"/>
  <c r="AB11" i="22"/>
  <c r="G11" i="22"/>
  <c r="AI11" i="22" s="1"/>
  <c r="AB12" i="22"/>
  <c r="AE12" i="22" s="1"/>
  <c r="AB13" i="22"/>
  <c r="E13" i="22"/>
  <c r="AB14" i="22"/>
  <c r="E14" i="22"/>
  <c r="AB15" i="22"/>
  <c r="AB16" i="22"/>
  <c r="AD16" i="22" s="1"/>
  <c r="E16" i="22"/>
  <c r="AB17" i="22"/>
  <c r="AB18" i="22"/>
  <c r="E18" i="22"/>
  <c r="AB19" i="22"/>
  <c r="AF19" i="22" s="1"/>
  <c r="AB20" i="22"/>
  <c r="AD20" i="22" s="1"/>
  <c r="E20" i="22"/>
  <c r="AB21" i="22"/>
  <c r="AB22" i="22"/>
  <c r="AD22" i="22" s="1"/>
  <c r="E22" i="22"/>
  <c r="AB23" i="22"/>
  <c r="AB24" i="22"/>
  <c r="G24" i="22" s="1"/>
  <c r="AI24" i="22" s="1"/>
  <c r="AB25" i="22"/>
  <c r="G25" i="22" s="1"/>
  <c r="AI25" i="22" s="1"/>
  <c r="AB26" i="22"/>
  <c r="AE26" i="22" s="1"/>
  <c r="AB27" i="22"/>
  <c r="AB28" i="22"/>
  <c r="AB29" i="22"/>
  <c r="E29" i="22"/>
  <c r="AB30" i="22"/>
  <c r="AF30" i="22" s="1"/>
  <c r="AB31" i="22"/>
  <c r="AB32" i="22"/>
  <c r="AB33" i="22"/>
  <c r="AB34" i="22"/>
  <c r="E34" i="22"/>
  <c r="AB35" i="22"/>
  <c r="E35" i="22"/>
  <c r="AB36" i="22"/>
  <c r="AA36" i="22" s="1"/>
  <c r="AB37" i="22"/>
  <c r="AB38" i="22"/>
  <c r="AB39" i="22"/>
  <c r="E39" i="22"/>
  <c r="AB40" i="22"/>
  <c r="AB41" i="22"/>
  <c r="E41" i="22"/>
  <c r="AB42" i="22"/>
  <c r="E42" i="22"/>
  <c r="AB43" i="22"/>
  <c r="AE43" i="22" s="1"/>
  <c r="AB44" i="22"/>
  <c r="E44" i="22"/>
  <c r="AB45" i="22"/>
  <c r="AE45" i="22" s="1"/>
  <c r="AB46" i="22"/>
  <c r="AB47" i="22"/>
  <c r="AE47" i="22" s="1"/>
  <c r="AB48" i="22"/>
  <c r="AD48" i="22" s="1"/>
  <c r="E48" i="22"/>
  <c r="AB49" i="22"/>
  <c r="AB50" i="22"/>
  <c r="AE50" i="22" s="1"/>
  <c r="AB51" i="22"/>
  <c r="AB52" i="22"/>
  <c r="AE52" i="22" s="1"/>
  <c r="AB53" i="22"/>
  <c r="E53" i="22"/>
  <c r="AB54" i="22"/>
  <c r="AE54" i="22" s="1"/>
  <c r="AB55" i="22"/>
  <c r="E55" i="22"/>
  <c r="AB56" i="22"/>
  <c r="AB57" i="22"/>
  <c r="AE57" i="22" s="1"/>
  <c r="AB58" i="22"/>
  <c r="AB59" i="22"/>
  <c r="AA59" i="22" s="1"/>
  <c r="AB60" i="22"/>
  <c r="AB61" i="22"/>
  <c r="AB62" i="22"/>
  <c r="AD62" i="22" s="1"/>
  <c r="E62" i="22"/>
  <c r="AB63" i="22"/>
  <c r="AB64" i="22"/>
  <c r="AB65" i="22"/>
  <c r="AB66" i="22"/>
  <c r="AE66" i="22" s="1"/>
  <c r="AB68" i="22"/>
  <c r="AD68" i="22" s="1"/>
  <c r="E68" i="22"/>
  <c r="AB69" i="22"/>
  <c r="AB70" i="22"/>
  <c r="E70" i="22"/>
  <c r="AB71" i="22"/>
  <c r="AD71" i="22" s="1"/>
  <c r="E71" i="22"/>
  <c r="AB72" i="22"/>
  <c r="G72" i="22" s="1"/>
  <c r="AI72" i="22" s="1"/>
  <c r="AB73" i="22"/>
  <c r="AA73" i="22" s="1"/>
  <c r="AB74" i="22"/>
  <c r="AE74" i="22" s="1"/>
  <c r="AB75" i="22"/>
  <c r="E75" i="22"/>
  <c r="AB76" i="22"/>
  <c r="AB77" i="22"/>
  <c r="AB78" i="22"/>
  <c r="AD78" i="22" s="1"/>
  <c r="E78" i="22"/>
  <c r="AB80" i="22"/>
  <c r="G80" i="22" s="1"/>
  <c r="AI80" i="22" s="1"/>
  <c r="AB81" i="22"/>
  <c r="AB82" i="22"/>
  <c r="AD82" i="22" s="1"/>
  <c r="E82" i="22"/>
  <c r="AB83" i="22"/>
  <c r="AE83" i="22" s="1"/>
  <c r="AB84" i="22"/>
  <c r="E84" i="22"/>
  <c r="AB85" i="22"/>
  <c r="AB86" i="22"/>
  <c r="AB88" i="22"/>
  <c r="AB90" i="22"/>
  <c r="AD90" i="22" s="1"/>
  <c r="E90" i="22"/>
  <c r="AB91" i="22"/>
  <c r="E91" i="22"/>
  <c r="AD91" i="22"/>
  <c r="AB92" i="22"/>
  <c r="AB93" i="22"/>
  <c r="AE93" i="22" s="1"/>
  <c r="AB94" i="22"/>
  <c r="AD94" i="22" s="1"/>
  <c r="E94" i="22"/>
  <c r="AB95" i="22"/>
  <c r="E95" i="22"/>
  <c r="AB96" i="22"/>
  <c r="AD96" i="22" s="1"/>
  <c r="E96" i="22"/>
  <c r="AB97" i="22"/>
  <c r="AB98" i="22"/>
  <c r="AB99" i="22"/>
  <c r="AE99" i="22" s="1"/>
  <c r="AF99" i="22"/>
  <c r="AB100" i="22"/>
  <c r="AB101" i="22"/>
  <c r="AB102" i="22"/>
  <c r="AD102" i="22" s="1"/>
  <c r="E102" i="22"/>
  <c r="AB103" i="22"/>
  <c r="AE103" i="22" s="1"/>
  <c r="AB104" i="22"/>
  <c r="AB106" i="22"/>
  <c r="E106" i="22"/>
  <c r="AB107" i="22"/>
  <c r="AA107" i="22" s="1"/>
  <c r="AB109" i="22"/>
  <c r="E109" i="22"/>
  <c r="AB110" i="22"/>
  <c r="AB111" i="22"/>
  <c r="AB112" i="22"/>
  <c r="AE112" i="22" s="1"/>
  <c r="AB113" i="22"/>
  <c r="AE113" i="22" s="1"/>
  <c r="AB114" i="22"/>
  <c r="AD114" i="22" s="1"/>
  <c r="E114" i="22"/>
  <c r="AB115" i="22"/>
  <c r="AB116" i="22"/>
  <c r="W116" i="22" s="1"/>
  <c r="AB118" i="22"/>
  <c r="AE118" i="22" s="1"/>
  <c r="AB119" i="22"/>
  <c r="AB120" i="22"/>
  <c r="AB121" i="22"/>
  <c r="E121" i="22"/>
  <c r="AB122" i="22"/>
  <c r="AD122" i="22" s="1"/>
  <c r="AB123" i="22"/>
  <c r="AF123" i="22" s="1"/>
  <c r="AB124" i="22"/>
  <c r="E124" i="22"/>
  <c r="AB125" i="22"/>
  <c r="AE125" i="22" s="1"/>
  <c r="AB126" i="22"/>
  <c r="E126" i="22"/>
  <c r="AB127" i="22"/>
  <c r="AE127" i="22" s="1"/>
  <c r="AB128" i="22"/>
  <c r="AB129" i="22"/>
  <c r="E129" i="22"/>
  <c r="AB130" i="22"/>
  <c r="AB131" i="22"/>
  <c r="AB132" i="22"/>
  <c r="AD132" i="22" s="1"/>
  <c r="E132" i="22"/>
  <c r="AB133" i="22"/>
  <c r="G133" i="22" s="1"/>
  <c r="AI133" i="22" s="1"/>
  <c r="AB134" i="22"/>
  <c r="AD134" i="22" s="1"/>
  <c r="E134" i="22"/>
  <c r="AB135" i="22"/>
  <c r="AB136" i="22"/>
  <c r="AB137" i="22"/>
  <c r="AD137" i="22" s="1"/>
  <c r="E137" i="22"/>
  <c r="AB138" i="22"/>
  <c r="AD138" i="22" s="1"/>
  <c r="E138" i="22"/>
  <c r="AB139" i="22"/>
  <c r="AB140" i="22"/>
  <c r="AB141" i="22"/>
  <c r="E141" i="22"/>
  <c r="AB142" i="22"/>
  <c r="G142" i="22" s="1"/>
  <c r="AI142" i="22" s="1"/>
  <c r="AB143" i="22"/>
  <c r="AF143" i="22" s="1"/>
  <c r="AB144" i="22"/>
  <c r="AB146" i="22"/>
  <c r="AB147" i="22"/>
  <c r="E147" i="22"/>
  <c r="AB148" i="22"/>
  <c r="J4" i="22"/>
  <c r="K4" i="22"/>
  <c r="L4" i="22"/>
  <c r="M4" i="22" s="1"/>
  <c r="N4" i="22" s="1"/>
  <c r="O4" i="22" s="1"/>
  <c r="P4" i="22"/>
  <c r="Q4" i="22" s="1"/>
  <c r="R4" i="22" s="1"/>
  <c r="S4" i="22" s="1"/>
  <c r="T4" i="22"/>
  <c r="U4" i="22" s="1"/>
  <c r="V4" i="22" s="1"/>
  <c r="W4" i="22" s="1"/>
  <c r="AA6" i="22"/>
  <c r="AA11" i="22"/>
  <c r="AA24" i="22"/>
  <c r="AA25" i="22"/>
  <c r="AA32" i="22"/>
  <c r="AA37" i="22"/>
  <c r="AA56" i="22"/>
  <c r="AA58" i="22"/>
  <c r="AA72" i="22"/>
  <c r="AA76" i="22"/>
  <c r="AA92" i="22"/>
  <c r="AA119" i="22"/>
  <c r="AA140" i="22"/>
  <c r="AA142" i="22"/>
  <c r="AB150" i="22"/>
  <c r="AE150" i="22" s="1"/>
  <c r="AB151" i="22"/>
  <c r="AB152" i="22"/>
  <c r="AB153" i="22"/>
  <c r="AA153" i="22" s="1"/>
  <c r="AB154" i="22"/>
  <c r="AB155" i="22"/>
  <c r="AB156" i="22"/>
  <c r="AB157" i="22"/>
  <c r="E157" i="22"/>
  <c r="AB158" i="22"/>
  <c r="E158" i="22"/>
  <c r="AB159" i="22"/>
  <c r="AF159" i="22" s="1"/>
  <c r="AB160" i="22"/>
  <c r="AA160" i="22" s="1"/>
  <c r="AB162" i="22"/>
  <c r="AF162" i="22" s="1"/>
  <c r="AB163" i="22"/>
  <c r="E163" i="22"/>
  <c r="AB165" i="22"/>
  <c r="E165" i="22"/>
  <c r="AB166" i="22"/>
  <c r="AD166" i="22" s="1"/>
  <c r="E166" i="22"/>
  <c r="U166" i="22" s="1"/>
  <c r="AB167" i="22"/>
  <c r="AD167" i="22" s="1"/>
  <c r="E167" i="22"/>
  <c r="AB168" i="22"/>
  <c r="E168" i="22"/>
  <c r="AB169" i="22"/>
  <c r="E169" i="22"/>
  <c r="Z11" i="22"/>
  <c r="Z24" i="22"/>
  <c r="Z25" i="22"/>
  <c r="Z72" i="22"/>
  <c r="Z80" i="22"/>
  <c r="Z104" i="22"/>
  <c r="Z133" i="22"/>
  <c r="Z142" i="22"/>
  <c r="Z153" i="22"/>
  <c r="Y11" i="22"/>
  <c r="Y17" i="22"/>
  <c r="Y24" i="22"/>
  <c r="Y25" i="22"/>
  <c r="Y46" i="22"/>
  <c r="Y72" i="22"/>
  <c r="Y80" i="22"/>
  <c r="Y107" i="22"/>
  <c r="Y133" i="22"/>
  <c r="Y142" i="22"/>
  <c r="Y153" i="22"/>
  <c r="X11" i="22"/>
  <c r="X17" i="22"/>
  <c r="X24" i="22"/>
  <c r="X25" i="22"/>
  <c r="X28" i="22"/>
  <c r="X46" i="22"/>
  <c r="X56" i="22"/>
  <c r="X72" i="22"/>
  <c r="X80" i="22"/>
  <c r="X104" i="22"/>
  <c r="X133" i="22"/>
  <c r="X142" i="22"/>
  <c r="X153" i="22"/>
  <c r="W11" i="22"/>
  <c r="W17" i="22"/>
  <c r="W21" i="22"/>
  <c r="W24" i="22"/>
  <c r="W25" i="22"/>
  <c r="W28" i="22"/>
  <c r="W38" i="22"/>
  <c r="W46" i="22"/>
  <c r="W72" i="22"/>
  <c r="W80" i="22"/>
  <c r="W104" i="22"/>
  <c r="W133" i="22"/>
  <c r="W142" i="22"/>
  <c r="W153" i="22"/>
  <c r="V11" i="22"/>
  <c r="V17" i="22"/>
  <c r="V20" i="22"/>
  <c r="V22" i="22"/>
  <c r="V24" i="22"/>
  <c r="V25" i="22"/>
  <c r="V28" i="22"/>
  <c r="V46" i="22"/>
  <c r="V48" i="22"/>
  <c r="V62" i="22"/>
  <c r="V64" i="22"/>
  <c r="V68" i="22"/>
  <c r="V72" i="22"/>
  <c r="V80" i="22"/>
  <c r="V96" i="22"/>
  <c r="V110" i="22"/>
  <c r="V114" i="22"/>
  <c r="V133" i="22"/>
  <c r="V135" i="22"/>
  <c r="V142" i="22"/>
  <c r="V153" i="22"/>
  <c r="V167" i="22"/>
  <c r="U6" i="22"/>
  <c r="U11" i="22"/>
  <c r="U17" i="22"/>
  <c r="U20" i="22"/>
  <c r="U22" i="22"/>
  <c r="U24" i="22"/>
  <c r="U25" i="22"/>
  <c r="U27" i="22"/>
  <c r="U28" i="22"/>
  <c r="U38" i="22"/>
  <c r="U48" i="22"/>
  <c r="U62" i="22"/>
  <c r="U68" i="22"/>
  <c r="U72" i="22"/>
  <c r="U80" i="22"/>
  <c r="U96" i="22"/>
  <c r="U99" i="22"/>
  <c r="U110" i="22"/>
  <c r="U120" i="22"/>
  <c r="U133" i="22"/>
  <c r="U135" i="22"/>
  <c r="U138" i="22"/>
  <c r="U142" i="22"/>
  <c r="U153" i="22"/>
  <c r="U167" i="22"/>
  <c r="T11" i="22"/>
  <c r="T17" i="22"/>
  <c r="T20" i="22"/>
  <c r="T21" i="22"/>
  <c r="T22" i="22"/>
  <c r="T24" i="22"/>
  <c r="T25" i="22"/>
  <c r="T28" i="22"/>
  <c r="T38" i="22"/>
  <c r="T40" i="22"/>
  <c r="T48" i="22"/>
  <c r="T56" i="22"/>
  <c r="T62" i="22"/>
  <c r="T64" i="22"/>
  <c r="T68" i="22"/>
  <c r="T72" i="22"/>
  <c r="T80" i="22"/>
  <c r="T90" i="22"/>
  <c r="T96" i="22"/>
  <c r="T99" i="22"/>
  <c r="T110" i="22"/>
  <c r="T120" i="22"/>
  <c r="T133" i="22"/>
  <c r="T135" i="22"/>
  <c r="T138" i="22"/>
  <c r="T142" i="22"/>
  <c r="T153" i="22"/>
  <c r="T167" i="22"/>
  <c r="S6" i="22"/>
  <c r="S11" i="22"/>
  <c r="S17" i="22"/>
  <c r="S20" i="22"/>
  <c r="S21" i="22"/>
  <c r="S22" i="22"/>
  <c r="S24" i="22"/>
  <c r="S25" i="22"/>
  <c r="S27" i="22"/>
  <c r="S28" i="22"/>
  <c r="S38" i="22"/>
  <c r="S46" i="22"/>
  <c r="S62" i="22"/>
  <c r="S68" i="22"/>
  <c r="S72" i="22"/>
  <c r="S80" i="22"/>
  <c r="S96" i="22"/>
  <c r="S99" i="22"/>
  <c r="S120" i="22"/>
  <c r="S133" i="22"/>
  <c r="S135" i="22"/>
  <c r="S137" i="22"/>
  <c r="S142" i="22"/>
  <c r="S153" i="22"/>
  <c r="S167" i="22"/>
  <c r="R11" i="22"/>
  <c r="R17" i="22"/>
  <c r="R20" i="22"/>
  <c r="R22" i="22"/>
  <c r="R24" i="22"/>
  <c r="R25" i="22"/>
  <c r="R28" i="22"/>
  <c r="R46" i="22"/>
  <c r="R48" i="22"/>
  <c r="R62" i="22"/>
  <c r="R68" i="22"/>
  <c r="R72" i="22"/>
  <c r="R80" i="22"/>
  <c r="R96" i="22"/>
  <c r="R107" i="22"/>
  <c r="R110" i="22"/>
  <c r="R133" i="22"/>
  <c r="R135" i="22"/>
  <c r="R138" i="22"/>
  <c r="R142" i="22"/>
  <c r="R153" i="22"/>
  <c r="R167" i="22"/>
  <c r="Q11" i="22"/>
  <c r="Q17" i="22"/>
  <c r="Q20" i="22"/>
  <c r="Q21" i="22"/>
  <c r="Q22" i="22"/>
  <c r="Q24" i="22"/>
  <c r="Q25" i="22"/>
  <c r="Q28" i="22"/>
  <c r="Q38" i="22"/>
  <c r="Q40" i="22"/>
  <c r="Q48" i="22"/>
  <c r="Q56" i="22"/>
  <c r="Q62" i="22"/>
  <c r="Q64" i="22"/>
  <c r="Q68" i="22"/>
  <c r="Q72" i="22"/>
  <c r="Q80" i="22"/>
  <c r="Q90" i="22"/>
  <c r="Q96" i="22"/>
  <c r="Q99" i="22"/>
  <c r="Q110" i="22"/>
  <c r="Q120" i="22"/>
  <c r="Q133" i="22"/>
  <c r="Q135" i="22"/>
  <c r="Q138" i="22"/>
  <c r="Q142" i="22"/>
  <c r="Q153" i="22"/>
  <c r="Q167" i="22"/>
  <c r="P6" i="22"/>
  <c r="P11" i="22"/>
  <c r="P17" i="22"/>
  <c r="P20" i="22"/>
  <c r="P21" i="22"/>
  <c r="P22" i="22"/>
  <c r="P24" i="22"/>
  <c r="P25" i="22"/>
  <c r="P27" i="22"/>
  <c r="P28" i="22"/>
  <c r="P38" i="22"/>
  <c r="P40" i="22"/>
  <c r="P46" i="22"/>
  <c r="P48" i="22"/>
  <c r="P62" i="22"/>
  <c r="P68" i="22"/>
  <c r="P72" i="22"/>
  <c r="P80" i="22"/>
  <c r="P96" i="22"/>
  <c r="P99" i="22"/>
  <c r="P104" i="22"/>
  <c r="P110" i="22"/>
  <c r="P120" i="22"/>
  <c r="P133" i="22"/>
  <c r="P135" i="22"/>
  <c r="P137" i="22"/>
  <c r="P138" i="22"/>
  <c r="P142" i="22"/>
  <c r="P153" i="22"/>
  <c r="P167" i="22"/>
  <c r="O11" i="22"/>
  <c r="O17" i="22"/>
  <c r="O20" i="22"/>
  <c r="O21" i="22"/>
  <c r="O22" i="22"/>
  <c r="O24" i="22"/>
  <c r="O25" i="22"/>
  <c r="O28" i="22"/>
  <c r="O38" i="22"/>
  <c r="O40" i="22"/>
  <c r="O46" i="22"/>
  <c r="O48" i="22"/>
  <c r="O62" i="22"/>
  <c r="O68" i="22"/>
  <c r="O72" i="22"/>
  <c r="O80" i="22"/>
  <c r="O96" i="22"/>
  <c r="O99" i="22"/>
  <c r="O104" i="22"/>
  <c r="O107" i="22"/>
  <c r="O110" i="22"/>
  <c r="O120" i="22"/>
  <c r="O133" i="22"/>
  <c r="O135" i="22"/>
  <c r="O137" i="22"/>
  <c r="O138" i="22"/>
  <c r="O142" i="22"/>
  <c r="O153" i="22"/>
  <c r="O167" i="22"/>
  <c r="N11" i="22"/>
  <c r="N17" i="22"/>
  <c r="N20" i="22"/>
  <c r="N21" i="22"/>
  <c r="N22" i="22"/>
  <c r="N24" i="22"/>
  <c r="N25" i="22"/>
  <c r="N28" i="22"/>
  <c r="N38" i="22"/>
  <c r="N40" i="22"/>
  <c r="N46" i="22"/>
  <c r="N48" i="22"/>
  <c r="N56" i="22"/>
  <c r="N62" i="22"/>
  <c r="N64" i="22"/>
  <c r="N68" i="22"/>
  <c r="N72" i="22"/>
  <c r="N78" i="22"/>
  <c r="N80" i="22"/>
  <c r="N90" i="22"/>
  <c r="N96" i="22"/>
  <c r="N99" i="22"/>
  <c r="N104" i="22"/>
  <c r="N107" i="22"/>
  <c r="N110" i="22"/>
  <c r="N114" i="22"/>
  <c r="N116" i="22"/>
  <c r="N120" i="22"/>
  <c r="N132" i="22"/>
  <c r="N133" i="22"/>
  <c r="N135" i="22"/>
  <c r="N137" i="22"/>
  <c r="N138" i="22"/>
  <c r="N142" i="22"/>
  <c r="N153" i="22"/>
  <c r="N167" i="22"/>
  <c r="M6" i="22"/>
  <c r="M11" i="22"/>
  <c r="M17" i="22"/>
  <c r="M20" i="22"/>
  <c r="M21" i="22"/>
  <c r="M22" i="22"/>
  <c r="M24" i="22"/>
  <c r="M25" i="22"/>
  <c r="M27" i="22"/>
  <c r="M28" i="22"/>
  <c r="M38" i="22"/>
  <c r="M40" i="22"/>
  <c r="M46" i="22"/>
  <c r="M48" i="22"/>
  <c r="M56" i="22"/>
  <c r="M62" i="22"/>
  <c r="M64" i="22"/>
  <c r="M68" i="22"/>
  <c r="M72" i="22"/>
  <c r="M78" i="22"/>
  <c r="M80" i="22"/>
  <c r="M82" i="22"/>
  <c r="M90" i="22"/>
  <c r="M94" i="22"/>
  <c r="M96" i="22"/>
  <c r="M99" i="22"/>
  <c r="M104" i="22"/>
  <c r="M107" i="22"/>
  <c r="M110" i="22"/>
  <c r="M114" i="22"/>
  <c r="M120" i="22"/>
  <c r="M132" i="22"/>
  <c r="M133" i="22"/>
  <c r="M135" i="22"/>
  <c r="M137" i="22"/>
  <c r="M138" i="22"/>
  <c r="M142" i="22"/>
  <c r="M153" i="22"/>
  <c r="M167" i="22"/>
  <c r="L6" i="22"/>
  <c r="L11" i="22"/>
  <c r="L17" i="22"/>
  <c r="L20" i="22"/>
  <c r="L21" i="22"/>
  <c r="L22" i="22"/>
  <c r="L24" i="22"/>
  <c r="L25" i="22"/>
  <c r="L27" i="22"/>
  <c r="L28" i="22"/>
  <c r="L32" i="22"/>
  <c r="L33" i="22"/>
  <c r="L36" i="22"/>
  <c r="L37" i="22"/>
  <c r="L38" i="22"/>
  <c r="L40" i="22"/>
  <c r="L46" i="22"/>
  <c r="L48" i="22"/>
  <c r="L56" i="22"/>
  <c r="L58" i="22"/>
  <c r="L59" i="22"/>
  <c r="L61" i="22"/>
  <c r="L62" i="22"/>
  <c r="L64" i="22"/>
  <c r="L68" i="22"/>
  <c r="L71" i="22"/>
  <c r="L72" i="22"/>
  <c r="L73" i="22"/>
  <c r="L76" i="22"/>
  <c r="L78" i="22"/>
  <c r="L80" i="22"/>
  <c r="L82" i="22"/>
  <c r="L90" i="22"/>
  <c r="L92" i="22"/>
  <c r="L94" i="22"/>
  <c r="L96" i="22"/>
  <c r="L99" i="22"/>
  <c r="L100" i="22"/>
  <c r="L104" i="22"/>
  <c r="L107" i="22"/>
  <c r="L110" i="22"/>
  <c r="L114" i="22"/>
  <c r="L119" i="22"/>
  <c r="L120" i="22"/>
  <c r="L132" i="22"/>
  <c r="L133" i="22"/>
  <c r="L135" i="22"/>
  <c r="L137" i="22"/>
  <c r="L138" i="22"/>
  <c r="L139" i="22"/>
  <c r="L140" i="22"/>
  <c r="L142" i="22"/>
  <c r="L153" i="22"/>
  <c r="L160" i="22"/>
  <c r="L166" i="22"/>
  <c r="L167" i="22"/>
  <c r="K6" i="22"/>
  <c r="K11" i="22"/>
  <c r="K17" i="22"/>
  <c r="K20" i="22"/>
  <c r="K21" i="22"/>
  <c r="K22" i="22"/>
  <c r="K24" i="22"/>
  <c r="K25" i="22"/>
  <c r="K27" i="22"/>
  <c r="K28" i="22"/>
  <c r="K38" i="22"/>
  <c r="K40" i="22"/>
  <c r="K46" i="22"/>
  <c r="K48" i="22"/>
  <c r="K56" i="22"/>
  <c r="K62" i="22"/>
  <c r="K64" i="22"/>
  <c r="K68" i="22"/>
  <c r="K71" i="22"/>
  <c r="K72" i="22"/>
  <c r="K78" i="22"/>
  <c r="K80" i="22"/>
  <c r="K82" i="22"/>
  <c r="K90" i="22"/>
  <c r="K94" i="22"/>
  <c r="K96" i="22"/>
  <c r="K99" i="22"/>
  <c r="K104" i="22"/>
  <c r="K107" i="22"/>
  <c r="K110" i="22"/>
  <c r="K114" i="22"/>
  <c r="K120" i="22"/>
  <c r="K132" i="22"/>
  <c r="K133" i="22"/>
  <c r="K135" i="22"/>
  <c r="K137" i="22"/>
  <c r="K138" i="22"/>
  <c r="K142" i="22"/>
  <c r="K153" i="22"/>
  <c r="K166" i="22"/>
  <c r="K167" i="22"/>
  <c r="J6" i="22"/>
  <c r="J11" i="22"/>
  <c r="J17" i="22"/>
  <c r="J20" i="22"/>
  <c r="J21" i="22"/>
  <c r="J22" i="22"/>
  <c r="J24" i="22"/>
  <c r="J25" i="22"/>
  <c r="J27" i="22"/>
  <c r="J28" i="22"/>
  <c r="J38" i="22"/>
  <c r="J40" i="22"/>
  <c r="J46" i="22"/>
  <c r="J48" i="22"/>
  <c r="J56" i="22"/>
  <c r="J62" i="22"/>
  <c r="J64" i="22"/>
  <c r="J68" i="22"/>
  <c r="J71" i="22"/>
  <c r="J72" i="22"/>
  <c r="J78" i="22"/>
  <c r="J80" i="22"/>
  <c r="J82" i="22"/>
  <c r="J90" i="22"/>
  <c r="J94" i="22"/>
  <c r="J96" i="22"/>
  <c r="J99" i="22"/>
  <c r="J102" i="22"/>
  <c r="J104" i="22"/>
  <c r="J107" i="22"/>
  <c r="J110" i="22"/>
  <c r="J114" i="22"/>
  <c r="J120" i="22"/>
  <c r="J132" i="22"/>
  <c r="J133" i="22"/>
  <c r="J135" i="22"/>
  <c r="J137" i="22"/>
  <c r="J138" i="22"/>
  <c r="J142" i="22"/>
  <c r="J153" i="22"/>
  <c r="J166" i="22"/>
  <c r="J167" i="22"/>
  <c r="I6" i="22"/>
  <c r="I11" i="22"/>
  <c r="I17" i="22"/>
  <c r="I20" i="22"/>
  <c r="I21" i="22"/>
  <c r="I22" i="22"/>
  <c r="I24" i="22"/>
  <c r="I25" i="22"/>
  <c r="I27" i="22"/>
  <c r="I28" i="22"/>
  <c r="I38" i="22"/>
  <c r="I40" i="22"/>
  <c r="I46" i="22"/>
  <c r="I48" i="22"/>
  <c r="I56" i="22"/>
  <c r="I62" i="22"/>
  <c r="I64" i="22"/>
  <c r="I68" i="22"/>
  <c r="I71" i="22"/>
  <c r="I72" i="22"/>
  <c r="I78" i="22"/>
  <c r="I80" i="22"/>
  <c r="I82" i="22"/>
  <c r="I90" i="22"/>
  <c r="I94" i="22"/>
  <c r="I96" i="22"/>
  <c r="I99" i="22"/>
  <c r="I104" i="22"/>
  <c r="I107" i="22"/>
  <c r="I110" i="22"/>
  <c r="I114" i="22"/>
  <c r="I116" i="22"/>
  <c r="I120" i="22"/>
  <c r="I132" i="22"/>
  <c r="I133" i="22"/>
  <c r="I135" i="22"/>
  <c r="I137" i="22"/>
  <c r="I138" i="22"/>
  <c r="I142" i="22"/>
  <c r="I148" i="22"/>
  <c r="I153" i="22"/>
  <c r="I166" i="22"/>
  <c r="I167" i="22"/>
  <c r="H6" i="22"/>
  <c r="H11" i="22"/>
  <c r="H16" i="22"/>
  <c r="H17" i="22"/>
  <c r="H20" i="22"/>
  <c r="H21" i="22"/>
  <c r="H22" i="22"/>
  <c r="H24" i="22"/>
  <c r="H25" i="22"/>
  <c r="H27" i="22"/>
  <c r="H28" i="22"/>
  <c r="H38" i="22"/>
  <c r="H40" i="22"/>
  <c r="H46" i="22"/>
  <c r="H48" i="22"/>
  <c r="H56" i="22"/>
  <c r="H62" i="22"/>
  <c r="H64" i="22"/>
  <c r="H68" i="22"/>
  <c r="H71" i="22"/>
  <c r="H72" i="22"/>
  <c r="H78" i="22"/>
  <c r="H80" i="22"/>
  <c r="H82" i="22"/>
  <c r="H90" i="22"/>
  <c r="H91" i="22"/>
  <c r="H94" i="22"/>
  <c r="H96" i="22"/>
  <c r="H99" i="22"/>
  <c r="H104" i="22"/>
  <c r="H107" i="22"/>
  <c r="H110" i="22"/>
  <c r="H114" i="22"/>
  <c r="H120" i="22"/>
  <c r="H132" i="22"/>
  <c r="H133" i="22"/>
  <c r="H135" i="22"/>
  <c r="H137" i="22"/>
  <c r="H138" i="22"/>
  <c r="H142" i="22"/>
  <c r="H153" i="22"/>
  <c r="H166" i="22"/>
  <c r="H167" i="22"/>
  <c r="G153" i="22"/>
  <c r="AI153" i="22" s="1"/>
  <c r="G166" i="22"/>
  <c r="AI166" i="22" s="1"/>
  <c r="G167" i="22"/>
  <c r="AI167" i="22" s="1"/>
  <c r="F6" i="22"/>
  <c r="F11" i="22"/>
  <c r="F17" i="22"/>
  <c r="F20" i="22"/>
  <c r="F21" i="22"/>
  <c r="F22" i="22"/>
  <c r="F24" i="22"/>
  <c r="F25" i="22"/>
  <c r="F27" i="22"/>
  <c r="F28" i="22"/>
  <c r="F38" i="22"/>
  <c r="F40" i="22"/>
  <c r="F46" i="22"/>
  <c r="F48" i="22"/>
  <c r="F56" i="22"/>
  <c r="F62" i="22"/>
  <c r="F64" i="22"/>
  <c r="F68" i="22"/>
  <c r="F71" i="22"/>
  <c r="F72" i="22"/>
  <c r="F78" i="22"/>
  <c r="F80" i="22"/>
  <c r="F82" i="22"/>
  <c r="F90" i="22"/>
  <c r="F94" i="22"/>
  <c r="F96" i="22"/>
  <c r="F99" i="22"/>
  <c r="F102" i="22"/>
  <c r="F104" i="22"/>
  <c r="F107" i="22"/>
  <c r="F110" i="22"/>
  <c r="F114" i="22"/>
  <c r="F120" i="22"/>
  <c r="F132" i="22"/>
  <c r="F133" i="22"/>
  <c r="F135" i="22"/>
  <c r="F137" i="22"/>
  <c r="F138" i="22"/>
  <c r="F142" i="22"/>
  <c r="F153" i="22"/>
  <c r="F166" i="22"/>
  <c r="F167" i="22"/>
  <c r="E6" i="22"/>
  <c r="E7" i="22"/>
  <c r="E8" i="22"/>
  <c r="E9" i="22"/>
  <c r="E10" i="22"/>
  <c r="E11" i="22"/>
  <c r="E12" i="22"/>
  <c r="E15" i="22"/>
  <c r="E17" i="22"/>
  <c r="E19" i="22"/>
  <c r="E21" i="22"/>
  <c r="E23" i="22"/>
  <c r="E24" i="22"/>
  <c r="E25" i="22"/>
  <c r="E26" i="22"/>
  <c r="E27" i="22"/>
  <c r="E28" i="22"/>
  <c r="E30" i="22"/>
  <c r="E31" i="22"/>
  <c r="E32" i="22"/>
  <c r="E33" i="22"/>
  <c r="E36" i="22"/>
  <c r="E37" i="22"/>
  <c r="E38" i="22"/>
  <c r="E40" i="22"/>
  <c r="E43" i="22"/>
  <c r="E45" i="22"/>
  <c r="E46" i="22"/>
  <c r="E47" i="22"/>
  <c r="E49" i="22"/>
  <c r="E50" i="22"/>
  <c r="E51" i="22"/>
  <c r="E52" i="22"/>
  <c r="E54" i="22"/>
  <c r="E56" i="22"/>
  <c r="E57" i="22"/>
  <c r="E58" i="22"/>
  <c r="E59" i="22"/>
  <c r="E60" i="22"/>
  <c r="E61" i="22"/>
  <c r="E63" i="22"/>
  <c r="E64" i="22"/>
  <c r="E65" i="22"/>
  <c r="E66" i="22"/>
  <c r="E69" i="22"/>
  <c r="E72" i="22"/>
  <c r="E73" i="22"/>
  <c r="E74" i="22"/>
  <c r="E76" i="22"/>
  <c r="E77" i="22"/>
  <c r="E80" i="22"/>
  <c r="E81" i="22"/>
  <c r="E83" i="22"/>
  <c r="E85" i="22"/>
  <c r="E86" i="22"/>
  <c r="E88" i="22"/>
  <c r="E92" i="22"/>
  <c r="E93" i="22"/>
  <c r="E97" i="22"/>
  <c r="E98" i="22"/>
  <c r="E99" i="22"/>
  <c r="E100" i="22"/>
  <c r="E101" i="22"/>
  <c r="E103" i="22"/>
  <c r="E104" i="22"/>
  <c r="E107" i="22"/>
  <c r="E110" i="22"/>
  <c r="E111" i="22"/>
  <c r="E112" i="22"/>
  <c r="E113" i="22"/>
  <c r="E115" i="22"/>
  <c r="E116" i="22"/>
  <c r="E118" i="22"/>
  <c r="E119" i="22"/>
  <c r="E120" i="22"/>
  <c r="E122" i="22"/>
  <c r="E123" i="22"/>
  <c r="E125" i="22"/>
  <c r="E127" i="22"/>
  <c r="E128" i="22"/>
  <c r="E130" i="22"/>
  <c r="E131" i="22"/>
  <c r="E133" i="22"/>
  <c r="E135" i="22"/>
  <c r="E136" i="22"/>
  <c r="E139" i="22"/>
  <c r="E140" i="22"/>
  <c r="E142" i="22"/>
  <c r="E143" i="22"/>
  <c r="E144" i="22"/>
  <c r="E146" i="22"/>
  <c r="E148" i="22"/>
  <c r="E150" i="22"/>
  <c r="E151" i="22"/>
  <c r="E152" i="22"/>
  <c r="E153" i="22"/>
  <c r="E154" i="22"/>
  <c r="E155" i="22"/>
  <c r="E156" i="22"/>
  <c r="E159" i="22"/>
  <c r="E160" i="22"/>
  <c r="E162" i="22"/>
  <c r="B53" i="22"/>
  <c r="B54" i="22" s="1"/>
  <c r="C169" i="22"/>
  <c r="A169" i="22"/>
  <c r="C168" i="22"/>
  <c r="A168" i="22"/>
  <c r="AF167" i="22"/>
  <c r="AE167" i="22"/>
  <c r="C167" i="22"/>
  <c r="A167" i="22"/>
  <c r="AF166" i="22"/>
  <c r="AE166" i="22"/>
  <c r="C166" i="22"/>
  <c r="A166" i="22"/>
  <c r="C165" i="22"/>
  <c r="A165" i="22"/>
  <c r="AF164" i="22"/>
  <c r="AE164" i="22"/>
  <c r="AD164" i="22"/>
  <c r="D164" i="22"/>
  <c r="AF163" i="22"/>
  <c r="AE163" i="22"/>
  <c r="C163" i="22"/>
  <c r="A163" i="22"/>
  <c r="AD162" i="22"/>
  <c r="C162" i="22"/>
  <c r="A162" i="22"/>
  <c r="AF161" i="22"/>
  <c r="AE161" i="22"/>
  <c r="AD161" i="22"/>
  <c r="D161" i="22"/>
  <c r="AF160" i="22"/>
  <c r="AE160" i="22"/>
  <c r="AD160" i="22"/>
  <c r="C160" i="22"/>
  <c r="A160" i="22"/>
  <c r="AD159" i="22"/>
  <c r="C159" i="22"/>
  <c r="A159" i="22"/>
  <c r="AF158" i="22"/>
  <c r="AE158" i="22"/>
  <c r="C158" i="22"/>
  <c r="A158" i="22"/>
  <c r="AF157" i="22"/>
  <c r="AE157" i="22"/>
  <c r="C157" i="22"/>
  <c r="A157" i="22"/>
  <c r="C156" i="22"/>
  <c r="A156" i="22"/>
  <c r="AD155" i="22"/>
  <c r="C155" i="22"/>
  <c r="A155" i="22"/>
  <c r="C154" i="22"/>
  <c r="A154" i="22"/>
  <c r="AF153" i="22"/>
  <c r="AE153" i="22"/>
  <c r="AD153" i="22"/>
  <c r="C153" i="22"/>
  <c r="A153" i="22"/>
  <c r="AE152" i="22"/>
  <c r="C152" i="22"/>
  <c r="A152" i="22"/>
  <c r="AD151" i="22"/>
  <c r="C151" i="22"/>
  <c r="A151" i="22"/>
  <c r="AD150" i="22"/>
  <c r="C150" i="22"/>
  <c r="A150" i="22"/>
  <c r="AF149" i="22"/>
  <c r="AE149" i="22"/>
  <c r="AD149" i="22"/>
  <c r="D149" i="22"/>
  <c r="AE148" i="22"/>
  <c r="C148" i="22"/>
  <c r="A148" i="22"/>
  <c r="AF147" i="22"/>
  <c r="AE147" i="22"/>
  <c r="C147" i="22"/>
  <c r="A147" i="22"/>
  <c r="AD146" i="22"/>
  <c r="C146" i="22"/>
  <c r="A146" i="22"/>
  <c r="AF145" i="22"/>
  <c r="AE145" i="22"/>
  <c r="AD145" i="22"/>
  <c r="D145" i="22"/>
  <c r="AD144" i="22"/>
  <c r="C144" i="22"/>
  <c r="A144" i="22"/>
  <c r="AD143" i="22"/>
  <c r="C143" i="22"/>
  <c r="A143" i="22"/>
  <c r="AF142" i="22"/>
  <c r="AE142" i="22"/>
  <c r="AD142" i="22"/>
  <c r="C142" i="22"/>
  <c r="A142" i="22"/>
  <c r="AF141" i="22"/>
  <c r="AE141" i="22"/>
  <c r="C141" i="22"/>
  <c r="A141" i="22"/>
  <c r="AF140" i="22"/>
  <c r="AE140" i="22"/>
  <c r="AD140" i="22"/>
  <c r="C140" i="22"/>
  <c r="A140" i="22"/>
  <c r="AF139" i="22"/>
  <c r="AE139" i="22"/>
  <c r="AD139" i="22"/>
  <c r="C139" i="22"/>
  <c r="A139" i="22"/>
  <c r="AF138" i="22"/>
  <c r="AE138" i="22"/>
  <c r="C138" i="22"/>
  <c r="A138" i="22"/>
  <c r="AF137" i="22"/>
  <c r="AE137" i="22"/>
  <c r="C137" i="22"/>
  <c r="A137" i="22"/>
  <c r="AD136" i="22"/>
  <c r="C136" i="22"/>
  <c r="A136" i="22"/>
  <c r="AF135" i="22"/>
  <c r="AE135" i="22"/>
  <c r="AD135" i="22"/>
  <c r="C135" i="22"/>
  <c r="A135" i="22"/>
  <c r="AF134" i="22"/>
  <c r="AE134" i="22"/>
  <c r="C134" i="22"/>
  <c r="A134" i="22"/>
  <c r="AF133" i="22"/>
  <c r="AE133" i="22"/>
  <c r="AD133" i="22"/>
  <c r="C133" i="22"/>
  <c r="A133" i="22"/>
  <c r="AF132" i="22"/>
  <c r="AE132" i="22"/>
  <c r="C132" i="22"/>
  <c r="A132" i="22"/>
  <c r="AD131" i="22"/>
  <c r="C131" i="22"/>
  <c r="A131" i="22"/>
  <c r="AD130" i="22"/>
  <c r="C130" i="22"/>
  <c r="A130" i="22"/>
  <c r="AF129" i="22"/>
  <c r="AE129" i="22"/>
  <c r="C129" i="22"/>
  <c r="A129" i="22"/>
  <c r="AD128" i="22"/>
  <c r="C128" i="22"/>
  <c r="A128" i="22"/>
  <c r="AD127" i="22"/>
  <c r="C127" i="22"/>
  <c r="A127" i="22"/>
  <c r="AF126" i="22"/>
  <c r="AE126" i="22"/>
  <c r="C126" i="22"/>
  <c r="A126" i="22"/>
  <c r="AD125" i="22"/>
  <c r="C125" i="22"/>
  <c r="A125" i="22"/>
  <c r="AF124" i="22"/>
  <c r="AE124" i="22"/>
  <c r="C124" i="22"/>
  <c r="A124" i="22"/>
  <c r="AD123" i="22"/>
  <c r="C123" i="22"/>
  <c r="A123" i="22"/>
  <c r="C122" i="22"/>
  <c r="A122" i="22"/>
  <c r="AF121" i="22"/>
  <c r="AE121" i="22"/>
  <c r="C121" i="22"/>
  <c r="A121" i="22"/>
  <c r="AF120" i="22"/>
  <c r="AE120" i="22"/>
  <c r="AD120" i="22"/>
  <c r="C120" i="22"/>
  <c r="A120" i="22"/>
  <c r="AF119" i="22"/>
  <c r="AE119" i="22"/>
  <c r="AD119" i="22"/>
  <c r="C119" i="22"/>
  <c r="A119" i="22"/>
  <c r="AD118" i="22"/>
  <c r="C118" i="22"/>
  <c r="A118" i="22"/>
  <c r="AF117" i="22"/>
  <c r="AE117" i="22"/>
  <c r="AD117" i="22"/>
  <c r="D117" i="22"/>
  <c r="C116" i="22"/>
  <c r="A116" i="22"/>
  <c r="AD115" i="22"/>
  <c r="C115" i="22"/>
  <c r="A115" i="22"/>
  <c r="AF114" i="22"/>
  <c r="AE114" i="22"/>
  <c r="C114" i="22"/>
  <c r="A114" i="22"/>
  <c r="AD113" i="22"/>
  <c r="C113" i="22"/>
  <c r="A113" i="22"/>
  <c r="AD112" i="22"/>
  <c r="C112" i="22"/>
  <c r="A112" i="22"/>
  <c r="AD111" i="22"/>
  <c r="C111" i="22"/>
  <c r="A111" i="22"/>
  <c r="AF110" i="22"/>
  <c r="AE110" i="22"/>
  <c r="AD110" i="22"/>
  <c r="C110" i="22"/>
  <c r="A110" i="22"/>
  <c r="AF109" i="22"/>
  <c r="AE109" i="22"/>
  <c r="C109" i="22"/>
  <c r="A109" i="22"/>
  <c r="AF108" i="22"/>
  <c r="AE108" i="22"/>
  <c r="AD108" i="22"/>
  <c r="D108" i="22"/>
  <c r="AF107" i="22"/>
  <c r="AE107" i="22"/>
  <c r="AD107" i="22"/>
  <c r="C107" i="22"/>
  <c r="A107" i="22"/>
  <c r="AF106" i="22"/>
  <c r="AE106" i="22"/>
  <c r="C106" i="22"/>
  <c r="A106" i="22"/>
  <c r="AF105" i="22"/>
  <c r="AE105" i="22"/>
  <c r="AD105" i="22"/>
  <c r="D105" i="22"/>
  <c r="AF104" i="22"/>
  <c r="AE104" i="22"/>
  <c r="AD104" i="22"/>
  <c r="C104" i="22"/>
  <c r="A104" i="22"/>
  <c r="AD103" i="22"/>
  <c r="C103" i="22"/>
  <c r="A103" i="22"/>
  <c r="AF102" i="22"/>
  <c r="AE102" i="22"/>
  <c r="C102" i="22"/>
  <c r="A102" i="22"/>
  <c r="AD101" i="22"/>
  <c r="C101" i="22"/>
  <c r="A101" i="22"/>
  <c r="AF100" i="22"/>
  <c r="AE100" i="22"/>
  <c r="AD100" i="22"/>
  <c r="C100" i="22"/>
  <c r="A100" i="22"/>
  <c r="AD99" i="22"/>
  <c r="C99" i="22"/>
  <c r="A99" i="22"/>
  <c r="AD98" i="22"/>
  <c r="C98" i="22"/>
  <c r="A98" i="22"/>
  <c r="AD97" i="22"/>
  <c r="C97" i="22"/>
  <c r="A97" i="22"/>
  <c r="AF96" i="22"/>
  <c r="AE96" i="22"/>
  <c r="C96" i="22"/>
  <c r="A96" i="22"/>
  <c r="AF95" i="22"/>
  <c r="AE95" i="22"/>
  <c r="C95" i="22"/>
  <c r="A95" i="22"/>
  <c r="AF94" i="22"/>
  <c r="AE94" i="22"/>
  <c r="C94" i="22"/>
  <c r="A94" i="22"/>
  <c r="AD93" i="22"/>
  <c r="C93" i="22"/>
  <c r="A93" i="22"/>
  <c r="AF92" i="22"/>
  <c r="AE92" i="22"/>
  <c r="AD92" i="22"/>
  <c r="C92" i="22"/>
  <c r="A92" i="22"/>
  <c r="AF91" i="22"/>
  <c r="AE91" i="22"/>
  <c r="C91" i="22"/>
  <c r="A91" i="22"/>
  <c r="AF90" i="22"/>
  <c r="AE90" i="22"/>
  <c r="C90" i="22"/>
  <c r="A90" i="22"/>
  <c r="AF89" i="22"/>
  <c r="AE89" i="22"/>
  <c r="AD89" i="22"/>
  <c r="D89" i="22"/>
  <c r="AD88" i="22"/>
  <c r="C88" i="22"/>
  <c r="A88" i="22"/>
  <c r="AF87" i="22"/>
  <c r="AE87" i="22"/>
  <c r="AD87" i="22"/>
  <c r="D87" i="22"/>
  <c r="AE86" i="22"/>
  <c r="C86" i="22"/>
  <c r="A86" i="22"/>
  <c r="AD85" i="22"/>
  <c r="C85" i="22"/>
  <c r="A85" i="22"/>
  <c r="AF84" i="22"/>
  <c r="AE84" i="22"/>
  <c r="C84" i="22"/>
  <c r="A84" i="22"/>
  <c r="AD83" i="22"/>
  <c r="C83" i="22"/>
  <c r="A83" i="22"/>
  <c r="AF82" i="22"/>
  <c r="AE82" i="22"/>
  <c r="C82" i="22"/>
  <c r="A82" i="22"/>
  <c r="AD81" i="22"/>
  <c r="C81" i="22"/>
  <c r="A81" i="22"/>
  <c r="AF80" i="22"/>
  <c r="AE80" i="22"/>
  <c r="AD80" i="22"/>
  <c r="C80" i="22"/>
  <c r="A80" i="22"/>
  <c r="AF79" i="22"/>
  <c r="AE79" i="22"/>
  <c r="AD79" i="22"/>
  <c r="D79" i="22"/>
  <c r="AF78" i="22"/>
  <c r="AE78" i="22"/>
  <c r="C78" i="22"/>
  <c r="A78" i="22"/>
  <c r="C77" i="22"/>
  <c r="A77" i="22"/>
  <c r="AF76" i="22"/>
  <c r="AE76" i="22"/>
  <c r="AD76" i="22"/>
  <c r="C76" i="22"/>
  <c r="A76" i="22"/>
  <c r="AF75" i="22"/>
  <c r="AE75" i="22"/>
  <c r="C75" i="22"/>
  <c r="A75" i="22"/>
  <c r="AD74" i="22"/>
  <c r="C74" i="22"/>
  <c r="A74" i="22"/>
  <c r="AF73" i="22"/>
  <c r="AE73" i="22"/>
  <c r="AD73" i="22"/>
  <c r="C73" i="22"/>
  <c r="A73" i="22"/>
  <c r="AF72" i="22"/>
  <c r="AE72" i="22"/>
  <c r="AD72" i="22"/>
  <c r="C72" i="22"/>
  <c r="A72" i="22"/>
  <c r="AF71" i="22"/>
  <c r="AE71" i="22"/>
  <c r="C71" i="22"/>
  <c r="A71" i="22"/>
  <c r="AF70" i="22"/>
  <c r="AE70" i="22"/>
  <c r="C70" i="22"/>
  <c r="A70" i="22"/>
  <c r="AD69" i="22"/>
  <c r="C69" i="22"/>
  <c r="A69" i="22"/>
  <c r="AF68" i="22"/>
  <c r="AE68" i="22"/>
  <c r="C68" i="22"/>
  <c r="A68" i="22"/>
  <c r="AF67" i="22"/>
  <c r="AE67" i="22"/>
  <c r="AD67" i="22"/>
  <c r="D67" i="22"/>
  <c r="AD66" i="22"/>
  <c r="C66" i="22"/>
  <c r="A66" i="22"/>
  <c r="AD65" i="22"/>
  <c r="C65" i="22"/>
  <c r="A65" i="22"/>
  <c r="AF64" i="22"/>
  <c r="AE64" i="22"/>
  <c r="AD64" i="22"/>
  <c r="C64" i="22"/>
  <c r="A64" i="22"/>
  <c r="AD63" i="22"/>
  <c r="C63" i="22"/>
  <c r="A63" i="22"/>
  <c r="AF62" i="22"/>
  <c r="AE62" i="22"/>
  <c r="C62" i="22"/>
  <c r="A62" i="22"/>
  <c r="AF61" i="22"/>
  <c r="AE61" i="22"/>
  <c r="AD61" i="22"/>
  <c r="C61" i="22"/>
  <c r="A61" i="22"/>
  <c r="AD60" i="22"/>
  <c r="C60" i="22"/>
  <c r="A60" i="22"/>
  <c r="AF59" i="22"/>
  <c r="AE59" i="22"/>
  <c r="AD59" i="22"/>
  <c r="C59" i="22"/>
  <c r="A59" i="22"/>
  <c r="AF58" i="22"/>
  <c r="AE58" i="22"/>
  <c r="AD58" i="22"/>
  <c r="C58" i="22"/>
  <c r="A58" i="22"/>
  <c r="AD57" i="22"/>
  <c r="C57" i="22"/>
  <c r="A57" i="22"/>
  <c r="AF56" i="22"/>
  <c r="AE56" i="22"/>
  <c r="AD56" i="22"/>
  <c r="C56" i="22"/>
  <c r="A56" i="22"/>
  <c r="AF55" i="22"/>
  <c r="AE55" i="22"/>
  <c r="C55" i="22"/>
  <c r="A55" i="22"/>
  <c r="AD54" i="22"/>
  <c r="C54" i="22"/>
  <c r="A54" i="22"/>
  <c r="AF53" i="22"/>
  <c r="AE53" i="22"/>
  <c r="D53" i="22"/>
  <c r="C53" i="22"/>
  <c r="A53" i="22"/>
  <c r="AD52" i="22"/>
  <c r="D52" i="22"/>
  <c r="C52" i="22"/>
  <c r="A52" i="22"/>
  <c r="AD51" i="22"/>
  <c r="D51" i="22"/>
  <c r="C51" i="22"/>
  <c r="A51" i="22"/>
  <c r="AD50" i="22"/>
  <c r="D50" i="22"/>
  <c r="C50" i="22"/>
  <c r="A50" i="22"/>
  <c r="AD49" i="22"/>
  <c r="D49" i="22"/>
  <c r="C49" i="22"/>
  <c r="A49" i="22"/>
  <c r="AF48" i="22"/>
  <c r="AE48" i="22"/>
  <c r="D48" i="22"/>
  <c r="C48" i="22"/>
  <c r="A48" i="22"/>
  <c r="AD47" i="22"/>
  <c r="D47" i="22"/>
  <c r="C47" i="22"/>
  <c r="A47" i="22"/>
  <c r="AF46" i="22"/>
  <c r="AE46" i="22"/>
  <c r="AD46" i="22"/>
  <c r="D46" i="22"/>
  <c r="C46" i="22"/>
  <c r="A46" i="22"/>
  <c r="AD45" i="22"/>
  <c r="D45" i="22"/>
  <c r="C45" i="22"/>
  <c r="A45" i="22"/>
  <c r="AF44" i="22"/>
  <c r="AE44" i="22"/>
  <c r="D44" i="22"/>
  <c r="C44" i="22"/>
  <c r="A44" i="22"/>
  <c r="AD43" i="22"/>
  <c r="D43" i="22"/>
  <c r="C43" i="22"/>
  <c r="A43" i="22"/>
  <c r="AE42" i="22"/>
  <c r="D42" i="22"/>
  <c r="C42" i="22"/>
  <c r="A42" i="22"/>
  <c r="AF41" i="22"/>
  <c r="AE41" i="22"/>
  <c r="D41" i="22"/>
  <c r="C41" i="22"/>
  <c r="A41" i="22"/>
  <c r="AF40" i="22"/>
  <c r="AE40" i="22"/>
  <c r="AD40" i="22"/>
  <c r="D40" i="22"/>
  <c r="C40" i="22"/>
  <c r="A40" i="22"/>
  <c r="AF39" i="22"/>
  <c r="AE39" i="22"/>
  <c r="D39" i="22"/>
  <c r="C39" i="22"/>
  <c r="A39" i="22"/>
  <c r="AF38" i="22"/>
  <c r="AE38" i="22"/>
  <c r="AD38" i="22"/>
  <c r="D38" i="22"/>
  <c r="C38" i="22"/>
  <c r="A38" i="22"/>
  <c r="AF37" i="22"/>
  <c r="AE37" i="22"/>
  <c r="AD37" i="22"/>
  <c r="D37" i="22"/>
  <c r="C37" i="22"/>
  <c r="A37" i="22"/>
  <c r="AF36" i="22"/>
  <c r="AE36" i="22"/>
  <c r="AD36" i="22"/>
  <c r="D36" i="22"/>
  <c r="C36" i="22"/>
  <c r="A36" i="22"/>
  <c r="AF35" i="22"/>
  <c r="AE35" i="22"/>
  <c r="D35" i="22"/>
  <c r="C35" i="22"/>
  <c r="A35" i="22"/>
  <c r="AF34" i="22"/>
  <c r="AE34" i="22"/>
  <c r="D34" i="22"/>
  <c r="C34" i="22"/>
  <c r="A34" i="22"/>
  <c r="AF33" i="22"/>
  <c r="AE33" i="22"/>
  <c r="AD33" i="22"/>
  <c r="D33" i="22"/>
  <c r="C33" i="22"/>
  <c r="A33" i="22"/>
  <c r="AF32" i="22"/>
  <c r="AE32" i="22"/>
  <c r="AD32" i="22"/>
  <c r="D32" i="22"/>
  <c r="C32" i="22"/>
  <c r="A32" i="22"/>
  <c r="AD31" i="22"/>
  <c r="D31" i="22"/>
  <c r="C31" i="22"/>
  <c r="A31" i="22"/>
  <c r="AD30" i="22"/>
  <c r="D30" i="22"/>
  <c r="C30" i="22"/>
  <c r="A30" i="22"/>
  <c r="AF29" i="22"/>
  <c r="AE29" i="22"/>
  <c r="D29" i="22"/>
  <c r="C29" i="22"/>
  <c r="A29" i="22"/>
  <c r="AF28" i="22"/>
  <c r="AE28" i="22"/>
  <c r="AD28" i="22"/>
  <c r="D28" i="22"/>
  <c r="C28" i="22"/>
  <c r="A28" i="22"/>
  <c r="AF27" i="22"/>
  <c r="AE27" i="22"/>
  <c r="AD27" i="22"/>
  <c r="D27" i="22"/>
  <c r="C27" i="22"/>
  <c r="A27" i="22"/>
  <c r="AD26" i="22"/>
  <c r="D26" i="22"/>
  <c r="C26" i="22"/>
  <c r="A26" i="22"/>
  <c r="AF25" i="22"/>
  <c r="AE25" i="22"/>
  <c r="AD25" i="22"/>
  <c r="D25" i="22"/>
  <c r="C25" i="22"/>
  <c r="A25" i="22"/>
  <c r="AF24" i="22"/>
  <c r="AE24" i="22"/>
  <c r="AD24" i="22"/>
  <c r="D24" i="22"/>
  <c r="C24" i="22"/>
  <c r="A24" i="22"/>
  <c r="D23" i="22"/>
  <c r="C23" i="22"/>
  <c r="A23" i="22"/>
  <c r="AF22" i="22"/>
  <c r="AE22" i="22"/>
  <c r="D22" i="22"/>
  <c r="C22" i="22"/>
  <c r="A22" i="22"/>
  <c r="AF21" i="22"/>
  <c r="AE21" i="22"/>
  <c r="AD21" i="22"/>
  <c r="D21" i="22"/>
  <c r="C21" i="22"/>
  <c r="A21" i="22"/>
  <c r="AF20" i="22"/>
  <c r="AE20" i="22"/>
  <c r="D20" i="22"/>
  <c r="C20" i="22"/>
  <c r="A20" i="22"/>
  <c r="AD19" i="22"/>
  <c r="D19" i="22"/>
  <c r="C19" i="22"/>
  <c r="A19" i="22"/>
  <c r="AF18" i="22"/>
  <c r="AE18" i="22"/>
  <c r="D18" i="22"/>
  <c r="C18" i="22"/>
  <c r="A18" i="22"/>
  <c r="AF17" i="22"/>
  <c r="AE17" i="22"/>
  <c r="AD17" i="22"/>
  <c r="D17" i="22"/>
  <c r="C17" i="22"/>
  <c r="A17" i="22"/>
  <c r="AF16" i="22"/>
  <c r="AE16" i="22"/>
  <c r="D16" i="22"/>
  <c r="C16" i="22"/>
  <c r="A16" i="22"/>
  <c r="AD15" i="22"/>
  <c r="D15" i="22"/>
  <c r="C15" i="22"/>
  <c r="A15" i="22"/>
  <c r="AF14" i="22"/>
  <c r="AE14" i="22"/>
  <c r="D14" i="22"/>
  <c r="C14" i="22"/>
  <c r="A14" i="22"/>
  <c r="AF13" i="22"/>
  <c r="AE13" i="22"/>
  <c r="D13" i="22"/>
  <c r="C13" i="22"/>
  <c r="A13" i="22"/>
  <c r="AD12" i="22"/>
  <c r="D12" i="22"/>
  <c r="C12" i="22"/>
  <c r="A12" i="22"/>
  <c r="AF11" i="22"/>
  <c r="AE11" i="22"/>
  <c r="AD11" i="22"/>
  <c r="D11" i="22"/>
  <c r="C11" i="22"/>
  <c r="A11" i="22"/>
  <c r="AD10" i="22"/>
  <c r="D10" i="22"/>
  <c r="C10" i="22"/>
  <c r="A10" i="22"/>
  <c r="AD9" i="22"/>
  <c r="D9" i="22"/>
  <c r="C9" i="22"/>
  <c r="A9" i="22"/>
  <c r="AD8" i="22"/>
  <c r="D8" i="22"/>
  <c r="C8" i="22"/>
  <c r="A8" i="22"/>
  <c r="AD7" i="22"/>
  <c r="D7" i="22"/>
  <c r="C7" i="22"/>
  <c r="A7" i="22"/>
  <c r="AF6" i="22"/>
  <c r="AE6" i="22"/>
  <c r="AD6" i="22"/>
  <c r="D6" i="22"/>
  <c r="C6" i="22"/>
  <c r="A6" i="22"/>
  <c r="D5" i="22"/>
  <c r="C5" i="22"/>
  <c r="A5" i="22"/>
  <c r="B2" i="22"/>
  <c r="C2" i="22" s="1"/>
  <c r="D2" i="22" s="1"/>
  <c r="E2" i="22" s="1"/>
  <c r="F2" i="22"/>
  <c r="G2" i="22" s="1"/>
  <c r="H2" i="22" s="1"/>
  <c r="I2" i="22" s="1"/>
  <c r="J2" i="22" s="1"/>
  <c r="K2" i="22" s="1"/>
  <c r="L2" i="22" s="1"/>
  <c r="M2" i="22" s="1"/>
  <c r="N2" i="22" s="1"/>
  <c r="O2" i="22" s="1"/>
  <c r="P2" i="22" s="1"/>
  <c r="Q2" i="22" s="1"/>
  <c r="R2" i="22" s="1"/>
  <c r="S2" i="22" s="1"/>
  <c r="T2" i="22" s="1"/>
  <c r="U2" i="22" s="1"/>
  <c r="V2" i="22" s="1"/>
  <c r="W2" i="22" s="1"/>
  <c r="X2" i="22" s="1"/>
  <c r="Y2" i="22" s="1"/>
  <c r="Z2" i="22" s="1"/>
  <c r="AA2" i="22" s="1"/>
  <c r="C5" i="6"/>
  <c r="E5" i="37" s="1"/>
  <c r="D7" i="38" s="1"/>
  <c r="C6" i="6"/>
  <c r="E6" i="37" s="1"/>
  <c r="D8" i="38" s="1"/>
  <c r="C7" i="6"/>
  <c r="C8" i="6"/>
  <c r="D5" i="6"/>
  <c r="D6" i="6"/>
  <c r="D7" i="6"/>
  <c r="D8" i="6"/>
  <c r="C9" i="6"/>
  <c r="E9" i="37" s="1"/>
  <c r="D9" i="6"/>
  <c r="C10" i="6"/>
  <c r="E10" i="37" s="1"/>
  <c r="D10" i="6"/>
  <c r="C11" i="6"/>
  <c r="D11" i="6"/>
  <c r="C12" i="6"/>
  <c r="D12" i="6"/>
  <c r="C13" i="6"/>
  <c r="E13" i="37" s="1"/>
  <c r="D13" i="6"/>
  <c r="C14" i="6"/>
  <c r="D14" i="6"/>
  <c r="C15" i="6"/>
  <c r="E15" i="37" s="1"/>
  <c r="D15" i="6"/>
  <c r="C16" i="6"/>
  <c r="D16" i="6"/>
  <c r="C17" i="6"/>
  <c r="E17" i="37" s="1"/>
  <c r="D17" i="6"/>
  <c r="C18" i="6"/>
  <c r="D18" i="6"/>
  <c r="C19" i="6"/>
  <c r="E19" i="37" s="1"/>
  <c r="D19" i="6"/>
  <c r="C20" i="6"/>
  <c r="D20" i="6"/>
  <c r="C21" i="6"/>
  <c r="D21" i="6"/>
  <c r="C22" i="6"/>
  <c r="D22" i="6"/>
  <c r="C23" i="6"/>
  <c r="E23" i="37" s="1"/>
  <c r="D23" i="6"/>
  <c r="C24" i="6"/>
  <c r="D24" i="6"/>
  <c r="C25" i="6"/>
  <c r="E25" i="37" s="1"/>
  <c r="D25" i="6"/>
  <c r="C26" i="6"/>
  <c r="D26" i="6"/>
  <c r="C27" i="6"/>
  <c r="D27" i="6"/>
  <c r="C28" i="6"/>
  <c r="D28" i="6"/>
  <c r="C29" i="6"/>
  <c r="E29" i="37" s="1"/>
  <c r="D11" i="38" s="1"/>
  <c r="D29" i="6"/>
  <c r="C30" i="6"/>
  <c r="D30" i="6"/>
  <c r="C31" i="6"/>
  <c r="E31" i="37" s="1"/>
  <c r="D31" i="6"/>
  <c r="C32" i="6"/>
  <c r="D32" i="6"/>
  <c r="C33" i="6"/>
  <c r="D33" i="6"/>
  <c r="C34" i="6"/>
  <c r="D34" i="6"/>
  <c r="C35" i="6"/>
  <c r="D35" i="6"/>
  <c r="C36" i="6"/>
  <c r="D36" i="6"/>
  <c r="C37" i="6"/>
  <c r="E37" i="37" s="1"/>
  <c r="D37" i="6"/>
  <c r="C38" i="6"/>
  <c r="D38" i="6"/>
  <c r="C39" i="6"/>
  <c r="D39" i="6"/>
  <c r="C40" i="6"/>
  <c r="D40" i="6"/>
  <c r="C41" i="6"/>
  <c r="E41" i="37" s="1"/>
  <c r="D41" i="6"/>
  <c r="C42" i="6"/>
  <c r="D42" i="6"/>
  <c r="C43" i="6"/>
  <c r="E43" i="37" s="1"/>
  <c r="D43" i="6"/>
  <c r="C44" i="6"/>
  <c r="D44" i="6"/>
  <c r="C45" i="6"/>
  <c r="E45" i="37" s="1"/>
  <c r="D45" i="6"/>
  <c r="C46" i="6"/>
  <c r="E46" i="37" s="1"/>
  <c r="D46" i="6"/>
  <c r="C47" i="6"/>
  <c r="D47" i="6"/>
  <c r="C48" i="6"/>
  <c r="D48" i="6"/>
  <c r="C49" i="6"/>
  <c r="E49" i="37" s="1"/>
  <c r="D49" i="6"/>
  <c r="C50" i="6"/>
  <c r="D50" i="6"/>
  <c r="C51" i="6"/>
  <c r="D51" i="6"/>
  <c r="C52" i="6"/>
  <c r="D52" i="6"/>
  <c r="C53" i="6"/>
  <c r="B53" i="6"/>
  <c r="C54" i="6"/>
  <c r="C55" i="6"/>
  <c r="E55" i="37" s="1"/>
  <c r="C56" i="6"/>
  <c r="E56" i="37" s="1"/>
  <c r="C57" i="6"/>
  <c r="E57" i="37" s="1"/>
  <c r="C58" i="6"/>
  <c r="C58" i="10" s="1"/>
  <c r="C59" i="6"/>
  <c r="E59" i="37" s="1"/>
  <c r="C60" i="6"/>
  <c r="E60" i="37" s="1"/>
  <c r="C61" i="6"/>
  <c r="C62" i="6"/>
  <c r="C63" i="6"/>
  <c r="E63" i="37" s="1"/>
  <c r="C64" i="6"/>
  <c r="C65" i="6"/>
  <c r="E65" i="37" s="1"/>
  <c r="C66" i="6"/>
  <c r="C67" i="6"/>
  <c r="E67" i="37" s="1"/>
  <c r="C68" i="6"/>
  <c r="E68" i="37" s="1"/>
  <c r="C69" i="6"/>
  <c r="C70" i="6"/>
  <c r="C71" i="6"/>
  <c r="E71" i="37" s="1"/>
  <c r="C72" i="6"/>
  <c r="C73" i="6"/>
  <c r="E73" i="37" s="1"/>
  <c r="C74" i="6"/>
  <c r="C75" i="6"/>
  <c r="E75" i="37" s="1"/>
  <c r="C76" i="6"/>
  <c r="C77" i="6"/>
  <c r="E77" i="37" s="1"/>
  <c r="C78" i="6"/>
  <c r="C79" i="6"/>
  <c r="C80" i="6"/>
  <c r="E80" i="37" s="1"/>
  <c r="C81" i="6"/>
  <c r="C82" i="6"/>
  <c r="C83" i="6"/>
  <c r="E83" i="37" s="1"/>
  <c r="C84" i="6"/>
  <c r="C85" i="6"/>
  <c r="C86" i="6"/>
  <c r="C87" i="6"/>
  <c r="E87" i="37" s="1"/>
  <c r="C88" i="6"/>
  <c r="C89" i="6"/>
  <c r="E89" i="37" s="1"/>
  <c r="C90" i="6"/>
  <c r="C91" i="6"/>
  <c r="E91" i="37" s="1"/>
  <c r="C92" i="6"/>
  <c r="E92" i="37" s="1"/>
  <c r="C93" i="6"/>
  <c r="E93" i="37" s="1"/>
  <c r="C94" i="6"/>
  <c r="C95" i="6"/>
  <c r="E95" i="37" s="1"/>
  <c r="C96" i="6"/>
  <c r="E96" i="37" s="1"/>
  <c r="C97" i="6"/>
  <c r="C98" i="6"/>
  <c r="C99" i="6"/>
  <c r="C100" i="6"/>
  <c r="C101" i="6"/>
  <c r="E101" i="37" s="1"/>
  <c r="C102" i="6"/>
  <c r="C103" i="6"/>
  <c r="E103" i="37" s="1"/>
  <c r="C104" i="6"/>
  <c r="E104" i="37" s="1"/>
  <c r="C105" i="6"/>
  <c r="E105" i="37" s="1"/>
  <c r="C106" i="6"/>
  <c r="C106" i="10" s="1"/>
  <c r="C107" i="6"/>
  <c r="E107" i="37" s="1"/>
  <c r="C108" i="6"/>
  <c r="E108" i="37" s="1"/>
  <c r="C109" i="6"/>
  <c r="C110" i="6"/>
  <c r="E110" i="37" s="1"/>
  <c r="C111" i="6"/>
  <c r="E111" i="37" s="1"/>
  <c r="C112" i="6"/>
  <c r="C113" i="6"/>
  <c r="E113" i="37" s="1"/>
  <c r="C114" i="6"/>
  <c r="C115" i="6"/>
  <c r="C116" i="6"/>
  <c r="E116" i="37" s="1"/>
  <c r="C117" i="6"/>
  <c r="C118" i="6"/>
  <c r="C119" i="6"/>
  <c r="E119" i="37" s="1"/>
  <c r="C120" i="6"/>
  <c r="E120" i="37" s="1"/>
  <c r="C121" i="6"/>
  <c r="C122" i="6"/>
  <c r="C123" i="6"/>
  <c r="E123" i="37" s="1"/>
  <c r="C124" i="6"/>
  <c r="C125" i="6"/>
  <c r="E125" i="37" s="1"/>
  <c r="C126" i="6"/>
  <c r="C127" i="6"/>
  <c r="C128" i="6"/>
  <c r="E128" i="37" s="1"/>
  <c r="C129" i="6"/>
  <c r="C130" i="6"/>
  <c r="C131" i="6"/>
  <c r="E131" i="37" s="1"/>
  <c r="C132" i="6"/>
  <c r="E132" i="37" s="1"/>
  <c r="C133" i="6"/>
  <c r="C134" i="6"/>
  <c r="E134" i="37" s="1"/>
  <c r="C135" i="6"/>
  <c r="E135" i="37" s="1"/>
  <c r="C136" i="6"/>
  <c r="E136" i="37" s="1"/>
  <c r="C137" i="6"/>
  <c r="E137" i="37" s="1"/>
  <c r="C138" i="6"/>
  <c r="C139" i="6"/>
  <c r="C140" i="6"/>
  <c r="E140" i="37" s="1"/>
  <c r="C141" i="6"/>
  <c r="C142" i="6"/>
  <c r="C143" i="6"/>
  <c r="E143" i="37" s="1"/>
  <c r="C144" i="6"/>
  <c r="E144" i="37" s="1"/>
  <c r="C145" i="6"/>
  <c r="E145" i="37" s="1"/>
  <c r="C146" i="6"/>
  <c r="C147" i="6"/>
  <c r="C148" i="6"/>
  <c r="E148" i="37" s="1"/>
  <c r="C149" i="6"/>
  <c r="E149" i="37" s="1"/>
  <c r="C150" i="6"/>
  <c r="C151" i="6"/>
  <c r="C152" i="6"/>
  <c r="E152" i="37" s="1"/>
  <c r="C153" i="6"/>
  <c r="E153" i="37" s="1"/>
  <c r="C154" i="6"/>
  <c r="C155" i="6"/>
  <c r="E155" i="37" s="1"/>
  <c r="C156" i="6"/>
  <c r="E156" i="37" s="1"/>
  <c r="C157" i="6"/>
  <c r="E157" i="37" s="1"/>
  <c r="C158" i="6"/>
  <c r="B5" i="20"/>
  <c r="B6" i="20"/>
  <c r="B7" i="20"/>
  <c r="B8" i="20"/>
  <c r="B9" i="20"/>
  <c r="C9" i="20"/>
  <c r="B10" i="20"/>
  <c r="B11" i="20"/>
  <c r="B12" i="20"/>
  <c r="B13" i="20"/>
  <c r="B14" i="20"/>
  <c r="B15" i="20"/>
  <c r="C15" i="20"/>
  <c r="B16" i="20"/>
  <c r="B17" i="20"/>
  <c r="B18" i="20"/>
  <c r="B19" i="20"/>
  <c r="B20" i="20"/>
  <c r="B21" i="20"/>
  <c r="B22" i="20"/>
  <c r="B23" i="20"/>
  <c r="B24" i="20"/>
  <c r="E24" i="9"/>
  <c r="D24" i="9" s="1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E38" i="9"/>
  <c r="D38" i="9" s="1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C55" i="20"/>
  <c r="C60" i="20"/>
  <c r="E64" i="9"/>
  <c r="D64" i="9" s="1"/>
  <c r="C67" i="20"/>
  <c r="C73" i="20"/>
  <c r="C91" i="20"/>
  <c r="C103" i="20"/>
  <c r="C108" i="20"/>
  <c r="C113" i="20"/>
  <c r="E126" i="9"/>
  <c r="D126" i="9" s="1"/>
  <c r="G126" i="9" s="1"/>
  <c r="C128" i="20"/>
  <c r="E128" i="9"/>
  <c r="D128" i="9" s="1"/>
  <c r="C144" i="20"/>
  <c r="C150" i="20"/>
  <c r="C155" i="20"/>
  <c r="C156" i="20"/>
  <c r="A158" i="6"/>
  <c r="C158" i="37" s="1"/>
  <c r="A157" i="6"/>
  <c r="A156" i="6"/>
  <c r="A155" i="6"/>
  <c r="C155" i="37" s="1"/>
  <c r="A154" i="6"/>
  <c r="A153" i="6"/>
  <c r="A152" i="6"/>
  <c r="C152" i="37" s="1"/>
  <c r="A151" i="6"/>
  <c r="A150" i="6"/>
  <c r="A149" i="6"/>
  <c r="A148" i="6"/>
  <c r="C148" i="37" s="1"/>
  <c r="A147" i="6"/>
  <c r="C147" i="37" s="1"/>
  <c r="A146" i="6"/>
  <c r="A145" i="6"/>
  <c r="A144" i="6"/>
  <c r="A143" i="6"/>
  <c r="C143" i="37" s="1"/>
  <c r="A142" i="6"/>
  <c r="A141" i="6"/>
  <c r="A140" i="6"/>
  <c r="C140" i="37" s="1"/>
  <c r="A139" i="6"/>
  <c r="A138" i="6"/>
  <c r="A137" i="6"/>
  <c r="A136" i="6"/>
  <c r="C136" i="37" s="1"/>
  <c r="A135" i="6"/>
  <c r="C135" i="37" s="1"/>
  <c r="A134" i="6"/>
  <c r="C134" i="37" s="1"/>
  <c r="A133" i="6"/>
  <c r="A132" i="6"/>
  <c r="A131" i="6"/>
  <c r="A130" i="6"/>
  <c r="C130" i="37" s="1"/>
  <c r="A129" i="6"/>
  <c r="A128" i="6"/>
  <c r="A127" i="6"/>
  <c r="A126" i="6"/>
  <c r="A125" i="6"/>
  <c r="A124" i="6"/>
  <c r="A123" i="6"/>
  <c r="C123" i="37" s="1"/>
  <c r="A122" i="6"/>
  <c r="C122" i="37" s="1"/>
  <c r="A121" i="6"/>
  <c r="A120" i="6"/>
  <c r="A119" i="6"/>
  <c r="C119" i="37" s="1"/>
  <c r="A118" i="6"/>
  <c r="C118" i="37" s="1"/>
  <c r="A117" i="6"/>
  <c r="A116" i="6"/>
  <c r="C116" i="37" s="1"/>
  <c r="A115" i="6"/>
  <c r="A114" i="6"/>
  <c r="A113" i="6"/>
  <c r="C113" i="37" s="1"/>
  <c r="A112" i="6"/>
  <c r="C112" i="37" s="1"/>
  <c r="A111" i="6"/>
  <c r="C111" i="37" s="1"/>
  <c r="A110" i="6"/>
  <c r="A109" i="6"/>
  <c r="A108" i="6"/>
  <c r="A107" i="6"/>
  <c r="A106" i="6"/>
  <c r="A105" i="6"/>
  <c r="A104" i="6"/>
  <c r="C104" i="37" s="1"/>
  <c r="A103" i="6"/>
  <c r="A102" i="6"/>
  <c r="A101" i="6"/>
  <c r="C101" i="37" s="1"/>
  <c r="A100" i="6"/>
  <c r="C100" i="37" s="1"/>
  <c r="A99" i="6"/>
  <c r="C99" i="37" s="1"/>
  <c r="A98" i="6"/>
  <c r="C98" i="37" s="1"/>
  <c r="A97" i="6"/>
  <c r="A96" i="6"/>
  <c r="A95" i="6"/>
  <c r="A94" i="6"/>
  <c r="C94" i="37" s="1"/>
  <c r="A93" i="6"/>
  <c r="A92" i="6"/>
  <c r="A91" i="6"/>
  <c r="A90" i="6"/>
  <c r="A89" i="6"/>
  <c r="C89" i="37" s="1"/>
  <c r="A88" i="6"/>
  <c r="A87" i="6"/>
  <c r="C87" i="37" s="1"/>
  <c r="A86" i="6"/>
  <c r="C86" i="37" s="1"/>
  <c r="A85" i="6"/>
  <c r="A84" i="6"/>
  <c r="A83" i="6"/>
  <c r="C83" i="37" s="1"/>
  <c r="A82" i="6"/>
  <c r="C82" i="37" s="1"/>
  <c r="A81" i="6"/>
  <c r="C81" i="37" s="1"/>
  <c r="A80" i="6"/>
  <c r="C80" i="37" s="1"/>
  <c r="A79" i="6"/>
  <c r="A78" i="6"/>
  <c r="A77" i="6"/>
  <c r="A76" i="6"/>
  <c r="C76" i="37" s="1"/>
  <c r="A75" i="6"/>
  <c r="C75" i="37" s="1"/>
  <c r="A74" i="6"/>
  <c r="A73" i="6"/>
  <c r="A72" i="6"/>
  <c r="A71" i="6"/>
  <c r="A70" i="6"/>
  <c r="A69" i="6"/>
  <c r="A68" i="6"/>
  <c r="A67" i="6"/>
  <c r="A66" i="6"/>
  <c r="A65" i="6"/>
  <c r="A64" i="6"/>
  <c r="C64" i="37" s="1"/>
  <c r="A63" i="6"/>
  <c r="A62" i="6"/>
  <c r="A61" i="6"/>
  <c r="A60" i="6"/>
  <c r="C60" i="37" s="1"/>
  <c r="A59" i="6"/>
  <c r="C59" i="37" s="1"/>
  <c r="A58" i="6"/>
  <c r="C58" i="37" s="1"/>
  <c r="A57" i="6"/>
  <c r="A56" i="6"/>
  <c r="A55" i="6"/>
  <c r="C55" i="37" s="1"/>
  <c r="A54" i="6"/>
  <c r="A53" i="6"/>
  <c r="A52" i="6"/>
  <c r="A51" i="6"/>
  <c r="A50" i="6"/>
  <c r="A49" i="6"/>
  <c r="A48" i="6"/>
  <c r="A47" i="6"/>
  <c r="A46" i="6"/>
  <c r="C46" i="37" s="1"/>
  <c r="A45" i="6"/>
  <c r="A44" i="6"/>
  <c r="A43" i="6"/>
  <c r="A42" i="6"/>
  <c r="A41" i="6"/>
  <c r="C41" i="37" s="1"/>
  <c r="A40" i="6"/>
  <c r="C40" i="37" s="1"/>
  <c r="A39" i="6"/>
  <c r="C39" i="37" s="1"/>
  <c r="A38" i="6"/>
  <c r="A37" i="6"/>
  <c r="A36" i="6"/>
  <c r="A35" i="6"/>
  <c r="C35" i="37" s="1"/>
  <c r="A34" i="6"/>
  <c r="A33" i="6"/>
  <c r="A32" i="6"/>
  <c r="A31" i="6"/>
  <c r="A30" i="6"/>
  <c r="C30" i="37" s="1"/>
  <c r="A29" i="6"/>
  <c r="A28" i="6"/>
  <c r="C28" i="37" s="1"/>
  <c r="A27" i="6"/>
  <c r="A26" i="6"/>
  <c r="A25" i="6"/>
  <c r="C25" i="37" s="1"/>
  <c r="A24" i="6"/>
  <c r="C24" i="37" s="1"/>
  <c r="C10" i="38" s="1"/>
  <c r="A23" i="6"/>
  <c r="C23" i="37" s="1"/>
  <c r="A22" i="6"/>
  <c r="A21" i="6"/>
  <c r="C21" i="37" s="1"/>
  <c r="A20" i="6"/>
  <c r="A19" i="6"/>
  <c r="C19" i="37" s="1"/>
  <c r="A18" i="6"/>
  <c r="C18" i="37" s="1"/>
  <c r="A17" i="6"/>
  <c r="C17" i="37" s="1"/>
  <c r="A16" i="6"/>
  <c r="A15" i="6"/>
  <c r="C15" i="37" s="1"/>
  <c r="A14" i="6"/>
  <c r="A13" i="6"/>
  <c r="A12" i="6"/>
  <c r="A11" i="6"/>
  <c r="C11" i="37" s="1"/>
  <c r="A10" i="6"/>
  <c r="A9" i="6"/>
  <c r="A8" i="6"/>
  <c r="A7" i="6"/>
  <c r="A6" i="6"/>
  <c r="A5" i="6"/>
  <c r="C5" i="37" s="1"/>
  <c r="C7" i="38" s="1"/>
  <c r="C157" i="10"/>
  <c r="C156" i="10"/>
  <c r="A156" i="10"/>
  <c r="A154" i="10"/>
  <c r="C151" i="10"/>
  <c r="A150" i="10"/>
  <c r="C145" i="10"/>
  <c r="C144" i="10"/>
  <c r="C143" i="10"/>
  <c r="C141" i="10"/>
  <c r="C139" i="10"/>
  <c r="C133" i="10"/>
  <c r="C132" i="10"/>
  <c r="A132" i="10"/>
  <c r="C127" i="10"/>
  <c r="C125" i="10"/>
  <c r="C124" i="10"/>
  <c r="C121" i="10"/>
  <c r="C120" i="10"/>
  <c r="A120" i="10"/>
  <c r="C115" i="10"/>
  <c r="A114" i="10"/>
  <c r="C112" i="10"/>
  <c r="C109" i="10"/>
  <c r="C108" i="10"/>
  <c r="A108" i="10"/>
  <c r="C103" i="10"/>
  <c r="A102" i="10"/>
  <c r="C99" i="10"/>
  <c r="C97" i="10"/>
  <c r="C96" i="10"/>
  <c r="A96" i="10"/>
  <c r="C95" i="10"/>
  <c r="C91" i="10"/>
  <c r="A90" i="10"/>
  <c r="C85" i="10"/>
  <c r="C84" i="10"/>
  <c r="A84" i="10"/>
  <c r="C81" i="10"/>
  <c r="C80" i="10"/>
  <c r="C79" i="10"/>
  <c r="A78" i="10"/>
  <c r="C76" i="10"/>
  <c r="A75" i="10"/>
  <c r="C73" i="10"/>
  <c r="C72" i="10"/>
  <c r="A72" i="10"/>
  <c r="C67" i="10"/>
  <c r="A67" i="10"/>
  <c r="C63" i="10"/>
  <c r="A62" i="10"/>
  <c r="C61" i="10"/>
  <c r="C60" i="10"/>
  <c r="A56" i="10"/>
  <c r="C55" i="10"/>
  <c r="A54" i="10"/>
  <c r="C53" i="10"/>
  <c r="B53" i="10"/>
  <c r="B52" i="10"/>
  <c r="A52" i="10"/>
  <c r="C51" i="10"/>
  <c r="B51" i="10"/>
  <c r="B50" i="10"/>
  <c r="B49" i="10"/>
  <c r="B48" i="10"/>
  <c r="A48" i="10"/>
  <c r="B47" i="10"/>
  <c r="B46" i="10"/>
  <c r="C45" i="10"/>
  <c r="B45" i="10"/>
  <c r="B44" i="10"/>
  <c r="B43" i="10"/>
  <c r="A43" i="10"/>
  <c r="B42" i="10"/>
  <c r="B41" i="10"/>
  <c r="B40" i="10"/>
  <c r="C39" i="10"/>
  <c r="B39" i="10"/>
  <c r="C38" i="10"/>
  <c r="B38" i="10"/>
  <c r="B37" i="10"/>
  <c r="C36" i="10"/>
  <c r="B36" i="10"/>
  <c r="A36" i="10"/>
  <c r="B35" i="10"/>
  <c r="B34" i="10"/>
  <c r="C33" i="10"/>
  <c r="B33" i="10"/>
  <c r="C32" i="10"/>
  <c r="B32" i="10"/>
  <c r="C31" i="10"/>
  <c r="B31" i="10"/>
  <c r="A31" i="10"/>
  <c r="B30" i="10"/>
  <c r="B29" i="10"/>
  <c r="B28" i="10"/>
  <c r="C27" i="10"/>
  <c r="B27" i="10"/>
  <c r="B26" i="10"/>
  <c r="B25" i="10"/>
  <c r="B24" i="10"/>
  <c r="B23" i="10"/>
  <c r="B22" i="10"/>
  <c r="A22" i="10"/>
  <c r="C21" i="10"/>
  <c r="B21" i="10"/>
  <c r="B20" i="10"/>
  <c r="B19" i="10"/>
  <c r="C18" i="10"/>
  <c r="B18" i="10"/>
  <c r="C17" i="10"/>
  <c r="B17" i="10"/>
  <c r="B16" i="10"/>
  <c r="A16" i="10"/>
  <c r="C15" i="10"/>
  <c r="B15" i="10"/>
  <c r="C14" i="10"/>
  <c r="B14" i="10"/>
  <c r="B13" i="10"/>
  <c r="B12" i="10"/>
  <c r="B11" i="10"/>
  <c r="B10" i="10"/>
  <c r="A10" i="10"/>
  <c r="C9" i="10"/>
  <c r="B9" i="10"/>
  <c r="C8" i="10"/>
  <c r="B8" i="10"/>
  <c r="C7" i="10"/>
  <c r="B7" i="10"/>
  <c r="B6" i="10"/>
  <c r="C5" i="10"/>
  <c r="B5" i="10"/>
  <c r="C157" i="11"/>
  <c r="C156" i="11"/>
  <c r="A156" i="11"/>
  <c r="A154" i="11"/>
  <c r="C153" i="11"/>
  <c r="C151" i="11"/>
  <c r="A150" i="11"/>
  <c r="C147" i="11"/>
  <c r="C145" i="11"/>
  <c r="C144" i="11"/>
  <c r="A144" i="11"/>
  <c r="C142" i="11"/>
  <c r="C141" i="11"/>
  <c r="C139" i="11"/>
  <c r="A138" i="11"/>
  <c r="C135" i="11"/>
  <c r="C133" i="11"/>
  <c r="C132" i="11"/>
  <c r="A132" i="11"/>
  <c r="C129" i="11"/>
  <c r="C128" i="11"/>
  <c r="C127" i="11"/>
  <c r="C126" i="11"/>
  <c r="C123" i="11"/>
  <c r="C121" i="11"/>
  <c r="C120" i="11"/>
  <c r="A120" i="11"/>
  <c r="C117" i="11"/>
  <c r="C116" i="11"/>
  <c r="C115" i="11"/>
  <c r="A114" i="11"/>
  <c r="C111" i="11"/>
  <c r="A111" i="11"/>
  <c r="C109" i="11"/>
  <c r="C108" i="11"/>
  <c r="A108" i="11"/>
  <c r="C105" i="11"/>
  <c r="C103" i="11"/>
  <c r="C102" i="11"/>
  <c r="C99" i="11"/>
  <c r="C97" i="11"/>
  <c r="C96" i="11"/>
  <c r="A96" i="11"/>
  <c r="C95" i="11"/>
  <c r="C93" i="11"/>
  <c r="C91" i="11"/>
  <c r="A90" i="11"/>
  <c r="C88" i="11"/>
  <c r="C87" i="11"/>
  <c r="C85" i="11"/>
  <c r="C84" i="11"/>
  <c r="A84" i="11"/>
  <c r="C81" i="11"/>
  <c r="C79" i="11"/>
  <c r="A78" i="11"/>
  <c r="C75" i="11"/>
  <c r="C73" i="11"/>
  <c r="C72" i="11"/>
  <c r="A72" i="11"/>
  <c r="C69" i="11"/>
  <c r="C67" i="11"/>
  <c r="A67" i="11"/>
  <c r="A66" i="11"/>
  <c r="C64" i="11"/>
  <c r="C61" i="11"/>
  <c r="A61" i="11"/>
  <c r="C60" i="11"/>
  <c r="C57" i="11"/>
  <c r="A56" i="11"/>
  <c r="C55" i="11"/>
  <c r="A54" i="11"/>
  <c r="C53" i="11"/>
  <c r="B53" i="11"/>
  <c r="B52" i="11"/>
  <c r="A52" i="11"/>
  <c r="C51" i="11"/>
  <c r="B51" i="11"/>
  <c r="B50" i="11"/>
  <c r="B49" i="11"/>
  <c r="C48" i="11"/>
  <c r="B48" i="11"/>
  <c r="A48" i="11"/>
  <c r="C47" i="11"/>
  <c r="B47" i="11"/>
  <c r="B46" i="11"/>
  <c r="C45" i="11"/>
  <c r="B45" i="11"/>
  <c r="B44" i="11"/>
  <c r="C43" i="11"/>
  <c r="B43" i="11"/>
  <c r="A43" i="11"/>
  <c r="B42" i="11"/>
  <c r="B41" i="11"/>
  <c r="C40" i="11"/>
  <c r="B40" i="11"/>
  <c r="C39" i="11"/>
  <c r="B39" i="11"/>
  <c r="C38" i="11"/>
  <c r="B38" i="11"/>
  <c r="B37" i="11"/>
  <c r="C36" i="11"/>
  <c r="B36" i="11"/>
  <c r="A36" i="11"/>
  <c r="C35" i="11"/>
  <c r="B35" i="11"/>
  <c r="B34" i="11"/>
  <c r="C33" i="11"/>
  <c r="B33" i="11"/>
  <c r="B32" i="11"/>
  <c r="B31" i="11"/>
  <c r="A31" i="11"/>
  <c r="C30" i="11"/>
  <c r="B30" i="11"/>
  <c r="C29" i="11"/>
  <c r="B29" i="11"/>
  <c r="B28" i="11"/>
  <c r="C27" i="11"/>
  <c r="B27" i="11"/>
  <c r="B26" i="11"/>
  <c r="A26" i="11"/>
  <c r="B25" i="11"/>
  <c r="B24" i="11"/>
  <c r="C23" i="11"/>
  <c r="B23" i="11"/>
  <c r="B22" i="11"/>
  <c r="A22" i="11"/>
  <c r="C21" i="11"/>
  <c r="B21" i="11"/>
  <c r="B20" i="11"/>
  <c r="B19" i="11"/>
  <c r="B18" i="11"/>
  <c r="B17" i="11"/>
  <c r="B16" i="11"/>
  <c r="A16" i="11"/>
  <c r="C15" i="11"/>
  <c r="B15" i="11"/>
  <c r="B14" i="11"/>
  <c r="B13" i="11"/>
  <c r="C12" i="11"/>
  <c r="B12" i="11"/>
  <c r="C11" i="11"/>
  <c r="B11" i="11"/>
  <c r="B10" i="11"/>
  <c r="C9" i="11"/>
  <c r="B9" i="11"/>
  <c r="C8" i="11"/>
  <c r="B8" i="11"/>
  <c r="B7" i="11"/>
  <c r="B6" i="11"/>
  <c r="C5" i="11"/>
  <c r="B5" i="11"/>
  <c r="C317" i="12"/>
  <c r="C316" i="12"/>
  <c r="A316" i="12"/>
  <c r="A314" i="12"/>
  <c r="C313" i="12"/>
  <c r="C311" i="12"/>
  <c r="A310" i="12"/>
  <c r="C308" i="12"/>
  <c r="C307" i="12"/>
  <c r="C305" i="12"/>
  <c r="C304" i="12"/>
  <c r="A304" i="12"/>
  <c r="C301" i="12"/>
  <c r="C300" i="12"/>
  <c r="C299" i="12"/>
  <c r="A298" i="12"/>
  <c r="C297" i="12"/>
  <c r="C296" i="12"/>
  <c r="C295" i="12"/>
  <c r="C293" i="12"/>
  <c r="C292" i="12"/>
  <c r="A292" i="12"/>
  <c r="C291" i="12"/>
  <c r="C289" i="12"/>
  <c r="C287" i="12"/>
  <c r="A286" i="12"/>
  <c r="C285" i="12"/>
  <c r="C284" i="12"/>
  <c r="C283" i="12"/>
  <c r="C281" i="12"/>
  <c r="C280" i="12"/>
  <c r="A280" i="12"/>
  <c r="C277" i="12"/>
  <c r="C275" i="12"/>
  <c r="A274" i="12"/>
  <c r="C272" i="12"/>
  <c r="C271" i="12"/>
  <c r="C269" i="12"/>
  <c r="C268" i="12"/>
  <c r="A268" i="12"/>
  <c r="C266" i="12"/>
  <c r="C265" i="12"/>
  <c r="C264" i="12"/>
  <c r="C263" i="12"/>
  <c r="C262" i="12"/>
  <c r="A262" i="12"/>
  <c r="C260" i="12"/>
  <c r="C259" i="12"/>
  <c r="C257" i="12"/>
  <c r="C256" i="12"/>
  <c r="A256" i="12"/>
  <c r="C253" i="12"/>
  <c r="C251" i="12"/>
  <c r="A250" i="12"/>
  <c r="C248" i="12"/>
  <c r="C247" i="12"/>
  <c r="C245" i="12"/>
  <c r="C244" i="12"/>
  <c r="A244" i="12"/>
  <c r="C241" i="12"/>
  <c r="C239" i="12"/>
  <c r="A238" i="12"/>
  <c r="C236" i="12"/>
  <c r="C235" i="12"/>
  <c r="C233" i="12"/>
  <c r="C232" i="12"/>
  <c r="A232" i="12"/>
  <c r="C230" i="12"/>
  <c r="C229" i="12"/>
  <c r="A228" i="12"/>
  <c r="C227" i="12"/>
  <c r="A227" i="12"/>
  <c r="A226" i="12"/>
  <c r="C224" i="12"/>
  <c r="C223" i="12"/>
  <c r="A222" i="12"/>
  <c r="C221" i="12"/>
  <c r="C220" i="12"/>
  <c r="C219" i="12"/>
  <c r="C217" i="12"/>
  <c r="A216" i="12"/>
  <c r="C215" i="12"/>
  <c r="A214" i="12"/>
  <c r="C213" i="12"/>
  <c r="B213" i="12"/>
  <c r="B212" i="12"/>
  <c r="A212" i="12"/>
  <c r="C211" i="12"/>
  <c r="B211" i="12"/>
  <c r="B210" i="12"/>
  <c r="B209" i="12"/>
  <c r="B208" i="12"/>
  <c r="A208" i="12"/>
  <c r="C207" i="12"/>
  <c r="B207" i="12"/>
  <c r="B206" i="12"/>
  <c r="A206" i="12"/>
  <c r="C205" i="12"/>
  <c r="B205" i="12"/>
  <c r="B204" i="12"/>
  <c r="B203" i="12"/>
  <c r="A203" i="12"/>
  <c r="B202" i="12"/>
  <c r="A202" i="12"/>
  <c r="C201" i="12"/>
  <c r="B201" i="12"/>
  <c r="B200" i="12"/>
  <c r="C199" i="12"/>
  <c r="B199" i="12"/>
  <c r="B198" i="12"/>
  <c r="A198" i="12"/>
  <c r="B197" i="12"/>
  <c r="B196" i="12"/>
  <c r="A196" i="12"/>
  <c r="C195" i="12"/>
  <c r="B195" i="12"/>
  <c r="B194" i="12"/>
  <c r="A194" i="12"/>
  <c r="C193" i="12"/>
  <c r="B193" i="12"/>
  <c r="C192" i="12"/>
  <c r="B192" i="12"/>
  <c r="B191" i="12"/>
  <c r="A191" i="12"/>
  <c r="C190" i="12"/>
  <c r="B190" i="12"/>
  <c r="C189" i="12"/>
  <c r="B189" i="12"/>
  <c r="B188" i="12"/>
  <c r="A188" i="12"/>
  <c r="C187" i="12"/>
  <c r="B187" i="12"/>
  <c r="C186" i="12"/>
  <c r="B186" i="12"/>
  <c r="A186" i="12"/>
  <c r="C185" i="12"/>
  <c r="B185" i="12"/>
  <c r="B184" i="12"/>
  <c r="A184" i="12"/>
  <c r="C183" i="12"/>
  <c r="B183" i="12"/>
  <c r="B182" i="12"/>
  <c r="A182" i="12"/>
  <c r="C181" i="12"/>
  <c r="B181" i="12"/>
  <c r="B180" i="12"/>
  <c r="B179" i="12"/>
  <c r="B178" i="12"/>
  <c r="C177" i="12"/>
  <c r="B177" i="12"/>
  <c r="B176" i="12"/>
  <c r="A176" i="12"/>
  <c r="C175" i="12"/>
  <c r="B175" i="12"/>
  <c r="B174" i="12"/>
  <c r="C173" i="12"/>
  <c r="B173" i="12"/>
  <c r="B172" i="12"/>
  <c r="A172" i="12"/>
  <c r="C171" i="12"/>
  <c r="B171" i="12"/>
  <c r="B170" i="12"/>
  <c r="A170" i="12"/>
  <c r="C169" i="12"/>
  <c r="B169" i="12"/>
  <c r="C168" i="12"/>
  <c r="B168" i="12"/>
  <c r="C167" i="12"/>
  <c r="B167" i="12"/>
  <c r="B166" i="12"/>
  <c r="C165" i="12"/>
  <c r="B165" i="12"/>
  <c r="C157" i="12"/>
  <c r="C156" i="12"/>
  <c r="A156" i="12"/>
  <c r="C155" i="12"/>
  <c r="A154" i="12"/>
  <c r="C153" i="12"/>
  <c r="C151" i="12"/>
  <c r="A151" i="12"/>
  <c r="A150" i="12"/>
  <c r="C148" i="12"/>
  <c r="C147" i="12"/>
  <c r="A146" i="12"/>
  <c r="C145" i="12"/>
  <c r="C144" i="12"/>
  <c r="A144" i="12"/>
  <c r="A142" i="12"/>
  <c r="C141" i="12"/>
  <c r="C139" i="12"/>
  <c r="A138" i="12"/>
  <c r="C136" i="12"/>
  <c r="C135" i="12"/>
  <c r="C134" i="12"/>
  <c r="C133" i="12"/>
  <c r="C132" i="12"/>
  <c r="A132" i="12"/>
  <c r="C129" i="12"/>
  <c r="A128" i="12"/>
  <c r="C127" i="12"/>
  <c r="A126" i="12"/>
  <c r="C124" i="12"/>
  <c r="A124" i="12"/>
  <c r="C123" i="12"/>
  <c r="A123" i="12"/>
  <c r="C121" i="12"/>
  <c r="C120" i="12"/>
  <c r="A120" i="12"/>
  <c r="A119" i="12"/>
  <c r="C117" i="12"/>
  <c r="C115" i="12"/>
  <c r="A115" i="12"/>
  <c r="A114" i="12"/>
  <c r="C112" i="12"/>
  <c r="C111" i="12"/>
  <c r="A111" i="12"/>
  <c r="A110" i="12"/>
  <c r="C109" i="12"/>
  <c r="C108" i="12"/>
  <c r="A108" i="12"/>
  <c r="C106" i="12"/>
  <c r="A106" i="12"/>
  <c r="C105" i="12"/>
  <c r="C103" i="12"/>
  <c r="C102" i="12"/>
  <c r="A102" i="12"/>
  <c r="C100" i="12"/>
  <c r="C99" i="12"/>
  <c r="C97" i="12"/>
  <c r="C96" i="12"/>
  <c r="A96" i="12"/>
  <c r="C95" i="12"/>
  <c r="C93" i="12"/>
  <c r="A92" i="12"/>
  <c r="C91" i="12"/>
  <c r="A90" i="12"/>
  <c r="C88" i="12"/>
  <c r="A88" i="12"/>
  <c r="C87" i="12"/>
  <c r="C85" i="12"/>
  <c r="C84" i="12"/>
  <c r="A84" i="12"/>
  <c r="C81" i="12"/>
  <c r="C80" i="12"/>
  <c r="C79" i="12"/>
  <c r="A79" i="12"/>
  <c r="A78" i="12"/>
  <c r="C76" i="12"/>
  <c r="C75" i="12"/>
  <c r="A75" i="12"/>
  <c r="A74" i="12"/>
  <c r="C73" i="12"/>
  <c r="C72" i="12"/>
  <c r="A72" i="12"/>
  <c r="C70" i="12"/>
  <c r="A70" i="12"/>
  <c r="C69" i="12"/>
  <c r="C68" i="12"/>
  <c r="A68" i="12"/>
  <c r="C67" i="12"/>
  <c r="A67" i="12"/>
  <c r="A66" i="12"/>
  <c r="C65" i="12"/>
  <c r="C64" i="12"/>
  <c r="C63" i="12"/>
  <c r="A63" i="12"/>
  <c r="A62" i="12"/>
  <c r="C61" i="12"/>
  <c r="C60" i="12"/>
  <c r="C57" i="12"/>
  <c r="C56" i="12"/>
  <c r="A56" i="12"/>
  <c r="C55" i="12"/>
  <c r="A55" i="12"/>
  <c r="C54" i="12"/>
  <c r="A54" i="12"/>
  <c r="C53" i="12"/>
  <c r="B53" i="12"/>
  <c r="C52" i="12"/>
  <c r="B52" i="12"/>
  <c r="A52" i="12"/>
  <c r="C51" i="12"/>
  <c r="B51" i="12"/>
  <c r="B50" i="12"/>
  <c r="A50" i="12"/>
  <c r="C49" i="12"/>
  <c r="B49" i="12"/>
  <c r="B48" i="12"/>
  <c r="A48" i="12"/>
  <c r="C47" i="12"/>
  <c r="B47" i="12"/>
  <c r="C46" i="12"/>
  <c r="B46" i="12"/>
  <c r="A46" i="12"/>
  <c r="C45" i="12"/>
  <c r="B45" i="12"/>
  <c r="B44" i="12"/>
  <c r="C43" i="12"/>
  <c r="B43" i="12"/>
  <c r="A43" i="12"/>
  <c r="B42" i="12"/>
  <c r="A42" i="12"/>
  <c r="C41" i="12"/>
  <c r="B41" i="12"/>
  <c r="A41" i="12"/>
  <c r="B40" i="12"/>
  <c r="A40" i="12"/>
  <c r="C39" i="12"/>
  <c r="B39" i="12"/>
  <c r="B38" i="12"/>
  <c r="A38" i="12"/>
  <c r="C37" i="12"/>
  <c r="B37" i="12"/>
  <c r="C36" i="12"/>
  <c r="B36" i="12"/>
  <c r="A36" i="12"/>
  <c r="C35" i="12"/>
  <c r="B35" i="12"/>
  <c r="B34" i="12"/>
  <c r="A34" i="12"/>
  <c r="C33" i="12"/>
  <c r="B33" i="12"/>
  <c r="B32" i="12"/>
  <c r="A32" i="12"/>
  <c r="C31" i="12"/>
  <c r="B31" i="12"/>
  <c r="A31" i="12"/>
  <c r="C30" i="12"/>
  <c r="B30" i="12"/>
  <c r="A30" i="12"/>
  <c r="C29" i="12"/>
  <c r="B29" i="12"/>
  <c r="B28" i="12"/>
  <c r="A28" i="12"/>
  <c r="C27" i="12"/>
  <c r="B27" i="12"/>
  <c r="A27" i="12"/>
  <c r="C26" i="12"/>
  <c r="B26" i="12"/>
  <c r="A26" i="12"/>
  <c r="C25" i="12"/>
  <c r="B25" i="12"/>
  <c r="B24" i="12"/>
  <c r="A24" i="12"/>
  <c r="C23" i="12"/>
  <c r="B23" i="12"/>
  <c r="B22" i="12"/>
  <c r="A22" i="12"/>
  <c r="C21" i="12"/>
  <c r="B21" i="12"/>
  <c r="C20" i="12"/>
  <c r="B20" i="12"/>
  <c r="C19" i="12"/>
  <c r="B19" i="12"/>
  <c r="C18" i="12"/>
  <c r="B18" i="12"/>
  <c r="A18" i="12"/>
  <c r="C17" i="12"/>
  <c r="B17" i="12"/>
  <c r="C16" i="12"/>
  <c r="B16" i="12"/>
  <c r="A16" i="12"/>
  <c r="C15" i="12"/>
  <c r="B15" i="12"/>
  <c r="A15" i="12"/>
  <c r="B14" i="12"/>
  <c r="C13" i="12"/>
  <c r="B13" i="12"/>
  <c r="B12" i="12"/>
  <c r="A12" i="12"/>
  <c r="C11" i="12"/>
  <c r="B11" i="12"/>
  <c r="C10" i="12"/>
  <c r="B10" i="12"/>
  <c r="A10" i="12"/>
  <c r="C9" i="12"/>
  <c r="B9" i="12"/>
  <c r="C8" i="12"/>
  <c r="B8" i="12"/>
  <c r="C7" i="12"/>
  <c r="B7" i="12"/>
  <c r="B6" i="12"/>
  <c r="A6" i="12"/>
  <c r="C5" i="12"/>
  <c r="B5" i="12"/>
  <c r="C317" i="13"/>
  <c r="A317" i="13"/>
  <c r="C316" i="13"/>
  <c r="A316" i="13"/>
  <c r="A314" i="13"/>
  <c r="C313" i="13"/>
  <c r="C312" i="13"/>
  <c r="C311" i="13"/>
  <c r="A311" i="13"/>
  <c r="A310" i="13"/>
  <c r="C309" i="13"/>
  <c r="C308" i="13"/>
  <c r="C307" i="13"/>
  <c r="A307" i="13"/>
  <c r="C306" i="13"/>
  <c r="A306" i="13"/>
  <c r="C305" i="13"/>
  <c r="C304" i="13"/>
  <c r="A304" i="13"/>
  <c r="C302" i="13"/>
  <c r="A302" i="13"/>
  <c r="C301" i="13"/>
  <c r="A301" i="13"/>
  <c r="C300" i="13"/>
  <c r="A300" i="13"/>
  <c r="C299" i="13"/>
  <c r="C298" i="13"/>
  <c r="A298" i="13"/>
  <c r="C296" i="13"/>
  <c r="C295" i="13"/>
  <c r="A295" i="13"/>
  <c r="C294" i="13"/>
  <c r="A294" i="13"/>
  <c r="C293" i="13"/>
  <c r="A293" i="13"/>
  <c r="C292" i="13"/>
  <c r="A292" i="13"/>
  <c r="C289" i="13"/>
  <c r="A289" i="13"/>
  <c r="C288" i="13"/>
  <c r="A288" i="13"/>
  <c r="C287" i="13"/>
  <c r="C286" i="13"/>
  <c r="A286" i="13"/>
  <c r="C284" i="13"/>
  <c r="A284" i="13"/>
  <c r="C283" i="13"/>
  <c r="A283" i="13"/>
  <c r="C282" i="13"/>
  <c r="A282" i="13"/>
  <c r="C281" i="13"/>
  <c r="C280" i="13"/>
  <c r="A280" i="13"/>
  <c r="C278" i="13"/>
  <c r="C277" i="13"/>
  <c r="C276" i="13"/>
  <c r="A276" i="13"/>
  <c r="C275" i="13"/>
  <c r="A275" i="13"/>
  <c r="C274" i="13"/>
  <c r="A274" i="13"/>
  <c r="C272" i="13"/>
  <c r="C271" i="13"/>
  <c r="A271" i="13"/>
  <c r="C270" i="13"/>
  <c r="A270" i="13"/>
  <c r="C269" i="13"/>
  <c r="C268" i="13"/>
  <c r="A268" i="13"/>
  <c r="A266" i="13"/>
  <c r="C265" i="13"/>
  <c r="C264" i="13"/>
  <c r="A264" i="13"/>
  <c r="C263" i="13"/>
  <c r="C262" i="13"/>
  <c r="A262" i="13"/>
  <c r="C261" i="13"/>
  <c r="C260" i="13"/>
  <c r="C259" i="13"/>
  <c r="A259" i="13"/>
  <c r="A258" i="13"/>
  <c r="C257" i="13"/>
  <c r="C256" i="13"/>
  <c r="A256" i="13"/>
  <c r="A255" i="13"/>
  <c r="C253" i="13"/>
  <c r="C252" i="13"/>
  <c r="A252" i="13"/>
  <c r="C251" i="13"/>
  <c r="C250" i="13"/>
  <c r="A250" i="13"/>
  <c r="C248" i="13"/>
  <c r="A248" i="13"/>
  <c r="C247" i="13"/>
  <c r="A247" i="13"/>
  <c r="A246" i="13"/>
  <c r="C245" i="13"/>
  <c r="C244" i="13"/>
  <c r="A244" i="13"/>
  <c r="C241" i="13"/>
  <c r="A241" i="13"/>
  <c r="C240" i="13"/>
  <c r="A240" i="13"/>
  <c r="C239" i="13"/>
  <c r="A239" i="13"/>
  <c r="A238" i="13"/>
  <c r="C236" i="13"/>
  <c r="C235" i="13"/>
  <c r="A235" i="13"/>
  <c r="A234" i="13"/>
  <c r="C233" i="13"/>
  <c r="C232" i="13"/>
  <c r="A232" i="13"/>
  <c r="A231" i="13"/>
  <c r="C230" i="13"/>
  <c r="A230" i="13"/>
  <c r="C229" i="13"/>
  <c r="C228" i="13"/>
  <c r="A228" i="13"/>
  <c r="C227" i="13"/>
  <c r="A227" i="13"/>
  <c r="C226" i="13"/>
  <c r="A226" i="13"/>
  <c r="C224" i="13"/>
  <c r="A224" i="13"/>
  <c r="C223" i="13"/>
  <c r="A223" i="13"/>
  <c r="A222" i="13"/>
  <c r="C221" i="13"/>
  <c r="C220" i="13"/>
  <c r="A220" i="13"/>
  <c r="C218" i="13"/>
  <c r="A218" i="13"/>
  <c r="C217" i="13"/>
  <c r="C216" i="13"/>
  <c r="A216" i="13"/>
  <c r="C215" i="13"/>
  <c r="A215" i="13"/>
  <c r="C214" i="13"/>
  <c r="A214" i="13"/>
  <c r="C213" i="13"/>
  <c r="B213" i="13"/>
  <c r="A213" i="13"/>
  <c r="C212" i="13"/>
  <c r="B212" i="13"/>
  <c r="A212" i="13"/>
  <c r="C211" i="13"/>
  <c r="B211" i="13"/>
  <c r="B210" i="13"/>
  <c r="A210" i="13"/>
  <c r="C209" i="13"/>
  <c r="B209" i="13"/>
  <c r="C208" i="13"/>
  <c r="B208" i="13"/>
  <c r="A208" i="13"/>
  <c r="C207" i="13"/>
  <c r="B207" i="13"/>
  <c r="C206" i="13"/>
  <c r="B206" i="13"/>
  <c r="A206" i="13"/>
  <c r="C205" i="13"/>
  <c r="B205" i="13"/>
  <c r="B204" i="13"/>
  <c r="C203" i="13"/>
  <c r="B203" i="13"/>
  <c r="A203" i="13"/>
  <c r="C202" i="13"/>
  <c r="B202" i="13"/>
  <c r="A202" i="13"/>
  <c r="C201" i="13"/>
  <c r="B201" i="13"/>
  <c r="C200" i="13"/>
  <c r="B200" i="13"/>
  <c r="A200" i="13"/>
  <c r="C199" i="13"/>
  <c r="B199" i="13"/>
  <c r="A199" i="13"/>
  <c r="B198" i="13"/>
  <c r="A198" i="13"/>
  <c r="C197" i="13"/>
  <c r="B197" i="13"/>
  <c r="C196" i="13"/>
  <c r="B196" i="13"/>
  <c r="A196" i="13"/>
  <c r="C195" i="13"/>
  <c r="B195" i="13"/>
  <c r="B194" i="13"/>
  <c r="A194" i="13"/>
  <c r="C193" i="13"/>
  <c r="B193" i="13"/>
  <c r="B192" i="13"/>
  <c r="A192" i="13"/>
  <c r="C191" i="13"/>
  <c r="B191" i="13"/>
  <c r="A191" i="13"/>
  <c r="C190" i="13"/>
  <c r="B190" i="13"/>
  <c r="A190" i="13"/>
  <c r="C189" i="13"/>
  <c r="B189" i="13"/>
  <c r="B188" i="13"/>
  <c r="A188" i="13"/>
  <c r="C187" i="13"/>
  <c r="B187" i="13"/>
  <c r="A187" i="13"/>
  <c r="C186" i="13"/>
  <c r="B186" i="13"/>
  <c r="A186" i="13"/>
  <c r="C185" i="13"/>
  <c r="B185" i="13"/>
  <c r="A185" i="13"/>
  <c r="B184" i="13"/>
  <c r="A184" i="13"/>
  <c r="C183" i="13"/>
  <c r="B183" i="13"/>
  <c r="B182" i="13"/>
  <c r="A182" i="13"/>
  <c r="C181" i="13"/>
  <c r="B181" i="13"/>
  <c r="C180" i="13"/>
  <c r="B180" i="13"/>
  <c r="C179" i="13"/>
  <c r="B179" i="13"/>
  <c r="C178" i="13"/>
  <c r="B178" i="13"/>
  <c r="A178" i="13"/>
  <c r="C177" i="13"/>
  <c r="B177" i="13"/>
  <c r="B176" i="13"/>
  <c r="A176" i="13"/>
  <c r="C175" i="13"/>
  <c r="B175" i="13"/>
  <c r="A175" i="13"/>
  <c r="C174" i="13"/>
  <c r="B174" i="13"/>
  <c r="C173" i="13"/>
  <c r="B173" i="13"/>
  <c r="C172" i="13"/>
  <c r="B172" i="13"/>
  <c r="A172" i="13"/>
  <c r="C171" i="13"/>
  <c r="B171" i="13"/>
  <c r="C170" i="13"/>
  <c r="B170" i="13"/>
  <c r="A170" i="13"/>
  <c r="C169" i="13"/>
  <c r="B169" i="13"/>
  <c r="C168" i="13"/>
  <c r="B168" i="13"/>
  <c r="A168" i="13"/>
  <c r="B167" i="13"/>
  <c r="B166" i="13"/>
  <c r="A166" i="13"/>
  <c r="C165" i="13"/>
  <c r="B165" i="13"/>
  <c r="C158" i="13"/>
  <c r="A158" i="13"/>
  <c r="C157" i="13"/>
  <c r="C156" i="13"/>
  <c r="A156" i="13"/>
  <c r="A154" i="13"/>
  <c r="C153" i="13"/>
  <c r="A153" i="13"/>
  <c r="C152" i="13"/>
  <c r="A152" i="13"/>
  <c r="C151" i="13"/>
  <c r="A151" i="13"/>
  <c r="A150" i="13"/>
  <c r="C148" i="13"/>
  <c r="C147" i="13"/>
  <c r="A147" i="13"/>
  <c r="A146" i="13"/>
  <c r="C145" i="13"/>
  <c r="C144" i="13"/>
  <c r="A144" i="13"/>
  <c r="C142" i="13"/>
  <c r="A142" i="13"/>
  <c r="C141" i="13"/>
  <c r="C140" i="13"/>
  <c r="A140" i="13"/>
  <c r="C139" i="13"/>
  <c r="A138" i="13"/>
  <c r="C137" i="13"/>
  <c r="C136" i="13"/>
  <c r="C135" i="13"/>
  <c r="A135" i="13"/>
  <c r="C134" i="13"/>
  <c r="A134" i="13"/>
  <c r="C133" i="13"/>
  <c r="A133" i="13"/>
  <c r="C132" i="13"/>
  <c r="A132" i="13"/>
  <c r="A131" i="13"/>
  <c r="C130" i="13"/>
  <c r="C129" i="13"/>
  <c r="C128" i="13"/>
  <c r="A128" i="13"/>
  <c r="C127" i="13"/>
  <c r="A126" i="13"/>
  <c r="C124" i="13"/>
  <c r="A124" i="13"/>
  <c r="C123" i="13"/>
  <c r="A123" i="13"/>
  <c r="C122" i="13"/>
  <c r="A122" i="13"/>
  <c r="C121" i="13"/>
  <c r="C120" i="13"/>
  <c r="A120" i="13"/>
  <c r="C118" i="13"/>
  <c r="C117" i="13"/>
  <c r="C116" i="13"/>
  <c r="A116" i="13"/>
  <c r="C115" i="13"/>
  <c r="A115" i="13"/>
  <c r="C114" i="13"/>
  <c r="A114" i="13"/>
  <c r="C112" i="13"/>
  <c r="C111" i="13"/>
  <c r="A111" i="13"/>
  <c r="C110" i="13"/>
  <c r="A110" i="13"/>
  <c r="C109" i="13"/>
  <c r="C108" i="13"/>
  <c r="A108" i="13"/>
  <c r="A107" i="13"/>
  <c r="A106" i="13"/>
  <c r="C105" i="13"/>
  <c r="C104" i="13"/>
  <c r="A104" i="13"/>
  <c r="C103" i="13"/>
  <c r="A102" i="13"/>
  <c r="C100" i="13"/>
  <c r="C99" i="13"/>
  <c r="A99" i="13"/>
  <c r="A98" i="13"/>
  <c r="C97" i="13"/>
  <c r="C96" i="13"/>
  <c r="A96" i="13"/>
  <c r="C94" i="13"/>
  <c r="C93" i="13"/>
  <c r="C92" i="13"/>
  <c r="A92" i="13"/>
  <c r="C91" i="13"/>
  <c r="A90" i="13"/>
  <c r="C88" i="13"/>
  <c r="A88" i="13"/>
  <c r="C87" i="13"/>
  <c r="A87" i="13"/>
  <c r="C86" i="13"/>
  <c r="A86" i="13"/>
  <c r="C85" i="13"/>
  <c r="C84" i="13"/>
  <c r="A84" i="13"/>
  <c r="C83" i="13"/>
  <c r="C81" i="13"/>
  <c r="C80" i="13"/>
  <c r="A80" i="13"/>
  <c r="C79" i="13"/>
  <c r="A79" i="13"/>
  <c r="A78" i="13"/>
  <c r="A77" i="13"/>
  <c r="C76" i="13"/>
  <c r="C75" i="13"/>
  <c r="A75" i="13"/>
  <c r="C74" i="13"/>
  <c r="A74" i="13"/>
  <c r="C73" i="13"/>
  <c r="C72" i="13"/>
  <c r="A72" i="13"/>
  <c r="C70" i="13"/>
  <c r="A70" i="13"/>
  <c r="C69" i="13"/>
  <c r="C68" i="13"/>
  <c r="A68" i="13"/>
  <c r="C67" i="13"/>
  <c r="A67" i="13"/>
  <c r="C66" i="13"/>
  <c r="A66" i="13"/>
  <c r="C64" i="13"/>
  <c r="A64" i="13"/>
  <c r="C63" i="13"/>
  <c r="A63" i="13"/>
  <c r="A62" i="13"/>
  <c r="C61" i="13"/>
  <c r="A61" i="13"/>
  <c r="C60" i="13"/>
  <c r="A60" i="13"/>
  <c r="C58" i="13"/>
  <c r="A58" i="13"/>
  <c r="C57" i="13"/>
  <c r="C56" i="13"/>
  <c r="A56" i="13"/>
  <c r="C55" i="13"/>
  <c r="A55" i="13"/>
  <c r="C54" i="13"/>
  <c r="A54" i="13"/>
  <c r="C53" i="13"/>
  <c r="B53" i="13"/>
  <c r="C52" i="13"/>
  <c r="B52" i="13"/>
  <c r="A52" i="13"/>
  <c r="C51" i="13"/>
  <c r="B51" i="13"/>
  <c r="C50" i="13"/>
  <c r="B50" i="13"/>
  <c r="A50" i="13"/>
  <c r="C49" i="13"/>
  <c r="B49" i="13"/>
  <c r="C48" i="13"/>
  <c r="B48" i="13"/>
  <c r="A48" i="13"/>
  <c r="C47" i="13"/>
  <c r="B47" i="13"/>
  <c r="C46" i="13"/>
  <c r="B46" i="13"/>
  <c r="A46" i="13"/>
  <c r="C45" i="13"/>
  <c r="B45" i="13"/>
  <c r="C44" i="13"/>
  <c r="B44" i="13"/>
  <c r="C43" i="13"/>
  <c r="B43" i="13"/>
  <c r="A43" i="13"/>
  <c r="C42" i="13"/>
  <c r="B42" i="13"/>
  <c r="A42" i="13"/>
  <c r="C41" i="13"/>
  <c r="B41" i="13"/>
  <c r="C40" i="13"/>
  <c r="B40" i="13"/>
  <c r="A40" i="13"/>
  <c r="C39" i="13"/>
  <c r="B39" i="13"/>
  <c r="A39" i="13"/>
  <c r="C38" i="13"/>
  <c r="B38" i="13"/>
  <c r="A38" i="13"/>
  <c r="C37" i="13"/>
  <c r="B37" i="13"/>
  <c r="A37" i="13"/>
  <c r="C36" i="13"/>
  <c r="B36" i="13"/>
  <c r="A36" i="13"/>
  <c r="C35" i="13"/>
  <c r="B35" i="13"/>
  <c r="C34" i="13"/>
  <c r="B34" i="13"/>
  <c r="A34" i="13"/>
  <c r="C33" i="13"/>
  <c r="B33" i="13"/>
  <c r="C32" i="13"/>
  <c r="B32" i="13"/>
  <c r="A32" i="13"/>
  <c r="C31" i="13"/>
  <c r="B31" i="13"/>
  <c r="A31" i="13"/>
  <c r="C30" i="13"/>
  <c r="B30" i="13"/>
  <c r="A30" i="13"/>
  <c r="C29" i="13"/>
  <c r="B29" i="13"/>
  <c r="C28" i="13"/>
  <c r="B28" i="13"/>
  <c r="A28" i="13"/>
  <c r="C27" i="13"/>
  <c r="B27" i="13"/>
  <c r="A27" i="13"/>
  <c r="C26" i="13"/>
  <c r="B26" i="13"/>
  <c r="A26" i="13"/>
  <c r="C25" i="13"/>
  <c r="B25" i="13"/>
  <c r="C24" i="13"/>
  <c r="B24" i="13"/>
  <c r="A24" i="13"/>
  <c r="C23" i="13"/>
  <c r="B23" i="13"/>
  <c r="C22" i="13"/>
  <c r="B22" i="13"/>
  <c r="A22" i="13"/>
  <c r="C21" i="13"/>
  <c r="B21" i="13"/>
  <c r="A21" i="13"/>
  <c r="C20" i="13"/>
  <c r="B20" i="13"/>
  <c r="C19" i="13"/>
  <c r="B19" i="13"/>
  <c r="C18" i="13"/>
  <c r="B18" i="13"/>
  <c r="A18" i="13"/>
  <c r="C17" i="13"/>
  <c r="B17" i="13"/>
  <c r="C16" i="13"/>
  <c r="B16" i="13"/>
  <c r="A16" i="13"/>
  <c r="C15" i="13"/>
  <c r="B15" i="13"/>
  <c r="A15" i="13"/>
  <c r="C14" i="13"/>
  <c r="B14" i="13"/>
  <c r="C13" i="13"/>
  <c r="B13" i="13"/>
  <c r="C12" i="13"/>
  <c r="B12" i="13"/>
  <c r="A12" i="13"/>
  <c r="C11" i="13"/>
  <c r="B11" i="13"/>
  <c r="C10" i="13"/>
  <c r="B10" i="13"/>
  <c r="A10" i="13"/>
  <c r="C9" i="13"/>
  <c r="B9" i="13"/>
  <c r="C8" i="13"/>
  <c r="B8" i="13"/>
  <c r="C7" i="13"/>
  <c r="B7" i="13"/>
  <c r="C6" i="13"/>
  <c r="B6" i="13"/>
  <c r="A6" i="13"/>
  <c r="C5" i="13"/>
  <c r="B5" i="13"/>
  <c r="C158" i="14"/>
  <c r="A158" i="14"/>
  <c r="C157" i="14"/>
  <c r="A157" i="14"/>
  <c r="C156" i="14"/>
  <c r="A156" i="14"/>
  <c r="C155" i="14"/>
  <c r="A155" i="14"/>
  <c r="C154" i="14"/>
  <c r="A154" i="14"/>
  <c r="C153" i="14"/>
  <c r="A153" i="14"/>
  <c r="C152" i="14"/>
  <c r="A152" i="14"/>
  <c r="C151" i="14"/>
  <c r="A151" i="14"/>
  <c r="C150" i="14"/>
  <c r="A150" i="14"/>
  <c r="C149" i="14"/>
  <c r="A149" i="14"/>
  <c r="C148" i="14"/>
  <c r="A148" i="14"/>
  <c r="C147" i="14"/>
  <c r="A147" i="14"/>
  <c r="C146" i="14"/>
  <c r="A146" i="14"/>
  <c r="C145" i="14"/>
  <c r="A145" i="14"/>
  <c r="C144" i="14"/>
  <c r="A144" i="14"/>
  <c r="C143" i="14"/>
  <c r="A143" i="14"/>
  <c r="C142" i="14"/>
  <c r="A142" i="14"/>
  <c r="C141" i="14"/>
  <c r="A141" i="14"/>
  <c r="C140" i="14"/>
  <c r="A140" i="14"/>
  <c r="C139" i="14"/>
  <c r="A139" i="14"/>
  <c r="C138" i="14"/>
  <c r="A138" i="14"/>
  <c r="C137" i="14"/>
  <c r="A137" i="14"/>
  <c r="C136" i="14"/>
  <c r="A136" i="14"/>
  <c r="C135" i="14"/>
  <c r="A135" i="14"/>
  <c r="C134" i="14"/>
  <c r="A134" i="14"/>
  <c r="C133" i="14"/>
  <c r="A133" i="14"/>
  <c r="C132" i="14"/>
  <c r="A132" i="14"/>
  <c r="C131" i="14"/>
  <c r="A131" i="14"/>
  <c r="C130" i="14"/>
  <c r="A130" i="14"/>
  <c r="C129" i="14"/>
  <c r="A129" i="14"/>
  <c r="C128" i="14"/>
  <c r="A128" i="14"/>
  <c r="C127" i="14"/>
  <c r="A127" i="14"/>
  <c r="C126" i="14"/>
  <c r="A126" i="14"/>
  <c r="C125" i="14"/>
  <c r="A125" i="14"/>
  <c r="C124" i="14"/>
  <c r="A124" i="14"/>
  <c r="C123" i="14"/>
  <c r="A123" i="14"/>
  <c r="C122" i="14"/>
  <c r="A122" i="14"/>
  <c r="C121" i="14"/>
  <c r="A121" i="14"/>
  <c r="C120" i="14"/>
  <c r="A120" i="14"/>
  <c r="C119" i="14"/>
  <c r="A119" i="14"/>
  <c r="C118" i="14"/>
  <c r="A118" i="14"/>
  <c r="C117" i="14"/>
  <c r="A117" i="14"/>
  <c r="C116" i="14"/>
  <c r="A116" i="14"/>
  <c r="C115" i="14"/>
  <c r="A115" i="14"/>
  <c r="C114" i="14"/>
  <c r="A114" i="14"/>
  <c r="C113" i="14"/>
  <c r="A113" i="14"/>
  <c r="C112" i="14"/>
  <c r="A112" i="14"/>
  <c r="C111" i="14"/>
  <c r="A111" i="14"/>
  <c r="C110" i="14"/>
  <c r="A110" i="14"/>
  <c r="C109" i="14"/>
  <c r="A109" i="14"/>
  <c r="C108" i="14"/>
  <c r="A108" i="14"/>
  <c r="C107" i="14"/>
  <c r="A107" i="14"/>
  <c r="C106" i="14"/>
  <c r="A106" i="14"/>
  <c r="C105" i="14"/>
  <c r="A105" i="14"/>
  <c r="C104" i="14"/>
  <c r="A104" i="14"/>
  <c r="C103" i="14"/>
  <c r="A103" i="14"/>
  <c r="C102" i="14"/>
  <c r="A102" i="14"/>
  <c r="C101" i="14"/>
  <c r="A101" i="14"/>
  <c r="C100" i="14"/>
  <c r="A100" i="14"/>
  <c r="C99" i="14"/>
  <c r="A99" i="14"/>
  <c r="C98" i="14"/>
  <c r="A98" i="14"/>
  <c r="C97" i="14"/>
  <c r="A97" i="14"/>
  <c r="C96" i="14"/>
  <c r="A96" i="14"/>
  <c r="C95" i="14"/>
  <c r="A95" i="14"/>
  <c r="C94" i="14"/>
  <c r="A94" i="14"/>
  <c r="C93" i="14"/>
  <c r="A93" i="14"/>
  <c r="C92" i="14"/>
  <c r="A92" i="14"/>
  <c r="C91" i="14"/>
  <c r="A91" i="14"/>
  <c r="C90" i="14"/>
  <c r="A90" i="14"/>
  <c r="C89" i="14"/>
  <c r="A89" i="14"/>
  <c r="C88" i="14"/>
  <c r="A88" i="14"/>
  <c r="C87" i="14"/>
  <c r="A87" i="14"/>
  <c r="C86" i="14"/>
  <c r="A86" i="14"/>
  <c r="C85" i="14"/>
  <c r="A85" i="14"/>
  <c r="C84" i="14"/>
  <c r="A84" i="14"/>
  <c r="C83" i="14"/>
  <c r="A83" i="14"/>
  <c r="C82" i="14"/>
  <c r="A82" i="14"/>
  <c r="C81" i="14"/>
  <c r="A81" i="14"/>
  <c r="C80" i="14"/>
  <c r="A80" i="14"/>
  <c r="C79" i="14"/>
  <c r="A79" i="14"/>
  <c r="C78" i="14"/>
  <c r="A78" i="14"/>
  <c r="C77" i="14"/>
  <c r="A77" i="14"/>
  <c r="C76" i="14"/>
  <c r="A76" i="14"/>
  <c r="C75" i="14"/>
  <c r="A75" i="14"/>
  <c r="C74" i="14"/>
  <c r="A74" i="14"/>
  <c r="C73" i="14"/>
  <c r="A73" i="14"/>
  <c r="C72" i="14"/>
  <c r="A72" i="14"/>
  <c r="C71" i="14"/>
  <c r="A71" i="14"/>
  <c r="C70" i="14"/>
  <c r="A70" i="14"/>
  <c r="C69" i="14"/>
  <c r="C68" i="14"/>
  <c r="A68" i="14"/>
  <c r="C67" i="14"/>
  <c r="A67" i="14"/>
  <c r="C66" i="14"/>
  <c r="A66" i="14"/>
  <c r="C65" i="14"/>
  <c r="C64" i="14"/>
  <c r="A64" i="14"/>
  <c r="C63" i="14"/>
  <c r="A63" i="14"/>
  <c r="C62" i="14"/>
  <c r="A62" i="14"/>
  <c r="C61" i="14"/>
  <c r="A61" i="14"/>
  <c r="C60" i="14"/>
  <c r="A60" i="14"/>
  <c r="C59" i="14"/>
  <c r="A59" i="14"/>
  <c r="C58" i="14"/>
  <c r="A58" i="14"/>
  <c r="C57" i="14"/>
  <c r="A57" i="14"/>
  <c r="C56" i="14"/>
  <c r="A56" i="14"/>
  <c r="C55" i="14"/>
  <c r="A55" i="14"/>
  <c r="C54" i="14"/>
  <c r="A54" i="14"/>
  <c r="C53" i="14"/>
  <c r="B53" i="14"/>
  <c r="A53" i="14"/>
  <c r="C52" i="14"/>
  <c r="B52" i="14"/>
  <c r="A52" i="14"/>
  <c r="C51" i="14"/>
  <c r="B51" i="14"/>
  <c r="C50" i="14"/>
  <c r="B50" i="14"/>
  <c r="A50" i="14"/>
  <c r="C49" i="14"/>
  <c r="B49" i="14"/>
  <c r="A49" i="14"/>
  <c r="C48" i="14"/>
  <c r="B48" i="14"/>
  <c r="A48" i="14"/>
  <c r="C47" i="14"/>
  <c r="B47" i="14"/>
  <c r="C46" i="14"/>
  <c r="B46" i="14"/>
  <c r="A46" i="14"/>
  <c r="C45" i="14"/>
  <c r="B45" i="14"/>
  <c r="A45" i="14"/>
  <c r="C44" i="14"/>
  <c r="B44" i="14"/>
  <c r="A44" i="14"/>
  <c r="C43" i="14"/>
  <c r="B43" i="14"/>
  <c r="A43" i="14"/>
  <c r="C42" i="14"/>
  <c r="B42" i="14"/>
  <c r="A42" i="14"/>
  <c r="C41" i="14"/>
  <c r="B41" i="14"/>
  <c r="A41" i="14"/>
  <c r="C40" i="14"/>
  <c r="B40" i="14"/>
  <c r="A40" i="14"/>
  <c r="C39" i="14"/>
  <c r="B39" i="14"/>
  <c r="A39" i="14"/>
  <c r="C38" i="14"/>
  <c r="B38" i="14"/>
  <c r="A38" i="14"/>
  <c r="C37" i="14"/>
  <c r="B37" i="14"/>
  <c r="A37" i="14"/>
  <c r="C36" i="14"/>
  <c r="B36" i="14"/>
  <c r="A36" i="14"/>
  <c r="C35" i="14"/>
  <c r="B35" i="14"/>
  <c r="A35" i="14"/>
  <c r="C34" i="14"/>
  <c r="B34" i="14"/>
  <c r="A34" i="14"/>
  <c r="C33" i="14"/>
  <c r="B33" i="14"/>
  <c r="C32" i="14"/>
  <c r="B32" i="14"/>
  <c r="A32" i="14"/>
  <c r="C31" i="14"/>
  <c r="B31" i="14"/>
  <c r="A31" i="14"/>
  <c r="C30" i="14"/>
  <c r="B30" i="14"/>
  <c r="A30" i="14"/>
  <c r="C29" i="14"/>
  <c r="B29" i="14"/>
  <c r="C28" i="14"/>
  <c r="B28" i="14"/>
  <c r="A28" i="14"/>
  <c r="C27" i="14"/>
  <c r="B27" i="14"/>
  <c r="A27" i="14"/>
  <c r="C26" i="14"/>
  <c r="B26" i="14"/>
  <c r="A26" i="14"/>
  <c r="C25" i="14"/>
  <c r="B25" i="14"/>
  <c r="A25" i="14"/>
  <c r="C24" i="14"/>
  <c r="B24" i="14"/>
  <c r="A24" i="14"/>
  <c r="C23" i="14"/>
  <c r="B23" i="14"/>
  <c r="A23" i="14"/>
  <c r="C22" i="14"/>
  <c r="B22" i="14"/>
  <c r="A22" i="14"/>
  <c r="C21" i="14"/>
  <c r="B21" i="14"/>
  <c r="A21" i="14"/>
  <c r="C20" i="14"/>
  <c r="B20" i="14"/>
  <c r="C19" i="14"/>
  <c r="B19" i="14"/>
  <c r="C18" i="14"/>
  <c r="B18" i="14"/>
  <c r="A18" i="14"/>
  <c r="C17" i="14"/>
  <c r="B17" i="14"/>
  <c r="A17" i="14"/>
  <c r="C16" i="14"/>
  <c r="B16" i="14"/>
  <c r="A16" i="14"/>
  <c r="C15" i="14"/>
  <c r="B15" i="14"/>
  <c r="A15" i="14"/>
  <c r="C14" i="14"/>
  <c r="B14" i="14"/>
  <c r="C13" i="14"/>
  <c r="B13" i="14"/>
  <c r="C12" i="14"/>
  <c r="B12" i="14"/>
  <c r="A12" i="14"/>
  <c r="C11" i="14"/>
  <c r="B11" i="14"/>
  <c r="A11" i="14"/>
  <c r="C10" i="14"/>
  <c r="B10" i="14"/>
  <c r="A10" i="14"/>
  <c r="C9" i="14"/>
  <c r="B9" i="14"/>
  <c r="A9" i="14"/>
  <c r="C8" i="14"/>
  <c r="B8" i="14"/>
  <c r="C7" i="14"/>
  <c r="B7" i="14"/>
  <c r="C6" i="14"/>
  <c r="B6" i="14"/>
  <c r="A6" i="14"/>
  <c r="C5" i="14"/>
  <c r="B5" i="14"/>
  <c r="A5" i="14"/>
  <c r="C158" i="15"/>
  <c r="A158" i="15"/>
  <c r="C157" i="15"/>
  <c r="A157" i="15"/>
  <c r="C156" i="15"/>
  <c r="A156" i="15"/>
  <c r="C155" i="15"/>
  <c r="A155" i="15"/>
  <c r="C154" i="15"/>
  <c r="A154" i="15"/>
  <c r="C153" i="15"/>
  <c r="A153" i="15"/>
  <c r="C152" i="15"/>
  <c r="A152" i="15"/>
  <c r="C151" i="15"/>
  <c r="A151" i="15"/>
  <c r="C150" i="15"/>
  <c r="A150" i="15"/>
  <c r="C149" i="15"/>
  <c r="A149" i="15"/>
  <c r="C148" i="15"/>
  <c r="C147" i="15"/>
  <c r="A147" i="15"/>
  <c r="C146" i="15"/>
  <c r="A146" i="15"/>
  <c r="C145" i="15"/>
  <c r="A145" i="15"/>
  <c r="C144" i="15"/>
  <c r="A144" i="15"/>
  <c r="C143" i="15"/>
  <c r="A143" i="15"/>
  <c r="C142" i="15"/>
  <c r="A142" i="15"/>
  <c r="C141" i="15"/>
  <c r="A141" i="15"/>
  <c r="C140" i="15"/>
  <c r="A140" i="15"/>
  <c r="C139" i="15"/>
  <c r="A139" i="15"/>
  <c r="C138" i="15"/>
  <c r="A138" i="15"/>
  <c r="C137" i="15"/>
  <c r="A137" i="15"/>
  <c r="C136" i="15"/>
  <c r="C135" i="15"/>
  <c r="A135" i="15"/>
  <c r="C134" i="15"/>
  <c r="A134" i="15"/>
  <c r="C133" i="15"/>
  <c r="A133" i="15"/>
  <c r="C132" i="15"/>
  <c r="A132" i="15"/>
  <c r="C131" i="15"/>
  <c r="A131" i="15"/>
  <c r="C130" i="15"/>
  <c r="C129" i="15"/>
  <c r="A129" i="15"/>
  <c r="C128" i="15"/>
  <c r="A128" i="15"/>
  <c r="C127" i="15"/>
  <c r="A127" i="15"/>
  <c r="C126" i="15"/>
  <c r="A126" i="15"/>
  <c r="C125" i="15"/>
  <c r="A125" i="15"/>
  <c r="C124" i="15"/>
  <c r="A124" i="15"/>
  <c r="C123" i="15"/>
  <c r="A123" i="15"/>
  <c r="C122" i="15"/>
  <c r="A122" i="15"/>
  <c r="C121" i="15"/>
  <c r="A121" i="15"/>
  <c r="C120" i="15"/>
  <c r="A120" i="15"/>
  <c r="C119" i="15"/>
  <c r="A119" i="15"/>
  <c r="C118" i="15"/>
  <c r="C117" i="15"/>
  <c r="A117" i="15"/>
  <c r="C116" i="15"/>
  <c r="A116" i="15"/>
  <c r="C115" i="15"/>
  <c r="A115" i="15"/>
  <c r="C114" i="15"/>
  <c r="A114" i="15"/>
  <c r="C113" i="15"/>
  <c r="A113" i="15"/>
  <c r="C112" i="15"/>
  <c r="C111" i="15"/>
  <c r="A111" i="15"/>
  <c r="C110" i="15"/>
  <c r="A110" i="15"/>
  <c r="C109" i="15"/>
  <c r="A109" i="15"/>
  <c r="C108" i="15"/>
  <c r="A108" i="15"/>
  <c r="C107" i="15"/>
  <c r="A107" i="15"/>
  <c r="C106" i="15"/>
  <c r="A106" i="15"/>
  <c r="C105" i="15"/>
  <c r="A105" i="15"/>
  <c r="C104" i="15"/>
  <c r="A104" i="15"/>
  <c r="C103" i="15"/>
  <c r="A103" i="15"/>
  <c r="C102" i="15"/>
  <c r="A102" i="15"/>
  <c r="C101" i="15"/>
  <c r="A101" i="15"/>
  <c r="C100" i="15"/>
  <c r="C99" i="15"/>
  <c r="A99" i="15"/>
  <c r="C98" i="15"/>
  <c r="A98" i="15"/>
  <c r="C97" i="15"/>
  <c r="A97" i="15"/>
  <c r="C96" i="15"/>
  <c r="A96" i="15"/>
  <c r="C95" i="15"/>
  <c r="A95" i="15"/>
  <c r="C94" i="15"/>
  <c r="C93" i="15"/>
  <c r="A93" i="15"/>
  <c r="C92" i="15"/>
  <c r="A92" i="15"/>
  <c r="C91" i="15"/>
  <c r="A91" i="15"/>
  <c r="C90" i="15"/>
  <c r="A90" i="15"/>
  <c r="C89" i="15"/>
  <c r="A89" i="15"/>
  <c r="C88" i="15"/>
  <c r="A88" i="15"/>
  <c r="C87" i="15"/>
  <c r="A87" i="15"/>
  <c r="C86" i="15"/>
  <c r="A86" i="15"/>
  <c r="C85" i="15"/>
  <c r="A85" i="15"/>
  <c r="C84" i="15"/>
  <c r="A84" i="15"/>
  <c r="C83" i="15"/>
  <c r="A83" i="15"/>
  <c r="C82" i="15"/>
  <c r="C81" i="15"/>
  <c r="A81" i="15"/>
  <c r="C80" i="15"/>
  <c r="A80" i="15"/>
  <c r="C79" i="15"/>
  <c r="A79" i="15"/>
  <c r="C78" i="15"/>
  <c r="A78" i="15"/>
  <c r="C77" i="15"/>
  <c r="A77" i="15"/>
  <c r="C76" i="15"/>
  <c r="C75" i="15"/>
  <c r="A75" i="15"/>
  <c r="C74" i="15"/>
  <c r="A74" i="15"/>
  <c r="C73" i="15"/>
  <c r="A73" i="15"/>
  <c r="C72" i="15"/>
  <c r="A72" i="15"/>
  <c r="C71" i="15"/>
  <c r="A71" i="15"/>
  <c r="C70" i="15"/>
  <c r="A70" i="15"/>
  <c r="C69" i="15"/>
  <c r="C68" i="15"/>
  <c r="A68" i="15"/>
  <c r="C67" i="15"/>
  <c r="A67" i="15"/>
  <c r="C66" i="15"/>
  <c r="A66" i="15"/>
  <c r="C65" i="15"/>
  <c r="C64" i="15"/>
  <c r="A64" i="15"/>
  <c r="C63" i="15"/>
  <c r="A63" i="15"/>
  <c r="C62" i="15"/>
  <c r="A62" i="15"/>
  <c r="C61" i="15"/>
  <c r="A61" i="15"/>
  <c r="C60" i="15"/>
  <c r="A60" i="15"/>
  <c r="C59" i="15"/>
  <c r="A59" i="15"/>
  <c r="C58" i="15"/>
  <c r="A58" i="15"/>
  <c r="C57" i="15"/>
  <c r="A57" i="15"/>
  <c r="C56" i="15"/>
  <c r="A56" i="15"/>
  <c r="C55" i="15"/>
  <c r="A55" i="15"/>
  <c r="C54" i="15"/>
  <c r="A54" i="15"/>
  <c r="C53" i="15"/>
  <c r="B53" i="15"/>
  <c r="A53" i="15"/>
  <c r="C52" i="15"/>
  <c r="B52" i="15"/>
  <c r="A52" i="15"/>
  <c r="C51" i="15"/>
  <c r="B51" i="15"/>
  <c r="C50" i="15"/>
  <c r="B50" i="15"/>
  <c r="A50" i="15"/>
  <c r="C49" i="15"/>
  <c r="B49" i="15"/>
  <c r="A49" i="15"/>
  <c r="C48" i="15"/>
  <c r="B48" i="15"/>
  <c r="A48" i="15"/>
  <c r="C47" i="15"/>
  <c r="B47" i="15"/>
  <c r="C46" i="15"/>
  <c r="B46" i="15"/>
  <c r="A46" i="15"/>
  <c r="C45" i="15"/>
  <c r="B45" i="15"/>
  <c r="A45" i="15"/>
  <c r="C44" i="15"/>
  <c r="B44" i="15"/>
  <c r="C43" i="15"/>
  <c r="B43" i="15"/>
  <c r="A43" i="15"/>
  <c r="C42" i="15"/>
  <c r="B42" i="15"/>
  <c r="A42" i="15"/>
  <c r="C41" i="15"/>
  <c r="B41" i="15"/>
  <c r="A41" i="15"/>
  <c r="C40" i="15"/>
  <c r="B40" i="15"/>
  <c r="A40" i="15"/>
  <c r="C39" i="15"/>
  <c r="B39" i="15"/>
  <c r="A39" i="15"/>
  <c r="C38" i="15"/>
  <c r="B38" i="15"/>
  <c r="A38" i="15"/>
  <c r="C37" i="15"/>
  <c r="B37" i="15"/>
  <c r="A37" i="15"/>
  <c r="C36" i="15"/>
  <c r="B36" i="15"/>
  <c r="A36" i="15"/>
  <c r="C35" i="15"/>
  <c r="B35" i="15"/>
  <c r="A35" i="15"/>
  <c r="C34" i="15"/>
  <c r="B34" i="15"/>
  <c r="A34" i="15"/>
  <c r="C33" i="15"/>
  <c r="B33" i="15"/>
  <c r="C32" i="15"/>
  <c r="B32" i="15"/>
  <c r="A32" i="15"/>
  <c r="C31" i="15"/>
  <c r="B31" i="15"/>
  <c r="A31" i="15"/>
  <c r="C30" i="15"/>
  <c r="B30" i="15"/>
  <c r="A30" i="15"/>
  <c r="C29" i="15"/>
  <c r="B29" i="15"/>
  <c r="C28" i="15"/>
  <c r="B28" i="15"/>
  <c r="A28" i="15"/>
  <c r="C27" i="15"/>
  <c r="B27" i="15"/>
  <c r="A27" i="15"/>
  <c r="C26" i="15"/>
  <c r="B26" i="15"/>
  <c r="A26" i="15"/>
  <c r="C25" i="15"/>
  <c r="B25" i="15"/>
  <c r="A25" i="15"/>
  <c r="C24" i="15"/>
  <c r="B24" i="15"/>
  <c r="A24" i="15"/>
  <c r="C23" i="15"/>
  <c r="B23" i="15"/>
  <c r="A23" i="15"/>
  <c r="C22" i="15"/>
  <c r="B22" i="15"/>
  <c r="A22" i="15"/>
  <c r="C21" i="15"/>
  <c r="B21" i="15"/>
  <c r="A21" i="15"/>
  <c r="C20" i="15"/>
  <c r="B20" i="15"/>
  <c r="C19" i="15"/>
  <c r="B19" i="15"/>
  <c r="C18" i="15"/>
  <c r="B18" i="15"/>
  <c r="A18" i="15"/>
  <c r="C17" i="15"/>
  <c r="B17" i="15"/>
  <c r="A17" i="15"/>
  <c r="C16" i="15"/>
  <c r="B16" i="15"/>
  <c r="A16" i="15"/>
  <c r="C15" i="15"/>
  <c r="B15" i="15"/>
  <c r="A15" i="15"/>
  <c r="C14" i="15"/>
  <c r="B14" i="15"/>
  <c r="C13" i="15"/>
  <c r="B13" i="15"/>
  <c r="C12" i="15"/>
  <c r="B12" i="15"/>
  <c r="A12" i="15"/>
  <c r="C11" i="15"/>
  <c r="B11" i="15"/>
  <c r="A11" i="15"/>
  <c r="C10" i="15"/>
  <c r="B10" i="15"/>
  <c r="A10" i="15"/>
  <c r="C9" i="15"/>
  <c r="B9" i="15"/>
  <c r="A9" i="15"/>
  <c r="C8" i="15"/>
  <c r="B8" i="15"/>
  <c r="A8" i="15"/>
  <c r="C7" i="15"/>
  <c r="B7" i="15"/>
  <c r="C6" i="15"/>
  <c r="B6" i="15"/>
  <c r="A6" i="15"/>
  <c r="C5" i="15"/>
  <c r="B5" i="15"/>
  <c r="A5" i="15"/>
  <c r="C158" i="16"/>
  <c r="A158" i="16"/>
  <c r="C157" i="16"/>
  <c r="A157" i="16"/>
  <c r="C156" i="16"/>
  <c r="A156" i="16"/>
  <c r="C155" i="16"/>
  <c r="A155" i="16"/>
  <c r="C154" i="16"/>
  <c r="A154" i="16"/>
  <c r="C153" i="16"/>
  <c r="A153" i="16"/>
  <c r="C152" i="16"/>
  <c r="A152" i="16"/>
  <c r="C151" i="16"/>
  <c r="A151" i="16"/>
  <c r="C150" i="16"/>
  <c r="A150" i="16"/>
  <c r="C149" i="16"/>
  <c r="A149" i="16"/>
  <c r="C148" i="16"/>
  <c r="C147" i="16"/>
  <c r="A147" i="16"/>
  <c r="C146" i="16"/>
  <c r="A146" i="16"/>
  <c r="C145" i="16"/>
  <c r="A145" i="16"/>
  <c r="C144" i="16"/>
  <c r="A144" i="16"/>
  <c r="C143" i="16"/>
  <c r="A143" i="16"/>
  <c r="C142" i="16"/>
  <c r="A142" i="16"/>
  <c r="C141" i="16"/>
  <c r="A141" i="16"/>
  <c r="C140" i="16"/>
  <c r="A140" i="16"/>
  <c r="C139" i="16"/>
  <c r="A139" i="16"/>
  <c r="C138" i="16"/>
  <c r="A138" i="16"/>
  <c r="C137" i="16"/>
  <c r="A137" i="16"/>
  <c r="C136" i="16"/>
  <c r="C135" i="16"/>
  <c r="A135" i="16"/>
  <c r="C134" i="16"/>
  <c r="A134" i="16"/>
  <c r="C133" i="16"/>
  <c r="A133" i="16"/>
  <c r="C132" i="16"/>
  <c r="A132" i="16"/>
  <c r="C131" i="16"/>
  <c r="A131" i="16"/>
  <c r="C130" i="16"/>
  <c r="C129" i="16"/>
  <c r="A129" i="16"/>
  <c r="C128" i="16"/>
  <c r="A128" i="16"/>
  <c r="C127" i="16"/>
  <c r="A127" i="16"/>
  <c r="C126" i="16"/>
  <c r="A126" i="16"/>
  <c r="C125" i="16"/>
  <c r="A125" i="16"/>
  <c r="C124" i="16"/>
  <c r="A124" i="16"/>
  <c r="C123" i="16"/>
  <c r="A123" i="16"/>
  <c r="C122" i="16"/>
  <c r="A122" i="16"/>
  <c r="C121" i="16"/>
  <c r="A121" i="16"/>
  <c r="C120" i="16"/>
  <c r="A120" i="16"/>
  <c r="C119" i="16"/>
  <c r="A119" i="16"/>
  <c r="C118" i="16"/>
  <c r="C117" i="16"/>
  <c r="A117" i="16"/>
  <c r="C116" i="16"/>
  <c r="A116" i="16"/>
  <c r="C115" i="16"/>
  <c r="A115" i="16"/>
  <c r="C114" i="16"/>
  <c r="A114" i="16"/>
  <c r="C113" i="16"/>
  <c r="A113" i="16"/>
  <c r="C112" i="16"/>
  <c r="C111" i="16"/>
  <c r="A111" i="16"/>
  <c r="C110" i="16"/>
  <c r="A110" i="16"/>
  <c r="C109" i="16"/>
  <c r="A109" i="16"/>
  <c r="C108" i="16"/>
  <c r="A108" i="16"/>
  <c r="C107" i="16"/>
  <c r="A107" i="16"/>
  <c r="C106" i="16"/>
  <c r="A106" i="16"/>
  <c r="C105" i="16"/>
  <c r="A105" i="16"/>
  <c r="C104" i="16"/>
  <c r="A104" i="16"/>
  <c r="C103" i="16"/>
  <c r="A103" i="16"/>
  <c r="C102" i="16"/>
  <c r="A102" i="16"/>
  <c r="C101" i="16"/>
  <c r="A101" i="16"/>
  <c r="C100" i="16"/>
  <c r="C99" i="16"/>
  <c r="A99" i="16"/>
  <c r="C98" i="16"/>
  <c r="A98" i="16"/>
  <c r="C97" i="16"/>
  <c r="A97" i="16"/>
  <c r="C96" i="16"/>
  <c r="A96" i="16"/>
  <c r="C95" i="16"/>
  <c r="A95" i="16"/>
  <c r="C94" i="16"/>
  <c r="C93" i="16"/>
  <c r="A93" i="16"/>
  <c r="C92" i="16"/>
  <c r="A92" i="16"/>
  <c r="C91" i="16"/>
  <c r="A91" i="16"/>
  <c r="C90" i="16"/>
  <c r="A90" i="16"/>
  <c r="C89" i="16"/>
  <c r="A89" i="16"/>
  <c r="C88" i="16"/>
  <c r="A88" i="16"/>
  <c r="C87" i="16"/>
  <c r="A87" i="16"/>
  <c r="C86" i="16"/>
  <c r="A86" i="16"/>
  <c r="C85" i="16"/>
  <c r="A85" i="16"/>
  <c r="C84" i="16"/>
  <c r="A84" i="16"/>
  <c r="C83" i="16"/>
  <c r="A83" i="16"/>
  <c r="C82" i="16"/>
  <c r="C81" i="16"/>
  <c r="A81" i="16"/>
  <c r="C80" i="16"/>
  <c r="A80" i="16"/>
  <c r="C79" i="16"/>
  <c r="A79" i="16"/>
  <c r="C78" i="16"/>
  <c r="A78" i="16"/>
  <c r="C77" i="16"/>
  <c r="A77" i="16"/>
  <c r="C76" i="16"/>
  <c r="C75" i="16"/>
  <c r="A75" i="16"/>
  <c r="C74" i="16"/>
  <c r="A74" i="16"/>
  <c r="C73" i="16"/>
  <c r="A73" i="16"/>
  <c r="C72" i="16"/>
  <c r="A72" i="16"/>
  <c r="C71" i="16"/>
  <c r="A71" i="16"/>
  <c r="C70" i="16"/>
  <c r="A70" i="16"/>
  <c r="C69" i="16"/>
  <c r="C68" i="16"/>
  <c r="A68" i="16"/>
  <c r="C67" i="16"/>
  <c r="A67" i="16"/>
  <c r="C66" i="16"/>
  <c r="A66" i="16"/>
  <c r="C65" i="16"/>
  <c r="C64" i="16"/>
  <c r="A64" i="16"/>
  <c r="C63" i="16"/>
  <c r="A63" i="16"/>
  <c r="C62" i="16"/>
  <c r="A62" i="16"/>
  <c r="C61" i="16"/>
  <c r="A61" i="16"/>
  <c r="C60" i="16"/>
  <c r="A60" i="16"/>
  <c r="C59" i="16"/>
  <c r="A59" i="16"/>
  <c r="C58" i="16"/>
  <c r="A58" i="16"/>
  <c r="C57" i="16"/>
  <c r="A57" i="16"/>
  <c r="C56" i="16"/>
  <c r="A56" i="16"/>
  <c r="C55" i="16"/>
  <c r="A55" i="16"/>
  <c r="C54" i="16"/>
  <c r="A54" i="16"/>
  <c r="C53" i="16"/>
  <c r="B53" i="16"/>
  <c r="A53" i="16"/>
  <c r="C52" i="16"/>
  <c r="B52" i="16"/>
  <c r="A52" i="16"/>
  <c r="C51" i="16"/>
  <c r="B51" i="16"/>
  <c r="C50" i="16"/>
  <c r="B50" i="16"/>
  <c r="A50" i="16"/>
  <c r="C49" i="16"/>
  <c r="B49" i="16"/>
  <c r="A49" i="16"/>
  <c r="C48" i="16"/>
  <c r="B48" i="16"/>
  <c r="A48" i="16"/>
  <c r="C47" i="16"/>
  <c r="B47" i="16"/>
  <c r="C46" i="16"/>
  <c r="B46" i="16"/>
  <c r="A46" i="16"/>
  <c r="C45" i="16"/>
  <c r="B45" i="16"/>
  <c r="A45" i="16"/>
  <c r="C44" i="16"/>
  <c r="B44" i="16"/>
  <c r="C43" i="16"/>
  <c r="B43" i="16"/>
  <c r="A43" i="16"/>
  <c r="C42" i="16"/>
  <c r="B42" i="16"/>
  <c r="A42" i="16"/>
  <c r="C41" i="16"/>
  <c r="B41" i="16"/>
  <c r="A41" i="16"/>
  <c r="C40" i="16"/>
  <c r="B40" i="16"/>
  <c r="A40" i="16"/>
  <c r="C39" i="16"/>
  <c r="B39" i="16"/>
  <c r="A39" i="16"/>
  <c r="C38" i="16"/>
  <c r="B38" i="16"/>
  <c r="A38" i="16"/>
  <c r="C37" i="16"/>
  <c r="B37" i="16"/>
  <c r="A37" i="16"/>
  <c r="C36" i="16"/>
  <c r="B36" i="16"/>
  <c r="A36" i="16"/>
  <c r="C35" i="16"/>
  <c r="B35" i="16"/>
  <c r="A35" i="16"/>
  <c r="C34" i="16"/>
  <c r="B34" i="16"/>
  <c r="A34" i="16"/>
  <c r="C33" i="16"/>
  <c r="B33" i="16"/>
  <c r="C32" i="16"/>
  <c r="B32" i="16"/>
  <c r="A32" i="16"/>
  <c r="C31" i="16"/>
  <c r="B31" i="16"/>
  <c r="A31" i="16"/>
  <c r="C30" i="16"/>
  <c r="B30" i="16"/>
  <c r="A30" i="16"/>
  <c r="C29" i="16"/>
  <c r="B29" i="16"/>
  <c r="C28" i="16"/>
  <c r="B28" i="16"/>
  <c r="A28" i="16"/>
  <c r="C27" i="16"/>
  <c r="B27" i="16"/>
  <c r="A27" i="16"/>
  <c r="C26" i="16"/>
  <c r="B26" i="16"/>
  <c r="A26" i="16"/>
  <c r="C25" i="16"/>
  <c r="B25" i="16"/>
  <c r="A25" i="16"/>
  <c r="C24" i="16"/>
  <c r="B24" i="16"/>
  <c r="A24" i="16"/>
  <c r="C23" i="16"/>
  <c r="B23" i="16"/>
  <c r="A23" i="16"/>
  <c r="C22" i="16"/>
  <c r="B22" i="16"/>
  <c r="A22" i="16"/>
  <c r="C21" i="16"/>
  <c r="B21" i="16"/>
  <c r="A21" i="16"/>
  <c r="C20" i="16"/>
  <c r="B20" i="16"/>
  <c r="A20" i="16"/>
  <c r="C19" i="16"/>
  <c r="B19" i="16"/>
  <c r="C18" i="16"/>
  <c r="B18" i="16"/>
  <c r="A18" i="16"/>
  <c r="C17" i="16"/>
  <c r="B17" i="16"/>
  <c r="A17" i="16"/>
  <c r="C16" i="16"/>
  <c r="B16" i="16"/>
  <c r="A16" i="16"/>
  <c r="C15" i="16"/>
  <c r="B15" i="16"/>
  <c r="A15" i="16"/>
  <c r="C14" i="16"/>
  <c r="B14" i="16"/>
  <c r="C13" i="16"/>
  <c r="B13" i="16"/>
  <c r="C12" i="16"/>
  <c r="B12" i="16"/>
  <c r="A12" i="16"/>
  <c r="C11" i="16"/>
  <c r="B11" i="16"/>
  <c r="A11" i="16"/>
  <c r="C10" i="16"/>
  <c r="B10" i="16"/>
  <c r="A10" i="16"/>
  <c r="C9" i="16"/>
  <c r="B9" i="16"/>
  <c r="A9" i="16"/>
  <c r="C8" i="16"/>
  <c r="B8" i="16"/>
  <c r="C7" i="16"/>
  <c r="B7" i="16"/>
  <c r="C6" i="16"/>
  <c r="B6" i="16"/>
  <c r="A6" i="16"/>
  <c r="C5" i="16"/>
  <c r="B5" i="16"/>
  <c r="A5" i="16"/>
  <c r="C318" i="17"/>
  <c r="A318" i="17"/>
  <c r="C317" i="17"/>
  <c r="A317" i="17"/>
  <c r="C316" i="17"/>
  <c r="A316" i="17"/>
  <c r="C315" i="17"/>
  <c r="A315" i="17"/>
  <c r="C314" i="17"/>
  <c r="A314" i="17"/>
  <c r="C313" i="17"/>
  <c r="A313" i="17"/>
  <c r="C312" i="17"/>
  <c r="A312" i="17"/>
  <c r="C311" i="17"/>
  <c r="A311" i="17"/>
  <c r="C310" i="17"/>
  <c r="A310" i="17"/>
  <c r="C309" i="17"/>
  <c r="A309" i="17"/>
  <c r="C308" i="17"/>
  <c r="A308" i="17"/>
  <c r="C307" i="17"/>
  <c r="A307" i="17"/>
  <c r="C306" i="17"/>
  <c r="A306" i="17"/>
  <c r="C305" i="17"/>
  <c r="A305" i="17"/>
  <c r="C304" i="17"/>
  <c r="A304" i="17"/>
  <c r="C303" i="17"/>
  <c r="A303" i="17"/>
  <c r="C302" i="17"/>
  <c r="A302" i="17"/>
  <c r="C301" i="17"/>
  <c r="A301" i="17"/>
  <c r="C300" i="17"/>
  <c r="A300" i="17"/>
  <c r="C299" i="17"/>
  <c r="A299" i="17"/>
  <c r="C298" i="17"/>
  <c r="A298" i="17"/>
  <c r="C297" i="17"/>
  <c r="A297" i="17"/>
  <c r="C296" i="17"/>
  <c r="A296" i="17"/>
  <c r="C295" i="17"/>
  <c r="A295" i="17"/>
  <c r="C294" i="17"/>
  <c r="A294" i="17"/>
  <c r="C293" i="17"/>
  <c r="A293" i="17"/>
  <c r="C292" i="17"/>
  <c r="A292" i="17"/>
  <c r="C291" i="17"/>
  <c r="A291" i="17"/>
  <c r="C290" i="17"/>
  <c r="A290" i="17"/>
  <c r="C289" i="17"/>
  <c r="A289" i="17"/>
  <c r="C288" i="17"/>
  <c r="A288" i="17"/>
  <c r="C287" i="17"/>
  <c r="A287" i="17"/>
  <c r="C286" i="17"/>
  <c r="A286" i="17"/>
  <c r="C285" i="17"/>
  <c r="A285" i="17"/>
  <c r="C284" i="17"/>
  <c r="A284" i="17"/>
  <c r="C283" i="17"/>
  <c r="A283" i="17"/>
  <c r="C282" i="17"/>
  <c r="A282" i="17"/>
  <c r="C281" i="17"/>
  <c r="A281" i="17"/>
  <c r="C280" i="17"/>
  <c r="A280" i="17"/>
  <c r="C279" i="17"/>
  <c r="A279" i="17"/>
  <c r="C278" i="17"/>
  <c r="A278" i="17"/>
  <c r="C277" i="17"/>
  <c r="A277" i="17"/>
  <c r="C276" i="17"/>
  <c r="A276" i="17"/>
  <c r="C275" i="17"/>
  <c r="A275" i="17"/>
  <c r="C274" i="17"/>
  <c r="A274" i="17"/>
  <c r="C273" i="17"/>
  <c r="A273" i="17"/>
  <c r="C272" i="17"/>
  <c r="A272" i="17"/>
  <c r="C271" i="17"/>
  <c r="A271" i="17"/>
  <c r="C270" i="17"/>
  <c r="A270" i="17"/>
  <c r="C269" i="17"/>
  <c r="A269" i="17"/>
  <c r="C268" i="17"/>
  <c r="A268" i="17"/>
  <c r="C267" i="17"/>
  <c r="A267" i="17"/>
  <c r="C266" i="17"/>
  <c r="A266" i="17"/>
  <c r="C265" i="17"/>
  <c r="A265" i="17"/>
  <c r="C264" i="17"/>
  <c r="A264" i="17"/>
  <c r="C263" i="17"/>
  <c r="A263" i="17"/>
  <c r="C262" i="17"/>
  <c r="A262" i="17"/>
  <c r="C261" i="17"/>
  <c r="A261" i="17"/>
  <c r="C260" i="17"/>
  <c r="A260" i="17"/>
  <c r="C259" i="17"/>
  <c r="A259" i="17"/>
  <c r="C258" i="17"/>
  <c r="A258" i="17"/>
  <c r="C257" i="17"/>
  <c r="A257" i="17"/>
  <c r="C256" i="17"/>
  <c r="A256" i="17"/>
  <c r="C255" i="17"/>
  <c r="A255" i="17"/>
  <c r="C254" i="17"/>
  <c r="A254" i="17"/>
  <c r="C253" i="17"/>
  <c r="A253" i="17"/>
  <c r="C252" i="17"/>
  <c r="A252" i="17"/>
  <c r="C251" i="17"/>
  <c r="A251" i="17"/>
  <c r="C250" i="17"/>
  <c r="A250" i="17"/>
  <c r="C249" i="17"/>
  <c r="A249" i="17"/>
  <c r="C248" i="17"/>
  <c r="A248" i="17"/>
  <c r="C247" i="17"/>
  <c r="A247" i="17"/>
  <c r="C246" i="17"/>
  <c r="A246" i="17"/>
  <c r="C245" i="17"/>
  <c r="A245" i="17"/>
  <c r="C244" i="17"/>
  <c r="A244" i="17"/>
  <c r="C243" i="17"/>
  <c r="A243" i="17"/>
  <c r="C242" i="17"/>
  <c r="A242" i="17"/>
  <c r="C241" i="17"/>
  <c r="A241" i="17"/>
  <c r="C240" i="17"/>
  <c r="A240" i="17"/>
  <c r="C239" i="17"/>
  <c r="A239" i="17"/>
  <c r="C238" i="17"/>
  <c r="A238" i="17"/>
  <c r="C237" i="17"/>
  <c r="A237" i="17"/>
  <c r="C236" i="17"/>
  <c r="A236" i="17"/>
  <c r="C235" i="17"/>
  <c r="A235" i="17"/>
  <c r="C234" i="17"/>
  <c r="A234" i="17"/>
  <c r="C233" i="17"/>
  <c r="A233" i="17"/>
  <c r="C232" i="17"/>
  <c r="A232" i="17"/>
  <c r="C231" i="17"/>
  <c r="A231" i="17"/>
  <c r="C230" i="17"/>
  <c r="A230" i="17"/>
  <c r="C229" i="17"/>
  <c r="C228" i="17"/>
  <c r="A228" i="17"/>
  <c r="C227" i="17"/>
  <c r="A227" i="17"/>
  <c r="C226" i="17"/>
  <c r="A226" i="17"/>
  <c r="C225" i="17"/>
  <c r="C224" i="17"/>
  <c r="A224" i="17"/>
  <c r="C223" i="17"/>
  <c r="A223" i="17"/>
  <c r="C222" i="17"/>
  <c r="A222" i="17"/>
  <c r="C221" i="17"/>
  <c r="A221" i="17"/>
  <c r="C220" i="17"/>
  <c r="A220" i="17"/>
  <c r="C219" i="17"/>
  <c r="A219" i="17"/>
  <c r="C218" i="17"/>
  <c r="A218" i="17"/>
  <c r="C217" i="17"/>
  <c r="A217" i="17"/>
  <c r="C216" i="17"/>
  <c r="A216" i="17"/>
  <c r="C215" i="17"/>
  <c r="A215" i="17"/>
  <c r="C214" i="17"/>
  <c r="A214" i="17"/>
  <c r="C213" i="17"/>
  <c r="B213" i="17"/>
  <c r="A213" i="17"/>
  <c r="C212" i="17"/>
  <c r="B212" i="17"/>
  <c r="A212" i="17"/>
  <c r="C211" i="17"/>
  <c r="B211" i="17"/>
  <c r="C210" i="17"/>
  <c r="B210" i="17"/>
  <c r="A210" i="17"/>
  <c r="C209" i="17"/>
  <c r="B209" i="17"/>
  <c r="A209" i="17"/>
  <c r="C208" i="17"/>
  <c r="B208" i="17"/>
  <c r="A208" i="17"/>
  <c r="C207" i="17"/>
  <c r="B207" i="17"/>
  <c r="C206" i="17"/>
  <c r="B206" i="17"/>
  <c r="A206" i="17"/>
  <c r="C205" i="17"/>
  <c r="B205" i="17"/>
  <c r="A205" i="17"/>
  <c r="C204" i="17"/>
  <c r="B204" i="17"/>
  <c r="C203" i="17"/>
  <c r="B203" i="17"/>
  <c r="A203" i="17"/>
  <c r="C202" i="17"/>
  <c r="B202" i="17"/>
  <c r="A202" i="17"/>
  <c r="C201" i="17"/>
  <c r="B201" i="17"/>
  <c r="A201" i="17"/>
  <c r="C200" i="17"/>
  <c r="B200" i="17"/>
  <c r="A200" i="17"/>
  <c r="C199" i="17"/>
  <c r="B199" i="17"/>
  <c r="A199" i="17"/>
  <c r="C198" i="17"/>
  <c r="B198" i="17"/>
  <c r="A198" i="17"/>
  <c r="C197" i="17"/>
  <c r="B197" i="17"/>
  <c r="A197" i="17"/>
  <c r="C196" i="17"/>
  <c r="B196" i="17"/>
  <c r="A196" i="17"/>
  <c r="C195" i="17"/>
  <c r="B195" i="17"/>
  <c r="A195" i="17"/>
  <c r="C194" i="17"/>
  <c r="B194" i="17"/>
  <c r="A194" i="17"/>
  <c r="C193" i="17"/>
  <c r="B193" i="17"/>
  <c r="C192" i="17"/>
  <c r="B192" i="17"/>
  <c r="A192" i="17"/>
  <c r="C191" i="17"/>
  <c r="B191" i="17"/>
  <c r="A191" i="17"/>
  <c r="C190" i="17"/>
  <c r="B190" i="17"/>
  <c r="A190" i="17"/>
  <c r="C189" i="17"/>
  <c r="B189" i="17"/>
  <c r="C188" i="17"/>
  <c r="B188" i="17"/>
  <c r="A188" i="17"/>
  <c r="C187" i="17"/>
  <c r="B187" i="17"/>
  <c r="A187" i="17"/>
  <c r="C186" i="17"/>
  <c r="B186" i="17"/>
  <c r="A186" i="17"/>
  <c r="C185" i="17"/>
  <c r="B185" i="17"/>
  <c r="A185" i="17"/>
  <c r="C184" i="17"/>
  <c r="B184" i="17"/>
  <c r="A184" i="17"/>
  <c r="C183" i="17"/>
  <c r="B183" i="17"/>
  <c r="A183" i="17"/>
  <c r="C182" i="17"/>
  <c r="B182" i="17"/>
  <c r="A182" i="17"/>
  <c r="C181" i="17"/>
  <c r="B181" i="17"/>
  <c r="A181" i="17"/>
  <c r="C180" i="17"/>
  <c r="B180" i="17"/>
  <c r="C179" i="17"/>
  <c r="B179" i="17"/>
  <c r="C178" i="17"/>
  <c r="B178" i="17"/>
  <c r="A178" i="17"/>
  <c r="C177" i="17"/>
  <c r="B177" i="17"/>
  <c r="A177" i="17"/>
  <c r="C176" i="17"/>
  <c r="B176" i="17"/>
  <c r="A176" i="17"/>
  <c r="C175" i="17"/>
  <c r="B175" i="17"/>
  <c r="A175" i="17"/>
  <c r="C174" i="17"/>
  <c r="B174" i="17"/>
  <c r="A174" i="17"/>
  <c r="C173" i="17"/>
  <c r="B173" i="17"/>
  <c r="C172" i="17"/>
  <c r="B172" i="17"/>
  <c r="A172" i="17"/>
  <c r="C171" i="17"/>
  <c r="B171" i="17"/>
  <c r="A171" i="17"/>
  <c r="C170" i="17"/>
  <c r="B170" i="17"/>
  <c r="A170" i="17"/>
  <c r="C169" i="17"/>
  <c r="B169" i="17"/>
  <c r="A169" i="17"/>
  <c r="C168" i="17"/>
  <c r="B168" i="17"/>
  <c r="C167" i="17"/>
  <c r="B167" i="17"/>
  <c r="C166" i="17"/>
  <c r="B166" i="17"/>
  <c r="A166" i="17"/>
  <c r="C165" i="17"/>
  <c r="B165" i="17"/>
  <c r="A165" i="17"/>
  <c r="C158" i="17"/>
  <c r="A158" i="17"/>
  <c r="C157" i="17"/>
  <c r="A157" i="17"/>
  <c r="C156" i="17"/>
  <c r="A156" i="17"/>
  <c r="C155" i="17"/>
  <c r="A155" i="17"/>
  <c r="C154" i="17"/>
  <c r="A154" i="17"/>
  <c r="C153" i="17"/>
  <c r="A153" i="17"/>
  <c r="C152" i="17"/>
  <c r="A152" i="17"/>
  <c r="C151" i="17"/>
  <c r="A151" i="17"/>
  <c r="C150" i="17"/>
  <c r="A150" i="17"/>
  <c r="C149" i="17"/>
  <c r="A149" i="17"/>
  <c r="C148" i="17"/>
  <c r="C147" i="17"/>
  <c r="A147" i="17"/>
  <c r="C146" i="17"/>
  <c r="A146" i="17"/>
  <c r="C145" i="17"/>
  <c r="A145" i="17"/>
  <c r="C144" i="17"/>
  <c r="A144" i="17"/>
  <c r="C143" i="17"/>
  <c r="A143" i="17"/>
  <c r="C142" i="17"/>
  <c r="A142" i="17"/>
  <c r="C141" i="17"/>
  <c r="A141" i="17"/>
  <c r="C140" i="17"/>
  <c r="A140" i="17"/>
  <c r="C139" i="17"/>
  <c r="A139" i="17"/>
  <c r="C138" i="17"/>
  <c r="A138" i="17"/>
  <c r="C137" i="17"/>
  <c r="A137" i="17"/>
  <c r="C136" i="17"/>
  <c r="C135" i="17"/>
  <c r="A135" i="17"/>
  <c r="C134" i="17"/>
  <c r="A134" i="17"/>
  <c r="C133" i="17"/>
  <c r="A133" i="17"/>
  <c r="C132" i="17"/>
  <c r="A132" i="17"/>
  <c r="C131" i="17"/>
  <c r="A131" i="17"/>
  <c r="C130" i="17"/>
  <c r="C129" i="17"/>
  <c r="A129" i="17"/>
  <c r="C128" i="17"/>
  <c r="A128" i="17"/>
  <c r="C127" i="17"/>
  <c r="A127" i="17"/>
  <c r="C126" i="17"/>
  <c r="A126" i="17"/>
  <c r="C125" i="17"/>
  <c r="A125" i="17"/>
  <c r="C124" i="17"/>
  <c r="A124" i="17"/>
  <c r="C123" i="17"/>
  <c r="A123" i="17"/>
  <c r="C122" i="17"/>
  <c r="A122" i="17"/>
  <c r="C121" i="17"/>
  <c r="A121" i="17"/>
  <c r="C120" i="17"/>
  <c r="A120" i="17"/>
  <c r="C119" i="17"/>
  <c r="A119" i="17"/>
  <c r="C118" i="17"/>
  <c r="C117" i="17"/>
  <c r="A117" i="17"/>
  <c r="C116" i="17"/>
  <c r="A116" i="17"/>
  <c r="C115" i="17"/>
  <c r="A115" i="17"/>
  <c r="C114" i="17"/>
  <c r="A114" i="17"/>
  <c r="C113" i="17"/>
  <c r="A113" i="17"/>
  <c r="C112" i="17"/>
  <c r="C111" i="17"/>
  <c r="A111" i="17"/>
  <c r="C110" i="17"/>
  <c r="A110" i="17"/>
  <c r="C109" i="17"/>
  <c r="A109" i="17"/>
  <c r="C108" i="17"/>
  <c r="A108" i="17"/>
  <c r="C107" i="17"/>
  <c r="A107" i="17"/>
  <c r="C106" i="17"/>
  <c r="A106" i="17"/>
  <c r="C105" i="17"/>
  <c r="A105" i="17"/>
  <c r="C104" i="17"/>
  <c r="A104" i="17"/>
  <c r="C103" i="17"/>
  <c r="A103" i="17"/>
  <c r="C102" i="17"/>
  <c r="A102" i="17"/>
  <c r="C101" i="17"/>
  <c r="A101" i="17"/>
  <c r="C100" i="17"/>
  <c r="C99" i="17"/>
  <c r="A99" i="17"/>
  <c r="C98" i="17"/>
  <c r="A98" i="17"/>
  <c r="C97" i="17"/>
  <c r="A97" i="17"/>
  <c r="C96" i="17"/>
  <c r="A96" i="17"/>
  <c r="C95" i="17"/>
  <c r="A95" i="17"/>
  <c r="C94" i="17"/>
  <c r="C93" i="17"/>
  <c r="A93" i="17"/>
  <c r="C92" i="17"/>
  <c r="A92" i="17"/>
  <c r="C91" i="17"/>
  <c r="A91" i="17"/>
  <c r="C90" i="17"/>
  <c r="A90" i="17"/>
  <c r="C89" i="17"/>
  <c r="A89" i="17"/>
  <c r="C88" i="17"/>
  <c r="A88" i="17"/>
  <c r="C87" i="17"/>
  <c r="A87" i="17"/>
  <c r="C86" i="17"/>
  <c r="A86" i="17"/>
  <c r="C85" i="17"/>
  <c r="A85" i="17"/>
  <c r="C84" i="17"/>
  <c r="A84" i="17"/>
  <c r="C83" i="17"/>
  <c r="A83" i="17"/>
  <c r="C82" i="17"/>
  <c r="C81" i="17"/>
  <c r="A81" i="17"/>
  <c r="C80" i="17"/>
  <c r="A80" i="17"/>
  <c r="C79" i="17"/>
  <c r="A79" i="17"/>
  <c r="C78" i="17"/>
  <c r="A78" i="17"/>
  <c r="C77" i="17"/>
  <c r="A77" i="17"/>
  <c r="C76" i="17"/>
  <c r="C75" i="17"/>
  <c r="A75" i="17"/>
  <c r="C74" i="17"/>
  <c r="A74" i="17"/>
  <c r="C73" i="17"/>
  <c r="A73" i="17"/>
  <c r="C72" i="17"/>
  <c r="A72" i="17"/>
  <c r="C71" i="17"/>
  <c r="A71" i="17"/>
  <c r="C70" i="17"/>
  <c r="A70" i="17"/>
  <c r="C69" i="17"/>
  <c r="C68" i="17"/>
  <c r="A68" i="17"/>
  <c r="C67" i="17"/>
  <c r="A67" i="17"/>
  <c r="C66" i="17"/>
  <c r="A66" i="17"/>
  <c r="C65" i="17"/>
  <c r="C64" i="17"/>
  <c r="A64" i="17"/>
  <c r="C63" i="17"/>
  <c r="A63" i="17"/>
  <c r="C62" i="17"/>
  <c r="A62" i="17"/>
  <c r="C61" i="17"/>
  <c r="A61" i="17"/>
  <c r="C60" i="17"/>
  <c r="A60" i="17"/>
  <c r="C59" i="17"/>
  <c r="A59" i="17"/>
  <c r="C58" i="17"/>
  <c r="A58" i="17"/>
  <c r="C57" i="17"/>
  <c r="A57" i="17"/>
  <c r="C56" i="17"/>
  <c r="A56" i="17"/>
  <c r="C55" i="17"/>
  <c r="A55" i="17"/>
  <c r="C54" i="17"/>
  <c r="A54" i="17"/>
  <c r="C53" i="17"/>
  <c r="B53" i="17"/>
  <c r="A53" i="17"/>
  <c r="C52" i="17"/>
  <c r="B52" i="17"/>
  <c r="A52" i="17"/>
  <c r="C51" i="17"/>
  <c r="B51" i="17"/>
  <c r="C50" i="17"/>
  <c r="B50" i="17"/>
  <c r="A50" i="17"/>
  <c r="C49" i="17"/>
  <c r="B49" i="17"/>
  <c r="A49" i="17"/>
  <c r="C48" i="17"/>
  <c r="B48" i="17"/>
  <c r="A48" i="17"/>
  <c r="C47" i="17"/>
  <c r="B47" i="17"/>
  <c r="C46" i="17"/>
  <c r="B46" i="17"/>
  <c r="A46" i="17"/>
  <c r="C45" i="17"/>
  <c r="B45" i="17"/>
  <c r="A45" i="17"/>
  <c r="C44" i="17"/>
  <c r="B44" i="17"/>
  <c r="C43" i="17"/>
  <c r="B43" i="17"/>
  <c r="A43" i="17"/>
  <c r="C42" i="17"/>
  <c r="B42" i="17"/>
  <c r="A42" i="17"/>
  <c r="C41" i="17"/>
  <c r="B41" i="17"/>
  <c r="A41" i="17"/>
  <c r="C40" i="17"/>
  <c r="B40" i="17"/>
  <c r="A40" i="17"/>
  <c r="C39" i="17"/>
  <c r="B39" i="17"/>
  <c r="A39" i="17"/>
  <c r="C38" i="17"/>
  <c r="B38" i="17"/>
  <c r="A38" i="17"/>
  <c r="C37" i="17"/>
  <c r="B37" i="17"/>
  <c r="A37" i="17"/>
  <c r="C36" i="17"/>
  <c r="B36" i="17"/>
  <c r="A36" i="17"/>
  <c r="C35" i="17"/>
  <c r="B35" i="17"/>
  <c r="A35" i="17"/>
  <c r="C34" i="17"/>
  <c r="B34" i="17"/>
  <c r="A34" i="17"/>
  <c r="C33" i="17"/>
  <c r="B33" i="17"/>
  <c r="C32" i="17"/>
  <c r="B32" i="17"/>
  <c r="A32" i="17"/>
  <c r="C31" i="17"/>
  <c r="B31" i="17"/>
  <c r="A31" i="17"/>
  <c r="C30" i="17"/>
  <c r="B30" i="17"/>
  <c r="A30" i="17"/>
  <c r="C29" i="17"/>
  <c r="B29" i="17"/>
  <c r="C28" i="17"/>
  <c r="B28" i="17"/>
  <c r="A28" i="17"/>
  <c r="C27" i="17"/>
  <c r="B27" i="17"/>
  <c r="A27" i="17"/>
  <c r="C26" i="17"/>
  <c r="B26" i="17"/>
  <c r="A26" i="17"/>
  <c r="C25" i="17"/>
  <c r="B25" i="17"/>
  <c r="A25" i="17"/>
  <c r="C24" i="17"/>
  <c r="B24" i="17"/>
  <c r="A24" i="17"/>
  <c r="C23" i="17"/>
  <c r="B23" i="17"/>
  <c r="A23" i="17"/>
  <c r="C22" i="17"/>
  <c r="B22" i="17"/>
  <c r="A22" i="17"/>
  <c r="C21" i="17"/>
  <c r="B21" i="17"/>
  <c r="A21" i="17"/>
  <c r="C20" i="17"/>
  <c r="B20" i="17"/>
  <c r="C19" i="17"/>
  <c r="B19" i="17"/>
  <c r="C18" i="17"/>
  <c r="B18" i="17"/>
  <c r="A18" i="17"/>
  <c r="C17" i="17"/>
  <c r="B17" i="17"/>
  <c r="A17" i="17"/>
  <c r="C16" i="17"/>
  <c r="B16" i="17"/>
  <c r="A16" i="17"/>
  <c r="C15" i="17"/>
  <c r="B15" i="17"/>
  <c r="A15" i="17"/>
  <c r="C14" i="17"/>
  <c r="B14" i="17"/>
  <c r="C13" i="17"/>
  <c r="B13" i="17"/>
  <c r="C12" i="17"/>
  <c r="B12" i="17"/>
  <c r="A12" i="17"/>
  <c r="C11" i="17"/>
  <c r="B11" i="17"/>
  <c r="A11" i="17"/>
  <c r="C10" i="17"/>
  <c r="B10" i="17"/>
  <c r="A10" i="17"/>
  <c r="C9" i="17"/>
  <c r="B9" i="17"/>
  <c r="A9" i="17"/>
  <c r="C8" i="17"/>
  <c r="B8" i="17"/>
  <c r="C7" i="17"/>
  <c r="B7" i="17"/>
  <c r="C6" i="17"/>
  <c r="B6" i="17"/>
  <c r="A6" i="17"/>
  <c r="C5" i="17"/>
  <c r="B5" i="17"/>
  <c r="A5" i="17"/>
  <c r="C329" i="18"/>
  <c r="A329" i="18"/>
  <c r="C328" i="18"/>
  <c r="A328" i="18"/>
  <c r="C327" i="18"/>
  <c r="A327" i="18"/>
  <c r="C326" i="18"/>
  <c r="A326" i="18"/>
  <c r="C325" i="18"/>
  <c r="A325" i="18"/>
  <c r="C324" i="18"/>
  <c r="B324" i="18"/>
  <c r="A324" i="18"/>
  <c r="C323" i="18"/>
  <c r="A323" i="18"/>
  <c r="C322" i="18"/>
  <c r="A322" i="18"/>
  <c r="C321" i="18"/>
  <c r="B321" i="18"/>
  <c r="A321" i="18"/>
  <c r="C320" i="18"/>
  <c r="A320" i="18"/>
  <c r="C319" i="18"/>
  <c r="A319" i="18"/>
  <c r="C318" i="18"/>
  <c r="A318" i="18"/>
  <c r="C317" i="18"/>
  <c r="C316" i="18"/>
  <c r="A316" i="18"/>
  <c r="C315" i="18"/>
  <c r="A315" i="18"/>
  <c r="C314" i="18"/>
  <c r="A314" i="18"/>
  <c r="C313" i="18"/>
  <c r="A313" i="18"/>
  <c r="C312" i="18"/>
  <c r="A312" i="18"/>
  <c r="C311" i="18"/>
  <c r="A311" i="18"/>
  <c r="C310" i="18"/>
  <c r="A310" i="18"/>
  <c r="C309" i="18"/>
  <c r="B309" i="18"/>
  <c r="A309" i="18"/>
  <c r="C308" i="18"/>
  <c r="A308" i="18"/>
  <c r="C307" i="18"/>
  <c r="A307" i="18"/>
  <c r="C306" i="18"/>
  <c r="A306" i="18"/>
  <c r="C305" i="18"/>
  <c r="B305" i="18"/>
  <c r="A305" i="18"/>
  <c r="C304" i="18"/>
  <c r="A304" i="18"/>
  <c r="C303" i="18"/>
  <c r="C302" i="18"/>
  <c r="A302" i="18"/>
  <c r="C301" i="18"/>
  <c r="A301" i="18"/>
  <c r="C300" i="18"/>
  <c r="A300" i="18"/>
  <c r="C299" i="18"/>
  <c r="A299" i="18"/>
  <c r="C298" i="18"/>
  <c r="A298" i="18"/>
  <c r="C297" i="18"/>
  <c r="C296" i="18"/>
  <c r="A296" i="18"/>
  <c r="C295" i="18"/>
  <c r="A295" i="18"/>
  <c r="C294" i="18"/>
  <c r="A294" i="18"/>
  <c r="C293" i="18"/>
  <c r="A293" i="18"/>
  <c r="C292" i="18"/>
  <c r="A292" i="18"/>
  <c r="C291" i="18"/>
  <c r="A291" i="18"/>
  <c r="C290" i="18"/>
  <c r="A290" i="18"/>
  <c r="C289" i="18"/>
  <c r="A289" i="18"/>
  <c r="C288" i="18"/>
  <c r="A288" i="18"/>
  <c r="C287" i="18"/>
  <c r="A287" i="18"/>
  <c r="C286" i="18"/>
  <c r="A286" i="18"/>
  <c r="C285" i="18"/>
  <c r="C284" i="18"/>
  <c r="A284" i="18"/>
  <c r="C283" i="18"/>
  <c r="A283" i="18"/>
  <c r="C282" i="18"/>
  <c r="A282" i="18"/>
  <c r="C281" i="18"/>
  <c r="A281" i="18"/>
  <c r="C280" i="18"/>
  <c r="A280" i="18"/>
  <c r="C279" i="18"/>
  <c r="C278" i="18"/>
  <c r="A278" i="18"/>
  <c r="C277" i="18"/>
  <c r="B277" i="18"/>
  <c r="A277" i="18"/>
  <c r="C276" i="18"/>
  <c r="A276" i="18"/>
  <c r="C275" i="18"/>
  <c r="A275" i="18"/>
  <c r="C274" i="18"/>
  <c r="A274" i="18"/>
  <c r="C273" i="18"/>
  <c r="A273" i="18"/>
  <c r="C272" i="18"/>
  <c r="A272" i="18"/>
  <c r="C271" i="18"/>
  <c r="A271" i="18"/>
  <c r="C270" i="18"/>
  <c r="A270" i="18"/>
  <c r="C269" i="18"/>
  <c r="A269" i="18"/>
  <c r="C268" i="18"/>
  <c r="B268" i="18"/>
  <c r="A268" i="18"/>
  <c r="C267" i="18"/>
  <c r="A267" i="18"/>
  <c r="C266" i="18"/>
  <c r="A266" i="18"/>
  <c r="C265" i="18"/>
  <c r="B265" i="18"/>
  <c r="A265" i="18"/>
  <c r="C264" i="18"/>
  <c r="A264" i="18"/>
  <c r="C263" i="18"/>
  <c r="A263" i="18"/>
  <c r="C262" i="18"/>
  <c r="A262" i="18"/>
  <c r="C261" i="18"/>
  <c r="A261" i="18"/>
  <c r="C260" i="18"/>
  <c r="A260" i="18"/>
  <c r="C259" i="18"/>
  <c r="A259" i="18"/>
  <c r="C258" i="18"/>
  <c r="A258" i="18"/>
  <c r="C257" i="18"/>
  <c r="A257" i="18"/>
  <c r="C256" i="18"/>
  <c r="A256" i="18"/>
  <c r="C255" i="18"/>
  <c r="A255" i="18"/>
  <c r="C254" i="18"/>
  <c r="A254" i="18"/>
  <c r="C253" i="18"/>
  <c r="A253" i="18"/>
  <c r="C252" i="18"/>
  <c r="A252" i="18"/>
  <c r="C251" i="18"/>
  <c r="A251" i="18"/>
  <c r="C250" i="18"/>
  <c r="A250" i="18"/>
  <c r="C249" i="18"/>
  <c r="B249" i="18"/>
  <c r="A249" i="18"/>
  <c r="C248" i="18"/>
  <c r="A248" i="18"/>
  <c r="C247" i="18"/>
  <c r="B247" i="18"/>
  <c r="A247" i="18"/>
  <c r="C246" i="18"/>
  <c r="A246" i="18"/>
  <c r="C245" i="18"/>
  <c r="A245" i="18"/>
  <c r="C244" i="18"/>
  <c r="A244" i="18"/>
  <c r="C243" i="18"/>
  <c r="A243" i="18"/>
  <c r="C242" i="18"/>
  <c r="A242" i="18"/>
  <c r="C241" i="18"/>
  <c r="A241" i="18"/>
  <c r="C240" i="18"/>
  <c r="A240" i="18"/>
  <c r="C239" i="18"/>
  <c r="B239" i="18"/>
  <c r="A239" i="18"/>
  <c r="C238" i="18"/>
  <c r="A238" i="18"/>
  <c r="C237" i="18"/>
  <c r="A237" i="18"/>
  <c r="C236" i="18"/>
  <c r="A236" i="18"/>
  <c r="C235" i="18"/>
  <c r="A235" i="18"/>
  <c r="C234" i="18"/>
  <c r="A234" i="18"/>
  <c r="C233" i="18"/>
  <c r="A233" i="18"/>
  <c r="C232" i="18"/>
  <c r="A232" i="18"/>
  <c r="C231" i="18"/>
  <c r="A231" i="18"/>
  <c r="C230" i="18"/>
  <c r="C229" i="18"/>
  <c r="A229" i="18"/>
  <c r="C228" i="18"/>
  <c r="A228" i="18"/>
  <c r="C227" i="18"/>
  <c r="B227" i="18"/>
  <c r="A227" i="18"/>
  <c r="C226" i="18"/>
  <c r="A226" i="18"/>
  <c r="C225" i="18"/>
  <c r="C224" i="18"/>
  <c r="A224" i="18"/>
  <c r="C223" i="18"/>
  <c r="A223" i="18"/>
  <c r="C222" i="18"/>
  <c r="A222" i="18"/>
  <c r="C221" i="18"/>
  <c r="A221" i="18"/>
  <c r="C220" i="18"/>
  <c r="A220" i="18"/>
  <c r="C219" i="18"/>
  <c r="A219" i="18"/>
  <c r="C218" i="18"/>
  <c r="A218" i="18"/>
  <c r="C217" i="18"/>
  <c r="A217" i="18"/>
  <c r="C216" i="18"/>
  <c r="A216" i="18"/>
  <c r="C215" i="18"/>
  <c r="A215" i="18"/>
  <c r="C214" i="18"/>
  <c r="A214" i="18"/>
  <c r="C213" i="18"/>
  <c r="B213" i="18"/>
  <c r="A213" i="18"/>
  <c r="C212" i="18"/>
  <c r="B212" i="18"/>
  <c r="A212" i="18"/>
  <c r="C211" i="18"/>
  <c r="B211" i="18"/>
  <c r="C210" i="18"/>
  <c r="B210" i="18"/>
  <c r="A210" i="18"/>
  <c r="C209" i="18"/>
  <c r="B209" i="18"/>
  <c r="A209" i="18"/>
  <c r="C208" i="18"/>
  <c r="B208" i="18"/>
  <c r="A208" i="18"/>
  <c r="C207" i="18"/>
  <c r="B207" i="18"/>
  <c r="C206" i="18"/>
  <c r="B206" i="18"/>
  <c r="A206" i="18"/>
  <c r="C205" i="18"/>
  <c r="B205" i="18"/>
  <c r="A205" i="18"/>
  <c r="C204" i="18"/>
  <c r="B204" i="18"/>
  <c r="A204" i="18"/>
  <c r="C203" i="18"/>
  <c r="B203" i="18"/>
  <c r="A203" i="18"/>
  <c r="C202" i="18"/>
  <c r="B202" i="18"/>
  <c r="A202" i="18"/>
  <c r="C201" i="18"/>
  <c r="B201" i="18"/>
  <c r="A201" i="18"/>
  <c r="C200" i="18"/>
  <c r="B200" i="18"/>
  <c r="A200" i="18"/>
  <c r="C199" i="18"/>
  <c r="B199" i="18"/>
  <c r="A199" i="18"/>
  <c r="C198" i="18"/>
  <c r="B198" i="18"/>
  <c r="A198" i="18"/>
  <c r="C197" i="18"/>
  <c r="B197" i="18"/>
  <c r="A197" i="18"/>
  <c r="C196" i="18"/>
  <c r="B196" i="18"/>
  <c r="A196" i="18"/>
  <c r="C195" i="18"/>
  <c r="B195" i="18"/>
  <c r="A195" i="18"/>
  <c r="C194" i="18"/>
  <c r="B194" i="18"/>
  <c r="A194" i="18"/>
  <c r="C193" i="18"/>
  <c r="B193" i="18"/>
  <c r="C192" i="18"/>
  <c r="B192" i="18"/>
  <c r="A192" i="18"/>
  <c r="C191" i="18"/>
  <c r="B191" i="18"/>
  <c r="A191" i="18"/>
  <c r="C190" i="18"/>
  <c r="B190" i="18"/>
  <c r="A190" i="18"/>
  <c r="C189" i="18"/>
  <c r="B189" i="18"/>
  <c r="C188" i="18"/>
  <c r="B188" i="18"/>
  <c r="A188" i="18"/>
  <c r="C187" i="18"/>
  <c r="B187" i="18"/>
  <c r="A187" i="18"/>
  <c r="C186" i="18"/>
  <c r="B186" i="18"/>
  <c r="A186" i="18"/>
  <c r="C185" i="18"/>
  <c r="B185" i="18"/>
  <c r="A185" i="18"/>
  <c r="C184" i="18"/>
  <c r="B184" i="18"/>
  <c r="A184" i="18"/>
  <c r="C183" i="18"/>
  <c r="B183" i="18"/>
  <c r="A183" i="18"/>
  <c r="C182" i="18"/>
  <c r="B182" i="18"/>
  <c r="A182" i="18"/>
  <c r="C181" i="18"/>
  <c r="B181" i="18"/>
  <c r="A181" i="18"/>
  <c r="C180" i="18"/>
  <c r="B180" i="18"/>
  <c r="C179" i="18"/>
  <c r="B179" i="18"/>
  <c r="C178" i="18"/>
  <c r="B178" i="18"/>
  <c r="A178" i="18"/>
  <c r="C177" i="18"/>
  <c r="B177" i="18"/>
  <c r="A177" i="18"/>
  <c r="C176" i="18"/>
  <c r="B176" i="18"/>
  <c r="A176" i="18"/>
  <c r="C175" i="18"/>
  <c r="B175" i="18"/>
  <c r="A175" i="18"/>
  <c r="C174" i="18"/>
  <c r="B174" i="18"/>
  <c r="C173" i="18"/>
  <c r="B173" i="18"/>
  <c r="C172" i="18"/>
  <c r="B172" i="18"/>
  <c r="A172" i="18"/>
  <c r="C171" i="18"/>
  <c r="B171" i="18"/>
  <c r="A171" i="18"/>
  <c r="C170" i="18"/>
  <c r="B170" i="18"/>
  <c r="A170" i="18"/>
  <c r="C169" i="18"/>
  <c r="B169" i="18"/>
  <c r="A169" i="18"/>
  <c r="C168" i="18"/>
  <c r="B168" i="18"/>
  <c r="C167" i="18"/>
  <c r="B167" i="18"/>
  <c r="C166" i="18"/>
  <c r="B166" i="18"/>
  <c r="A166" i="18"/>
  <c r="C165" i="18"/>
  <c r="B165" i="18"/>
  <c r="A165" i="18"/>
  <c r="C158" i="18"/>
  <c r="A158" i="18"/>
  <c r="C157" i="18"/>
  <c r="A157" i="18"/>
  <c r="C156" i="18"/>
  <c r="A156" i="18"/>
  <c r="C155" i="18"/>
  <c r="A155" i="18"/>
  <c r="C154" i="18"/>
  <c r="A154" i="18"/>
  <c r="C153" i="18"/>
  <c r="A153" i="18"/>
  <c r="C152" i="18"/>
  <c r="A152" i="18"/>
  <c r="C151" i="18"/>
  <c r="A151" i="18"/>
  <c r="C150" i="18"/>
  <c r="A150" i="18"/>
  <c r="C149" i="18"/>
  <c r="A149" i="18"/>
  <c r="C148" i="18"/>
  <c r="A148" i="18"/>
  <c r="C147" i="18"/>
  <c r="A147" i="18"/>
  <c r="C146" i="18"/>
  <c r="A146" i="18"/>
  <c r="C145" i="18"/>
  <c r="A145" i="18"/>
  <c r="C144" i="18"/>
  <c r="A144" i="18"/>
  <c r="C143" i="18"/>
  <c r="A143" i="18"/>
  <c r="C142" i="18"/>
  <c r="A142" i="18"/>
  <c r="C141" i="18"/>
  <c r="A141" i="18"/>
  <c r="C140" i="18"/>
  <c r="A140" i="18"/>
  <c r="C139" i="18"/>
  <c r="A139" i="18"/>
  <c r="C138" i="18"/>
  <c r="A138" i="18"/>
  <c r="C137" i="18"/>
  <c r="A137" i="18"/>
  <c r="C136" i="18"/>
  <c r="A136" i="18"/>
  <c r="C135" i="18"/>
  <c r="A135" i="18"/>
  <c r="C134" i="18"/>
  <c r="A134" i="18"/>
  <c r="C133" i="18"/>
  <c r="A133" i="18"/>
  <c r="C132" i="18"/>
  <c r="A132" i="18"/>
  <c r="C131" i="18"/>
  <c r="A131" i="18"/>
  <c r="C130" i="18"/>
  <c r="A130" i="18"/>
  <c r="C129" i="18"/>
  <c r="A129" i="18"/>
  <c r="C128" i="18"/>
  <c r="A128" i="18"/>
  <c r="C127" i="18"/>
  <c r="A127" i="18"/>
  <c r="C126" i="18"/>
  <c r="A126" i="18"/>
  <c r="C125" i="18"/>
  <c r="A125" i="18"/>
  <c r="C124" i="18"/>
  <c r="A124" i="18"/>
  <c r="C123" i="18"/>
  <c r="A123" i="18"/>
  <c r="C122" i="18"/>
  <c r="A122" i="18"/>
  <c r="C121" i="18"/>
  <c r="A121" i="18"/>
  <c r="C120" i="18"/>
  <c r="A120" i="18"/>
  <c r="C119" i="18"/>
  <c r="A119" i="18"/>
  <c r="C118" i="18"/>
  <c r="A118" i="18"/>
  <c r="C117" i="18"/>
  <c r="A117" i="18"/>
  <c r="C116" i="18"/>
  <c r="A116" i="18"/>
  <c r="C115" i="18"/>
  <c r="A115" i="18"/>
  <c r="C114" i="18"/>
  <c r="A114" i="18"/>
  <c r="C113" i="18"/>
  <c r="A113" i="18"/>
  <c r="C112" i="18"/>
  <c r="A112" i="18"/>
  <c r="C111" i="18"/>
  <c r="A111" i="18"/>
  <c r="C110" i="18"/>
  <c r="A110" i="18"/>
  <c r="C109" i="18"/>
  <c r="A109" i="18"/>
  <c r="C108" i="18"/>
  <c r="A108" i="18"/>
  <c r="C107" i="18"/>
  <c r="A107" i="18"/>
  <c r="C106" i="18"/>
  <c r="A106" i="18"/>
  <c r="C105" i="18"/>
  <c r="A105" i="18"/>
  <c r="C104" i="18"/>
  <c r="A104" i="18"/>
  <c r="C103" i="18"/>
  <c r="A103" i="18"/>
  <c r="C102" i="18"/>
  <c r="A102" i="18"/>
  <c r="C101" i="18"/>
  <c r="A101" i="18"/>
  <c r="C100" i="18"/>
  <c r="A100" i="18"/>
  <c r="C99" i="18"/>
  <c r="A99" i="18"/>
  <c r="C98" i="18"/>
  <c r="A98" i="18"/>
  <c r="C97" i="18"/>
  <c r="A97" i="18"/>
  <c r="C96" i="18"/>
  <c r="A96" i="18"/>
  <c r="C95" i="18"/>
  <c r="A95" i="18"/>
  <c r="C94" i="18"/>
  <c r="A94" i="18"/>
  <c r="C93" i="18"/>
  <c r="A93" i="18"/>
  <c r="C92" i="18"/>
  <c r="A92" i="18"/>
  <c r="C91" i="18"/>
  <c r="A91" i="18"/>
  <c r="C90" i="18"/>
  <c r="A90" i="18"/>
  <c r="C89" i="18"/>
  <c r="A89" i="18"/>
  <c r="C88" i="18"/>
  <c r="A88" i="18"/>
  <c r="C87" i="18"/>
  <c r="A87" i="18"/>
  <c r="C86" i="18"/>
  <c r="A86" i="18"/>
  <c r="C85" i="18"/>
  <c r="A85" i="18"/>
  <c r="C84" i="18"/>
  <c r="A84" i="18"/>
  <c r="C83" i="18"/>
  <c r="A83" i="18"/>
  <c r="C82" i="18"/>
  <c r="A82" i="18"/>
  <c r="C81" i="18"/>
  <c r="A81" i="18"/>
  <c r="C80" i="18"/>
  <c r="A80" i="18"/>
  <c r="C79" i="18"/>
  <c r="A79" i="18"/>
  <c r="C78" i="18"/>
  <c r="A78" i="18"/>
  <c r="C77" i="18"/>
  <c r="A77" i="18"/>
  <c r="C76" i="18"/>
  <c r="A76" i="18"/>
  <c r="C75" i="18"/>
  <c r="A75" i="18"/>
  <c r="C74" i="18"/>
  <c r="A74" i="18"/>
  <c r="C73" i="18"/>
  <c r="A73" i="18"/>
  <c r="C72" i="18"/>
  <c r="A72" i="18"/>
  <c r="C71" i="18"/>
  <c r="A71" i="18"/>
  <c r="C70" i="18"/>
  <c r="A70" i="18"/>
  <c r="C69" i="18"/>
  <c r="C68" i="18"/>
  <c r="A68" i="18"/>
  <c r="C67" i="18"/>
  <c r="A67" i="18"/>
  <c r="C66" i="18"/>
  <c r="A66" i="18"/>
  <c r="C65" i="18"/>
  <c r="A65" i="18"/>
  <c r="C64" i="18"/>
  <c r="A64" i="18"/>
  <c r="C63" i="18"/>
  <c r="A63" i="18"/>
  <c r="C62" i="18"/>
  <c r="A62" i="18"/>
  <c r="C61" i="18"/>
  <c r="A61" i="18"/>
  <c r="C60" i="18"/>
  <c r="A60" i="18"/>
  <c r="C59" i="18"/>
  <c r="A59" i="18"/>
  <c r="C58" i="18"/>
  <c r="A58" i="18"/>
  <c r="C57" i="18"/>
  <c r="A57" i="18"/>
  <c r="C56" i="18"/>
  <c r="A56" i="18"/>
  <c r="C55" i="18"/>
  <c r="A55" i="18"/>
  <c r="C54" i="18"/>
  <c r="A54" i="18"/>
  <c r="C53" i="18"/>
  <c r="B53" i="18"/>
  <c r="A53" i="18"/>
  <c r="C52" i="18"/>
  <c r="B52" i="18"/>
  <c r="A52" i="18"/>
  <c r="C51" i="18"/>
  <c r="B51" i="18"/>
  <c r="C50" i="18"/>
  <c r="B50" i="18"/>
  <c r="A50" i="18"/>
  <c r="C49" i="18"/>
  <c r="B49" i="18"/>
  <c r="A49" i="18"/>
  <c r="C48" i="18"/>
  <c r="B48" i="18"/>
  <c r="A48" i="18"/>
  <c r="C47" i="18"/>
  <c r="B47" i="18"/>
  <c r="C46" i="18"/>
  <c r="B46" i="18"/>
  <c r="A46" i="18"/>
  <c r="C45" i="18"/>
  <c r="B45" i="18"/>
  <c r="A45" i="18"/>
  <c r="C44" i="18"/>
  <c r="B44" i="18"/>
  <c r="C43" i="18"/>
  <c r="B43" i="18"/>
  <c r="A43" i="18"/>
  <c r="C42" i="18"/>
  <c r="B42" i="18"/>
  <c r="A42" i="18"/>
  <c r="C41" i="18"/>
  <c r="B41" i="18"/>
  <c r="A41" i="18"/>
  <c r="C40" i="18"/>
  <c r="B40" i="18"/>
  <c r="A40" i="18"/>
  <c r="C39" i="18"/>
  <c r="B39" i="18"/>
  <c r="A39" i="18"/>
  <c r="C38" i="18"/>
  <c r="B38" i="18"/>
  <c r="A38" i="18"/>
  <c r="C37" i="18"/>
  <c r="B37" i="18"/>
  <c r="A37" i="18"/>
  <c r="C36" i="18"/>
  <c r="B36" i="18"/>
  <c r="A36" i="18"/>
  <c r="C35" i="18"/>
  <c r="B35" i="18"/>
  <c r="A35" i="18"/>
  <c r="C34" i="18"/>
  <c r="B34" i="18"/>
  <c r="A34" i="18"/>
  <c r="C33" i="18"/>
  <c r="B33" i="18"/>
  <c r="C32" i="18"/>
  <c r="B32" i="18"/>
  <c r="A32" i="18"/>
  <c r="C31" i="18"/>
  <c r="B31" i="18"/>
  <c r="A31" i="18"/>
  <c r="C30" i="18"/>
  <c r="B30" i="18"/>
  <c r="A30" i="18"/>
  <c r="C29" i="18"/>
  <c r="B29" i="18"/>
  <c r="C28" i="18"/>
  <c r="B28" i="18"/>
  <c r="A28" i="18"/>
  <c r="C27" i="18"/>
  <c r="B27" i="18"/>
  <c r="A27" i="18"/>
  <c r="C26" i="18"/>
  <c r="B26" i="18"/>
  <c r="A26" i="18"/>
  <c r="C25" i="18"/>
  <c r="B25" i="18"/>
  <c r="A25" i="18"/>
  <c r="C24" i="18"/>
  <c r="B24" i="18"/>
  <c r="A24" i="18"/>
  <c r="C23" i="18"/>
  <c r="B23" i="18"/>
  <c r="A23" i="18"/>
  <c r="C22" i="18"/>
  <c r="B22" i="18"/>
  <c r="A22" i="18"/>
  <c r="C21" i="18"/>
  <c r="B21" i="18"/>
  <c r="A21" i="18"/>
  <c r="C20" i="18"/>
  <c r="B20" i="18"/>
  <c r="A20" i="18"/>
  <c r="C19" i="18"/>
  <c r="B19" i="18"/>
  <c r="C18" i="18"/>
  <c r="B18" i="18"/>
  <c r="A18" i="18"/>
  <c r="C17" i="18"/>
  <c r="B17" i="18"/>
  <c r="A17" i="18"/>
  <c r="C16" i="18"/>
  <c r="B16" i="18"/>
  <c r="A16" i="18"/>
  <c r="C15" i="18"/>
  <c r="B15" i="18"/>
  <c r="A15" i="18"/>
  <c r="C14" i="18"/>
  <c r="B14" i="18"/>
  <c r="C13" i="18"/>
  <c r="B13" i="18"/>
  <c r="C12" i="18"/>
  <c r="B12" i="18"/>
  <c r="A12" i="18"/>
  <c r="C11" i="18"/>
  <c r="B11" i="18"/>
  <c r="A11" i="18"/>
  <c r="C10" i="18"/>
  <c r="B10" i="18"/>
  <c r="A10" i="18"/>
  <c r="C9" i="18"/>
  <c r="B9" i="18"/>
  <c r="A9" i="18"/>
  <c r="C8" i="18"/>
  <c r="B8" i="18"/>
  <c r="C7" i="18"/>
  <c r="B7" i="18"/>
  <c r="C6" i="18"/>
  <c r="B6" i="18"/>
  <c r="A6" i="18"/>
  <c r="C5" i="18"/>
  <c r="B5" i="18"/>
  <c r="A5" i="18"/>
  <c r="C158" i="9"/>
  <c r="A158" i="9"/>
  <c r="C157" i="9"/>
  <c r="A157" i="9"/>
  <c r="C156" i="9"/>
  <c r="A156" i="9"/>
  <c r="C155" i="9"/>
  <c r="A155" i="9"/>
  <c r="C154" i="9"/>
  <c r="A154" i="9"/>
  <c r="C153" i="9"/>
  <c r="A153" i="9"/>
  <c r="C152" i="9"/>
  <c r="A152" i="9"/>
  <c r="C151" i="9"/>
  <c r="A151" i="9"/>
  <c r="C150" i="9"/>
  <c r="A150" i="9"/>
  <c r="C149" i="9"/>
  <c r="A149" i="9"/>
  <c r="C148" i="9"/>
  <c r="A148" i="9"/>
  <c r="C147" i="9"/>
  <c r="A147" i="9"/>
  <c r="C146" i="9"/>
  <c r="A146" i="9"/>
  <c r="C145" i="9"/>
  <c r="A145" i="9"/>
  <c r="C144" i="9"/>
  <c r="A144" i="9"/>
  <c r="C143" i="9"/>
  <c r="A143" i="9"/>
  <c r="C142" i="9"/>
  <c r="A142" i="9"/>
  <c r="C141" i="9"/>
  <c r="A141" i="9"/>
  <c r="C140" i="9"/>
  <c r="A140" i="9"/>
  <c r="C139" i="9"/>
  <c r="A139" i="9"/>
  <c r="C138" i="9"/>
  <c r="A138" i="9"/>
  <c r="C137" i="9"/>
  <c r="A137" i="9"/>
  <c r="C136" i="9"/>
  <c r="A136" i="9"/>
  <c r="C135" i="9"/>
  <c r="A135" i="9"/>
  <c r="C134" i="9"/>
  <c r="A134" i="9"/>
  <c r="C133" i="9"/>
  <c r="A133" i="9"/>
  <c r="C132" i="9"/>
  <c r="A132" i="9"/>
  <c r="C131" i="9"/>
  <c r="A131" i="9"/>
  <c r="C130" i="9"/>
  <c r="A130" i="9"/>
  <c r="C129" i="9"/>
  <c r="A129" i="9"/>
  <c r="C128" i="9"/>
  <c r="A128" i="9"/>
  <c r="C127" i="9"/>
  <c r="A127" i="9"/>
  <c r="C126" i="9"/>
  <c r="A126" i="9"/>
  <c r="C125" i="9"/>
  <c r="A125" i="9"/>
  <c r="C124" i="9"/>
  <c r="A124" i="9"/>
  <c r="C123" i="9"/>
  <c r="A123" i="9"/>
  <c r="C122" i="9"/>
  <c r="A122" i="9"/>
  <c r="C121" i="9"/>
  <c r="A121" i="9"/>
  <c r="C120" i="9"/>
  <c r="A120" i="9"/>
  <c r="C119" i="9"/>
  <c r="A119" i="9"/>
  <c r="C118" i="9"/>
  <c r="A118" i="9"/>
  <c r="C117" i="9"/>
  <c r="A117" i="9"/>
  <c r="C116" i="9"/>
  <c r="A116" i="9"/>
  <c r="C115" i="9"/>
  <c r="A115" i="9"/>
  <c r="C114" i="9"/>
  <c r="A114" i="9"/>
  <c r="C113" i="9"/>
  <c r="A113" i="9"/>
  <c r="C112" i="9"/>
  <c r="A112" i="9"/>
  <c r="C111" i="9"/>
  <c r="A111" i="9"/>
  <c r="C110" i="9"/>
  <c r="A110" i="9"/>
  <c r="C109" i="9"/>
  <c r="A109" i="9"/>
  <c r="C108" i="9"/>
  <c r="A108" i="9"/>
  <c r="C107" i="9"/>
  <c r="A107" i="9"/>
  <c r="C106" i="9"/>
  <c r="A106" i="9"/>
  <c r="C105" i="9"/>
  <c r="A105" i="9"/>
  <c r="C104" i="9"/>
  <c r="A104" i="9"/>
  <c r="C103" i="9"/>
  <c r="A103" i="9"/>
  <c r="C102" i="9"/>
  <c r="A102" i="9"/>
  <c r="C101" i="9"/>
  <c r="A101" i="9"/>
  <c r="C100" i="9"/>
  <c r="A100" i="9"/>
  <c r="C99" i="9"/>
  <c r="A99" i="9"/>
  <c r="C98" i="9"/>
  <c r="A98" i="9"/>
  <c r="C97" i="9"/>
  <c r="A97" i="9"/>
  <c r="C96" i="9"/>
  <c r="A96" i="9"/>
  <c r="C95" i="9"/>
  <c r="A95" i="9"/>
  <c r="C94" i="9"/>
  <c r="A94" i="9"/>
  <c r="C93" i="9"/>
  <c r="A93" i="9"/>
  <c r="C92" i="9"/>
  <c r="A92" i="9"/>
  <c r="C91" i="9"/>
  <c r="A91" i="9"/>
  <c r="C90" i="9"/>
  <c r="A90" i="9"/>
  <c r="C89" i="9"/>
  <c r="A89" i="9"/>
  <c r="C88" i="9"/>
  <c r="A88" i="9"/>
  <c r="C87" i="9"/>
  <c r="A87" i="9"/>
  <c r="C86" i="9"/>
  <c r="A86" i="9"/>
  <c r="C85" i="9"/>
  <c r="A85" i="9"/>
  <c r="C84" i="9"/>
  <c r="A84" i="9"/>
  <c r="C83" i="9"/>
  <c r="A83" i="9"/>
  <c r="C82" i="9"/>
  <c r="A82" i="9"/>
  <c r="C81" i="9"/>
  <c r="A81" i="9"/>
  <c r="C80" i="9"/>
  <c r="A80" i="9"/>
  <c r="C79" i="9"/>
  <c r="A79" i="9"/>
  <c r="C78" i="9"/>
  <c r="A78" i="9"/>
  <c r="C77" i="9"/>
  <c r="A77" i="9"/>
  <c r="C76" i="9"/>
  <c r="A76" i="9"/>
  <c r="C75" i="9"/>
  <c r="A75" i="9"/>
  <c r="C74" i="9"/>
  <c r="A74" i="9"/>
  <c r="C73" i="9"/>
  <c r="A73" i="9"/>
  <c r="C72" i="9"/>
  <c r="A72" i="9"/>
  <c r="C71" i="9"/>
  <c r="A71" i="9"/>
  <c r="C70" i="9"/>
  <c r="A70" i="9"/>
  <c r="C69" i="9"/>
  <c r="C68" i="9"/>
  <c r="A68" i="9"/>
  <c r="C67" i="9"/>
  <c r="A67" i="9"/>
  <c r="C66" i="9"/>
  <c r="A66" i="9"/>
  <c r="C65" i="9"/>
  <c r="A65" i="9"/>
  <c r="C64" i="9"/>
  <c r="A64" i="9"/>
  <c r="C63" i="9"/>
  <c r="A63" i="9"/>
  <c r="C62" i="9"/>
  <c r="A62" i="9"/>
  <c r="C61" i="9"/>
  <c r="A61" i="9"/>
  <c r="C60" i="9"/>
  <c r="A60" i="9"/>
  <c r="C59" i="9"/>
  <c r="A59" i="9"/>
  <c r="C58" i="9"/>
  <c r="A58" i="9"/>
  <c r="C57" i="9"/>
  <c r="A57" i="9"/>
  <c r="C56" i="9"/>
  <c r="A56" i="9"/>
  <c r="C55" i="9"/>
  <c r="A55" i="9"/>
  <c r="C54" i="9"/>
  <c r="A54" i="9"/>
  <c r="C53" i="9"/>
  <c r="B53" i="9"/>
  <c r="A53" i="9"/>
  <c r="C52" i="9"/>
  <c r="B52" i="9"/>
  <c r="A52" i="9"/>
  <c r="C51" i="9"/>
  <c r="B51" i="9"/>
  <c r="C50" i="9"/>
  <c r="B50" i="9"/>
  <c r="A50" i="9"/>
  <c r="C49" i="9"/>
  <c r="B49" i="9"/>
  <c r="A49" i="9"/>
  <c r="C48" i="9"/>
  <c r="B48" i="9"/>
  <c r="A48" i="9"/>
  <c r="C47" i="9"/>
  <c r="B47" i="9"/>
  <c r="C46" i="9"/>
  <c r="B46" i="9"/>
  <c r="A46" i="9"/>
  <c r="C45" i="9"/>
  <c r="B45" i="9"/>
  <c r="A45" i="9"/>
  <c r="C44" i="9"/>
  <c r="B44" i="9"/>
  <c r="C43" i="9"/>
  <c r="B43" i="9"/>
  <c r="A43" i="9"/>
  <c r="C42" i="9"/>
  <c r="B42" i="9"/>
  <c r="A42" i="9"/>
  <c r="C41" i="9"/>
  <c r="B41" i="9"/>
  <c r="A41" i="9"/>
  <c r="C40" i="9"/>
  <c r="B40" i="9"/>
  <c r="A40" i="9"/>
  <c r="C39" i="9"/>
  <c r="B39" i="9"/>
  <c r="A39" i="9"/>
  <c r="C38" i="9"/>
  <c r="B38" i="9"/>
  <c r="A38" i="9"/>
  <c r="C37" i="9"/>
  <c r="B37" i="9"/>
  <c r="A37" i="9"/>
  <c r="C36" i="9"/>
  <c r="B36" i="9"/>
  <c r="A36" i="9"/>
  <c r="C35" i="9"/>
  <c r="B35" i="9"/>
  <c r="A35" i="9"/>
  <c r="C34" i="9"/>
  <c r="B34" i="9"/>
  <c r="A34" i="9"/>
  <c r="C33" i="9"/>
  <c r="B33" i="9"/>
  <c r="C32" i="9"/>
  <c r="B32" i="9"/>
  <c r="A32" i="9"/>
  <c r="C31" i="9"/>
  <c r="B31" i="9"/>
  <c r="A31" i="9"/>
  <c r="C30" i="9"/>
  <c r="B30" i="9"/>
  <c r="A30" i="9"/>
  <c r="C29" i="9"/>
  <c r="B29" i="9"/>
  <c r="C28" i="9"/>
  <c r="B28" i="9"/>
  <c r="A28" i="9"/>
  <c r="C27" i="9"/>
  <c r="B27" i="9"/>
  <c r="A27" i="9"/>
  <c r="C26" i="9"/>
  <c r="B26" i="9"/>
  <c r="A26" i="9"/>
  <c r="C25" i="9"/>
  <c r="B25" i="9"/>
  <c r="A25" i="9"/>
  <c r="C24" i="9"/>
  <c r="B24" i="9"/>
  <c r="A24" i="9"/>
  <c r="C23" i="9"/>
  <c r="B23" i="9"/>
  <c r="A23" i="9"/>
  <c r="C22" i="9"/>
  <c r="B22" i="9"/>
  <c r="A22" i="9"/>
  <c r="C21" i="9"/>
  <c r="B21" i="9"/>
  <c r="A21" i="9"/>
  <c r="C20" i="9"/>
  <c r="B20" i="9"/>
  <c r="C19" i="9"/>
  <c r="B19" i="9"/>
  <c r="C18" i="9"/>
  <c r="B18" i="9"/>
  <c r="A18" i="9"/>
  <c r="C17" i="9"/>
  <c r="B17" i="9"/>
  <c r="A17" i="9"/>
  <c r="C16" i="9"/>
  <c r="B16" i="9"/>
  <c r="A16" i="9"/>
  <c r="C15" i="9"/>
  <c r="B15" i="9"/>
  <c r="A15" i="9"/>
  <c r="C14" i="9"/>
  <c r="B14" i="9"/>
  <c r="A14" i="9"/>
  <c r="C13" i="9"/>
  <c r="B13" i="9"/>
  <c r="C12" i="9"/>
  <c r="B12" i="9"/>
  <c r="A12" i="9"/>
  <c r="C11" i="9"/>
  <c r="B11" i="9"/>
  <c r="A11" i="9"/>
  <c r="C10" i="9"/>
  <c r="B10" i="9"/>
  <c r="A10" i="9"/>
  <c r="C9" i="9"/>
  <c r="B9" i="9"/>
  <c r="A9" i="9"/>
  <c r="C8" i="9"/>
  <c r="B8" i="9"/>
  <c r="C7" i="9"/>
  <c r="B7" i="9"/>
  <c r="C6" i="9"/>
  <c r="B6" i="9"/>
  <c r="A6" i="9"/>
  <c r="C5" i="9"/>
  <c r="B5" i="9"/>
  <c r="A5" i="9"/>
  <c r="G324" i="18"/>
  <c r="H324" i="18"/>
  <c r="I324" i="18"/>
  <c r="J324" i="18"/>
  <c r="K324" i="18"/>
  <c r="L324" i="18"/>
  <c r="M324" i="18"/>
  <c r="N324" i="18"/>
  <c r="O324" i="18"/>
  <c r="P324" i="18"/>
  <c r="Q324" i="18"/>
  <c r="R324" i="18"/>
  <c r="S324" i="18"/>
  <c r="T324" i="18"/>
  <c r="U324" i="18"/>
  <c r="V324" i="18"/>
  <c r="W324" i="18"/>
  <c r="X324" i="18"/>
  <c r="Y324" i="18"/>
  <c r="Z324" i="18"/>
  <c r="AA324" i="18"/>
  <c r="G321" i="18"/>
  <c r="H321" i="18"/>
  <c r="I321" i="18"/>
  <c r="J321" i="18"/>
  <c r="K321" i="18"/>
  <c r="L321" i="18"/>
  <c r="M321" i="18"/>
  <c r="N321" i="18"/>
  <c r="O321" i="18"/>
  <c r="P321" i="18"/>
  <c r="Q321" i="18"/>
  <c r="R321" i="18"/>
  <c r="S321" i="18"/>
  <c r="T321" i="18"/>
  <c r="U321" i="18"/>
  <c r="V321" i="18"/>
  <c r="W321" i="18"/>
  <c r="X321" i="18"/>
  <c r="Y321" i="18"/>
  <c r="Z321" i="18"/>
  <c r="AA321" i="18"/>
  <c r="G309" i="18"/>
  <c r="H309" i="18"/>
  <c r="I309" i="18"/>
  <c r="J309" i="18"/>
  <c r="K309" i="18"/>
  <c r="L309" i="18"/>
  <c r="M309" i="18"/>
  <c r="N309" i="18"/>
  <c r="O309" i="18"/>
  <c r="P309" i="18"/>
  <c r="Q309" i="18"/>
  <c r="R309" i="18"/>
  <c r="S309" i="18"/>
  <c r="T309" i="18"/>
  <c r="U309" i="18"/>
  <c r="V309" i="18"/>
  <c r="W309" i="18"/>
  <c r="X309" i="18"/>
  <c r="Y309" i="18"/>
  <c r="Z309" i="18"/>
  <c r="AA309" i="18"/>
  <c r="G305" i="18"/>
  <c r="H305" i="18"/>
  <c r="I305" i="18"/>
  <c r="J305" i="18"/>
  <c r="K305" i="18"/>
  <c r="L305" i="18"/>
  <c r="M305" i="18"/>
  <c r="N305" i="18"/>
  <c r="O305" i="18"/>
  <c r="P305" i="18"/>
  <c r="Q305" i="18"/>
  <c r="R305" i="18"/>
  <c r="S305" i="18"/>
  <c r="T305" i="18"/>
  <c r="U305" i="18"/>
  <c r="V305" i="18"/>
  <c r="W305" i="18"/>
  <c r="X305" i="18"/>
  <c r="Y305" i="18"/>
  <c r="Z305" i="18"/>
  <c r="AA305" i="18"/>
  <c r="G277" i="18"/>
  <c r="H277" i="18"/>
  <c r="I277" i="18"/>
  <c r="J277" i="18"/>
  <c r="K277" i="18"/>
  <c r="L277" i="18"/>
  <c r="M277" i="18"/>
  <c r="N277" i="18"/>
  <c r="O277" i="18"/>
  <c r="P277" i="18"/>
  <c r="Q277" i="18"/>
  <c r="R277" i="18"/>
  <c r="S277" i="18"/>
  <c r="T277" i="18"/>
  <c r="U277" i="18"/>
  <c r="V277" i="18"/>
  <c r="W277" i="18"/>
  <c r="X277" i="18"/>
  <c r="Y277" i="18"/>
  <c r="Z277" i="18"/>
  <c r="AA277" i="18"/>
  <c r="G268" i="18"/>
  <c r="H268" i="18"/>
  <c r="I268" i="18"/>
  <c r="J268" i="18"/>
  <c r="K268" i="18"/>
  <c r="L268" i="18"/>
  <c r="M268" i="18"/>
  <c r="N268" i="18"/>
  <c r="O268" i="18"/>
  <c r="P268" i="18"/>
  <c r="Q268" i="18"/>
  <c r="R268" i="18"/>
  <c r="S268" i="18"/>
  <c r="T268" i="18"/>
  <c r="U268" i="18"/>
  <c r="V268" i="18"/>
  <c r="W268" i="18"/>
  <c r="X268" i="18"/>
  <c r="Y268" i="18"/>
  <c r="Z268" i="18"/>
  <c r="AA268" i="18"/>
  <c r="G265" i="18"/>
  <c r="H265" i="18"/>
  <c r="I265" i="18"/>
  <c r="J265" i="18"/>
  <c r="K265" i="18"/>
  <c r="L265" i="18"/>
  <c r="M265" i="18"/>
  <c r="N265" i="18"/>
  <c r="O265" i="18"/>
  <c r="P265" i="18"/>
  <c r="Q265" i="18"/>
  <c r="R265" i="18"/>
  <c r="S265" i="18"/>
  <c r="T265" i="18"/>
  <c r="U265" i="18"/>
  <c r="V265" i="18"/>
  <c r="W265" i="18"/>
  <c r="X265" i="18"/>
  <c r="Y265" i="18"/>
  <c r="Z265" i="18"/>
  <c r="AA265" i="18"/>
  <c r="G249" i="18"/>
  <c r="H249" i="18"/>
  <c r="I249" i="18"/>
  <c r="J249" i="18"/>
  <c r="K249" i="18"/>
  <c r="L249" i="18"/>
  <c r="M249" i="18"/>
  <c r="N249" i="18"/>
  <c r="O249" i="18"/>
  <c r="P249" i="18"/>
  <c r="Q249" i="18"/>
  <c r="R249" i="18"/>
  <c r="S249" i="18"/>
  <c r="T249" i="18"/>
  <c r="U249" i="18"/>
  <c r="V249" i="18"/>
  <c r="W249" i="18"/>
  <c r="X249" i="18"/>
  <c r="Y249" i="18"/>
  <c r="Z249" i="18"/>
  <c r="AA249" i="18"/>
  <c r="G247" i="18"/>
  <c r="H247" i="18"/>
  <c r="I247" i="18"/>
  <c r="J247" i="18"/>
  <c r="K247" i="18"/>
  <c r="L247" i="18"/>
  <c r="M247" i="18"/>
  <c r="N247" i="18"/>
  <c r="O247" i="18"/>
  <c r="P247" i="18"/>
  <c r="Q247" i="18"/>
  <c r="R247" i="18"/>
  <c r="S247" i="18"/>
  <c r="T247" i="18"/>
  <c r="U247" i="18"/>
  <c r="V247" i="18"/>
  <c r="W247" i="18"/>
  <c r="X247" i="18"/>
  <c r="Y247" i="18"/>
  <c r="Z247" i="18"/>
  <c r="AA247" i="18"/>
  <c r="G239" i="18"/>
  <c r="H239" i="18"/>
  <c r="I239" i="18"/>
  <c r="J239" i="18"/>
  <c r="K239" i="18"/>
  <c r="L239" i="18"/>
  <c r="M239" i="18"/>
  <c r="N239" i="18"/>
  <c r="O239" i="18"/>
  <c r="P239" i="18"/>
  <c r="Q239" i="18"/>
  <c r="R239" i="18"/>
  <c r="S239" i="18"/>
  <c r="T239" i="18"/>
  <c r="U239" i="18"/>
  <c r="V239" i="18"/>
  <c r="W239" i="18"/>
  <c r="X239" i="18"/>
  <c r="Y239" i="18"/>
  <c r="Z239" i="18"/>
  <c r="AA239" i="18"/>
  <c r="G227" i="18"/>
  <c r="H227" i="18"/>
  <c r="I227" i="18"/>
  <c r="J227" i="18"/>
  <c r="K227" i="18"/>
  <c r="L227" i="18"/>
  <c r="M227" i="18"/>
  <c r="N227" i="18"/>
  <c r="O227" i="18"/>
  <c r="P227" i="18"/>
  <c r="Q227" i="18"/>
  <c r="R227" i="18"/>
  <c r="S227" i="18"/>
  <c r="T227" i="18"/>
  <c r="U227" i="18"/>
  <c r="V227" i="18"/>
  <c r="W227" i="18"/>
  <c r="X227" i="18"/>
  <c r="Y227" i="18"/>
  <c r="Z227" i="18"/>
  <c r="AA227" i="18"/>
  <c r="I164" i="18"/>
  <c r="J164" i="18"/>
  <c r="K164" i="18" s="1"/>
  <c r="L164" i="18" s="1"/>
  <c r="M164" i="18" s="1"/>
  <c r="N164" i="18" s="1"/>
  <c r="O164" i="18" s="1"/>
  <c r="P164" i="18" s="1"/>
  <c r="Q164" i="18" s="1"/>
  <c r="R164" i="18" s="1"/>
  <c r="S164" i="18" s="1"/>
  <c r="T164" i="18" s="1"/>
  <c r="U164" i="18" s="1"/>
  <c r="V164" i="18" s="1"/>
  <c r="W164" i="18" s="1"/>
  <c r="X164" i="18" s="1"/>
  <c r="Y164" i="18" s="1"/>
  <c r="Z164" i="18" s="1"/>
  <c r="I4" i="18"/>
  <c r="J4" i="18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I164" i="17"/>
  <c r="J164" i="17"/>
  <c r="K164" i="17" s="1"/>
  <c r="L164" i="17" s="1"/>
  <c r="M164" i="17" s="1"/>
  <c r="N164" i="17" s="1"/>
  <c r="O164" i="17" s="1"/>
  <c r="P164" i="17" s="1"/>
  <c r="Q164" i="17" s="1"/>
  <c r="R164" i="17" s="1"/>
  <c r="S164" i="17" s="1"/>
  <c r="T164" i="17" s="1"/>
  <c r="U164" i="17" s="1"/>
  <c r="V164" i="17" s="1"/>
  <c r="W164" i="17" s="1"/>
  <c r="X164" i="17" s="1"/>
  <c r="Y164" i="17" s="1"/>
  <c r="Z164" i="17" s="1"/>
  <c r="I4" i="17"/>
  <c r="J4" i="17"/>
  <c r="K4" i="17" s="1"/>
  <c r="L4" i="17" s="1"/>
  <c r="M4" i="17" s="1"/>
  <c r="N4" i="17" s="1"/>
  <c r="O4" i="17" s="1"/>
  <c r="P4" i="17" s="1"/>
  <c r="Q4" i="17" s="1"/>
  <c r="R4" i="17" s="1"/>
  <c r="S4" i="17" s="1"/>
  <c r="T4" i="17" s="1"/>
  <c r="U4" i="17" s="1"/>
  <c r="V4" i="17" s="1"/>
  <c r="W4" i="17" s="1"/>
  <c r="X4" i="17" s="1"/>
  <c r="Y4" i="17" s="1"/>
  <c r="Z4" i="17" s="1"/>
  <c r="I4" i="16"/>
  <c r="J4" i="16"/>
  <c r="K4" i="16" s="1"/>
  <c r="L4" i="16" s="1"/>
  <c r="M4" i="16" s="1"/>
  <c r="N4" i="16" s="1"/>
  <c r="O4" i="16" s="1"/>
  <c r="P4" i="16" s="1"/>
  <c r="Q4" i="16" s="1"/>
  <c r="R4" i="16" s="1"/>
  <c r="S4" i="16" s="1"/>
  <c r="T4" i="16" s="1"/>
  <c r="U4" i="16" s="1"/>
  <c r="V4" i="16" s="1"/>
  <c r="W4" i="16" s="1"/>
  <c r="X4" i="16" s="1"/>
  <c r="Y4" i="16" s="1"/>
  <c r="Z4" i="16" s="1"/>
  <c r="I4" i="15"/>
  <c r="J4" i="15"/>
  <c r="K4" i="15" s="1"/>
  <c r="L4" i="15" s="1"/>
  <c r="M4" i="15" s="1"/>
  <c r="N4" i="15" s="1"/>
  <c r="O4" i="15" s="1"/>
  <c r="P4" i="15" s="1"/>
  <c r="Q4" i="15" s="1"/>
  <c r="R4" i="15" s="1"/>
  <c r="S4" i="15" s="1"/>
  <c r="T4" i="15" s="1"/>
  <c r="U4" i="15" s="1"/>
  <c r="V4" i="15" s="1"/>
  <c r="W4" i="15" s="1"/>
  <c r="X4" i="15" s="1"/>
  <c r="Y4" i="15" s="1"/>
  <c r="Z4" i="15" s="1"/>
  <c r="I4" i="14"/>
  <c r="J4" i="14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I164" i="13"/>
  <c r="J164" i="13"/>
  <c r="K164" i="13" s="1"/>
  <c r="L164" i="13" s="1"/>
  <c r="M164" i="13" s="1"/>
  <c r="N164" i="13" s="1"/>
  <c r="O164" i="13" s="1"/>
  <c r="P164" i="13" s="1"/>
  <c r="Q164" i="13" s="1"/>
  <c r="R164" i="13" s="1"/>
  <c r="S164" i="13" s="1"/>
  <c r="T164" i="13" s="1"/>
  <c r="U164" i="13" s="1"/>
  <c r="V164" i="13" s="1"/>
  <c r="W164" i="13" s="1"/>
  <c r="X164" i="13" s="1"/>
  <c r="Y164" i="13" s="1"/>
  <c r="Z164" i="13" s="1"/>
  <c r="I4" i="13"/>
  <c r="J4" i="13"/>
  <c r="K4" i="13" s="1"/>
  <c r="L4" i="13" s="1"/>
  <c r="M4" i="13" s="1"/>
  <c r="N4" i="13" s="1"/>
  <c r="O4" i="13" s="1"/>
  <c r="P4" i="13" s="1"/>
  <c r="Q4" i="13" s="1"/>
  <c r="R4" i="13" s="1"/>
  <c r="S4" i="13" s="1"/>
  <c r="T4" i="13" s="1"/>
  <c r="U4" i="13" s="1"/>
  <c r="V4" i="13" s="1"/>
  <c r="W4" i="13" s="1"/>
  <c r="X4" i="13" s="1"/>
  <c r="Y4" i="13" s="1"/>
  <c r="Z4" i="13" s="1"/>
  <c r="I164" i="12"/>
  <c r="J164" i="12"/>
  <c r="K164" i="12" s="1"/>
  <c r="L164" i="12" s="1"/>
  <c r="M164" i="12" s="1"/>
  <c r="N164" i="12" s="1"/>
  <c r="O164" i="12" s="1"/>
  <c r="P164" i="12" s="1"/>
  <c r="Q164" i="12" s="1"/>
  <c r="R164" i="12" s="1"/>
  <c r="S164" i="12" s="1"/>
  <c r="T164" i="12" s="1"/>
  <c r="U164" i="12" s="1"/>
  <c r="V164" i="12" s="1"/>
  <c r="W164" i="12" s="1"/>
  <c r="X164" i="12" s="1"/>
  <c r="Y164" i="12" s="1"/>
  <c r="Z164" i="12" s="1"/>
  <c r="I4" i="12"/>
  <c r="J4" i="12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I4" i="11"/>
  <c r="J4" i="1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I4" i="10"/>
  <c r="J4" i="10"/>
  <c r="K4" i="10" s="1"/>
  <c r="L4" i="10" s="1"/>
  <c r="M4" i="10" s="1"/>
  <c r="N4" i="10" s="1"/>
  <c r="O4" i="10" s="1"/>
  <c r="P4" i="10" s="1"/>
  <c r="Q4" i="10" s="1"/>
  <c r="R4" i="10" s="1"/>
  <c r="S4" i="10" s="1"/>
  <c r="T4" i="10" s="1"/>
  <c r="U4" i="10" s="1"/>
  <c r="V4" i="10" s="1"/>
  <c r="W4" i="10" s="1"/>
  <c r="X4" i="10" s="1"/>
  <c r="Y4" i="10" s="1"/>
  <c r="Z4" i="10" s="1"/>
  <c r="I4" i="9"/>
  <c r="J4" i="9" s="1"/>
  <c r="K4" i="9" s="1"/>
  <c r="L4" i="9" s="1"/>
  <c r="M4" i="9" s="1"/>
  <c r="N4" i="9" s="1"/>
  <c r="O4" i="9" s="1"/>
  <c r="P4" i="9" s="1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G15" i="7"/>
  <c r="F15" i="7"/>
  <c r="C15" i="7"/>
  <c r="B15" i="7"/>
  <c r="G14" i="7"/>
  <c r="F14" i="7"/>
  <c r="C14" i="7"/>
  <c r="B14" i="7"/>
  <c r="G13" i="7"/>
  <c r="F13" i="7"/>
  <c r="C13" i="7"/>
  <c r="B13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G12" i="7"/>
  <c r="F12" i="7"/>
  <c r="C12" i="7"/>
  <c r="B12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G11" i="7"/>
  <c r="F11" i="7"/>
  <c r="C11" i="7"/>
  <c r="B11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G10" i="7"/>
  <c r="F10" i="7"/>
  <c r="C10" i="7"/>
  <c r="B10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G9" i="7"/>
  <c r="F9" i="7"/>
  <c r="C9" i="7"/>
  <c r="B9" i="7"/>
  <c r="G8" i="7"/>
  <c r="F8" i="7"/>
  <c r="C8" i="7"/>
  <c r="B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G7" i="7"/>
  <c r="F7" i="7"/>
  <c r="C7" i="7"/>
  <c r="B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G6" i="7"/>
  <c r="F6" i="7"/>
  <c r="C6" i="7"/>
  <c r="B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G5" i="7"/>
  <c r="F5" i="7"/>
  <c r="C5" i="7"/>
  <c r="B5" i="7"/>
  <c r="BT160" i="8"/>
  <c r="Z160" i="22" s="1"/>
  <c r="BS160" i="8"/>
  <c r="Y160" i="22" s="1"/>
  <c r="BR160" i="8"/>
  <c r="X160" i="22" s="1"/>
  <c r="BQ160" i="8"/>
  <c r="W160" i="22" s="1"/>
  <c r="BP160" i="8"/>
  <c r="V160" i="22" s="1"/>
  <c r="BO160" i="8"/>
  <c r="U160" i="22" s="1"/>
  <c r="BN160" i="8"/>
  <c r="T160" i="22" s="1"/>
  <c r="BM160" i="8"/>
  <c r="S160" i="22" s="1"/>
  <c r="BL160" i="8"/>
  <c r="R160" i="22" s="1"/>
  <c r="BK160" i="8"/>
  <c r="Q160" i="22" s="1"/>
  <c r="BJ160" i="8"/>
  <c r="P160" i="22" s="1"/>
  <c r="BI160" i="8"/>
  <c r="O160" i="22" s="1"/>
  <c r="BH160" i="8"/>
  <c r="N160" i="22" s="1"/>
  <c r="BG160" i="8"/>
  <c r="M160" i="22" s="1"/>
  <c r="BE160" i="8"/>
  <c r="K160" i="22" s="1"/>
  <c r="BD160" i="8"/>
  <c r="J160" i="22" s="1"/>
  <c r="BC160" i="8"/>
  <c r="I160" i="22" s="1"/>
  <c r="BB160" i="8"/>
  <c r="H160" i="22" s="1"/>
  <c r="BA160" i="8"/>
  <c r="G160" i="22" s="1"/>
  <c r="AI160" i="22" s="1"/>
  <c r="AZ160" i="8"/>
  <c r="F160" i="22" s="1"/>
  <c r="BT140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E140" i="8"/>
  <c r="BD140" i="8"/>
  <c r="BC140" i="8"/>
  <c r="BB140" i="8"/>
  <c r="BA140" i="8"/>
  <c r="G133" i="6" s="1"/>
  <c r="AI133" i="6" s="1"/>
  <c r="AZ140" i="8"/>
  <c r="BT139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E139" i="8"/>
  <c r="BD139" i="8"/>
  <c r="BC139" i="8"/>
  <c r="BB139" i="8"/>
  <c r="BA139" i="8"/>
  <c r="G132" i="6" s="1"/>
  <c r="AI132" i="6" s="1"/>
  <c r="AZ139" i="8"/>
  <c r="BT119" i="8"/>
  <c r="BS119" i="8"/>
  <c r="BR119" i="8"/>
  <c r="BQ119" i="8"/>
  <c r="BP119" i="8"/>
  <c r="BO119" i="8"/>
  <c r="BN119" i="8"/>
  <c r="BM119" i="8"/>
  <c r="BL119" i="8"/>
  <c r="BK119" i="8"/>
  <c r="BJ119" i="8"/>
  <c r="BI119" i="8"/>
  <c r="BH119" i="8"/>
  <c r="BG119" i="8"/>
  <c r="BE119" i="8"/>
  <c r="BD119" i="8"/>
  <c r="BC119" i="8"/>
  <c r="BB119" i="8"/>
  <c r="BA119" i="8"/>
  <c r="AZ119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E100" i="8"/>
  <c r="BD100" i="8"/>
  <c r="BC100" i="8"/>
  <c r="BB100" i="8"/>
  <c r="BA100" i="8"/>
  <c r="G96" i="6" s="1"/>
  <c r="AI96" i="6" s="1"/>
  <c r="AZ100" i="8"/>
  <c r="BT92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E92" i="8"/>
  <c r="BD92" i="8"/>
  <c r="BC92" i="8"/>
  <c r="I88" i="6" s="1"/>
  <c r="BB92" i="8"/>
  <c r="BA92" i="8"/>
  <c r="AZ92" i="8"/>
  <c r="BT86" i="8"/>
  <c r="Z86" i="22" s="1"/>
  <c r="BS86" i="8"/>
  <c r="Y86" i="22" s="1"/>
  <c r="BR86" i="8"/>
  <c r="X86" i="22" s="1"/>
  <c r="BQ86" i="8"/>
  <c r="W86" i="22" s="1"/>
  <c r="BP86" i="8"/>
  <c r="V86" i="22" s="1"/>
  <c r="BO86" i="8"/>
  <c r="U86" i="22" s="1"/>
  <c r="BN86" i="8"/>
  <c r="T86" i="22" s="1"/>
  <c r="BM86" i="8"/>
  <c r="S86" i="22" s="1"/>
  <c r="BL86" i="8"/>
  <c r="R86" i="22" s="1"/>
  <c r="BK86" i="8"/>
  <c r="Q86" i="22" s="1"/>
  <c r="BJ86" i="8"/>
  <c r="P86" i="22" s="1"/>
  <c r="BI86" i="8"/>
  <c r="O86" i="22" s="1"/>
  <c r="BH86" i="8"/>
  <c r="N86" i="22" s="1"/>
  <c r="BG86" i="8"/>
  <c r="M86" i="22" s="1"/>
  <c r="BE86" i="8"/>
  <c r="K86" i="22" s="1"/>
  <c r="BD86" i="8"/>
  <c r="J86" i="22" s="1"/>
  <c r="BC86" i="8"/>
  <c r="I86" i="22" s="1"/>
  <c r="BB86" i="8"/>
  <c r="H86" i="22" s="1"/>
  <c r="BA86" i="8"/>
  <c r="G86" i="22" s="1"/>
  <c r="AI86" i="22" s="1"/>
  <c r="AZ86" i="8"/>
  <c r="F86" i="22" s="1"/>
  <c r="BT76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E76" i="8"/>
  <c r="BD76" i="8"/>
  <c r="BC76" i="8"/>
  <c r="BB76" i="8"/>
  <c r="BA76" i="8"/>
  <c r="AZ76" i="8"/>
  <c r="BT73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E73" i="8"/>
  <c r="BD73" i="8"/>
  <c r="BC73" i="8"/>
  <c r="BB73" i="8"/>
  <c r="BA73" i="8"/>
  <c r="AZ73" i="8"/>
  <c r="BT61" i="8"/>
  <c r="BS61" i="8"/>
  <c r="Y61" i="6" s="1"/>
  <c r="BR61" i="8"/>
  <c r="X61" i="6" s="1"/>
  <c r="BQ61" i="8"/>
  <c r="W61" i="6" s="1"/>
  <c r="BP61" i="8"/>
  <c r="V61" i="6" s="1"/>
  <c r="BO61" i="8"/>
  <c r="U61" i="6" s="1"/>
  <c r="BN61" i="8"/>
  <c r="BM61" i="8"/>
  <c r="S61" i="6" s="1"/>
  <c r="BL61" i="8"/>
  <c r="R61" i="6" s="1"/>
  <c r="BK61" i="8"/>
  <c r="BJ61" i="8"/>
  <c r="P61" i="6" s="1"/>
  <c r="BI61" i="8"/>
  <c r="O61" i="6" s="1"/>
  <c r="BH61" i="8"/>
  <c r="BG61" i="8"/>
  <c r="M61" i="6" s="1"/>
  <c r="BE61" i="8"/>
  <c r="BD61" i="8"/>
  <c r="BC61" i="8"/>
  <c r="BB61" i="8"/>
  <c r="BA61" i="8"/>
  <c r="G61" i="6" s="1"/>
  <c r="AI61" i="6" s="1"/>
  <c r="AZ61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E59" i="8"/>
  <c r="BD59" i="8"/>
  <c r="BC59" i="8"/>
  <c r="BB59" i="8"/>
  <c r="BA59" i="8"/>
  <c r="G59" i="6" s="1"/>
  <c r="AI59" i="6" s="1"/>
  <c r="AZ59" i="8"/>
  <c r="BT58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E58" i="8"/>
  <c r="BD58" i="8"/>
  <c r="BC58" i="8"/>
  <c r="BB58" i="8"/>
  <c r="BA58" i="8"/>
  <c r="AZ58" i="8"/>
  <c r="BT51" i="8"/>
  <c r="Z51" i="6" s="1"/>
  <c r="BS51" i="8"/>
  <c r="Y51" i="6" s="1"/>
  <c r="BR51" i="8"/>
  <c r="X51" i="6" s="1"/>
  <c r="BQ51" i="8"/>
  <c r="W51" i="6" s="1"/>
  <c r="BP51" i="8"/>
  <c r="V51" i="6" s="1"/>
  <c r="BO51" i="8"/>
  <c r="U51" i="6" s="1"/>
  <c r="BN51" i="8"/>
  <c r="T51" i="6" s="1"/>
  <c r="BM51" i="8"/>
  <c r="S51" i="6" s="1"/>
  <c r="BL51" i="8"/>
  <c r="R51" i="6" s="1"/>
  <c r="BK51" i="8"/>
  <c r="Q51" i="6" s="1"/>
  <c r="F51" i="37" s="1"/>
  <c r="BJ51" i="8"/>
  <c r="P51" i="6" s="1"/>
  <c r="BI51" i="8"/>
  <c r="O51" i="6" s="1"/>
  <c r="BH51" i="8"/>
  <c r="N51" i="6" s="1"/>
  <c r="BG51" i="8"/>
  <c r="M51" i="6" s="1"/>
  <c r="BE51" i="8"/>
  <c r="K51" i="6" s="1"/>
  <c r="BD51" i="8"/>
  <c r="J51" i="6" s="1"/>
  <c r="BC51" i="8"/>
  <c r="I51" i="6" s="1"/>
  <c r="BB51" i="8"/>
  <c r="H51" i="6" s="1"/>
  <c r="BA51" i="8"/>
  <c r="G51" i="6" s="1"/>
  <c r="AZ51" i="8"/>
  <c r="F51" i="6" s="1"/>
  <c r="E51" i="9" s="1"/>
  <c r="D51" i="9" s="1"/>
  <c r="BT37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E37" i="8"/>
  <c r="BD37" i="8"/>
  <c r="BC37" i="8"/>
  <c r="BB37" i="8"/>
  <c r="BA37" i="8"/>
  <c r="G37" i="6" s="1"/>
  <c r="AZ37" i="8"/>
  <c r="BT36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E36" i="8"/>
  <c r="BD36" i="8"/>
  <c r="BC36" i="8"/>
  <c r="BB36" i="8"/>
  <c r="BA36" i="8"/>
  <c r="G36" i="6" s="1"/>
  <c r="AI36" i="6" s="1"/>
  <c r="AZ36" i="8"/>
  <c r="BT33" i="8"/>
  <c r="Z33" i="6" s="1"/>
  <c r="BS33" i="8"/>
  <c r="BR33" i="8"/>
  <c r="X33" i="6" s="1"/>
  <c r="BQ33" i="8"/>
  <c r="W33" i="6" s="1"/>
  <c r="BP33" i="8"/>
  <c r="BO33" i="8"/>
  <c r="U33" i="6" s="1"/>
  <c r="BN33" i="8"/>
  <c r="T33" i="6" s="1"/>
  <c r="BM33" i="8"/>
  <c r="BL33" i="8"/>
  <c r="R33" i="6" s="1"/>
  <c r="BK33" i="8"/>
  <c r="Q33" i="6" s="1"/>
  <c r="F33" i="37" s="1"/>
  <c r="BJ33" i="8"/>
  <c r="BI33" i="8"/>
  <c r="O33" i="6" s="1"/>
  <c r="BH33" i="8"/>
  <c r="N33" i="6" s="1"/>
  <c r="BG33" i="8"/>
  <c r="BE33" i="8"/>
  <c r="BD33" i="8"/>
  <c r="BC33" i="8"/>
  <c r="BB33" i="8"/>
  <c r="BA33" i="8"/>
  <c r="G33" i="6" s="1"/>
  <c r="AI33" i="6" s="1"/>
  <c r="AZ33" i="8"/>
  <c r="BT32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E32" i="8"/>
  <c r="BD32" i="8"/>
  <c r="BC32" i="8"/>
  <c r="BB32" i="8"/>
  <c r="BA32" i="8"/>
  <c r="G32" i="6" s="1"/>
  <c r="AZ32" i="8"/>
  <c r="AI14" i="6"/>
  <c r="AI27" i="6"/>
  <c r="AI46" i="6"/>
  <c r="AI56" i="6"/>
  <c r="AB66" i="6"/>
  <c r="AD66" i="6" s="1"/>
  <c r="AB77" i="6"/>
  <c r="AD77" i="6" s="1"/>
  <c r="AB84" i="6"/>
  <c r="AD84" i="6" s="1"/>
  <c r="AB85" i="6"/>
  <c r="AF85" i="6" s="1"/>
  <c r="AB100" i="6"/>
  <c r="AB102" i="6"/>
  <c r="AD102" i="6" s="1"/>
  <c r="AB110" i="6"/>
  <c r="AF110" i="6" s="1"/>
  <c r="AB137" i="6"/>
  <c r="AE137" i="6" s="1"/>
  <c r="AB140" i="6"/>
  <c r="AF140" i="6" s="1"/>
  <c r="AB151" i="6"/>
  <c r="AF151" i="6" s="1"/>
  <c r="AB153" i="6"/>
  <c r="AF153" i="6" s="1"/>
  <c r="AF158" i="6"/>
  <c r="AE158" i="6"/>
  <c r="AF157" i="6"/>
  <c r="AE157" i="6"/>
  <c r="AF155" i="6"/>
  <c r="AE155" i="6"/>
  <c r="AF154" i="6"/>
  <c r="AE154" i="6"/>
  <c r="AD152" i="6"/>
  <c r="AD150" i="6"/>
  <c r="AF149" i="6"/>
  <c r="AE149" i="6"/>
  <c r="AI148" i="6"/>
  <c r="AF148" i="6"/>
  <c r="AE148" i="6"/>
  <c r="AD147" i="6"/>
  <c r="AD146" i="6"/>
  <c r="AD145" i="6"/>
  <c r="AF144" i="6"/>
  <c r="AE144" i="6"/>
  <c r="AD144" i="6"/>
  <c r="AI143" i="6"/>
  <c r="AF143" i="6"/>
  <c r="AE143" i="6"/>
  <c r="AD143" i="6"/>
  <c r="AD142" i="6"/>
  <c r="AD141" i="6"/>
  <c r="AF139" i="6"/>
  <c r="AE139" i="6"/>
  <c r="AD136" i="6"/>
  <c r="AF134" i="6"/>
  <c r="AE134" i="6"/>
  <c r="AF133" i="6"/>
  <c r="AE133" i="6"/>
  <c r="AD133" i="6"/>
  <c r="AF132" i="6"/>
  <c r="AE132" i="6"/>
  <c r="AD132" i="6"/>
  <c r="AF131" i="6"/>
  <c r="AE131" i="6"/>
  <c r="AF130" i="6"/>
  <c r="AE130" i="6"/>
  <c r="AD129" i="6"/>
  <c r="AF128" i="6"/>
  <c r="AE128" i="6"/>
  <c r="AD128" i="6"/>
  <c r="AF127" i="6"/>
  <c r="AE127" i="6"/>
  <c r="AF126" i="6"/>
  <c r="AE126" i="6"/>
  <c r="AD126" i="6"/>
  <c r="AF125" i="6"/>
  <c r="AE125" i="6"/>
  <c r="AF122" i="6"/>
  <c r="AE122" i="6"/>
  <c r="AD121" i="6"/>
  <c r="AD120" i="6"/>
  <c r="AF119" i="6"/>
  <c r="AE119" i="6"/>
  <c r="AD118" i="6"/>
  <c r="AF117" i="6"/>
  <c r="AE117" i="6"/>
  <c r="AD116" i="6"/>
  <c r="AD115" i="6"/>
  <c r="AF114" i="6"/>
  <c r="AE114" i="6"/>
  <c r="AF113" i="6"/>
  <c r="AE113" i="6"/>
  <c r="AD113" i="6"/>
  <c r="AF112" i="6"/>
  <c r="AE112" i="6"/>
  <c r="AD112" i="6"/>
  <c r="AD111" i="6"/>
  <c r="AE110" i="6"/>
  <c r="AD110" i="6"/>
  <c r="AD109" i="6"/>
  <c r="AF108" i="6"/>
  <c r="AE108" i="6"/>
  <c r="AD107" i="6"/>
  <c r="AD106" i="6"/>
  <c r="AD105" i="6"/>
  <c r="AF104" i="6"/>
  <c r="AE104" i="6"/>
  <c r="AD104" i="6"/>
  <c r="AF103" i="6"/>
  <c r="AE103" i="6"/>
  <c r="AF102" i="6"/>
  <c r="AF101" i="6"/>
  <c r="AE101" i="6"/>
  <c r="AF100" i="6"/>
  <c r="AE100" i="6"/>
  <c r="AD100" i="6"/>
  <c r="AD99" i="6"/>
  <c r="AF98" i="6"/>
  <c r="AE98" i="6"/>
  <c r="AD97" i="6"/>
  <c r="AF96" i="6"/>
  <c r="AE96" i="6"/>
  <c r="AD96" i="6"/>
  <c r="AD95" i="6"/>
  <c r="AD94" i="6"/>
  <c r="AD93" i="6"/>
  <c r="AF92" i="6"/>
  <c r="AE92" i="6"/>
  <c r="AF91" i="6"/>
  <c r="AE91" i="6"/>
  <c r="AF90" i="6"/>
  <c r="AE90" i="6"/>
  <c r="AD89" i="6"/>
  <c r="AF88" i="6"/>
  <c r="AE88" i="6"/>
  <c r="AD88" i="6"/>
  <c r="AF87" i="6"/>
  <c r="AE87" i="6"/>
  <c r="AF86" i="6"/>
  <c r="AE86" i="6"/>
  <c r="AF84" i="6"/>
  <c r="AE84" i="6"/>
  <c r="AD83" i="6"/>
  <c r="AF82" i="6"/>
  <c r="AE82" i="6"/>
  <c r="AD81" i="6"/>
  <c r="AF80" i="6"/>
  <c r="AE80" i="6"/>
  <c r="AD79" i="6"/>
  <c r="AF78" i="6"/>
  <c r="AE78" i="6"/>
  <c r="AD78" i="6"/>
  <c r="AF77" i="6"/>
  <c r="AD76" i="6"/>
  <c r="AF75" i="6"/>
  <c r="AE75" i="6"/>
  <c r="AD75" i="6"/>
  <c r="AF74" i="6"/>
  <c r="AE74" i="6"/>
  <c r="AD73" i="6"/>
  <c r="AF72" i="6"/>
  <c r="AE72" i="6"/>
  <c r="AD72" i="6"/>
  <c r="AF71" i="6"/>
  <c r="AE71" i="6"/>
  <c r="AD71" i="6"/>
  <c r="AF70" i="6"/>
  <c r="AE70" i="6"/>
  <c r="AF69" i="6"/>
  <c r="AE69" i="6"/>
  <c r="AD68" i="6"/>
  <c r="AF67" i="6"/>
  <c r="AD65" i="6"/>
  <c r="AF64" i="6"/>
  <c r="AE64" i="6"/>
  <c r="AD64" i="6"/>
  <c r="AD63" i="6"/>
  <c r="AF62" i="6"/>
  <c r="AE62" i="6"/>
  <c r="AF61" i="6"/>
  <c r="AE61" i="6"/>
  <c r="AD61" i="6"/>
  <c r="AD60" i="6"/>
  <c r="AF59" i="6"/>
  <c r="AE59" i="6"/>
  <c r="AD59" i="6"/>
  <c r="AF58" i="6"/>
  <c r="AE58" i="6"/>
  <c r="AD58" i="6"/>
  <c r="AD57" i="6"/>
  <c r="AF56" i="6"/>
  <c r="AE56" i="6"/>
  <c r="AD56" i="6"/>
  <c r="AF55" i="6"/>
  <c r="AE55" i="6"/>
  <c r="AD54" i="6"/>
  <c r="AF53" i="6"/>
  <c r="AE53" i="6"/>
  <c r="AD52" i="6"/>
  <c r="AF51" i="6"/>
  <c r="AE51" i="6"/>
  <c r="AD51" i="6"/>
  <c r="AD50" i="6"/>
  <c r="AD49" i="6"/>
  <c r="AF48" i="6"/>
  <c r="AE48" i="6"/>
  <c r="AD47" i="6"/>
  <c r="AF46" i="6"/>
  <c r="AE46" i="6"/>
  <c r="AD46" i="6"/>
  <c r="AD45" i="6"/>
  <c r="AF44" i="6"/>
  <c r="AE44" i="6"/>
  <c r="AD43" i="6"/>
  <c r="AF42" i="6"/>
  <c r="AE42" i="6"/>
  <c r="AF41" i="6"/>
  <c r="AE41" i="6"/>
  <c r="AF40" i="6"/>
  <c r="AE40" i="6"/>
  <c r="AD40" i="6"/>
  <c r="AF39" i="6"/>
  <c r="AE39" i="6"/>
  <c r="AF38" i="6"/>
  <c r="AE38" i="6"/>
  <c r="AD38" i="6"/>
  <c r="AF37" i="6"/>
  <c r="AE37" i="6"/>
  <c r="AD37" i="6"/>
  <c r="AF36" i="6"/>
  <c r="AE36" i="6"/>
  <c r="AD36" i="6"/>
  <c r="AF35" i="6"/>
  <c r="AE35" i="6"/>
  <c r="AF34" i="6"/>
  <c r="AE34" i="6"/>
  <c r="AF33" i="6"/>
  <c r="AE33" i="6"/>
  <c r="AD33" i="6"/>
  <c r="AF32" i="6"/>
  <c r="AE32" i="6"/>
  <c r="AD32" i="6"/>
  <c r="AD30" i="6"/>
  <c r="AF29" i="6"/>
  <c r="AE29" i="6"/>
  <c r="AF28" i="6"/>
  <c r="AE28" i="6"/>
  <c r="AD28" i="6"/>
  <c r="AF27" i="6"/>
  <c r="AE27" i="6"/>
  <c r="AD27" i="6"/>
  <c r="AD26" i="6"/>
  <c r="AF25" i="6"/>
  <c r="AE25" i="6"/>
  <c r="AD25" i="6"/>
  <c r="AF24" i="6"/>
  <c r="AE24" i="6"/>
  <c r="AD24" i="6"/>
  <c r="AD23" i="6"/>
  <c r="AF22" i="6"/>
  <c r="AE22" i="6"/>
  <c r="AF21" i="6"/>
  <c r="AE21" i="6"/>
  <c r="AD21" i="6"/>
  <c r="AF20" i="6"/>
  <c r="AE20" i="6"/>
  <c r="AD19" i="6"/>
  <c r="AF18" i="6"/>
  <c r="AE18" i="6"/>
  <c r="AF17" i="6"/>
  <c r="AE17" i="6"/>
  <c r="AD17" i="6"/>
  <c r="AF16" i="6"/>
  <c r="AE16" i="6"/>
  <c r="AD15" i="6"/>
  <c r="AF14" i="6"/>
  <c r="AE14" i="6"/>
  <c r="AF13" i="6"/>
  <c r="AE13" i="6"/>
  <c r="AD12" i="6"/>
  <c r="AF11" i="6"/>
  <c r="AE11" i="6"/>
  <c r="AD11" i="6"/>
  <c r="AD10" i="6"/>
  <c r="AD9" i="6"/>
  <c r="AD8" i="6"/>
  <c r="AD7" i="6"/>
  <c r="AF6" i="6"/>
  <c r="AE6" i="6"/>
  <c r="AD6" i="6"/>
  <c r="AF5" i="6"/>
  <c r="B2" i="6"/>
  <c r="C2" i="6" s="1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H4" i="37" l="1"/>
  <c r="Q4" i="9"/>
  <c r="R4" i="9" s="1"/>
  <c r="S4" i="9" s="1"/>
  <c r="T4" i="9" s="1"/>
  <c r="U4" i="9" s="1"/>
  <c r="V4" i="9" s="1"/>
  <c r="W4" i="9" s="1"/>
  <c r="X4" i="9" s="1"/>
  <c r="Y4" i="9" s="1"/>
  <c r="Z4" i="9" s="1"/>
  <c r="I4" i="37" s="1"/>
  <c r="C9" i="37"/>
  <c r="A169" i="13"/>
  <c r="A173" i="18"/>
  <c r="C13" i="37"/>
  <c r="A29" i="18"/>
  <c r="C29" i="37"/>
  <c r="C11" i="38" s="1"/>
  <c r="A193" i="18"/>
  <c r="C33" i="37"/>
  <c r="A37" i="10"/>
  <c r="C37" i="37"/>
  <c r="A197" i="12"/>
  <c r="A37" i="12"/>
  <c r="A45" i="20"/>
  <c r="C45" i="37"/>
  <c r="A45" i="12"/>
  <c r="A205" i="13"/>
  <c r="C49" i="37"/>
  <c r="A49" i="13"/>
  <c r="A49" i="12"/>
  <c r="A209" i="13"/>
  <c r="A53" i="13"/>
  <c r="C53" i="37"/>
  <c r="C57" i="37"/>
  <c r="A217" i="13"/>
  <c r="A57" i="13"/>
  <c r="A61" i="20"/>
  <c r="C61" i="37"/>
  <c r="A61" i="10"/>
  <c r="A221" i="12"/>
  <c r="A225" i="18"/>
  <c r="C65" i="37"/>
  <c r="A69" i="13"/>
  <c r="C69" i="37"/>
  <c r="A233" i="13"/>
  <c r="C73" i="37"/>
  <c r="A237" i="13"/>
  <c r="C77" i="37"/>
  <c r="A245" i="13"/>
  <c r="C85" i="37"/>
  <c r="C93" i="37"/>
  <c r="A93" i="13"/>
  <c r="A97" i="20"/>
  <c r="C97" i="37"/>
  <c r="A97" i="12"/>
  <c r="A257" i="13"/>
  <c r="A97" i="13"/>
  <c r="C105" i="37"/>
  <c r="A105" i="13"/>
  <c r="A269" i="13"/>
  <c r="C109" i="37"/>
  <c r="C117" i="37"/>
  <c r="A277" i="13"/>
  <c r="A117" i="13"/>
  <c r="A281" i="13"/>
  <c r="C121" i="37"/>
  <c r="A125" i="13"/>
  <c r="C125" i="37"/>
  <c r="A285" i="13"/>
  <c r="C129" i="37"/>
  <c r="A129" i="13"/>
  <c r="A133" i="20"/>
  <c r="C133" i="37"/>
  <c r="A133" i="12"/>
  <c r="C137" i="37"/>
  <c r="A137" i="12"/>
  <c r="C141" i="37"/>
  <c r="A141" i="13"/>
  <c r="A305" i="13"/>
  <c r="C145" i="37"/>
  <c r="A149" i="13"/>
  <c r="C149" i="37"/>
  <c r="C153" i="37"/>
  <c r="A313" i="13"/>
  <c r="C157" i="37"/>
  <c r="A157" i="12"/>
  <c r="A157" i="13"/>
  <c r="A157" i="11"/>
  <c r="A9" i="13"/>
  <c r="A45" i="13"/>
  <c r="A81" i="13"/>
  <c r="A197" i="13"/>
  <c r="A61" i="12"/>
  <c r="A317" i="12"/>
  <c r="AE77" i="6"/>
  <c r="AE102" i="6"/>
  <c r="AD137" i="6"/>
  <c r="A25" i="13"/>
  <c r="A181" i="13"/>
  <c r="A221" i="13"/>
  <c r="A253" i="13"/>
  <c r="A265" i="13"/>
  <c r="A9" i="12"/>
  <c r="A25" i="12"/>
  <c r="E158" i="37"/>
  <c r="C158" i="11"/>
  <c r="C318" i="13"/>
  <c r="E154" i="37"/>
  <c r="C154" i="13"/>
  <c r="C154" i="11"/>
  <c r="C154" i="12"/>
  <c r="C314" i="13"/>
  <c r="E150" i="37"/>
  <c r="C310" i="13"/>
  <c r="C150" i="13"/>
  <c r="C150" i="10"/>
  <c r="C150" i="11"/>
  <c r="C310" i="12"/>
  <c r="C150" i="12"/>
  <c r="E146" i="37"/>
  <c r="C146" i="13"/>
  <c r="C142" i="20"/>
  <c r="E142" i="37"/>
  <c r="C302" i="12"/>
  <c r="C142" i="12"/>
  <c r="E138" i="37"/>
  <c r="C138" i="10"/>
  <c r="C298" i="12"/>
  <c r="C138" i="20"/>
  <c r="C138" i="13"/>
  <c r="C138" i="11"/>
  <c r="C138" i="12"/>
  <c r="E130" i="37"/>
  <c r="C130" i="12"/>
  <c r="C290" i="12"/>
  <c r="C290" i="13"/>
  <c r="C126" i="20"/>
  <c r="E126" i="37"/>
  <c r="C286" i="12"/>
  <c r="C126" i="12"/>
  <c r="C126" i="13"/>
  <c r="C126" i="10"/>
  <c r="E122" i="37"/>
  <c r="C282" i="12"/>
  <c r="C122" i="11"/>
  <c r="E118" i="37"/>
  <c r="C278" i="12"/>
  <c r="C118" i="12"/>
  <c r="E114" i="37"/>
  <c r="C114" i="20"/>
  <c r="C274" i="12"/>
  <c r="C114" i="10"/>
  <c r="C114" i="11"/>
  <c r="C114" i="12"/>
  <c r="C106" i="20"/>
  <c r="E106" i="37"/>
  <c r="C106" i="11"/>
  <c r="C266" i="13"/>
  <c r="C106" i="13"/>
  <c r="E102" i="37"/>
  <c r="C102" i="20"/>
  <c r="C102" i="13"/>
  <c r="C102" i="10"/>
  <c r="E98" i="37"/>
  <c r="C258" i="13"/>
  <c r="C98" i="13"/>
  <c r="E94" i="37"/>
  <c r="C94" i="12"/>
  <c r="C254" i="13"/>
  <c r="C254" i="12"/>
  <c r="E90" i="37"/>
  <c r="C90" i="11"/>
  <c r="C90" i="12"/>
  <c r="C90" i="10"/>
  <c r="C250" i="12"/>
  <c r="C90" i="13"/>
  <c r="C90" i="20"/>
  <c r="E86" i="37"/>
  <c r="C246" i="13"/>
  <c r="C246" i="12"/>
  <c r="C82" i="11"/>
  <c r="E82" i="37"/>
  <c r="C82" i="12"/>
  <c r="C242" i="12"/>
  <c r="C242" i="13"/>
  <c r="C82" i="13"/>
  <c r="C82" i="10"/>
  <c r="C78" i="20"/>
  <c r="E78" i="37"/>
  <c r="C238" i="12"/>
  <c r="C238" i="13"/>
  <c r="C78" i="13"/>
  <c r="C78" i="11"/>
  <c r="C78" i="12"/>
  <c r="C78" i="10"/>
  <c r="E74" i="37"/>
  <c r="C234" i="13"/>
  <c r="C74" i="12"/>
  <c r="C70" i="20"/>
  <c r="E70" i="37"/>
  <c r="C70" i="10"/>
  <c r="C66" i="20"/>
  <c r="E66" i="37"/>
  <c r="C66" i="10"/>
  <c r="C226" i="12"/>
  <c r="C66" i="11"/>
  <c r="C66" i="12"/>
  <c r="E62" i="37"/>
  <c r="C62" i="12"/>
  <c r="C222" i="13"/>
  <c r="C62" i="13"/>
  <c r="C58" i="20"/>
  <c r="E58" i="37"/>
  <c r="C58" i="11"/>
  <c r="C218" i="12"/>
  <c r="C58" i="12"/>
  <c r="E54" i="37"/>
  <c r="C54" i="20"/>
  <c r="C54" i="11"/>
  <c r="C214" i="12"/>
  <c r="C54" i="10"/>
  <c r="E52" i="37"/>
  <c r="C52" i="10"/>
  <c r="E50" i="37"/>
  <c r="C50" i="12"/>
  <c r="C210" i="13"/>
  <c r="C210" i="12"/>
  <c r="C48" i="20"/>
  <c r="D33" i="39"/>
  <c r="D12" i="39"/>
  <c r="E48" i="37"/>
  <c r="C208" i="12"/>
  <c r="C48" i="10"/>
  <c r="C48" i="12"/>
  <c r="E44" i="37"/>
  <c r="C44" i="10"/>
  <c r="C204" i="12"/>
  <c r="C44" i="12"/>
  <c r="C204" i="13"/>
  <c r="D30" i="39"/>
  <c r="D9" i="39"/>
  <c r="E42" i="37"/>
  <c r="C42" i="20"/>
  <c r="C42" i="11"/>
  <c r="C42" i="10"/>
  <c r="C202" i="12"/>
  <c r="C42" i="12"/>
  <c r="E40" i="37"/>
  <c r="C40" i="12"/>
  <c r="C38" i="20"/>
  <c r="E38" i="37"/>
  <c r="C198" i="12"/>
  <c r="C38" i="12"/>
  <c r="C198" i="13"/>
  <c r="C36" i="20"/>
  <c r="E36" i="37"/>
  <c r="C196" i="12"/>
  <c r="E34" i="37"/>
  <c r="C34" i="12"/>
  <c r="C194" i="13"/>
  <c r="E32" i="37"/>
  <c r="C32" i="12"/>
  <c r="C192" i="13"/>
  <c r="D31" i="39"/>
  <c r="D10" i="39"/>
  <c r="E30" i="37"/>
  <c r="C30" i="20"/>
  <c r="C30" i="10"/>
  <c r="E28" i="37"/>
  <c r="C28" i="12"/>
  <c r="C188" i="13"/>
  <c r="E26" i="37"/>
  <c r="C26" i="10"/>
  <c r="C24" i="20"/>
  <c r="E24" i="37"/>
  <c r="D10" i="38" s="1"/>
  <c r="C184" i="12"/>
  <c r="C24" i="12"/>
  <c r="C184" i="13"/>
  <c r="C24" i="11"/>
  <c r="C24" i="10"/>
  <c r="E22" i="37"/>
  <c r="C22" i="11"/>
  <c r="C22" i="12"/>
  <c r="C182" i="13"/>
  <c r="C20" i="20"/>
  <c r="E20" i="37"/>
  <c r="C180" i="12"/>
  <c r="C20" i="11"/>
  <c r="E18" i="37"/>
  <c r="C178" i="12"/>
  <c r="C18" i="20"/>
  <c r="C18" i="11"/>
  <c r="E16" i="37"/>
  <c r="C176" i="13"/>
  <c r="C14" i="20"/>
  <c r="E14" i="37"/>
  <c r="C14" i="11"/>
  <c r="C174" i="12"/>
  <c r="C14" i="12"/>
  <c r="E12" i="37"/>
  <c r="C172" i="12"/>
  <c r="C12" i="20"/>
  <c r="C12" i="12"/>
  <c r="C12" i="10"/>
  <c r="C7" i="20"/>
  <c r="E7" i="37"/>
  <c r="C167" i="13"/>
  <c r="C7" i="11"/>
  <c r="A6" i="11"/>
  <c r="C6" i="37"/>
  <c r="C8" i="38" s="1"/>
  <c r="A10" i="20"/>
  <c r="C10" i="37"/>
  <c r="A14" i="16"/>
  <c r="C14" i="37"/>
  <c r="A22" i="20"/>
  <c r="C22" i="37"/>
  <c r="A26" i="20"/>
  <c r="C26" i="37"/>
  <c r="A34" i="20"/>
  <c r="C34" i="37"/>
  <c r="A38" i="20"/>
  <c r="C38" i="37"/>
  <c r="A42" i="10"/>
  <c r="C42" i="37"/>
  <c r="A210" i="12"/>
  <c r="C50" i="37"/>
  <c r="A54" i="20"/>
  <c r="C54" i="37"/>
  <c r="A62" i="20"/>
  <c r="C62" i="37"/>
  <c r="A66" i="20"/>
  <c r="C66" i="37"/>
  <c r="A70" i="10"/>
  <c r="C70" i="37"/>
  <c r="A234" i="12"/>
  <c r="C74" i="37"/>
  <c r="A78" i="20"/>
  <c r="C78" i="37"/>
  <c r="A90" i="20"/>
  <c r="C90" i="37"/>
  <c r="A102" i="20"/>
  <c r="C102" i="37"/>
  <c r="A106" i="20"/>
  <c r="C106" i="37"/>
  <c r="A270" i="12"/>
  <c r="C110" i="37"/>
  <c r="A114" i="20"/>
  <c r="C114" i="37"/>
  <c r="A126" i="20"/>
  <c r="C126" i="37"/>
  <c r="A138" i="20"/>
  <c r="C138" i="37"/>
  <c r="A142" i="20"/>
  <c r="C142" i="37"/>
  <c r="A306" i="12"/>
  <c r="C146" i="37"/>
  <c r="A150" i="20"/>
  <c r="C150" i="37"/>
  <c r="A154" i="20"/>
  <c r="C154" i="37"/>
  <c r="A34" i="11"/>
  <c r="A38" i="11"/>
  <c r="A46" i="11"/>
  <c r="A62" i="11"/>
  <c r="A38" i="10"/>
  <c r="A66" i="10"/>
  <c r="A138" i="10"/>
  <c r="A7" i="12"/>
  <c r="C7" i="37"/>
  <c r="A27" i="20"/>
  <c r="C27" i="37"/>
  <c r="A31" i="20"/>
  <c r="C31" i="37"/>
  <c r="A43" i="20"/>
  <c r="C43" i="37"/>
  <c r="A47" i="14"/>
  <c r="C47" i="37"/>
  <c r="A211" i="18"/>
  <c r="C51" i="37"/>
  <c r="A63" i="20"/>
  <c r="C63" i="37"/>
  <c r="A67" i="20"/>
  <c r="C67" i="37"/>
  <c r="A71" i="13"/>
  <c r="C71" i="37"/>
  <c r="A79" i="20"/>
  <c r="C79" i="37"/>
  <c r="A251" i="13"/>
  <c r="C91" i="37"/>
  <c r="C124" i="20"/>
  <c r="E124" i="37"/>
  <c r="C112" i="11"/>
  <c r="E112" i="37"/>
  <c r="C100" i="10"/>
  <c r="E100" i="37"/>
  <c r="C88" i="20"/>
  <c r="E88" i="37"/>
  <c r="C84" i="20"/>
  <c r="E84" i="37"/>
  <c r="C76" i="11"/>
  <c r="E76" i="37"/>
  <c r="C76" i="20"/>
  <c r="E72" i="37"/>
  <c r="C72" i="20"/>
  <c r="C64" i="20"/>
  <c r="E64" i="37"/>
  <c r="E53" i="37"/>
  <c r="C53" i="20"/>
  <c r="E51" i="37"/>
  <c r="C51" i="20"/>
  <c r="C47" i="10"/>
  <c r="E47" i="37"/>
  <c r="C39" i="20"/>
  <c r="E39" i="37"/>
  <c r="C35" i="20"/>
  <c r="E35" i="37"/>
  <c r="E33" i="37"/>
  <c r="C33" i="20"/>
  <c r="E27" i="37"/>
  <c r="C27" i="20"/>
  <c r="B55" i="22"/>
  <c r="D54" i="22"/>
  <c r="W167" i="22"/>
  <c r="W62" i="22"/>
  <c r="W90" i="22"/>
  <c r="W138" i="22"/>
  <c r="W20" i="22"/>
  <c r="W68" i="22"/>
  <c r="W96" i="22"/>
  <c r="X4" i="22"/>
  <c r="A10" i="11"/>
  <c r="A102" i="11"/>
  <c r="A126" i="11"/>
  <c r="A26" i="10"/>
  <c r="A34" i="10"/>
  <c r="A50" i="10"/>
  <c r="A8" i="16"/>
  <c r="C8" i="37"/>
  <c r="C9" i="38" s="1"/>
  <c r="A12" i="10"/>
  <c r="C12" i="37"/>
  <c r="A16" i="20"/>
  <c r="C16" i="37"/>
  <c r="A20" i="13"/>
  <c r="C20" i="37"/>
  <c r="A192" i="12"/>
  <c r="C32" i="37"/>
  <c r="A36" i="20"/>
  <c r="C36" i="37"/>
  <c r="A44" i="13"/>
  <c r="C44" i="37"/>
  <c r="A48" i="20"/>
  <c r="C48" i="37"/>
  <c r="A52" i="20"/>
  <c r="C52" i="37"/>
  <c r="A56" i="20"/>
  <c r="C56" i="37"/>
  <c r="A68" i="10"/>
  <c r="C68" i="37"/>
  <c r="A72" i="20"/>
  <c r="C72" i="37"/>
  <c r="A84" i="20"/>
  <c r="C84" i="37"/>
  <c r="A88" i="20"/>
  <c r="C88" i="37"/>
  <c r="A252" i="12"/>
  <c r="C92" i="37"/>
  <c r="A96" i="20"/>
  <c r="C96" i="37"/>
  <c r="A108" i="20"/>
  <c r="C108" i="37"/>
  <c r="A120" i="20"/>
  <c r="C120" i="37"/>
  <c r="A124" i="20"/>
  <c r="C124" i="37"/>
  <c r="A288" i="12"/>
  <c r="C128" i="37"/>
  <c r="A132" i="20"/>
  <c r="C132" i="37"/>
  <c r="A144" i="20"/>
  <c r="C144" i="37"/>
  <c r="A156" i="20"/>
  <c r="C156" i="37"/>
  <c r="C132" i="20"/>
  <c r="C120" i="20"/>
  <c r="C96" i="20"/>
  <c r="C45" i="20"/>
  <c r="C21" i="20"/>
  <c r="E21" i="37"/>
  <c r="C11" i="10"/>
  <c r="E11" i="37"/>
  <c r="A95" i="13"/>
  <c r="C95" i="37"/>
  <c r="A263" i="13"/>
  <c r="C103" i="37"/>
  <c r="A267" i="13"/>
  <c r="C107" i="37"/>
  <c r="A115" i="20"/>
  <c r="C115" i="37"/>
  <c r="A287" i="13"/>
  <c r="C127" i="37"/>
  <c r="A291" i="13"/>
  <c r="C131" i="37"/>
  <c r="A299" i="13"/>
  <c r="C139" i="37"/>
  <c r="A151" i="20"/>
  <c r="C151" i="37"/>
  <c r="C157" i="20"/>
  <c r="C145" i="20"/>
  <c r="C151" i="20"/>
  <c r="E151" i="37"/>
  <c r="C147" i="20"/>
  <c r="E147" i="37"/>
  <c r="C139" i="20"/>
  <c r="E139" i="37"/>
  <c r="C127" i="20"/>
  <c r="E127" i="37"/>
  <c r="C115" i="20"/>
  <c r="E115" i="37"/>
  <c r="C99" i="20"/>
  <c r="E99" i="37"/>
  <c r="C79" i="20"/>
  <c r="E79" i="37"/>
  <c r="C8" i="20"/>
  <c r="E8" i="37"/>
  <c r="D9" i="38" s="1"/>
  <c r="AA133" i="22"/>
  <c r="F42" i="6"/>
  <c r="E42" i="9" s="1"/>
  <c r="D42" i="9" s="1"/>
  <c r="C141" i="20"/>
  <c r="E141" i="37"/>
  <c r="C133" i="20"/>
  <c r="E133" i="37"/>
  <c r="C129" i="20"/>
  <c r="E129" i="37"/>
  <c r="C121" i="20"/>
  <c r="E121" i="37"/>
  <c r="C117" i="20"/>
  <c r="E117" i="37"/>
  <c r="C109" i="20"/>
  <c r="E109" i="37"/>
  <c r="C97" i="20"/>
  <c r="E97" i="37"/>
  <c r="C85" i="20"/>
  <c r="E85" i="37"/>
  <c r="C81" i="20"/>
  <c r="E81" i="37"/>
  <c r="C69" i="10"/>
  <c r="E69" i="37"/>
  <c r="C61" i="20"/>
  <c r="E61" i="37"/>
  <c r="B53" i="20"/>
  <c r="S138" i="22"/>
  <c r="L29" i="6"/>
  <c r="M4" i="6"/>
  <c r="L14" i="6"/>
  <c r="X164" i="22"/>
  <c r="T164" i="22"/>
  <c r="P164" i="22"/>
  <c r="L164" i="22"/>
  <c r="X161" i="22"/>
  <c r="T161" i="22"/>
  <c r="P161" i="22"/>
  <c r="L161" i="22"/>
  <c r="X149" i="22"/>
  <c r="T149" i="22"/>
  <c r="P149" i="22"/>
  <c r="L149" i="22"/>
  <c r="X145" i="22"/>
  <c r="T145" i="22"/>
  <c r="P145" i="22"/>
  <c r="L145" i="22"/>
  <c r="X117" i="22"/>
  <c r="T117" i="22"/>
  <c r="P117" i="22"/>
  <c r="L117" i="22"/>
  <c r="X108" i="22"/>
  <c r="T108" i="22"/>
  <c r="P108" i="22"/>
  <c r="L108" i="22"/>
  <c r="X105" i="22"/>
  <c r="T105" i="22"/>
  <c r="P105" i="22"/>
  <c r="L105" i="22"/>
  <c r="X89" i="22"/>
  <c r="T89" i="22"/>
  <c r="P89" i="22"/>
  <c r="L89" i="22"/>
  <c r="X87" i="22"/>
  <c r="T87" i="22"/>
  <c r="P87" i="22"/>
  <c r="L87" i="22"/>
  <c r="X79" i="22"/>
  <c r="T79" i="22"/>
  <c r="P79" i="22"/>
  <c r="L79" i="22"/>
  <c r="X67" i="22"/>
  <c r="T67" i="22"/>
  <c r="P67" i="22"/>
  <c r="L67" i="22"/>
  <c r="M5" i="24"/>
  <c r="Y437" i="1" s="1"/>
  <c r="M116" i="31" s="1"/>
  <c r="Y438" i="1"/>
  <c r="M117" i="31" s="1"/>
  <c r="M17" i="24"/>
  <c r="M30" i="24"/>
  <c r="Y462" i="1" s="1"/>
  <c r="M141" i="31" s="1"/>
  <c r="Y494" i="1"/>
  <c r="G155" i="31" s="1"/>
  <c r="G214" i="31" s="1"/>
  <c r="T214" i="31" s="1"/>
  <c r="M38" i="24"/>
  <c r="Y499" i="1"/>
  <c r="G160" i="31" s="1"/>
  <c r="M42" i="24"/>
  <c r="Y387" i="1" s="1"/>
  <c r="Y487" i="1"/>
  <c r="M154" i="31" s="1"/>
  <c r="M46" i="24"/>
  <c r="M50" i="24"/>
  <c r="Y422" i="1" s="1"/>
  <c r="M113" i="31" s="1"/>
  <c r="Y223" i="1"/>
  <c r="M55" i="24"/>
  <c r="M59" i="24"/>
  <c r="Y349" i="1" s="1"/>
  <c r="Y38" i="1"/>
  <c r="M63" i="24"/>
  <c r="M71" i="24"/>
  <c r="Y476" i="1" s="1"/>
  <c r="M149" i="31" s="1"/>
  <c r="Y475" i="1"/>
  <c r="M148" i="31" s="1"/>
  <c r="M75" i="24"/>
  <c r="M79" i="24"/>
  <c r="Y472" i="1" s="1"/>
  <c r="Y22" i="1"/>
  <c r="G11" i="31" s="1"/>
  <c r="M83" i="24"/>
  <c r="M104" i="24"/>
  <c r="Y131" i="1" s="1"/>
  <c r="Y471" i="1"/>
  <c r="M144" i="31" s="1"/>
  <c r="M112" i="24"/>
  <c r="M116" i="24"/>
  <c r="Y210" i="1" s="1"/>
  <c r="G60" i="31" s="1"/>
  <c r="Y145" i="1"/>
  <c r="M128" i="24"/>
  <c r="M132" i="24"/>
  <c r="Y193" i="1" s="1"/>
  <c r="Y474" i="1"/>
  <c r="M147" i="31" s="1"/>
  <c r="M136" i="24"/>
  <c r="M140" i="24"/>
  <c r="Y64" i="1" s="1"/>
  <c r="Y348" i="1"/>
  <c r="G94" i="31" s="1"/>
  <c r="M145" i="24"/>
  <c r="J86" i="6"/>
  <c r="I57" i="6"/>
  <c r="W164" i="22"/>
  <c r="S164" i="22"/>
  <c r="O164" i="22"/>
  <c r="K164" i="22"/>
  <c r="W161" i="22"/>
  <c r="S161" i="22"/>
  <c r="O161" i="22"/>
  <c r="K161" i="22"/>
  <c r="W149" i="22"/>
  <c r="S149" i="22"/>
  <c r="O149" i="22"/>
  <c r="K149" i="22"/>
  <c r="W145" i="22"/>
  <c r="S145" i="22"/>
  <c r="O145" i="22"/>
  <c r="K145" i="22"/>
  <c r="W117" i="22"/>
  <c r="S117" i="22"/>
  <c r="O117" i="22"/>
  <c r="K117" i="22"/>
  <c r="W108" i="22"/>
  <c r="S108" i="22"/>
  <c r="O108" i="22"/>
  <c r="K108" i="22"/>
  <c r="W105" i="22"/>
  <c r="S105" i="22"/>
  <c r="O105" i="22"/>
  <c r="K105" i="22"/>
  <c r="W89" i="22"/>
  <c r="S89" i="22"/>
  <c r="O89" i="22"/>
  <c r="K89" i="22"/>
  <c r="W87" i="22"/>
  <c r="S87" i="22"/>
  <c r="O87" i="22"/>
  <c r="K87" i="22"/>
  <c r="W79" i="22"/>
  <c r="S79" i="22"/>
  <c r="O79" i="22"/>
  <c r="K79" i="22"/>
  <c r="W67" i="22"/>
  <c r="S67" i="22"/>
  <c r="O67" i="22"/>
  <c r="K67" i="22"/>
  <c r="Y337" i="1"/>
  <c r="G92" i="31" s="1"/>
  <c r="G202" i="31" s="1"/>
  <c r="M39" i="24"/>
  <c r="M43" i="24"/>
  <c r="Y278" i="1" s="1"/>
  <c r="G76" i="31" s="1"/>
  <c r="Y420" i="1"/>
  <c r="M111" i="31" s="1"/>
  <c r="M47" i="24"/>
  <c r="M56" i="24"/>
  <c r="Y398" i="1" s="1"/>
  <c r="G105" i="31" s="1"/>
  <c r="Y495" i="1"/>
  <c r="G156" i="31" s="1"/>
  <c r="G215" i="31" s="1"/>
  <c r="T215" i="31" s="1"/>
  <c r="M60" i="24"/>
  <c r="M64" i="24"/>
  <c r="Y486" i="1" s="1"/>
  <c r="Y397" i="1"/>
  <c r="M68" i="24"/>
  <c r="M72" i="24"/>
  <c r="Y477" i="1" s="1"/>
  <c r="M150" i="31" s="1"/>
  <c r="Y290" i="1"/>
  <c r="M80" i="24"/>
  <c r="M84" i="24"/>
  <c r="Y132" i="1" s="1"/>
  <c r="Y24" i="1"/>
  <c r="M105" i="24"/>
  <c r="M113" i="24"/>
  <c r="Y320" i="1" s="1"/>
  <c r="G87" i="31" s="1"/>
  <c r="Y51" i="1"/>
  <c r="G19" i="31" s="1"/>
  <c r="M129" i="24"/>
  <c r="M141" i="24"/>
  <c r="Y75" i="1" s="1"/>
  <c r="Y79" i="1" s="1"/>
  <c r="M24" i="31" s="1"/>
  <c r="U90" i="22"/>
  <c r="P78" i="22"/>
  <c r="G62" i="22"/>
  <c r="AI62" i="22" s="1"/>
  <c r="AE19" i="22"/>
  <c r="AF12" i="22"/>
  <c r="H158" i="6"/>
  <c r="V164" i="22"/>
  <c r="R164" i="22"/>
  <c r="N164" i="22"/>
  <c r="J164" i="22"/>
  <c r="V161" i="22"/>
  <c r="R161" i="22"/>
  <c r="N161" i="22"/>
  <c r="J161" i="22"/>
  <c r="V149" i="22"/>
  <c r="R149" i="22"/>
  <c r="N149" i="22"/>
  <c r="J149" i="22"/>
  <c r="V145" i="22"/>
  <c r="R145" i="22"/>
  <c r="N145" i="22"/>
  <c r="J145" i="22"/>
  <c r="V117" i="22"/>
  <c r="V110" i="6" s="1"/>
  <c r="R117" i="22"/>
  <c r="N117" i="22"/>
  <c r="J117" i="22"/>
  <c r="V108" i="22"/>
  <c r="R108" i="22"/>
  <c r="N108" i="22"/>
  <c r="J108" i="22"/>
  <c r="J102" i="6" s="1"/>
  <c r="V105" i="22"/>
  <c r="R105" i="22"/>
  <c r="N105" i="22"/>
  <c r="J105" i="22"/>
  <c r="V89" i="22"/>
  <c r="R89" i="22"/>
  <c r="N89" i="22"/>
  <c r="J89" i="22"/>
  <c r="V87" i="22"/>
  <c r="R87" i="22"/>
  <c r="N87" i="22"/>
  <c r="J87" i="22"/>
  <c r="V79" i="22"/>
  <c r="R79" i="22"/>
  <c r="N79" i="22"/>
  <c r="J79" i="22"/>
  <c r="V67" i="22"/>
  <c r="R67" i="22"/>
  <c r="N67" i="22"/>
  <c r="J67" i="22"/>
  <c r="M3" i="24"/>
  <c r="Y430" i="1" s="1"/>
  <c r="Y399" i="1"/>
  <c r="M11" i="24"/>
  <c r="M28" i="24"/>
  <c r="Y423" i="1" s="1"/>
  <c r="M114" i="31" s="1"/>
  <c r="Y498" i="1"/>
  <c r="G159" i="31" s="1"/>
  <c r="G218" i="31" s="1"/>
  <c r="T218" i="31" s="1"/>
  <c r="M36" i="24"/>
  <c r="M40" i="24"/>
  <c r="Y421" i="1" s="1"/>
  <c r="M112" i="31" s="1"/>
  <c r="Y473" i="1"/>
  <c r="M146" i="31" s="1"/>
  <c r="M44" i="24"/>
  <c r="M48" i="24"/>
  <c r="Y37" i="1" s="1"/>
  <c r="G15" i="31" s="1"/>
  <c r="Y63" i="1"/>
  <c r="G21" i="31" s="1"/>
  <c r="M53" i="24"/>
  <c r="M57" i="24"/>
  <c r="Y496" i="1" s="1"/>
  <c r="G157" i="31" s="1"/>
  <c r="G216" i="31" s="1"/>
  <c r="T216" i="31" s="1"/>
  <c r="Y76" i="1"/>
  <c r="G25" i="31" s="1"/>
  <c r="M65" i="24"/>
  <c r="M73" i="24"/>
  <c r="Y147" i="1" s="1"/>
  <c r="Y23" i="1"/>
  <c r="G12" i="31" s="1"/>
  <c r="M85" i="24"/>
  <c r="Y74" i="1"/>
  <c r="G23" i="31" s="1"/>
  <c r="M110" i="24"/>
  <c r="Y478" i="1"/>
  <c r="M151" i="31" s="1"/>
  <c r="M122" i="24"/>
  <c r="Y347" i="1"/>
  <c r="M130" i="24"/>
  <c r="Y130" i="1"/>
  <c r="G37" i="31" s="1"/>
  <c r="M134" i="24"/>
  <c r="Y479" i="1"/>
  <c r="M152" i="31" s="1"/>
  <c r="M138" i="24"/>
  <c r="Y143" i="1"/>
  <c r="G40" i="31" s="1"/>
  <c r="M147" i="24"/>
  <c r="Y161" i="1"/>
  <c r="M151" i="24"/>
  <c r="U164" i="22"/>
  <c r="Q164" i="22"/>
  <c r="M164" i="22"/>
  <c r="U161" i="22"/>
  <c r="Q161" i="22"/>
  <c r="M161" i="22"/>
  <c r="U149" i="22"/>
  <c r="Q149" i="22"/>
  <c r="M149" i="22"/>
  <c r="U145" i="22"/>
  <c r="Q145" i="22"/>
  <c r="M145" i="22"/>
  <c r="U117" i="22"/>
  <c r="Q117" i="22"/>
  <c r="M117" i="22"/>
  <c r="U108" i="22"/>
  <c r="Q108" i="22"/>
  <c r="M108" i="22"/>
  <c r="U105" i="22"/>
  <c r="Q105" i="22"/>
  <c r="M105" i="22"/>
  <c r="U89" i="22"/>
  <c r="Q89" i="22"/>
  <c r="M89" i="22"/>
  <c r="U87" i="22"/>
  <c r="Q87" i="22"/>
  <c r="Q84" i="6" s="1"/>
  <c r="F84" i="37" s="1"/>
  <c r="M87" i="22"/>
  <c r="U79" i="22"/>
  <c r="Q79" i="22"/>
  <c r="M79" i="22"/>
  <c r="U67" i="22"/>
  <c r="Q67" i="22"/>
  <c r="M67" i="22"/>
  <c r="Y262" i="1"/>
  <c r="M49" i="24"/>
  <c r="Y497" i="1"/>
  <c r="G158" i="31" s="1"/>
  <c r="G217" i="31" s="1"/>
  <c r="T217" i="31" s="1"/>
  <c r="M66" i="24"/>
  <c r="Y50" i="1"/>
  <c r="G18" i="31" s="1"/>
  <c r="M90" i="24"/>
  <c r="Y144" i="1"/>
  <c r="M94" i="24"/>
  <c r="Y25" i="1"/>
  <c r="M98" i="24"/>
  <c r="Y146" i="1"/>
  <c r="G43" i="31" s="1"/>
  <c r="M102" i="24"/>
  <c r="Y336" i="1"/>
  <c r="G91" i="31" s="1"/>
  <c r="M111" i="24"/>
  <c r="Y211" i="1"/>
  <c r="M115" i="24"/>
  <c r="Y470" i="1"/>
  <c r="M143" i="31" s="1"/>
  <c r="M135" i="24"/>
  <c r="Y39" i="1"/>
  <c r="M143" i="24"/>
  <c r="Y101" i="1"/>
  <c r="M148" i="24"/>
  <c r="Y209" i="1"/>
  <c r="G59" i="31" s="1"/>
  <c r="M152" i="24"/>
  <c r="Y52" i="1"/>
  <c r="G20" i="31" s="1"/>
  <c r="M156" i="24"/>
  <c r="F46" i="9"/>
  <c r="J29" i="6"/>
  <c r="F145" i="6"/>
  <c r="E145" i="9" s="1"/>
  <c r="D145" i="9" s="1"/>
  <c r="F145" i="9" s="1"/>
  <c r="G29" i="6"/>
  <c r="AI29" i="6" s="1"/>
  <c r="K29" i="6"/>
  <c r="F29" i="6"/>
  <c r="E29" i="9" s="1"/>
  <c r="D29" i="9" s="1"/>
  <c r="H29" i="9" s="1"/>
  <c r="H29" i="10" s="1"/>
  <c r="H189" i="12" s="1"/>
  <c r="F113" i="9"/>
  <c r="F62" i="6"/>
  <c r="E62" i="9" s="1"/>
  <c r="D62" i="9" s="1"/>
  <c r="F17" i="9"/>
  <c r="G22" i="6"/>
  <c r="AI22" i="6" s="1"/>
  <c r="J64" i="37"/>
  <c r="N64" i="37"/>
  <c r="M64" i="37"/>
  <c r="L64" i="37"/>
  <c r="K64" i="37"/>
  <c r="N33" i="37"/>
  <c r="K33" i="37"/>
  <c r="L33" i="37"/>
  <c r="M33" i="37"/>
  <c r="J33" i="37"/>
  <c r="K51" i="37"/>
  <c r="N51" i="37"/>
  <c r="M51" i="37"/>
  <c r="L51" i="37"/>
  <c r="J51" i="37"/>
  <c r="N143" i="37"/>
  <c r="M143" i="37"/>
  <c r="L143" i="37"/>
  <c r="J143" i="37"/>
  <c r="K143" i="37"/>
  <c r="L56" i="37"/>
  <c r="J56" i="37"/>
  <c r="N56" i="37"/>
  <c r="M56" i="37"/>
  <c r="K56" i="37"/>
  <c r="N40" i="37"/>
  <c r="L40" i="37"/>
  <c r="J40" i="37"/>
  <c r="K40" i="37"/>
  <c r="M40" i="37"/>
  <c r="G62" i="6"/>
  <c r="AI62" i="6" s="1"/>
  <c r="I145" i="6"/>
  <c r="I86" i="6"/>
  <c r="J62" i="6"/>
  <c r="L113" i="37"/>
  <c r="J113" i="37"/>
  <c r="N113" i="37"/>
  <c r="M113" i="37"/>
  <c r="K113" i="37"/>
  <c r="M38" i="37"/>
  <c r="J38" i="37"/>
  <c r="N38" i="37"/>
  <c r="L38" i="37"/>
  <c r="K38" i="37"/>
  <c r="B54" i="6"/>
  <c r="D54" i="6" s="1"/>
  <c r="D53" i="37"/>
  <c r="A53" i="37" s="1"/>
  <c r="F22" i="6"/>
  <c r="E22" i="9" s="1"/>
  <c r="D22" i="9" s="1"/>
  <c r="K22" i="9" s="1"/>
  <c r="L22" i="6"/>
  <c r="K126" i="37"/>
  <c r="N126" i="37"/>
  <c r="L126" i="37"/>
  <c r="M126" i="37"/>
  <c r="J126" i="37"/>
  <c r="L71" i="37"/>
  <c r="J71" i="37"/>
  <c r="M71" i="37"/>
  <c r="K71" i="37"/>
  <c r="N71" i="37"/>
  <c r="G94" i="6"/>
  <c r="AI94" i="6" s="1"/>
  <c r="C179" i="31"/>
  <c r="Y42" i="1"/>
  <c r="M16" i="31" s="1"/>
  <c r="G16" i="31"/>
  <c r="Y351" i="1"/>
  <c r="M93" i="31" s="1"/>
  <c r="G93" i="31"/>
  <c r="Y326" i="1"/>
  <c r="M87" i="31" s="1"/>
  <c r="Y56" i="1"/>
  <c r="M20" i="31" s="1"/>
  <c r="M209" i="31"/>
  <c r="T209" i="31" s="1"/>
  <c r="Y167" i="1"/>
  <c r="M46" i="31" s="1"/>
  <c r="G46" i="31"/>
  <c r="Y152" i="1"/>
  <c r="M43" i="31" s="1"/>
  <c r="G219" i="31"/>
  <c r="T219" i="31" s="1"/>
  <c r="Y229" i="1"/>
  <c r="M63" i="31" s="1"/>
  <c r="G63" i="31"/>
  <c r="Y151" i="1"/>
  <c r="M42" i="31" s="1"/>
  <c r="G42" i="31"/>
  <c r="Y281" i="1"/>
  <c r="M76" i="31" s="1"/>
  <c r="Y268" i="1"/>
  <c r="M72" i="31" s="1"/>
  <c r="G72" i="31"/>
  <c r="Y402" i="1"/>
  <c r="M105" i="31" s="1"/>
  <c r="Y30" i="1"/>
  <c r="M14" i="31" s="1"/>
  <c r="G14" i="31"/>
  <c r="Y55" i="1"/>
  <c r="M19" i="31" s="1"/>
  <c r="Y107" i="1"/>
  <c r="M30" i="31" s="1"/>
  <c r="G30" i="31"/>
  <c r="V12" i="1"/>
  <c r="L7" i="31" s="1"/>
  <c r="F7" i="31"/>
  <c r="V14" i="1"/>
  <c r="L9" i="31" s="1"/>
  <c r="F9" i="31"/>
  <c r="V13" i="1"/>
  <c r="L8" i="31" s="1"/>
  <c r="F8" i="31"/>
  <c r="F14" i="9"/>
  <c r="U25" i="9"/>
  <c r="U25" i="10" s="1"/>
  <c r="U185" i="12" s="1"/>
  <c r="U25" i="16" s="1"/>
  <c r="G35" i="6"/>
  <c r="F6" i="9"/>
  <c r="F143" i="9"/>
  <c r="U64" i="9"/>
  <c r="U64" i="10" s="1"/>
  <c r="U224" i="12" s="1"/>
  <c r="U64" i="16" s="1"/>
  <c r="J57" i="6"/>
  <c r="F64" i="9"/>
  <c r="F40" i="9"/>
  <c r="AI6" i="6"/>
  <c r="S38" i="9"/>
  <c r="S38" i="10" s="1"/>
  <c r="S38" i="11" s="1"/>
  <c r="G73" i="6"/>
  <c r="AI73" i="6" s="1"/>
  <c r="G42" i="6"/>
  <c r="AI42" i="6" s="1"/>
  <c r="K92" i="6"/>
  <c r="M82" i="6"/>
  <c r="H73" i="6"/>
  <c r="J92" i="6"/>
  <c r="F38" i="9"/>
  <c r="F128" i="9"/>
  <c r="F82" i="6"/>
  <c r="E82" i="9" s="1"/>
  <c r="D82" i="9" s="1"/>
  <c r="F82" i="9" s="1"/>
  <c r="J42" i="6"/>
  <c r="I42" i="9" s="1"/>
  <c r="I42" i="10" s="1"/>
  <c r="F73" i="6"/>
  <c r="E73" i="9" s="1"/>
  <c r="D73" i="9" s="1"/>
  <c r="F73" i="9" s="1"/>
  <c r="F92" i="6"/>
  <c r="E92" i="9" s="1"/>
  <c r="D92" i="9" s="1"/>
  <c r="AF165" i="22"/>
  <c r="AE165" i="22"/>
  <c r="A5" i="10"/>
  <c r="A5" i="12"/>
  <c r="A165" i="13"/>
  <c r="A5" i="13"/>
  <c r="A11" i="10"/>
  <c r="A11" i="13"/>
  <c r="A11" i="12"/>
  <c r="A171" i="13"/>
  <c r="A17" i="10"/>
  <c r="A17" i="13"/>
  <c r="A17" i="12"/>
  <c r="A177" i="13"/>
  <c r="A23" i="10"/>
  <c r="A183" i="13"/>
  <c r="A23" i="12"/>
  <c r="A23" i="13"/>
  <c r="A35" i="13"/>
  <c r="A195" i="13"/>
  <c r="A41" i="10"/>
  <c r="A41" i="13"/>
  <c r="A201" i="13"/>
  <c r="A219" i="12"/>
  <c r="A59" i="13"/>
  <c r="A59" i="12"/>
  <c r="A219" i="13"/>
  <c r="A243" i="12"/>
  <c r="A83" i="13"/>
  <c r="A83" i="12"/>
  <c r="A243" i="13"/>
  <c r="A89" i="13"/>
  <c r="A249" i="13"/>
  <c r="A261" i="12"/>
  <c r="A261" i="13"/>
  <c r="A101" i="12"/>
  <c r="A101" i="13"/>
  <c r="A113" i="13"/>
  <c r="A273" i="13"/>
  <c r="A279" i="12"/>
  <c r="A119" i="13"/>
  <c r="A279" i="13"/>
  <c r="A297" i="12"/>
  <c r="A137" i="13"/>
  <c r="A297" i="13"/>
  <c r="A143" i="13"/>
  <c r="A303" i="13"/>
  <c r="A315" i="12"/>
  <c r="A155" i="12"/>
  <c r="A315" i="13"/>
  <c r="A155" i="13"/>
  <c r="C315" i="13"/>
  <c r="C155" i="11"/>
  <c r="C155" i="13"/>
  <c r="C155" i="10"/>
  <c r="C315" i="12"/>
  <c r="C149" i="20"/>
  <c r="C149" i="10"/>
  <c r="C149" i="11"/>
  <c r="C149" i="12"/>
  <c r="C149" i="13"/>
  <c r="C309" i="12"/>
  <c r="C143" i="13"/>
  <c r="C143" i="20"/>
  <c r="C143" i="11"/>
  <c r="C303" i="13"/>
  <c r="C143" i="12"/>
  <c r="C303" i="12"/>
  <c r="C137" i="11"/>
  <c r="C297" i="13"/>
  <c r="C137" i="20"/>
  <c r="C137" i="10"/>
  <c r="C137" i="12"/>
  <c r="C131" i="20"/>
  <c r="C131" i="11"/>
  <c r="C291" i="13"/>
  <c r="C131" i="12"/>
  <c r="C131" i="10"/>
  <c r="C131" i="13"/>
  <c r="C125" i="11"/>
  <c r="C125" i="20"/>
  <c r="C125" i="12"/>
  <c r="C125" i="13"/>
  <c r="C285" i="13"/>
  <c r="C119" i="11"/>
  <c r="C279" i="12"/>
  <c r="C119" i="13"/>
  <c r="C279" i="13"/>
  <c r="C119" i="20"/>
  <c r="C119" i="10"/>
  <c r="C119" i="12"/>
  <c r="C113" i="11"/>
  <c r="C273" i="12"/>
  <c r="C113" i="12"/>
  <c r="C113" i="13"/>
  <c r="C113" i="10"/>
  <c r="C273" i="13"/>
  <c r="C107" i="11"/>
  <c r="C267" i="12"/>
  <c r="C267" i="13"/>
  <c r="C107" i="10"/>
  <c r="C107" i="20"/>
  <c r="C107" i="12"/>
  <c r="C107" i="13"/>
  <c r="C101" i="10"/>
  <c r="C101" i="11"/>
  <c r="C261" i="12"/>
  <c r="C101" i="12"/>
  <c r="C101" i="13"/>
  <c r="C95" i="20"/>
  <c r="C255" i="12"/>
  <c r="C95" i="13"/>
  <c r="C255" i="13"/>
  <c r="C89" i="12"/>
  <c r="C89" i="13"/>
  <c r="C249" i="12"/>
  <c r="C249" i="13"/>
  <c r="C89" i="20"/>
  <c r="C89" i="10"/>
  <c r="C89" i="11"/>
  <c r="C83" i="20"/>
  <c r="C83" i="10"/>
  <c r="C83" i="12"/>
  <c r="C243" i="13"/>
  <c r="C243" i="12"/>
  <c r="C83" i="11"/>
  <c r="C237" i="13"/>
  <c r="C77" i="10"/>
  <c r="C237" i="12"/>
  <c r="C77" i="20"/>
  <c r="C77" i="11"/>
  <c r="C77" i="12"/>
  <c r="C77" i="13"/>
  <c r="C71" i="20"/>
  <c r="C71" i="12"/>
  <c r="C71" i="10"/>
  <c r="C71" i="11"/>
  <c r="C231" i="12"/>
  <c r="C71" i="13"/>
  <c r="C231" i="13"/>
  <c r="C65" i="20"/>
  <c r="C65" i="13"/>
  <c r="C65" i="10"/>
  <c r="C65" i="11"/>
  <c r="C225" i="13"/>
  <c r="C225" i="12"/>
  <c r="C59" i="13"/>
  <c r="C59" i="20"/>
  <c r="C59" i="10"/>
  <c r="C59" i="11"/>
  <c r="C59" i="12"/>
  <c r="C219" i="13"/>
  <c r="C6" i="20"/>
  <c r="C6" i="12"/>
  <c r="C6" i="11"/>
  <c r="C166" i="13"/>
  <c r="C166" i="12"/>
  <c r="C6" i="10"/>
  <c r="G168" i="22"/>
  <c r="AI168" i="22" s="1"/>
  <c r="AD123" i="6"/>
  <c r="AD168" i="22"/>
  <c r="R168" i="22" s="1"/>
  <c r="S168" i="22"/>
  <c r="U168" i="22"/>
  <c r="X168" i="22"/>
  <c r="V168" i="22"/>
  <c r="W168" i="22"/>
  <c r="T168" i="22"/>
  <c r="H168" i="22"/>
  <c r="L168" i="22"/>
  <c r="F168" i="22"/>
  <c r="N168" i="22"/>
  <c r="K168" i="22"/>
  <c r="P168" i="22"/>
  <c r="J168" i="22"/>
  <c r="AF168" i="22"/>
  <c r="Q168" i="22"/>
  <c r="O168" i="22"/>
  <c r="M168" i="22"/>
  <c r="I168" i="22"/>
  <c r="AE168" i="22"/>
  <c r="AE154" i="22"/>
  <c r="AD154" i="22"/>
  <c r="AE153" i="6"/>
  <c r="AF137" i="6"/>
  <c r="X148" i="22"/>
  <c r="V148" i="22"/>
  <c r="S148" i="22"/>
  <c r="U148" i="22"/>
  <c r="U140" i="6" s="1"/>
  <c r="P148" i="22"/>
  <c r="M148" i="22"/>
  <c r="AD148" i="22"/>
  <c r="Q148" i="22"/>
  <c r="O148" i="22"/>
  <c r="L148" i="22"/>
  <c r="L140" i="6" s="1"/>
  <c r="H148" i="22"/>
  <c r="R148" i="22"/>
  <c r="F148" i="22"/>
  <c r="W148" i="22"/>
  <c r="T148" i="22"/>
  <c r="K148" i="22"/>
  <c r="N148" i="22"/>
  <c r="J148" i="22"/>
  <c r="AF148" i="22"/>
  <c r="U116" i="22"/>
  <c r="T116" i="22"/>
  <c r="Q116" i="22"/>
  <c r="V116" i="22"/>
  <c r="Y116" i="22"/>
  <c r="M116" i="22"/>
  <c r="P116" i="22"/>
  <c r="H116" i="22"/>
  <c r="X116" i="22"/>
  <c r="X110" i="6" s="1"/>
  <c r="F116" i="22"/>
  <c r="AF116" i="22"/>
  <c r="R116" i="22"/>
  <c r="K116" i="22"/>
  <c r="AE116" i="22"/>
  <c r="S116" i="22"/>
  <c r="O116" i="22"/>
  <c r="L116" i="22"/>
  <c r="J116" i="22"/>
  <c r="AD116" i="22"/>
  <c r="AF77" i="22"/>
  <c r="AE77" i="22"/>
  <c r="AD77" i="22"/>
  <c r="AD5" i="22"/>
  <c r="Q5" i="22" s="1"/>
  <c r="S5" i="22"/>
  <c r="T5" i="22"/>
  <c r="F5" i="22"/>
  <c r="R5" i="22"/>
  <c r="K5" i="22"/>
  <c r="J5" i="22"/>
  <c r="AF5" i="22"/>
  <c r="O5" i="22"/>
  <c r="AE5" i="22"/>
  <c r="C101" i="20"/>
  <c r="P107" i="22"/>
  <c r="X90" i="22"/>
  <c r="AE130" i="22"/>
  <c r="S130" i="22" s="1"/>
  <c r="AF130" i="22"/>
  <c r="G110" i="22"/>
  <c r="AI110" i="22" s="1"/>
  <c r="Y110" i="22"/>
  <c r="S110" i="22"/>
  <c r="Z110" i="22"/>
  <c r="X110" i="22"/>
  <c r="W110" i="22"/>
  <c r="AA110" i="22"/>
  <c r="G104" i="22"/>
  <c r="AI104" i="22" s="1"/>
  <c r="Y104" i="22"/>
  <c r="S104" i="22"/>
  <c r="U104" i="22"/>
  <c r="T104" i="22"/>
  <c r="Q104" i="22"/>
  <c r="AA104" i="22"/>
  <c r="V104" i="22"/>
  <c r="R104" i="22"/>
  <c r="X99" i="22"/>
  <c r="W99" i="22"/>
  <c r="V99" i="22"/>
  <c r="R99" i="22"/>
  <c r="AD131" i="6"/>
  <c r="O90" i="22"/>
  <c r="S107" i="22"/>
  <c r="AD147" i="22"/>
  <c r="X147" i="22"/>
  <c r="U147" i="22"/>
  <c r="R147" i="22"/>
  <c r="U137" i="22"/>
  <c r="T137" i="22"/>
  <c r="R137" i="22"/>
  <c r="Q137" i="22"/>
  <c r="V137" i="22"/>
  <c r="X137" i="22"/>
  <c r="W137" i="22"/>
  <c r="AF85" i="22"/>
  <c r="AE85" i="22"/>
  <c r="T46" i="22"/>
  <c r="Q46" i="22"/>
  <c r="U46" i="22"/>
  <c r="V38" i="22"/>
  <c r="R38" i="22"/>
  <c r="Y38" i="22"/>
  <c r="X38" i="22"/>
  <c r="AD34" i="22"/>
  <c r="G134" i="6"/>
  <c r="AI134" i="6" s="1"/>
  <c r="F134" i="6"/>
  <c r="E134" i="9" s="1"/>
  <c r="D134" i="9" s="1"/>
  <c r="F16" i="6"/>
  <c r="E16" i="9" s="1"/>
  <c r="D16" i="9" s="1"/>
  <c r="J16" i="6"/>
  <c r="V107" i="22"/>
  <c r="AD157" i="22"/>
  <c r="W157" i="22" s="1"/>
  <c r="R120" i="22"/>
  <c r="V120" i="22"/>
  <c r="AD75" i="22"/>
  <c r="R75" i="22" s="1"/>
  <c r="AD124" i="22"/>
  <c r="P124" i="22" s="1"/>
  <c r="T124" i="22"/>
  <c r="G107" i="22"/>
  <c r="AI107" i="22" s="1"/>
  <c r="Z107" i="22"/>
  <c r="X107" i="22"/>
  <c r="W107" i="22"/>
  <c r="U107" i="22"/>
  <c r="T107" i="22"/>
  <c r="Q107" i="22"/>
  <c r="V90" i="22"/>
  <c r="R90" i="22"/>
  <c r="S90" i="22"/>
  <c r="S78" i="22"/>
  <c r="U78" i="22"/>
  <c r="T78" i="22"/>
  <c r="Q78" i="22"/>
  <c r="AF97" i="6"/>
  <c r="AE97" i="6"/>
  <c r="M92" i="6"/>
  <c r="H92" i="6"/>
  <c r="I92" i="6"/>
  <c r="L92" i="6"/>
  <c r="G92" i="6"/>
  <c r="AD80" i="6"/>
  <c r="F60" i="6"/>
  <c r="E60" i="9" s="1"/>
  <c r="D60" i="9" s="1"/>
  <c r="AD53" i="6"/>
  <c r="AD48" i="6"/>
  <c r="AA37" i="6"/>
  <c r="G37" i="37" s="1"/>
  <c r="L37" i="6"/>
  <c r="AA33" i="6"/>
  <c r="G33" i="37" s="1"/>
  <c r="L33" i="6"/>
  <c r="AA28" i="6"/>
  <c r="V28" i="6"/>
  <c r="U28" i="9" s="1"/>
  <c r="G28" i="6"/>
  <c r="AI28" i="6" s="1"/>
  <c r="W28" i="6"/>
  <c r="V28" i="9" s="1"/>
  <c r="P28" i="6"/>
  <c r="O28" i="6"/>
  <c r="N28" i="9" s="1"/>
  <c r="N28" i="10" s="1"/>
  <c r="N188" i="12" s="1"/>
  <c r="N28" i="16" s="1"/>
  <c r="M28" i="6"/>
  <c r="L28" i="9" s="1"/>
  <c r="L28" i="10" s="1"/>
  <c r="L188" i="12" s="1"/>
  <c r="L28" i="16" s="1"/>
  <c r="Q28" i="6"/>
  <c r="J28" i="6"/>
  <c r="I28" i="9" s="1"/>
  <c r="I28" i="6"/>
  <c r="H28" i="9" s="1"/>
  <c r="H28" i="10" s="1"/>
  <c r="H188" i="12" s="1"/>
  <c r="H28" i="16" s="1"/>
  <c r="Y28" i="6"/>
  <c r="R28" i="6"/>
  <c r="L28" i="6"/>
  <c r="K28" i="9" s="1"/>
  <c r="X28" i="6"/>
  <c r="W28" i="9" s="1"/>
  <c r="S28" i="6"/>
  <c r="R28" i="9" s="1"/>
  <c r="R28" i="10" s="1"/>
  <c r="R188" i="12" s="1"/>
  <c r="N28" i="6"/>
  <c r="M28" i="9" s="1"/>
  <c r="K28" i="6"/>
  <c r="P90" i="22"/>
  <c r="Z135" i="22"/>
  <c r="Y135" i="22"/>
  <c r="X135" i="22"/>
  <c r="W135" i="22"/>
  <c r="X48" i="22"/>
  <c r="W48" i="22"/>
  <c r="S48" i="22"/>
  <c r="G40" i="22"/>
  <c r="AI40" i="22" s="1"/>
  <c r="Y40" i="22"/>
  <c r="X40" i="22"/>
  <c r="W40" i="22"/>
  <c r="S40" i="22"/>
  <c r="U40" i="22"/>
  <c r="Z40" i="22"/>
  <c r="V40" i="22"/>
  <c r="R40" i="22"/>
  <c r="AA40" i="22"/>
  <c r="U21" i="22"/>
  <c r="V21" i="22"/>
  <c r="R21" i="22"/>
  <c r="X21" i="22"/>
  <c r="AD18" i="22"/>
  <c r="V18" i="22" s="1"/>
  <c r="R18" i="22"/>
  <c r="Q18" i="22"/>
  <c r="X18" i="22"/>
  <c r="AD14" i="22"/>
  <c r="U14" i="22" s="1"/>
  <c r="G116" i="6"/>
  <c r="K101" i="6"/>
  <c r="M101" i="6"/>
  <c r="L101" i="9" s="1"/>
  <c r="L101" i="6"/>
  <c r="K101" i="9" s="1"/>
  <c r="K101" i="10" s="1"/>
  <c r="G101" i="6"/>
  <c r="AI101" i="6" s="1"/>
  <c r="I101" i="6"/>
  <c r="J101" i="6"/>
  <c r="J148" i="6"/>
  <c r="I148" i="9" s="1"/>
  <c r="K98" i="6"/>
  <c r="L132" i="6"/>
  <c r="M144" i="6"/>
  <c r="L144" i="9" s="1"/>
  <c r="M8" i="6"/>
  <c r="N104" i="6"/>
  <c r="P144" i="6"/>
  <c r="O144" i="9" s="1"/>
  <c r="Q144" i="6"/>
  <c r="W144" i="6"/>
  <c r="V144" i="9" s="1"/>
  <c r="V138" i="22"/>
  <c r="F98" i="6"/>
  <c r="E98" i="9" s="1"/>
  <c r="D98" i="9" s="1"/>
  <c r="F98" i="9" s="1"/>
  <c r="F8" i="6"/>
  <c r="E8" i="9" s="1"/>
  <c r="D8" i="9" s="1"/>
  <c r="G104" i="6"/>
  <c r="AI104" i="6" s="1"/>
  <c r="G8" i="6"/>
  <c r="AI8" i="6" s="1"/>
  <c r="I144" i="6"/>
  <c r="N144" i="6"/>
  <c r="T144" i="6"/>
  <c r="S144" i="9" s="1"/>
  <c r="Y144" i="6"/>
  <c r="X144" i="9" s="1"/>
  <c r="AE12" i="6"/>
  <c r="U123" i="22"/>
  <c r="F94" i="6"/>
  <c r="E94" i="9" s="1"/>
  <c r="D94" i="9" s="1"/>
  <c r="F21" i="9"/>
  <c r="L144" i="6"/>
  <c r="K144" i="9" s="1"/>
  <c r="R104" i="6"/>
  <c r="S144" i="6"/>
  <c r="V144" i="6"/>
  <c r="U144" i="9" s="1"/>
  <c r="Z144" i="6"/>
  <c r="Y144" i="9" s="1"/>
  <c r="M155" i="6"/>
  <c r="W123" i="22"/>
  <c r="W22" i="22"/>
  <c r="X22" i="22"/>
  <c r="AE123" i="22"/>
  <c r="X123" i="22" s="1"/>
  <c r="AF113" i="22"/>
  <c r="V113" i="22" s="1"/>
  <c r="AF74" i="22"/>
  <c r="AF8" i="22"/>
  <c r="R27" i="9"/>
  <c r="R27" i="10" s="1"/>
  <c r="R187" i="12" s="1"/>
  <c r="H144" i="6"/>
  <c r="G144" i="9" s="1"/>
  <c r="O144" i="6"/>
  <c r="X144" i="6"/>
  <c r="M90" i="6"/>
  <c r="K90" i="6"/>
  <c r="L90" i="6"/>
  <c r="J90" i="6"/>
  <c r="H90" i="6"/>
  <c r="I90" i="6"/>
  <c r="G90" i="6"/>
  <c r="AI90" i="6" s="1"/>
  <c r="F90" i="6"/>
  <c r="E90" i="9" s="1"/>
  <c r="D90" i="9" s="1"/>
  <c r="A8" i="9"/>
  <c r="A14" i="18"/>
  <c r="A20" i="17"/>
  <c r="A168" i="17"/>
  <c r="A75" i="20"/>
  <c r="A235" i="12"/>
  <c r="A81" i="10"/>
  <c r="A241" i="12"/>
  <c r="A81" i="12"/>
  <c r="A87" i="12"/>
  <c r="A87" i="10"/>
  <c r="A247" i="12"/>
  <c r="A93" i="20"/>
  <c r="A93" i="11"/>
  <c r="A253" i="12"/>
  <c r="A93" i="10"/>
  <c r="A93" i="12"/>
  <c r="A99" i="20"/>
  <c r="A259" i="12"/>
  <c r="A99" i="12"/>
  <c r="A99" i="10"/>
  <c r="A105" i="20"/>
  <c r="A105" i="10"/>
  <c r="A105" i="12"/>
  <c r="A265" i="12"/>
  <c r="A111" i="20"/>
  <c r="A111" i="10"/>
  <c r="A271" i="12"/>
  <c r="A117" i="20"/>
  <c r="A117" i="10"/>
  <c r="A277" i="12"/>
  <c r="A117" i="12"/>
  <c r="A123" i="20"/>
  <c r="A123" i="10"/>
  <c r="A283" i="12"/>
  <c r="A129" i="20"/>
  <c r="A129" i="12"/>
  <c r="A289" i="12"/>
  <c r="A129" i="11"/>
  <c r="A135" i="20"/>
  <c r="A295" i="12"/>
  <c r="A135" i="12"/>
  <c r="A141" i="20"/>
  <c r="A141" i="12"/>
  <c r="A141" i="10"/>
  <c r="A301" i="12"/>
  <c r="A147" i="20"/>
  <c r="A147" i="10"/>
  <c r="A147" i="11"/>
  <c r="A307" i="12"/>
  <c r="A147" i="12"/>
  <c r="A153" i="20"/>
  <c r="A313" i="12"/>
  <c r="A153" i="12"/>
  <c r="T91" i="22"/>
  <c r="S91" i="22"/>
  <c r="V91" i="22"/>
  <c r="U91" i="22"/>
  <c r="Q91" i="22"/>
  <c r="P91" i="22"/>
  <c r="W91" i="22"/>
  <c r="R91" i="22"/>
  <c r="O91" i="22"/>
  <c r="K91" i="22"/>
  <c r="I91" i="22"/>
  <c r="F91" i="22"/>
  <c r="N91" i="22"/>
  <c r="M91" i="22"/>
  <c r="L91" i="22"/>
  <c r="J91" i="22"/>
  <c r="AA86" i="22"/>
  <c r="AD86" i="22"/>
  <c r="L86" i="22"/>
  <c r="AF86" i="22"/>
  <c r="AD42" i="22"/>
  <c r="W42" i="22"/>
  <c r="AF42" i="22"/>
  <c r="AE23" i="22"/>
  <c r="AF23" i="22"/>
  <c r="AD23" i="22"/>
  <c r="V19" i="22"/>
  <c r="Q19" i="22"/>
  <c r="U19" i="22"/>
  <c r="P19" i="22"/>
  <c r="N19" i="22"/>
  <c r="S19" i="22"/>
  <c r="M19" i="22"/>
  <c r="R19" i="22"/>
  <c r="O19" i="22"/>
  <c r="J19" i="22"/>
  <c r="H19" i="22"/>
  <c r="T19" i="22"/>
  <c r="L19" i="22"/>
  <c r="T16" i="22"/>
  <c r="L16" i="22"/>
  <c r="K16" i="22"/>
  <c r="I16" i="22"/>
  <c r="F16" i="22"/>
  <c r="M16" i="22"/>
  <c r="R16" i="22"/>
  <c r="O16" i="22"/>
  <c r="J16" i="22"/>
  <c r="A14" i="20"/>
  <c r="A14" i="11"/>
  <c r="A14" i="10"/>
  <c r="A174" i="12"/>
  <c r="A44" i="20"/>
  <c r="A44" i="10"/>
  <c r="A44" i="11"/>
  <c r="J117" i="6"/>
  <c r="A8" i="18"/>
  <c r="A180" i="18"/>
  <c r="A14" i="17"/>
  <c r="A44" i="15"/>
  <c r="A20" i="14"/>
  <c r="A204" i="13"/>
  <c r="A20" i="12"/>
  <c r="A40" i="20"/>
  <c r="A40" i="11"/>
  <c r="A40" i="10"/>
  <c r="A200" i="12"/>
  <c r="C158" i="20"/>
  <c r="C158" i="12"/>
  <c r="C158" i="10"/>
  <c r="C318" i="12"/>
  <c r="C312" i="12"/>
  <c r="C152" i="12"/>
  <c r="C152" i="20"/>
  <c r="C152" i="11"/>
  <c r="C152" i="10"/>
  <c r="C146" i="20"/>
  <c r="C146" i="10"/>
  <c r="C146" i="11"/>
  <c r="C306" i="12"/>
  <c r="C146" i="12"/>
  <c r="C140" i="20"/>
  <c r="C140" i="12"/>
  <c r="C140" i="10"/>
  <c r="C140" i="11"/>
  <c r="C134" i="20"/>
  <c r="C294" i="12"/>
  <c r="C134" i="10"/>
  <c r="C134" i="11"/>
  <c r="C128" i="10"/>
  <c r="C128" i="12"/>
  <c r="C288" i="12"/>
  <c r="C122" i="20"/>
  <c r="C122" i="12"/>
  <c r="C122" i="10"/>
  <c r="C116" i="20"/>
  <c r="C116" i="10"/>
  <c r="C276" i="12"/>
  <c r="C116" i="12"/>
  <c r="C110" i="20"/>
  <c r="C110" i="11"/>
  <c r="C110" i="12"/>
  <c r="C110" i="10"/>
  <c r="C270" i="12"/>
  <c r="C104" i="11"/>
  <c r="C104" i="10"/>
  <c r="C104" i="20"/>
  <c r="C104" i="12"/>
  <c r="C98" i="11"/>
  <c r="C258" i="12"/>
  <c r="C98" i="12"/>
  <c r="C98" i="10"/>
  <c r="C92" i="20"/>
  <c r="C92" i="11"/>
  <c r="C252" i="12"/>
  <c r="C92" i="10"/>
  <c r="C92" i="12"/>
  <c r="C86" i="20"/>
  <c r="C86" i="12"/>
  <c r="C86" i="11"/>
  <c r="C86" i="10"/>
  <c r="C80" i="20"/>
  <c r="C240" i="12"/>
  <c r="C80" i="11"/>
  <c r="C74" i="20"/>
  <c r="C74" i="10"/>
  <c r="C74" i="11"/>
  <c r="C234" i="12"/>
  <c r="C68" i="20"/>
  <c r="C68" i="10"/>
  <c r="C68" i="11"/>
  <c r="C228" i="12"/>
  <c r="C62" i="10"/>
  <c r="C222" i="12"/>
  <c r="C62" i="20"/>
  <c r="C62" i="11"/>
  <c r="C56" i="11"/>
  <c r="C56" i="20"/>
  <c r="C56" i="10"/>
  <c r="C216" i="12"/>
  <c r="C52" i="20"/>
  <c r="C212" i="12"/>
  <c r="C52" i="11"/>
  <c r="C49" i="20"/>
  <c r="C49" i="10"/>
  <c r="C49" i="11"/>
  <c r="C209" i="12"/>
  <c r="C46" i="20"/>
  <c r="C46" i="10"/>
  <c r="C46" i="11"/>
  <c r="C206" i="12"/>
  <c r="C203" i="12"/>
  <c r="C43" i="20"/>
  <c r="C43" i="10"/>
  <c r="C40" i="20"/>
  <c r="C40" i="10"/>
  <c r="C200" i="12"/>
  <c r="C37" i="20"/>
  <c r="C37" i="11"/>
  <c r="C37" i="10"/>
  <c r="C197" i="12"/>
  <c r="C194" i="12"/>
  <c r="C34" i="11"/>
  <c r="C34" i="20"/>
  <c r="C34" i="10"/>
  <c r="C31" i="20"/>
  <c r="C191" i="12"/>
  <c r="C31" i="11"/>
  <c r="C28" i="10"/>
  <c r="C28" i="20"/>
  <c r="C188" i="12"/>
  <c r="C28" i="11"/>
  <c r="C25" i="20"/>
  <c r="C25" i="10"/>
  <c r="C25" i="11"/>
  <c r="C22" i="20"/>
  <c r="C22" i="10"/>
  <c r="C182" i="12"/>
  <c r="C19" i="20"/>
  <c r="C19" i="11"/>
  <c r="C19" i="10"/>
  <c r="C179" i="12"/>
  <c r="C16" i="20"/>
  <c r="C16" i="11"/>
  <c r="C16" i="10"/>
  <c r="C176" i="12"/>
  <c r="C13" i="20"/>
  <c r="C13" i="11"/>
  <c r="C13" i="10"/>
  <c r="C10" i="20"/>
  <c r="C170" i="12"/>
  <c r="C10" i="11"/>
  <c r="C10" i="10"/>
  <c r="A8" i="20"/>
  <c r="A168" i="12"/>
  <c r="A8" i="11"/>
  <c r="A8" i="10"/>
  <c r="AF107" i="6"/>
  <c r="AE107" i="6"/>
  <c r="A44" i="9"/>
  <c r="A174" i="18"/>
  <c r="A8" i="17"/>
  <c r="A204" i="17"/>
  <c r="A14" i="14"/>
  <c r="A14" i="12"/>
  <c r="A44" i="12"/>
  <c r="A20" i="20"/>
  <c r="A20" i="11"/>
  <c r="A20" i="10"/>
  <c r="A180" i="12"/>
  <c r="AA135" i="6"/>
  <c r="G135" i="37" s="1"/>
  <c r="T135" i="6"/>
  <c r="R135" i="6"/>
  <c r="H135" i="6"/>
  <c r="Y135" i="6"/>
  <c r="W135" i="6"/>
  <c r="J135" i="6"/>
  <c r="Z135" i="6"/>
  <c r="U135" i="6"/>
  <c r="I135" i="6"/>
  <c r="V135" i="6"/>
  <c r="O135" i="6"/>
  <c r="N135" i="6"/>
  <c r="M135" i="6"/>
  <c r="S135" i="6"/>
  <c r="Q135" i="6"/>
  <c r="F135" i="37" s="1"/>
  <c r="P135" i="6"/>
  <c r="L135" i="6"/>
  <c r="F135" i="6"/>
  <c r="E135" i="9" s="1"/>
  <c r="D135" i="9" s="1"/>
  <c r="X135" i="6"/>
  <c r="K135" i="6"/>
  <c r="AD5" i="6"/>
  <c r="AE135" i="6"/>
  <c r="A44" i="18"/>
  <c r="A168" i="18"/>
  <c r="A44" i="16"/>
  <c r="A20" i="15"/>
  <c r="A8" i="14"/>
  <c r="A14" i="13"/>
  <c r="A180" i="13"/>
  <c r="A8" i="12"/>
  <c r="A30" i="20"/>
  <c r="A190" i="12"/>
  <c r="A30" i="11"/>
  <c r="A30" i="10"/>
  <c r="A60" i="10"/>
  <c r="A220" i="12"/>
  <c r="AD67" i="6"/>
  <c r="AE5" i="6"/>
  <c r="AE67" i="6"/>
  <c r="AF135" i="6"/>
  <c r="A20" i="9"/>
  <c r="A44" i="17"/>
  <c r="A180" i="17"/>
  <c r="A14" i="15"/>
  <c r="A8" i="13"/>
  <c r="A174" i="13"/>
  <c r="A60" i="12"/>
  <c r="A204" i="12"/>
  <c r="A25" i="20"/>
  <c r="A25" i="11"/>
  <c r="A185" i="12"/>
  <c r="A25" i="10"/>
  <c r="A49" i="20"/>
  <c r="A49" i="10"/>
  <c r="A49" i="11"/>
  <c r="A209" i="12"/>
  <c r="A55" i="10"/>
  <c r="A215" i="12"/>
  <c r="C98" i="20"/>
  <c r="G135" i="6"/>
  <c r="AI135" i="6" s="1"/>
  <c r="AD95" i="22"/>
  <c r="AF60" i="22"/>
  <c r="AE60" i="22"/>
  <c r="AF98" i="22"/>
  <c r="AE98" i="22"/>
  <c r="G64" i="22"/>
  <c r="AI64" i="22" s="1"/>
  <c r="Z64" i="22"/>
  <c r="Y64" i="22"/>
  <c r="W64" i="22"/>
  <c r="U64" i="22"/>
  <c r="P64" i="22"/>
  <c r="X64" i="22"/>
  <c r="O64" i="22"/>
  <c r="AA64" i="22"/>
  <c r="S64" i="22"/>
  <c r="R64" i="22"/>
  <c r="AE49" i="22"/>
  <c r="V49" i="22" s="1"/>
  <c r="AF49" i="22"/>
  <c r="R27" i="22"/>
  <c r="Z27" i="22"/>
  <c r="V27" i="22"/>
  <c r="Q27" i="22"/>
  <c r="Y27" i="22"/>
  <c r="W27" i="22"/>
  <c r="T27" i="22"/>
  <c r="O27" i="22"/>
  <c r="X27" i="22"/>
  <c r="N27" i="22"/>
  <c r="U8" i="22"/>
  <c r="P8" i="22"/>
  <c r="T8" i="22"/>
  <c r="O8" i="22"/>
  <c r="W8" i="22"/>
  <c r="S8" i="22"/>
  <c r="X8" i="22"/>
  <c r="R8" i="22"/>
  <c r="AE69" i="22"/>
  <c r="X69" i="22" s="1"/>
  <c r="AF69" i="22"/>
  <c r="C5" i="20"/>
  <c r="E496" i="1"/>
  <c r="O496" i="1" s="1"/>
  <c r="D157" i="31" s="1"/>
  <c r="E486" i="1"/>
  <c r="E438" i="1"/>
  <c r="E430" i="1"/>
  <c r="E453" i="1"/>
  <c r="E447" i="1"/>
  <c r="E441" i="1"/>
  <c r="E459" i="1"/>
  <c r="E452" i="1"/>
  <c r="E449" i="1"/>
  <c r="E446" i="1"/>
  <c r="E462" i="1"/>
  <c r="E450" i="1"/>
  <c r="E456" i="1"/>
  <c r="E439" i="1"/>
  <c r="E460" i="1"/>
  <c r="E444" i="1"/>
  <c r="E461" i="1"/>
  <c r="E457" i="1"/>
  <c r="E437" i="1"/>
  <c r="E458" i="1"/>
  <c r="E451" i="1"/>
  <c r="E448" i="1"/>
  <c r="E445" i="1"/>
  <c r="E442" i="1"/>
  <c r="E422" i="1"/>
  <c r="E423" i="1"/>
  <c r="E411" i="1"/>
  <c r="AD163" i="22"/>
  <c r="T163" i="22" s="1"/>
  <c r="V163" i="22"/>
  <c r="V157" i="22"/>
  <c r="U157" i="22"/>
  <c r="Q157" i="22"/>
  <c r="X157" i="22"/>
  <c r="P157" i="22"/>
  <c r="O157" i="22"/>
  <c r="T157" i="22"/>
  <c r="S157" i="22"/>
  <c r="R157" i="22"/>
  <c r="AE111" i="22"/>
  <c r="AF111" i="22"/>
  <c r="AD35" i="22"/>
  <c r="G6" i="22"/>
  <c r="AI6" i="22" s="1"/>
  <c r="Z6" i="22"/>
  <c r="T6" i="22"/>
  <c r="O6" i="22"/>
  <c r="W6" i="22"/>
  <c r="N6" i="22"/>
  <c r="Y6" i="22"/>
  <c r="X6" i="22"/>
  <c r="R6" i="22"/>
  <c r="V6" i="22"/>
  <c r="Q6" i="22"/>
  <c r="R166" i="22"/>
  <c r="X166" i="22"/>
  <c r="O166" i="22"/>
  <c r="T132" i="22"/>
  <c r="S132" i="22"/>
  <c r="R132" i="22"/>
  <c r="V132" i="22"/>
  <c r="U132" i="22"/>
  <c r="Q132" i="22"/>
  <c r="P132" i="22"/>
  <c r="O132" i="22"/>
  <c r="R124" i="22"/>
  <c r="V124" i="22"/>
  <c r="W124" i="22"/>
  <c r="O124" i="22"/>
  <c r="AD121" i="22"/>
  <c r="T121" i="22" s="1"/>
  <c r="T114" i="22"/>
  <c r="S114" i="22"/>
  <c r="R114" i="22"/>
  <c r="U114" i="22"/>
  <c r="Q114" i="22"/>
  <c r="P114" i="22"/>
  <c r="W114" i="22"/>
  <c r="O114" i="22"/>
  <c r="AD84" i="22"/>
  <c r="V84" i="22" s="1"/>
  <c r="G84" i="22"/>
  <c r="AI84" i="22" s="1"/>
  <c r="P84" i="22"/>
  <c r="S84" i="22"/>
  <c r="X78" i="22"/>
  <c r="W78" i="22"/>
  <c r="O78" i="22"/>
  <c r="R78" i="22"/>
  <c r="R77" i="6" s="1"/>
  <c r="V78" i="22"/>
  <c r="G75" i="22"/>
  <c r="AI75" i="22" s="1"/>
  <c r="T75" i="22"/>
  <c r="S75" i="22"/>
  <c r="V75" i="22"/>
  <c r="U75" i="22"/>
  <c r="Q75" i="22"/>
  <c r="P75" i="22"/>
  <c r="G56" i="22"/>
  <c r="AI56" i="22" s="1"/>
  <c r="S56" i="22"/>
  <c r="R56" i="22"/>
  <c r="V56" i="22"/>
  <c r="Y56" i="22"/>
  <c r="U56" i="22"/>
  <c r="P56" i="22"/>
  <c r="Z56" i="22"/>
  <c r="W56" i="22"/>
  <c r="O56" i="22"/>
  <c r="AD39" i="22"/>
  <c r="W16" i="22"/>
  <c r="N16" i="22"/>
  <c r="S16" i="22"/>
  <c r="X16" i="22"/>
  <c r="V16" i="22"/>
  <c r="Q16" i="22"/>
  <c r="U16" i="22"/>
  <c r="P16" i="22"/>
  <c r="X124" i="22"/>
  <c r="X114" i="22"/>
  <c r="X91" i="22"/>
  <c r="AE30" i="22"/>
  <c r="G30" i="22" s="1"/>
  <c r="AI30" i="22" s="1"/>
  <c r="AF26" i="22"/>
  <c r="G22" i="22"/>
  <c r="AI22" i="22" s="1"/>
  <c r="J116" i="6"/>
  <c r="I116" i="9" s="1"/>
  <c r="H116" i="6"/>
  <c r="G116" i="9" s="1"/>
  <c r="L116" i="6"/>
  <c r="K116" i="9" s="1"/>
  <c r="I116" i="6"/>
  <c r="M116" i="6"/>
  <c r="L116" i="9" s="1"/>
  <c r="L116" i="10" s="1"/>
  <c r="L276" i="12" s="1"/>
  <c r="L116" i="16" s="1"/>
  <c r="K116" i="6"/>
  <c r="AA112" i="6"/>
  <c r="G112" i="37" s="1"/>
  <c r="L112" i="6"/>
  <c r="AD70" i="6"/>
  <c r="K70" i="6" s="1"/>
  <c r="G16" i="6"/>
  <c r="AI16" i="6" s="1"/>
  <c r="I16" i="6"/>
  <c r="H16" i="6"/>
  <c r="L16" i="6"/>
  <c r="M16" i="6"/>
  <c r="K16" i="6"/>
  <c r="AD13" i="6"/>
  <c r="K8" i="6"/>
  <c r="J8" i="6"/>
  <c r="I8" i="6"/>
  <c r="H8" i="6"/>
  <c r="L8" i="6"/>
  <c r="M145" i="6"/>
  <c r="L145" i="9" s="1"/>
  <c r="L145" i="6"/>
  <c r="K145" i="9" s="1"/>
  <c r="K145" i="6"/>
  <c r="J145" i="9" s="1"/>
  <c r="H145" i="6"/>
  <c r="G145" i="9" s="1"/>
  <c r="G145" i="10" s="1"/>
  <c r="J145" i="6"/>
  <c r="I145" i="9" s="1"/>
  <c r="J134" i="6"/>
  <c r="I134" i="6"/>
  <c r="M134" i="6"/>
  <c r="L134" i="6"/>
  <c r="K134" i="6"/>
  <c r="I73" i="6"/>
  <c r="M73" i="6"/>
  <c r="L73" i="6"/>
  <c r="K73" i="6"/>
  <c r="J73" i="6"/>
  <c r="M60" i="6"/>
  <c r="K60" i="6"/>
  <c r="J60" i="6"/>
  <c r="M22" i="6"/>
  <c r="K22" i="6"/>
  <c r="J22" i="6"/>
  <c r="I22" i="9" s="1"/>
  <c r="I22" i="6"/>
  <c r="H22" i="6"/>
  <c r="AF103" i="22"/>
  <c r="AF93" i="22"/>
  <c r="AF54" i="22"/>
  <c r="AF47" i="22"/>
  <c r="AD122" i="6"/>
  <c r="K82" i="6"/>
  <c r="J82" i="9" s="1"/>
  <c r="L82" i="6"/>
  <c r="K82" i="9" s="1"/>
  <c r="J82" i="6"/>
  <c r="I82" i="9" s="1"/>
  <c r="H82" i="6"/>
  <c r="G82" i="9" s="1"/>
  <c r="I82" i="6"/>
  <c r="H82" i="9" s="1"/>
  <c r="H82" i="10" s="1"/>
  <c r="H82" i="11" s="1"/>
  <c r="AA78" i="6"/>
  <c r="Y78" i="6"/>
  <c r="X78" i="9" s="1"/>
  <c r="X78" i="6"/>
  <c r="W78" i="9" s="1"/>
  <c r="W78" i="10" s="1"/>
  <c r="W238" i="12" s="1"/>
  <c r="W78" i="16" s="1"/>
  <c r="Q78" i="6"/>
  <c r="F78" i="37" s="1"/>
  <c r="H78" i="6"/>
  <c r="S78" i="6"/>
  <c r="I78" i="6"/>
  <c r="H78" i="9" s="1"/>
  <c r="H78" i="10" s="1"/>
  <c r="H78" i="11" s="1"/>
  <c r="V78" i="6"/>
  <c r="U78" i="9" s="1"/>
  <c r="P78" i="6"/>
  <c r="O78" i="9" s="1"/>
  <c r="N78" i="6"/>
  <c r="M78" i="9" s="1"/>
  <c r="M78" i="10" s="1"/>
  <c r="M238" i="12" s="1"/>
  <c r="M78" i="16" s="1"/>
  <c r="M78" i="6"/>
  <c r="L78" i="9" s="1"/>
  <c r="Z78" i="6"/>
  <c r="Y78" i="9" s="1"/>
  <c r="Y78" i="10" s="1"/>
  <c r="Y238" i="12" s="1"/>
  <c r="Y78" i="16" s="1"/>
  <c r="T78" i="6"/>
  <c r="O78" i="6"/>
  <c r="N78" i="9" s="1"/>
  <c r="K78" i="6"/>
  <c r="J78" i="9" s="1"/>
  <c r="AA59" i="6"/>
  <c r="G59" i="37" s="1"/>
  <c r="L59" i="6"/>
  <c r="AA51" i="6"/>
  <c r="L51" i="6"/>
  <c r="K51" i="9" s="1"/>
  <c r="AA46" i="6"/>
  <c r="G46" i="37" s="1"/>
  <c r="V46" i="6"/>
  <c r="U46" i="9" s="1"/>
  <c r="U46" i="10" s="1"/>
  <c r="U206" i="12" s="1"/>
  <c r="U46" i="16" s="1"/>
  <c r="P46" i="6"/>
  <c r="O46" i="9" s="1"/>
  <c r="O46" i="6"/>
  <c r="N46" i="9" s="1"/>
  <c r="J46" i="6"/>
  <c r="I46" i="9" s="1"/>
  <c r="T46" i="6"/>
  <c r="S46" i="9" s="1"/>
  <c r="L46" i="6"/>
  <c r="K46" i="9" s="1"/>
  <c r="K46" i="10" s="1"/>
  <c r="K206" i="12" s="1"/>
  <c r="K46" i="16" s="1"/>
  <c r="U46" i="6"/>
  <c r="T46" i="9" s="1"/>
  <c r="R46" i="6"/>
  <c r="Q46" i="9" s="1"/>
  <c r="Q46" i="10" s="1"/>
  <c r="Q206" i="12" s="1"/>
  <c r="Q46" i="16" s="1"/>
  <c r="I46" i="6"/>
  <c r="H46" i="9" s="1"/>
  <c r="H46" i="6"/>
  <c r="G46" i="9" s="1"/>
  <c r="G46" i="10" s="1"/>
  <c r="Z46" i="6"/>
  <c r="X46" i="6"/>
  <c r="W46" i="9" s="1"/>
  <c r="W46" i="10" s="1"/>
  <c r="W206" i="12" s="1"/>
  <c r="W46" i="16" s="1"/>
  <c r="W46" i="6"/>
  <c r="V46" i="9" s="1"/>
  <c r="Y46" i="6"/>
  <c r="X46" i="9" s="1"/>
  <c r="Q46" i="6"/>
  <c r="N46" i="6"/>
  <c r="M46" i="9" s="1"/>
  <c r="M46" i="10" s="1"/>
  <c r="M206" i="12" s="1"/>
  <c r="M46" i="6"/>
  <c r="L42" i="6"/>
  <c r="K42" i="9" s="1"/>
  <c r="K42" i="10" s="1"/>
  <c r="K42" i="11" s="1"/>
  <c r="I42" i="6"/>
  <c r="H42" i="9" s="1"/>
  <c r="H42" i="10" s="1"/>
  <c r="H42" i="11" s="1"/>
  <c r="H42" i="6"/>
  <c r="G42" i="9" s="1"/>
  <c r="G42" i="10" s="1"/>
  <c r="M42" i="6"/>
  <c r="L42" i="9" s="1"/>
  <c r="K42" i="6"/>
  <c r="J42" i="9" s="1"/>
  <c r="M35" i="6"/>
  <c r="L35" i="9" s="1"/>
  <c r="L35" i="6"/>
  <c r="K35" i="9" s="1"/>
  <c r="K35" i="6"/>
  <c r="J35" i="9" s="1"/>
  <c r="J35" i="6"/>
  <c r="I35" i="9" s="1"/>
  <c r="I35" i="6"/>
  <c r="H35" i="9" s="1"/>
  <c r="H35" i="10" s="1"/>
  <c r="H35" i="11" s="1"/>
  <c r="H35" i="6"/>
  <c r="G35" i="9" s="1"/>
  <c r="AD125" i="6"/>
  <c r="AA104" i="6"/>
  <c r="U104" i="6"/>
  <c r="T104" i="9" s="1"/>
  <c r="Q104" i="6"/>
  <c r="O104" i="6"/>
  <c r="N104" i="9" s="1"/>
  <c r="M104" i="6"/>
  <c r="L104" i="9" s="1"/>
  <c r="Z104" i="6"/>
  <c r="S104" i="6"/>
  <c r="R104" i="9" s="1"/>
  <c r="K104" i="6"/>
  <c r="J104" i="9" s="1"/>
  <c r="Y104" i="6"/>
  <c r="X104" i="9" s="1"/>
  <c r="V104" i="6"/>
  <c r="U104" i="9" s="1"/>
  <c r="P104" i="6"/>
  <c r="O104" i="9" s="1"/>
  <c r="J104" i="6"/>
  <c r="I104" i="9" s="1"/>
  <c r="H104" i="6"/>
  <c r="G104" i="9" s="1"/>
  <c r="X104" i="6"/>
  <c r="W104" i="9" s="1"/>
  <c r="L104" i="6"/>
  <c r="K104" i="9" s="1"/>
  <c r="J98" i="6"/>
  <c r="H98" i="6"/>
  <c r="L98" i="6"/>
  <c r="I98" i="6"/>
  <c r="M98" i="6"/>
  <c r="L94" i="6"/>
  <c r="J94" i="6"/>
  <c r="H94" i="6"/>
  <c r="I94" i="6"/>
  <c r="M94" i="6"/>
  <c r="K94" i="6"/>
  <c r="AD91" i="6"/>
  <c r="H62" i="6"/>
  <c r="G62" i="9" s="1"/>
  <c r="G62" i="10" s="1"/>
  <c r="I62" i="6"/>
  <c r="H62" i="9" s="1"/>
  <c r="H62" i="10" s="1"/>
  <c r="H62" i="11" s="1"/>
  <c r="M62" i="6"/>
  <c r="L62" i="6"/>
  <c r="K62" i="9" s="1"/>
  <c r="K62" i="6"/>
  <c r="J62" i="9" s="1"/>
  <c r="I148" i="6"/>
  <c r="M148" i="6"/>
  <c r="L148" i="9" s="1"/>
  <c r="L148" i="10" s="1"/>
  <c r="L308" i="12" s="1"/>
  <c r="L148" i="16" s="1"/>
  <c r="L148" i="6"/>
  <c r="K148" i="6"/>
  <c r="H148" i="6"/>
  <c r="G148" i="9" s="1"/>
  <c r="G148" i="10" s="1"/>
  <c r="AA128" i="6"/>
  <c r="Z128" i="6"/>
  <c r="Y128" i="9" s="1"/>
  <c r="Y128" i="10" s="1"/>
  <c r="Y288" i="12" s="1"/>
  <c r="U128" i="6"/>
  <c r="T128" i="9" s="1"/>
  <c r="T128" i="10" s="1"/>
  <c r="O128" i="6"/>
  <c r="N128" i="9" s="1"/>
  <c r="N128" i="10" s="1"/>
  <c r="N128" i="11" s="1"/>
  <c r="N128" i="6"/>
  <c r="M128" i="9" s="1"/>
  <c r="M128" i="6"/>
  <c r="L128" i="9" s="1"/>
  <c r="L128" i="10" s="1"/>
  <c r="L288" i="12" s="1"/>
  <c r="L128" i="16" s="1"/>
  <c r="V128" i="6"/>
  <c r="U128" i="9" s="1"/>
  <c r="Q128" i="6"/>
  <c r="S128" i="6"/>
  <c r="R128" i="9" s="1"/>
  <c r="R128" i="10" s="1"/>
  <c r="R128" i="11" s="1"/>
  <c r="P128" i="6"/>
  <c r="O128" i="9" s="1"/>
  <c r="O128" i="10" s="1"/>
  <c r="O288" i="12" s="1"/>
  <c r="K128" i="6"/>
  <c r="J128" i="9" s="1"/>
  <c r="J128" i="10" s="1"/>
  <c r="J288" i="12" s="1"/>
  <c r="J128" i="16" s="1"/>
  <c r="X128" i="6"/>
  <c r="W128" i="9" s="1"/>
  <c r="W128" i="10" s="1"/>
  <c r="W288" i="12" s="1"/>
  <c r="H128" i="6"/>
  <c r="G128" i="9" s="1"/>
  <c r="G128" i="10" s="1"/>
  <c r="T128" i="6"/>
  <c r="R128" i="6"/>
  <c r="Q128" i="9" s="1"/>
  <c r="Q128" i="10" s="1"/>
  <c r="Q288" i="12" s="1"/>
  <c r="J128" i="6"/>
  <c r="I128" i="9" s="1"/>
  <c r="I128" i="10" s="1"/>
  <c r="I288" i="12" s="1"/>
  <c r="AF152" i="6"/>
  <c r="AE118" i="6"/>
  <c r="G118" i="6" s="1"/>
  <c r="AI118" i="6" s="1"/>
  <c r="AE65" i="6"/>
  <c r="AF30" i="6"/>
  <c r="L30" i="6" s="1"/>
  <c r="L106" i="6"/>
  <c r="AE7" i="6"/>
  <c r="AF150" i="6"/>
  <c r="AF136" i="6"/>
  <c r="I136" i="6" s="1"/>
  <c r="Y439" i="1"/>
  <c r="M118" i="31" s="1"/>
  <c r="X497" i="1"/>
  <c r="X498" i="1"/>
  <c r="X495" i="1"/>
  <c r="X496" i="1"/>
  <c r="X499" i="1"/>
  <c r="X494" i="1"/>
  <c r="X486" i="1"/>
  <c r="X487" i="1"/>
  <c r="X473" i="1"/>
  <c r="X475" i="1"/>
  <c r="X471" i="1"/>
  <c r="X476" i="1"/>
  <c r="X470" i="1"/>
  <c r="X477" i="1"/>
  <c r="X472" i="1"/>
  <c r="X479" i="1"/>
  <c r="X474" i="1"/>
  <c r="X478" i="1"/>
  <c r="X462" i="1"/>
  <c r="X458" i="1"/>
  <c r="X443" i="1"/>
  <c r="X440" i="1"/>
  <c r="X449" i="1"/>
  <c r="X447" i="1"/>
  <c r="X453" i="1"/>
  <c r="X456" i="1"/>
  <c r="X455" i="1"/>
  <c r="X442" i="1"/>
  <c r="X454" i="1"/>
  <c r="X461" i="1"/>
  <c r="X446" i="1"/>
  <c r="X457" i="1"/>
  <c r="X441" i="1"/>
  <c r="X438" i="1"/>
  <c r="X452" i="1"/>
  <c r="X437" i="1"/>
  <c r="X463" i="1"/>
  <c r="X450" i="1"/>
  <c r="X439" i="1"/>
  <c r="X448" i="1"/>
  <c r="X444" i="1"/>
  <c r="X460" i="1"/>
  <c r="X445" i="1"/>
  <c r="X451" i="1"/>
  <c r="X459" i="1"/>
  <c r="Y410" i="1"/>
  <c r="M107" i="31" s="1"/>
  <c r="Y458" i="1"/>
  <c r="M137" i="31" s="1"/>
  <c r="Y446" i="1"/>
  <c r="M125" i="31" s="1"/>
  <c r="Y461" i="1"/>
  <c r="M140" i="31" s="1"/>
  <c r="Y449" i="1"/>
  <c r="M128" i="31" s="1"/>
  <c r="Y443" i="1"/>
  <c r="M122" i="31" s="1"/>
  <c r="Y452" i="1"/>
  <c r="M131" i="31" s="1"/>
  <c r="Y440" i="1"/>
  <c r="M119" i="31" s="1"/>
  <c r="Y455" i="1"/>
  <c r="M134" i="31" s="1"/>
  <c r="Y456" i="1"/>
  <c r="M135" i="31" s="1"/>
  <c r="Y444" i="1"/>
  <c r="M123" i="31" s="1"/>
  <c r="Y441" i="1"/>
  <c r="M120" i="31" s="1"/>
  <c r="Y459" i="1"/>
  <c r="M138" i="31" s="1"/>
  <c r="Y447" i="1"/>
  <c r="M126" i="31" s="1"/>
  <c r="Y450" i="1"/>
  <c r="M129" i="31" s="1"/>
  <c r="Y453" i="1"/>
  <c r="M132" i="31" s="1"/>
  <c r="Y460" i="1"/>
  <c r="M139" i="31" s="1"/>
  <c r="Y448" i="1"/>
  <c r="M127" i="31" s="1"/>
  <c r="Y451" i="1"/>
  <c r="M130" i="31" s="1"/>
  <c r="Y454" i="1"/>
  <c r="M133" i="31" s="1"/>
  <c r="Y457" i="1"/>
  <c r="M136" i="31" s="1"/>
  <c r="Y442" i="1"/>
  <c r="M121" i="31" s="1"/>
  <c r="Y445" i="1"/>
  <c r="M124" i="31" s="1"/>
  <c r="X430" i="1"/>
  <c r="X432" i="1" s="1"/>
  <c r="X420" i="1"/>
  <c r="X421" i="1"/>
  <c r="X422" i="1"/>
  <c r="X423" i="1"/>
  <c r="Y411" i="1"/>
  <c r="M108" i="31" s="1"/>
  <c r="Y413" i="1"/>
  <c r="M110" i="31" s="1"/>
  <c r="Y412" i="1"/>
  <c r="M109" i="31" s="1"/>
  <c r="X412" i="1"/>
  <c r="X410" i="1"/>
  <c r="X411" i="1"/>
  <c r="X413" i="1"/>
  <c r="X397" i="1"/>
  <c r="X399" i="1"/>
  <c r="X403" i="1" s="1"/>
  <c r="X398" i="1"/>
  <c r="X402" i="1" s="1"/>
  <c r="Y352" i="1"/>
  <c r="Y338" i="1"/>
  <c r="Y339" i="1"/>
  <c r="Y360" i="1"/>
  <c r="G96" i="31" s="1"/>
  <c r="Y375" i="1"/>
  <c r="G100" i="31" s="1"/>
  <c r="Y386" i="1"/>
  <c r="G102" i="31" s="1"/>
  <c r="Y361" i="1"/>
  <c r="Y376" i="1"/>
  <c r="Y363" i="1"/>
  <c r="Y362" i="1"/>
  <c r="I78" i="9"/>
  <c r="I78" i="10" s="1"/>
  <c r="I238" i="12" s="1"/>
  <c r="I78" i="16" s="1"/>
  <c r="F78" i="9"/>
  <c r="Y24" i="9"/>
  <c r="Y24" i="10" s="1"/>
  <c r="Y184" i="12" s="1"/>
  <c r="E322" i="1"/>
  <c r="O322" i="1" s="1"/>
  <c r="D89" i="31" s="1"/>
  <c r="E328" i="1"/>
  <c r="AO328" i="1" s="1"/>
  <c r="C328" i="1" s="1"/>
  <c r="U24" i="9"/>
  <c r="F24" i="9"/>
  <c r="E365" i="1"/>
  <c r="E360" i="1"/>
  <c r="O360" i="1" s="1"/>
  <c r="D96" i="31" s="1"/>
  <c r="E297" i="1"/>
  <c r="AO297" i="1" s="1"/>
  <c r="C297" i="1" s="1"/>
  <c r="E291" i="1"/>
  <c r="O291" i="1" s="1"/>
  <c r="D80" i="31" s="1"/>
  <c r="X336" i="1"/>
  <c r="X360" i="1"/>
  <c r="X375" i="1"/>
  <c r="X386" i="1"/>
  <c r="X362" i="1"/>
  <c r="X367" i="1" s="1"/>
  <c r="X349" i="1"/>
  <c r="X353" i="1" s="1"/>
  <c r="X347" i="1"/>
  <c r="X337" i="1"/>
  <c r="X340" i="1" s="1"/>
  <c r="X376" i="1"/>
  <c r="X379" i="1" s="1"/>
  <c r="X363" i="1"/>
  <c r="X368" i="1" s="1"/>
  <c r="X387" i="1"/>
  <c r="X390" i="1" s="1"/>
  <c r="X361" i="1"/>
  <c r="X366" i="1" s="1"/>
  <c r="X348" i="1"/>
  <c r="X352" i="1" s="1"/>
  <c r="X320" i="1"/>
  <c r="X326" i="1" s="1"/>
  <c r="X290" i="1"/>
  <c r="X296" i="1" s="1"/>
  <c r="Y289" i="1"/>
  <c r="G78" i="31" s="1"/>
  <c r="Y319" i="1"/>
  <c r="G86" i="31" s="1"/>
  <c r="Y306" i="1"/>
  <c r="G83" i="31" s="1"/>
  <c r="Y308" i="1"/>
  <c r="Y279" i="1"/>
  <c r="G77" i="31" s="1"/>
  <c r="Y323" i="1"/>
  <c r="Y293" i="1"/>
  <c r="Y291" i="1"/>
  <c r="Y321" i="1"/>
  <c r="Y307" i="1"/>
  <c r="Y292" i="1"/>
  <c r="Y322" i="1"/>
  <c r="X279" i="1"/>
  <c r="X282" i="1" s="1"/>
  <c r="X289" i="1"/>
  <c r="X295" i="1" s="1"/>
  <c r="X291" i="1"/>
  <c r="X323" i="1"/>
  <c r="X329" i="1" s="1"/>
  <c r="X262" i="1"/>
  <c r="X268" i="1" s="1"/>
  <c r="X306" i="1"/>
  <c r="X293" i="1"/>
  <c r="X299" i="1" s="1"/>
  <c r="X319" i="1"/>
  <c r="X292" i="1"/>
  <c r="X298" i="1" s="1"/>
  <c r="X322" i="1"/>
  <c r="X328" i="1" s="1"/>
  <c r="X308" i="1"/>
  <c r="X312" i="1" s="1"/>
  <c r="X278" i="1"/>
  <c r="X307" i="1"/>
  <c r="X311" i="1" s="1"/>
  <c r="X321" i="1"/>
  <c r="X327" i="1" s="1"/>
  <c r="X223" i="1"/>
  <c r="X229" i="1" s="1"/>
  <c r="F62" i="9"/>
  <c r="Y71" i="9"/>
  <c r="Y71" i="10" s="1"/>
  <c r="Y231" i="12" s="1"/>
  <c r="F71" i="9"/>
  <c r="H11" i="9"/>
  <c r="H11" i="10" s="1"/>
  <c r="F11" i="9"/>
  <c r="L57" i="6"/>
  <c r="AI92" i="6"/>
  <c r="AI24" i="6"/>
  <c r="F27" i="9"/>
  <c r="F126" i="9"/>
  <c r="F155" i="6"/>
  <c r="E155" i="9" s="1"/>
  <c r="D155" i="9" s="1"/>
  <c r="G158" i="6"/>
  <c r="G86" i="6"/>
  <c r="AI86" i="6" s="1"/>
  <c r="G57" i="6"/>
  <c r="H117" i="6"/>
  <c r="H60" i="6"/>
  <c r="J106" i="6"/>
  <c r="K155" i="6"/>
  <c r="L158" i="6"/>
  <c r="L117" i="6"/>
  <c r="L60" i="6"/>
  <c r="F106" i="6"/>
  <c r="E106" i="9" s="1"/>
  <c r="D106" i="9" s="1"/>
  <c r="I106" i="9" s="1"/>
  <c r="G155" i="6"/>
  <c r="AI155" i="6" s="1"/>
  <c r="H86" i="6"/>
  <c r="H57" i="6"/>
  <c r="I117" i="6"/>
  <c r="I60" i="6"/>
  <c r="K106" i="6"/>
  <c r="L155" i="6"/>
  <c r="M106" i="6"/>
  <c r="F117" i="6"/>
  <c r="E117" i="9" s="1"/>
  <c r="D117" i="9" s="1"/>
  <c r="K64" i="9"/>
  <c r="K64" i="10" s="1"/>
  <c r="K224" i="12" s="1"/>
  <c r="K64" i="16" s="1"/>
  <c r="X24" i="9"/>
  <c r="X24" i="10" s="1"/>
  <c r="S6" i="9"/>
  <c r="S6" i="10" s="1"/>
  <c r="S166" i="12" s="1"/>
  <c r="S6" i="16" s="1"/>
  <c r="F86" i="6"/>
  <c r="E86" i="9" s="1"/>
  <c r="D86" i="9" s="1"/>
  <c r="F57" i="6"/>
  <c r="E57" i="9" s="1"/>
  <c r="D57" i="9" s="1"/>
  <c r="H106" i="6"/>
  <c r="I155" i="6"/>
  <c r="J158" i="6"/>
  <c r="K86" i="6"/>
  <c r="K57" i="6"/>
  <c r="L86" i="6"/>
  <c r="M158" i="6"/>
  <c r="M86" i="6"/>
  <c r="M57" i="6"/>
  <c r="F51" i="9"/>
  <c r="G106" i="6"/>
  <c r="H155" i="6"/>
  <c r="I158" i="6"/>
  <c r="K117" i="6"/>
  <c r="M117" i="6"/>
  <c r="AI51" i="6"/>
  <c r="F25" i="9"/>
  <c r="F158" i="6"/>
  <c r="E158" i="9" s="1"/>
  <c r="D158" i="9" s="1"/>
  <c r="G158" i="9" s="1"/>
  <c r="G117" i="6"/>
  <c r="G60" i="6"/>
  <c r="I106" i="6"/>
  <c r="J155" i="6"/>
  <c r="K158" i="6"/>
  <c r="F144" i="9"/>
  <c r="J28" i="9"/>
  <c r="J28" i="10" s="1"/>
  <c r="J188" i="12" s="1"/>
  <c r="J28" i="16" s="1"/>
  <c r="K87" i="6"/>
  <c r="I87" i="6"/>
  <c r="G87" i="6"/>
  <c r="M87" i="6"/>
  <c r="J87" i="6"/>
  <c r="H87" i="6"/>
  <c r="F87" i="6"/>
  <c r="E87" i="9" s="1"/>
  <c r="D87" i="9" s="1"/>
  <c r="L87" i="6"/>
  <c r="AD140" i="6"/>
  <c r="AE85" i="6"/>
  <c r="A50" i="11"/>
  <c r="A55" i="11"/>
  <c r="A68" i="11"/>
  <c r="A32" i="10"/>
  <c r="C142" i="10"/>
  <c r="C147" i="10"/>
  <c r="A32" i="20"/>
  <c r="A37" i="20"/>
  <c r="A50" i="20"/>
  <c r="A55" i="20"/>
  <c r="A68" i="20"/>
  <c r="A157" i="20"/>
  <c r="A157" i="10"/>
  <c r="K128" i="9"/>
  <c r="K128" i="10" s="1"/>
  <c r="S128" i="9"/>
  <c r="S128" i="10" s="1"/>
  <c r="S288" i="12" s="1"/>
  <c r="C47" i="20"/>
  <c r="AD156" i="6"/>
  <c r="AE138" i="6"/>
  <c r="AF138" i="6"/>
  <c r="AE124" i="6"/>
  <c r="AF124" i="6"/>
  <c r="AE31" i="6"/>
  <c r="AF31" i="6"/>
  <c r="AE140" i="6"/>
  <c r="AD151" i="6"/>
  <c r="AF156" i="6"/>
  <c r="A6" i="20"/>
  <c r="A6" i="10"/>
  <c r="A12" i="20"/>
  <c r="A12" i="11"/>
  <c r="A18" i="20"/>
  <c r="A18" i="10"/>
  <c r="A24" i="20"/>
  <c r="A24" i="11"/>
  <c r="A28" i="20"/>
  <c r="A28" i="10"/>
  <c r="A42" i="20"/>
  <c r="A42" i="11"/>
  <c r="A46" i="20"/>
  <c r="A46" i="10"/>
  <c r="A60" i="20"/>
  <c r="A60" i="11"/>
  <c r="O143" i="9"/>
  <c r="O143" i="10" s="1"/>
  <c r="O303" i="12" s="1"/>
  <c r="O143" i="16" s="1"/>
  <c r="T143" i="9"/>
  <c r="T143" i="10" s="1"/>
  <c r="T303" i="12" s="1"/>
  <c r="C154" i="10"/>
  <c r="C154" i="20"/>
  <c r="C148" i="20"/>
  <c r="C148" i="10"/>
  <c r="C148" i="11"/>
  <c r="C136" i="20"/>
  <c r="C136" i="11"/>
  <c r="C130" i="10"/>
  <c r="C130" i="11"/>
  <c r="C118" i="11"/>
  <c r="C118" i="20"/>
  <c r="C100" i="11"/>
  <c r="C100" i="20"/>
  <c r="C94" i="11"/>
  <c r="C94" i="20"/>
  <c r="C50" i="20"/>
  <c r="C50" i="11"/>
  <c r="C44" i="11"/>
  <c r="C44" i="20"/>
  <c r="C41" i="10"/>
  <c r="C41" i="20"/>
  <c r="C32" i="11"/>
  <c r="C32" i="20"/>
  <c r="C29" i="10"/>
  <c r="C29" i="20"/>
  <c r="C26" i="11"/>
  <c r="C26" i="20"/>
  <c r="C23" i="10"/>
  <c r="C23" i="20"/>
  <c r="C17" i="11"/>
  <c r="C17" i="20"/>
  <c r="AE151" i="6"/>
  <c r="AD153" i="6"/>
  <c r="A81" i="20"/>
  <c r="A81" i="11"/>
  <c r="A87" i="20"/>
  <c r="A87" i="11"/>
  <c r="C153" i="20"/>
  <c r="C153" i="10"/>
  <c r="C135" i="20"/>
  <c r="C135" i="10"/>
  <c r="C123" i="20"/>
  <c r="C123" i="10"/>
  <c r="C111" i="10"/>
  <c r="C111" i="20"/>
  <c r="C105" i="20"/>
  <c r="C105" i="10"/>
  <c r="C93" i="20"/>
  <c r="C93" i="10"/>
  <c r="C87" i="20"/>
  <c r="C87" i="10"/>
  <c r="C75" i="20"/>
  <c r="C75" i="10"/>
  <c r="C63" i="20"/>
  <c r="C63" i="11"/>
  <c r="C57" i="20"/>
  <c r="C57" i="10"/>
  <c r="AD138" i="6"/>
  <c r="A166" i="12"/>
  <c r="A178" i="12"/>
  <c r="C314" i="12"/>
  <c r="A32" i="11"/>
  <c r="A37" i="11"/>
  <c r="C41" i="11"/>
  <c r="C70" i="11"/>
  <c r="A75" i="11"/>
  <c r="C124" i="11"/>
  <c r="C20" i="10"/>
  <c r="C35" i="10"/>
  <c r="C64" i="10"/>
  <c r="C88" i="10"/>
  <c r="C117" i="10"/>
  <c r="C130" i="20"/>
  <c r="C112" i="20"/>
  <c r="Y46" i="9"/>
  <c r="Y46" i="10" s="1"/>
  <c r="Y206" i="12" s="1"/>
  <c r="Y46" i="16" s="1"/>
  <c r="C11" i="20"/>
  <c r="F121" i="6"/>
  <c r="E121" i="9" s="1"/>
  <c r="D121" i="9" s="1"/>
  <c r="K121" i="6"/>
  <c r="I121" i="6"/>
  <c r="L121" i="6"/>
  <c r="G121" i="6"/>
  <c r="H121" i="6"/>
  <c r="M121" i="6"/>
  <c r="J121" i="6"/>
  <c r="F55" i="6"/>
  <c r="E55" i="9" s="1"/>
  <c r="D55" i="9" s="1"/>
  <c r="L55" i="6"/>
  <c r="K55" i="6"/>
  <c r="I55" i="6"/>
  <c r="G55" i="6"/>
  <c r="M55" i="6"/>
  <c r="H55" i="6"/>
  <c r="J55" i="6"/>
  <c r="AD124" i="6"/>
  <c r="A18" i="11"/>
  <c r="A28" i="11"/>
  <c r="A24" i="10"/>
  <c r="C50" i="10"/>
  <c r="C94" i="10"/>
  <c r="C118" i="10"/>
  <c r="C129" i="10"/>
  <c r="C136" i="10"/>
  <c r="C82" i="20"/>
  <c r="C69" i="20"/>
  <c r="AF156" i="22"/>
  <c r="AD156" i="22"/>
  <c r="A99" i="11"/>
  <c r="A117" i="11"/>
  <c r="A135" i="11"/>
  <c r="A153" i="11"/>
  <c r="A129" i="10"/>
  <c r="P24" i="9"/>
  <c r="AE65" i="22"/>
  <c r="AF65" i="22"/>
  <c r="AE88" i="22"/>
  <c r="W88" i="22" s="1"/>
  <c r="W85" i="6" s="1"/>
  <c r="AF88" i="22"/>
  <c r="A105" i="11"/>
  <c r="A123" i="11"/>
  <c r="A141" i="11"/>
  <c r="AE144" i="22"/>
  <c r="AF144" i="22"/>
  <c r="AD129" i="22"/>
  <c r="G46" i="22"/>
  <c r="AI46" i="22" s="1"/>
  <c r="AA46" i="22"/>
  <c r="Z46" i="22"/>
  <c r="G28" i="22"/>
  <c r="AI28" i="22" s="1"/>
  <c r="Y28" i="22"/>
  <c r="AA28" i="22"/>
  <c r="Z28" i="22"/>
  <c r="G20" i="22"/>
  <c r="AI20" i="22" s="1"/>
  <c r="G16" i="22"/>
  <c r="AI16" i="22" s="1"/>
  <c r="G148" i="22"/>
  <c r="AI148" i="22" s="1"/>
  <c r="AA148" i="22"/>
  <c r="Z148" i="22"/>
  <c r="G120" i="22"/>
  <c r="AI120" i="22" s="1"/>
  <c r="Z120" i="22"/>
  <c r="AA120" i="22"/>
  <c r="G114" i="22"/>
  <c r="AI114" i="22" s="1"/>
  <c r="AD53" i="22"/>
  <c r="AE31" i="22"/>
  <c r="AF31" i="22"/>
  <c r="G19" i="22"/>
  <c r="AI19" i="22" s="1"/>
  <c r="AD13" i="22"/>
  <c r="W13" i="22" s="1"/>
  <c r="W132" i="22"/>
  <c r="X132" i="22"/>
  <c r="X19" i="22"/>
  <c r="Y120" i="22"/>
  <c r="AE63" i="22"/>
  <c r="AF63" i="22"/>
  <c r="G38" i="22"/>
  <c r="AI38" i="22" s="1"/>
  <c r="AA38" i="22"/>
  <c r="Z38" i="22"/>
  <c r="W120" i="22"/>
  <c r="W19" i="22"/>
  <c r="X120" i="22"/>
  <c r="G96" i="22"/>
  <c r="AI96" i="22" s="1"/>
  <c r="AD44" i="22"/>
  <c r="AE15" i="22"/>
  <c r="AF15" i="22"/>
  <c r="W60" i="22"/>
  <c r="X31" i="22"/>
  <c r="Y148" i="22"/>
  <c r="G116" i="22"/>
  <c r="AI116" i="22" s="1"/>
  <c r="AA116" i="22"/>
  <c r="Z116" i="22"/>
  <c r="AD109" i="22"/>
  <c r="G109" i="22" s="1"/>
  <c r="AI109" i="22" s="1"/>
  <c r="Y21" i="22"/>
  <c r="Z21" i="22"/>
  <c r="AE143" i="22"/>
  <c r="G91" i="22"/>
  <c r="AI91" i="22" s="1"/>
  <c r="AF43" i="22"/>
  <c r="AF9" i="22"/>
  <c r="AE111" i="6"/>
  <c r="AF111" i="6"/>
  <c r="AF154" i="22"/>
  <c r="AF150" i="22"/>
  <c r="AF127" i="22"/>
  <c r="AF118" i="22"/>
  <c r="G113" i="22"/>
  <c r="AI113" i="22" s="1"/>
  <c r="G90" i="22"/>
  <c r="AI90" i="22" s="1"/>
  <c r="AF45" i="22"/>
  <c r="G45" i="22" s="1"/>
  <c r="AI45" i="22" s="1"/>
  <c r="G18" i="22"/>
  <c r="AI18" i="22" s="1"/>
  <c r="E38" i="20"/>
  <c r="AE142" i="6"/>
  <c r="AF142" i="6"/>
  <c r="AE93" i="6"/>
  <c r="AF93" i="6"/>
  <c r="G147" i="22"/>
  <c r="AI147" i="22" s="1"/>
  <c r="AF83" i="22"/>
  <c r="G68" i="22"/>
  <c r="AI68" i="22" s="1"/>
  <c r="AF50" i="22"/>
  <c r="G48" i="22"/>
  <c r="AI48" i="22" s="1"/>
  <c r="AD130" i="6"/>
  <c r="AF68" i="6"/>
  <c r="AE68" i="6"/>
  <c r="AA11" i="6"/>
  <c r="T11" i="6"/>
  <c r="S11" i="9" s="1"/>
  <c r="X11" i="6"/>
  <c r="W11" i="9" s="1"/>
  <c r="U11" i="6"/>
  <c r="T11" i="9" s="1"/>
  <c r="Z11" i="6"/>
  <c r="Y11" i="9" s="1"/>
  <c r="Y11" i="10" s="1"/>
  <c r="Y171" i="12" s="1"/>
  <c r="R11" i="6"/>
  <c r="P11" i="6"/>
  <c r="O11" i="9" s="1"/>
  <c r="W11" i="6"/>
  <c r="V11" i="9" s="1"/>
  <c r="V11" i="10" s="1"/>
  <c r="V11" i="6"/>
  <c r="U11" i="9" s="1"/>
  <c r="Q11" i="6"/>
  <c r="O11" i="6"/>
  <c r="Y11" i="6"/>
  <c r="AD114" i="6"/>
  <c r="AD74" i="6"/>
  <c r="AD126" i="22"/>
  <c r="G124" i="22"/>
  <c r="AI124" i="22" s="1"/>
  <c r="AF57" i="22"/>
  <c r="G57" i="22" s="1"/>
  <c r="AI57" i="22" s="1"/>
  <c r="G8" i="22"/>
  <c r="AI8" i="22" s="1"/>
  <c r="E56" i="20"/>
  <c r="AD119" i="6"/>
  <c r="AF52" i="6"/>
  <c r="AE52" i="6"/>
  <c r="AE23" i="6"/>
  <c r="AF23" i="6"/>
  <c r="Z143" i="6"/>
  <c r="Y143" i="9" s="1"/>
  <c r="Y143" i="10" s="1"/>
  <c r="Y303" i="12" s="1"/>
  <c r="AF10" i="6"/>
  <c r="AF45" i="6"/>
  <c r="Y143" i="6"/>
  <c r="X143" i="9" s="1"/>
  <c r="X143" i="10" s="1"/>
  <c r="AE89" i="6"/>
  <c r="U36" i="6"/>
  <c r="U36" i="22"/>
  <c r="S37" i="6"/>
  <c r="S37" i="22"/>
  <c r="U88" i="6"/>
  <c r="U92" i="22"/>
  <c r="Q112" i="6"/>
  <c r="F112" i="37" s="1"/>
  <c r="Q119" i="22"/>
  <c r="A19" i="10"/>
  <c r="A179" i="12"/>
  <c r="A19" i="20"/>
  <c r="A19" i="11"/>
  <c r="V36" i="6"/>
  <c r="V36" i="22"/>
  <c r="N37" i="6"/>
  <c r="N37" i="22"/>
  <c r="Z37" i="6"/>
  <c r="Z37" i="22"/>
  <c r="P58" i="6"/>
  <c r="P58" i="22"/>
  <c r="T59" i="6"/>
  <c r="T59" i="22"/>
  <c r="V88" i="6"/>
  <c r="V92" i="22"/>
  <c r="Z96" i="6"/>
  <c r="Z100" i="22"/>
  <c r="P132" i="6"/>
  <c r="P139" i="22"/>
  <c r="T133" i="6"/>
  <c r="T140" i="22"/>
  <c r="A69" i="17"/>
  <c r="A167" i="17"/>
  <c r="A173" i="17"/>
  <c r="A179" i="17"/>
  <c r="A189" i="17"/>
  <c r="A193" i="17"/>
  <c r="A207" i="17"/>
  <c r="A211" i="17"/>
  <c r="A65" i="16"/>
  <c r="A69" i="15"/>
  <c r="A7" i="14"/>
  <c r="A13" i="14"/>
  <c r="A19" i="14"/>
  <c r="A29" i="14"/>
  <c r="A33" i="14"/>
  <c r="A51" i="14"/>
  <c r="A65" i="13"/>
  <c r="A229" i="13"/>
  <c r="A76" i="20"/>
  <c r="A76" i="10"/>
  <c r="A76" i="12"/>
  <c r="A236" i="12"/>
  <c r="A76" i="11"/>
  <c r="A82" i="20"/>
  <c r="A82" i="10"/>
  <c r="A82" i="12"/>
  <c r="A242" i="12"/>
  <c r="A82" i="11"/>
  <c r="A94" i="20"/>
  <c r="A94" i="10"/>
  <c r="A94" i="12"/>
  <c r="A254" i="12"/>
  <c r="A94" i="11"/>
  <c r="A100" i="20"/>
  <c r="A100" i="10"/>
  <c r="A100" i="12"/>
  <c r="A260" i="12"/>
  <c r="A100" i="11"/>
  <c r="A112" i="20"/>
  <c r="A112" i="10"/>
  <c r="A112" i="12"/>
  <c r="A272" i="12"/>
  <c r="A112" i="11"/>
  <c r="A118" i="20"/>
  <c r="A118" i="10"/>
  <c r="A118" i="12"/>
  <c r="A278" i="12"/>
  <c r="A118" i="11"/>
  <c r="A130" i="20"/>
  <c r="A130" i="10"/>
  <c r="A130" i="12"/>
  <c r="A290" i="12"/>
  <c r="A130" i="11"/>
  <c r="A136" i="20"/>
  <c r="A136" i="10"/>
  <c r="A136" i="12"/>
  <c r="A296" i="12"/>
  <c r="A136" i="11"/>
  <c r="A148" i="20"/>
  <c r="A148" i="10"/>
  <c r="A148" i="12"/>
  <c r="A308" i="12"/>
  <c r="A148" i="11"/>
  <c r="I92" i="22"/>
  <c r="M32" i="6"/>
  <c r="M32" i="22"/>
  <c r="Y32" i="6"/>
  <c r="Y32" i="22"/>
  <c r="O36" i="6"/>
  <c r="O36" i="22"/>
  <c r="F37" i="6"/>
  <c r="E37" i="9" s="1"/>
  <c r="D37" i="9" s="1"/>
  <c r="F37" i="22"/>
  <c r="M37" i="6"/>
  <c r="M37" i="22"/>
  <c r="Y37" i="6"/>
  <c r="Y37" i="22"/>
  <c r="H58" i="6"/>
  <c r="H58" i="22"/>
  <c r="U58" i="6"/>
  <c r="U58" i="22"/>
  <c r="Q61" i="6"/>
  <c r="F61" i="37" s="1"/>
  <c r="Q61" i="22"/>
  <c r="F96" i="6"/>
  <c r="E96" i="9" s="1"/>
  <c r="D96" i="9" s="1"/>
  <c r="F100" i="22"/>
  <c r="W112" i="6"/>
  <c r="W119" i="22"/>
  <c r="A47" i="10"/>
  <c r="A47" i="12"/>
  <c r="A207" i="12"/>
  <c r="A47" i="20"/>
  <c r="A47" i="11"/>
  <c r="J101" i="9"/>
  <c r="J101" i="10" s="1"/>
  <c r="J261" i="12" s="1"/>
  <c r="I101" i="9"/>
  <c r="I101" i="10" s="1"/>
  <c r="I261" i="12" s="1"/>
  <c r="V58" i="6"/>
  <c r="V58" i="22"/>
  <c r="N59" i="6"/>
  <c r="N59" i="22"/>
  <c r="Z59" i="6"/>
  <c r="Z59" i="22"/>
  <c r="I72" i="6"/>
  <c r="I73" i="22"/>
  <c r="N75" i="6"/>
  <c r="N76" i="22"/>
  <c r="N96" i="6"/>
  <c r="N100" i="22"/>
  <c r="X112" i="6"/>
  <c r="X119" i="22"/>
  <c r="F148" i="9"/>
  <c r="AF66" i="6"/>
  <c r="AI32" i="6"/>
  <c r="H32" i="6"/>
  <c r="H32" i="22"/>
  <c r="O32" i="6"/>
  <c r="O32" i="22"/>
  <c r="U32" i="6"/>
  <c r="U32" i="22"/>
  <c r="F33" i="6"/>
  <c r="E33" i="9" s="1"/>
  <c r="D33" i="9" s="1"/>
  <c r="N33" i="9" s="1"/>
  <c r="N33" i="10" s="1"/>
  <c r="N33" i="11" s="1"/>
  <c r="F33" i="22"/>
  <c r="M33" i="6"/>
  <c r="M33" i="22"/>
  <c r="S33" i="6"/>
  <c r="S33" i="22"/>
  <c r="Y33" i="6"/>
  <c r="Y33" i="22"/>
  <c r="J36" i="6"/>
  <c r="J36" i="22"/>
  <c r="Q36" i="6"/>
  <c r="F36" i="37" s="1"/>
  <c r="Q36" i="22"/>
  <c r="W36" i="6"/>
  <c r="W36" i="22"/>
  <c r="H37" i="6"/>
  <c r="H37" i="22"/>
  <c r="O37" i="6"/>
  <c r="O37" i="22"/>
  <c r="U37" i="6"/>
  <c r="U37" i="22"/>
  <c r="J58" i="6"/>
  <c r="J58" i="22"/>
  <c r="Q58" i="6"/>
  <c r="F58" i="37" s="1"/>
  <c r="Q58" i="22"/>
  <c r="W58" i="6"/>
  <c r="W58" i="22"/>
  <c r="H59" i="6"/>
  <c r="H59" i="22"/>
  <c r="O59" i="6"/>
  <c r="O59" i="22"/>
  <c r="U59" i="6"/>
  <c r="U59" i="22"/>
  <c r="F61" i="6"/>
  <c r="E61" i="9" s="1"/>
  <c r="D61" i="9" s="1"/>
  <c r="F61" i="9" s="1"/>
  <c r="F61" i="22"/>
  <c r="J72" i="6"/>
  <c r="J73" i="22"/>
  <c r="Q72" i="6"/>
  <c r="F72" i="37" s="1"/>
  <c r="Q73" i="22"/>
  <c r="W72" i="6"/>
  <c r="W73" i="22"/>
  <c r="H75" i="6"/>
  <c r="H76" i="22"/>
  <c r="O75" i="6"/>
  <c r="O76" i="22"/>
  <c r="U75" i="6"/>
  <c r="U76" i="22"/>
  <c r="J88" i="6"/>
  <c r="J92" i="22"/>
  <c r="Q88" i="6"/>
  <c r="F88" i="37" s="1"/>
  <c r="Q92" i="22"/>
  <c r="W88" i="6"/>
  <c r="W92" i="22"/>
  <c r="H96" i="6"/>
  <c r="H100" i="22"/>
  <c r="O96" i="6"/>
  <c r="O100" i="22"/>
  <c r="U96" i="6"/>
  <c r="U100" i="22"/>
  <c r="F112" i="6"/>
  <c r="E112" i="9" s="1"/>
  <c r="D112" i="9" s="1"/>
  <c r="F119" i="22"/>
  <c r="M112" i="6"/>
  <c r="M119" i="22"/>
  <c r="S112" i="6"/>
  <c r="S119" i="22"/>
  <c r="Y112" i="6"/>
  <c r="Y119" i="22"/>
  <c r="J132" i="6"/>
  <c r="J139" i="22"/>
  <c r="Q132" i="6"/>
  <c r="F132" i="37" s="1"/>
  <c r="Q139" i="22"/>
  <c r="W132" i="6"/>
  <c r="W139" i="22"/>
  <c r="H133" i="6"/>
  <c r="H140" i="22"/>
  <c r="O133" i="6"/>
  <c r="O140" i="22"/>
  <c r="U133" i="6"/>
  <c r="U140" i="22"/>
  <c r="A69" i="9"/>
  <c r="A69" i="18"/>
  <c r="A167" i="18"/>
  <c r="A179" i="18"/>
  <c r="A189" i="18"/>
  <c r="A207" i="18"/>
  <c r="A9" i="20"/>
  <c r="A9" i="10"/>
  <c r="A169" i="12"/>
  <c r="A9" i="11"/>
  <c r="A15" i="20"/>
  <c r="A15" i="10"/>
  <c r="A175" i="12"/>
  <c r="A15" i="11"/>
  <c r="A21" i="20"/>
  <c r="A21" i="10"/>
  <c r="A21" i="12"/>
  <c r="A181" i="12"/>
  <c r="A21" i="11"/>
  <c r="A35" i="20"/>
  <c r="A35" i="10"/>
  <c r="A35" i="12"/>
  <c r="A195" i="12"/>
  <c r="A35" i="11"/>
  <c r="A39" i="20"/>
  <c r="A39" i="10"/>
  <c r="A39" i="12"/>
  <c r="A199" i="12"/>
  <c r="A39" i="11"/>
  <c r="A53" i="20"/>
  <c r="A53" i="10"/>
  <c r="A53" i="12"/>
  <c r="A213" i="12"/>
  <c r="A53" i="11"/>
  <c r="A57" i="20"/>
  <c r="A57" i="11"/>
  <c r="A57" i="10"/>
  <c r="A57" i="12"/>
  <c r="A217" i="12"/>
  <c r="A71" i="20"/>
  <c r="A231" i="12"/>
  <c r="A71" i="11"/>
  <c r="A71" i="10"/>
  <c r="A71" i="12"/>
  <c r="A237" i="12"/>
  <c r="A77" i="11"/>
  <c r="A77" i="20"/>
  <c r="A77" i="10"/>
  <c r="A77" i="12"/>
  <c r="A89" i="20"/>
  <c r="A249" i="12"/>
  <c r="A89" i="11"/>
  <c r="A89" i="10"/>
  <c r="A89" i="12"/>
  <c r="A255" i="12"/>
  <c r="A95" i="11"/>
  <c r="A95" i="20"/>
  <c r="A95" i="10"/>
  <c r="A95" i="12"/>
  <c r="A107" i="20"/>
  <c r="A267" i="12"/>
  <c r="A107" i="11"/>
  <c r="A107" i="10"/>
  <c r="A107" i="12"/>
  <c r="A273" i="12"/>
  <c r="A113" i="11"/>
  <c r="A113" i="20"/>
  <c r="A113" i="10"/>
  <c r="A113" i="12"/>
  <c r="A125" i="20"/>
  <c r="A285" i="12"/>
  <c r="A125" i="11"/>
  <c r="A125" i="10"/>
  <c r="A125" i="12"/>
  <c r="A291" i="12"/>
  <c r="A131" i="11"/>
  <c r="A131" i="20"/>
  <c r="A131" i="10"/>
  <c r="A131" i="12"/>
  <c r="A143" i="20"/>
  <c r="A303" i="12"/>
  <c r="A143" i="11"/>
  <c r="A143" i="10"/>
  <c r="A143" i="12"/>
  <c r="A309" i="12"/>
  <c r="A149" i="11"/>
  <c r="A309" i="13"/>
  <c r="A149" i="20"/>
  <c r="A149" i="10"/>
  <c r="A149" i="12"/>
  <c r="S59" i="6"/>
  <c r="S59" i="22"/>
  <c r="M96" i="6"/>
  <c r="M100" i="22"/>
  <c r="F133" i="6"/>
  <c r="E133" i="9" s="1"/>
  <c r="D133" i="9" s="1"/>
  <c r="F140" i="22"/>
  <c r="A13" i="10"/>
  <c r="A173" i="12"/>
  <c r="A13" i="20"/>
  <c r="A13" i="11"/>
  <c r="A33" i="20"/>
  <c r="A33" i="10"/>
  <c r="A33" i="12"/>
  <c r="A193" i="12"/>
  <c r="A33" i="11"/>
  <c r="A51" i="20"/>
  <c r="A51" i="10"/>
  <c r="A51" i="12"/>
  <c r="A211" i="12"/>
  <c r="A51" i="11"/>
  <c r="N32" i="6"/>
  <c r="N32" i="22"/>
  <c r="K33" i="6"/>
  <c r="K33" i="22"/>
  <c r="P36" i="6"/>
  <c r="P36" i="22"/>
  <c r="T37" i="6"/>
  <c r="T37" i="22"/>
  <c r="K61" i="6"/>
  <c r="K61" i="22"/>
  <c r="P72" i="6"/>
  <c r="P73" i="22"/>
  <c r="N133" i="6"/>
  <c r="N140" i="22"/>
  <c r="Z133" i="6"/>
  <c r="Z140" i="22"/>
  <c r="AE66" i="6"/>
  <c r="AI37" i="6"/>
  <c r="I32" i="6"/>
  <c r="I32" i="22"/>
  <c r="P32" i="6"/>
  <c r="P32" i="22"/>
  <c r="V32" i="6"/>
  <c r="V32" i="22"/>
  <c r="K36" i="6"/>
  <c r="K36" i="22"/>
  <c r="R36" i="6"/>
  <c r="R36" i="22"/>
  <c r="X36" i="6"/>
  <c r="X36" i="22"/>
  <c r="I37" i="6"/>
  <c r="I37" i="22"/>
  <c r="P37" i="6"/>
  <c r="P37" i="22"/>
  <c r="V37" i="6"/>
  <c r="V37" i="22"/>
  <c r="K58" i="6"/>
  <c r="K58" i="22"/>
  <c r="R58" i="6"/>
  <c r="R58" i="22"/>
  <c r="X58" i="6"/>
  <c r="X58" i="22"/>
  <c r="I59" i="6"/>
  <c r="I59" i="22"/>
  <c r="P59" i="6"/>
  <c r="P59" i="22"/>
  <c r="V59" i="6"/>
  <c r="V59" i="22"/>
  <c r="N61" i="6"/>
  <c r="N61" i="22"/>
  <c r="T61" i="6"/>
  <c r="T61" i="22"/>
  <c r="Z61" i="6"/>
  <c r="Z61" i="22"/>
  <c r="K72" i="6"/>
  <c r="K73" i="22"/>
  <c r="R72" i="6"/>
  <c r="R73" i="22"/>
  <c r="X72" i="6"/>
  <c r="X73" i="22"/>
  <c r="I75" i="6"/>
  <c r="I76" i="22"/>
  <c r="P75" i="6"/>
  <c r="P76" i="22"/>
  <c r="V75" i="6"/>
  <c r="V76" i="22"/>
  <c r="K88" i="6"/>
  <c r="K92" i="22"/>
  <c r="R88" i="6"/>
  <c r="R92" i="22"/>
  <c r="X88" i="6"/>
  <c r="X92" i="22"/>
  <c r="I96" i="6"/>
  <c r="I100" i="22"/>
  <c r="P96" i="6"/>
  <c r="P100" i="22"/>
  <c r="V96" i="6"/>
  <c r="V100" i="22"/>
  <c r="G112" i="6"/>
  <c r="G119" i="22"/>
  <c r="AI119" i="22" s="1"/>
  <c r="N112" i="6"/>
  <c r="N119" i="22"/>
  <c r="T112" i="6"/>
  <c r="T119" i="22"/>
  <c r="Z112" i="6"/>
  <c r="Z119" i="22"/>
  <c r="K132" i="6"/>
  <c r="K139" i="22"/>
  <c r="R132" i="6"/>
  <c r="R139" i="22"/>
  <c r="X132" i="6"/>
  <c r="X139" i="22"/>
  <c r="I133" i="6"/>
  <c r="H133" i="9" s="1"/>
  <c r="I140" i="22"/>
  <c r="P133" i="6"/>
  <c r="P140" i="22"/>
  <c r="V133" i="6"/>
  <c r="V140" i="22"/>
  <c r="A230" i="18"/>
  <c r="A7" i="17"/>
  <c r="A13" i="17"/>
  <c r="A19" i="17"/>
  <c r="A29" i="17"/>
  <c r="A33" i="17"/>
  <c r="A47" i="17"/>
  <c r="A51" i="17"/>
  <c r="A76" i="17"/>
  <c r="A82" i="17"/>
  <c r="A94" i="17"/>
  <c r="A100" i="17"/>
  <c r="A112" i="17"/>
  <c r="A118" i="17"/>
  <c r="A130" i="17"/>
  <c r="A136" i="17"/>
  <c r="A148" i="17"/>
  <c r="A225" i="17"/>
  <c r="A69" i="16"/>
  <c r="A7" i="15"/>
  <c r="A13" i="15"/>
  <c r="A19" i="15"/>
  <c r="A29" i="15"/>
  <c r="A33" i="15"/>
  <c r="A47" i="15"/>
  <c r="A51" i="15"/>
  <c r="A76" i="15"/>
  <c r="A82" i="15"/>
  <c r="A94" i="15"/>
  <c r="A100" i="15"/>
  <c r="A112" i="15"/>
  <c r="A118" i="15"/>
  <c r="A130" i="15"/>
  <c r="A136" i="15"/>
  <c r="A148" i="15"/>
  <c r="A65" i="14"/>
  <c r="A167" i="13"/>
  <c r="A173" i="13"/>
  <c r="A179" i="13"/>
  <c r="A189" i="13"/>
  <c r="A193" i="13"/>
  <c r="A207" i="13"/>
  <c r="A211" i="13"/>
  <c r="A236" i="13"/>
  <c r="A242" i="13"/>
  <c r="A254" i="13"/>
  <c r="A260" i="13"/>
  <c r="A272" i="13"/>
  <c r="A278" i="13"/>
  <c r="A290" i="13"/>
  <c r="A296" i="13"/>
  <c r="A308" i="13"/>
  <c r="A58" i="10"/>
  <c r="A58" i="12"/>
  <c r="A218" i="12"/>
  <c r="A58" i="20"/>
  <c r="A58" i="11"/>
  <c r="S32" i="6"/>
  <c r="S32" i="22"/>
  <c r="H36" i="6"/>
  <c r="H36" i="22"/>
  <c r="O58" i="6"/>
  <c r="O58" i="22"/>
  <c r="M59" i="6"/>
  <c r="M59" i="22"/>
  <c r="Y59" i="6"/>
  <c r="Y59" i="22"/>
  <c r="H72" i="6"/>
  <c r="H73" i="22"/>
  <c r="U72" i="6"/>
  <c r="U73" i="22"/>
  <c r="M75" i="6"/>
  <c r="M76" i="22"/>
  <c r="Y75" i="6"/>
  <c r="Y76" i="22"/>
  <c r="H88" i="6"/>
  <c r="H92" i="22"/>
  <c r="S96" i="6"/>
  <c r="S100" i="22"/>
  <c r="H132" i="6"/>
  <c r="H139" i="22"/>
  <c r="A69" i="20"/>
  <c r="A69" i="11"/>
  <c r="A69" i="10"/>
  <c r="A69" i="12"/>
  <c r="A229" i="12"/>
  <c r="J148" i="9"/>
  <c r="J148" i="10" s="1"/>
  <c r="J308" i="12" s="1"/>
  <c r="T32" i="6"/>
  <c r="T32" i="22"/>
  <c r="Z32" i="6"/>
  <c r="Z32" i="22"/>
  <c r="I36" i="6"/>
  <c r="I36" i="22"/>
  <c r="I58" i="6"/>
  <c r="I58" i="22"/>
  <c r="V72" i="6"/>
  <c r="V73" i="22"/>
  <c r="T75" i="6"/>
  <c r="T76" i="22"/>
  <c r="Z75" i="6"/>
  <c r="Z76" i="22"/>
  <c r="K112" i="6"/>
  <c r="K119" i="22"/>
  <c r="I132" i="6"/>
  <c r="I139" i="22"/>
  <c r="Q32" i="6"/>
  <c r="F32" i="37" s="1"/>
  <c r="Q32" i="22"/>
  <c r="H33" i="6"/>
  <c r="H33" i="22"/>
  <c r="F36" i="6"/>
  <c r="E36" i="9" s="1"/>
  <c r="D36" i="9" s="1"/>
  <c r="F36" i="9" s="1"/>
  <c r="F36" i="22"/>
  <c r="M36" i="6"/>
  <c r="M36" i="22"/>
  <c r="S36" i="6"/>
  <c r="S36" i="22"/>
  <c r="Y36" i="6"/>
  <c r="Y36" i="22"/>
  <c r="J37" i="6"/>
  <c r="J37" i="22"/>
  <c r="Q37" i="6"/>
  <c r="F37" i="37" s="1"/>
  <c r="Q37" i="22"/>
  <c r="W37" i="6"/>
  <c r="W37" i="22"/>
  <c r="F58" i="6"/>
  <c r="E58" i="9" s="1"/>
  <c r="D58" i="9" s="1"/>
  <c r="F58" i="22"/>
  <c r="M58" i="6"/>
  <c r="M58" i="22"/>
  <c r="S58" i="6"/>
  <c r="S58" i="22"/>
  <c r="Y58" i="6"/>
  <c r="Y58" i="22"/>
  <c r="J59" i="6"/>
  <c r="J59" i="22"/>
  <c r="Q59" i="6"/>
  <c r="F59" i="37" s="1"/>
  <c r="Q59" i="22"/>
  <c r="W59" i="6"/>
  <c r="W59" i="22"/>
  <c r="H61" i="6"/>
  <c r="H61" i="22"/>
  <c r="F72" i="6"/>
  <c r="E72" i="9" s="1"/>
  <c r="D72" i="9" s="1"/>
  <c r="Z72" i="9" s="1"/>
  <c r="I72" i="37" s="1"/>
  <c r="F73" i="22"/>
  <c r="M72" i="6"/>
  <c r="M73" i="22"/>
  <c r="S72" i="6"/>
  <c r="S73" i="22"/>
  <c r="Y72" i="6"/>
  <c r="Y73" i="22"/>
  <c r="J75" i="6"/>
  <c r="J76" i="22"/>
  <c r="Q75" i="6"/>
  <c r="F75" i="37" s="1"/>
  <c r="Q76" i="22"/>
  <c r="W75" i="6"/>
  <c r="W76" i="22"/>
  <c r="F88" i="6"/>
  <c r="E88" i="9" s="1"/>
  <c r="D88" i="9" s="1"/>
  <c r="K88" i="9" s="1"/>
  <c r="F92" i="22"/>
  <c r="M88" i="6"/>
  <c r="M92" i="22"/>
  <c r="S88" i="6"/>
  <c r="S92" i="22"/>
  <c r="Y88" i="6"/>
  <c r="Y92" i="22"/>
  <c r="J96" i="6"/>
  <c r="J100" i="22"/>
  <c r="Q96" i="6"/>
  <c r="F96" i="37" s="1"/>
  <c r="Q100" i="22"/>
  <c r="W96" i="6"/>
  <c r="W100" i="22"/>
  <c r="H112" i="6"/>
  <c r="H119" i="22"/>
  <c r="O112" i="6"/>
  <c r="O119" i="22"/>
  <c r="U112" i="6"/>
  <c r="U119" i="22"/>
  <c r="F132" i="6"/>
  <c r="E132" i="9" s="1"/>
  <c r="D132" i="9" s="1"/>
  <c r="F139" i="22"/>
  <c r="M132" i="6"/>
  <c r="M139" i="22"/>
  <c r="S132" i="6"/>
  <c r="S139" i="22"/>
  <c r="Y132" i="6"/>
  <c r="Y139" i="22"/>
  <c r="J133" i="6"/>
  <c r="J140" i="22"/>
  <c r="Q133" i="6"/>
  <c r="F133" i="37" s="1"/>
  <c r="Q140" i="22"/>
  <c r="W133" i="6"/>
  <c r="W140" i="22"/>
  <c r="A7" i="9"/>
  <c r="A13" i="9"/>
  <c r="A19" i="9"/>
  <c r="A29" i="9"/>
  <c r="A33" i="9"/>
  <c r="A47" i="9"/>
  <c r="A51" i="9"/>
  <c r="A7" i="18"/>
  <c r="A13" i="18"/>
  <c r="A19" i="18"/>
  <c r="A33" i="18"/>
  <c r="A47" i="18"/>
  <c r="A51" i="18"/>
  <c r="A13" i="12"/>
  <c r="A19" i="12"/>
  <c r="A73" i="20"/>
  <c r="A73" i="10"/>
  <c r="A73" i="12"/>
  <c r="A233" i="12"/>
  <c r="A73" i="11"/>
  <c r="A85" i="20"/>
  <c r="A85" i="10"/>
  <c r="A85" i="12"/>
  <c r="A245" i="12"/>
  <c r="A85" i="11"/>
  <c r="A91" i="20"/>
  <c r="A91" i="10"/>
  <c r="A91" i="12"/>
  <c r="A251" i="12"/>
  <c r="A91" i="11"/>
  <c r="A103" i="20"/>
  <c r="A103" i="10"/>
  <c r="A103" i="12"/>
  <c r="A263" i="12"/>
  <c r="A103" i="11"/>
  <c r="A109" i="20"/>
  <c r="A109" i="10"/>
  <c r="A109" i="12"/>
  <c r="A269" i="12"/>
  <c r="A109" i="11"/>
  <c r="A121" i="20"/>
  <c r="A121" i="10"/>
  <c r="A121" i="12"/>
  <c r="A281" i="12"/>
  <c r="A121" i="11"/>
  <c r="A127" i="20"/>
  <c r="A127" i="10"/>
  <c r="A127" i="12"/>
  <c r="A287" i="12"/>
  <c r="A127" i="11"/>
  <c r="A139" i="20"/>
  <c r="A139" i="10"/>
  <c r="A139" i="12"/>
  <c r="A299" i="12"/>
  <c r="A139" i="11"/>
  <c r="A145" i="20"/>
  <c r="A145" i="10"/>
  <c r="A145" i="12"/>
  <c r="A305" i="12"/>
  <c r="A145" i="11"/>
  <c r="Q40" i="9"/>
  <c r="Q40" i="10" s="1"/>
  <c r="Q200" i="12" s="1"/>
  <c r="N40" i="9"/>
  <c r="N40" i="10" s="1"/>
  <c r="N200" i="12" s="1"/>
  <c r="Y40" i="9"/>
  <c r="Y40" i="10" s="1"/>
  <c r="Y200" i="12" s="1"/>
  <c r="X40" i="9"/>
  <c r="X40" i="10" s="1"/>
  <c r="X200" i="12" s="1"/>
  <c r="F32" i="6"/>
  <c r="E32" i="9" s="1"/>
  <c r="D32" i="9" s="1"/>
  <c r="F32" i="22"/>
  <c r="J33" i="6"/>
  <c r="J33" i="22"/>
  <c r="F59" i="6"/>
  <c r="E59" i="9" s="1"/>
  <c r="D59" i="9" s="1"/>
  <c r="F59" i="9" s="1"/>
  <c r="F59" i="22"/>
  <c r="J61" i="6"/>
  <c r="J61" i="22"/>
  <c r="O72" i="6"/>
  <c r="N72" i="9" s="1"/>
  <c r="O73" i="22"/>
  <c r="F75" i="6"/>
  <c r="E75" i="9" s="1"/>
  <c r="D75" i="9" s="1"/>
  <c r="K75" i="9" s="1"/>
  <c r="F76" i="22"/>
  <c r="S75" i="6"/>
  <c r="S76" i="22"/>
  <c r="O88" i="6"/>
  <c r="O92" i="22"/>
  <c r="Y96" i="6"/>
  <c r="Y100" i="22"/>
  <c r="J112" i="6"/>
  <c r="J119" i="22"/>
  <c r="O132" i="6"/>
  <c r="O139" i="22"/>
  <c r="U132" i="6"/>
  <c r="U139" i="22"/>
  <c r="M133" i="6"/>
  <c r="M140" i="22"/>
  <c r="S133" i="6"/>
  <c r="S140" i="22"/>
  <c r="Y133" i="6"/>
  <c r="Y140" i="22"/>
  <c r="A7" i="10"/>
  <c r="A167" i="12"/>
  <c r="A7" i="20"/>
  <c r="A7" i="11"/>
  <c r="A29" i="10"/>
  <c r="A29" i="12"/>
  <c r="A189" i="12"/>
  <c r="A29" i="20"/>
  <c r="A29" i="11"/>
  <c r="A225" i="12"/>
  <c r="A65" i="11"/>
  <c r="A65" i="20"/>
  <c r="A65" i="10"/>
  <c r="A65" i="12"/>
  <c r="G76" i="22"/>
  <c r="AI76" i="22" s="1"/>
  <c r="G75" i="6"/>
  <c r="P88" i="6"/>
  <c r="O88" i="9" s="1"/>
  <c r="O88" i="10" s="1"/>
  <c r="O248" i="12" s="1"/>
  <c r="O88" i="16" s="1"/>
  <c r="P92" i="22"/>
  <c r="T96" i="6"/>
  <c r="T100" i="22"/>
  <c r="R112" i="6"/>
  <c r="R119" i="22"/>
  <c r="V132" i="6"/>
  <c r="V139" i="22"/>
  <c r="J32" i="6"/>
  <c r="J32" i="22"/>
  <c r="W32" i="6"/>
  <c r="W32" i="22"/>
  <c r="AD85" i="6"/>
  <c r="K32" i="6"/>
  <c r="K32" i="22"/>
  <c r="R32" i="6"/>
  <c r="R32" i="22"/>
  <c r="X32" i="6"/>
  <c r="X32" i="22"/>
  <c r="I33" i="6"/>
  <c r="I33" i="22"/>
  <c r="P33" i="6"/>
  <c r="P33" i="22"/>
  <c r="V33" i="6"/>
  <c r="V33" i="22"/>
  <c r="N36" i="6"/>
  <c r="N36" i="22"/>
  <c r="T36" i="6"/>
  <c r="T36" i="22"/>
  <c r="Z36" i="6"/>
  <c r="Z36" i="22"/>
  <c r="K37" i="6"/>
  <c r="K37" i="22"/>
  <c r="R37" i="6"/>
  <c r="R37" i="22"/>
  <c r="X37" i="6"/>
  <c r="X37" i="22"/>
  <c r="G58" i="6"/>
  <c r="G58" i="22"/>
  <c r="AI58" i="22" s="1"/>
  <c r="N58" i="6"/>
  <c r="N58" i="22"/>
  <c r="T58" i="6"/>
  <c r="T58" i="22"/>
  <c r="Z58" i="6"/>
  <c r="Z58" i="22"/>
  <c r="K59" i="6"/>
  <c r="K59" i="22"/>
  <c r="R59" i="6"/>
  <c r="R59" i="22"/>
  <c r="X59" i="6"/>
  <c r="X59" i="22"/>
  <c r="I61" i="6"/>
  <c r="I61" i="22"/>
  <c r="G72" i="6"/>
  <c r="G73" i="22"/>
  <c r="AI73" i="22" s="1"/>
  <c r="N72" i="6"/>
  <c r="N73" i="22"/>
  <c r="T72" i="6"/>
  <c r="T73" i="22"/>
  <c r="Z72" i="6"/>
  <c r="Z73" i="22"/>
  <c r="K75" i="6"/>
  <c r="K76" i="22"/>
  <c r="R75" i="6"/>
  <c r="R76" i="22"/>
  <c r="X75" i="6"/>
  <c r="X76" i="22"/>
  <c r="G88" i="6"/>
  <c r="G92" i="22"/>
  <c r="AI92" i="22" s="1"/>
  <c r="N88" i="6"/>
  <c r="N92" i="22"/>
  <c r="T88" i="6"/>
  <c r="T92" i="22"/>
  <c r="Z88" i="6"/>
  <c r="Z92" i="22"/>
  <c r="K96" i="6"/>
  <c r="K100" i="22"/>
  <c r="R96" i="6"/>
  <c r="R100" i="22"/>
  <c r="X96" i="6"/>
  <c r="X100" i="22"/>
  <c r="I112" i="6"/>
  <c r="I119" i="22"/>
  <c r="P112" i="6"/>
  <c r="P119" i="22"/>
  <c r="V112" i="6"/>
  <c r="V119" i="22"/>
  <c r="N132" i="6"/>
  <c r="N139" i="22"/>
  <c r="T132" i="6"/>
  <c r="T139" i="22"/>
  <c r="Z132" i="6"/>
  <c r="Z139" i="22"/>
  <c r="K133" i="6"/>
  <c r="K140" i="22"/>
  <c r="R133" i="6"/>
  <c r="R140" i="22"/>
  <c r="X133" i="6"/>
  <c r="X140" i="22"/>
  <c r="A279" i="18"/>
  <c r="A285" i="18"/>
  <c r="A297" i="18"/>
  <c r="A303" i="18"/>
  <c r="A317" i="18"/>
  <c r="A65" i="17"/>
  <c r="A229" i="17"/>
  <c r="A7" i="16"/>
  <c r="A13" i="16"/>
  <c r="A19" i="16"/>
  <c r="A29" i="16"/>
  <c r="A33" i="16"/>
  <c r="A47" i="16"/>
  <c r="A51" i="16"/>
  <c r="A76" i="16"/>
  <c r="A82" i="16"/>
  <c r="A94" i="16"/>
  <c r="A100" i="16"/>
  <c r="A112" i="16"/>
  <c r="A118" i="16"/>
  <c r="A130" i="16"/>
  <c r="A136" i="16"/>
  <c r="A148" i="16"/>
  <c r="A65" i="15"/>
  <c r="A69" i="14"/>
  <c r="A7" i="13"/>
  <c r="A13" i="13"/>
  <c r="A19" i="13"/>
  <c r="A29" i="13"/>
  <c r="A33" i="13"/>
  <c r="A47" i="13"/>
  <c r="A51" i="13"/>
  <c r="A73" i="13"/>
  <c r="A76" i="13"/>
  <c r="A82" i="13"/>
  <c r="A85" i="13"/>
  <c r="A91" i="13"/>
  <c r="A94" i="13"/>
  <c r="A100" i="13"/>
  <c r="A103" i="13"/>
  <c r="A109" i="13"/>
  <c r="A112" i="13"/>
  <c r="A118" i="13"/>
  <c r="A121" i="13"/>
  <c r="A127" i="13"/>
  <c r="A130" i="13"/>
  <c r="A136" i="13"/>
  <c r="A139" i="13"/>
  <c r="A145" i="13"/>
  <c r="A148" i="13"/>
  <c r="A225" i="13"/>
  <c r="A64" i="20"/>
  <c r="A64" i="10"/>
  <c r="A64" i="12"/>
  <c r="A224" i="12"/>
  <c r="A64" i="11"/>
  <c r="A80" i="20"/>
  <c r="A240" i="12"/>
  <c r="A80" i="11"/>
  <c r="A80" i="10"/>
  <c r="A80" i="12"/>
  <c r="A246" i="12"/>
  <c r="A86" i="11"/>
  <c r="A86" i="20"/>
  <c r="A86" i="10"/>
  <c r="A86" i="12"/>
  <c r="A98" i="20"/>
  <c r="A258" i="12"/>
  <c r="A98" i="11"/>
  <c r="A98" i="10"/>
  <c r="A98" i="12"/>
  <c r="A264" i="12"/>
  <c r="A104" i="11"/>
  <c r="A104" i="20"/>
  <c r="A104" i="10"/>
  <c r="A104" i="12"/>
  <c r="A116" i="20"/>
  <c r="A276" i="12"/>
  <c r="A116" i="11"/>
  <c r="A116" i="10"/>
  <c r="A116" i="12"/>
  <c r="A282" i="12"/>
  <c r="A122" i="11"/>
  <c r="A122" i="20"/>
  <c r="A122" i="10"/>
  <c r="A122" i="12"/>
  <c r="A134" i="20"/>
  <c r="A294" i="12"/>
  <c r="A134" i="11"/>
  <c r="A134" i="10"/>
  <c r="A134" i="12"/>
  <c r="A300" i="12"/>
  <c r="A140" i="11"/>
  <c r="A140" i="20"/>
  <c r="A140" i="10"/>
  <c r="A140" i="12"/>
  <c r="A152" i="20"/>
  <c r="A312" i="12"/>
  <c r="A152" i="11"/>
  <c r="A312" i="13"/>
  <c r="A152" i="10"/>
  <c r="A152" i="12"/>
  <c r="A318" i="12"/>
  <c r="A158" i="11"/>
  <c r="A318" i="13"/>
  <c r="A158" i="20"/>
  <c r="A158" i="10"/>
  <c r="A158" i="12"/>
  <c r="A223" i="12"/>
  <c r="A5" i="11"/>
  <c r="A11" i="11"/>
  <c r="A17" i="11"/>
  <c r="A23" i="11"/>
  <c r="A27" i="11"/>
  <c r="A41" i="11"/>
  <c r="A45" i="11"/>
  <c r="A70" i="11"/>
  <c r="A79" i="11"/>
  <c r="A88" i="11"/>
  <c r="A97" i="11"/>
  <c r="A106" i="11"/>
  <c r="A115" i="11"/>
  <c r="A124" i="11"/>
  <c r="A133" i="11"/>
  <c r="A142" i="11"/>
  <c r="A151" i="11"/>
  <c r="A59" i="10"/>
  <c r="A74" i="10"/>
  <c r="A83" i="10"/>
  <c r="A92" i="10"/>
  <c r="A101" i="10"/>
  <c r="A110" i="10"/>
  <c r="A119" i="10"/>
  <c r="A128" i="10"/>
  <c r="A137" i="10"/>
  <c r="A146" i="10"/>
  <c r="A155" i="10"/>
  <c r="H145" i="9"/>
  <c r="H145" i="10" s="1"/>
  <c r="V64" i="9"/>
  <c r="V64" i="10" s="1"/>
  <c r="G64" i="9"/>
  <c r="G64" i="10" s="1"/>
  <c r="S64" i="9"/>
  <c r="Y64" i="9"/>
  <c r="Y64" i="10" s="1"/>
  <c r="Y224" i="12" s="1"/>
  <c r="Y64" i="16" s="1"/>
  <c r="P64" i="9"/>
  <c r="H64" i="9"/>
  <c r="H64" i="10" s="1"/>
  <c r="H224" i="12" s="1"/>
  <c r="L64" i="9"/>
  <c r="L64" i="10" s="1"/>
  <c r="L224" i="12" s="1"/>
  <c r="X64" i="9"/>
  <c r="X64" i="10" s="1"/>
  <c r="X224" i="12" s="1"/>
  <c r="O64" i="9"/>
  <c r="G28" i="9"/>
  <c r="G28" i="10" s="1"/>
  <c r="X28" i="9"/>
  <c r="X28" i="10" s="1"/>
  <c r="X28" i="11" s="1"/>
  <c r="T28" i="9"/>
  <c r="T28" i="10" s="1"/>
  <c r="T188" i="12" s="1"/>
  <c r="T28" i="16" s="1"/>
  <c r="A165" i="12"/>
  <c r="A171" i="12"/>
  <c r="A177" i="12"/>
  <c r="A183" i="12"/>
  <c r="A187" i="12"/>
  <c r="A201" i="12"/>
  <c r="A205" i="12"/>
  <c r="A230" i="12"/>
  <c r="A239" i="12"/>
  <c r="A248" i="12"/>
  <c r="A257" i="12"/>
  <c r="A266" i="12"/>
  <c r="A275" i="12"/>
  <c r="A284" i="12"/>
  <c r="A293" i="12"/>
  <c r="A302" i="12"/>
  <c r="A311" i="12"/>
  <c r="A59" i="11"/>
  <c r="A74" i="11"/>
  <c r="A83" i="11"/>
  <c r="A92" i="11"/>
  <c r="A101" i="11"/>
  <c r="A110" i="11"/>
  <c r="A119" i="11"/>
  <c r="A128" i="11"/>
  <c r="A137" i="11"/>
  <c r="A146" i="11"/>
  <c r="A155" i="11"/>
  <c r="A63" i="10"/>
  <c r="A126" i="10"/>
  <c r="A135" i="10"/>
  <c r="A144" i="10"/>
  <c r="A153" i="10"/>
  <c r="A5" i="20"/>
  <c r="A11" i="20"/>
  <c r="A17" i="20"/>
  <c r="A23" i="20"/>
  <c r="A41" i="20"/>
  <c r="A59" i="20"/>
  <c r="A70" i="20"/>
  <c r="A74" i="20"/>
  <c r="A83" i="20"/>
  <c r="A92" i="20"/>
  <c r="A101" i="20"/>
  <c r="A110" i="20"/>
  <c r="A119" i="20"/>
  <c r="A128" i="20"/>
  <c r="A137" i="20"/>
  <c r="A146" i="20"/>
  <c r="A155" i="20"/>
  <c r="H143" i="9"/>
  <c r="Z143" i="9"/>
  <c r="N143" i="9"/>
  <c r="N143" i="10" s="1"/>
  <c r="N303" i="12" s="1"/>
  <c r="N143" i="16" s="1"/>
  <c r="U143" i="9"/>
  <c r="U143" i="10" s="1"/>
  <c r="U303" i="12" s="1"/>
  <c r="U143" i="16" s="1"/>
  <c r="M21" i="9"/>
  <c r="M21" i="10" s="1"/>
  <c r="M181" i="12" s="1"/>
  <c r="M21" i="16" s="1"/>
  <c r="Y21" i="9"/>
  <c r="Y21" i="10" s="1"/>
  <c r="Y181" i="12" s="1"/>
  <c r="Y21" i="16" s="1"/>
  <c r="G21" i="9"/>
  <c r="G21" i="10" s="1"/>
  <c r="H144" i="9"/>
  <c r="H144" i="10" s="1"/>
  <c r="H144" i="11" s="1"/>
  <c r="A63" i="11"/>
  <c r="A27" i="10"/>
  <c r="A45" i="10"/>
  <c r="A79" i="10"/>
  <c r="A88" i="10"/>
  <c r="A97" i="10"/>
  <c r="A106" i="10"/>
  <c r="A115" i="10"/>
  <c r="A124" i="10"/>
  <c r="A133" i="10"/>
  <c r="A142" i="10"/>
  <c r="A151" i="10"/>
  <c r="T64" i="9"/>
  <c r="R38" i="9"/>
  <c r="H38" i="9"/>
  <c r="H38" i="10" s="1"/>
  <c r="H198" i="12" s="1"/>
  <c r="V38" i="9"/>
  <c r="V38" i="10" s="1"/>
  <c r="V198" i="12" s="1"/>
  <c r="O38" i="9"/>
  <c r="O38" i="10" s="1"/>
  <c r="O198" i="12" s="1"/>
  <c r="O38" i="16" s="1"/>
  <c r="W27" i="9"/>
  <c r="W27" i="10" s="1"/>
  <c r="W187" i="12" s="1"/>
  <c r="O27" i="9"/>
  <c r="O27" i="10" s="1"/>
  <c r="Z27" i="9"/>
  <c r="G27" i="9"/>
  <c r="G27" i="10" s="1"/>
  <c r="J27" i="9"/>
  <c r="V134" i="22"/>
  <c r="S134" i="22"/>
  <c r="P134" i="22"/>
  <c r="X134" i="22"/>
  <c r="U134" i="22"/>
  <c r="R134" i="22"/>
  <c r="O134" i="22"/>
  <c r="T134" i="22"/>
  <c r="N134" i="22"/>
  <c r="K134" i="22"/>
  <c r="H134" i="22"/>
  <c r="M134" i="22"/>
  <c r="L134" i="22"/>
  <c r="I134" i="22"/>
  <c r="W134" i="22"/>
  <c r="Q134" i="22"/>
  <c r="J134" i="22"/>
  <c r="F134" i="22"/>
  <c r="G102" i="22"/>
  <c r="AI102" i="22" s="1"/>
  <c r="X102" i="22"/>
  <c r="U102" i="22"/>
  <c r="R102" i="22"/>
  <c r="O102" i="22"/>
  <c r="V102" i="22"/>
  <c r="S102" i="22"/>
  <c r="P102" i="22"/>
  <c r="W102" i="22"/>
  <c r="T102" i="22"/>
  <c r="Q102" i="22"/>
  <c r="N102" i="22"/>
  <c r="K102" i="22"/>
  <c r="H102" i="22"/>
  <c r="M102" i="22"/>
  <c r="L102" i="22"/>
  <c r="I102" i="22"/>
  <c r="G98" i="22"/>
  <c r="AI98" i="22" s="1"/>
  <c r="W98" i="22"/>
  <c r="T98" i="22"/>
  <c r="Q98" i="22"/>
  <c r="N98" i="22"/>
  <c r="X98" i="22"/>
  <c r="U98" i="22"/>
  <c r="R98" i="22"/>
  <c r="O98" i="22"/>
  <c r="V98" i="22"/>
  <c r="S98" i="22"/>
  <c r="P98" i="22"/>
  <c r="J98" i="22"/>
  <c r="F98" i="22"/>
  <c r="K98" i="22"/>
  <c r="H98" i="22"/>
  <c r="G51" i="22"/>
  <c r="AI51" i="22" s="1"/>
  <c r="AA51" i="22"/>
  <c r="X51" i="22"/>
  <c r="U51" i="22"/>
  <c r="R51" i="22"/>
  <c r="O51" i="22"/>
  <c r="Z51" i="22"/>
  <c r="W51" i="22"/>
  <c r="T51" i="22"/>
  <c r="Q51" i="22"/>
  <c r="N51" i="22"/>
  <c r="J51" i="22"/>
  <c r="F51" i="22"/>
  <c r="Y51" i="22"/>
  <c r="S51" i="22"/>
  <c r="M51" i="22"/>
  <c r="K51" i="22"/>
  <c r="H51" i="22"/>
  <c r="AF51" i="22"/>
  <c r="V51" i="22"/>
  <c r="P51" i="22"/>
  <c r="L51" i="22"/>
  <c r="I51" i="22"/>
  <c r="AE51" i="22"/>
  <c r="AD169" i="22"/>
  <c r="R169" i="22" s="1"/>
  <c r="AF169" i="22"/>
  <c r="AE169" i="22"/>
  <c r="L169" i="22"/>
  <c r="AA152" i="22"/>
  <c r="Z152" i="22"/>
  <c r="W152" i="22"/>
  <c r="T152" i="22"/>
  <c r="Q152" i="22"/>
  <c r="N152" i="22"/>
  <c r="Y152" i="22"/>
  <c r="V152" i="22"/>
  <c r="S152" i="22"/>
  <c r="P152" i="22"/>
  <c r="M152" i="22"/>
  <c r="X152" i="22"/>
  <c r="R152" i="22"/>
  <c r="L152" i="22"/>
  <c r="I152" i="22"/>
  <c r="AD152" i="22"/>
  <c r="J152" i="22"/>
  <c r="F152" i="22"/>
  <c r="U152" i="22"/>
  <c r="O152" i="22"/>
  <c r="K152" i="22"/>
  <c r="H152" i="22"/>
  <c r="G152" i="22"/>
  <c r="AI152" i="22" s="1"/>
  <c r="AF152" i="22"/>
  <c r="H128" i="9"/>
  <c r="H128" i="10" s="1"/>
  <c r="H288" i="12" s="1"/>
  <c r="T24" i="9"/>
  <c r="T24" i="10" s="1"/>
  <c r="T24" i="11" s="1"/>
  <c r="R24" i="9"/>
  <c r="R24" i="10" s="1"/>
  <c r="R184" i="12" s="1"/>
  <c r="W24" i="9"/>
  <c r="W166" i="22"/>
  <c r="T166" i="22"/>
  <c r="Q166" i="22"/>
  <c r="N166" i="22"/>
  <c r="V166" i="22"/>
  <c r="S166" i="22"/>
  <c r="P166" i="22"/>
  <c r="M166" i="22"/>
  <c r="AD158" i="22"/>
  <c r="W158" i="22" s="1"/>
  <c r="T158" i="22"/>
  <c r="Q158" i="22"/>
  <c r="N158" i="22"/>
  <c r="V158" i="22"/>
  <c r="S158" i="22"/>
  <c r="M158" i="22"/>
  <c r="AD141" i="22"/>
  <c r="X141" i="22"/>
  <c r="S141" i="22"/>
  <c r="T141" i="22"/>
  <c r="N141" i="22"/>
  <c r="G33" i="22"/>
  <c r="AI33" i="22" s="1"/>
  <c r="AA33" i="22"/>
  <c r="X33" i="22"/>
  <c r="U33" i="22"/>
  <c r="R33" i="22"/>
  <c r="O33" i="22"/>
  <c r="Z33" i="22"/>
  <c r="W33" i="22"/>
  <c r="T33" i="22"/>
  <c r="Q33" i="22"/>
  <c r="N33" i="22"/>
  <c r="G26" i="22"/>
  <c r="AI26" i="22" s="1"/>
  <c r="X26" i="22"/>
  <c r="U26" i="22"/>
  <c r="R26" i="22"/>
  <c r="O26" i="22"/>
  <c r="V26" i="22"/>
  <c r="S26" i="22"/>
  <c r="P26" i="22"/>
  <c r="M26" i="22"/>
  <c r="W26" i="22"/>
  <c r="T26" i="22"/>
  <c r="Q26" i="22"/>
  <c r="N26" i="22"/>
  <c r="G143" i="22"/>
  <c r="AI143" i="22" s="1"/>
  <c r="N143" i="22"/>
  <c r="V143" i="22"/>
  <c r="G61" i="22"/>
  <c r="AI61" i="22" s="1"/>
  <c r="Y61" i="22"/>
  <c r="V61" i="22"/>
  <c r="S61" i="22"/>
  <c r="P61" i="22"/>
  <c r="M61" i="22"/>
  <c r="AA61" i="22"/>
  <c r="X61" i="22"/>
  <c r="U61" i="22"/>
  <c r="R61" i="22"/>
  <c r="O61" i="22"/>
  <c r="L20" i="6"/>
  <c r="I20" i="6"/>
  <c r="K20" i="6"/>
  <c r="J20" i="6"/>
  <c r="H20" i="6"/>
  <c r="G20" i="6"/>
  <c r="F20" i="6"/>
  <c r="E20" i="9" s="1"/>
  <c r="D20" i="9" s="1"/>
  <c r="M20" i="6"/>
  <c r="K18" i="6"/>
  <c r="M18" i="6"/>
  <c r="L18" i="6"/>
  <c r="I18" i="6"/>
  <c r="G18" i="6"/>
  <c r="H18" i="6"/>
  <c r="J18" i="6"/>
  <c r="F18" i="6"/>
  <c r="E18" i="9" s="1"/>
  <c r="D18" i="9" s="1"/>
  <c r="I7" i="6"/>
  <c r="AD165" i="22"/>
  <c r="T65" i="22"/>
  <c r="V65" i="22"/>
  <c r="P65" i="22"/>
  <c r="AE128" i="22"/>
  <c r="AF128" i="22"/>
  <c r="V88" i="22"/>
  <c r="V85" i="6" s="1"/>
  <c r="S88" i="22"/>
  <c r="P88" i="22"/>
  <c r="P85" i="6" s="1"/>
  <c r="X88" i="22"/>
  <c r="X85" i="6" s="1"/>
  <c r="U88" i="22"/>
  <c r="U85" i="6" s="1"/>
  <c r="R88" i="22"/>
  <c r="R85" i="6" s="1"/>
  <c r="O88" i="22"/>
  <c r="O85" i="6" s="1"/>
  <c r="X82" i="22"/>
  <c r="U82" i="22"/>
  <c r="R82" i="22"/>
  <c r="O82" i="22"/>
  <c r="V82" i="22"/>
  <c r="S82" i="22"/>
  <c r="P82" i="22"/>
  <c r="W82" i="22"/>
  <c r="T82" i="22"/>
  <c r="Q82" i="22"/>
  <c r="N82" i="22"/>
  <c r="G77" i="22"/>
  <c r="AI77" i="22" s="1"/>
  <c r="T77" i="22"/>
  <c r="N77" i="22"/>
  <c r="R77" i="22"/>
  <c r="V77" i="22"/>
  <c r="M77" i="22"/>
  <c r="V74" i="22"/>
  <c r="S74" i="22"/>
  <c r="P74" i="22"/>
  <c r="M74" i="22"/>
  <c r="X74" i="22"/>
  <c r="U74" i="22"/>
  <c r="R74" i="22"/>
  <c r="O74" i="22"/>
  <c r="W71" i="22"/>
  <c r="T71" i="22"/>
  <c r="Q71" i="22"/>
  <c r="N71" i="22"/>
  <c r="X71" i="22"/>
  <c r="U71" i="22"/>
  <c r="R71" i="22"/>
  <c r="O71" i="22"/>
  <c r="V71" i="22"/>
  <c r="S71" i="22"/>
  <c r="P71" i="22"/>
  <c r="M71" i="22"/>
  <c r="AE7" i="22"/>
  <c r="AF7" i="22"/>
  <c r="W61" i="22"/>
  <c r="U130" i="22"/>
  <c r="O130" i="22"/>
  <c r="W130" i="22"/>
  <c r="Q130" i="22"/>
  <c r="V94" i="22"/>
  <c r="S94" i="22"/>
  <c r="P94" i="22"/>
  <c r="W94" i="22"/>
  <c r="T94" i="22"/>
  <c r="Q94" i="22"/>
  <c r="N94" i="22"/>
  <c r="X94" i="22"/>
  <c r="U94" i="22"/>
  <c r="R94" i="22"/>
  <c r="O94" i="22"/>
  <c r="G94" i="22"/>
  <c r="AI94" i="22" s="1"/>
  <c r="AE136" i="22"/>
  <c r="AF136" i="22"/>
  <c r="G129" i="22"/>
  <c r="AI129" i="22" s="1"/>
  <c r="AE115" i="22"/>
  <c r="AF115" i="22"/>
  <c r="G36" i="22"/>
  <c r="AI36" i="22" s="1"/>
  <c r="G27" i="22"/>
  <c r="AI27" i="22" s="1"/>
  <c r="AA27" i="22"/>
  <c r="AA17" i="22"/>
  <c r="G17" i="22"/>
  <c r="AI17" i="22" s="1"/>
  <c r="Z17" i="22"/>
  <c r="G5" i="22"/>
  <c r="AI5" i="22" s="1"/>
  <c r="AE162" i="22"/>
  <c r="AE156" i="22"/>
  <c r="G138" i="22"/>
  <c r="AI138" i="22" s="1"/>
  <c r="G135" i="22"/>
  <c r="AI135" i="22" s="1"/>
  <c r="AA135" i="22"/>
  <c r="AE131" i="22"/>
  <c r="AF131" i="22"/>
  <c r="G82" i="22"/>
  <c r="AI82" i="22" s="1"/>
  <c r="G78" i="22"/>
  <c r="AI78" i="22" s="1"/>
  <c r="G71" i="22"/>
  <c r="AI71" i="22" s="1"/>
  <c r="G59" i="22"/>
  <c r="AI59" i="22" s="1"/>
  <c r="G21" i="22"/>
  <c r="AI21" i="22" s="1"/>
  <c r="AA21" i="22"/>
  <c r="G13" i="22"/>
  <c r="AI13" i="22" s="1"/>
  <c r="AE155" i="22"/>
  <c r="AF155" i="22"/>
  <c r="G140" i="22"/>
  <c r="AI140" i="22" s="1"/>
  <c r="G137" i="22"/>
  <c r="AI137" i="22" s="1"/>
  <c r="G123" i="22"/>
  <c r="AI123" i="22" s="1"/>
  <c r="AE81" i="22"/>
  <c r="AF81" i="22"/>
  <c r="G32" i="22"/>
  <c r="AI32" i="22" s="1"/>
  <c r="AE151" i="22"/>
  <c r="AF151" i="22"/>
  <c r="AE146" i="22"/>
  <c r="AF146" i="22"/>
  <c r="G139" i="22"/>
  <c r="AI139" i="22" s="1"/>
  <c r="AA139" i="22"/>
  <c r="G134" i="22"/>
  <c r="AI134" i="22" s="1"/>
  <c r="AD106" i="22"/>
  <c r="AE101" i="22"/>
  <c r="AF101" i="22"/>
  <c r="AE97" i="22"/>
  <c r="AF97" i="22"/>
  <c r="AD70" i="22"/>
  <c r="AD55" i="22"/>
  <c r="G50" i="22"/>
  <c r="AI50" i="22" s="1"/>
  <c r="AD41" i="22"/>
  <c r="AD29" i="22"/>
  <c r="AE159" i="22"/>
  <c r="G132" i="22"/>
  <c r="AI132" i="22" s="1"/>
  <c r="AE122" i="22"/>
  <c r="AF122" i="22"/>
  <c r="G100" i="22"/>
  <c r="AI100" i="22" s="1"/>
  <c r="G37" i="22"/>
  <c r="AI37" i="22" s="1"/>
  <c r="G144" i="22"/>
  <c r="AI144" i="22" s="1"/>
  <c r="G103" i="22"/>
  <c r="AI103" i="22" s="1"/>
  <c r="G99" i="22"/>
  <c r="AI99" i="22" s="1"/>
  <c r="G88" i="22"/>
  <c r="AI88" i="22" s="1"/>
  <c r="G83" i="22"/>
  <c r="AI83" i="22" s="1"/>
  <c r="G74" i="22"/>
  <c r="AI74" i="22" s="1"/>
  <c r="G65" i="22"/>
  <c r="AI65" i="22" s="1"/>
  <c r="G47" i="22"/>
  <c r="AI47" i="22" s="1"/>
  <c r="G43" i="22"/>
  <c r="AI43" i="22" s="1"/>
  <c r="G31" i="22"/>
  <c r="AI31" i="22" s="1"/>
  <c r="G9" i="22"/>
  <c r="AI9" i="22" s="1"/>
  <c r="AA100" i="22"/>
  <c r="AA80" i="22"/>
  <c r="AF125" i="22"/>
  <c r="AF112" i="22"/>
  <c r="AF66" i="22"/>
  <c r="AF52" i="22"/>
  <c r="G52" i="22" s="1"/>
  <c r="AI52" i="22" s="1"/>
  <c r="AF10" i="22"/>
  <c r="AF95" i="6"/>
  <c r="AE95" i="6"/>
  <c r="AD127" i="6"/>
  <c r="AE141" i="6"/>
  <c r="AF141" i="6"/>
  <c r="AF79" i="6"/>
  <c r="AE79" i="6"/>
  <c r="AD157" i="6"/>
  <c r="AD139" i="6"/>
  <c r="AE146" i="6"/>
  <c r="AF146" i="6"/>
  <c r="AD69" i="6"/>
  <c r="E87" i="22"/>
  <c r="E84" i="6" s="1"/>
  <c r="F102" i="6"/>
  <c r="E102" i="9" s="1"/>
  <c r="D102" i="9" s="1"/>
  <c r="V153" i="6"/>
  <c r="X151" i="6"/>
  <c r="R151" i="6"/>
  <c r="L151" i="6"/>
  <c r="V140" i="6"/>
  <c r="R140" i="6"/>
  <c r="N140" i="6"/>
  <c r="P110" i="6"/>
  <c r="J110" i="6"/>
  <c r="X102" i="6"/>
  <c r="S102" i="6"/>
  <c r="M102" i="6"/>
  <c r="H102" i="6"/>
  <c r="X100" i="6"/>
  <c r="S100" i="6"/>
  <c r="M100" i="6"/>
  <c r="W84" i="6"/>
  <c r="K84" i="6"/>
  <c r="N77" i="6"/>
  <c r="AE129" i="6"/>
  <c r="AF129" i="6"/>
  <c r="AD108" i="6"/>
  <c r="AE105" i="6"/>
  <c r="AF105" i="6"/>
  <c r="AD39" i="6"/>
  <c r="E108" i="22"/>
  <c r="E102" i="6" s="1"/>
  <c r="F140" i="6"/>
  <c r="E140" i="9" s="1"/>
  <c r="D140" i="9" s="1"/>
  <c r="W151" i="6"/>
  <c r="Q151" i="6"/>
  <c r="F151" i="37" s="1"/>
  <c r="K151" i="6"/>
  <c r="M140" i="6"/>
  <c r="I140" i="6"/>
  <c r="U110" i="6"/>
  <c r="O110" i="6"/>
  <c r="I110" i="6"/>
  <c r="W102" i="6"/>
  <c r="R102" i="6"/>
  <c r="L102" i="6"/>
  <c r="W100" i="6"/>
  <c r="R100" i="6"/>
  <c r="L100" i="6"/>
  <c r="V84" i="6"/>
  <c r="P84" i="6"/>
  <c r="J84" i="6"/>
  <c r="X77" i="6"/>
  <c r="AF123" i="6"/>
  <c r="AE81" i="6"/>
  <c r="AF81" i="6"/>
  <c r="AD44" i="6"/>
  <c r="AD41" i="6"/>
  <c r="AD154" i="6"/>
  <c r="AF147" i="6"/>
  <c r="AF109" i="6"/>
  <c r="AF99" i="6"/>
  <c r="AE76" i="6"/>
  <c r="AF76" i="6"/>
  <c r="AD34" i="6"/>
  <c r="AF19" i="6"/>
  <c r="AD149" i="6"/>
  <c r="AE120" i="6"/>
  <c r="AF120" i="6"/>
  <c r="AE115" i="6"/>
  <c r="AF115" i="6"/>
  <c r="AD103" i="6"/>
  <c r="AE83" i="6"/>
  <c r="AF83" i="6"/>
  <c r="AF54" i="6"/>
  <c r="AE50" i="6"/>
  <c r="AF50" i="6"/>
  <c r="AE15" i="6"/>
  <c r="AF15" i="6"/>
  <c r="AF9" i="6"/>
  <c r="AF63" i="6"/>
  <c r="AF49" i="6"/>
  <c r="AF47" i="6"/>
  <c r="AF43" i="6"/>
  <c r="AF26" i="6"/>
  <c r="E149" i="22"/>
  <c r="E140" i="6" s="1"/>
  <c r="V151" i="6"/>
  <c r="P151" i="6"/>
  <c r="J151" i="6"/>
  <c r="Q140" i="6"/>
  <c r="F140" i="37" s="1"/>
  <c r="T110" i="6"/>
  <c r="N110" i="6"/>
  <c r="H110" i="6"/>
  <c r="V102" i="6"/>
  <c r="Q102" i="6"/>
  <c r="F102" i="37" s="1"/>
  <c r="V100" i="6"/>
  <c r="Q100" i="6"/>
  <c r="F100" i="37" s="1"/>
  <c r="K100" i="6"/>
  <c r="S85" i="6"/>
  <c r="L77" i="6"/>
  <c r="F77" i="6"/>
  <c r="E77" i="9" s="1"/>
  <c r="D77" i="9" s="1"/>
  <c r="F110" i="6"/>
  <c r="E110" i="9" s="1"/>
  <c r="D110" i="9" s="1"/>
  <c r="F151" i="6"/>
  <c r="E151" i="9" s="1"/>
  <c r="D151" i="9" s="1"/>
  <c r="U151" i="6"/>
  <c r="O151" i="6"/>
  <c r="I151" i="6"/>
  <c r="T140" i="6"/>
  <c r="P140" i="6"/>
  <c r="H140" i="6"/>
  <c r="S110" i="6"/>
  <c r="M110" i="6"/>
  <c r="U102" i="6"/>
  <c r="P102" i="6"/>
  <c r="K102" i="6"/>
  <c r="U100" i="6"/>
  <c r="P100" i="6"/>
  <c r="T84" i="6"/>
  <c r="N84" i="6"/>
  <c r="H84" i="6"/>
  <c r="F100" i="6"/>
  <c r="E100" i="9" s="1"/>
  <c r="D100" i="9" s="1"/>
  <c r="T151" i="6"/>
  <c r="N151" i="6"/>
  <c r="H151" i="6"/>
  <c r="X140" i="6"/>
  <c r="S140" i="6"/>
  <c r="K140" i="6"/>
  <c r="W110" i="6"/>
  <c r="R110" i="6"/>
  <c r="L110" i="6"/>
  <c r="T102" i="6"/>
  <c r="O102" i="6"/>
  <c r="T100" i="6"/>
  <c r="O100" i="6"/>
  <c r="I100" i="6"/>
  <c r="S84" i="6"/>
  <c r="M84" i="6"/>
  <c r="V77" i="6"/>
  <c r="J77" i="6"/>
  <c r="F84" i="6"/>
  <c r="E84" i="9" s="1"/>
  <c r="D84" i="9" s="1"/>
  <c r="V84" i="9" s="1"/>
  <c r="S151" i="6"/>
  <c r="M151" i="6"/>
  <c r="W140" i="6"/>
  <c r="O140" i="6"/>
  <c r="J140" i="6"/>
  <c r="K110" i="6"/>
  <c r="N102" i="6"/>
  <c r="I102" i="6"/>
  <c r="H100" i="6"/>
  <c r="X84" i="6"/>
  <c r="R84" i="6"/>
  <c r="L84" i="6"/>
  <c r="U77" i="6"/>
  <c r="O77" i="6"/>
  <c r="I77" i="6"/>
  <c r="G134" i="9"/>
  <c r="G134" i="10" s="1"/>
  <c r="H113" i="9"/>
  <c r="H113" i="10" s="1"/>
  <c r="H113" i="11" s="1"/>
  <c r="K113" i="9"/>
  <c r="Q113" i="9"/>
  <c r="W113" i="9"/>
  <c r="N113" i="9"/>
  <c r="N113" i="10" s="1"/>
  <c r="N273" i="12" s="1"/>
  <c r="T113" i="9"/>
  <c r="T113" i="10" s="1"/>
  <c r="T273" i="12" s="1"/>
  <c r="T113" i="16" s="1"/>
  <c r="Z113" i="9"/>
  <c r="I113" i="9"/>
  <c r="L113" i="9"/>
  <c r="L113" i="10" s="1"/>
  <c r="L273" i="12" s="1"/>
  <c r="R113" i="9"/>
  <c r="X113" i="9"/>
  <c r="X113" i="10" s="1"/>
  <c r="X273" i="12" s="1"/>
  <c r="M113" i="9"/>
  <c r="S113" i="9"/>
  <c r="Y113" i="9"/>
  <c r="U113" i="9"/>
  <c r="V113" i="9"/>
  <c r="O113" i="9"/>
  <c r="P113" i="9"/>
  <c r="S143" i="9"/>
  <c r="S143" i="10" s="1"/>
  <c r="S303" i="12" s="1"/>
  <c r="S143" i="16" s="1"/>
  <c r="M143" i="9"/>
  <c r="M143" i="10" s="1"/>
  <c r="H104" i="9"/>
  <c r="H104" i="10" s="1"/>
  <c r="Y104" i="9"/>
  <c r="K148" i="9"/>
  <c r="H148" i="9"/>
  <c r="H148" i="10" s="1"/>
  <c r="H308" i="12" s="1"/>
  <c r="V143" i="9"/>
  <c r="V143" i="10" s="1"/>
  <c r="P143" i="9"/>
  <c r="K143" i="9"/>
  <c r="K143" i="10" s="1"/>
  <c r="K303" i="12" s="1"/>
  <c r="K143" i="16" s="1"/>
  <c r="G143" i="9"/>
  <c r="R143" i="9"/>
  <c r="R143" i="10" s="1"/>
  <c r="H71" i="9"/>
  <c r="H71" i="10" s="1"/>
  <c r="H71" i="11" s="1"/>
  <c r="I71" i="9"/>
  <c r="M71" i="9"/>
  <c r="P71" i="9"/>
  <c r="H71" i="37" s="1"/>
  <c r="S71" i="9"/>
  <c r="W71" i="9"/>
  <c r="G71" i="9"/>
  <c r="O71" i="9"/>
  <c r="T71" i="9"/>
  <c r="X71" i="9"/>
  <c r="K71" i="9"/>
  <c r="Z71" i="9"/>
  <c r="I71" i="37" s="1"/>
  <c r="U71" i="9"/>
  <c r="V71" i="9"/>
  <c r="Q71" i="9"/>
  <c r="R71" i="9"/>
  <c r="W144" i="9"/>
  <c r="W143" i="9"/>
  <c r="W143" i="10" s="1"/>
  <c r="W303" i="12" s="1"/>
  <c r="W143" i="16" s="1"/>
  <c r="Q143" i="9"/>
  <c r="Q143" i="10" s="1"/>
  <c r="Q303" i="12" s="1"/>
  <c r="I143" i="9"/>
  <c r="X128" i="9"/>
  <c r="X128" i="10" s="1"/>
  <c r="X128" i="11" s="1"/>
  <c r="V128" i="9"/>
  <c r="V128" i="10" s="1"/>
  <c r="V128" i="11" s="1"/>
  <c r="H116" i="9"/>
  <c r="H116" i="10" s="1"/>
  <c r="H276" i="12" s="1"/>
  <c r="H116" i="16" s="1"/>
  <c r="J116" i="9"/>
  <c r="J116" i="10" s="1"/>
  <c r="J276" i="12" s="1"/>
  <c r="J116" i="16" s="1"/>
  <c r="K78" i="9"/>
  <c r="Q78" i="9"/>
  <c r="Q78" i="10" s="1"/>
  <c r="Q238" i="12" s="1"/>
  <c r="G78" i="9"/>
  <c r="G78" i="10" s="1"/>
  <c r="S78" i="9"/>
  <c r="H51" i="9"/>
  <c r="H51" i="10" s="1"/>
  <c r="H51" i="11" s="1"/>
  <c r="O51" i="9"/>
  <c r="U51" i="9"/>
  <c r="Y51" i="9"/>
  <c r="Y51" i="10" s="1"/>
  <c r="Y211" i="12" s="1"/>
  <c r="Y51" i="16" s="1"/>
  <c r="Q51" i="9"/>
  <c r="V51" i="9"/>
  <c r="W51" i="9"/>
  <c r="X51" i="9"/>
  <c r="X51" i="10" s="1"/>
  <c r="X211" i="12" s="1"/>
  <c r="X51" i="16" s="1"/>
  <c r="S51" i="9"/>
  <c r="H56" i="9"/>
  <c r="H56" i="10" s="1"/>
  <c r="H56" i="11" s="1"/>
  <c r="O56" i="9"/>
  <c r="G56" i="9"/>
  <c r="G56" i="10" s="1"/>
  <c r="W56" i="9"/>
  <c r="I56" i="9"/>
  <c r="I56" i="10" s="1"/>
  <c r="Q56" i="9"/>
  <c r="Q56" i="10" s="1"/>
  <c r="K56" i="9"/>
  <c r="K56" i="10" s="1"/>
  <c r="S56" i="9"/>
  <c r="Y56" i="9"/>
  <c r="M56" i="9"/>
  <c r="U56" i="9"/>
  <c r="H101" i="9"/>
  <c r="H101" i="10" s="1"/>
  <c r="H101" i="11" s="1"/>
  <c r="G101" i="9"/>
  <c r="G101" i="10" s="1"/>
  <c r="G261" i="12" s="1"/>
  <c r="G101" i="16" s="1"/>
  <c r="G40" i="9"/>
  <c r="G40" i="10" s="1"/>
  <c r="O40" i="9"/>
  <c r="O40" i="10" s="1"/>
  <c r="O200" i="12" s="1"/>
  <c r="O40" i="16" s="1"/>
  <c r="U40" i="9"/>
  <c r="U40" i="10" s="1"/>
  <c r="U200" i="12" s="1"/>
  <c r="P40" i="9"/>
  <c r="V40" i="9"/>
  <c r="V40" i="10" s="1"/>
  <c r="V200" i="12" s="1"/>
  <c r="R40" i="9"/>
  <c r="R40" i="10" s="1"/>
  <c r="R200" i="12" s="1"/>
  <c r="R40" i="16" s="1"/>
  <c r="Z40" i="9"/>
  <c r="I40" i="37" s="1"/>
  <c r="S40" i="9"/>
  <c r="S40" i="10" s="1"/>
  <c r="S200" i="12" s="1"/>
  <c r="T40" i="9"/>
  <c r="T40" i="10" s="1"/>
  <c r="T200" i="12" s="1"/>
  <c r="T40" i="16" s="1"/>
  <c r="M40" i="9"/>
  <c r="M40" i="10" s="1"/>
  <c r="M200" i="12" s="1"/>
  <c r="M40" i="16" s="1"/>
  <c r="W40" i="9"/>
  <c r="W40" i="10" s="1"/>
  <c r="W200" i="12" s="1"/>
  <c r="W40" i="16" s="1"/>
  <c r="G25" i="9"/>
  <c r="G25" i="10" s="1"/>
  <c r="I25" i="9"/>
  <c r="I25" i="10" s="1"/>
  <c r="I185" i="12" s="1"/>
  <c r="I25" i="16" s="1"/>
  <c r="W25" i="9"/>
  <c r="W25" i="10" s="1"/>
  <c r="W185" i="12" s="1"/>
  <c r="M25" i="9"/>
  <c r="M25" i="10" s="1"/>
  <c r="M185" i="12" s="1"/>
  <c r="Y25" i="9"/>
  <c r="Y25" i="10" s="1"/>
  <c r="Y185" i="12" s="1"/>
  <c r="Y25" i="16" s="1"/>
  <c r="O25" i="9"/>
  <c r="O25" i="10" s="1"/>
  <c r="O185" i="12" s="1"/>
  <c r="O25" i="16" s="1"/>
  <c r="Q25" i="9"/>
  <c r="Q25" i="10" s="1"/>
  <c r="Q185" i="12" s="1"/>
  <c r="Q25" i="16" s="1"/>
  <c r="S25" i="9"/>
  <c r="S25" i="10" s="1"/>
  <c r="S185" i="12" s="1"/>
  <c r="S25" i="16" s="1"/>
  <c r="G38" i="9"/>
  <c r="G38" i="10" s="1"/>
  <c r="I38" i="9"/>
  <c r="L38" i="9"/>
  <c r="U38" i="9"/>
  <c r="X38" i="9"/>
  <c r="X38" i="10" s="1"/>
  <c r="X198" i="12" s="1"/>
  <c r="X38" i="16" s="1"/>
  <c r="K38" i="9"/>
  <c r="N38" i="9"/>
  <c r="W38" i="9"/>
  <c r="Z38" i="9"/>
  <c r="I38" i="37" s="1"/>
  <c r="M38" i="9"/>
  <c r="P38" i="9"/>
  <c r="H38" i="37" s="1"/>
  <c r="Y38" i="9"/>
  <c r="H27" i="9"/>
  <c r="L27" i="9"/>
  <c r="P27" i="9"/>
  <c r="H27" i="37" s="1"/>
  <c r="T27" i="9"/>
  <c r="X27" i="9"/>
  <c r="I27" i="9"/>
  <c r="I27" i="10" s="1"/>
  <c r="I187" i="12" s="1"/>
  <c r="M27" i="9"/>
  <c r="M27" i="10" s="1"/>
  <c r="M187" i="12" s="1"/>
  <c r="Q27" i="9"/>
  <c r="Q27" i="10" s="1"/>
  <c r="Q187" i="12" s="1"/>
  <c r="U27" i="9"/>
  <c r="U27" i="10" s="1"/>
  <c r="U187" i="12" s="1"/>
  <c r="Y27" i="9"/>
  <c r="Y27" i="10" s="1"/>
  <c r="Y187" i="12" s="1"/>
  <c r="H17" i="9"/>
  <c r="H17" i="10" s="1"/>
  <c r="J17" i="9"/>
  <c r="J17" i="10" s="1"/>
  <c r="J17" i="11" s="1"/>
  <c r="Z17" i="9"/>
  <c r="I17" i="37" s="1"/>
  <c r="H14" i="9"/>
  <c r="H14" i="10" s="1"/>
  <c r="H174" i="12" s="1"/>
  <c r="H14" i="16" s="1"/>
  <c r="J14" i="9"/>
  <c r="J14" i="10" s="1"/>
  <c r="J174" i="12" s="1"/>
  <c r="K14" i="9"/>
  <c r="K14" i="10" s="1"/>
  <c r="K174" i="12" s="1"/>
  <c r="I14" i="9"/>
  <c r="I14" i="10" s="1"/>
  <c r="I174" i="12" s="1"/>
  <c r="I14" i="16" s="1"/>
  <c r="W64" i="9"/>
  <c r="R64" i="9"/>
  <c r="N64" i="9"/>
  <c r="J64" i="9"/>
  <c r="J38" i="9"/>
  <c r="V27" i="9"/>
  <c r="N27" i="9"/>
  <c r="Q64" i="9"/>
  <c r="Q64" i="10" s="1"/>
  <c r="Q224" i="12" s="1"/>
  <c r="M64" i="9"/>
  <c r="M64" i="10" s="1"/>
  <c r="M224" i="12" s="1"/>
  <c r="M64" i="16" s="1"/>
  <c r="I64" i="9"/>
  <c r="T38" i="9"/>
  <c r="Q38" i="9"/>
  <c r="S27" i="9"/>
  <c r="S27" i="10" s="1"/>
  <c r="S187" i="12" s="1"/>
  <c r="K27" i="9"/>
  <c r="K27" i="10" s="1"/>
  <c r="K187" i="12" s="1"/>
  <c r="I11" i="9"/>
  <c r="L11" i="9"/>
  <c r="X11" i="9"/>
  <c r="G11" i="9"/>
  <c r="K11" i="9"/>
  <c r="R11" i="9"/>
  <c r="Q11" i="9"/>
  <c r="M11" i="9"/>
  <c r="J11" i="9"/>
  <c r="J11" i="10" s="1"/>
  <c r="I6" i="9"/>
  <c r="M6" i="9"/>
  <c r="M6" i="10" s="1"/>
  <c r="M6" i="11" s="1"/>
  <c r="V6" i="9"/>
  <c r="N6" i="9"/>
  <c r="N6" i="10" s="1"/>
  <c r="N166" i="12" s="1"/>
  <c r="R6" i="9"/>
  <c r="R6" i="10" s="1"/>
  <c r="R166" i="12" s="1"/>
  <c r="R6" i="16" s="1"/>
  <c r="K6" i="9"/>
  <c r="T6" i="9"/>
  <c r="T6" i="10" s="1"/>
  <c r="T166" i="12" s="1"/>
  <c r="T6" i="16" s="1"/>
  <c r="W6" i="9"/>
  <c r="W6" i="10" s="1"/>
  <c r="W166" i="12" s="1"/>
  <c r="W6" i="16" s="1"/>
  <c r="G6" i="9"/>
  <c r="P6" i="9"/>
  <c r="U6" i="9"/>
  <c r="X6" i="9"/>
  <c r="H6" i="9"/>
  <c r="H6" i="10" s="1"/>
  <c r="H166" i="12" s="1"/>
  <c r="L6" i="9"/>
  <c r="L6" i="10" s="1"/>
  <c r="L166" i="12" s="1"/>
  <c r="O6" i="9"/>
  <c r="Y6" i="9"/>
  <c r="Q6" i="9"/>
  <c r="Z6" i="9"/>
  <c r="I6" i="37" s="1"/>
  <c r="Z64" i="9"/>
  <c r="I64" i="37" s="1"/>
  <c r="I62" i="9"/>
  <c r="I62" i="10" s="1"/>
  <c r="I222" i="12" s="1"/>
  <c r="I62" i="16" s="1"/>
  <c r="Z24" i="9"/>
  <c r="I24" i="37" s="1"/>
  <c r="V24" i="9"/>
  <c r="V24" i="10" s="1"/>
  <c r="L24" i="9"/>
  <c r="L24" i="10" s="1"/>
  <c r="L24" i="11" s="1"/>
  <c r="S21" i="9"/>
  <c r="S21" i="10" s="1"/>
  <c r="S181" i="12" s="1"/>
  <c r="Q21" i="9"/>
  <c r="Q21" i="10" s="1"/>
  <c r="Q181" i="12" s="1"/>
  <c r="Q21" i="16" s="1"/>
  <c r="Y24" i="11"/>
  <c r="G24" i="9"/>
  <c r="N24" i="9"/>
  <c r="N24" i="10" s="1"/>
  <c r="N24" i="11" s="1"/>
  <c r="H24" i="9"/>
  <c r="H24" i="10" s="1"/>
  <c r="H24" i="11" s="1"/>
  <c r="S24" i="9"/>
  <c r="J24" i="9"/>
  <c r="J24" i="10" s="1"/>
  <c r="J24" i="11" s="1"/>
  <c r="G14" i="9"/>
  <c r="G14" i="10" s="1"/>
  <c r="H21" i="9"/>
  <c r="H21" i="10" s="1"/>
  <c r="H21" i="11" s="1"/>
  <c r="O21" i="9"/>
  <c r="O21" i="10" s="1"/>
  <c r="O181" i="12" s="1"/>
  <c r="I21" i="9"/>
  <c r="I21" i="10" s="1"/>
  <c r="I181" i="12" s="1"/>
  <c r="I21" i="16" s="1"/>
  <c r="U21" i="9"/>
  <c r="K21" i="9"/>
  <c r="K21" i="10" s="1"/>
  <c r="K181" i="12" s="1"/>
  <c r="W21" i="9"/>
  <c r="W21" i="10" s="1"/>
  <c r="W181" i="12" s="1"/>
  <c r="W21" i="16" s="1"/>
  <c r="E25" i="20"/>
  <c r="E163" i="1"/>
  <c r="O163" i="1" s="1"/>
  <c r="D48" i="31" s="1"/>
  <c r="E169" i="1"/>
  <c r="AO169" i="1" s="1"/>
  <c r="C169" i="1" s="1"/>
  <c r="E119" i="1"/>
  <c r="O119" i="1" s="1"/>
  <c r="D36" i="31" s="1"/>
  <c r="E123" i="1"/>
  <c r="AO123" i="1" s="1"/>
  <c r="C123" i="1" s="1"/>
  <c r="E80" i="1"/>
  <c r="AO80" i="1" s="1"/>
  <c r="C80" i="1" s="1"/>
  <c r="E76" i="1"/>
  <c r="O76" i="1" s="1"/>
  <c r="D25" i="31" s="1"/>
  <c r="E63" i="1"/>
  <c r="O63" i="1" s="1"/>
  <c r="D21" i="31" s="1"/>
  <c r="E66" i="1"/>
  <c r="E43" i="1"/>
  <c r="AO43" i="1" s="1"/>
  <c r="C43" i="1" s="1"/>
  <c r="E39" i="1"/>
  <c r="O39" i="1" s="1"/>
  <c r="D17" i="31" s="1"/>
  <c r="E117" i="1"/>
  <c r="O117" i="1" s="1"/>
  <c r="D34" i="31" s="1"/>
  <c r="E121" i="1"/>
  <c r="K118" i="6"/>
  <c r="D53" i="6"/>
  <c r="E30" i="1"/>
  <c r="AO30" i="1" s="1"/>
  <c r="C30" i="1" s="1"/>
  <c r="E25" i="1"/>
  <c r="O25" i="1" s="1"/>
  <c r="D14" i="31" s="1"/>
  <c r="E24" i="1"/>
  <c r="O24" i="1" s="1"/>
  <c r="D13" i="31" s="1"/>
  <c r="E29" i="1"/>
  <c r="AO29" i="1" s="1"/>
  <c r="C29" i="1" s="1"/>
  <c r="E183" i="1"/>
  <c r="AO183" i="1" s="1"/>
  <c r="C183" i="1" s="1"/>
  <c r="E178" i="1"/>
  <c r="O178" i="1" s="1"/>
  <c r="D51" i="31" s="1"/>
  <c r="E54" i="1"/>
  <c r="E50" i="1"/>
  <c r="O50" i="1" s="1"/>
  <c r="D18" i="31" s="1"/>
  <c r="E24" i="20"/>
  <c r="E6" i="20"/>
  <c r="E126" i="20"/>
  <c r="E17" i="20"/>
  <c r="E229" i="1"/>
  <c r="AO229" i="1" s="1"/>
  <c r="C229" i="1" s="1"/>
  <c r="E223" i="1"/>
  <c r="O223" i="1" s="1"/>
  <c r="D63" i="31" s="1"/>
  <c r="E192" i="1"/>
  <c r="O192" i="1" s="1"/>
  <c r="D54" i="31" s="1"/>
  <c r="E198" i="1"/>
  <c r="E42" i="1"/>
  <c r="AO42" i="1" s="1"/>
  <c r="C42" i="1" s="1"/>
  <c r="E38" i="1"/>
  <c r="O38" i="1" s="1"/>
  <c r="D16" i="31" s="1"/>
  <c r="E12" i="1"/>
  <c r="E7" i="1"/>
  <c r="O7" i="1" s="1"/>
  <c r="E110" i="1"/>
  <c r="AO110" i="1" s="1"/>
  <c r="C110" i="1" s="1"/>
  <c r="E104" i="1"/>
  <c r="O104" i="1" s="1"/>
  <c r="D33" i="31" s="1"/>
  <c r="E113" i="20"/>
  <c r="E71" i="20"/>
  <c r="E64" i="20"/>
  <c r="E40" i="20"/>
  <c r="E27" i="20"/>
  <c r="E21" i="20"/>
  <c r="Y214" i="1"/>
  <c r="Y212" i="1"/>
  <c r="Y250" i="1"/>
  <c r="G69" i="31" s="1"/>
  <c r="Y261" i="1"/>
  <c r="G71" i="31" s="1"/>
  <c r="Y222" i="1"/>
  <c r="G62" i="31" s="1"/>
  <c r="Y239" i="1"/>
  <c r="G67" i="31" s="1"/>
  <c r="Y263" i="1"/>
  <c r="Y224" i="1"/>
  <c r="Y264" i="1"/>
  <c r="Y225" i="1"/>
  <c r="Y265" i="1"/>
  <c r="Y226" i="1"/>
  <c r="Y251" i="1"/>
  <c r="Y240" i="1"/>
  <c r="X239" i="1"/>
  <c r="X226" i="1"/>
  <c r="X232" i="1" s="1"/>
  <c r="X250" i="1"/>
  <c r="X222" i="1"/>
  <c r="X265" i="1"/>
  <c r="X271" i="1" s="1"/>
  <c r="X264" i="1"/>
  <c r="X270" i="1" s="1"/>
  <c r="X211" i="1"/>
  <c r="X215" i="1" s="1"/>
  <c r="X225" i="1"/>
  <c r="X231" i="1" s="1"/>
  <c r="X261" i="1"/>
  <c r="X263" i="1"/>
  <c r="X269" i="1" s="1"/>
  <c r="X210" i="1"/>
  <c r="X214" i="1" s="1"/>
  <c r="X240" i="1"/>
  <c r="X243" i="1" s="1"/>
  <c r="X251" i="1"/>
  <c r="X254" i="1" s="1"/>
  <c r="X209" i="1"/>
  <c r="X224" i="1"/>
  <c r="X230" i="1" s="1"/>
  <c r="X144" i="1"/>
  <c r="X150" i="1" s="1"/>
  <c r="X193" i="1"/>
  <c r="X199" i="1" s="1"/>
  <c r="X161" i="1"/>
  <c r="X167" i="1" s="1"/>
  <c r="Y194" i="1"/>
  <c r="Y178" i="1"/>
  <c r="Y162" i="1"/>
  <c r="Y192" i="1"/>
  <c r="G54" i="31" s="1"/>
  <c r="Y177" i="1"/>
  <c r="G50" i="31" s="1"/>
  <c r="Y160" i="1"/>
  <c r="G45" i="31" s="1"/>
  <c r="Y195" i="1"/>
  <c r="Y179" i="1"/>
  <c r="Y163" i="1"/>
  <c r="Y134" i="1"/>
  <c r="Y133" i="1"/>
  <c r="Y148" i="1"/>
  <c r="Y149" i="1"/>
  <c r="Y196" i="1"/>
  <c r="Y180" i="1"/>
  <c r="Y164" i="1"/>
  <c r="X160" i="1"/>
  <c r="X146" i="1"/>
  <c r="X152" i="1" s="1"/>
  <c r="X164" i="1"/>
  <c r="X170" i="1" s="1"/>
  <c r="X179" i="1"/>
  <c r="X184" i="1" s="1"/>
  <c r="X192" i="1"/>
  <c r="X180" i="1"/>
  <c r="X185" i="1" s="1"/>
  <c r="X162" i="1"/>
  <c r="X168" i="1" s="1"/>
  <c r="X145" i="1"/>
  <c r="X151" i="1" s="1"/>
  <c r="X195" i="1"/>
  <c r="X201" i="1" s="1"/>
  <c r="X130" i="1"/>
  <c r="X196" i="1"/>
  <c r="X202" i="1" s="1"/>
  <c r="X132" i="1"/>
  <c r="X136" i="1" s="1"/>
  <c r="X143" i="1"/>
  <c r="X147" i="1"/>
  <c r="X153" i="1" s="1"/>
  <c r="X163" i="1"/>
  <c r="X169" i="1" s="1"/>
  <c r="X194" i="1"/>
  <c r="X200" i="1" s="1"/>
  <c r="X131" i="1"/>
  <c r="X135" i="1" s="1"/>
  <c r="X178" i="1"/>
  <c r="X183" i="1" s="1"/>
  <c r="X177" i="1"/>
  <c r="X101" i="1"/>
  <c r="X107" i="1" s="1"/>
  <c r="Y41" i="1"/>
  <c r="Y40" i="1"/>
  <c r="Y65" i="1"/>
  <c r="Y66" i="1"/>
  <c r="Y27" i="1"/>
  <c r="Y26" i="1"/>
  <c r="Y78" i="1"/>
  <c r="Y77" i="1"/>
  <c r="Y117" i="1"/>
  <c r="G34" i="31" s="1"/>
  <c r="Y100" i="1"/>
  <c r="G29" i="31" s="1"/>
  <c r="Y87" i="1"/>
  <c r="G26" i="31" s="1"/>
  <c r="Y7" i="1"/>
  <c r="Y119" i="1"/>
  <c r="Y104" i="1"/>
  <c r="Y89" i="1"/>
  <c r="Y10" i="1"/>
  <c r="Y103" i="1"/>
  <c r="Y118" i="1"/>
  <c r="Y102" i="1"/>
  <c r="Y88" i="1"/>
  <c r="Y8" i="1"/>
  <c r="Y54" i="1"/>
  <c r="Y53" i="1"/>
  <c r="Y9" i="1"/>
  <c r="X117" i="1"/>
  <c r="X103" i="1"/>
  <c r="X109" i="1" s="1"/>
  <c r="X119" i="1"/>
  <c r="X123" i="1" s="1"/>
  <c r="X76" i="1"/>
  <c r="X80" i="1" s="1"/>
  <c r="X100" i="1"/>
  <c r="X118" i="1"/>
  <c r="X122" i="1" s="1"/>
  <c r="X88" i="1"/>
  <c r="X92" i="1" s="1"/>
  <c r="X63" i="1"/>
  <c r="X74" i="1"/>
  <c r="X75" i="1"/>
  <c r="X79" i="1" s="1"/>
  <c r="X104" i="1"/>
  <c r="X110" i="1" s="1"/>
  <c r="X87" i="1"/>
  <c r="X64" i="1"/>
  <c r="X67" i="1" s="1"/>
  <c r="X102" i="1"/>
  <c r="X108" i="1" s="1"/>
  <c r="X89" i="1"/>
  <c r="X93" i="1" s="1"/>
  <c r="X50" i="1"/>
  <c r="X52" i="1"/>
  <c r="X56" i="1" s="1"/>
  <c r="X51" i="1"/>
  <c r="X55" i="1" s="1"/>
  <c r="AI89" i="22"/>
  <c r="M10" i="1"/>
  <c r="X8" i="1"/>
  <c r="X13" i="1" s="1"/>
  <c r="X7" i="1"/>
  <c r="X12" i="1" s="1"/>
  <c r="M9" i="1"/>
  <c r="X37" i="1"/>
  <c r="X38" i="1"/>
  <c r="X42" i="1" s="1"/>
  <c r="X39" i="1"/>
  <c r="X43" i="1" s="1"/>
  <c r="X9" i="1"/>
  <c r="X14" i="1" s="1"/>
  <c r="X10" i="1"/>
  <c r="X15" i="1" s="1"/>
  <c r="X25" i="1"/>
  <c r="X30" i="1" s="1"/>
  <c r="X24" i="1"/>
  <c r="X29" i="1" s="1"/>
  <c r="X23" i="1"/>
  <c r="X28" i="1" s="1"/>
  <c r="X22" i="1"/>
  <c r="M303" i="12"/>
  <c r="H143" i="10"/>
  <c r="H143" i="11" s="1"/>
  <c r="G126" i="10"/>
  <c r="Q144" i="9"/>
  <c r="M144" i="9"/>
  <c r="I144" i="9"/>
  <c r="K288" i="12"/>
  <c r="Z144" i="9"/>
  <c r="I144" i="37" s="1"/>
  <c r="T144" i="9"/>
  <c r="R144" i="9"/>
  <c r="N144" i="9"/>
  <c r="J144" i="9"/>
  <c r="L143" i="9"/>
  <c r="J143" i="9"/>
  <c r="Z126" i="9"/>
  <c r="I126" i="37" s="1"/>
  <c r="X126" i="9"/>
  <c r="V126" i="9"/>
  <c r="T126" i="9"/>
  <c r="R126" i="9"/>
  <c r="P126" i="9"/>
  <c r="H126" i="37" s="1"/>
  <c r="N126" i="9"/>
  <c r="L126" i="9"/>
  <c r="J126" i="9"/>
  <c r="H126" i="9"/>
  <c r="L113" i="11"/>
  <c r="Y126" i="9"/>
  <c r="W126" i="9"/>
  <c r="U126" i="9"/>
  <c r="S126" i="9"/>
  <c r="Q126" i="9"/>
  <c r="O126" i="9"/>
  <c r="M126" i="9"/>
  <c r="K126" i="9"/>
  <c r="I126" i="9"/>
  <c r="S104" i="9"/>
  <c r="Q104" i="9"/>
  <c r="M104" i="9"/>
  <c r="G113" i="9"/>
  <c r="V104" i="9"/>
  <c r="J113" i="9"/>
  <c r="K64" i="11"/>
  <c r="V78" i="9"/>
  <c r="T78" i="9"/>
  <c r="N71" i="9"/>
  <c r="L71" i="9"/>
  <c r="J71" i="9"/>
  <c r="L62" i="9"/>
  <c r="Z56" i="9"/>
  <c r="I56" i="37" s="1"/>
  <c r="X56" i="9"/>
  <c r="V56" i="9"/>
  <c r="T56" i="9"/>
  <c r="R56" i="9"/>
  <c r="P56" i="9"/>
  <c r="H56" i="37" s="1"/>
  <c r="N56" i="9"/>
  <c r="L56" i="9"/>
  <c r="J56" i="9"/>
  <c r="M51" i="9"/>
  <c r="I51" i="9"/>
  <c r="G51" i="9"/>
  <c r="Z46" i="9"/>
  <c r="I46" i="37" s="1"/>
  <c r="R46" i="9"/>
  <c r="L46" i="9"/>
  <c r="J46" i="9"/>
  <c r="T51" i="9"/>
  <c r="R51" i="9"/>
  <c r="P51" i="9"/>
  <c r="H51" i="37" s="1"/>
  <c r="N51" i="9"/>
  <c r="L51" i="9"/>
  <c r="J51" i="9"/>
  <c r="K40" i="9"/>
  <c r="I40" i="9"/>
  <c r="H40" i="9"/>
  <c r="J40" i="9"/>
  <c r="L40" i="9"/>
  <c r="O187" i="12"/>
  <c r="Y28" i="9"/>
  <c r="S28" i="9"/>
  <c r="Q28" i="9"/>
  <c r="O28" i="9"/>
  <c r="Z25" i="9"/>
  <c r="I25" i="37" s="1"/>
  <c r="X25" i="9"/>
  <c r="V25" i="9"/>
  <c r="T25" i="9"/>
  <c r="R25" i="9"/>
  <c r="P25" i="9"/>
  <c r="H25" i="37" s="1"/>
  <c r="N25" i="9"/>
  <c r="K25" i="9"/>
  <c r="H25" i="9"/>
  <c r="J25" i="9"/>
  <c r="L25" i="9"/>
  <c r="Q24" i="9"/>
  <c r="O24" i="9"/>
  <c r="M24" i="9"/>
  <c r="K24" i="9"/>
  <c r="I24" i="9"/>
  <c r="Z21" i="9"/>
  <c r="I21" i="37" s="1"/>
  <c r="X21" i="9"/>
  <c r="V21" i="9"/>
  <c r="T21" i="9"/>
  <c r="R21" i="9"/>
  <c r="P21" i="9"/>
  <c r="H21" i="37" s="1"/>
  <c r="N21" i="9"/>
  <c r="L21" i="9"/>
  <c r="J21" i="9"/>
  <c r="M21" i="11"/>
  <c r="G17" i="9"/>
  <c r="I17" i="9"/>
  <c r="X17" i="9"/>
  <c r="V17" i="9"/>
  <c r="T17" i="9"/>
  <c r="R17" i="9"/>
  <c r="P17" i="9"/>
  <c r="H17" i="37" s="1"/>
  <c r="N17" i="9"/>
  <c r="L17" i="9"/>
  <c r="Y17" i="9"/>
  <c r="W17" i="9"/>
  <c r="U17" i="9"/>
  <c r="S17" i="9"/>
  <c r="Q17" i="9"/>
  <c r="O17" i="9"/>
  <c r="M17" i="9"/>
  <c r="K17" i="9"/>
  <c r="J166" i="12"/>
  <c r="J6" i="16" s="1"/>
  <c r="J6" i="11"/>
  <c r="H11" i="1"/>
  <c r="M8" i="1"/>
  <c r="AI67" i="22"/>
  <c r="E117" i="22"/>
  <c r="E110" i="6" s="1"/>
  <c r="AI117" i="22"/>
  <c r="M7" i="1"/>
  <c r="E161" i="22"/>
  <c r="E151" i="6" s="1"/>
  <c r="G151" i="6"/>
  <c r="AI161" i="22"/>
  <c r="V15" i="1"/>
  <c r="V11" i="1"/>
  <c r="Q77" i="6"/>
  <c r="F77" i="37" s="1"/>
  <c r="H77" i="6"/>
  <c r="T77" i="6"/>
  <c r="P77" i="6"/>
  <c r="W77" i="6"/>
  <c r="K77" i="6"/>
  <c r="J11" i="1"/>
  <c r="AI149" i="22"/>
  <c r="G110" i="6"/>
  <c r="AI108" i="22"/>
  <c r="AI87" i="22"/>
  <c r="AI145" i="22"/>
  <c r="N100" i="6"/>
  <c r="AI79" i="22"/>
  <c r="E79" i="22"/>
  <c r="E77" i="6" s="1"/>
  <c r="AI164" i="22"/>
  <c r="G100" i="6"/>
  <c r="AI105" i="22"/>
  <c r="E105" i="22"/>
  <c r="E100" i="6" s="1"/>
  <c r="J100" i="6"/>
  <c r="U84" i="6"/>
  <c r="O84" i="6"/>
  <c r="I84" i="6"/>
  <c r="S77" i="6"/>
  <c r="M77" i="6"/>
  <c r="G84" i="6"/>
  <c r="G102" i="6"/>
  <c r="G140" i="6"/>
  <c r="K36" i="9" l="1"/>
  <c r="K36" i="10" s="1"/>
  <c r="K196" i="12" s="1"/>
  <c r="H36" i="9"/>
  <c r="H36" i="10" s="1"/>
  <c r="H36" i="11" s="1"/>
  <c r="M151" i="9"/>
  <c r="J22" i="9"/>
  <c r="Q143" i="11"/>
  <c r="T36" i="9"/>
  <c r="T36" i="10" s="1"/>
  <c r="T196" i="12" s="1"/>
  <c r="I29" i="9"/>
  <c r="X36" i="9"/>
  <c r="X36" i="10" s="1"/>
  <c r="X196" i="12" s="1"/>
  <c r="G29" i="9"/>
  <c r="G29" i="10" s="1"/>
  <c r="G189" i="12" s="1"/>
  <c r="G189" i="13" s="1"/>
  <c r="U25" i="11"/>
  <c r="K72" i="9"/>
  <c r="K29" i="9"/>
  <c r="H140" i="9"/>
  <c r="H106" i="9"/>
  <c r="G22" i="9"/>
  <c r="G22" i="10" s="1"/>
  <c r="L22" i="9"/>
  <c r="L22" i="10" s="1"/>
  <c r="L22" i="11" s="1"/>
  <c r="G8" i="9"/>
  <c r="G8" i="10" s="1"/>
  <c r="F29" i="9"/>
  <c r="J29" i="9"/>
  <c r="U64" i="11"/>
  <c r="G73" i="9"/>
  <c r="G73" i="10" s="1"/>
  <c r="U40" i="11"/>
  <c r="J158" i="9"/>
  <c r="Y11" i="11"/>
  <c r="Y24" i="16"/>
  <c r="Y24" i="17" s="1"/>
  <c r="T143" i="11"/>
  <c r="X72" i="9"/>
  <c r="X72" i="10" s="1"/>
  <c r="R102" i="9"/>
  <c r="R102" i="10" s="1"/>
  <c r="R102" i="11" s="1"/>
  <c r="I72" i="9"/>
  <c r="I72" i="10" s="1"/>
  <c r="I72" i="11" s="1"/>
  <c r="H22" i="9"/>
  <c r="Y296" i="1"/>
  <c r="M79" i="31" s="1"/>
  <c r="G79" i="31"/>
  <c r="M153" i="31"/>
  <c r="M213" i="31" s="1"/>
  <c r="T213" i="31" s="1"/>
  <c r="Y489" i="1"/>
  <c r="Y135" i="1"/>
  <c r="M38" i="31" s="1"/>
  <c r="G38" i="31"/>
  <c r="D55" i="22"/>
  <c r="B56" i="22"/>
  <c r="Y10" i="39"/>
  <c r="Y31" i="39" s="1"/>
  <c r="AP10" i="39"/>
  <c r="U10" i="39"/>
  <c r="V10" i="39" s="1"/>
  <c r="V31" i="39" s="1"/>
  <c r="AH10" i="39"/>
  <c r="AG10" i="39"/>
  <c r="O10" i="39" s="1"/>
  <c r="W10" i="39"/>
  <c r="X10" i="39" s="1"/>
  <c r="X31" i="39" s="1"/>
  <c r="C10" i="39"/>
  <c r="AP9" i="39"/>
  <c r="AG9" i="39"/>
  <c r="O9" i="39" s="1"/>
  <c r="AH9" i="39"/>
  <c r="Y9" i="39"/>
  <c r="Y30" i="39" s="1"/>
  <c r="C9" i="39"/>
  <c r="U9" i="39"/>
  <c r="V9" i="39" s="1"/>
  <c r="V30" i="39" s="1"/>
  <c r="W9" i="39"/>
  <c r="X9" i="39" s="1"/>
  <c r="X30" i="39" s="1"/>
  <c r="AP33" i="39"/>
  <c r="C33" i="39" s="1"/>
  <c r="AG33" i="39"/>
  <c r="AH33" i="39"/>
  <c r="E145" i="22"/>
  <c r="E137" i="6" s="1"/>
  <c r="T72" i="9"/>
  <c r="T72" i="10" s="1"/>
  <c r="Q78" i="11"/>
  <c r="G101" i="11"/>
  <c r="M143" i="11"/>
  <c r="E89" i="22"/>
  <c r="E85" i="6" s="1"/>
  <c r="P36" i="9"/>
  <c r="T130" i="22"/>
  <c r="R130" i="22"/>
  <c r="O169" i="22"/>
  <c r="Y425" i="1"/>
  <c r="V39" i="22"/>
  <c r="Q39" i="22"/>
  <c r="N39" i="22"/>
  <c r="G39" i="22"/>
  <c r="AI39" i="22" s="1"/>
  <c r="J42" i="22"/>
  <c r="S42" i="22"/>
  <c r="N42" i="22"/>
  <c r="U42" i="22"/>
  <c r="F42" i="22"/>
  <c r="G42" i="22"/>
  <c r="AI42" i="22" s="1"/>
  <c r="R42" i="22"/>
  <c r="G24" i="31"/>
  <c r="Y403" i="1"/>
  <c r="M106" i="31" s="1"/>
  <c r="G106" i="31"/>
  <c r="Y29" i="1"/>
  <c r="M13" i="31" s="1"/>
  <c r="G13" i="31"/>
  <c r="Y353" i="1"/>
  <c r="M95" i="31" s="1"/>
  <c r="G95" i="31"/>
  <c r="Y350" i="1"/>
  <c r="W53" i="22"/>
  <c r="T14" i="22"/>
  <c r="S14" i="22"/>
  <c r="Q14" i="22"/>
  <c r="G14" i="22"/>
  <c r="AI14" i="22" s="1"/>
  <c r="W85" i="22"/>
  <c r="G85" i="22"/>
  <c r="AI85" i="22" s="1"/>
  <c r="F131" i="6"/>
  <c r="E131" i="9" s="1"/>
  <c r="D131" i="9" s="1"/>
  <c r="F131" i="9" s="1"/>
  <c r="AI35" i="6"/>
  <c r="F35" i="9"/>
  <c r="Y43" i="1"/>
  <c r="M17" i="31" s="1"/>
  <c r="G17" i="31"/>
  <c r="G181" i="31" s="1"/>
  <c r="Y215" i="1"/>
  <c r="M61" i="31" s="1"/>
  <c r="G61" i="31"/>
  <c r="G193" i="31" s="1"/>
  <c r="Y150" i="1"/>
  <c r="M41" i="31" s="1"/>
  <c r="G41" i="31"/>
  <c r="Y432" i="1"/>
  <c r="M115" i="31"/>
  <c r="M210" i="31" s="1"/>
  <c r="T210" i="31" s="1"/>
  <c r="Y136" i="1"/>
  <c r="M39" i="31" s="1"/>
  <c r="G39" i="31"/>
  <c r="Y199" i="1"/>
  <c r="M55" i="31" s="1"/>
  <c r="G55" i="31"/>
  <c r="T100" i="9"/>
  <c r="T100" i="10" s="1"/>
  <c r="T100" i="11" s="1"/>
  <c r="H20" i="9"/>
  <c r="G85" i="6"/>
  <c r="G14" i="11"/>
  <c r="S21" i="11"/>
  <c r="U36" i="9"/>
  <c r="U36" i="10" s="1"/>
  <c r="U196" i="12" s="1"/>
  <c r="U36" i="16" s="1"/>
  <c r="Z36" i="9"/>
  <c r="Z36" i="10" s="1"/>
  <c r="Z196" i="12" s="1"/>
  <c r="Z36" i="16" s="1"/>
  <c r="G130" i="22"/>
  <c r="AI130" i="22" s="1"/>
  <c r="N130" i="22"/>
  <c r="X130" i="22"/>
  <c r="Y141" i="22"/>
  <c r="P158" i="22"/>
  <c r="H169" i="22"/>
  <c r="N36" i="9"/>
  <c r="N36" i="10" s="1"/>
  <c r="N196" i="12" s="1"/>
  <c r="F152" i="6"/>
  <c r="E152" i="9" s="1"/>
  <c r="D152" i="9" s="1"/>
  <c r="T49" i="22"/>
  <c r="G49" i="22"/>
  <c r="AI49" i="22" s="1"/>
  <c r="Y28" i="1"/>
  <c r="M12" i="31" s="1"/>
  <c r="Y213" i="1"/>
  <c r="M59" i="31" s="1"/>
  <c r="Y80" i="1"/>
  <c r="M25" i="31" s="1"/>
  <c r="Y340" i="1"/>
  <c r="M92" i="31" s="1"/>
  <c r="Y153" i="1"/>
  <c r="M44" i="31" s="1"/>
  <c r="G44" i="31"/>
  <c r="S12" i="22"/>
  <c r="K12" i="22"/>
  <c r="U12" i="22"/>
  <c r="P12" i="22"/>
  <c r="N12" i="22"/>
  <c r="T12" i="22"/>
  <c r="I12" i="22"/>
  <c r="F12" i="22"/>
  <c r="Q12" i="22"/>
  <c r="O12" i="22"/>
  <c r="M12" i="22"/>
  <c r="L12" i="22"/>
  <c r="J12" i="22"/>
  <c r="H12" i="22"/>
  <c r="V12" i="22"/>
  <c r="Y12" i="22"/>
  <c r="X12" i="22"/>
  <c r="R12" i="22"/>
  <c r="W12" i="22"/>
  <c r="G12" i="22"/>
  <c r="AI12" i="22" s="1"/>
  <c r="G104" i="31"/>
  <c r="Y401" i="1"/>
  <c r="Y400" i="1"/>
  <c r="Y67" i="1"/>
  <c r="M22" i="31" s="1"/>
  <c r="G22" i="31"/>
  <c r="M145" i="31"/>
  <c r="M212" i="31" s="1"/>
  <c r="T212" i="31" s="1"/>
  <c r="Y481" i="1"/>
  <c r="Q88" i="22"/>
  <c r="Q85" i="6" s="1"/>
  <c r="F85" i="37" s="1"/>
  <c r="H86" i="9"/>
  <c r="H86" i="10" s="1"/>
  <c r="H246" i="12" s="1"/>
  <c r="X163" i="22"/>
  <c r="X153" i="6" s="1"/>
  <c r="W49" i="22"/>
  <c r="R49" i="22"/>
  <c r="W5" i="22"/>
  <c r="X5" i="22"/>
  <c r="V5" i="22"/>
  <c r="I19" i="22"/>
  <c r="F19" i="22"/>
  <c r="K19" i="22"/>
  <c r="M14" i="6"/>
  <c r="L14" i="9" s="1"/>
  <c r="N4" i="6"/>
  <c r="M29" i="6"/>
  <c r="L29" i="9" s="1"/>
  <c r="L29" i="10" s="1"/>
  <c r="AH31" i="39"/>
  <c r="AG31" i="39"/>
  <c r="AP31" i="39"/>
  <c r="C31" i="39" s="1"/>
  <c r="AP30" i="39"/>
  <c r="C30" i="39" s="1"/>
  <c r="AH30" i="39"/>
  <c r="AG30" i="39"/>
  <c r="Q110" i="6"/>
  <c r="F110" i="37" s="1"/>
  <c r="L110" i="37" s="1"/>
  <c r="T153" i="6"/>
  <c r="R69" i="22"/>
  <c r="N49" i="22"/>
  <c r="N5" i="6"/>
  <c r="I5" i="22"/>
  <c r="M5" i="22"/>
  <c r="U5" i="22"/>
  <c r="Y4" i="22"/>
  <c r="Y31" i="22" s="1"/>
  <c r="X138" i="22"/>
  <c r="X62" i="22"/>
  <c r="X96" i="22"/>
  <c r="X68" i="22"/>
  <c r="X20" i="22"/>
  <c r="X167" i="22"/>
  <c r="W12" i="39"/>
  <c r="X12" i="39" s="1"/>
  <c r="X33" i="39" s="1"/>
  <c r="U12" i="39"/>
  <c r="V12" i="39" s="1"/>
  <c r="V33" i="39" s="1"/>
  <c r="AG12" i="39"/>
  <c r="O12" i="39" s="1"/>
  <c r="AP12" i="39"/>
  <c r="C12" i="39"/>
  <c r="Y12" i="39"/>
  <c r="Y33" i="39" s="1"/>
  <c r="AH12" i="39"/>
  <c r="P78" i="9"/>
  <c r="H78" i="37" s="1"/>
  <c r="J106" i="9"/>
  <c r="J121" i="9"/>
  <c r="K73" i="9"/>
  <c r="K73" i="10" s="1"/>
  <c r="K233" i="12" s="1"/>
  <c r="Y143" i="11"/>
  <c r="E143" i="20"/>
  <c r="B55" i="6"/>
  <c r="W36" i="9"/>
  <c r="W36" i="10" s="1"/>
  <c r="W196" i="12" s="1"/>
  <c r="W196" i="13" s="1"/>
  <c r="O72" i="9"/>
  <c r="O72" i="10" s="1"/>
  <c r="O72" i="11" s="1"/>
  <c r="O36" i="9"/>
  <c r="L88" i="37"/>
  <c r="J88" i="37"/>
  <c r="M88" i="37"/>
  <c r="N88" i="37"/>
  <c r="K88" i="37"/>
  <c r="Z11" i="9"/>
  <c r="I11" i="37" s="1"/>
  <c r="G11" i="37"/>
  <c r="D54" i="37"/>
  <c r="A54" i="37" s="1"/>
  <c r="B54" i="10"/>
  <c r="B214" i="17"/>
  <c r="B54" i="13"/>
  <c r="B54" i="20"/>
  <c r="B54" i="11"/>
  <c r="B54" i="12"/>
  <c r="B214" i="13"/>
  <c r="B54" i="15"/>
  <c r="B54" i="17"/>
  <c r="B54" i="18"/>
  <c r="B214" i="12"/>
  <c r="B54" i="9"/>
  <c r="B54" i="16"/>
  <c r="B214" i="18"/>
  <c r="B54" i="14"/>
  <c r="P143" i="10"/>
  <c r="H143" i="37"/>
  <c r="Z113" i="10"/>
  <c r="Z273" i="12" s="1"/>
  <c r="Z273" i="13" s="1"/>
  <c r="I113" i="37"/>
  <c r="Z27" i="10"/>
  <c r="I27" i="37"/>
  <c r="M75" i="37"/>
  <c r="L75" i="37"/>
  <c r="K75" i="37"/>
  <c r="N75" i="37"/>
  <c r="J75" i="37"/>
  <c r="L37" i="37"/>
  <c r="M37" i="37"/>
  <c r="N37" i="37"/>
  <c r="K37" i="37"/>
  <c r="J37" i="37"/>
  <c r="M61" i="37"/>
  <c r="L61" i="37"/>
  <c r="K61" i="37"/>
  <c r="J61" i="37"/>
  <c r="N61" i="37"/>
  <c r="F136" i="6"/>
  <c r="E136" i="9" s="1"/>
  <c r="D136" i="9" s="1"/>
  <c r="F22" i="9"/>
  <c r="P104" i="9"/>
  <c r="H104" i="37" s="1"/>
  <c r="F104" i="37"/>
  <c r="Z78" i="9"/>
  <c r="I78" i="37" s="1"/>
  <c r="G78" i="37"/>
  <c r="P40" i="10"/>
  <c r="H40" i="37"/>
  <c r="P64" i="10"/>
  <c r="P224" i="12" s="1"/>
  <c r="P64" i="13" s="1"/>
  <c r="H64" i="37"/>
  <c r="K112" i="9"/>
  <c r="L58" i="37"/>
  <c r="J58" i="37"/>
  <c r="M58" i="37"/>
  <c r="K58" i="37"/>
  <c r="N58" i="37"/>
  <c r="K36" i="37"/>
  <c r="N36" i="37"/>
  <c r="L36" i="37"/>
  <c r="J36" i="37"/>
  <c r="M36" i="37"/>
  <c r="H98" i="9"/>
  <c r="H98" i="10" s="1"/>
  <c r="H98" i="11" s="1"/>
  <c r="P128" i="9"/>
  <c r="F128" i="37"/>
  <c r="Z51" i="9"/>
  <c r="I51" i="37" s="1"/>
  <c r="G51" i="37"/>
  <c r="N135" i="37"/>
  <c r="M135" i="37"/>
  <c r="L135" i="37"/>
  <c r="K135" i="37"/>
  <c r="J135" i="37"/>
  <c r="P6" i="10"/>
  <c r="P166" i="12" s="1"/>
  <c r="P6" i="13" s="1"/>
  <c r="H6" i="37"/>
  <c r="F8" i="38" s="1"/>
  <c r="O27" i="11"/>
  <c r="N36" i="11"/>
  <c r="X143" i="11"/>
  <c r="Z143" i="10"/>
  <c r="Z303" i="12" s="1"/>
  <c r="Z303" i="13" s="1"/>
  <c r="I143" i="37"/>
  <c r="N133" i="37"/>
  <c r="L133" i="37"/>
  <c r="K133" i="37"/>
  <c r="M133" i="37"/>
  <c r="J133" i="37"/>
  <c r="T112" i="9"/>
  <c r="T112" i="10" s="1"/>
  <c r="T272" i="12" s="1"/>
  <c r="T112" i="16" s="1"/>
  <c r="T272" i="17" s="1"/>
  <c r="M32" i="37"/>
  <c r="N32" i="37"/>
  <c r="J32" i="37"/>
  <c r="K32" i="37"/>
  <c r="L32" i="37"/>
  <c r="K112" i="37"/>
  <c r="M112" i="37"/>
  <c r="J112" i="37"/>
  <c r="L112" i="37"/>
  <c r="N112" i="37"/>
  <c r="P11" i="9"/>
  <c r="H11" i="37" s="1"/>
  <c r="F11" i="37"/>
  <c r="Z128" i="9"/>
  <c r="G128" i="37"/>
  <c r="Z104" i="9"/>
  <c r="I104" i="37" s="1"/>
  <c r="G104" i="37"/>
  <c r="P46" i="9"/>
  <c r="H46" i="37" s="1"/>
  <c r="F46" i="37"/>
  <c r="E495" i="1"/>
  <c r="O495" i="1" s="1"/>
  <c r="D156" i="31" s="1"/>
  <c r="D215" i="31" s="1"/>
  <c r="Q215" i="31" s="1"/>
  <c r="M25" i="16"/>
  <c r="M185" i="17" s="1"/>
  <c r="J116" i="11"/>
  <c r="V112" i="9"/>
  <c r="V112" i="10" s="1"/>
  <c r="V272" i="12" s="1"/>
  <c r="V112" i="16" s="1"/>
  <c r="N132" i="37"/>
  <c r="K132" i="37"/>
  <c r="M132" i="37"/>
  <c r="L132" i="37"/>
  <c r="J132" i="37"/>
  <c r="L78" i="37"/>
  <c r="J78" i="37"/>
  <c r="N78" i="37"/>
  <c r="M78" i="37"/>
  <c r="K78" i="37"/>
  <c r="P144" i="9"/>
  <c r="H144" i="37" s="1"/>
  <c r="F144" i="37"/>
  <c r="P28" i="9"/>
  <c r="H28" i="37" s="1"/>
  <c r="F28" i="37"/>
  <c r="N72" i="37"/>
  <c r="K72" i="37"/>
  <c r="M72" i="37"/>
  <c r="L72" i="37"/>
  <c r="J72" i="37"/>
  <c r="P36" i="10"/>
  <c r="D36" i="16" s="1"/>
  <c r="F36" i="20" s="1"/>
  <c r="H36" i="37"/>
  <c r="P113" i="10"/>
  <c r="P273" i="12" s="1"/>
  <c r="P113" i="16" s="1"/>
  <c r="P113" i="17" s="1"/>
  <c r="H113" i="37"/>
  <c r="Y27" i="11"/>
  <c r="P40" i="11"/>
  <c r="N96" i="37"/>
  <c r="M96" i="37"/>
  <c r="L96" i="37"/>
  <c r="J96" i="37"/>
  <c r="K96" i="37"/>
  <c r="K59" i="37"/>
  <c r="N59" i="37"/>
  <c r="M59" i="37"/>
  <c r="L59" i="37"/>
  <c r="J59" i="37"/>
  <c r="P24" i="10"/>
  <c r="P184" i="12" s="1"/>
  <c r="P184" i="13" s="1"/>
  <c r="H24" i="37"/>
  <c r="F10" i="38" s="1"/>
  <c r="L98" i="9"/>
  <c r="J73" i="9"/>
  <c r="J73" i="10" s="1"/>
  <c r="N135" i="9"/>
  <c r="Z28" i="9"/>
  <c r="G28" i="37"/>
  <c r="M53" i="6"/>
  <c r="I151" i="9"/>
  <c r="N100" i="37"/>
  <c r="M100" i="37"/>
  <c r="J100" i="37"/>
  <c r="L100" i="37"/>
  <c r="K100" i="37"/>
  <c r="K102" i="9"/>
  <c r="K84" i="37"/>
  <c r="J84" i="37"/>
  <c r="L84" i="37"/>
  <c r="N84" i="37"/>
  <c r="M84" i="37"/>
  <c r="L85" i="37"/>
  <c r="K85" i="37"/>
  <c r="J85" i="37"/>
  <c r="M85" i="37"/>
  <c r="N85" i="37"/>
  <c r="M140" i="37"/>
  <c r="L140" i="37"/>
  <c r="K140" i="37"/>
  <c r="J140" i="37"/>
  <c r="N140" i="37"/>
  <c r="J77" i="37"/>
  <c r="N77" i="37"/>
  <c r="M77" i="37"/>
  <c r="K77" i="37"/>
  <c r="L77" i="37"/>
  <c r="K102" i="37"/>
  <c r="J102" i="37"/>
  <c r="N102" i="37"/>
  <c r="M102" i="37"/>
  <c r="L102" i="37"/>
  <c r="M110" i="37"/>
  <c r="K110" i="37"/>
  <c r="J110" i="37"/>
  <c r="N110" i="37"/>
  <c r="L151" i="37"/>
  <c r="K151" i="37"/>
  <c r="J151" i="37"/>
  <c r="N151" i="37"/>
  <c r="M151" i="37"/>
  <c r="G188" i="31"/>
  <c r="G183" i="31"/>
  <c r="G207" i="31"/>
  <c r="M211" i="31"/>
  <c r="T211" i="31" s="1"/>
  <c r="M208" i="31"/>
  <c r="T208" i="31" s="1"/>
  <c r="G189" i="31"/>
  <c r="Y69" i="1"/>
  <c r="M21" i="31"/>
  <c r="M183" i="31" s="1"/>
  <c r="Y170" i="1"/>
  <c r="M49" i="31" s="1"/>
  <c r="G49" i="31"/>
  <c r="Y138" i="1"/>
  <c r="M37" i="31"/>
  <c r="M188" i="31" s="1"/>
  <c r="Y232" i="1"/>
  <c r="M66" i="31" s="1"/>
  <c r="G66" i="31"/>
  <c r="Y299" i="1"/>
  <c r="M82" i="31" s="1"/>
  <c r="G82" i="31"/>
  <c r="Y390" i="1"/>
  <c r="M103" i="31" s="1"/>
  <c r="G103" i="31"/>
  <c r="Y342" i="1"/>
  <c r="M91" i="31"/>
  <c r="M202" i="31" s="1"/>
  <c r="Y405" i="1"/>
  <c r="M104" i="31"/>
  <c r="M207" i="31" s="1"/>
  <c r="Y185" i="1"/>
  <c r="M53" i="31" s="1"/>
  <c r="G53" i="31"/>
  <c r="Y169" i="1"/>
  <c r="M48" i="31" s="1"/>
  <c r="G48" i="31"/>
  <c r="Y168" i="1"/>
  <c r="M47" i="31" s="1"/>
  <c r="G47" i="31"/>
  <c r="Y271" i="1"/>
  <c r="M75" i="31" s="1"/>
  <c r="G75" i="31"/>
  <c r="Y328" i="1"/>
  <c r="M89" i="31" s="1"/>
  <c r="G89" i="31"/>
  <c r="Y329" i="1"/>
  <c r="M90" i="31" s="1"/>
  <c r="G90" i="31"/>
  <c r="Y379" i="1"/>
  <c r="M101" i="31" s="1"/>
  <c r="G101" i="31"/>
  <c r="G205" i="31" s="1"/>
  <c r="F179" i="31"/>
  <c r="G182" i="31"/>
  <c r="Y58" i="1"/>
  <c r="M18" i="31"/>
  <c r="M182" i="31" s="1"/>
  <c r="Y298" i="1"/>
  <c r="M81" i="31" s="1"/>
  <c r="G81" i="31"/>
  <c r="Y366" i="1"/>
  <c r="M97" i="31" s="1"/>
  <c r="G97" i="31"/>
  <c r="G203" i="31"/>
  <c r="Y93" i="1"/>
  <c r="M28" i="31" s="1"/>
  <c r="G28" i="31"/>
  <c r="Y92" i="1"/>
  <c r="M27" i="31" s="1"/>
  <c r="G27" i="31"/>
  <c r="G185" i="31" s="1"/>
  <c r="Y202" i="1"/>
  <c r="M58" i="31" s="1"/>
  <c r="G58" i="31"/>
  <c r="Y183" i="1"/>
  <c r="M51" i="31" s="1"/>
  <c r="G51" i="31"/>
  <c r="Y231" i="1"/>
  <c r="M65" i="31" s="1"/>
  <c r="G65" i="31"/>
  <c r="Y108" i="1"/>
  <c r="M31" i="31" s="1"/>
  <c r="G31" i="31"/>
  <c r="Y123" i="1"/>
  <c r="M36" i="31" s="1"/>
  <c r="G36" i="31"/>
  <c r="Y82" i="1"/>
  <c r="M23" i="31"/>
  <c r="M184" i="31" s="1"/>
  <c r="Y45" i="1"/>
  <c r="M15" i="31"/>
  <c r="M181" i="31" s="1"/>
  <c r="Y155" i="1"/>
  <c r="M40" i="31"/>
  <c r="M189" i="31" s="1"/>
  <c r="Y201" i="1"/>
  <c r="M57" i="31" s="1"/>
  <c r="G57" i="31"/>
  <c r="Y200" i="1"/>
  <c r="M56" i="31" s="1"/>
  <c r="G56" i="31"/>
  <c r="Y270" i="1"/>
  <c r="M74" i="31" s="1"/>
  <c r="G74" i="31"/>
  <c r="Y311" i="1"/>
  <c r="M84" i="31" s="1"/>
  <c r="G84" i="31"/>
  <c r="Y312" i="1"/>
  <c r="M85" i="31" s="1"/>
  <c r="G85" i="31"/>
  <c r="Y355" i="1"/>
  <c r="M94" i="31"/>
  <c r="M203" i="31" s="1"/>
  <c r="Y15" i="1"/>
  <c r="M10" i="31" s="1"/>
  <c r="G10" i="31"/>
  <c r="Y110" i="1"/>
  <c r="M33" i="31" s="1"/>
  <c r="G33" i="31"/>
  <c r="Y184" i="1"/>
  <c r="M52" i="31" s="1"/>
  <c r="G52" i="31"/>
  <c r="Y14" i="1"/>
  <c r="M9" i="31" s="1"/>
  <c r="G9" i="31"/>
  <c r="Y122" i="1"/>
  <c r="M35" i="31" s="1"/>
  <c r="G35" i="31"/>
  <c r="Y12" i="1"/>
  <c r="M7" i="31" s="1"/>
  <c r="G7" i="31"/>
  <c r="Y243" i="1"/>
  <c r="M68" i="31" s="1"/>
  <c r="G68" i="31"/>
  <c r="G195" i="31" s="1"/>
  <c r="Y230" i="1"/>
  <c r="M64" i="31" s="1"/>
  <c r="G64" i="31"/>
  <c r="Y327" i="1"/>
  <c r="M88" i="31" s="1"/>
  <c r="G88" i="31"/>
  <c r="Y367" i="1"/>
  <c r="M98" i="31" s="1"/>
  <c r="G98" i="31"/>
  <c r="G198" i="31"/>
  <c r="Y13" i="1"/>
  <c r="M8" i="31" s="1"/>
  <c r="G8" i="31"/>
  <c r="Y109" i="1"/>
  <c r="M32" i="31" s="1"/>
  <c r="G32" i="31"/>
  <c r="Y32" i="1"/>
  <c r="M11" i="31"/>
  <c r="M180" i="31" s="1"/>
  <c r="Y254" i="1"/>
  <c r="M70" i="31" s="1"/>
  <c r="G70" i="31"/>
  <c r="G196" i="31" s="1"/>
  <c r="Y269" i="1"/>
  <c r="M73" i="31" s="1"/>
  <c r="G73" i="31"/>
  <c r="Y217" i="1"/>
  <c r="M60" i="31"/>
  <c r="Y297" i="1"/>
  <c r="M80" i="31" s="1"/>
  <c r="G80" i="31"/>
  <c r="Y368" i="1"/>
  <c r="M99" i="31" s="1"/>
  <c r="G99" i="31"/>
  <c r="U151" i="9"/>
  <c r="U151" i="10" s="1"/>
  <c r="S151" i="9"/>
  <c r="J151" i="9"/>
  <c r="V17" i="1"/>
  <c r="L10" i="31"/>
  <c r="L179" i="31" s="1"/>
  <c r="D7" i="31"/>
  <c r="L121" i="9"/>
  <c r="L121" i="10" s="1"/>
  <c r="L121" i="11" s="1"/>
  <c r="K60" i="9"/>
  <c r="X133" i="9"/>
  <c r="X133" i="10" s="1"/>
  <c r="X293" i="12" s="1"/>
  <c r="H8" i="9"/>
  <c r="H8" i="10" s="1"/>
  <c r="H8" i="11" s="1"/>
  <c r="L82" i="9"/>
  <c r="L82" i="10" s="1"/>
  <c r="L82" i="11" s="1"/>
  <c r="D6" i="16"/>
  <c r="F6" i="20" s="1"/>
  <c r="AF438" i="1" s="1"/>
  <c r="J55" i="9"/>
  <c r="J55" i="10" s="1"/>
  <c r="J215" i="12" s="1"/>
  <c r="J215" i="13" s="1"/>
  <c r="P143" i="11"/>
  <c r="W25" i="11"/>
  <c r="K98" i="9"/>
  <c r="K98" i="10" s="1"/>
  <c r="K98" i="11" s="1"/>
  <c r="I73" i="9"/>
  <c r="I73" i="10" s="1"/>
  <c r="I233" i="12" s="1"/>
  <c r="I73" i="13" s="1"/>
  <c r="V40" i="11"/>
  <c r="T113" i="11"/>
  <c r="G98" i="9"/>
  <c r="G98" i="10" s="1"/>
  <c r="H73" i="9"/>
  <c r="H73" i="10" s="1"/>
  <c r="H73" i="11" s="1"/>
  <c r="I98" i="9"/>
  <c r="U36" i="11"/>
  <c r="L73" i="9"/>
  <c r="L73" i="10" s="1"/>
  <c r="L73" i="11" s="1"/>
  <c r="J16" i="9"/>
  <c r="J16" i="10" s="1"/>
  <c r="J16" i="11" s="1"/>
  <c r="X132" i="9"/>
  <c r="I20" i="9"/>
  <c r="J37" i="9"/>
  <c r="O37" i="9"/>
  <c r="O37" i="10" s="1"/>
  <c r="O37" i="11" s="1"/>
  <c r="L117" i="9"/>
  <c r="L117" i="10" s="1"/>
  <c r="L117" i="11" s="1"/>
  <c r="G20" i="9"/>
  <c r="K20" i="9"/>
  <c r="K20" i="10" s="1"/>
  <c r="K20" i="11" s="1"/>
  <c r="L20" i="9"/>
  <c r="L20" i="10" s="1"/>
  <c r="L20" i="11" s="1"/>
  <c r="W46" i="11"/>
  <c r="H96" i="9"/>
  <c r="H96" i="10" s="1"/>
  <c r="H96" i="11" s="1"/>
  <c r="H37" i="9"/>
  <c r="S37" i="9"/>
  <c r="S37" i="10" s="1"/>
  <c r="S37" i="11" s="1"/>
  <c r="L96" i="9"/>
  <c r="L96" i="10" s="1"/>
  <c r="L96" i="11" s="1"/>
  <c r="J96" i="9"/>
  <c r="J96" i="10" s="1"/>
  <c r="Q37" i="9"/>
  <c r="I121" i="9"/>
  <c r="I121" i="10" s="1"/>
  <c r="I121" i="11" s="1"/>
  <c r="Q72" i="9"/>
  <c r="Q72" i="10" s="1"/>
  <c r="Q72" i="11" s="1"/>
  <c r="L151" i="9"/>
  <c r="L151" i="10" s="1"/>
  <c r="O151" i="9"/>
  <c r="K151" i="9"/>
  <c r="K151" i="10" s="1"/>
  <c r="K151" i="11" s="1"/>
  <c r="N151" i="9"/>
  <c r="W151" i="9"/>
  <c r="W151" i="10" s="1"/>
  <c r="M77" i="9"/>
  <c r="M77" i="10" s="1"/>
  <c r="P204" i="1"/>
  <c r="N204" i="1"/>
  <c r="P125" i="1"/>
  <c r="N125" i="1"/>
  <c r="P370" i="1"/>
  <c r="N370" i="1"/>
  <c r="P58" i="1"/>
  <c r="N58" i="1"/>
  <c r="P17" i="1"/>
  <c r="N17" i="1"/>
  <c r="P432" i="1"/>
  <c r="N432" i="1"/>
  <c r="P69" i="1"/>
  <c r="N69" i="1"/>
  <c r="P465" i="1"/>
  <c r="N465" i="1"/>
  <c r="P489" i="1"/>
  <c r="N489" i="1"/>
  <c r="H151" i="9"/>
  <c r="H151" i="10" s="1"/>
  <c r="H311" i="12" s="1"/>
  <c r="H151" i="16" s="1"/>
  <c r="Q140" i="9"/>
  <c r="Q140" i="10" s="1"/>
  <c r="T77" i="9"/>
  <c r="T77" i="10" s="1"/>
  <c r="T77" i="11" s="1"/>
  <c r="Y64" i="11"/>
  <c r="G25" i="11"/>
  <c r="Q133" i="9"/>
  <c r="Q133" i="10" s="1"/>
  <c r="Q293" i="12" s="1"/>
  <c r="Q293" i="13" s="1"/>
  <c r="L152" i="6"/>
  <c r="G224" i="12"/>
  <c r="G64" i="16" s="1"/>
  <c r="G224" i="17" s="1"/>
  <c r="R133" i="9"/>
  <c r="R133" i="10" s="1"/>
  <c r="I133" i="9"/>
  <c r="U133" i="9"/>
  <c r="U133" i="10" s="1"/>
  <c r="U293" i="12" s="1"/>
  <c r="U293" i="13" s="1"/>
  <c r="G148" i="11"/>
  <c r="G305" i="12"/>
  <c r="G145" i="16" s="1"/>
  <c r="G305" i="17" s="1"/>
  <c r="G174" i="12"/>
  <c r="G174" i="13" s="1"/>
  <c r="G14" i="14" s="1"/>
  <c r="G233" i="12"/>
  <c r="G73" i="16" s="1"/>
  <c r="G233" i="17" s="1"/>
  <c r="G222" i="12"/>
  <c r="G126" i="11"/>
  <c r="W27" i="11"/>
  <c r="G187" i="12"/>
  <c r="G27" i="16" s="1"/>
  <c r="J133" i="9"/>
  <c r="J133" i="10" s="1"/>
  <c r="J133" i="11" s="1"/>
  <c r="G46" i="11"/>
  <c r="G38" i="11"/>
  <c r="G238" i="12"/>
  <c r="G78" i="16" s="1"/>
  <c r="G134" i="11"/>
  <c r="L133" i="9"/>
  <c r="V133" i="9"/>
  <c r="V133" i="10" s="1"/>
  <c r="J132" i="9"/>
  <c r="J132" i="10" s="1"/>
  <c r="J132" i="11" s="1"/>
  <c r="O133" i="9"/>
  <c r="L106" i="9"/>
  <c r="L106" i="10" s="1"/>
  <c r="L106" i="11" s="1"/>
  <c r="G288" i="12"/>
  <c r="G128" i="16" s="1"/>
  <c r="G288" i="17" s="1"/>
  <c r="G40" i="11"/>
  <c r="Y133" i="9"/>
  <c r="I62" i="11"/>
  <c r="G56" i="11"/>
  <c r="G181" i="12"/>
  <c r="G21" i="16" s="1"/>
  <c r="G21" i="17" s="1"/>
  <c r="W133" i="9"/>
  <c r="W133" i="10" s="1"/>
  <c r="W293" i="12" s="1"/>
  <c r="W133" i="16" s="1"/>
  <c r="H72" i="9"/>
  <c r="H72" i="10" s="1"/>
  <c r="H72" i="11" s="1"/>
  <c r="P192" i="1"/>
  <c r="P117" i="1"/>
  <c r="P7" i="1"/>
  <c r="P178" i="1"/>
  <c r="P39" i="1"/>
  <c r="P119" i="1"/>
  <c r="P291" i="1"/>
  <c r="P38" i="1"/>
  <c r="P322" i="1"/>
  <c r="P24" i="1"/>
  <c r="P495" i="1"/>
  <c r="P63" i="1"/>
  <c r="P163" i="1"/>
  <c r="P360" i="1"/>
  <c r="P104" i="1"/>
  <c r="P50" i="1"/>
  <c r="P25" i="1"/>
  <c r="P76" i="1"/>
  <c r="P496" i="1"/>
  <c r="K77" i="9"/>
  <c r="K77" i="10" s="1"/>
  <c r="K77" i="11" s="1"/>
  <c r="O78" i="10"/>
  <c r="O238" i="12" s="1"/>
  <c r="O78" i="16" s="1"/>
  <c r="O238" i="17" s="1"/>
  <c r="Y71" i="16"/>
  <c r="U58" i="9"/>
  <c r="U58" i="10" s="1"/>
  <c r="U58" i="11" s="1"/>
  <c r="P72" i="9"/>
  <c r="G94" i="9"/>
  <c r="G94" i="10" s="1"/>
  <c r="G254" i="12" s="1"/>
  <c r="Z135" i="9"/>
  <c r="I135" i="37" s="1"/>
  <c r="G21" i="11"/>
  <c r="Y72" i="9"/>
  <c r="Y72" i="10" s="1"/>
  <c r="V135" i="9"/>
  <c r="V135" i="10" s="1"/>
  <c r="K86" i="9"/>
  <c r="K86" i="10" s="1"/>
  <c r="K246" i="12" s="1"/>
  <c r="K86" i="16" s="1"/>
  <c r="K86" i="17" s="1"/>
  <c r="X40" i="11"/>
  <c r="X51" i="11"/>
  <c r="I78" i="11"/>
  <c r="U78" i="10"/>
  <c r="U238" i="12" s="1"/>
  <c r="U78" i="16" s="1"/>
  <c r="U238" i="17" s="1"/>
  <c r="W6" i="11"/>
  <c r="H102" i="9"/>
  <c r="H102" i="10" s="1"/>
  <c r="H102" i="11" s="1"/>
  <c r="G55" i="9"/>
  <c r="G55" i="10" s="1"/>
  <c r="P135" i="9"/>
  <c r="S102" i="9"/>
  <c r="S102" i="10" s="1"/>
  <c r="S102" i="11" s="1"/>
  <c r="J140" i="9"/>
  <c r="U75" i="9"/>
  <c r="U75" i="10" s="1"/>
  <c r="L72" i="9"/>
  <c r="L72" i="10" s="1"/>
  <c r="M30" i="6"/>
  <c r="F94" i="9"/>
  <c r="J70" i="6"/>
  <c r="X33" i="9"/>
  <c r="X33" i="10" s="1"/>
  <c r="X33" i="11" s="1"/>
  <c r="M166" i="12"/>
  <c r="M6" i="16" s="1"/>
  <c r="M166" i="17" s="1"/>
  <c r="N40" i="11"/>
  <c r="S143" i="11"/>
  <c r="O96" i="9"/>
  <c r="O96" i="10" s="1"/>
  <c r="M37" i="9"/>
  <c r="M37" i="10" s="1"/>
  <c r="Y37" i="9"/>
  <c r="Y37" i="10" s="1"/>
  <c r="Y37" i="11" s="1"/>
  <c r="K155" i="9"/>
  <c r="K155" i="10" s="1"/>
  <c r="K155" i="11" s="1"/>
  <c r="J30" i="6"/>
  <c r="J94" i="9"/>
  <c r="J94" i="10" s="1"/>
  <c r="J254" i="12" s="1"/>
  <c r="J94" i="16" s="1"/>
  <c r="I94" i="9"/>
  <c r="I94" i="10" s="1"/>
  <c r="I94" i="11" s="1"/>
  <c r="H92" i="9"/>
  <c r="H92" i="10" s="1"/>
  <c r="H92" i="11" s="1"/>
  <c r="L92" i="9"/>
  <c r="J100" i="9"/>
  <c r="J100" i="10" s="1"/>
  <c r="K21" i="11"/>
  <c r="W40" i="11"/>
  <c r="L94" i="9"/>
  <c r="L94" i="10" s="1"/>
  <c r="L254" i="12" s="1"/>
  <c r="L94" i="16" s="1"/>
  <c r="S72" i="9"/>
  <c r="S72" i="10" s="1"/>
  <c r="S232" i="12" s="1"/>
  <c r="S72" i="16" s="1"/>
  <c r="S72" i="17" s="1"/>
  <c r="S36" i="9"/>
  <c r="S36" i="10" s="1"/>
  <c r="S196" i="12" s="1"/>
  <c r="S36" i="16" s="1"/>
  <c r="S36" i="17" s="1"/>
  <c r="H30" i="6"/>
  <c r="K30" i="6"/>
  <c r="M136" i="6"/>
  <c r="L136" i="9" s="1"/>
  <c r="L136" i="10" s="1"/>
  <c r="L136" i="11" s="1"/>
  <c r="L135" i="9"/>
  <c r="L135" i="10" s="1"/>
  <c r="L135" i="11" s="1"/>
  <c r="I30" i="6"/>
  <c r="G30" i="6"/>
  <c r="J136" i="6"/>
  <c r="N30" i="6"/>
  <c r="H94" i="9"/>
  <c r="H94" i="10" s="1"/>
  <c r="H254" i="12" s="1"/>
  <c r="H94" i="16" s="1"/>
  <c r="L6" i="11"/>
  <c r="Q21" i="11"/>
  <c r="J28" i="11"/>
  <c r="H38" i="16"/>
  <c r="H198" i="17" s="1"/>
  <c r="Y51" i="11"/>
  <c r="J86" i="9"/>
  <c r="J86" i="10" s="1"/>
  <c r="J86" i="11" s="1"/>
  <c r="T102" i="9"/>
  <c r="M72" i="9"/>
  <c r="M72" i="10" s="1"/>
  <c r="M36" i="9"/>
  <c r="H136" i="6"/>
  <c r="G136" i="9" s="1"/>
  <c r="G136" i="10" s="1"/>
  <c r="K136" i="6"/>
  <c r="J136" i="9" s="1"/>
  <c r="J136" i="10" s="1"/>
  <c r="J136" i="11" s="1"/>
  <c r="F30" i="6"/>
  <c r="D30" i="9" s="1"/>
  <c r="J135" i="9"/>
  <c r="J135" i="10" s="1"/>
  <c r="R135" i="9"/>
  <c r="R135" i="10" s="1"/>
  <c r="R135" i="11" s="1"/>
  <c r="T135" i="9"/>
  <c r="T135" i="10" s="1"/>
  <c r="T135" i="11" s="1"/>
  <c r="K132" i="9"/>
  <c r="K132" i="10" s="1"/>
  <c r="S46" i="10"/>
  <c r="S206" i="12" s="1"/>
  <c r="S46" i="16" s="1"/>
  <c r="S206" i="17" s="1"/>
  <c r="L28" i="11"/>
  <c r="U37" i="9"/>
  <c r="L37" i="9"/>
  <c r="L37" i="10" s="1"/>
  <c r="L37" i="11" s="1"/>
  <c r="W128" i="16"/>
  <c r="W288" i="17" s="1"/>
  <c r="H118" i="6"/>
  <c r="U96" i="9"/>
  <c r="U96" i="10" s="1"/>
  <c r="U256" i="12" s="1"/>
  <c r="U96" i="16" s="1"/>
  <c r="U256" i="17" s="1"/>
  <c r="S96" i="9"/>
  <c r="S96" i="10" s="1"/>
  <c r="S256" i="12" s="1"/>
  <c r="S256" i="13" s="1"/>
  <c r="N28" i="11"/>
  <c r="W37" i="9"/>
  <c r="W37" i="10" s="1"/>
  <c r="W37" i="11" s="1"/>
  <c r="P37" i="9"/>
  <c r="H37" i="37" s="1"/>
  <c r="N118" i="6"/>
  <c r="I96" i="9"/>
  <c r="I96" i="10" s="1"/>
  <c r="W96" i="9"/>
  <c r="K97" i="6"/>
  <c r="J117" i="9"/>
  <c r="J117" i="10" s="1"/>
  <c r="J117" i="11" s="1"/>
  <c r="G97" i="6"/>
  <c r="N97" i="6"/>
  <c r="L97" i="6"/>
  <c r="G13" i="6"/>
  <c r="AI13" i="6" s="1"/>
  <c r="K36" i="11"/>
  <c r="O40" i="11"/>
  <c r="Y46" i="11"/>
  <c r="J118" i="6"/>
  <c r="R96" i="9"/>
  <c r="R96" i="10" s="1"/>
  <c r="R96" i="11" s="1"/>
  <c r="X96" i="9"/>
  <c r="X96" i="10" s="1"/>
  <c r="X96" i="11" s="1"/>
  <c r="V96" i="9"/>
  <c r="V96" i="10" s="1"/>
  <c r="V96" i="11" s="1"/>
  <c r="I37" i="9"/>
  <c r="I37" i="10" s="1"/>
  <c r="F97" i="6"/>
  <c r="E97" i="9" s="1"/>
  <c r="D97" i="9" s="1"/>
  <c r="J97" i="6"/>
  <c r="I97" i="6"/>
  <c r="M118" i="6"/>
  <c r="M13" i="6"/>
  <c r="S40" i="11"/>
  <c r="H64" i="16"/>
  <c r="H224" i="17" s="1"/>
  <c r="O143" i="11"/>
  <c r="F118" i="6"/>
  <c r="E118" i="9" s="1"/>
  <c r="D118" i="9" s="1"/>
  <c r="F118" i="9" s="1"/>
  <c r="Q96" i="9"/>
  <c r="Q96" i="10" s="1"/>
  <c r="Q256" i="12" s="1"/>
  <c r="Q96" i="16" s="1"/>
  <c r="Q256" i="17" s="1"/>
  <c r="H97" i="6"/>
  <c r="N91" i="6"/>
  <c r="N13" i="6"/>
  <c r="F134" i="9"/>
  <c r="L118" i="6"/>
  <c r="I118" i="6"/>
  <c r="P96" i="9"/>
  <c r="H96" i="37" s="1"/>
  <c r="V37" i="9"/>
  <c r="F104" i="9"/>
  <c r="X88" i="9"/>
  <c r="X88" i="10" s="1"/>
  <c r="N6" i="11"/>
  <c r="W75" i="9"/>
  <c r="W75" i="10" s="1"/>
  <c r="W75" i="11" s="1"/>
  <c r="I134" i="9"/>
  <c r="I134" i="10" s="1"/>
  <c r="E51" i="20"/>
  <c r="G60" i="9"/>
  <c r="G60" i="10" s="1"/>
  <c r="K59" i="9"/>
  <c r="K59" i="10" s="1"/>
  <c r="K59" i="11" s="1"/>
  <c r="J60" i="9"/>
  <c r="J60" i="10" s="1"/>
  <c r="J220" i="12" s="1"/>
  <c r="J220" i="13" s="1"/>
  <c r="M59" i="9"/>
  <c r="M59" i="10" s="1"/>
  <c r="M59" i="11" s="1"/>
  <c r="I155" i="9"/>
  <c r="I155" i="10" s="1"/>
  <c r="I155" i="11" s="1"/>
  <c r="Q128" i="16"/>
  <c r="Q288" i="17" s="1"/>
  <c r="K134" i="9"/>
  <c r="K134" i="10" s="1"/>
  <c r="K134" i="11" s="1"/>
  <c r="H155" i="9"/>
  <c r="K158" i="9"/>
  <c r="K158" i="10" s="1"/>
  <c r="K158" i="11" s="1"/>
  <c r="L60" i="9"/>
  <c r="L60" i="10" s="1"/>
  <c r="L220" i="12" s="1"/>
  <c r="L60" i="16" s="1"/>
  <c r="L220" i="17" s="1"/>
  <c r="J134" i="9"/>
  <c r="H134" i="9"/>
  <c r="H134" i="10" s="1"/>
  <c r="H294" i="12" s="1"/>
  <c r="H134" i="16" s="1"/>
  <c r="H294" i="17" s="1"/>
  <c r="M97" i="6"/>
  <c r="O84" i="9"/>
  <c r="O84" i="10" s="1"/>
  <c r="O84" i="11" s="1"/>
  <c r="O88" i="11"/>
  <c r="J155" i="9"/>
  <c r="J155" i="10" s="1"/>
  <c r="J155" i="11" s="1"/>
  <c r="Z88" i="9"/>
  <c r="Z37" i="9"/>
  <c r="I37" i="37" s="1"/>
  <c r="K55" i="9"/>
  <c r="K55" i="10" s="1"/>
  <c r="K55" i="11" s="1"/>
  <c r="L86" i="9"/>
  <c r="L86" i="10" s="1"/>
  <c r="L86" i="11" s="1"/>
  <c r="L150" i="6"/>
  <c r="H131" i="6"/>
  <c r="I131" i="6"/>
  <c r="H131" i="9" s="1"/>
  <c r="H131" i="10" s="1"/>
  <c r="H131" i="11" s="1"/>
  <c r="Z112" i="9"/>
  <c r="I75" i="9"/>
  <c r="I75" i="10" s="1"/>
  <c r="I75" i="11" s="1"/>
  <c r="X24" i="11"/>
  <c r="W58" i="9"/>
  <c r="W58" i="10" s="1"/>
  <c r="W58" i="11" s="1"/>
  <c r="Z75" i="9"/>
  <c r="I88" i="9"/>
  <c r="I88" i="10" s="1"/>
  <c r="N59" i="9"/>
  <c r="N59" i="10" s="1"/>
  <c r="N37" i="9"/>
  <c r="N37" i="10" s="1"/>
  <c r="N37" i="11" s="1"/>
  <c r="F28" i="9"/>
  <c r="I65" i="6"/>
  <c r="H60" i="9"/>
  <c r="M131" i="6"/>
  <c r="L131" i="9" s="1"/>
  <c r="L131" i="10" s="1"/>
  <c r="L131" i="11" s="1"/>
  <c r="L131" i="6"/>
  <c r="O25" i="11"/>
  <c r="K46" i="11"/>
  <c r="J128" i="11"/>
  <c r="K131" i="6"/>
  <c r="N131" i="6"/>
  <c r="I60" i="9"/>
  <c r="I60" i="10" s="1"/>
  <c r="I60" i="11" s="1"/>
  <c r="L134" i="9"/>
  <c r="F42" i="9"/>
  <c r="G135" i="9"/>
  <c r="G135" i="10" s="1"/>
  <c r="L155" i="9"/>
  <c r="L155" i="10" s="1"/>
  <c r="L155" i="11" s="1"/>
  <c r="K37" i="9"/>
  <c r="K37" i="10" s="1"/>
  <c r="K37" i="11" s="1"/>
  <c r="H16" i="9"/>
  <c r="H16" i="10" s="1"/>
  <c r="H16" i="11" s="1"/>
  <c r="V28" i="10"/>
  <c r="V188" i="12" s="1"/>
  <c r="V28" i="16" s="1"/>
  <c r="K145" i="10"/>
  <c r="K305" i="12" s="1"/>
  <c r="K145" i="16" s="1"/>
  <c r="K305" i="17" s="1"/>
  <c r="G140" i="9"/>
  <c r="G140" i="10" s="1"/>
  <c r="R28" i="11"/>
  <c r="Y58" i="9"/>
  <c r="Y58" i="10" s="1"/>
  <c r="Y58" i="11" s="1"/>
  <c r="O59" i="9"/>
  <c r="O59" i="10" s="1"/>
  <c r="O59" i="11" s="1"/>
  <c r="L58" i="9"/>
  <c r="L58" i="10" s="1"/>
  <c r="M75" i="9"/>
  <c r="M75" i="10" s="1"/>
  <c r="G92" i="9"/>
  <c r="I128" i="11"/>
  <c r="G79" i="6"/>
  <c r="AI79" i="6" s="1"/>
  <c r="R88" i="9"/>
  <c r="R88" i="10" s="1"/>
  <c r="M112" i="9"/>
  <c r="M112" i="10" s="1"/>
  <c r="M112" i="11" s="1"/>
  <c r="O112" i="9"/>
  <c r="O112" i="10" s="1"/>
  <c r="O112" i="11" s="1"/>
  <c r="S112" i="9"/>
  <c r="S112" i="10" s="1"/>
  <c r="S112" i="11" s="1"/>
  <c r="K124" i="6"/>
  <c r="K12" i="6"/>
  <c r="K106" i="9"/>
  <c r="K106" i="10" s="1"/>
  <c r="K106" i="11" s="1"/>
  <c r="Z59" i="9"/>
  <c r="L16" i="9"/>
  <c r="L16" i="10" s="1"/>
  <c r="L16" i="11" s="1"/>
  <c r="H70" i="6"/>
  <c r="X58" i="9"/>
  <c r="X58" i="10" s="1"/>
  <c r="W140" i="9"/>
  <c r="W140" i="10" s="1"/>
  <c r="W300" i="12" s="1"/>
  <c r="W140" i="16" s="1"/>
  <c r="V140" i="9"/>
  <c r="V140" i="10" s="1"/>
  <c r="V140" i="11" s="1"/>
  <c r="G77" i="9"/>
  <c r="Y40" i="11"/>
  <c r="O75" i="9"/>
  <c r="O75" i="10" s="1"/>
  <c r="I92" i="9"/>
  <c r="I92" i="10" s="1"/>
  <c r="I92" i="11" s="1"/>
  <c r="R59" i="9"/>
  <c r="O38" i="11"/>
  <c r="U88" i="9"/>
  <c r="U88" i="10" s="1"/>
  <c r="U248" i="12" s="1"/>
  <c r="U248" i="13" s="1"/>
  <c r="N112" i="9"/>
  <c r="Q112" i="9"/>
  <c r="Q112" i="10" s="1"/>
  <c r="Q112" i="11" s="1"/>
  <c r="N58" i="9"/>
  <c r="N58" i="10" s="1"/>
  <c r="P132" i="9"/>
  <c r="T96" i="9"/>
  <c r="T96" i="10" s="1"/>
  <c r="T96" i="11" s="1"/>
  <c r="I58" i="9"/>
  <c r="I58" i="10" s="1"/>
  <c r="I58" i="11" s="1"/>
  <c r="I12" i="6"/>
  <c r="J12" i="6"/>
  <c r="J13" i="6"/>
  <c r="I107" i="6"/>
  <c r="G90" i="9"/>
  <c r="G90" i="10" s="1"/>
  <c r="J98" i="9"/>
  <c r="J98" i="10" s="1"/>
  <c r="J98" i="11" s="1"/>
  <c r="H48" i="6"/>
  <c r="H77" i="9"/>
  <c r="H77" i="10" s="1"/>
  <c r="U140" i="9"/>
  <c r="U140" i="10" s="1"/>
  <c r="U300" i="12" s="1"/>
  <c r="U140" i="16" s="1"/>
  <c r="T140" i="9"/>
  <c r="T140" i="10" s="1"/>
  <c r="T140" i="11" s="1"/>
  <c r="W21" i="11"/>
  <c r="R24" i="11"/>
  <c r="K58" i="9"/>
  <c r="K58" i="10" s="1"/>
  <c r="K58" i="11" s="1"/>
  <c r="Q75" i="9"/>
  <c r="Q75" i="10" s="1"/>
  <c r="Q75" i="11" s="1"/>
  <c r="K92" i="9"/>
  <c r="K92" i="10" s="1"/>
  <c r="K92" i="11" s="1"/>
  <c r="Q59" i="9"/>
  <c r="H88" i="9"/>
  <c r="Q88" i="9"/>
  <c r="W112" i="9"/>
  <c r="W112" i="10" s="1"/>
  <c r="W112" i="11" s="1"/>
  <c r="P112" i="9"/>
  <c r="H112" i="37" s="1"/>
  <c r="H7" i="6"/>
  <c r="H112" i="9"/>
  <c r="H112" i="10" s="1"/>
  <c r="H272" i="12" s="1"/>
  <c r="H112" i="16" s="1"/>
  <c r="H272" i="17" s="1"/>
  <c r="M88" i="9"/>
  <c r="M88" i="10" s="1"/>
  <c r="M248" i="12" s="1"/>
  <c r="M248" i="13" s="1"/>
  <c r="H12" i="6"/>
  <c r="M12" i="6"/>
  <c r="N12" i="6"/>
  <c r="K48" i="6"/>
  <c r="S77" i="9"/>
  <c r="S77" i="10" s="1"/>
  <c r="I77" i="9"/>
  <c r="I77" i="10" s="1"/>
  <c r="I77" i="11" s="1"/>
  <c r="N140" i="9"/>
  <c r="N140" i="10" s="1"/>
  <c r="Y21" i="11"/>
  <c r="R24" i="16"/>
  <c r="R184" i="17" s="1"/>
  <c r="M58" i="9"/>
  <c r="M58" i="10" s="1"/>
  <c r="M58" i="11" s="1"/>
  <c r="S75" i="9"/>
  <c r="S75" i="10" s="1"/>
  <c r="S75" i="11" s="1"/>
  <c r="G78" i="11"/>
  <c r="J92" i="9"/>
  <c r="J92" i="10" s="1"/>
  <c r="J92" i="11" s="1"/>
  <c r="N143" i="11"/>
  <c r="S88" i="9"/>
  <c r="Y71" i="11"/>
  <c r="I112" i="9"/>
  <c r="I112" i="10" s="1"/>
  <c r="I112" i="11" s="1"/>
  <c r="G112" i="9"/>
  <c r="G112" i="10" s="1"/>
  <c r="R72" i="9"/>
  <c r="R72" i="10" s="1"/>
  <c r="R72" i="11" s="1"/>
  <c r="I59" i="9"/>
  <c r="J112" i="9"/>
  <c r="J112" i="10" s="1"/>
  <c r="J272" i="12" s="1"/>
  <c r="J112" i="16" s="1"/>
  <c r="L87" i="9"/>
  <c r="L87" i="10" s="1"/>
  <c r="L87" i="11" s="1"/>
  <c r="L12" i="6"/>
  <c r="G12" i="6"/>
  <c r="AI12" i="6" s="1"/>
  <c r="F92" i="9"/>
  <c r="M70" i="6"/>
  <c r="L67" i="6"/>
  <c r="E135" i="20"/>
  <c r="X135" i="9"/>
  <c r="F48" i="6"/>
  <c r="E48" i="9" s="1"/>
  <c r="D48" i="9" s="1"/>
  <c r="X112" i="9"/>
  <c r="L140" i="9"/>
  <c r="L140" i="10" s="1"/>
  <c r="L140" i="11" s="1"/>
  <c r="K140" i="9"/>
  <c r="K140" i="10" s="1"/>
  <c r="K300" i="12" s="1"/>
  <c r="K140" i="16" s="1"/>
  <c r="R6" i="11"/>
  <c r="P196" i="12"/>
  <c r="P36" i="16" s="1"/>
  <c r="P196" i="17" s="1"/>
  <c r="T40" i="11"/>
  <c r="I87" i="9"/>
  <c r="I87" i="10" s="1"/>
  <c r="V112" i="11"/>
  <c r="S128" i="11"/>
  <c r="K143" i="11"/>
  <c r="I79" i="6"/>
  <c r="S140" i="9"/>
  <c r="S140" i="10" s="1"/>
  <c r="S300" i="12" s="1"/>
  <c r="S300" i="13" s="1"/>
  <c r="M7" i="6"/>
  <c r="U112" i="9"/>
  <c r="U112" i="10" s="1"/>
  <c r="U112" i="11" s="1"/>
  <c r="Y88" i="9"/>
  <c r="Y112" i="9"/>
  <c r="Y112" i="10" s="1"/>
  <c r="Y272" i="12" s="1"/>
  <c r="Y272" i="13" s="1"/>
  <c r="F12" i="6"/>
  <c r="E12" i="9" s="1"/>
  <c r="D12" i="9" s="1"/>
  <c r="H67" i="6"/>
  <c r="F90" i="9"/>
  <c r="P28" i="10"/>
  <c r="U128" i="10"/>
  <c r="K62" i="10"/>
  <c r="K222" i="12" s="1"/>
  <c r="K62" i="16" s="1"/>
  <c r="K222" i="17" s="1"/>
  <c r="O46" i="10"/>
  <c r="J134" i="10"/>
  <c r="J294" i="12" s="1"/>
  <c r="J134" i="16" s="1"/>
  <c r="J294" i="17" s="1"/>
  <c r="J11" i="11"/>
  <c r="H28" i="11"/>
  <c r="V38" i="11"/>
  <c r="G128" i="11"/>
  <c r="U132" i="9"/>
  <c r="H148" i="11"/>
  <c r="L132" i="9"/>
  <c r="L132" i="10" s="1"/>
  <c r="L132" i="11" s="1"/>
  <c r="E144" i="20"/>
  <c r="E104" i="20"/>
  <c r="K16" i="9"/>
  <c r="K16" i="10" s="1"/>
  <c r="K16" i="11" s="1"/>
  <c r="J57" i="9"/>
  <c r="J57" i="10" s="1"/>
  <c r="J57" i="11" s="1"/>
  <c r="E78" i="20"/>
  <c r="I67" i="6"/>
  <c r="F107" i="6"/>
  <c r="E107" i="9" s="1"/>
  <c r="D107" i="9" s="1"/>
  <c r="H80" i="6"/>
  <c r="H29" i="16"/>
  <c r="H29" i="17" s="1"/>
  <c r="S6" i="11"/>
  <c r="I25" i="11"/>
  <c r="G27" i="11"/>
  <c r="H29" i="11"/>
  <c r="Y132" i="9"/>
  <c r="Y132" i="10" s="1"/>
  <c r="Y132" i="11" s="1"/>
  <c r="E28" i="20"/>
  <c r="R132" i="9"/>
  <c r="M132" i="9"/>
  <c r="M132" i="10" s="1"/>
  <c r="M132" i="11" s="1"/>
  <c r="F31" i="6"/>
  <c r="E31" i="9" s="1"/>
  <c r="D31" i="9" s="1"/>
  <c r="F5" i="6"/>
  <c r="E5" i="9" s="1"/>
  <c r="D5" i="9" s="1"/>
  <c r="M5" i="9" s="1"/>
  <c r="K107" i="6"/>
  <c r="G80" i="6"/>
  <c r="AI80" i="6" s="1"/>
  <c r="S25" i="11"/>
  <c r="M40" i="11"/>
  <c r="Q46" i="11"/>
  <c r="O132" i="9"/>
  <c r="O132" i="10" s="1"/>
  <c r="E46" i="20"/>
  <c r="I136" i="9"/>
  <c r="I136" i="10" s="1"/>
  <c r="I136" i="11" s="1"/>
  <c r="H100" i="9"/>
  <c r="H100" i="10" s="1"/>
  <c r="J20" i="9"/>
  <c r="J20" i="10" s="1"/>
  <c r="J20" i="11" s="1"/>
  <c r="F135" i="9"/>
  <c r="F67" i="6"/>
  <c r="E67" i="9" s="1"/>
  <c r="D67" i="9" s="1"/>
  <c r="K67" i="6"/>
  <c r="D64" i="16"/>
  <c r="F64" i="20" s="1"/>
  <c r="L128" i="11"/>
  <c r="Q132" i="9"/>
  <c r="Q132" i="10" s="1"/>
  <c r="Q132" i="11" s="1"/>
  <c r="R143" i="11"/>
  <c r="H132" i="9"/>
  <c r="H132" i="10" s="1"/>
  <c r="H132" i="11" s="1"/>
  <c r="O61" i="9"/>
  <c r="O61" i="10" s="1"/>
  <c r="O61" i="11" s="1"/>
  <c r="G36" i="9"/>
  <c r="G36" i="10" s="1"/>
  <c r="G53" i="6"/>
  <c r="AI53" i="6" s="1"/>
  <c r="I80" i="6"/>
  <c r="G131" i="6"/>
  <c r="AI131" i="6" s="1"/>
  <c r="P24" i="16"/>
  <c r="S132" i="9"/>
  <c r="S132" i="10" s="1"/>
  <c r="S132" i="11" s="1"/>
  <c r="I16" i="9"/>
  <c r="I16" i="10" s="1"/>
  <c r="I176" i="12" s="1"/>
  <c r="F155" i="9"/>
  <c r="M91" i="6"/>
  <c r="J8" i="9"/>
  <c r="J8" i="10" s="1"/>
  <c r="J8" i="11" s="1"/>
  <c r="G16" i="9"/>
  <c r="G16" i="10" s="1"/>
  <c r="J90" i="9"/>
  <c r="J90" i="10" s="1"/>
  <c r="J90" i="11" s="1"/>
  <c r="U77" i="9"/>
  <c r="U77" i="10" s="1"/>
  <c r="U77" i="11" s="1"/>
  <c r="R140" i="9"/>
  <c r="G151" i="9"/>
  <c r="G151" i="10" s="1"/>
  <c r="P151" i="9"/>
  <c r="M102" i="9"/>
  <c r="M102" i="10" s="1"/>
  <c r="M102" i="11" s="1"/>
  <c r="W77" i="9"/>
  <c r="W77" i="10" s="1"/>
  <c r="W77" i="11" s="1"/>
  <c r="V151" i="9"/>
  <c r="I46" i="10"/>
  <c r="I206" i="12" s="1"/>
  <c r="I46" i="16" s="1"/>
  <c r="I206" i="17" s="1"/>
  <c r="Y54" i="22"/>
  <c r="V54" i="22"/>
  <c r="S54" i="22"/>
  <c r="U54" i="22"/>
  <c r="R54" i="22"/>
  <c r="O54" i="22"/>
  <c r="P54" i="22"/>
  <c r="M54" i="22"/>
  <c r="L54" i="22"/>
  <c r="I54" i="22"/>
  <c r="W54" i="22"/>
  <c r="Q54" i="22"/>
  <c r="N54" i="22"/>
  <c r="G54" i="22"/>
  <c r="AI54" i="22" s="1"/>
  <c r="V111" i="22"/>
  <c r="Y111" i="22"/>
  <c r="P111" i="22"/>
  <c r="T111" i="22"/>
  <c r="V100" i="9"/>
  <c r="V100" i="10" s="1"/>
  <c r="O128" i="11"/>
  <c r="L90" i="9"/>
  <c r="J7" i="6"/>
  <c r="N7" i="6"/>
  <c r="L7" i="6"/>
  <c r="K7" i="6"/>
  <c r="F7" i="6"/>
  <c r="E7" i="9" s="1"/>
  <c r="D7" i="9" s="1"/>
  <c r="S34" i="22"/>
  <c r="N34" i="22"/>
  <c r="M34" i="22"/>
  <c r="K34" i="22"/>
  <c r="J34" i="22"/>
  <c r="P34" i="22"/>
  <c r="X34" i="22"/>
  <c r="I34" i="22"/>
  <c r="H34" i="22"/>
  <c r="Y34" i="22"/>
  <c r="V34" i="22"/>
  <c r="R34" i="22"/>
  <c r="O34" i="22"/>
  <c r="L34" i="22"/>
  <c r="F34" i="22"/>
  <c r="W34" i="22"/>
  <c r="U34" i="22"/>
  <c r="T34" i="22"/>
  <c r="Q34" i="22"/>
  <c r="G34" i="22"/>
  <c r="AI34" i="22" s="1"/>
  <c r="F77" i="22"/>
  <c r="L77" i="22"/>
  <c r="X77" i="22"/>
  <c r="S77" i="22"/>
  <c r="K77" i="22"/>
  <c r="W77" i="22"/>
  <c r="U77" i="22"/>
  <c r="P77" i="22"/>
  <c r="J77" i="22"/>
  <c r="I77" i="22"/>
  <c r="Q77" i="22"/>
  <c r="O77" i="22"/>
  <c r="H77" i="22"/>
  <c r="V102" i="9"/>
  <c r="V102" i="10" s="1"/>
  <c r="V102" i="11" s="1"/>
  <c r="I102" i="9"/>
  <c r="I102" i="10" s="1"/>
  <c r="I102" i="11" s="1"/>
  <c r="Y25" i="11"/>
  <c r="H128" i="11"/>
  <c r="M64" i="11"/>
  <c r="R78" i="9"/>
  <c r="R78" i="10" s="1"/>
  <c r="P102" i="9"/>
  <c r="Q102" i="9"/>
  <c r="Q102" i="10" s="1"/>
  <c r="I21" i="11"/>
  <c r="L64" i="16"/>
  <c r="L224" i="17" s="1"/>
  <c r="W78" i="11"/>
  <c r="H116" i="11"/>
  <c r="V143" i="11"/>
  <c r="O128" i="16"/>
  <c r="O288" i="17" s="1"/>
  <c r="W143" i="11"/>
  <c r="H90" i="9"/>
  <c r="H90" i="10" s="1"/>
  <c r="G70" i="22"/>
  <c r="AI70" i="22" s="1"/>
  <c r="S165" i="22"/>
  <c r="F156" i="6"/>
  <c r="E156" i="9" s="1"/>
  <c r="D156" i="9" s="1"/>
  <c r="N156" i="6"/>
  <c r="G156" i="6"/>
  <c r="Q27" i="11"/>
  <c r="K101" i="11"/>
  <c r="G145" i="11"/>
  <c r="K128" i="11"/>
  <c r="U7" i="22"/>
  <c r="H65" i="6"/>
  <c r="N65" i="6"/>
  <c r="M65" i="6"/>
  <c r="J65" i="6"/>
  <c r="K65" i="6"/>
  <c r="G65" i="6"/>
  <c r="AI65" i="6" s="1"/>
  <c r="F65" i="6"/>
  <c r="E65" i="9" s="1"/>
  <c r="D65" i="9" s="1"/>
  <c r="Q77" i="9"/>
  <c r="Q77" i="10" s="1"/>
  <c r="Q77" i="11" s="1"/>
  <c r="G102" i="9"/>
  <c r="G102" i="10" s="1"/>
  <c r="P77" i="9"/>
  <c r="H6" i="11"/>
  <c r="K27" i="11"/>
  <c r="N102" i="9"/>
  <c r="N102" i="10" s="1"/>
  <c r="N102" i="11" s="1"/>
  <c r="K14" i="11"/>
  <c r="Q64" i="11"/>
  <c r="E128" i="20"/>
  <c r="K90" i="9"/>
  <c r="K90" i="10" s="1"/>
  <c r="K90" i="11" s="1"/>
  <c r="U102" i="9"/>
  <c r="U102" i="10" s="1"/>
  <c r="U102" i="11" s="1"/>
  <c r="X54" i="22"/>
  <c r="L8" i="9"/>
  <c r="L8" i="10" s="1"/>
  <c r="L8" i="11" s="1"/>
  <c r="F8" i="9"/>
  <c r="I8" i="9"/>
  <c r="I8" i="10" s="1"/>
  <c r="I168" i="12" s="1"/>
  <c r="W102" i="9"/>
  <c r="W102" i="10" s="1"/>
  <c r="W102" i="11" s="1"/>
  <c r="X38" i="11"/>
  <c r="G137" i="6"/>
  <c r="T6" i="11"/>
  <c r="M100" i="9"/>
  <c r="M100" i="10" s="1"/>
  <c r="M100" i="11" s="1"/>
  <c r="O102" i="9"/>
  <c r="O102" i="10" s="1"/>
  <c r="O102" i="11" s="1"/>
  <c r="V77" i="9"/>
  <c r="V77" i="10" s="1"/>
  <c r="L102" i="9"/>
  <c r="L102" i="10" s="1"/>
  <c r="L102" i="11" s="1"/>
  <c r="O77" i="9"/>
  <c r="O77" i="10" s="1"/>
  <c r="O77" i="11" s="1"/>
  <c r="V24" i="11"/>
  <c r="M27" i="11"/>
  <c r="G62" i="11"/>
  <c r="M78" i="11"/>
  <c r="L116" i="11"/>
  <c r="Q128" i="11"/>
  <c r="L148" i="11"/>
  <c r="O140" i="9"/>
  <c r="O140" i="10" s="1"/>
  <c r="O300" i="12" s="1"/>
  <c r="O140" i="16" s="1"/>
  <c r="G111" i="22"/>
  <c r="AI111" i="22" s="1"/>
  <c r="G7" i="6"/>
  <c r="G44" i="22"/>
  <c r="AI44" i="22" s="1"/>
  <c r="K54" i="22"/>
  <c r="L5" i="6"/>
  <c r="M5" i="6"/>
  <c r="G5" i="6"/>
  <c r="AI5" i="6" s="1"/>
  <c r="K5" i="6"/>
  <c r="H5" i="6"/>
  <c r="J5" i="6"/>
  <c r="K94" i="9"/>
  <c r="T88" i="9"/>
  <c r="M88" i="22"/>
  <c r="M85" i="6" s="1"/>
  <c r="J91" i="6"/>
  <c r="K8" i="9"/>
  <c r="K8" i="10" s="1"/>
  <c r="K8" i="11" s="1"/>
  <c r="O39" i="22"/>
  <c r="U84" i="22"/>
  <c r="Q163" i="22"/>
  <c r="Q153" i="6" s="1"/>
  <c r="F153" i="37" s="1"/>
  <c r="M107" i="6"/>
  <c r="W18" i="22"/>
  <c r="S124" i="22"/>
  <c r="L48" i="6"/>
  <c r="F53" i="6"/>
  <c r="E53" i="9" s="1"/>
  <c r="D53" i="9" s="1"/>
  <c r="J80" i="6"/>
  <c r="U124" i="22"/>
  <c r="O75" i="22"/>
  <c r="K75" i="22"/>
  <c r="J75" i="22"/>
  <c r="X75" i="22"/>
  <c r="I75" i="22"/>
  <c r="H75" i="22"/>
  <c r="M75" i="22"/>
  <c r="L75" i="22"/>
  <c r="F75" i="22"/>
  <c r="N75" i="22"/>
  <c r="W75" i="22"/>
  <c r="T147" i="22"/>
  <c r="J131" i="6"/>
  <c r="N107" i="6"/>
  <c r="Q8" i="22"/>
  <c r="N8" i="22"/>
  <c r="I8" i="22"/>
  <c r="V8" i="22"/>
  <c r="L8" i="22"/>
  <c r="H8" i="22"/>
  <c r="F8" i="22"/>
  <c r="K8" i="22"/>
  <c r="J8" i="22"/>
  <c r="M8" i="22"/>
  <c r="U18" i="22"/>
  <c r="L18" i="22"/>
  <c r="H18" i="22"/>
  <c r="F18" i="22"/>
  <c r="O18" i="22"/>
  <c r="K18" i="22"/>
  <c r="M18" i="22"/>
  <c r="J18" i="22"/>
  <c r="I18" i="22"/>
  <c r="N18" i="22"/>
  <c r="P18" i="22"/>
  <c r="M48" i="6"/>
  <c r="N53" i="6"/>
  <c r="I53" i="6"/>
  <c r="N80" i="6"/>
  <c r="K124" i="22"/>
  <c r="J124" i="22"/>
  <c r="N124" i="22"/>
  <c r="L124" i="22"/>
  <c r="I124" i="22"/>
  <c r="M124" i="22"/>
  <c r="H124" i="22"/>
  <c r="F124" i="22"/>
  <c r="V85" i="22"/>
  <c r="U85" i="22"/>
  <c r="Q85" i="22"/>
  <c r="I85" i="22"/>
  <c r="O85" i="22"/>
  <c r="N85" i="22"/>
  <c r="M85" i="22"/>
  <c r="H85" i="22"/>
  <c r="F85" i="22"/>
  <c r="T85" i="22"/>
  <c r="L85" i="22"/>
  <c r="P85" i="22"/>
  <c r="J85" i="22"/>
  <c r="K85" i="22"/>
  <c r="R85" i="22"/>
  <c r="Q147" i="22"/>
  <c r="O147" i="22"/>
  <c r="L147" i="22"/>
  <c r="H147" i="22"/>
  <c r="F147" i="22"/>
  <c r="K147" i="22"/>
  <c r="N147" i="22"/>
  <c r="J147" i="22"/>
  <c r="V147" i="22"/>
  <c r="I147" i="22"/>
  <c r="P147" i="22"/>
  <c r="M147" i="22"/>
  <c r="R37" i="9"/>
  <c r="G63" i="22"/>
  <c r="AI63" i="22" s="1"/>
  <c r="N125" i="6"/>
  <c r="I74" i="22"/>
  <c r="T74" i="22"/>
  <c r="H74" i="22"/>
  <c r="L74" i="22"/>
  <c r="F74" i="22"/>
  <c r="N74" i="22"/>
  <c r="Q74" i="22"/>
  <c r="J74" i="22"/>
  <c r="K74" i="22"/>
  <c r="J48" i="6"/>
  <c r="G48" i="6"/>
  <c r="M80" i="6"/>
  <c r="J110" i="9"/>
  <c r="J110" i="10" s="1"/>
  <c r="J110" i="11" s="1"/>
  <c r="Q84" i="9"/>
  <c r="Q84" i="10" s="1"/>
  <c r="T151" i="9"/>
  <c r="T151" i="10" s="1"/>
  <c r="T151" i="11" s="1"/>
  <c r="Q151" i="9"/>
  <c r="L75" i="9"/>
  <c r="L75" i="10" s="1"/>
  <c r="L75" i="11" s="1"/>
  <c r="T88" i="22"/>
  <c r="T85" i="6" s="1"/>
  <c r="M124" i="6"/>
  <c r="W163" i="22"/>
  <c r="W153" i="6" s="1"/>
  <c r="G107" i="6"/>
  <c r="I90" i="9"/>
  <c r="I90" i="10" s="1"/>
  <c r="I250" i="12" s="1"/>
  <c r="I90" i="16" s="1"/>
  <c r="R113" i="22"/>
  <c r="S113" i="22"/>
  <c r="U113" i="22"/>
  <c r="Q113" i="22"/>
  <c r="P113" i="22"/>
  <c r="F113" i="22"/>
  <c r="X113" i="22"/>
  <c r="K113" i="22"/>
  <c r="L113" i="22"/>
  <c r="J113" i="22"/>
  <c r="T113" i="22"/>
  <c r="O113" i="22"/>
  <c r="N113" i="22"/>
  <c r="I113" i="22"/>
  <c r="W113" i="22"/>
  <c r="M113" i="22"/>
  <c r="H113" i="22"/>
  <c r="Y113" i="22"/>
  <c r="AI116" i="6"/>
  <c r="F116" i="9"/>
  <c r="S18" i="22"/>
  <c r="N48" i="6"/>
  <c r="I48" i="6"/>
  <c r="K53" i="6"/>
  <c r="J53" i="6"/>
  <c r="H53" i="6"/>
  <c r="K80" i="6"/>
  <c r="X85" i="22"/>
  <c r="S147" i="22"/>
  <c r="F101" i="9"/>
  <c r="N77" i="9"/>
  <c r="N77" i="10" s="1"/>
  <c r="N77" i="11" s="1"/>
  <c r="O128" i="22"/>
  <c r="W169" i="22"/>
  <c r="N132" i="9"/>
  <c r="N88" i="9"/>
  <c r="N88" i="10" s="1"/>
  <c r="N248" i="12" s="1"/>
  <c r="L112" i="9"/>
  <c r="N96" i="9"/>
  <c r="N96" i="10" s="1"/>
  <c r="N96" i="11" s="1"/>
  <c r="T37" i="9"/>
  <c r="G118" i="22"/>
  <c r="AI118" i="22" s="1"/>
  <c r="Y15" i="22"/>
  <c r="W84" i="22"/>
  <c r="L107" i="6"/>
  <c r="S123" i="22"/>
  <c r="T123" i="22"/>
  <c r="Q123" i="22"/>
  <c r="R123" i="22"/>
  <c r="Y123" i="22"/>
  <c r="O123" i="22"/>
  <c r="J123" i="22"/>
  <c r="N123" i="22"/>
  <c r="L123" i="22"/>
  <c r="I123" i="22"/>
  <c r="M123" i="22"/>
  <c r="P123" i="22"/>
  <c r="H123" i="22"/>
  <c r="F123" i="22"/>
  <c r="K123" i="22"/>
  <c r="V123" i="22"/>
  <c r="W74" i="22"/>
  <c r="O14" i="22"/>
  <c r="K14" i="22"/>
  <c r="X14" i="22"/>
  <c r="M14" i="22"/>
  <c r="J14" i="22"/>
  <c r="V14" i="22"/>
  <c r="R14" i="22"/>
  <c r="P14" i="22"/>
  <c r="N14" i="22"/>
  <c r="I14" i="22"/>
  <c r="W14" i="22"/>
  <c r="L14" i="22"/>
  <c r="H14" i="22"/>
  <c r="F14" i="22"/>
  <c r="T18" i="22"/>
  <c r="L53" i="6"/>
  <c r="F80" i="6"/>
  <c r="E80" i="9" s="1"/>
  <c r="D80" i="9" s="1"/>
  <c r="L80" i="6"/>
  <c r="Q124" i="22"/>
  <c r="N157" i="22"/>
  <c r="J157" i="22"/>
  <c r="I157" i="22"/>
  <c r="M157" i="22"/>
  <c r="G157" i="22"/>
  <c r="AI157" i="22" s="1"/>
  <c r="L157" i="22"/>
  <c r="H157" i="22"/>
  <c r="F157" i="22"/>
  <c r="K157" i="22"/>
  <c r="S85" i="22"/>
  <c r="W147" i="22"/>
  <c r="V130" i="22"/>
  <c r="F130" i="22"/>
  <c r="K130" i="22"/>
  <c r="J130" i="22"/>
  <c r="L130" i="22"/>
  <c r="I130" i="22"/>
  <c r="M130" i="22"/>
  <c r="P130" i="22"/>
  <c r="H130" i="22"/>
  <c r="Y5" i="22"/>
  <c r="H5" i="22"/>
  <c r="L5" i="22"/>
  <c r="P5" i="22"/>
  <c r="N5" i="22"/>
  <c r="Z40" i="10"/>
  <c r="L110" i="9"/>
  <c r="L110" i="10" s="1"/>
  <c r="L110" i="11" s="1"/>
  <c r="V110" i="9"/>
  <c r="V110" i="10" s="1"/>
  <c r="V110" i="11" s="1"/>
  <c r="K110" i="9"/>
  <c r="I110" i="9"/>
  <c r="I110" i="10" s="1"/>
  <c r="I110" i="11" s="1"/>
  <c r="P110" i="9"/>
  <c r="M128" i="10"/>
  <c r="M288" i="12" s="1"/>
  <c r="M128" i="13" s="1"/>
  <c r="U21" i="10"/>
  <c r="U181" i="12" s="1"/>
  <c r="U21" i="16" s="1"/>
  <c r="U181" i="17" s="1"/>
  <c r="G6" i="10"/>
  <c r="F95" i="6"/>
  <c r="E95" i="9" s="1"/>
  <c r="D95" i="9" s="1"/>
  <c r="M95" i="22"/>
  <c r="J95" i="22"/>
  <c r="L95" i="22"/>
  <c r="H95" i="22"/>
  <c r="K95" i="22"/>
  <c r="I95" i="22"/>
  <c r="V95" i="22"/>
  <c r="N95" i="22"/>
  <c r="F95" i="22"/>
  <c r="Y95" i="22"/>
  <c r="W95" i="22"/>
  <c r="X95" i="22"/>
  <c r="O95" i="22"/>
  <c r="G95" i="22"/>
  <c r="AI95" i="22" s="1"/>
  <c r="U95" i="22"/>
  <c r="T95" i="22"/>
  <c r="Q95" i="22"/>
  <c r="S95" i="22"/>
  <c r="P95" i="22"/>
  <c r="R95" i="22"/>
  <c r="I64" i="10"/>
  <c r="V51" i="10"/>
  <c r="V211" i="12" s="1"/>
  <c r="V51" i="16" s="1"/>
  <c r="V211" i="17" s="1"/>
  <c r="K88" i="10"/>
  <c r="K248" i="12" s="1"/>
  <c r="K248" i="13" s="1"/>
  <c r="W110" i="9"/>
  <c r="N11" i="9"/>
  <c r="E11" i="20"/>
  <c r="F122" i="6"/>
  <c r="E122" i="9" s="1"/>
  <c r="D122" i="9" s="1"/>
  <c r="K122" i="6"/>
  <c r="G122" i="6"/>
  <c r="J122" i="6"/>
  <c r="N122" i="6"/>
  <c r="I122" i="6"/>
  <c r="M122" i="6"/>
  <c r="H122" i="6"/>
  <c r="L122" i="6"/>
  <c r="W93" i="22"/>
  <c r="O93" i="22"/>
  <c r="R93" i="22"/>
  <c r="V93" i="22"/>
  <c r="L93" i="22"/>
  <c r="H93" i="22"/>
  <c r="S93" i="22"/>
  <c r="P93" i="22"/>
  <c r="K93" i="22"/>
  <c r="I93" i="22"/>
  <c r="X93" i="22"/>
  <c r="F93" i="22"/>
  <c r="T93" i="22"/>
  <c r="Q93" i="22"/>
  <c r="N93" i="22"/>
  <c r="Y93" i="22"/>
  <c r="U93" i="22"/>
  <c r="J93" i="22"/>
  <c r="M93" i="22"/>
  <c r="G93" i="22"/>
  <c r="AI93" i="22" s="1"/>
  <c r="R110" i="9"/>
  <c r="R110" i="10" s="1"/>
  <c r="R110" i="11" s="1"/>
  <c r="S110" i="9"/>
  <c r="S110" i="10" s="1"/>
  <c r="S110" i="11" s="1"/>
  <c r="O110" i="9"/>
  <c r="O110" i="10" s="1"/>
  <c r="O270" i="12" s="1"/>
  <c r="O110" i="16" s="1"/>
  <c r="O270" i="17" s="1"/>
  <c r="K152" i="9"/>
  <c r="K152" i="10" s="1"/>
  <c r="N110" i="9"/>
  <c r="N110" i="10" s="1"/>
  <c r="N110" i="11" s="1"/>
  <c r="T110" i="9"/>
  <c r="H110" i="9"/>
  <c r="H110" i="10" s="1"/>
  <c r="H110" i="11" s="1"/>
  <c r="Z17" i="10"/>
  <c r="Z17" i="11" s="1"/>
  <c r="O36" i="10"/>
  <c r="O196" i="12" s="1"/>
  <c r="O36" i="16" s="1"/>
  <c r="O196" i="17" s="1"/>
  <c r="G101" i="22"/>
  <c r="AI101" i="22" s="1"/>
  <c r="Z187" i="12"/>
  <c r="Z27" i="16" s="1"/>
  <c r="Z187" i="17" s="1"/>
  <c r="X128" i="22"/>
  <c r="Q65" i="22"/>
  <c r="M65" i="22"/>
  <c r="N65" i="22"/>
  <c r="Y65" i="22"/>
  <c r="R65" i="22"/>
  <c r="W65" i="22"/>
  <c r="S65" i="22"/>
  <c r="Q35" i="22"/>
  <c r="N35" i="22"/>
  <c r="L35" i="22"/>
  <c r="J35" i="22"/>
  <c r="H35" i="22"/>
  <c r="V35" i="22"/>
  <c r="M35" i="22"/>
  <c r="K35" i="22"/>
  <c r="F35" i="22"/>
  <c r="I35" i="22"/>
  <c r="W35" i="22"/>
  <c r="R35" i="22"/>
  <c r="T35" i="22"/>
  <c r="G35" i="22"/>
  <c r="AI35" i="22" s="1"/>
  <c r="Y35" i="22"/>
  <c r="O35" i="22"/>
  <c r="U35" i="22"/>
  <c r="X35" i="22"/>
  <c r="P35" i="22"/>
  <c r="S35" i="22"/>
  <c r="G69" i="22"/>
  <c r="AI69" i="22" s="1"/>
  <c r="Y69" i="22"/>
  <c r="S23" i="22"/>
  <c r="P23" i="22"/>
  <c r="J23" i="22"/>
  <c r="R23" i="22"/>
  <c r="K23" i="22"/>
  <c r="Y23" i="22"/>
  <c r="V23" i="22"/>
  <c r="I23" i="22"/>
  <c r="X23" i="22"/>
  <c r="W23" i="22"/>
  <c r="Q23" i="22"/>
  <c r="F23" i="22"/>
  <c r="T23" i="22"/>
  <c r="H23" i="22"/>
  <c r="M23" i="22"/>
  <c r="O23" i="22"/>
  <c r="L23" i="22"/>
  <c r="G23" i="22"/>
  <c r="AI23" i="22" s="1"/>
  <c r="U110" i="9"/>
  <c r="U110" i="10" s="1"/>
  <c r="U110" i="11" s="1"/>
  <c r="Q110" i="9"/>
  <c r="Q110" i="10" s="1"/>
  <c r="Q270" i="12" s="1"/>
  <c r="W100" i="9"/>
  <c r="W100" i="10" s="1"/>
  <c r="H158" i="9"/>
  <c r="H158" i="10" s="1"/>
  <c r="H158" i="11" s="1"/>
  <c r="I158" i="9"/>
  <c r="I158" i="10" s="1"/>
  <c r="I318" i="12" s="1"/>
  <c r="G121" i="22"/>
  <c r="AI121" i="22" s="1"/>
  <c r="F121" i="22"/>
  <c r="Y121" i="22"/>
  <c r="M121" i="22"/>
  <c r="J121" i="22"/>
  <c r="H121" i="22"/>
  <c r="V121" i="22"/>
  <c r="K121" i="22"/>
  <c r="L121" i="22"/>
  <c r="I121" i="22"/>
  <c r="N121" i="22"/>
  <c r="W121" i="22"/>
  <c r="S121" i="22"/>
  <c r="U121" i="22"/>
  <c r="Q121" i="22"/>
  <c r="X121" i="22"/>
  <c r="P121" i="22"/>
  <c r="R121" i="22"/>
  <c r="O121" i="22"/>
  <c r="AO445" i="1"/>
  <c r="C445" i="1" s="1"/>
  <c r="AO456" i="1"/>
  <c r="C456" i="1" s="1"/>
  <c r="AO449" i="1"/>
  <c r="C449" i="1" s="1"/>
  <c r="AE449" i="1"/>
  <c r="AO430" i="1"/>
  <c r="C430" i="1" s="1"/>
  <c r="X143" i="22"/>
  <c r="S143" i="22"/>
  <c r="U143" i="22"/>
  <c r="P143" i="22"/>
  <c r="W143" i="22"/>
  <c r="R143" i="22"/>
  <c r="T143" i="22"/>
  <c r="O143" i="22"/>
  <c r="Q143" i="22"/>
  <c r="Y143" i="22"/>
  <c r="Y13" i="22"/>
  <c r="J152" i="6"/>
  <c r="I152" i="9" s="1"/>
  <c r="G152" i="6"/>
  <c r="N152" i="6"/>
  <c r="M152" i="9" s="1"/>
  <c r="M152" i="10" s="1"/>
  <c r="M152" i="11" s="1"/>
  <c r="K152" i="6"/>
  <c r="J152" i="9" s="1"/>
  <c r="H152" i="6"/>
  <c r="G152" i="9" s="1"/>
  <c r="M152" i="6"/>
  <c r="L152" i="9" s="1"/>
  <c r="I152" i="6"/>
  <c r="H152" i="9" s="1"/>
  <c r="H152" i="10" s="1"/>
  <c r="M135" i="9"/>
  <c r="Q135" i="9"/>
  <c r="H135" i="9"/>
  <c r="H135" i="10" s="1"/>
  <c r="H295" i="12" s="1"/>
  <c r="O135" i="9"/>
  <c r="O135" i="10" s="1"/>
  <c r="S135" i="9"/>
  <c r="S135" i="10" s="1"/>
  <c r="S295" i="12" s="1"/>
  <c r="S295" i="13" s="1"/>
  <c r="U135" i="9"/>
  <c r="K135" i="9"/>
  <c r="K135" i="10" s="1"/>
  <c r="K135" i="11" s="1"/>
  <c r="Y135" i="9"/>
  <c r="Y135" i="10" s="1"/>
  <c r="Y135" i="11" s="1"/>
  <c r="W135" i="9"/>
  <c r="I135" i="9"/>
  <c r="J150" i="22"/>
  <c r="I150" i="22"/>
  <c r="I86" i="9"/>
  <c r="F86" i="9"/>
  <c r="K150" i="6"/>
  <c r="F150" i="6"/>
  <c r="E150" i="9" s="1"/>
  <c r="D150" i="9" s="1"/>
  <c r="N150" i="6"/>
  <c r="J150" i="6"/>
  <c r="H150" i="6"/>
  <c r="I150" i="6"/>
  <c r="M150" i="6"/>
  <c r="G150" i="6"/>
  <c r="U23" i="22"/>
  <c r="Q10" i="22"/>
  <c r="G146" i="22"/>
  <c r="AI146" i="22" s="1"/>
  <c r="G81" i="22"/>
  <c r="AI81" i="22" s="1"/>
  <c r="X13" i="22"/>
  <c r="G60" i="22"/>
  <c r="AI60" i="22" s="1"/>
  <c r="U60" i="22"/>
  <c r="T60" i="22"/>
  <c r="P60" i="22"/>
  <c r="X60" i="22"/>
  <c r="S60" i="22"/>
  <c r="V60" i="22"/>
  <c r="Q60" i="22"/>
  <c r="N23" i="22"/>
  <c r="N88" i="22"/>
  <c r="N85" i="6" s="1"/>
  <c r="J65" i="22"/>
  <c r="G91" i="6"/>
  <c r="AI91" i="6" s="1"/>
  <c r="F91" i="6"/>
  <c r="E91" i="9" s="1"/>
  <c r="D91" i="9" s="1"/>
  <c r="J125" i="6"/>
  <c r="T103" i="22"/>
  <c r="S103" i="22"/>
  <c r="R103" i="22"/>
  <c r="Y103" i="22"/>
  <c r="X103" i="22"/>
  <c r="U103" i="22"/>
  <c r="Q103" i="22"/>
  <c r="P103" i="22"/>
  <c r="W103" i="22"/>
  <c r="O103" i="22"/>
  <c r="L103" i="22"/>
  <c r="K103" i="22"/>
  <c r="V103" i="22"/>
  <c r="N103" i="22"/>
  <c r="I103" i="22"/>
  <c r="F103" i="22"/>
  <c r="J103" i="22"/>
  <c r="M103" i="22"/>
  <c r="H103" i="22"/>
  <c r="X39" i="22"/>
  <c r="X84" i="22"/>
  <c r="W111" i="22"/>
  <c r="N163" i="22"/>
  <c r="N153" i="6" s="1"/>
  <c r="K163" i="22"/>
  <c r="K153" i="6" s="1"/>
  <c r="R163" i="22"/>
  <c r="R153" i="6" s="1"/>
  <c r="O163" i="22"/>
  <c r="O153" i="6" s="1"/>
  <c r="I163" i="22"/>
  <c r="I153" i="6" s="1"/>
  <c r="F163" i="22"/>
  <c r="F153" i="6" s="1"/>
  <c r="E153" i="9" s="1"/>
  <c r="D153" i="9" s="1"/>
  <c r="S163" i="22"/>
  <c r="S153" i="6" s="1"/>
  <c r="P163" i="22"/>
  <c r="P153" i="6" s="1"/>
  <c r="M163" i="22"/>
  <c r="M153" i="6" s="1"/>
  <c r="L163" i="22"/>
  <c r="L153" i="6" s="1"/>
  <c r="J163" i="22"/>
  <c r="J153" i="6" s="1"/>
  <c r="H163" i="22"/>
  <c r="H153" i="6" s="1"/>
  <c r="G163" i="22"/>
  <c r="Y163" i="22"/>
  <c r="AO448" i="1"/>
  <c r="C448" i="1" s="1"/>
  <c r="AO457" i="1"/>
  <c r="C457" i="1" s="1"/>
  <c r="AO450" i="1"/>
  <c r="C450" i="1" s="1"/>
  <c r="AO452" i="1"/>
  <c r="C452" i="1" s="1"/>
  <c r="AO438" i="1"/>
  <c r="C438" i="1" s="1"/>
  <c r="AE438" i="1"/>
  <c r="W69" i="22"/>
  <c r="M49" i="22"/>
  <c r="K49" i="22"/>
  <c r="I49" i="22"/>
  <c r="F49" i="22"/>
  <c r="U49" i="22"/>
  <c r="J49" i="22"/>
  <c r="S49" i="22"/>
  <c r="P49" i="22"/>
  <c r="L49" i="22"/>
  <c r="H49" i="22"/>
  <c r="I98" i="22"/>
  <c r="M98" i="22"/>
  <c r="L98" i="22"/>
  <c r="T42" i="22"/>
  <c r="P42" i="22"/>
  <c r="I132" i="9"/>
  <c r="I132" i="10" s="1"/>
  <c r="I132" i="11" s="1"/>
  <c r="P88" i="9"/>
  <c r="V36" i="9"/>
  <c r="V36" i="10" s="1"/>
  <c r="V196" i="12" s="1"/>
  <c r="V36" i="16" s="1"/>
  <c r="V196" i="17" s="1"/>
  <c r="G125" i="6"/>
  <c r="F125" i="6"/>
  <c r="E125" i="9" s="1"/>
  <c r="D125" i="9" s="1"/>
  <c r="S39" i="22"/>
  <c r="P39" i="22"/>
  <c r="M39" i="22"/>
  <c r="K39" i="22"/>
  <c r="I39" i="22"/>
  <c r="F39" i="22"/>
  <c r="J39" i="22"/>
  <c r="U39" i="22"/>
  <c r="L39" i="22"/>
  <c r="H39" i="22"/>
  <c r="AO451" i="1"/>
  <c r="C451" i="1" s="1"/>
  <c r="AE461" i="1"/>
  <c r="AO461" i="1"/>
  <c r="C461" i="1" s="1"/>
  <c r="AO462" i="1"/>
  <c r="C462" i="1" s="1"/>
  <c r="AE462" i="1"/>
  <c r="AO459" i="1"/>
  <c r="C459" i="1" s="1"/>
  <c r="AE459" i="1"/>
  <c r="N69" i="22"/>
  <c r="S69" i="22"/>
  <c r="P69" i="22"/>
  <c r="M69" i="22"/>
  <c r="L69" i="22"/>
  <c r="K69" i="22"/>
  <c r="I69" i="22"/>
  <c r="F69" i="22"/>
  <c r="J69" i="22"/>
  <c r="H69" i="22"/>
  <c r="U69" i="22"/>
  <c r="V128" i="22"/>
  <c r="L88" i="22"/>
  <c r="L85" i="6" s="1"/>
  <c r="K65" i="22"/>
  <c r="L55" i="9"/>
  <c r="K121" i="9"/>
  <c r="K121" i="10" s="1"/>
  <c r="K121" i="11" s="1"/>
  <c r="L156" i="6"/>
  <c r="H91" i="6"/>
  <c r="K91" i="6"/>
  <c r="H13" i="6"/>
  <c r="F13" i="6"/>
  <c r="E13" i="9" s="1"/>
  <c r="D13" i="9" s="1"/>
  <c r="I13" i="6"/>
  <c r="K26" i="22"/>
  <c r="I26" i="22"/>
  <c r="F26" i="22"/>
  <c r="J26" i="22"/>
  <c r="H26" i="22"/>
  <c r="L26" i="22"/>
  <c r="T39" i="22"/>
  <c r="R39" i="22"/>
  <c r="Q84" i="22"/>
  <c r="Q111" i="22"/>
  <c r="R111" i="22"/>
  <c r="O111" i="22"/>
  <c r="N111" i="22"/>
  <c r="I111" i="22"/>
  <c r="F111" i="22"/>
  <c r="M111" i="22"/>
  <c r="J111" i="22"/>
  <c r="H111" i="22"/>
  <c r="L111" i="22"/>
  <c r="K111" i="22"/>
  <c r="AO411" i="1"/>
  <c r="C411" i="1" s="1"/>
  <c r="AO423" i="1"/>
  <c r="C423" i="1" s="1"/>
  <c r="AO444" i="1"/>
  <c r="C444" i="1" s="1"/>
  <c r="AO441" i="1"/>
  <c r="C441" i="1" s="1"/>
  <c r="AO496" i="1"/>
  <c r="C496" i="1" s="1"/>
  <c r="AE496" i="1"/>
  <c r="X49" i="22"/>
  <c r="Q49" i="22"/>
  <c r="G67" i="6"/>
  <c r="J67" i="6"/>
  <c r="H107" i="6"/>
  <c r="I42" i="22"/>
  <c r="H42" i="22"/>
  <c r="Y42" i="22"/>
  <c r="X42" i="22"/>
  <c r="G115" i="22"/>
  <c r="AI115" i="22" s="1"/>
  <c r="G128" i="22"/>
  <c r="AI128" i="22" s="1"/>
  <c r="H88" i="22"/>
  <c r="H85" i="6" s="1"/>
  <c r="L65" i="22"/>
  <c r="H121" i="9"/>
  <c r="H121" i="10" s="1"/>
  <c r="H281" i="12" s="1"/>
  <c r="H281" i="13" s="1"/>
  <c r="I125" i="6"/>
  <c r="H125" i="6"/>
  <c r="Y47" i="22"/>
  <c r="U47" i="22"/>
  <c r="P47" i="22"/>
  <c r="W47" i="22"/>
  <c r="T47" i="22"/>
  <c r="O47" i="22"/>
  <c r="X47" i="22"/>
  <c r="S47" i="22"/>
  <c r="R47" i="22"/>
  <c r="J47" i="22"/>
  <c r="V47" i="22"/>
  <c r="L47" i="22"/>
  <c r="H47" i="22"/>
  <c r="Q47" i="22"/>
  <c r="N47" i="22"/>
  <c r="I47" i="22"/>
  <c r="K47" i="22"/>
  <c r="F47" i="22"/>
  <c r="M47" i="22"/>
  <c r="N70" i="6"/>
  <c r="G70" i="6"/>
  <c r="F70" i="6"/>
  <c r="E70" i="9" s="1"/>
  <c r="D70" i="9" s="1"/>
  <c r="X30" i="22"/>
  <c r="N30" i="22"/>
  <c r="S30" i="22"/>
  <c r="V30" i="22"/>
  <c r="Q30" i="22"/>
  <c r="Y30" i="22"/>
  <c r="U30" i="22"/>
  <c r="P30" i="22"/>
  <c r="H30" i="22"/>
  <c r="R30" i="22"/>
  <c r="O30" i="22"/>
  <c r="L30" i="22"/>
  <c r="W30" i="22"/>
  <c r="M30" i="22"/>
  <c r="K30" i="22"/>
  <c r="I30" i="22"/>
  <c r="F30" i="22"/>
  <c r="T30" i="22"/>
  <c r="J30" i="22"/>
  <c r="W39" i="22"/>
  <c r="N84" i="22"/>
  <c r="L84" i="22"/>
  <c r="M84" i="22"/>
  <c r="J84" i="22"/>
  <c r="H84" i="22"/>
  <c r="R84" i="22"/>
  <c r="O84" i="22"/>
  <c r="K84" i="22"/>
  <c r="I84" i="22"/>
  <c r="F84" i="22"/>
  <c r="U111" i="22"/>
  <c r="AO422" i="1"/>
  <c r="C422" i="1" s="1"/>
  <c r="AO458" i="1"/>
  <c r="C458" i="1" s="1"/>
  <c r="AE458" i="1"/>
  <c r="AO460" i="1"/>
  <c r="C460" i="1" s="1"/>
  <c r="AO447" i="1"/>
  <c r="C447" i="1" s="1"/>
  <c r="T69" i="22"/>
  <c r="Q69" i="22"/>
  <c r="J107" i="6"/>
  <c r="K42" i="22"/>
  <c r="L42" i="22"/>
  <c r="Q42" i="22"/>
  <c r="L88" i="9"/>
  <c r="L88" i="10" s="1"/>
  <c r="L248" i="12" s="1"/>
  <c r="K88" i="22"/>
  <c r="K85" i="6" s="1"/>
  <c r="J88" i="22"/>
  <c r="J85" i="6" s="1"/>
  <c r="I65" i="22"/>
  <c r="L158" i="9"/>
  <c r="L158" i="10" s="1"/>
  <c r="L158" i="11" s="1"/>
  <c r="G117" i="9"/>
  <c r="G117" i="10" s="1"/>
  <c r="L65" i="6"/>
  <c r="N136" i="6"/>
  <c r="M136" i="9" s="1"/>
  <c r="L136" i="6"/>
  <c r="K136" i="9" s="1"/>
  <c r="K136" i="10" s="1"/>
  <c r="G136" i="6"/>
  <c r="AI136" i="6" s="1"/>
  <c r="L91" i="6"/>
  <c r="I91" i="6"/>
  <c r="M125" i="6"/>
  <c r="L125" i="6"/>
  <c r="K125" i="6"/>
  <c r="T54" i="22"/>
  <c r="F54" i="22"/>
  <c r="J54" i="22"/>
  <c r="H54" i="22"/>
  <c r="K13" i="6"/>
  <c r="L13" i="6"/>
  <c r="I70" i="6"/>
  <c r="L70" i="6"/>
  <c r="Y39" i="22"/>
  <c r="T84" i="22"/>
  <c r="Y84" i="22"/>
  <c r="S111" i="22"/>
  <c r="X111" i="22"/>
  <c r="U163" i="22"/>
  <c r="U153" i="6" s="1"/>
  <c r="AO442" i="1"/>
  <c r="C442" i="1" s="1"/>
  <c r="AO437" i="1"/>
  <c r="C437" i="1" s="1"/>
  <c r="AO439" i="1"/>
  <c r="C439" i="1" s="1"/>
  <c r="AO446" i="1"/>
  <c r="C446" i="1" s="1"/>
  <c r="AO453" i="1"/>
  <c r="C453" i="1" s="1"/>
  <c r="AE453" i="1"/>
  <c r="AO486" i="1"/>
  <c r="C486" i="1" s="1"/>
  <c r="AO495" i="1"/>
  <c r="C495" i="1" s="1"/>
  <c r="O69" i="22"/>
  <c r="V69" i="22"/>
  <c r="F16" i="9"/>
  <c r="O49" i="22"/>
  <c r="J60" i="22"/>
  <c r="H60" i="22"/>
  <c r="N60" i="22"/>
  <c r="L60" i="22"/>
  <c r="R60" i="22"/>
  <c r="O60" i="22"/>
  <c r="M60" i="22"/>
  <c r="K60" i="22"/>
  <c r="I60" i="22"/>
  <c r="F60" i="22"/>
  <c r="M67" i="6"/>
  <c r="N67" i="6"/>
  <c r="I5" i="6"/>
  <c r="M42" i="22"/>
  <c r="O42" i="22"/>
  <c r="V42" i="22"/>
  <c r="P100" i="9"/>
  <c r="M110" i="9"/>
  <c r="M110" i="10" s="1"/>
  <c r="M270" i="12" s="1"/>
  <c r="P84" i="9"/>
  <c r="K84" i="9"/>
  <c r="K84" i="10" s="1"/>
  <c r="R100" i="9"/>
  <c r="R100" i="10" s="1"/>
  <c r="R100" i="11" s="1"/>
  <c r="Q100" i="9"/>
  <c r="I100" i="9"/>
  <c r="I100" i="10" s="1"/>
  <c r="I100" i="11" s="1"/>
  <c r="W84" i="9"/>
  <c r="W84" i="10" s="1"/>
  <c r="I84" i="9"/>
  <c r="I84" i="10" s="1"/>
  <c r="J84" i="9"/>
  <c r="J84" i="10" s="1"/>
  <c r="J84" i="11" s="1"/>
  <c r="O100" i="9"/>
  <c r="O100" i="10" s="1"/>
  <c r="O100" i="11" s="1"/>
  <c r="U100" i="9"/>
  <c r="K100" i="9"/>
  <c r="K100" i="10" s="1"/>
  <c r="K100" i="11" s="1"/>
  <c r="U84" i="9"/>
  <c r="U84" i="10" s="1"/>
  <c r="U84" i="11" s="1"/>
  <c r="G84" i="9"/>
  <c r="G84" i="10" s="1"/>
  <c r="N100" i="9"/>
  <c r="N100" i="10" s="1"/>
  <c r="S100" i="9"/>
  <c r="S100" i="10" s="1"/>
  <c r="M84" i="9"/>
  <c r="M84" i="10" s="1"/>
  <c r="M84" i="11" s="1"/>
  <c r="L84" i="9"/>
  <c r="L100" i="9"/>
  <c r="L100" i="10" s="1"/>
  <c r="L100" i="11" s="1"/>
  <c r="X481" i="1"/>
  <c r="X489" i="1"/>
  <c r="X465" i="1"/>
  <c r="Y465" i="1"/>
  <c r="X425" i="1"/>
  <c r="Y415" i="1"/>
  <c r="X415" i="1"/>
  <c r="R84" i="9"/>
  <c r="R84" i="10" s="1"/>
  <c r="R84" i="11" s="1"/>
  <c r="M140" i="9"/>
  <c r="M140" i="10" s="1"/>
  <c r="S84" i="9"/>
  <c r="S84" i="10" s="1"/>
  <c r="S84" i="11" s="1"/>
  <c r="G110" i="9"/>
  <c r="G110" i="10" s="1"/>
  <c r="X400" i="1"/>
  <c r="X401" i="1"/>
  <c r="X405" i="1" s="1"/>
  <c r="Y389" i="1"/>
  <c r="Y388" i="1"/>
  <c r="Y365" i="1"/>
  <c r="Y364" i="1"/>
  <c r="Y377" i="1"/>
  <c r="Y378" i="1"/>
  <c r="O64" i="10"/>
  <c r="O224" i="12" s="1"/>
  <c r="O64" i="16" s="1"/>
  <c r="O224" i="17" s="1"/>
  <c r="S64" i="10"/>
  <c r="S224" i="12" s="1"/>
  <c r="S64" i="16" s="1"/>
  <c r="Q25" i="11"/>
  <c r="S27" i="11"/>
  <c r="I27" i="11"/>
  <c r="W64" i="10"/>
  <c r="R113" i="10"/>
  <c r="R273" i="12" s="1"/>
  <c r="R113" i="13" s="1"/>
  <c r="U24" i="10"/>
  <c r="U24" i="11" s="1"/>
  <c r="Q40" i="11"/>
  <c r="J87" i="9"/>
  <c r="J87" i="10" s="1"/>
  <c r="J87" i="11" s="1"/>
  <c r="K87" i="9"/>
  <c r="K87" i="10" s="1"/>
  <c r="K87" i="11" s="1"/>
  <c r="H87" i="9"/>
  <c r="H87" i="10" s="1"/>
  <c r="V113" i="10"/>
  <c r="V273" i="12" s="1"/>
  <c r="V113" i="16" s="1"/>
  <c r="I57" i="9"/>
  <c r="I57" i="10" s="1"/>
  <c r="I57" i="11" s="1"/>
  <c r="G57" i="9"/>
  <c r="G57" i="10" s="1"/>
  <c r="L57" i="9"/>
  <c r="L57" i="10" s="1"/>
  <c r="L57" i="11" s="1"/>
  <c r="H60" i="10"/>
  <c r="R40" i="11"/>
  <c r="H57" i="9"/>
  <c r="H57" i="10" s="1"/>
  <c r="H57" i="11" s="1"/>
  <c r="S78" i="10"/>
  <c r="S238" i="12" s="1"/>
  <c r="S78" i="16" s="1"/>
  <c r="S238" i="17" s="1"/>
  <c r="K78" i="10"/>
  <c r="L134" i="10"/>
  <c r="L134" i="11" s="1"/>
  <c r="I18" i="9"/>
  <c r="R38" i="10"/>
  <c r="R38" i="11" s="1"/>
  <c r="K57" i="9"/>
  <c r="K57" i="10" s="1"/>
  <c r="K57" i="11" s="1"/>
  <c r="M33" i="9"/>
  <c r="V33" i="9"/>
  <c r="V33" i="10" s="1"/>
  <c r="V33" i="11" s="1"/>
  <c r="W33" i="9"/>
  <c r="W33" i="10" s="1"/>
  <c r="W193" i="12" s="1"/>
  <c r="W193" i="13" s="1"/>
  <c r="Y33" i="9"/>
  <c r="G33" i="9"/>
  <c r="G33" i="10" s="1"/>
  <c r="L101" i="10"/>
  <c r="Y184" i="13"/>
  <c r="Y24" i="14" s="1"/>
  <c r="Y24" i="13"/>
  <c r="H18" i="9"/>
  <c r="H18" i="10" s="1"/>
  <c r="H18" i="11" s="1"/>
  <c r="M156" i="6"/>
  <c r="AO291" i="1"/>
  <c r="C291" i="1" s="1"/>
  <c r="W132" i="9"/>
  <c r="W132" i="10" s="1"/>
  <c r="W132" i="11" s="1"/>
  <c r="J88" i="9"/>
  <c r="J88" i="10" s="1"/>
  <c r="J88" i="11" s="1"/>
  <c r="J72" i="9"/>
  <c r="J72" i="10" s="1"/>
  <c r="J72" i="11" s="1"/>
  <c r="M61" i="9"/>
  <c r="M61" i="10" s="1"/>
  <c r="M61" i="11" s="1"/>
  <c r="J58" i="9"/>
  <c r="J58" i="10" s="1"/>
  <c r="J58" i="11" s="1"/>
  <c r="Y59" i="9"/>
  <c r="Y59" i="10" s="1"/>
  <c r="Y219" i="12" s="1"/>
  <c r="Y219" i="13" s="1"/>
  <c r="J124" i="6"/>
  <c r="E112" i="20"/>
  <c r="G88" i="9"/>
  <c r="G88" i="10" s="1"/>
  <c r="L31" i="6"/>
  <c r="I156" i="6"/>
  <c r="H156" i="9" s="1"/>
  <c r="H156" i="10" s="1"/>
  <c r="H316" i="12" s="1"/>
  <c r="H156" i="16" s="1"/>
  <c r="H156" i="6"/>
  <c r="AO360" i="1"/>
  <c r="C360" i="1" s="1"/>
  <c r="H33" i="9"/>
  <c r="U72" i="9"/>
  <c r="U72" i="10" s="1"/>
  <c r="K156" i="6"/>
  <c r="J156" i="6"/>
  <c r="AO365" i="1"/>
  <c r="C365" i="1" s="1"/>
  <c r="AO322" i="1"/>
  <c r="C322" i="1" s="1"/>
  <c r="X388" i="1"/>
  <c r="X389" i="1"/>
  <c r="X392" i="1" s="1"/>
  <c r="X378" i="1"/>
  <c r="X381" i="1" s="1"/>
  <c r="X377" i="1"/>
  <c r="X364" i="1"/>
  <c r="X365" i="1"/>
  <c r="X370" i="1" s="1"/>
  <c r="X350" i="1"/>
  <c r="X351" i="1"/>
  <c r="X355" i="1" s="1"/>
  <c r="X338" i="1"/>
  <c r="X339" i="1"/>
  <c r="X342" i="1" s="1"/>
  <c r="Y282" i="1"/>
  <c r="Y280" i="1"/>
  <c r="Y310" i="1"/>
  <c r="Y309" i="1"/>
  <c r="Y325" i="1"/>
  <c r="Y324" i="1"/>
  <c r="Y294" i="1"/>
  <c r="Y295" i="1"/>
  <c r="X281" i="1"/>
  <c r="X284" i="1" s="1"/>
  <c r="X280" i="1"/>
  <c r="X325" i="1"/>
  <c r="X331" i="1" s="1"/>
  <c r="X324" i="1"/>
  <c r="X294" i="1"/>
  <c r="X297" i="1"/>
  <c r="X301" i="1" s="1"/>
  <c r="X309" i="1"/>
  <c r="X310" i="1"/>
  <c r="X314" i="1" s="1"/>
  <c r="AO7" i="1"/>
  <c r="C7" i="1" s="1"/>
  <c r="Y144" i="10"/>
  <c r="Y144" i="11" s="1"/>
  <c r="P36" i="11"/>
  <c r="Y78" i="11"/>
  <c r="N124" i="6"/>
  <c r="H124" i="6"/>
  <c r="L124" i="6"/>
  <c r="F124" i="6"/>
  <c r="E124" i="9" s="1"/>
  <c r="D124" i="9" s="1"/>
  <c r="G124" i="6"/>
  <c r="N95" i="6"/>
  <c r="H95" i="6"/>
  <c r="J95" i="6"/>
  <c r="M95" i="6"/>
  <c r="K95" i="6"/>
  <c r="G95" i="6"/>
  <c r="AI95" i="6" s="1"/>
  <c r="T64" i="10"/>
  <c r="T64" i="11" s="1"/>
  <c r="T36" i="11"/>
  <c r="P33" i="9"/>
  <c r="U33" i="9"/>
  <c r="S33" i="9"/>
  <c r="T33" i="9"/>
  <c r="T33" i="10" s="1"/>
  <c r="T33" i="11" s="1"/>
  <c r="K33" i="9"/>
  <c r="L33" i="9"/>
  <c r="L33" i="10" s="1"/>
  <c r="Z33" i="9"/>
  <c r="I33" i="37" s="1"/>
  <c r="Q33" i="9"/>
  <c r="J33" i="9"/>
  <c r="G32" i="9"/>
  <c r="I124" i="6"/>
  <c r="U32" i="9"/>
  <c r="U32" i="10" s="1"/>
  <c r="U192" i="12" s="1"/>
  <c r="Q32" i="9"/>
  <c r="Q32" i="10" s="1"/>
  <c r="Q192" i="12" s="1"/>
  <c r="Q192" i="13" s="1"/>
  <c r="X32" i="9"/>
  <c r="X32" i="10" s="1"/>
  <c r="E61" i="20"/>
  <c r="I32" i="9"/>
  <c r="I32" i="10" s="1"/>
  <c r="I32" i="11" s="1"/>
  <c r="H14" i="11"/>
  <c r="Q78" i="16"/>
  <c r="Q238" i="17" s="1"/>
  <c r="I101" i="11"/>
  <c r="N113" i="11"/>
  <c r="H134" i="11"/>
  <c r="J148" i="16"/>
  <c r="J308" i="17" s="1"/>
  <c r="L32" i="9"/>
  <c r="L32" i="10" s="1"/>
  <c r="L32" i="11" s="1"/>
  <c r="J27" i="10"/>
  <c r="Z132" i="9"/>
  <c r="I132" i="37" s="1"/>
  <c r="V132" i="9"/>
  <c r="S144" i="10"/>
  <c r="S144" i="11" s="1"/>
  <c r="G106" i="9"/>
  <c r="G106" i="10" s="1"/>
  <c r="G266" i="12" s="1"/>
  <c r="I101" i="16"/>
  <c r="I261" i="17" s="1"/>
  <c r="L95" i="6"/>
  <c r="V171" i="12"/>
  <c r="V11" i="16" s="1"/>
  <c r="V11" i="11"/>
  <c r="X113" i="11"/>
  <c r="J148" i="11"/>
  <c r="Z32" i="9"/>
  <c r="F79" i="6"/>
  <c r="E79" i="9" s="1"/>
  <c r="D79" i="9" s="1"/>
  <c r="H79" i="6"/>
  <c r="M79" i="6"/>
  <c r="J79" i="6"/>
  <c r="L79" i="6"/>
  <c r="N79" i="6"/>
  <c r="J31" i="6"/>
  <c r="G31" i="6"/>
  <c r="AI31" i="6" s="1"/>
  <c r="H31" i="6"/>
  <c r="K31" i="6"/>
  <c r="J31" i="9" s="1"/>
  <c r="J31" i="10" s="1"/>
  <c r="J31" i="11" s="1"/>
  <c r="M31" i="6"/>
  <c r="I31" i="6"/>
  <c r="F106" i="9"/>
  <c r="AI106" i="6"/>
  <c r="X184" i="12"/>
  <c r="X24" i="16" s="1"/>
  <c r="H117" i="9"/>
  <c r="H117" i="10" s="1"/>
  <c r="H117" i="11" s="1"/>
  <c r="I117" i="9"/>
  <c r="I117" i="10" s="1"/>
  <c r="I117" i="11" s="1"/>
  <c r="K117" i="9"/>
  <c r="G86" i="9"/>
  <c r="G86" i="10" s="1"/>
  <c r="F136" i="9"/>
  <c r="H136" i="9"/>
  <c r="H136" i="10" s="1"/>
  <c r="H136" i="11" s="1"/>
  <c r="AI30" i="6"/>
  <c r="F158" i="9"/>
  <c r="AI158" i="6"/>
  <c r="R112" i="9"/>
  <c r="V88" i="9"/>
  <c r="V88" i="10" s="1"/>
  <c r="V248" i="12" s="1"/>
  <c r="V88" i="13" s="1"/>
  <c r="V72" i="9"/>
  <c r="N32" i="9"/>
  <c r="N32" i="10" s="1"/>
  <c r="N32" i="11" s="1"/>
  <c r="O33" i="9"/>
  <c r="N31" i="6"/>
  <c r="F57" i="9"/>
  <c r="AI57" i="6"/>
  <c r="T132" i="9"/>
  <c r="J75" i="9"/>
  <c r="J75" i="10" s="1"/>
  <c r="W88" i="9"/>
  <c r="W72" i="9"/>
  <c r="W72" i="10" s="1"/>
  <c r="W72" i="11" s="1"/>
  <c r="AI60" i="6"/>
  <c r="F60" i="9"/>
  <c r="AI97" i="6"/>
  <c r="F97" i="9"/>
  <c r="L36" i="9"/>
  <c r="I55" i="9"/>
  <c r="I55" i="10" s="1"/>
  <c r="H55" i="9"/>
  <c r="H55" i="10" s="1"/>
  <c r="H215" i="12" s="1"/>
  <c r="G121" i="9"/>
  <c r="G121" i="10" s="1"/>
  <c r="G281" i="12" s="1"/>
  <c r="G87" i="9"/>
  <c r="G87" i="10" s="1"/>
  <c r="F117" i="9"/>
  <c r="AI117" i="6"/>
  <c r="G155" i="9"/>
  <c r="G155" i="10" s="1"/>
  <c r="G28" i="11"/>
  <c r="N119" i="6"/>
  <c r="K119" i="6"/>
  <c r="I119" i="6"/>
  <c r="L119" i="6"/>
  <c r="G119" i="6"/>
  <c r="M119" i="6"/>
  <c r="J119" i="6"/>
  <c r="H119" i="6"/>
  <c r="F119" i="6"/>
  <c r="E119" i="9" s="1"/>
  <c r="D119" i="9" s="1"/>
  <c r="K119" i="9" s="1"/>
  <c r="R27" i="16"/>
  <c r="R187" i="17" s="1"/>
  <c r="M46" i="11"/>
  <c r="T75" i="9"/>
  <c r="T75" i="10" s="1"/>
  <c r="T75" i="11" s="1"/>
  <c r="F138" i="6"/>
  <c r="E138" i="9" s="1"/>
  <c r="D138" i="9" s="1"/>
  <c r="N138" i="6"/>
  <c r="M138" i="6"/>
  <c r="K138" i="6"/>
  <c r="L138" i="6"/>
  <c r="I138" i="6"/>
  <c r="J138" i="6"/>
  <c r="Q288" i="13"/>
  <c r="Q128" i="14" s="1"/>
  <c r="Q128" i="13"/>
  <c r="F74" i="6"/>
  <c r="E74" i="9" s="1"/>
  <c r="D74" i="9" s="1"/>
  <c r="N74" i="6"/>
  <c r="K74" i="6"/>
  <c r="I74" i="6"/>
  <c r="G74" i="6"/>
  <c r="M74" i="6"/>
  <c r="J74" i="6"/>
  <c r="L74" i="6"/>
  <c r="H74" i="6"/>
  <c r="P140" i="9"/>
  <c r="I14" i="11"/>
  <c r="G77" i="6"/>
  <c r="F77" i="9" s="1"/>
  <c r="J102" i="9"/>
  <c r="J102" i="10" s="1"/>
  <c r="R151" i="9"/>
  <c r="R151" i="10" s="1"/>
  <c r="R151" i="11" s="1"/>
  <c r="O21" i="11"/>
  <c r="O21" i="16"/>
  <c r="O181" i="17" s="1"/>
  <c r="U27" i="11"/>
  <c r="X64" i="11"/>
  <c r="U59" i="9"/>
  <c r="V7" i="22"/>
  <c r="O7" i="22"/>
  <c r="X7" i="22"/>
  <c r="F130" i="6"/>
  <c r="E130" i="9" s="1"/>
  <c r="D130" i="9" s="1"/>
  <c r="N130" i="6"/>
  <c r="K130" i="6"/>
  <c r="I130" i="6"/>
  <c r="L130" i="6"/>
  <c r="G130" i="6"/>
  <c r="H130" i="6"/>
  <c r="M130" i="6"/>
  <c r="J130" i="6"/>
  <c r="X64" i="16"/>
  <c r="X224" i="17" s="1"/>
  <c r="G64" i="11"/>
  <c r="Y128" i="11"/>
  <c r="G29" i="22"/>
  <c r="AI29" i="22" s="1"/>
  <c r="M25" i="11"/>
  <c r="U143" i="11"/>
  <c r="H38" i="11"/>
  <c r="H59" i="9"/>
  <c r="H59" i="10" s="1"/>
  <c r="H59" i="11" s="1"/>
  <c r="L59" i="9"/>
  <c r="L59" i="10" s="1"/>
  <c r="L59" i="11" s="1"/>
  <c r="F89" i="6"/>
  <c r="E89" i="9" s="1"/>
  <c r="D89" i="9" s="1"/>
  <c r="N89" i="6"/>
  <c r="L89" i="6"/>
  <c r="K89" i="6"/>
  <c r="I89" i="6"/>
  <c r="G89" i="6"/>
  <c r="M89" i="6"/>
  <c r="J89" i="6"/>
  <c r="H89" i="6"/>
  <c r="M114" i="6"/>
  <c r="J114" i="6"/>
  <c r="H114" i="6"/>
  <c r="F114" i="6"/>
  <c r="E114" i="9" s="1"/>
  <c r="D114" i="9" s="1"/>
  <c r="N114" i="6"/>
  <c r="K114" i="6"/>
  <c r="I114" i="6"/>
  <c r="G114" i="6"/>
  <c r="L114" i="6"/>
  <c r="F111" i="6"/>
  <c r="E111" i="9" s="1"/>
  <c r="D111" i="9" s="1"/>
  <c r="N111" i="6"/>
  <c r="L111" i="6"/>
  <c r="K111" i="6"/>
  <c r="I111" i="6"/>
  <c r="G111" i="6"/>
  <c r="M111" i="6"/>
  <c r="J111" i="6"/>
  <c r="H111" i="6"/>
  <c r="H138" i="6"/>
  <c r="J14" i="11"/>
  <c r="T28" i="11"/>
  <c r="U46" i="11"/>
  <c r="H55" i="11"/>
  <c r="W128" i="11"/>
  <c r="AO12" i="1"/>
  <c r="G75" i="9"/>
  <c r="G75" i="10" s="1"/>
  <c r="G235" i="12" s="1"/>
  <c r="R75" i="9"/>
  <c r="R75" i="10" s="1"/>
  <c r="R75" i="11" s="1"/>
  <c r="H75" i="9"/>
  <c r="V75" i="9"/>
  <c r="N75" i="9"/>
  <c r="N75" i="10" s="1"/>
  <c r="N75" i="11" s="1"/>
  <c r="P75" i="9"/>
  <c r="G127" i="22"/>
  <c r="AI127" i="22" s="1"/>
  <c r="X127" i="22"/>
  <c r="W127" i="22"/>
  <c r="O127" i="22"/>
  <c r="N127" i="22"/>
  <c r="J127" i="22"/>
  <c r="Y127" i="22"/>
  <c r="P127" i="22"/>
  <c r="M127" i="22"/>
  <c r="U127" i="22"/>
  <c r="T127" i="22"/>
  <c r="V127" i="22"/>
  <c r="R127" i="22"/>
  <c r="Q127" i="22"/>
  <c r="L127" i="22"/>
  <c r="S127" i="22"/>
  <c r="F127" i="22"/>
  <c r="I127" i="22"/>
  <c r="K127" i="22"/>
  <c r="H127" i="22"/>
  <c r="G138" i="6"/>
  <c r="M7" i="22"/>
  <c r="W10" i="22"/>
  <c r="P128" i="22"/>
  <c r="R165" i="22"/>
  <c r="V59" i="9"/>
  <c r="V59" i="10" s="1"/>
  <c r="V59" i="11" s="1"/>
  <c r="P32" i="9"/>
  <c r="Y75" i="9"/>
  <c r="Y75" i="10" s="1"/>
  <c r="Y235" i="12" s="1"/>
  <c r="Y235" i="13" s="1"/>
  <c r="S32" i="9"/>
  <c r="S32" i="10" s="1"/>
  <c r="S192" i="12" s="1"/>
  <c r="S192" i="13" s="1"/>
  <c r="E132" i="20"/>
  <c r="X75" i="9"/>
  <c r="X75" i="10" s="1"/>
  <c r="X75" i="11" s="1"/>
  <c r="K52" i="6"/>
  <c r="I52" i="6"/>
  <c r="G52" i="6"/>
  <c r="M52" i="6"/>
  <c r="J52" i="6"/>
  <c r="H52" i="6"/>
  <c r="F52" i="6"/>
  <c r="E52" i="9" s="1"/>
  <c r="D52" i="9" s="1"/>
  <c r="L52" i="6"/>
  <c r="N52" i="6"/>
  <c r="Y126" i="22"/>
  <c r="P126" i="22"/>
  <c r="M126" i="22"/>
  <c r="U126" i="22"/>
  <c r="T126" i="22"/>
  <c r="V126" i="22"/>
  <c r="K126" i="22"/>
  <c r="I126" i="22"/>
  <c r="R126" i="22"/>
  <c r="Q126" i="22"/>
  <c r="L126" i="22"/>
  <c r="S126" i="22"/>
  <c r="J126" i="22"/>
  <c r="F126" i="22"/>
  <c r="X126" i="22"/>
  <c r="O126" i="22"/>
  <c r="N126" i="22"/>
  <c r="H126" i="22"/>
  <c r="W126" i="22"/>
  <c r="X83" i="22"/>
  <c r="O83" i="22"/>
  <c r="I83" i="22"/>
  <c r="Y83" i="22"/>
  <c r="T83" i="22"/>
  <c r="P83" i="22"/>
  <c r="K83" i="22"/>
  <c r="U83" i="22"/>
  <c r="V83" i="22"/>
  <c r="Q83" i="22"/>
  <c r="L83" i="22"/>
  <c r="R83" i="22"/>
  <c r="M83" i="22"/>
  <c r="N83" i="22"/>
  <c r="W83" i="22"/>
  <c r="S83" i="22"/>
  <c r="J83" i="22"/>
  <c r="H83" i="22"/>
  <c r="F83" i="22"/>
  <c r="H150" i="22"/>
  <c r="S150" i="22"/>
  <c r="O150" i="22"/>
  <c r="V44" i="22"/>
  <c r="R44" i="22"/>
  <c r="M44" i="22"/>
  <c r="W44" i="22"/>
  <c r="N44" i="22"/>
  <c r="J44" i="22"/>
  <c r="H44" i="22"/>
  <c r="X44" i="22"/>
  <c r="S44" i="22"/>
  <c r="O44" i="22"/>
  <c r="L44" i="22"/>
  <c r="T44" i="22"/>
  <c r="Y44" i="22"/>
  <c r="U44" i="22"/>
  <c r="P44" i="22"/>
  <c r="I44" i="22"/>
  <c r="F44" i="22"/>
  <c r="Q44" i="22"/>
  <c r="K44" i="22"/>
  <c r="Q53" i="22"/>
  <c r="K53" i="22"/>
  <c r="V53" i="22"/>
  <c r="R53" i="22"/>
  <c r="M53" i="22"/>
  <c r="N53" i="22"/>
  <c r="J53" i="22"/>
  <c r="H53" i="22"/>
  <c r="X53" i="22"/>
  <c r="S53" i="22"/>
  <c r="O53" i="22"/>
  <c r="L53" i="22"/>
  <c r="T53" i="22"/>
  <c r="Y53" i="22"/>
  <c r="U53" i="22"/>
  <c r="P53" i="22"/>
  <c r="I53" i="22"/>
  <c r="F53" i="22"/>
  <c r="S129" i="22"/>
  <c r="H129" i="22"/>
  <c r="X129" i="22"/>
  <c r="W129" i="22"/>
  <c r="O129" i="22"/>
  <c r="N129" i="22"/>
  <c r="J129" i="22"/>
  <c r="Y129" i="22"/>
  <c r="P129" i="22"/>
  <c r="M129" i="22"/>
  <c r="U129" i="22"/>
  <c r="T129" i="22"/>
  <c r="V129" i="22"/>
  <c r="K129" i="22"/>
  <c r="I129" i="22"/>
  <c r="Q129" i="22"/>
  <c r="L129" i="22"/>
  <c r="F129" i="22"/>
  <c r="R129" i="22"/>
  <c r="F150" i="22"/>
  <c r="K150" i="22"/>
  <c r="L150" i="22"/>
  <c r="P7" i="22"/>
  <c r="G7" i="22"/>
  <c r="AI7" i="22" s="1"/>
  <c r="S128" i="22"/>
  <c r="X165" i="22"/>
  <c r="G133" i="9"/>
  <c r="T59" i="9"/>
  <c r="J45" i="6"/>
  <c r="H45" i="6"/>
  <c r="L45" i="6"/>
  <c r="F45" i="6"/>
  <c r="E45" i="9" s="1"/>
  <c r="D45" i="9" s="1"/>
  <c r="N45" i="6"/>
  <c r="K45" i="6"/>
  <c r="I45" i="6"/>
  <c r="G45" i="6"/>
  <c r="M45" i="6"/>
  <c r="J23" i="6"/>
  <c r="H23" i="6"/>
  <c r="F23" i="6"/>
  <c r="E23" i="9" s="1"/>
  <c r="D23" i="9" s="1"/>
  <c r="N23" i="6"/>
  <c r="L23" i="6"/>
  <c r="K23" i="6"/>
  <c r="I23" i="6"/>
  <c r="G23" i="6"/>
  <c r="M23" i="6"/>
  <c r="Q45" i="22"/>
  <c r="K45" i="22"/>
  <c r="V45" i="22"/>
  <c r="R45" i="22"/>
  <c r="M45" i="22"/>
  <c r="N45" i="22"/>
  <c r="J45" i="22"/>
  <c r="H45" i="22"/>
  <c r="X45" i="22"/>
  <c r="S45" i="22"/>
  <c r="O45" i="22"/>
  <c r="L45" i="22"/>
  <c r="T45" i="22"/>
  <c r="I45" i="22"/>
  <c r="Y45" i="22"/>
  <c r="U45" i="22"/>
  <c r="P45" i="22"/>
  <c r="F45" i="22"/>
  <c r="K154" i="22"/>
  <c r="I154" i="22"/>
  <c r="S154" i="22"/>
  <c r="O154" i="22"/>
  <c r="N154" i="22"/>
  <c r="Y154" i="22"/>
  <c r="U154" i="22"/>
  <c r="T154" i="22"/>
  <c r="P154" i="22"/>
  <c r="L154" i="22"/>
  <c r="M154" i="22"/>
  <c r="H154" i="22"/>
  <c r="J154" i="22"/>
  <c r="G154" i="22"/>
  <c r="AI154" i="22" s="1"/>
  <c r="R154" i="22"/>
  <c r="V154" i="22"/>
  <c r="Q154" i="22"/>
  <c r="F154" i="22"/>
  <c r="U65" i="22"/>
  <c r="X150" i="22"/>
  <c r="Q150" i="22"/>
  <c r="P150" i="22"/>
  <c r="F121" i="9"/>
  <c r="AI121" i="6"/>
  <c r="AI124" i="6"/>
  <c r="G131" i="22"/>
  <c r="AI131" i="22" s="1"/>
  <c r="S7" i="22"/>
  <c r="P10" i="22"/>
  <c r="W165" i="22"/>
  <c r="J59" i="9"/>
  <c r="J59" i="10" s="1"/>
  <c r="P59" i="9"/>
  <c r="X59" i="9"/>
  <c r="L10" i="6"/>
  <c r="K10" i="6"/>
  <c r="I10" i="6"/>
  <c r="G10" i="6"/>
  <c r="M10" i="6"/>
  <c r="J10" i="6"/>
  <c r="H10" i="6"/>
  <c r="F10" i="6"/>
  <c r="E10" i="9" s="1"/>
  <c r="D10" i="9" s="1"/>
  <c r="N10" i="6"/>
  <c r="X57" i="22"/>
  <c r="S57" i="22"/>
  <c r="O57" i="22"/>
  <c r="L57" i="22"/>
  <c r="T57" i="22"/>
  <c r="Y57" i="22"/>
  <c r="U57" i="22"/>
  <c r="P57" i="22"/>
  <c r="I57" i="22"/>
  <c r="Q57" i="22"/>
  <c r="K57" i="22"/>
  <c r="V57" i="22"/>
  <c r="R57" i="22"/>
  <c r="M57" i="22"/>
  <c r="J57" i="22"/>
  <c r="H57" i="22"/>
  <c r="N57" i="22"/>
  <c r="F57" i="22"/>
  <c r="W57" i="22"/>
  <c r="V50" i="22"/>
  <c r="R50" i="22"/>
  <c r="M50" i="22"/>
  <c r="W50" i="22"/>
  <c r="N50" i="22"/>
  <c r="J50" i="22"/>
  <c r="H50" i="22"/>
  <c r="X50" i="22"/>
  <c r="S50" i="22"/>
  <c r="O50" i="22"/>
  <c r="L50" i="22"/>
  <c r="T50" i="22"/>
  <c r="Y50" i="22"/>
  <c r="U50" i="22"/>
  <c r="P50" i="22"/>
  <c r="I50" i="22"/>
  <c r="F50" i="22"/>
  <c r="Q50" i="22"/>
  <c r="K50" i="22"/>
  <c r="K93" i="6"/>
  <c r="I93" i="6"/>
  <c r="G93" i="6"/>
  <c r="M93" i="6"/>
  <c r="J93" i="6"/>
  <c r="H93" i="6"/>
  <c r="F93" i="6"/>
  <c r="E93" i="9" s="1"/>
  <c r="D93" i="9" s="1"/>
  <c r="L93" i="6"/>
  <c r="N93" i="6"/>
  <c r="F142" i="6"/>
  <c r="E142" i="9" s="1"/>
  <c r="D142" i="9" s="1"/>
  <c r="N142" i="6"/>
  <c r="K142" i="6"/>
  <c r="I142" i="6"/>
  <c r="G142" i="6"/>
  <c r="M142" i="6"/>
  <c r="J142" i="6"/>
  <c r="L142" i="6"/>
  <c r="H142" i="6"/>
  <c r="Y9" i="22"/>
  <c r="T9" i="22"/>
  <c r="L9" i="22"/>
  <c r="I9" i="22"/>
  <c r="U9" i="22"/>
  <c r="P9" i="22"/>
  <c r="K9" i="22"/>
  <c r="Q9" i="22"/>
  <c r="V9" i="22"/>
  <c r="R9" i="22"/>
  <c r="M9" i="22"/>
  <c r="W9" i="22"/>
  <c r="N9" i="22"/>
  <c r="S9" i="22"/>
  <c r="H9" i="22"/>
  <c r="J9" i="22"/>
  <c r="X9" i="22"/>
  <c r="F9" i="22"/>
  <c r="O9" i="22"/>
  <c r="G126" i="22"/>
  <c r="AI126" i="22" s="1"/>
  <c r="W154" i="22"/>
  <c r="Q63" i="22"/>
  <c r="L63" i="22"/>
  <c r="K63" i="22"/>
  <c r="V63" i="22"/>
  <c r="R63" i="22"/>
  <c r="M63" i="22"/>
  <c r="W63" i="22"/>
  <c r="N63" i="22"/>
  <c r="J63" i="22"/>
  <c r="H63" i="22"/>
  <c r="X63" i="22"/>
  <c r="S63" i="22"/>
  <c r="O63" i="22"/>
  <c r="T63" i="22"/>
  <c r="U63" i="22"/>
  <c r="P63" i="22"/>
  <c r="I63" i="22"/>
  <c r="F63" i="22"/>
  <c r="Y63" i="22"/>
  <c r="S31" i="22"/>
  <c r="O31" i="22"/>
  <c r="T31" i="22"/>
  <c r="U31" i="22"/>
  <c r="P31" i="22"/>
  <c r="L31" i="22"/>
  <c r="I31" i="22"/>
  <c r="Q31" i="22"/>
  <c r="K31" i="22"/>
  <c r="V31" i="22"/>
  <c r="R31" i="22"/>
  <c r="M31" i="22"/>
  <c r="N31" i="22"/>
  <c r="F31" i="22"/>
  <c r="W31" i="22"/>
  <c r="H31" i="22"/>
  <c r="J31" i="22"/>
  <c r="G53" i="22"/>
  <c r="AI53" i="22" s="1"/>
  <c r="F88" i="22"/>
  <c r="F85" i="6" s="1"/>
  <c r="E85" i="9" s="1"/>
  <c r="D85" i="9" s="1"/>
  <c r="F85" i="9" s="1"/>
  <c r="I88" i="22"/>
  <c r="I85" i="6" s="1"/>
  <c r="G150" i="22"/>
  <c r="AI150" i="22" s="1"/>
  <c r="R150" i="22"/>
  <c r="T150" i="22"/>
  <c r="AI87" i="6"/>
  <c r="F87" i="9"/>
  <c r="G10" i="22"/>
  <c r="AI10" i="22" s="1"/>
  <c r="W43" i="22"/>
  <c r="N43" i="22"/>
  <c r="J43" i="22"/>
  <c r="H43" i="22"/>
  <c r="X43" i="22"/>
  <c r="S43" i="22"/>
  <c r="O43" i="22"/>
  <c r="L43" i="22"/>
  <c r="T43" i="22"/>
  <c r="Y43" i="22"/>
  <c r="U43" i="22"/>
  <c r="P43" i="22"/>
  <c r="Q43" i="22"/>
  <c r="K43" i="22"/>
  <c r="R43" i="22"/>
  <c r="V43" i="22"/>
  <c r="M43" i="22"/>
  <c r="F43" i="22"/>
  <c r="I43" i="22"/>
  <c r="W45" i="22"/>
  <c r="V13" i="22"/>
  <c r="R13" i="22"/>
  <c r="M13" i="22"/>
  <c r="J13" i="22"/>
  <c r="H13" i="22"/>
  <c r="N13" i="22"/>
  <c r="S13" i="22"/>
  <c r="O13" i="22"/>
  <c r="T13" i="22"/>
  <c r="L13" i="22"/>
  <c r="U13" i="22"/>
  <c r="P13" i="22"/>
  <c r="K13" i="22"/>
  <c r="I13" i="22"/>
  <c r="Q13" i="22"/>
  <c r="F13" i="22"/>
  <c r="F65" i="22"/>
  <c r="X65" i="22"/>
  <c r="O65" i="22"/>
  <c r="H65" i="22"/>
  <c r="N150" i="22"/>
  <c r="V150" i="22"/>
  <c r="U150" i="22"/>
  <c r="G122" i="22"/>
  <c r="AI122" i="22" s="1"/>
  <c r="G97" i="22"/>
  <c r="AI97" i="22" s="1"/>
  <c r="R7" i="22"/>
  <c r="Y7" i="22"/>
  <c r="R10" i="22"/>
  <c r="U128" i="22"/>
  <c r="W59" i="9"/>
  <c r="F37" i="9"/>
  <c r="M68" i="6"/>
  <c r="L68" i="6"/>
  <c r="J68" i="6"/>
  <c r="H68" i="6"/>
  <c r="F68" i="6"/>
  <c r="E68" i="9" s="1"/>
  <c r="D68" i="9" s="1"/>
  <c r="N68" i="6"/>
  <c r="K68" i="6"/>
  <c r="I68" i="6"/>
  <c r="G68" i="6"/>
  <c r="X118" i="22"/>
  <c r="W118" i="22"/>
  <c r="O118" i="22"/>
  <c r="N118" i="22"/>
  <c r="J118" i="22"/>
  <c r="Y118" i="22"/>
  <c r="P118" i="22"/>
  <c r="M118" i="22"/>
  <c r="U118" i="22"/>
  <c r="T118" i="22"/>
  <c r="V118" i="22"/>
  <c r="L118" i="22"/>
  <c r="K118" i="22"/>
  <c r="R118" i="22"/>
  <c r="Q118" i="22"/>
  <c r="S118" i="22"/>
  <c r="F118" i="22"/>
  <c r="I118" i="22"/>
  <c r="H118" i="22"/>
  <c r="K143" i="22"/>
  <c r="I143" i="22"/>
  <c r="L143" i="22"/>
  <c r="M143" i="22"/>
  <c r="H143" i="22"/>
  <c r="J143" i="22"/>
  <c r="F143" i="22"/>
  <c r="X109" i="22"/>
  <c r="W109" i="22"/>
  <c r="O109" i="22"/>
  <c r="N109" i="22"/>
  <c r="J109" i="22"/>
  <c r="Y109" i="22"/>
  <c r="P109" i="22"/>
  <c r="M109" i="22"/>
  <c r="U109" i="22"/>
  <c r="T109" i="22"/>
  <c r="V109" i="22"/>
  <c r="L109" i="22"/>
  <c r="K109" i="22"/>
  <c r="R109" i="22"/>
  <c r="Q109" i="22"/>
  <c r="S109" i="22"/>
  <c r="F109" i="22"/>
  <c r="I109" i="22"/>
  <c r="H109" i="22"/>
  <c r="G15" i="22"/>
  <c r="AI15" i="22" s="1"/>
  <c r="U15" i="22"/>
  <c r="P15" i="22"/>
  <c r="K15" i="22"/>
  <c r="Q15" i="22"/>
  <c r="V15" i="22"/>
  <c r="R15" i="22"/>
  <c r="M15" i="22"/>
  <c r="J15" i="22"/>
  <c r="H15" i="22"/>
  <c r="W15" i="22"/>
  <c r="N15" i="22"/>
  <c r="X15" i="22"/>
  <c r="S15" i="22"/>
  <c r="O15" i="22"/>
  <c r="L15" i="22"/>
  <c r="T15" i="22"/>
  <c r="I15" i="22"/>
  <c r="F15" i="22"/>
  <c r="X154" i="22"/>
  <c r="V144" i="22"/>
  <c r="V137" i="6" s="1"/>
  <c r="R144" i="22"/>
  <c r="R137" i="6" s="1"/>
  <c r="Q144" i="22"/>
  <c r="Q137" i="6" s="1"/>
  <c r="F137" i="37" s="1"/>
  <c r="K144" i="22"/>
  <c r="K137" i="6" s="1"/>
  <c r="I144" i="22"/>
  <c r="I137" i="6" s="1"/>
  <c r="X144" i="22"/>
  <c r="X137" i="6" s="1"/>
  <c r="W144" i="22"/>
  <c r="W137" i="6" s="1"/>
  <c r="S144" i="22"/>
  <c r="S137" i="6" s="1"/>
  <c r="O144" i="22"/>
  <c r="O137" i="6" s="1"/>
  <c r="N144" i="22"/>
  <c r="N137" i="6" s="1"/>
  <c r="Y144" i="22"/>
  <c r="U144" i="22"/>
  <c r="U137" i="6" s="1"/>
  <c r="T144" i="22"/>
  <c r="T137" i="6" s="1"/>
  <c r="P144" i="22"/>
  <c r="P137" i="6" s="1"/>
  <c r="L144" i="22"/>
  <c r="L137" i="6" s="1"/>
  <c r="J144" i="22"/>
  <c r="J137" i="6" s="1"/>
  <c r="F144" i="22"/>
  <c r="F137" i="6" s="1"/>
  <c r="E137" i="9" s="1"/>
  <c r="D137" i="9" s="1"/>
  <c r="F137" i="9" s="1"/>
  <c r="H144" i="22"/>
  <c r="H137" i="6" s="1"/>
  <c r="M144" i="22"/>
  <c r="M137" i="6" s="1"/>
  <c r="P24" i="13"/>
  <c r="W150" i="22"/>
  <c r="M150" i="22"/>
  <c r="Y150" i="22"/>
  <c r="AI55" i="6"/>
  <c r="F55" i="9"/>
  <c r="N112" i="10"/>
  <c r="N112" i="11" s="1"/>
  <c r="G58" i="9"/>
  <c r="G58" i="10" s="1"/>
  <c r="V58" i="9"/>
  <c r="V58" i="10" s="1"/>
  <c r="V58" i="11" s="1"/>
  <c r="Z58" i="9"/>
  <c r="T58" i="9"/>
  <c r="T58" i="10" s="1"/>
  <c r="T58" i="11" s="1"/>
  <c r="S58" i="9"/>
  <c r="R58" i="9"/>
  <c r="R58" i="10" s="1"/>
  <c r="R58" i="11" s="1"/>
  <c r="Q58" i="9"/>
  <c r="Q58" i="10" s="1"/>
  <c r="Q58" i="11" s="1"/>
  <c r="P58" i="9"/>
  <c r="O58" i="9"/>
  <c r="E58" i="20"/>
  <c r="H58" i="9"/>
  <c r="H58" i="10" s="1"/>
  <c r="H58" i="11" s="1"/>
  <c r="E72" i="20"/>
  <c r="G72" i="9"/>
  <c r="G72" i="10" s="1"/>
  <c r="J121" i="10"/>
  <c r="J121" i="11" s="1"/>
  <c r="I145" i="10"/>
  <c r="I305" i="12" s="1"/>
  <c r="I145" i="16" s="1"/>
  <c r="I305" i="17" s="1"/>
  <c r="L69" i="6"/>
  <c r="N69" i="6"/>
  <c r="K69" i="6"/>
  <c r="J69" i="6"/>
  <c r="M69" i="6"/>
  <c r="H69" i="6"/>
  <c r="G69" i="6"/>
  <c r="I69" i="6"/>
  <c r="F69" i="6"/>
  <c r="E69" i="9" s="1"/>
  <c r="D69" i="9" s="1"/>
  <c r="Z72" i="10"/>
  <c r="E88" i="20"/>
  <c r="I33" i="9"/>
  <c r="E33" i="20"/>
  <c r="W106" i="22"/>
  <c r="T106" i="22"/>
  <c r="Q106" i="22"/>
  <c r="N106" i="22"/>
  <c r="Y106" i="22"/>
  <c r="V106" i="22"/>
  <c r="S106" i="22"/>
  <c r="P106" i="22"/>
  <c r="M106" i="22"/>
  <c r="L106" i="22"/>
  <c r="I106" i="22"/>
  <c r="U106" i="22"/>
  <c r="O106" i="22"/>
  <c r="J106" i="22"/>
  <c r="F106" i="22"/>
  <c r="X106" i="22"/>
  <c r="R106" i="22"/>
  <c r="K106" i="22"/>
  <c r="H106" i="22"/>
  <c r="G106" i="22"/>
  <c r="AI106" i="22" s="1"/>
  <c r="M81" i="6"/>
  <c r="K81" i="6"/>
  <c r="L81" i="6"/>
  <c r="N81" i="6"/>
  <c r="I81" i="6"/>
  <c r="G81" i="6"/>
  <c r="J81" i="6"/>
  <c r="H81" i="6"/>
  <c r="F81" i="6"/>
  <c r="E81" i="9" s="1"/>
  <c r="D81" i="9" s="1"/>
  <c r="Y66" i="22"/>
  <c r="V66" i="22"/>
  <c r="V66" i="6" s="1"/>
  <c r="S66" i="22"/>
  <c r="S66" i="6" s="1"/>
  <c r="P66" i="22"/>
  <c r="P66" i="6" s="1"/>
  <c r="W66" i="22"/>
  <c r="W66" i="6" s="1"/>
  <c r="T66" i="22"/>
  <c r="T66" i="6" s="1"/>
  <c r="Q66" i="22"/>
  <c r="Q66" i="6" s="1"/>
  <c r="F66" i="37" s="1"/>
  <c r="N66" i="22"/>
  <c r="N66" i="6" s="1"/>
  <c r="X66" i="22"/>
  <c r="X66" i="6" s="1"/>
  <c r="U66" i="22"/>
  <c r="U66" i="6" s="1"/>
  <c r="R66" i="22"/>
  <c r="R66" i="6" s="1"/>
  <c r="O66" i="22"/>
  <c r="O66" i="6" s="1"/>
  <c r="L66" i="22"/>
  <c r="L66" i="6" s="1"/>
  <c r="I66" i="22"/>
  <c r="I66" i="6" s="1"/>
  <c r="J66" i="22"/>
  <c r="J66" i="6" s="1"/>
  <c r="F66" i="22"/>
  <c r="F66" i="6" s="1"/>
  <c r="E66" i="9" s="1"/>
  <c r="D66" i="9" s="1"/>
  <c r="W66" i="9" s="1"/>
  <c r="M66" i="22"/>
  <c r="M66" i="6" s="1"/>
  <c r="H66" i="22"/>
  <c r="H66" i="6" s="1"/>
  <c r="K66" i="22"/>
  <c r="K66" i="6" s="1"/>
  <c r="G66" i="22"/>
  <c r="V224" i="12"/>
  <c r="V64" i="11"/>
  <c r="M41" i="6"/>
  <c r="J41" i="6"/>
  <c r="N41" i="6"/>
  <c r="I41" i="6"/>
  <c r="K41" i="6"/>
  <c r="L41" i="6"/>
  <c r="F41" i="6"/>
  <c r="E41" i="9" s="1"/>
  <c r="D41" i="9" s="1"/>
  <c r="G41" i="6"/>
  <c r="H41" i="6"/>
  <c r="J127" i="6"/>
  <c r="L127" i="6"/>
  <c r="N127" i="6"/>
  <c r="K127" i="6"/>
  <c r="M127" i="6"/>
  <c r="F127" i="6"/>
  <c r="E127" i="9" s="1"/>
  <c r="D127" i="9" s="1"/>
  <c r="I127" i="6"/>
  <c r="H127" i="6"/>
  <c r="G127" i="6"/>
  <c r="L26" i="6"/>
  <c r="N26" i="6"/>
  <c r="I26" i="6"/>
  <c r="K26" i="6"/>
  <c r="J26" i="6"/>
  <c r="H26" i="6"/>
  <c r="G26" i="6"/>
  <c r="F26" i="6"/>
  <c r="E26" i="9" s="1"/>
  <c r="D26" i="9" s="1"/>
  <c r="M26" i="6"/>
  <c r="M109" i="6"/>
  <c r="K109" i="6"/>
  <c r="J109" i="6"/>
  <c r="N109" i="6"/>
  <c r="L109" i="6"/>
  <c r="F109" i="6"/>
  <c r="E109" i="9" s="1"/>
  <c r="D109" i="9" s="1"/>
  <c r="I109" i="6"/>
  <c r="G109" i="6"/>
  <c r="H109" i="6"/>
  <c r="Y55" i="22"/>
  <c r="V55" i="22"/>
  <c r="S55" i="22"/>
  <c r="P55" i="22"/>
  <c r="M55" i="22"/>
  <c r="X55" i="22"/>
  <c r="U55" i="22"/>
  <c r="R55" i="22"/>
  <c r="O55" i="22"/>
  <c r="K55" i="22"/>
  <c r="H55" i="22"/>
  <c r="W55" i="22"/>
  <c r="Q55" i="22"/>
  <c r="L55" i="22"/>
  <c r="I55" i="22"/>
  <c r="J55" i="22"/>
  <c r="F55" i="22"/>
  <c r="T55" i="22"/>
  <c r="N55" i="22"/>
  <c r="G55" i="22"/>
  <c r="AI55" i="22" s="1"/>
  <c r="W24" i="10"/>
  <c r="W24" i="11" s="1"/>
  <c r="N133" i="9"/>
  <c r="E133" i="20"/>
  <c r="Q61" i="9"/>
  <c r="K61" i="9"/>
  <c r="U61" i="9"/>
  <c r="U61" i="10" s="1"/>
  <c r="U61" i="11" s="1"/>
  <c r="S61" i="9"/>
  <c r="S61" i="10" s="1"/>
  <c r="S61" i="11" s="1"/>
  <c r="L61" i="9"/>
  <c r="Y61" i="9"/>
  <c r="Y61" i="10" s="1"/>
  <c r="Y61" i="11" s="1"/>
  <c r="T61" i="9"/>
  <c r="Z61" i="9"/>
  <c r="I61" i="37" s="1"/>
  <c r="R61" i="9"/>
  <c r="J61" i="9"/>
  <c r="W61" i="9"/>
  <c r="W61" i="10" s="1"/>
  <c r="W61" i="11" s="1"/>
  <c r="N61" i="9"/>
  <c r="H61" i="9"/>
  <c r="X61" i="9"/>
  <c r="P61" i="9"/>
  <c r="H61" i="37" s="1"/>
  <c r="I61" i="9"/>
  <c r="I61" i="10" s="1"/>
  <c r="I61" i="11" s="1"/>
  <c r="G61" i="9"/>
  <c r="G61" i="10" s="1"/>
  <c r="V61" i="9"/>
  <c r="E59" i="20"/>
  <c r="G59" i="9"/>
  <c r="G59" i="10" s="1"/>
  <c r="G37" i="9"/>
  <c r="E37" i="20"/>
  <c r="AE7" i="1" s="1"/>
  <c r="I36" i="9"/>
  <c r="E36" i="20"/>
  <c r="AE63" i="1" s="1"/>
  <c r="N43" i="6"/>
  <c r="I43" i="6"/>
  <c r="K43" i="6"/>
  <c r="M43" i="6"/>
  <c r="J43" i="6"/>
  <c r="L43" i="6"/>
  <c r="G43" i="6"/>
  <c r="F43" i="6"/>
  <c r="E43" i="9" s="1"/>
  <c r="D43" i="9" s="1"/>
  <c r="H43" i="6"/>
  <c r="L50" i="6"/>
  <c r="N50" i="6"/>
  <c r="I50" i="6"/>
  <c r="K50" i="6"/>
  <c r="J50" i="6"/>
  <c r="M50" i="6"/>
  <c r="H50" i="6"/>
  <c r="G50" i="6"/>
  <c r="F50" i="6"/>
  <c r="E50" i="9" s="1"/>
  <c r="D50" i="9" s="1"/>
  <c r="L83" i="6"/>
  <c r="N83" i="6"/>
  <c r="J83" i="6"/>
  <c r="H83" i="6"/>
  <c r="I83" i="6"/>
  <c r="G83" i="6"/>
  <c r="K83" i="6"/>
  <c r="F83" i="6"/>
  <c r="E83" i="9" s="1"/>
  <c r="D83" i="9" s="1"/>
  <c r="M83" i="6"/>
  <c r="L120" i="6"/>
  <c r="N120" i="6"/>
  <c r="I120" i="6"/>
  <c r="M120" i="6"/>
  <c r="J120" i="6"/>
  <c r="H120" i="6"/>
  <c r="K120" i="6"/>
  <c r="F120" i="6"/>
  <c r="E120" i="9" s="1"/>
  <c r="D120" i="9" s="1"/>
  <c r="G120" i="6"/>
  <c r="N19" i="6"/>
  <c r="I19" i="6"/>
  <c r="K19" i="6"/>
  <c r="M19" i="6"/>
  <c r="J19" i="6"/>
  <c r="L19" i="6"/>
  <c r="G19" i="6"/>
  <c r="F19" i="6"/>
  <c r="E19" i="9" s="1"/>
  <c r="D19" i="9" s="1"/>
  <c r="H19" i="6"/>
  <c r="J147" i="6"/>
  <c r="L147" i="6"/>
  <c r="N147" i="6"/>
  <c r="K147" i="6"/>
  <c r="M147" i="6"/>
  <c r="F147" i="6"/>
  <c r="E147" i="9" s="1"/>
  <c r="D147" i="9" s="1"/>
  <c r="H147" i="6"/>
  <c r="G147" i="6"/>
  <c r="I147" i="6"/>
  <c r="J39" i="6"/>
  <c r="L39" i="6"/>
  <c r="N39" i="6"/>
  <c r="I39" i="6"/>
  <c r="M39" i="6"/>
  <c r="F39" i="6"/>
  <c r="E39" i="9" s="1"/>
  <c r="D39" i="9" s="1"/>
  <c r="H39" i="6"/>
  <c r="K39" i="6"/>
  <c r="G39" i="6"/>
  <c r="J108" i="6"/>
  <c r="L108" i="6"/>
  <c r="M108" i="6"/>
  <c r="K108" i="6"/>
  <c r="F108" i="6"/>
  <c r="E108" i="9" s="1"/>
  <c r="D108" i="9" s="1"/>
  <c r="H108" i="6"/>
  <c r="G108" i="6"/>
  <c r="N108" i="6"/>
  <c r="I108" i="6"/>
  <c r="K79" i="6"/>
  <c r="W112" i="22"/>
  <c r="T112" i="22"/>
  <c r="Q112" i="22"/>
  <c r="N112" i="22"/>
  <c r="X112" i="22"/>
  <c r="U112" i="22"/>
  <c r="R112" i="22"/>
  <c r="O112" i="22"/>
  <c r="Y112" i="22"/>
  <c r="V112" i="22"/>
  <c r="S112" i="22"/>
  <c r="P112" i="22"/>
  <c r="J112" i="22"/>
  <c r="F112" i="22"/>
  <c r="K112" i="22"/>
  <c r="H112" i="22"/>
  <c r="M112" i="22"/>
  <c r="L112" i="22"/>
  <c r="I112" i="22"/>
  <c r="G112" i="22"/>
  <c r="AI112" i="22" s="1"/>
  <c r="W41" i="22"/>
  <c r="T41" i="22"/>
  <c r="Q41" i="22"/>
  <c r="N41" i="22"/>
  <c r="Y41" i="22"/>
  <c r="V41" i="22"/>
  <c r="S41" i="22"/>
  <c r="P41" i="22"/>
  <c r="M41" i="22"/>
  <c r="U41" i="22"/>
  <c r="O41" i="22"/>
  <c r="L41" i="22"/>
  <c r="I41" i="22"/>
  <c r="J41" i="22"/>
  <c r="F41" i="22"/>
  <c r="X41" i="22"/>
  <c r="R41" i="22"/>
  <c r="K41" i="22"/>
  <c r="H41" i="22"/>
  <c r="X97" i="22"/>
  <c r="U97" i="22"/>
  <c r="R97" i="22"/>
  <c r="O97" i="22"/>
  <c r="W97" i="22"/>
  <c r="T97" i="22"/>
  <c r="Q97" i="22"/>
  <c r="N97" i="22"/>
  <c r="J97" i="22"/>
  <c r="F97" i="22"/>
  <c r="Y97" i="22"/>
  <c r="S97" i="22"/>
  <c r="K97" i="22"/>
  <c r="H97" i="22"/>
  <c r="M97" i="22"/>
  <c r="L97" i="22"/>
  <c r="I97" i="22"/>
  <c r="V97" i="22"/>
  <c r="P97" i="22"/>
  <c r="Y146" i="22"/>
  <c r="V146" i="22"/>
  <c r="S146" i="22"/>
  <c r="P146" i="22"/>
  <c r="W146" i="22"/>
  <c r="T146" i="22"/>
  <c r="Q146" i="22"/>
  <c r="N146" i="22"/>
  <c r="X146" i="22"/>
  <c r="U146" i="22"/>
  <c r="R146" i="22"/>
  <c r="O146" i="22"/>
  <c r="M146" i="22"/>
  <c r="L146" i="22"/>
  <c r="I146" i="22"/>
  <c r="J146" i="22"/>
  <c r="F146" i="22"/>
  <c r="K146" i="22"/>
  <c r="H146" i="22"/>
  <c r="Y81" i="22"/>
  <c r="V81" i="22"/>
  <c r="S81" i="22"/>
  <c r="P81" i="22"/>
  <c r="X81" i="22"/>
  <c r="U81" i="22"/>
  <c r="R81" i="22"/>
  <c r="O81" i="22"/>
  <c r="K81" i="22"/>
  <c r="H81" i="22"/>
  <c r="T81" i="22"/>
  <c r="N81" i="22"/>
  <c r="L81" i="22"/>
  <c r="I81" i="22"/>
  <c r="M81" i="22"/>
  <c r="J81" i="22"/>
  <c r="F81" i="22"/>
  <c r="W81" i="22"/>
  <c r="Q81" i="22"/>
  <c r="M10" i="22"/>
  <c r="O10" i="22"/>
  <c r="T10" i="22"/>
  <c r="P165" i="22"/>
  <c r="U165" i="22"/>
  <c r="K18" i="9"/>
  <c r="F20" i="9"/>
  <c r="AI20" i="6"/>
  <c r="Q141" i="22"/>
  <c r="V141" i="22"/>
  <c r="R184" i="13"/>
  <c r="R24" i="14" s="1"/>
  <c r="R24" i="13"/>
  <c r="I169" i="22"/>
  <c r="K169" i="22"/>
  <c r="I148" i="10"/>
  <c r="I308" i="12" s="1"/>
  <c r="I148" i="16" s="1"/>
  <c r="I308" i="17" s="1"/>
  <c r="H133" i="10"/>
  <c r="H293" i="12" s="1"/>
  <c r="H293" i="13" s="1"/>
  <c r="Q36" i="9"/>
  <c r="O32" i="9"/>
  <c r="P133" i="9"/>
  <c r="H133" i="37" s="1"/>
  <c r="K133" i="9"/>
  <c r="Z133" i="9"/>
  <c r="I133" i="37" s="1"/>
  <c r="F133" i="9"/>
  <c r="Z96" i="9"/>
  <c r="K96" i="9"/>
  <c r="S59" i="9"/>
  <c r="F96" i="9"/>
  <c r="M47" i="6"/>
  <c r="J47" i="6"/>
  <c r="N47" i="6"/>
  <c r="I47" i="6"/>
  <c r="K47" i="6"/>
  <c r="L47" i="6"/>
  <c r="F47" i="6"/>
  <c r="E47" i="9" s="1"/>
  <c r="D47" i="9" s="1"/>
  <c r="G47" i="6"/>
  <c r="H47" i="6"/>
  <c r="L44" i="6"/>
  <c r="N44" i="6"/>
  <c r="I44" i="6"/>
  <c r="K44" i="6"/>
  <c r="J44" i="6"/>
  <c r="H44" i="6"/>
  <c r="M44" i="6"/>
  <c r="G44" i="6"/>
  <c r="F44" i="6"/>
  <c r="E44" i="9" s="1"/>
  <c r="D44" i="9" s="1"/>
  <c r="I95" i="6"/>
  <c r="W125" i="22"/>
  <c r="T125" i="22"/>
  <c r="Q125" i="22"/>
  <c r="N125" i="22"/>
  <c r="G125" i="22"/>
  <c r="AI125" i="22" s="1"/>
  <c r="X125" i="22"/>
  <c r="U125" i="22"/>
  <c r="R125" i="22"/>
  <c r="O125" i="22"/>
  <c r="Y125" i="22"/>
  <c r="V125" i="22"/>
  <c r="S125" i="22"/>
  <c r="P125" i="22"/>
  <c r="J125" i="22"/>
  <c r="F125" i="22"/>
  <c r="K125" i="22"/>
  <c r="H125" i="22"/>
  <c r="M125" i="22"/>
  <c r="I125" i="22"/>
  <c r="L125" i="22"/>
  <c r="X156" i="22"/>
  <c r="U156" i="22"/>
  <c r="R156" i="22"/>
  <c r="O156" i="22"/>
  <c r="W156" i="22"/>
  <c r="T156" i="22"/>
  <c r="Q156" i="22"/>
  <c r="N156" i="22"/>
  <c r="J156" i="22"/>
  <c r="F156" i="22"/>
  <c r="V156" i="22"/>
  <c r="P156" i="22"/>
  <c r="M156" i="22"/>
  <c r="K156" i="22"/>
  <c r="H156" i="22"/>
  <c r="G156" i="22"/>
  <c r="AI156" i="22" s="1"/>
  <c r="L156" i="22"/>
  <c r="I156" i="22"/>
  <c r="Y156" i="22"/>
  <c r="S156" i="22"/>
  <c r="J165" i="22"/>
  <c r="F165" i="22"/>
  <c r="M165" i="22"/>
  <c r="K165" i="22"/>
  <c r="H165" i="22"/>
  <c r="G165" i="22"/>
  <c r="AI165" i="22" s="1"/>
  <c r="I165" i="22"/>
  <c r="L165" i="22"/>
  <c r="K141" i="22"/>
  <c r="H141" i="22"/>
  <c r="M141" i="22"/>
  <c r="L141" i="22"/>
  <c r="I141" i="22"/>
  <c r="F141" i="22"/>
  <c r="J141" i="22"/>
  <c r="M169" i="22"/>
  <c r="F169" i="22"/>
  <c r="J169" i="22"/>
  <c r="P169" i="22"/>
  <c r="U169" i="22"/>
  <c r="L133" i="10"/>
  <c r="L133" i="11" s="1"/>
  <c r="V32" i="9"/>
  <c r="K32" i="9"/>
  <c r="R33" i="9"/>
  <c r="R33" i="10" s="1"/>
  <c r="R193" i="12" s="1"/>
  <c r="R33" i="16" s="1"/>
  <c r="F33" i="9"/>
  <c r="E32" i="20"/>
  <c r="L64" i="11"/>
  <c r="N49" i="6"/>
  <c r="I49" i="6"/>
  <c r="K49" i="6"/>
  <c r="M49" i="6"/>
  <c r="J49" i="6"/>
  <c r="L49" i="6"/>
  <c r="G49" i="6"/>
  <c r="F49" i="6"/>
  <c r="E49" i="9" s="1"/>
  <c r="D49" i="9" s="1"/>
  <c r="H49" i="6"/>
  <c r="J9" i="6"/>
  <c r="L9" i="6"/>
  <c r="N9" i="6"/>
  <c r="I9" i="6"/>
  <c r="M9" i="6"/>
  <c r="F9" i="6"/>
  <c r="H9" i="6"/>
  <c r="K9" i="6"/>
  <c r="G9" i="6"/>
  <c r="K54" i="6"/>
  <c r="M54" i="6"/>
  <c r="L54" i="6"/>
  <c r="N54" i="6"/>
  <c r="I54" i="6"/>
  <c r="J54" i="6"/>
  <c r="G54" i="6"/>
  <c r="H54" i="6"/>
  <c r="F54" i="6"/>
  <c r="E54" i="9" s="1"/>
  <c r="D54" i="9" s="1"/>
  <c r="M103" i="6"/>
  <c r="K103" i="6"/>
  <c r="J103" i="6"/>
  <c r="N103" i="6"/>
  <c r="F103" i="6"/>
  <c r="E103" i="9" s="1"/>
  <c r="D103" i="9" s="1"/>
  <c r="I103" i="6"/>
  <c r="G103" i="6"/>
  <c r="H103" i="6"/>
  <c r="L103" i="6"/>
  <c r="J76" i="6"/>
  <c r="L76" i="6"/>
  <c r="N76" i="6"/>
  <c r="I76" i="6"/>
  <c r="M76" i="6"/>
  <c r="F76" i="6"/>
  <c r="E76" i="9" s="1"/>
  <c r="D76" i="9" s="1"/>
  <c r="K76" i="6"/>
  <c r="H76" i="6"/>
  <c r="G76" i="6"/>
  <c r="L154" i="6"/>
  <c r="N154" i="6"/>
  <c r="M154" i="6"/>
  <c r="J154" i="6"/>
  <c r="H154" i="6"/>
  <c r="K154" i="6"/>
  <c r="I154" i="6"/>
  <c r="F154" i="6"/>
  <c r="E154" i="9" s="1"/>
  <c r="D154" i="9" s="1"/>
  <c r="G154" i="6"/>
  <c r="K123" i="6"/>
  <c r="M123" i="6"/>
  <c r="J123" i="6"/>
  <c r="N123" i="6"/>
  <c r="G123" i="6"/>
  <c r="F123" i="6"/>
  <c r="E123" i="9" s="1"/>
  <c r="D123" i="9" s="1"/>
  <c r="L123" i="6"/>
  <c r="I123" i="6"/>
  <c r="H123" i="6"/>
  <c r="I140" i="9"/>
  <c r="Y122" i="22"/>
  <c r="V122" i="22"/>
  <c r="S122" i="22"/>
  <c r="P122" i="22"/>
  <c r="X122" i="22"/>
  <c r="U122" i="22"/>
  <c r="R122" i="22"/>
  <c r="O122" i="22"/>
  <c r="W122" i="22"/>
  <c r="Q122" i="22"/>
  <c r="K122" i="22"/>
  <c r="H122" i="22"/>
  <c r="M122" i="22"/>
  <c r="L122" i="22"/>
  <c r="I122" i="22"/>
  <c r="T122" i="22"/>
  <c r="N122" i="22"/>
  <c r="J122" i="22"/>
  <c r="F122" i="22"/>
  <c r="Y159" i="22"/>
  <c r="V159" i="22"/>
  <c r="S159" i="22"/>
  <c r="P159" i="22"/>
  <c r="W159" i="22"/>
  <c r="T159" i="22"/>
  <c r="Q159" i="22"/>
  <c r="N159" i="22"/>
  <c r="X159" i="22"/>
  <c r="U159" i="22"/>
  <c r="R159" i="22"/>
  <c r="O159" i="22"/>
  <c r="L159" i="22"/>
  <c r="I159" i="22"/>
  <c r="J159" i="22"/>
  <c r="F159" i="22"/>
  <c r="M159" i="22"/>
  <c r="G159" i="22"/>
  <c r="AI159" i="22" s="1"/>
  <c r="K159" i="22"/>
  <c r="H159" i="22"/>
  <c r="G41" i="22"/>
  <c r="AI41" i="22" s="1"/>
  <c r="X70" i="22"/>
  <c r="U70" i="22"/>
  <c r="R70" i="22"/>
  <c r="O70" i="22"/>
  <c r="W70" i="22"/>
  <c r="T70" i="22"/>
  <c r="Q70" i="22"/>
  <c r="N70" i="22"/>
  <c r="Y70" i="22"/>
  <c r="S70" i="22"/>
  <c r="J70" i="22"/>
  <c r="F70" i="22"/>
  <c r="M70" i="22"/>
  <c r="K70" i="22"/>
  <c r="H70" i="22"/>
  <c r="V70" i="22"/>
  <c r="P70" i="22"/>
  <c r="L70" i="22"/>
  <c r="I70" i="22"/>
  <c r="W151" i="22"/>
  <c r="T151" i="22"/>
  <c r="Q151" i="22"/>
  <c r="N151" i="22"/>
  <c r="X151" i="22"/>
  <c r="U151" i="22"/>
  <c r="R151" i="22"/>
  <c r="O151" i="22"/>
  <c r="Y151" i="22"/>
  <c r="V151" i="22"/>
  <c r="S151" i="22"/>
  <c r="P151" i="22"/>
  <c r="J151" i="22"/>
  <c r="F151" i="22"/>
  <c r="K151" i="22"/>
  <c r="H151" i="22"/>
  <c r="G151" i="22"/>
  <c r="AI151" i="22" s="1"/>
  <c r="M151" i="22"/>
  <c r="I151" i="22"/>
  <c r="L151" i="22"/>
  <c r="X155" i="22"/>
  <c r="U155" i="22"/>
  <c r="R155" i="22"/>
  <c r="O155" i="22"/>
  <c r="Y155" i="22"/>
  <c r="V155" i="22"/>
  <c r="S155" i="22"/>
  <c r="P155" i="22"/>
  <c r="W155" i="22"/>
  <c r="T155" i="22"/>
  <c r="Q155" i="22"/>
  <c r="N155" i="22"/>
  <c r="M155" i="22"/>
  <c r="K155" i="22"/>
  <c r="H155" i="22"/>
  <c r="G155" i="22"/>
  <c r="AI155" i="22" s="1"/>
  <c r="L155" i="22"/>
  <c r="I155" i="22"/>
  <c r="J155" i="22"/>
  <c r="F155" i="22"/>
  <c r="W131" i="22"/>
  <c r="T131" i="22"/>
  <c r="Q131" i="22"/>
  <c r="N131" i="22"/>
  <c r="X131" i="22"/>
  <c r="U131" i="22"/>
  <c r="R131" i="22"/>
  <c r="O131" i="22"/>
  <c r="Y131" i="22"/>
  <c r="V131" i="22"/>
  <c r="S131" i="22"/>
  <c r="P131" i="22"/>
  <c r="J131" i="22"/>
  <c r="F131" i="22"/>
  <c r="K131" i="22"/>
  <c r="H131" i="22"/>
  <c r="M131" i="22"/>
  <c r="I131" i="22"/>
  <c r="L131" i="22"/>
  <c r="S10" i="22"/>
  <c r="U10" i="22"/>
  <c r="R128" i="22"/>
  <c r="Y128" i="22"/>
  <c r="V165" i="22"/>
  <c r="N165" i="22"/>
  <c r="G18" i="9"/>
  <c r="L18" i="9"/>
  <c r="W141" i="22"/>
  <c r="O141" i="22"/>
  <c r="L158" i="22"/>
  <c r="I158" i="22"/>
  <c r="U158" i="22"/>
  <c r="O158" i="22"/>
  <c r="J158" i="22"/>
  <c r="F158" i="22"/>
  <c r="X158" i="22"/>
  <c r="R158" i="22"/>
  <c r="K158" i="22"/>
  <c r="H158" i="22"/>
  <c r="G158" i="22"/>
  <c r="AI158" i="22" s="1"/>
  <c r="N169" i="22"/>
  <c r="S169" i="22"/>
  <c r="X169" i="22"/>
  <c r="W133" i="13"/>
  <c r="F88" i="9"/>
  <c r="AI88" i="6"/>
  <c r="F58" i="9"/>
  <c r="AI58" i="6"/>
  <c r="J32" i="9"/>
  <c r="J32" i="10" s="1"/>
  <c r="G132" i="9"/>
  <c r="G132" i="10" s="1"/>
  <c r="F112" i="9"/>
  <c r="AI112" i="6"/>
  <c r="J36" i="9"/>
  <c r="H32" i="9"/>
  <c r="M133" i="9"/>
  <c r="M32" i="9"/>
  <c r="M96" i="9"/>
  <c r="I261" i="13"/>
  <c r="I101" i="13"/>
  <c r="X37" i="9"/>
  <c r="Y96" i="9"/>
  <c r="F32" i="9"/>
  <c r="J63" i="6"/>
  <c r="L63" i="6"/>
  <c r="N63" i="6"/>
  <c r="I63" i="6"/>
  <c r="M63" i="6"/>
  <c r="F63" i="6"/>
  <c r="E63" i="9" s="1"/>
  <c r="D63" i="9" s="1"/>
  <c r="H63" i="6"/>
  <c r="K63" i="6"/>
  <c r="G63" i="6"/>
  <c r="K149" i="6"/>
  <c r="M149" i="6"/>
  <c r="J149" i="6"/>
  <c r="N149" i="6"/>
  <c r="L149" i="6"/>
  <c r="G149" i="6"/>
  <c r="I149" i="6"/>
  <c r="F149" i="6"/>
  <c r="E149" i="9" s="1"/>
  <c r="D149" i="9" s="1"/>
  <c r="H149" i="6"/>
  <c r="J34" i="6"/>
  <c r="L34" i="6"/>
  <c r="K34" i="6"/>
  <c r="M34" i="6"/>
  <c r="N34" i="6"/>
  <c r="F34" i="6"/>
  <c r="E34" i="9" s="1"/>
  <c r="D34" i="9" s="1"/>
  <c r="H34" i="6"/>
  <c r="G34" i="6"/>
  <c r="I34" i="6"/>
  <c r="K129" i="6"/>
  <c r="M129" i="6"/>
  <c r="J129" i="6"/>
  <c r="N129" i="6"/>
  <c r="G129" i="6"/>
  <c r="F129" i="6"/>
  <c r="E129" i="9" s="1"/>
  <c r="D129" i="9" s="1"/>
  <c r="L129" i="6"/>
  <c r="I129" i="6"/>
  <c r="H129" i="6"/>
  <c r="L146" i="6"/>
  <c r="N146" i="6"/>
  <c r="M146" i="6"/>
  <c r="J146" i="6"/>
  <c r="H146" i="6"/>
  <c r="I146" i="6"/>
  <c r="F146" i="6"/>
  <c r="E146" i="9" s="1"/>
  <c r="D146" i="9" s="1"/>
  <c r="G146" i="6"/>
  <c r="K146" i="6"/>
  <c r="J141" i="6"/>
  <c r="L141" i="6"/>
  <c r="N141" i="6"/>
  <c r="K141" i="6"/>
  <c r="M141" i="6"/>
  <c r="F141" i="6"/>
  <c r="E141" i="9" s="1"/>
  <c r="D141" i="9" s="1"/>
  <c r="H141" i="6"/>
  <c r="G141" i="6"/>
  <c r="I141" i="6"/>
  <c r="J10" i="22"/>
  <c r="F10" i="22"/>
  <c r="K10" i="22"/>
  <c r="H10" i="22"/>
  <c r="I10" i="22"/>
  <c r="L10" i="22"/>
  <c r="W29" i="22"/>
  <c r="T29" i="22"/>
  <c r="Q29" i="22"/>
  <c r="N29" i="22"/>
  <c r="Y29" i="22"/>
  <c r="V29" i="22"/>
  <c r="S29" i="22"/>
  <c r="P29" i="22"/>
  <c r="M29" i="22"/>
  <c r="L29" i="22"/>
  <c r="I29" i="22"/>
  <c r="X29" i="22"/>
  <c r="R29" i="22"/>
  <c r="J29" i="22"/>
  <c r="F29" i="22"/>
  <c r="U29" i="22"/>
  <c r="O29" i="22"/>
  <c r="K29" i="22"/>
  <c r="H29" i="22"/>
  <c r="Y101" i="22"/>
  <c r="V101" i="22"/>
  <c r="S101" i="22"/>
  <c r="P101" i="22"/>
  <c r="X101" i="22"/>
  <c r="U101" i="22"/>
  <c r="R101" i="22"/>
  <c r="O101" i="22"/>
  <c r="K101" i="22"/>
  <c r="H101" i="22"/>
  <c r="T101" i="22"/>
  <c r="N101" i="22"/>
  <c r="M101" i="22"/>
  <c r="L101" i="22"/>
  <c r="I101" i="22"/>
  <c r="W101" i="22"/>
  <c r="Q101" i="22"/>
  <c r="J101" i="22"/>
  <c r="F101" i="22"/>
  <c r="X162" i="22"/>
  <c r="U162" i="22"/>
  <c r="R162" i="22"/>
  <c r="O162" i="22"/>
  <c r="Y162" i="22"/>
  <c r="V162" i="22"/>
  <c r="S162" i="22"/>
  <c r="P162" i="22"/>
  <c r="W162" i="22"/>
  <c r="T162" i="22"/>
  <c r="Q162" i="22"/>
  <c r="N162" i="22"/>
  <c r="M162" i="22"/>
  <c r="K162" i="22"/>
  <c r="H162" i="22"/>
  <c r="G162" i="22"/>
  <c r="AI162" i="22" s="1"/>
  <c r="L162" i="22"/>
  <c r="I162" i="22"/>
  <c r="F162" i="22"/>
  <c r="J162" i="22"/>
  <c r="Y115" i="22"/>
  <c r="V115" i="22"/>
  <c r="S115" i="22"/>
  <c r="P115" i="22"/>
  <c r="X115" i="22"/>
  <c r="U115" i="22"/>
  <c r="R115" i="22"/>
  <c r="O115" i="22"/>
  <c r="K115" i="22"/>
  <c r="H115" i="22"/>
  <c r="W115" i="22"/>
  <c r="Q115" i="22"/>
  <c r="M115" i="22"/>
  <c r="L115" i="22"/>
  <c r="I115" i="22"/>
  <c r="T115" i="22"/>
  <c r="N115" i="22"/>
  <c r="J115" i="22"/>
  <c r="F115" i="22"/>
  <c r="G136" i="22"/>
  <c r="AI136" i="22" s="1"/>
  <c r="X136" i="22"/>
  <c r="U136" i="22"/>
  <c r="R136" i="22"/>
  <c r="O136" i="22"/>
  <c r="W136" i="22"/>
  <c r="T136" i="22"/>
  <c r="Q136" i="22"/>
  <c r="N136" i="22"/>
  <c r="J136" i="22"/>
  <c r="F136" i="22"/>
  <c r="Y136" i="22"/>
  <c r="S136" i="22"/>
  <c r="K136" i="22"/>
  <c r="H136" i="22"/>
  <c r="M136" i="22"/>
  <c r="V136" i="22"/>
  <c r="P136" i="22"/>
  <c r="L136" i="22"/>
  <c r="I136" i="22"/>
  <c r="V10" i="22"/>
  <c r="X10" i="22"/>
  <c r="Y165" i="22"/>
  <c r="Q165" i="22"/>
  <c r="AI18" i="6"/>
  <c r="F18" i="9"/>
  <c r="R141" i="22"/>
  <c r="Q169" i="22"/>
  <c r="V169" i="22"/>
  <c r="H198" i="13"/>
  <c r="H38" i="13"/>
  <c r="X224" i="13"/>
  <c r="X64" i="13"/>
  <c r="R36" i="9"/>
  <c r="Y32" i="9"/>
  <c r="R32" i="9"/>
  <c r="T133" i="9"/>
  <c r="E96" i="20"/>
  <c r="G96" i="9"/>
  <c r="E75" i="20"/>
  <c r="T32" i="9"/>
  <c r="F132" i="9"/>
  <c r="R27" i="11"/>
  <c r="G100" i="9"/>
  <c r="J15" i="6"/>
  <c r="L15" i="6"/>
  <c r="N15" i="6"/>
  <c r="I15" i="6"/>
  <c r="M15" i="6"/>
  <c r="F15" i="6"/>
  <c r="E15" i="9" s="1"/>
  <c r="D15" i="9" s="1"/>
  <c r="H15" i="6"/>
  <c r="K15" i="6"/>
  <c r="G15" i="6"/>
  <c r="J115" i="6"/>
  <c r="L115" i="6"/>
  <c r="M115" i="6"/>
  <c r="K115" i="6"/>
  <c r="F115" i="6"/>
  <c r="E115" i="9" s="1"/>
  <c r="D115" i="9" s="1"/>
  <c r="H115" i="6"/>
  <c r="G115" i="6"/>
  <c r="N115" i="6"/>
  <c r="I115" i="6"/>
  <c r="J99" i="6"/>
  <c r="L99" i="6"/>
  <c r="N99" i="6"/>
  <c r="M99" i="6"/>
  <c r="K99" i="6"/>
  <c r="F99" i="6"/>
  <c r="E99" i="9" s="1"/>
  <c r="D99" i="9" s="1"/>
  <c r="H99" i="6"/>
  <c r="I99" i="6"/>
  <c r="G99" i="6"/>
  <c r="N105" i="6"/>
  <c r="M105" i="6"/>
  <c r="K105" i="6"/>
  <c r="J105" i="6"/>
  <c r="L105" i="6"/>
  <c r="I105" i="6"/>
  <c r="G105" i="6"/>
  <c r="F105" i="6"/>
  <c r="E105" i="9" s="1"/>
  <c r="D105" i="9" s="1"/>
  <c r="H105" i="6"/>
  <c r="L139" i="6"/>
  <c r="N139" i="6"/>
  <c r="I139" i="6"/>
  <c r="M139" i="6"/>
  <c r="J139" i="6"/>
  <c r="H139" i="6"/>
  <c r="K139" i="6"/>
  <c r="F139" i="6"/>
  <c r="E139" i="9" s="1"/>
  <c r="D139" i="9" s="1"/>
  <c r="G139" i="6"/>
  <c r="K157" i="6"/>
  <c r="M157" i="6"/>
  <c r="J157" i="6"/>
  <c r="N157" i="6"/>
  <c r="G157" i="6"/>
  <c r="I157" i="6"/>
  <c r="F157" i="6"/>
  <c r="E157" i="9" s="1"/>
  <c r="D157" i="9" s="1"/>
  <c r="L157" i="6"/>
  <c r="H157" i="6"/>
  <c r="W52" i="22"/>
  <c r="T52" i="22"/>
  <c r="Q52" i="22"/>
  <c r="N52" i="22"/>
  <c r="X52" i="22"/>
  <c r="U52" i="22"/>
  <c r="R52" i="22"/>
  <c r="O52" i="22"/>
  <c r="Y52" i="22"/>
  <c r="V52" i="22"/>
  <c r="S52" i="22"/>
  <c r="P52" i="22"/>
  <c r="M52" i="22"/>
  <c r="J52" i="22"/>
  <c r="F52" i="22"/>
  <c r="K52" i="22"/>
  <c r="H52" i="22"/>
  <c r="I52" i="22"/>
  <c r="L52" i="22"/>
  <c r="K7" i="22"/>
  <c r="H7" i="22"/>
  <c r="T7" i="22"/>
  <c r="N7" i="22"/>
  <c r="L7" i="22"/>
  <c r="I7" i="22"/>
  <c r="J7" i="22"/>
  <c r="F7" i="22"/>
  <c r="W7" i="22"/>
  <c r="Q7" i="22"/>
  <c r="Y10" i="22"/>
  <c r="N10" i="22"/>
  <c r="K128" i="22"/>
  <c r="H128" i="22"/>
  <c r="M128" i="22"/>
  <c r="T128" i="22"/>
  <c r="N128" i="22"/>
  <c r="L128" i="22"/>
  <c r="I128" i="22"/>
  <c r="J128" i="22"/>
  <c r="F128" i="22"/>
  <c r="Q128" i="22"/>
  <c r="W128" i="22"/>
  <c r="O165" i="22"/>
  <c r="T165" i="22"/>
  <c r="J18" i="9"/>
  <c r="J18" i="10" s="1"/>
  <c r="J178" i="12" s="1"/>
  <c r="J18" i="16" s="1"/>
  <c r="G141" i="22"/>
  <c r="AI141" i="22" s="1"/>
  <c r="P141" i="22"/>
  <c r="U141" i="22"/>
  <c r="G169" i="22"/>
  <c r="AI169" i="22" s="1"/>
  <c r="T169" i="22"/>
  <c r="Y169" i="22"/>
  <c r="F72" i="9"/>
  <c r="AI72" i="6"/>
  <c r="Y36" i="9"/>
  <c r="W32" i="9"/>
  <c r="W32" i="10" s="1"/>
  <c r="F75" i="9"/>
  <c r="AI75" i="6"/>
  <c r="S133" i="9"/>
  <c r="N303" i="17"/>
  <c r="N143" i="17"/>
  <c r="AO223" i="1"/>
  <c r="C223" i="1" s="1"/>
  <c r="P223" i="1"/>
  <c r="AO50" i="1"/>
  <c r="C50" i="1" s="1"/>
  <c r="AO25" i="1"/>
  <c r="C25" i="1" s="1"/>
  <c r="AO117" i="1"/>
  <c r="C117" i="1" s="1"/>
  <c r="S24" i="10"/>
  <c r="S24" i="11" s="1"/>
  <c r="Z24" i="10"/>
  <c r="Z24" i="11" s="1"/>
  <c r="I6" i="10"/>
  <c r="I166" i="12" s="1"/>
  <c r="Q11" i="10"/>
  <c r="Q11" i="11" s="1"/>
  <c r="K11" i="10"/>
  <c r="K11" i="11" s="1"/>
  <c r="V171" i="13"/>
  <c r="T38" i="10"/>
  <c r="T38" i="11" s="1"/>
  <c r="L27" i="10"/>
  <c r="L27" i="11" s="1"/>
  <c r="W38" i="10"/>
  <c r="W38" i="11" s="1"/>
  <c r="I38" i="10"/>
  <c r="I38" i="11" s="1"/>
  <c r="S198" i="12"/>
  <c r="H64" i="11"/>
  <c r="O198" i="13"/>
  <c r="O38" i="13"/>
  <c r="W51" i="10"/>
  <c r="W51" i="11" s="1"/>
  <c r="O51" i="10"/>
  <c r="I29" i="10"/>
  <c r="I29" i="11" s="1"/>
  <c r="Z71" i="10"/>
  <c r="Z71" i="11" s="1"/>
  <c r="W71" i="10"/>
  <c r="W71" i="11" s="1"/>
  <c r="X303" i="12"/>
  <c r="V303" i="12"/>
  <c r="V143" i="16" s="1"/>
  <c r="W104" i="10"/>
  <c r="W104" i="11" s="1"/>
  <c r="X135" i="10"/>
  <c r="U113" i="10"/>
  <c r="U113" i="11" s="1"/>
  <c r="Q113" i="10"/>
  <c r="Q113" i="11" s="1"/>
  <c r="M312" i="12"/>
  <c r="M152" i="16" s="1"/>
  <c r="AO54" i="1"/>
  <c r="C54" i="1" s="1"/>
  <c r="AO39" i="1"/>
  <c r="C39" i="1" s="1"/>
  <c r="AE39" i="1"/>
  <c r="S11" i="10"/>
  <c r="S11" i="11" s="1"/>
  <c r="Z6" i="10"/>
  <c r="Z6" i="11" s="1"/>
  <c r="X6" i="10"/>
  <c r="X6" i="11" s="1"/>
  <c r="K6" i="10"/>
  <c r="K6" i="11" s="1"/>
  <c r="P11" i="10"/>
  <c r="P11" i="11" s="1"/>
  <c r="G11" i="10"/>
  <c r="N27" i="10"/>
  <c r="N27" i="11" s="1"/>
  <c r="J64" i="10"/>
  <c r="J64" i="11" s="1"/>
  <c r="H27" i="10"/>
  <c r="H27" i="11" s="1"/>
  <c r="N38" i="10"/>
  <c r="R59" i="10"/>
  <c r="T184" i="12"/>
  <c r="T24" i="16" s="1"/>
  <c r="O198" i="17"/>
  <c r="O38" i="17"/>
  <c r="X232" i="12"/>
  <c r="X72" i="16" s="1"/>
  <c r="K29" i="10"/>
  <c r="K29" i="11" s="1"/>
  <c r="I143" i="10"/>
  <c r="I143" i="11" s="1"/>
  <c r="K71" i="10"/>
  <c r="K71" i="11" s="1"/>
  <c r="S71" i="10"/>
  <c r="S71" i="11" s="1"/>
  <c r="W288" i="13"/>
  <c r="W128" i="13"/>
  <c r="N135" i="10"/>
  <c r="Z135" i="10"/>
  <c r="Y113" i="10"/>
  <c r="I113" i="10"/>
  <c r="I113" i="11" s="1"/>
  <c r="K113" i="10"/>
  <c r="K113" i="11" s="1"/>
  <c r="Z143" i="13"/>
  <c r="T303" i="13"/>
  <c r="T143" i="14" s="1"/>
  <c r="T143" i="13"/>
  <c r="AO38" i="1"/>
  <c r="C38" i="1" s="1"/>
  <c r="AO178" i="1"/>
  <c r="C178" i="1" s="1"/>
  <c r="B56" i="6"/>
  <c r="D56" i="37" s="1"/>
  <c r="A56" i="37" s="1"/>
  <c r="D55" i="6"/>
  <c r="B55" i="20"/>
  <c r="B215" i="12"/>
  <c r="B55" i="13"/>
  <c r="B55" i="15"/>
  <c r="B55" i="16"/>
  <c r="B215" i="17"/>
  <c r="B55" i="17"/>
  <c r="B55" i="10"/>
  <c r="B55" i="12"/>
  <c r="B55" i="14"/>
  <c r="B215" i="18"/>
  <c r="B55" i="11"/>
  <c r="B215" i="13"/>
  <c r="B55" i="9"/>
  <c r="B55" i="18"/>
  <c r="AO119" i="1"/>
  <c r="C119" i="1" s="1"/>
  <c r="Q6" i="10"/>
  <c r="Q6" i="11" s="1"/>
  <c r="U6" i="10"/>
  <c r="U166" i="12" s="1"/>
  <c r="U6" i="16" s="1"/>
  <c r="U166" i="17" s="1"/>
  <c r="R11" i="10"/>
  <c r="R11" i="11" s="1"/>
  <c r="X11" i="10"/>
  <c r="X11" i="11" s="1"/>
  <c r="V27" i="10"/>
  <c r="V27" i="11" s="1"/>
  <c r="J38" i="10"/>
  <c r="J38" i="11" s="1"/>
  <c r="N64" i="10"/>
  <c r="N64" i="11" s="1"/>
  <c r="Y38" i="10"/>
  <c r="Y38" i="11" s="1"/>
  <c r="K38" i="10"/>
  <c r="K38" i="11" s="1"/>
  <c r="P224" i="13"/>
  <c r="R187" i="13"/>
  <c r="R27" i="13"/>
  <c r="U56" i="10"/>
  <c r="U56" i="11" s="1"/>
  <c r="R71" i="10"/>
  <c r="R71" i="11" s="1"/>
  <c r="X71" i="10"/>
  <c r="X71" i="11" s="1"/>
  <c r="P71" i="10"/>
  <c r="P71" i="11" s="1"/>
  <c r="K117" i="10"/>
  <c r="K117" i="11" s="1"/>
  <c r="K112" i="10"/>
  <c r="K112" i="11" s="1"/>
  <c r="U272" i="12"/>
  <c r="U112" i="16" s="1"/>
  <c r="S113" i="10"/>
  <c r="Z143" i="16"/>
  <c r="T143" i="16"/>
  <c r="E37" i="1"/>
  <c r="O37" i="1" s="1"/>
  <c r="D15" i="31" s="1"/>
  <c r="D181" i="31" s="1"/>
  <c r="E41" i="1"/>
  <c r="AO66" i="1"/>
  <c r="C66" i="1" s="1"/>
  <c r="G24" i="10"/>
  <c r="Y6" i="10"/>
  <c r="Y6" i="11" s="1"/>
  <c r="J171" i="12"/>
  <c r="O11" i="10"/>
  <c r="O11" i="11" s="1"/>
  <c r="U11" i="10"/>
  <c r="U11" i="11" s="1"/>
  <c r="G32" i="10"/>
  <c r="R64" i="10"/>
  <c r="R64" i="11" s="1"/>
  <c r="X27" i="10"/>
  <c r="X27" i="11" s="1"/>
  <c r="P38" i="10"/>
  <c r="P38" i="11" s="1"/>
  <c r="M56" i="10"/>
  <c r="W56" i="10"/>
  <c r="W56" i="11" s="1"/>
  <c r="Q51" i="10"/>
  <c r="Q51" i="11" s="1"/>
  <c r="O288" i="13"/>
  <c r="O128" i="14" s="1"/>
  <c r="O128" i="13"/>
  <c r="Q71" i="10"/>
  <c r="Q71" i="11" s="1"/>
  <c r="T71" i="10"/>
  <c r="T71" i="11" s="1"/>
  <c r="M71" i="10"/>
  <c r="M71" i="11" s="1"/>
  <c r="G143" i="10"/>
  <c r="G158" i="10"/>
  <c r="M113" i="10"/>
  <c r="AO104" i="1"/>
  <c r="C104" i="1" s="1"/>
  <c r="AO198" i="1"/>
  <c r="C198" i="1" s="1"/>
  <c r="AF63" i="1"/>
  <c r="AO63" i="1"/>
  <c r="C63" i="1" s="1"/>
  <c r="AO163" i="1"/>
  <c r="C163" i="1" s="1"/>
  <c r="AE163" i="1"/>
  <c r="O6" i="10"/>
  <c r="O166" i="12" s="1"/>
  <c r="O6" i="13" s="1"/>
  <c r="V6" i="10"/>
  <c r="V6" i="11" s="1"/>
  <c r="M11" i="10"/>
  <c r="M11" i="11" s="1"/>
  <c r="W11" i="10"/>
  <c r="L11" i="10"/>
  <c r="L11" i="11" s="1"/>
  <c r="T27" i="10"/>
  <c r="M38" i="10"/>
  <c r="M38" i="11" s="1"/>
  <c r="U38" i="10"/>
  <c r="U38" i="11" s="1"/>
  <c r="Z27" i="11"/>
  <c r="Y56" i="10"/>
  <c r="Y56" i="11" s="1"/>
  <c r="S51" i="10"/>
  <c r="S51" i="11" s="1"/>
  <c r="H189" i="13"/>
  <c r="H29" i="13"/>
  <c r="K261" i="12"/>
  <c r="K101" i="16" s="1"/>
  <c r="W144" i="10"/>
  <c r="V71" i="10"/>
  <c r="V71" i="11" s="1"/>
  <c r="O71" i="10"/>
  <c r="O71" i="11" s="1"/>
  <c r="I71" i="10"/>
  <c r="I71" i="11" s="1"/>
  <c r="J101" i="11"/>
  <c r="Y231" i="13"/>
  <c r="Y71" i="14" s="1"/>
  <c r="Y71" i="15" s="1"/>
  <c r="Y71" i="13"/>
  <c r="O113" i="10"/>
  <c r="O113" i="11" s="1"/>
  <c r="L224" i="13"/>
  <c r="L64" i="13"/>
  <c r="AO192" i="1"/>
  <c r="C192" i="1" s="1"/>
  <c r="AO24" i="1"/>
  <c r="C24" i="1" s="1"/>
  <c r="AO121" i="1"/>
  <c r="C121" i="1" s="1"/>
  <c r="AO76" i="1"/>
  <c r="C76" i="1" s="1"/>
  <c r="V184" i="12"/>
  <c r="V24" i="16" s="1"/>
  <c r="Z64" i="10"/>
  <c r="Z64" i="11" s="1"/>
  <c r="T11" i="10"/>
  <c r="T11" i="11" s="1"/>
  <c r="N11" i="10"/>
  <c r="N11" i="11" s="1"/>
  <c r="I11" i="10"/>
  <c r="I11" i="11" s="1"/>
  <c r="Q38" i="10"/>
  <c r="Q38" i="11" s="1"/>
  <c r="P27" i="10"/>
  <c r="P27" i="11" s="1"/>
  <c r="Z38" i="10"/>
  <c r="L38" i="10"/>
  <c r="H224" i="13"/>
  <c r="H64" i="13"/>
  <c r="S56" i="10"/>
  <c r="S56" i="11" s="1"/>
  <c r="O56" i="10"/>
  <c r="O56" i="11" s="1"/>
  <c r="U51" i="10"/>
  <c r="U51" i="11" s="1"/>
  <c r="K72" i="10"/>
  <c r="K72" i="11" s="1"/>
  <c r="U71" i="10"/>
  <c r="U71" i="11" s="1"/>
  <c r="G71" i="10"/>
  <c r="J101" i="16"/>
  <c r="J261" i="13"/>
  <c r="J101" i="13"/>
  <c r="R303" i="12"/>
  <c r="R143" i="16" s="1"/>
  <c r="D143" i="16"/>
  <c r="F143" i="20" s="1"/>
  <c r="P303" i="12"/>
  <c r="K148" i="10"/>
  <c r="K148" i="11" s="1"/>
  <c r="Y104" i="10"/>
  <c r="U144" i="10"/>
  <c r="U144" i="11" s="1"/>
  <c r="W113" i="10"/>
  <c r="W113" i="11" s="1"/>
  <c r="N303" i="13"/>
  <c r="N143" i="13"/>
  <c r="G308" i="12"/>
  <c r="G148" i="16" s="1"/>
  <c r="Y242" i="1"/>
  <c r="Y241" i="1"/>
  <c r="Y228" i="1"/>
  <c r="Y227" i="1"/>
  <c r="Y266" i="1"/>
  <c r="Y267" i="1"/>
  <c r="Y253" i="1"/>
  <c r="Y252" i="1"/>
  <c r="X252" i="1"/>
  <c r="X253" i="1"/>
  <c r="X256" i="1" s="1"/>
  <c r="X241" i="1"/>
  <c r="X242" i="1"/>
  <c r="X245" i="1" s="1"/>
  <c r="X212" i="1"/>
  <c r="X213" i="1"/>
  <c r="X217" i="1" s="1"/>
  <c r="X266" i="1"/>
  <c r="X267" i="1"/>
  <c r="X273" i="1" s="1"/>
  <c r="X227" i="1"/>
  <c r="X228" i="1"/>
  <c r="X234" i="1" s="1"/>
  <c r="Y182" i="1"/>
  <c r="Y181" i="1"/>
  <c r="Y166" i="1"/>
  <c r="Y165" i="1"/>
  <c r="Y198" i="1"/>
  <c r="Y197" i="1"/>
  <c r="X197" i="1"/>
  <c r="X198" i="1"/>
  <c r="X204" i="1" s="1"/>
  <c r="X133" i="1"/>
  <c r="X134" i="1"/>
  <c r="X138" i="1" s="1"/>
  <c r="X181" i="1"/>
  <c r="X182" i="1"/>
  <c r="X187" i="1" s="1"/>
  <c r="X148" i="1"/>
  <c r="X149" i="1"/>
  <c r="X155" i="1" s="1"/>
  <c r="X165" i="1"/>
  <c r="X166" i="1"/>
  <c r="X172" i="1" s="1"/>
  <c r="M11" i="1"/>
  <c r="Y91" i="1"/>
  <c r="Y90" i="1"/>
  <c r="Y105" i="1"/>
  <c r="Y106" i="1"/>
  <c r="Y120" i="1"/>
  <c r="Y121" i="1"/>
  <c r="Y11" i="1"/>
  <c r="X120" i="1"/>
  <c r="X121" i="1"/>
  <c r="X125" i="1" s="1"/>
  <c r="X77" i="1"/>
  <c r="X78" i="1"/>
  <c r="X82" i="1" s="1"/>
  <c r="X105" i="1"/>
  <c r="X106" i="1"/>
  <c r="X112" i="1" s="1"/>
  <c r="X65" i="1"/>
  <c r="X66" i="1"/>
  <c r="X69" i="1" s="1"/>
  <c r="X90" i="1"/>
  <c r="X91" i="1"/>
  <c r="X95" i="1" s="1"/>
  <c r="X53" i="1"/>
  <c r="X54" i="1"/>
  <c r="X58" i="1" s="1"/>
  <c r="X17" i="1"/>
  <c r="Q140" i="11"/>
  <c r="X40" i="1"/>
  <c r="X41" i="1"/>
  <c r="X45" i="1" s="1"/>
  <c r="X11" i="1"/>
  <c r="X26" i="1"/>
  <c r="X27" i="1"/>
  <c r="X32" i="1" s="1"/>
  <c r="W166" i="17"/>
  <c r="W6" i="17"/>
  <c r="G181" i="17"/>
  <c r="J288" i="17"/>
  <c r="J128" i="17"/>
  <c r="W303" i="17"/>
  <c r="W143" i="17"/>
  <c r="K303" i="17"/>
  <c r="K143" i="17"/>
  <c r="Y185" i="17"/>
  <c r="Y25" i="17"/>
  <c r="S303" i="17"/>
  <c r="S143" i="17"/>
  <c r="U21" i="17"/>
  <c r="Y181" i="17"/>
  <c r="Y21" i="17"/>
  <c r="U185" i="17"/>
  <c r="U25" i="17"/>
  <c r="V188" i="17"/>
  <c r="V28" i="17"/>
  <c r="Y211" i="17"/>
  <c r="Y51" i="17"/>
  <c r="W238" i="17"/>
  <c r="W78" i="17"/>
  <c r="S166" i="17"/>
  <c r="S6" i="17"/>
  <c r="H166" i="13"/>
  <c r="H6" i="13"/>
  <c r="T166" i="17"/>
  <c r="T6" i="17"/>
  <c r="H171" i="12"/>
  <c r="H11" i="16" s="1"/>
  <c r="Y171" i="13"/>
  <c r="Y11" i="13"/>
  <c r="J174" i="13"/>
  <c r="J14" i="13"/>
  <c r="I174" i="17"/>
  <c r="I14" i="17"/>
  <c r="O17" i="10"/>
  <c r="O17" i="11" s="1"/>
  <c r="J14" i="16"/>
  <c r="P17" i="10"/>
  <c r="P17" i="11" s="1"/>
  <c r="I17" i="10"/>
  <c r="T21" i="10"/>
  <c r="T21" i="11" s="1"/>
  <c r="M24" i="10"/>
  <c r="I20" i="10"/>
  <c r="I20" i="11" s="1"/>
  <c r="H20" i="10"/>
  <c r="S181" i="13"/>
  <c r="S21" i="13"/>
  <c r="G182" i="12"/>
  <c r="K181" i="13"/>
  <c r="K21" i="13"/>
  <c r="K25" i="10"/>
  <c r="K25" i="11" s="1"/>
  <c r="X25" i="10"/>
  <c r="X25" i="11" s="1"/>
  <c r="O28" i="10"/>
  <c r="O28" i="11" s="1"/>
  <c r="K187" i="13"/>
  <c r="K27" i="13"/>
  <c r="S187" i="13"/>
  <c r="S27" i="13"/>
  <c r="L188" i="17"/>
  <c r="L28" i="17"/>
  <c r="W185" i="13"/>
  <c r="W25" i="14" s="1"/>
  <c r="W25" i="13"/>
  <c r="N188" i="17"/>
  <c r="N28" i="17"/>
  <c r="I187" i="13"/>
  <c r="I27" i="13"/>
  <c r="Q187" i="13"/>
  <c r="Q27" i="13"/>
  <c r="Y187" i="13"/>
  <c r="Y27" i="14" s="1"/>
  <c r="Y27" i="13"/>
  <c r="R188" i="13"/>
  <c r="R28" i="13"/>
  <c r="Q185" i="17"/>
  <c r="Q25" i="17"/>
  <c r="T188" i="17"/>
  <c r="T28" i="17"/>
  <c r="J188" i="17"/>
  <c r="J28" i="17"/>
  <c r="K35" i="10"/>
  <c r="K35" i="11" s="1"/>
  <c r="L42" i="10"/>
  <c r="L42" i="11" s="1"/>
  <c r="K196" i="13"/>
  <c r="K36" i="13"/>
  <c r="V198" i="13"/>
  <c r="V38" i="13"/>
  <c r="H40" i="10"/>
  <c r="H40" i="11" s="1"/>
  <c r="U196" i="17"/>
  <c r="U36" i="17"/>
  <c r="K40" i="10"/>
  <c r="M200" i="17"/>
  <c r="M40" i="17"/>
  <c r="N200" i="13"/>
  <c r="N40" i="13"/>
  <c r="L51" i="10"/>
  <c r="L46" i="10"/>
  <c r="X46" i="10"/>
  <c r="X46" i="11" s="1"/>
  <c r="V200" i="13"/>
  <c r="V40" i="14" s="1"/>
  <c r="V40" i="13"/>
  <c r="Q200" i="13"/>
  <c r="Q40" i="14" s="1"/>
  <c r="Q40" i="13"/>
  <c r="K51" i="10"/>
  <c r="X200" i="13"/>
  <c r="X40" i="13"/>
  <c r="M206" i="13"/>
  <c r="M46" i="13"/>
  <c r="P56" i="10"/>
  <c r="P56" i="11" s="1"/>
  <c r="U206" i="17"/>
  <c r="U46" i="17"/>
  <c r="I216" i="12"/>
  <c r="I56" i="16" s="1"/>
  <c r="K75" i="10"/>
  <c r="K75" i="11" s="1"/>
  <c r="G222" i="13"/>
  <c r="G62" i="13"/>
  <c r="M224" i="17"/>
  <c r="M64" i="17"/>
  <c r="J78" i="10"/>
  <c r="J78" i="11" s="1"/>
  <c r="V78" i="10"/>
  <c r="V78" i="11" s="1"/>
  <c r="I82" i="10"/>
  <c r="I82" i="11" s="1"/>
  <c r="O248" i="17"/>
  <c r="O88" i="17"/>
  <c r="I238" i="17"/>
  <c r="I78" i="17"/>
  <c r="Y238" i="17"/>
  <c r="Y78" i="17"/>
  <c r="N104" i="10"/>
  <c r="N104" i="11" s="1"/>
  <c r="Z104" i="10"/>
  <c r="M104" i="10"/>
  <c r="T273" i="17"/>
  <c r="T113" i="17"/>
  <c r="K116" i="10"/>
  <c r="O126" i="10"/>
  <c r="O126" i="11" s="1"/>
  <c r="H264" i="12"/>
  <c r="J126" i="10"/>
  <c r="V126" i="10"/>
  <c r="V126" i="11" s="1"/>
  <c r="Y288" i="13"/>
  <c r="Y128" i="13"/>
  <c r="L143" i="10"/>
  <c r="H288" i="13"/>
  <c r="H128" i="13"/>
  <c r="T288" i="12"/>
  <c r="T128" i="16" s="1"/>
  <c r="R144" i="10"/>
  <c r="L145" i="10"/>
  <c r="L145" i="11" s="1"/>
  <c r="N132" i="10"/>
  <c r="G144" i="10"/>
  <c r="H276" i="17"/>
  <c r="H116" i="17"/>
  <c r="L288" i="17"/>
  <c r="L128" i="17"/>
  <c r="Q303" i="13"/>
  <c r="Q143" i="14" s="1"/>
  <c r="Q143" i="13"/>
  <c r="H305" i="12"/>
  <c r="L308" i="17"/>
  <c r="L148" i="17"/>
  <c r="H308" i="13"/>
  <c r="H148" i="14" s="1"/>
  <c r="H148" i="13"/>
  <c r="M303" i="13"/>
  <c r="M143" i="14" s="1"/>
  <c r="M143" i="13"/>
  <c r="Y303" i="13"/>
  <c r="Y143" i="13"/>
  <c r="H6" i="16"/>
  <c r="N166" i="13"/>
  <c r="N6" i="13"/>
  <c r="H168" i="12"/>
  <c r="H8" i="16" s="1"/>
  <c r="Q17" i="10"/>
  <c r="Q17" i="11" s="1"/>
  <c r="R17" i="10"/>
  <c r="R17" i="11" s="1"/>
  <c r="H174" i="17"/>
  <c r="H14" i="17"/>
  <c r="G17" i="10"/>
  <c r="I22" i="10"/>
  <c r="I22" i="11" s="1"/>
  <c r="J21" i="10"/>
  <c r="J21" i="11" s="1"/>
  <c r="V21" i="10"/>
  <c r="V21" i="11" s="1"/>
  <c r="O24" i="10"/>
  <c r="G20" i="10"/>
  <c r="H22" i="10"/>
  <c r="H22" i="11" s="1"/>
  <c r="I181" i="17"/>
  <c r="I21" i="17"/>
  <c r="N184" i="12"/>
  <c r="N24" i="16" s="1"/>
  <c r="W181" i="17"/>
  <c r="W21" i="17"/>
  <c r="N25" i="10"/>
  <c r="N25" i="11" s="1"/>
  <c r="Z25" i="10"/>
  <c r="Z25" i="11" s="1"/>
  <c r="Q28" i="10"/>
  <c r="Q28" i="11" s="1"/>
  <c r="M181" i="17"/>
  <c r="M21" i="17"/>
  <c r="O181" i="13"/>
  <c r="O21" i="13"/>
  <c r="L184" i="12"/>
  <c r="L24" i="16" s="1"/>
  <c r="G185" i="12"/>
  <c r="G25" i="16" s="1"/>
  <c r="L188" i="13"/>
  <c r="L28" i="13"/>
  <c r="N188" i="13"/>
  <c r="N28" i="13"/>
  <c r="M185" i="13"/>
  <c r="M25" i="13"/>
  <c r="O185" i="17"/>
  <c r="O25" i="17"/>
  <c r="Q185" i="13"/>
  <c r="Q25" i="13"/>
  <c r="T188" i="13"/>
  <c r="T28" i="13"/>
  <c r="S185" i="17"/>
  <c r="S25" i="17"/>
  <c r="J188" i="13"/>
  <c r="J28" i="13"/>
  <c r="U37" i="10"/>
  <c r="U37" i="11" s="1"/>
  <c r="T196" i="13"/>
  <c r="T36" i="13"/>
  <c r="H196" i="12"/>
  <c r="U196" i="13"/>
  <c r="U36" i="13"/>
  <c r="S200" i="13"/>
  <c r="S40" i="13"/>
  <c r="T200" i="17"/>
  <c r="T40" i="17"/>
  <c r="N51" i="10"/>
  <c r="N51" i="11" s="1"/>
  <c r="N46" i="10"/>
  <c r="Z46" i="10"/>
  <c r="Z46" i="11" s="1"/>
  <c r="Q40" i="16"/>
  <c r="M51" i="10"/>
  <c r="Y206" i="17"/>
  <c r="Y46" i="17"/>
  <c r="X211" i="17"/>
  <c r="X51" i="17"/>
  <c r="R56" i="10"/>
  <c r="R56" i="11" s="1"/>
  <c r="I59" i="10"/>
  <c r="Q206" i="17"/>
  <c r="Q46" i="17"/>
  <c r="G206" i="12"/>
  <c r="G46" i="16" s="1"/>
  <c r="U206" i="13"/>
  <c r="U46" i="13"/>
  <c r="K206" i="17"/>
  <c r="K46" i="17"/>
  <c r="K216" i="12"/>
  <c r="K56" i="16" s="1"/>
  <c r="H215" i="13"/>
  <c r="H55" i="13"/>
  <c r="U224" i="17"/>
  <c r="U64" i="17"/>
  <c r="Q224" i="13"/>
  <c r="Q64" i="14" s="1"/>
  <c r="Q64" i="13"/>
  <c r="L78" i="10"/>
  <c r="L78" i="11" s="1"/>
  <c r="X78" i="10"/>
  <c r="X78" i="11" s="1"/>
  <c r="K82" i="10"/>
  <c r="K82" i="11" s="1"/>
  <c r="I238" i="13"/>
  <c r="I78" i="13"/>
  <c r="Y238" i="13"/>
  <c r="Y78" i="13"/>
  <c r="H106" i="10"/>
  <c r="H106" i="11" s="1"/>
  <c r="G113" i="10"/>
  <c r="G261" i="17"/>
  <c r="G101" i="17"/>
  <c r="O104" i="10"/>
  <c r="N273" i="13"/>
  <c r="N113" i="13"/>
  <c r="I116" i="10"/>
  <c r="I116" i="11" s="1"/>
  <c r="Q126" i="10"/>
  <c r="Q126" i="11" s="1"/>
  <c r="J272" i="17"/>
  <c r="J112" i="17"/>
  <c r="L126" i="10"/>
  <c r="L126" i="11" s="1"/>
  <c r="X126" i="10"/>
  <c r="X126" i="11" s="1"/>
  <c r="J276" i="17"/>
  <c r="J116" i="17"/>
  <c r="G128" i="17"/>
  <c r="T144" i="10"/>
  <c r="T144" i="11" s="1"/>
  <c r="I288" i="13"/>
  <c r="I128" i="13"/>
  <c r="R288" i="12"/>
  <c r="R128" i="16" s="1"/>
  <c r="H155" i="10"/>
  <c r="H155" i="11" s="1"/>
  <c r="I144" i="10"/>
  <c r="H276" i="13"/>
  <c r="H116" i="13"/>
  <c r="L288" i="13"/>
  <c r="L128" i="13"/>
  <c r="V288" i="12"/>
  <c r="L308" i="13"/>
  <c r="L148" i="13"/>
  <c r="O303" i="17"/>
  <c r="O143" i="17"/>
  <c r="L166" i="13"/>
  <c r="L6" i="14" s="1"/>
  <c r="L6" i="13"/>
  <c r="K168" i="12"/>
  <c r="K8" i="16" s="1"/>
  <c r="N6" i="16"/>
  <c r="Y11" i="16"/>
  <c r="S17" i="10"/>
  <c r="T17" i="10"/>
  <c r="T17" i="11" s="1"/>
  <c r="H177" i="12"/>
  <c r="K22" i="10"/>
  <c r="K22" i="11" s="1"/>
  <c r="L21" i="10"/>
  <c r="L21" i="11" s="1"/>
  <c r="X21" i="10"/>
  <c r="X21" i="11" s="1"/>
  <c r="Q24" i="10"/>
  <c r="J22" i="10"/>
  <c r="I181" i="13"/>
  <c r="I21" i="13"/>
  <c r="W181" i="13"/>
  <c r="W21" i="13"/>
  <c r="P25" i="10"/>
  <c r="P25" i="11" s="1"/>
  <c r="S28" i="10"/>
  <c r="M181" i="13"/>
  <c r="M21" i="14" s="1"/>
  <c r="M21" i="13"/>
  <c r="K27" i="16"/>
  <c r="S27" i="16"/>
  <c r="O185" i="13"/>
  <c r="O25" i="14" s="1"/>
  <c r="O25" i="13"/>
  <c r="I27" i="16"/>
  <c r="Q27" i="16"/>
  <c r="Y27" i="16"/>
  <c r="S185" i="13"/>
  <c r="S25" i="13"/>
  <c r="T193" i="12"/>
  <c r="G198" i="12"/>
  <c r="G202" i="12"/>
  <c r="G42" i="16" s="1"/>
  <c r="S40" i="16"/>
  <c r="T200" i="13"/>
  <c r="T40" i="13"/>
  <c r="P51" i="10"/>
  <c r="P51" i="11" s="1"/>
  <c r="O200" i="13"/>
  <c r="O40" i="13"/>
  <c r="W200" i="13"/>
  <c r="W40" i="13"/>
  <c r="G200" i="12"/>
  <c r="G40" i="16" s="1"/>
  <c r="Y206" i="13"/>
  <c r="Y46" i="13"/>
  <c r="T56" i="10"/>
  <c r="T56" i="11" s="1"/>
  <c r="Q206" i="13"/>
  <c r="Q46" i="13"/>
  <c r="K206" i="13"/>
  <c r="K46" i="13"/>
  <c r="Q216" i="12"/>
  <c r="Q56" i="16" s="1"/>
  <c r="H55" i="16"/>
  <c r="J71" i="10"/>
  <c r="J71" i="11" s="1"/>
  <c r="H216" i="12"/>
  <c r="Y59" i="16"/>
  <c r="I56" i="11"/>
  <c r="Y231" i="17"/>
  <c r="Y71" i="17"/>
  <c r="K56" i="11"/>
  <c r="Y224" i="13"/>
  <c r="Y64" i="13"/>
  <c r="N78" i="10"/>
  <c r="N78" i="11" s="1"/>
  <c r="Z78" i="10"/>
  <c r="K224" i="13"/>
  <c r="K64" i="14" s="1"/>
  <c r="K64" i="13"/>
  <c r="H231" i="12"/>
  <c r="H71" i="16" s="1"/>
  <c r="O238" i="13"/>
  <c r="I98" i="10"/>
  <c r="I98" i="11" s="1"/>
  <c r="J113" i="10"/>
  <c r="J113" i="11" s="1"/>
  <c r="R104" i="10"/>
  <c r="R104" i="11" s="1"/>
  <c r="Q96" i="13"/>
  <c r="J106" i="10"/>
  <c r="G261" i="13"/>
  <c r="G101" i="14" s="1"/>
  <c r="G101" i="13"/>
  <c r="Q104" i="10"/>
  <c r="G116" i="10"/>
  <c r="S126" i="10"/>
  <c r="S126" i="11" s="1"/>
  <c r="J272" i="13"/>
  <c r="J112" i="13"/>
  <c r="N126" i="10"/>
  <c r="N126" i="11" s="1"/>
  <c r="Z126" i="10"/>
  <c r="J276" i="13"/>
  <c r="J116" i="13"/>
  <c r="M288" i="13"/>
  <c r="U132" i="10"/>
  <c r="U132" i="11" s="1"/>
  <c r="N288" i="12"/>
  <c r="N128" i="16" s="1"/>
  <c r="J144" i="10"/>
  <c r="J144" i="11" s="1"/>
  <c r="V144" i="10"/>
  <c r="V144" i="11" s="1"/>
  <c r="K288" i="13"/>
  <c r="K128" i="13"/>
  <c r="K144" i="10"/>
  <c r="H296" i="12"/>
  <c r="O303" i="13"/>
  <c r="O143" i="13"/>
  <c r="L6" i="16"/>
  <c r="J166" i="13"/>
  <c r="J6" i="14" s="1"/>
  <c r="J6" i="13"/>
  <c r="R166" i="13"/>
  <c r="R6" i="13"/>
  <c r="S166" i="13"/>
  <c r="S6" i="13"/>
  <c r="U17" i="10"/>
  <c r="U17" i="11" s="1"/>
  <c r="V17" i="10"/>
  <c r="V17" i="11" s="1"/>
  <c r="J177" i="12"/>
  <c r="J17" i="16" s="1"/>
  <c r="N21" i="10"/>
  <c r="N21" i="11" s="1"/>
  <c r="Z21" i="10"/>
  <c r="Z21" i="11" s="1"/>
  <c r="L25" i="10"/>
  <c r="L25" i="11" s="1"/>
  <c r="R25" i="10"/>
  <c r="R25" i="11" s="1"/>
  <c r="I28" i="10"/>
  <c r="U28" i="10"/>
  <c r="U28" i="11" s="1"/>
  <c r="H181" i="12"/>
  <c r="U185" i="13"/>
  <c r="U25" i="14" s="1"/>
  <c r="U25" i="13"/>
  <c r="O187" i="13"/>
  <c r="O27" i="14" s="1"/>
  <c r="O27" i="13"/>
  <c r="W187" i="13"/>
  <c r="W27" i="14" s="1"/>
  <c r="W27" i="13"/>
  <c r="X188" i="12"/>
  <c r="I185" i="17"/>
  <c r="I25" i="17"/>
  <c r="Y185" i="13"/>
  <c r="Y25" i="13"/>
  <c r="M187" i="13"/>
  <c r="M27" i="14" s="1"/>
  <c r="M27" i="13"/>
  <c r="U187" i="13"/>
  <c r="U27" i="13"/>
  <c r="V188" i="13"/>
  <c r="V28" i="13"/>
  <c r="J35" i="10"/>
  <c r="J35" i="11" s="1"/>
  <c r="I40" i="10"/>
  <c r="I40" i="11" s="1"/>
  <c r="T36" i="16"/>
  <c r="I202" i="12"/>
  <c r="Y200" i="13"/>
  <c r="Y40" i="13"/>
  <c r="R51" i="10"/>
  <c r="R51" i="11" s="1"/>
  <c r="O200" i="17"/>
  <c r="O40" i="17"/>
  <c r="R46" i="10"/>
  <c r="R46" i="11" s="1"/>
  <c r="W200" i="17"/>
  <c r="W40" i="17"/>
  <c r="R200" i="17"/>
  <c r="R40" i="17"/>
  <c r="J56" i="10"/>
  <c r="J56" i="11" s="1"/>
  <c r="V56" i="10"/>
  <c r="V56" i="11" s="1"/>
  <c r="J62" i="10"/>
  <c r="J62" i="11" s="1"/>
  <c r="Y211" i="13"/>
  <c r="Y51" i="13"/>
  <c r="W206" i="17"/>
  <c r="W46" i="17"/>
  <c r="L71" i="10"/>
  <c r="L71" i="11" s="1"/>
  <c r="N72" i="10"/>
  <c r="N72" i="11" s="1"/>
  <c r="Q56" i="11"/>
  <c r="H222" i="12"/>
  <c r="Q64" i="16"/>
  <c r="H238" i="12"/>
  <c r="H78" i="16" s="1"/>
  <c r="K246" i="17"/>
  <c r="G247" i="12"/>
  <c r="G87" i="16" s="1"/>
  <c r="L92" i="10"/>
  <c r="L92" i="11" s="1"/>
  <c r="W238" i="13"/>
  <c r="W78" i="13"/>
  <c r="H242" i="12"/>
  <c r="T104" i="10"/>
  <c r="T104" i="11" s="1"/>
  <c r="G104" i="10"/>
  <c r="S104" i="10"/>
  <c r="N113" i="16"/>
  <c r="I126" i="10"/>
  <c r="I126" i="11" s="1"/>
  <c r="U126" i="10"/>
  <c r="U126" i="11" s="1"/>
  <c r="H273" i="12"/>
  <c r="L273" i="13"/>
  <c r="L113" i="14" s="1"/>
  <c r="L113" i="13"/>
  <c r="X273" i="13"/>
  <c r="X113" i="13"/>
  <c r="P126" i="10"/>
  <c r="P126" i="11" s="1"/>
  <c r="L144" i="10"/>
  <c r="L144" i="11" s="1"/>
  <c r="X144" i="10"/>
  <c r="X144" i="11" s="1"/>
  <c r="I128" i="16"/>
  <c r="J288" i="13"/>
  <c r="J128" i="13"/>
  <c r="M144" i="10"/>
  <c r="Y128" i="16"/>
  <c r="W303" i="13"/>
  <c r="W143" i="13"/>
  <c r="J158" i="10"/>
  <c r="J158" i="11" s="1"/>
  <c r="K303" i="13"/>
  <c r="K143" i="14" s="1"/>
  <c r="K143" i="13"/>
  <c r="S303" i="13"/>
  <c r="S143" i="13"/>
  <c r="K305" i="13"/>
  <c r="J166" i="17"/>
  <c r="J6" i="17"/>
  <c r="R166" i="17"/>
  <c r="R6" i="17"/>
  <c r="W166" i="13"/>
  <c r="W6" i="13"/>
  <c r="G168" i="12"/>
  <c r="G8" i="16" s="1"/>
  <c r="K17" i="10"/>
  <c r="K17" i="11" s="1"/>
  <c r="W17" i="10"/>
  <c r="W17" i="11" s="1"/>
  <c r="K174" i="13"/>
  <c r="K14" i="13"/>
  <c r="G176" i="12"/>
  <c r="L17" i="10"/>
  <c r="L17" i="11" s="1"/>
  <c r="X17" i="10"/>
  <c r="P21" i="10"/>
  <c r="P21" i="11" s="1"/>
  <c r="I24" i="10"/>
  <c r="I24" i="11" s="1"/>
  <c r="J29" i="10"/>
  <c r="U181" i="13"/>
  <c r="U21" i="13"/>
  <c r="J25" i="10"/>
  <c r="J25" i="11" s="1"/>
  <c r="T25" i="10"/>
  <c r="T25" i="11" s="1"/>
  <c r="K28" i="10"/>
  <c r="K28" i="11" s="1"/>
  <c r="W28" i="10"/>
  <c r="Y181" i="13"/>
  <c r="Y21" i="13"/>
  <c r="Y184" i="17"/>
  <c r="Q181" i="17"/>
  <c r="Q21" i="17"/>
  <c r="I185" i="13"/>
  <c r="I25" i="13"/>
  <c r="G188" i="12"/>
  <c r="H188" i="17"/>
  <c r="H28" i="17"/>
  <c r="L35" i="10"/>
  <c r="L35" i="11" s="1"/>
  <c r="H37" i="10"/>
  <c r="H37" i="11" s="1"/>
  <c r="Q32" i="16"/>
  <c r="G35" i="10"/>
  <c r="N196" i="13"/>
  <c r="N36" i="13"/>
  <c r="N36" i="16"/>
  <c r="L40" i="10"/>
  <c r="L40" i="11" s="1"/>
  <c r="X198" i="17"/>
  <c r="X38" i="17"/>
  <c r="K202" i="12"/>
  <c r="K42" i="16" s="1"/>
  <c r="Y40" i="16"/>
  <c r="T51" i="10"/>
  <c r="T51" i="11" s="1"/>
  <c r="U200" i="13"/>
  <c r="U40" i="14" s="1"/>
  <c r="U40" i="13"/>
  <c r="H46" i="10"/>
  <c r="H46" i="11" s="1"/>
  <c r="T46" i="10"/>
  <c r="T46" i="11" s="1"/>
  <c r="G51" i="10"/>
  <c r="R200" i="13"/>
  <c r="R40" i="13"/>
  <c r="H202" i="12"/>
  <c r="H211" i="12"/>
  <c r="L56" i="10"/>
  <c r="L56" i="11" s="1"/>
  <c r="X56" i="10"/>
  <c r="X56" i="11" s="1"/>
  <c r="L62" i="10"/>
  <c r="L62" i="11" s="1"/>
  <c r="W206" i="13"/>
  <c r="W46" i="13"/>
  <c r="N71" i="10"/>
  <c r="N71" i="11" s="1"/>
  <c r="I222" i="17"/>
  <c r="I62" i="17"/>
  <c r="Y224" i="17"/>
  <c r="Y64" i="17"/>
  <c r="G73" i="17"/>
  <c r="J82" i="10"/>
  <c r="J82" i="11" s="1"/>
  <c r="M224" i="13"/>
  <c r="M64" i="13"/>
  <c r="K224" i="17"/>
  <c r="K64" i="17"/>
  <c r="K86" i="13"/>
  <c r="M238" i="17"/>
  <c r="M78" i="17"/>
  <c r="I106" i="10"/>
  <c r="J104" i="10"/>
  <c r="V104" i="10"/>
  <c r="V104" i="11" s="1"/>
  <c r="I104" i="10"/>
  <c r="I104" i="11" s="1"/>
  <c r="U104" i="10"/>
  <c r="U104" i="11" s="1"/>
  <c r="T273" i="13"/>
  <c r="T113" i="14" s="1"/>
  <c r="T113" i="13"/>
  <c r="K126" i="10"/>
  <c r="K126" i="11" s="1"/>
  <c r="W126" i="10"/>
  <c r="V272" i="17"/>
  <c r="V112" i="17"/>
  <c r="R126" i="10"/>
  <c r="P273" i="17"/>
  <c r="L276" i="17"/>
  <c r="L116" i="17"/>
  <c r="N144" i="10"/>
  <c r="N144" i="11" s="1"/>
  <c r="Z144" i="10"/>
  <c r="Z144" i="11" s="1"/>
  <c r="K128" i="16"/>
  <c r="O144" i="10"/>
  <c r="H304" i="12"/>
  <c r="H303" i="12"/>
  <c r="U303" i="17"/>
  <c r="U143" i="17"/>
  <c r="J148" i="17"/>
  <c r="O6" i="16"/>
  <c r="T166" i="13"/>
  <c r="T6" i="13"/>
  <c r="I8" i="11"/>
  <c r="H11" i="11"/>
  <c r="H174" i="13"/>
  <c r="H14" i="13"/>
  <c r="I174" i="13"/>
  <c r="I14" i="13"/>
  <c r="M17" i="10"/>
  <c r="M17" i="11" s="1"/>
  <c r="Y17" i="10"/>
  <c r="Y17" i="11" s="1"/>
  <c r="K14" i="16"/>
  <c r="N17" i="10"/>
  <c r="G14" i="16"/>
  <c r="R21" i="10"/>
  <c r="K24" i="10"/>
  <c r="K24" i="11" s="1"/>
  <c r="H17" i="11"/>
  <c r="S21" i="16"/>
  <c r="G22" i="11"/>
  <c r="J184" i="12"/>
  <c r="J24" i="16" s="1"/>
  <c r="H25" i="10"/>
  <c r="H25" i="11" s="1"/>
  <c r="K21" i="16"/>
  <c r="V25" i="10"/>
  <c r="V25" i="11" s="1"/>
  <c r="M28" i="10"/>
  <c r="M28" i="11" s="1"/>
  <c r="Y28" i="10"/>
  <c r="Y28" i="11" s="1"/>
  <c r="H184" i="12"/>
  <c r="H24" i="16" s="1"/>
  <c r="Q181" i="13"/>
  <c r="Q21" i="13"/>
  <c r="O27" i="16"/>
  <c r="W27" i="16"/>
  <c r="W25" i="16"/>
  <c r="M27" i="16"/>
  <c r="U27" i="16"/>
  <c r="R28" i="16"/>
  <c r="H188" i="13"/>
  <c r="H28" i="13"/>
  <c r="Q37" i="10"/>
  <c r="Q37" i="11" s="1"/>
  <c r="N193" i="12"/>
  <c r="J37" i="10"/>
  <c r="J37" i="11" s="1"/>
  <c r="I35" i="10"/>
  <c r="H195" i="12"/>
  <c r="J42" i="10"/>
  <c r="J42" i="11" s="1"/>
  <c r="K36" i="16"/>
  <c r="V38" i="16"/>
  <c r="J40" i="10"/>
  <c r="J40" i="11" s="1"/>
  <c r="X198" i="13"/>
  <c r="X38" i="13"/>
  <c r="M200" i="13"/>
  <c r="M40" i="13"/>
  <c r="G42" i="11"/>
  <c r="N40" i="16"/>
  <c r="I42" i="11"/>
  <c r="J51" i="10"/>
  <c r="J51" i="11" s="1"/>
  <c r="U40" i="16"/>
  <c r="J46" i="10"/>
  <c r="J46" i="11" s="1"/>
  <c r="V46" i="10"/>
  <c r="V46" i="11" s="1"/>
  <c r="V40" i="16"/>
  <c r="I51" i="10"/>
  <c r="X40" i="16"/>
  <c r="M46" i="16"/>
  <c r="X211" i="13"/>
  <c r="X51" i="13"/>
  <c r="O58" i="10"/>
  <c r="O58" i="11" s="1"/>
  <c r="N56" i="10"/>
  <c r="Z56" i="10"/>
  <c r="Z56" i="11" s="1"/>
  <c r="K60" i="10"/>
  <c r="K60" i="11" s="1"/>
  <c r="G216" i="12"/>
  <c r="G56" i="16" s="1"/>
  <c r="I222" i="13"/>
  <c r="I62" i="13"/>
  <c r="G62" i="16"/>
  <c r="U224" i="13"/>
  <c r="U64" i="14" s="1"/>
  <c r="U64" i="13"/>
  <c r="T78" i="10"/>
  <c r="T78" i="11" s="1"/>
  <c r="G82" i="10"/>
  <c r="O248" i="13"/>
  <c r="O88" i="13"/>
  <c r="Q238" i="13"/>
  <c r="Q78" i="14" s="1"/>
  <c r="Q78" i="13"/>
  <c r="L98" i="10"/>
  <c r="L98" i="11" s="1"/>
  <c r="H86" i="11"/>
  <c r="M238" i="13"/>
  <c r="M78" i="13"/>
  <c r="G92" i="10"/>
  <c r="H258" i="12"/>
  <c r="L104" i="10"/>
  <c r="L104" i="11" s="1"/>
  <c r="X104" i="10"/>
  <c r="X104" i="11" s="1"/>
  <c r="H261" i="12"/>
  <c r="H101" i="16" s="1"/>
  <c r="K104" i="10"/>
  <c r="M126" i="10"/>
  <c r="M126" i="11" s="1"/>
  <c r="Y126" i="10"/>
  <c r="Y126" i="11" s="1"/>
  <c r="V272" i="13"/>
  <c r="V112" i="13"/>
  <c r="L113" i="16"/>
  <c r="X113" i="16"/>
  <c r="H104" i="11"/>
  <c r="H126" i="10"/>
  <c r="H126" i="11" s="1"/>
  <c r="T126" i="10"/>
  <c r="T126" i="11" s="1"/>
  <c r="G288" i="13"/>
  <c r="S288" i="13"/>
  <c r="S128" i="14" s="1"/>
  <c r="S128" i="13"/>
  <c r="J143" i="10"/>
  <c r="J143" i="11" s="1"/>
  <c r="L276" i="13"/>
  <c r="L116" i="13"/>
  <c r="H128" i="16"/>
  <c r="T128" i="11"/>
  <c r="J145" i="10"/>
  <c r="J145" i="11" s="1"/>
  <c r="X288" i="12"/>
  <c r="X128" i="16" s="1"/>
  <c r="Q144" i="10"/>
  <c r="G286" i="12"/>
  <c r="G126" i="16" s="1"/>
  <c r="S128" i="16"/>
  <c r="Q143" i="16"/>
  <c r="H145" i="11"/>
  <c r="U303" i="13"/>
  <c r="U143" i="13"/>
  <c r="J308" i="13"/>
  <c r="J148" i="13"/>
  <c r="H148" i="16"/>
  <c r="M143" i="16"/>
  <c r="Y143" i="16"/>
  <c r="G294" i="12"/>
  <c r="J77" i="9"/>
  <c r="J77" i="10" s="1"/>
  <c r="J77" i="11" s="1"/>
  <c r="Q300" i="12"/>
  <c r="Q140" i="16" s="1"/>
  <c r="F151" i="9"/>
  <c r="AI151" i="6"/>
  <c r="F110" i="9"/>
  <c r="AI110" i="6"/>
  <c r="AI85" i="6"/>
  <c r="K110" i="10"/>
  <c r="K270" i="12" s="1"/>
  <c r="K270" i="13" s="1"/>
  <c r="L84" i="10"/>
  <c r="L84" i="11" s="1"/>
  <c r="Q100" i="10"/>
  <c r="Q100" i="11" s="1"/>
  <c r="M151" i="10"/>
  <c r="T102" i="10"/>
  <c r="T102" i="11" s="1"/>
  <c r="N151" i="10"/>
  <c r="N151" i="11" s="1"/>
  <c r="L77" i="9"/>
  <c r="T84" i="9"/>
  <c r="U100" i="10"/>
  <c r="O110" i="17"/>
  <c r="AI137" i="6"/>
  <c r="M237" i="12"/>
  <c r="M77" i="16" s="1"/>
  <c r="T110" i="10"/>
  <c r="I151" i="10"/>
  <c r="I151" i="11" s="1"/>
  <c r="K102" i="10"/>
  <c r="K102" i="11" s="1"/>
  <c r="F140" i="9"/>
  <c r="AI140" i="6"/>
  <c r="H84" i="9"/>
  <c r="V84" i="10"/>
  <c r="V84" i="11" s="1"/>
  <c r="S151" i="10"/>
  <c r="J140" i="10"/>
  <c r="F102" i="9"/>
  <c r="AI102" i="6"/>
  <c r="R77" i="9"/>
  <c r="G77" i="10"/>
  <c r="Q151" i="10"/>
  <c r="Q151" i="11" s="1"/>
  <c r="H140" i="10"/>
  <c r="H140" i="11" s="1"/>
  <c r="J151" i="10"/>
  <c r="J151" i="11" s="1"/>
  <c r="V151" i="10"/>
  <c r="V151" i="11" s="1"/>
  <c r="F84" i="9"/>
  <c r="AI84" i="6"/>
  <c r="N84" i="9"/>
  <c r="F100" i="9"/>
  <c r="AI100" i="6"/>
  <c r="O151" i="10"/>
  <c r="O151" i="11" s="1"/>
  <c r="R140" i="10"/>
  <c r="R140" i="11" s="1"/>
  <c r="G14" i="13" l="1"/>
  <c r="P113" i="13"/>
  <c r="P166" i="13"/>
  <c r="Z11" i="10"/>
  <c r="Z11" i="11" s="1"/>
  <c r="W184" i="12"/>
  <c r="W24" i="16" s="1"/>
  <c r="J53" i="9"/>
  <c r="J60" i="11"/>
  <c r="H189" i="17"/>
  <c r="N256" i="12"/>
  <c r="Z113" i="11"/>
  <c r="P6" i="11"/>
  <c r="I36" i="37"/>
  <c r="G128" i="13"/>
  <c r="Y46" i="14"/>
  <c r="P37" i="10"/>
  <c r="P37" i="11" s="1"/>
  <c r="I78" i="14"/>
  <c r="Y59" i="13"/>
  <c r="W36" i="13"/>
  <c r="M25" i="17"/>
  <c r="V11" i="13"/>
  <c r="X36" i="11"/>
  <c r="X72" i="11"/>
  <c r="Z143" i="14"/>
  <c r="O128" i="17"/>
  <c r="J55" i="16"/>
  <c r="H134" i="13"/>
  <c r="P46" i="10"/>
  <c r="P46" i="11" s="1"/>
  <c r="J176" i="12"/>
  <c r="J16" i="16" s="1"/>
  <c r="J134" i="17"/>
  <c r="U133" i="11"/>
  <c r="Z36" i="11"/>
  <c r="Y24" i="15"/>
  <c r="G29" i="11"/>
  <c r="M131" i="9"/>
  <c r="M131" i="10" s="1"/>
  <c r="M291" i="12" s="1"/>
  <c r="G131" i="9"/>
  <c r="G131" i="10" s="1"/>
  <c r="G73" i="11"/>
  <c r="Z143" i="11"/>
  <c r="G73" i="13"/>
  <c r="H277" i="12"/>
  <c r="W6" i="14"/>
  <c r="J134" i="13"/>
  <c r="P104" i="10"/>
  <c r="P104" i="11" s="1"/>
  <c r="K145" i="17"/>
  <c r="N143" i="14"/>
  <c r="U133" i="13"/>
  <c r="P64" i="11"/>
  <c r="J131" i="9"/>
  <c r="J131" i="10" s="1"/>
  <c r="J131" i="11" s="1"/>
  <c r="S96" i="16"/>
  <c r="J55" i="13"/>
  <c r="P78" i="10"/>
  <c r="P78" i="11" s="1"/>
  <c r="R6" i="14"/>
  <c r="J116" i="14"/>
  <c r="H233" i="12"/>
  <c r="H73" i="16" s="1"/>
  <c r="G233" i="13"/>
  <c r="K145" i="13"/>
  <c r="J294" i="13"/>
  <c r="Y40" i="14"/>
  <c r="O143" i="14"/>
  <c r="L28" i="14"/>
  <c r="Y143" i="14"/>
  <c r="S96" i="13"/>
  <c r="S96" i="11"/>
  <c r="Z51" i="10"/>
  <c r="P64" i="16"/>
  <c r="K131" i="9"/>
  <c r="K131" i="10" s="1"/>
  <c r="K291" i="12" s="1"/>
  <c r="K131" i="16" s="1"/>
  <c r="K291" i="17" s="1"/>
  <c r="U133" i="16"/>
  <c r="U293" i="17" s="1"/>
  <c r="G8" i="11"/>
  <c r="F30" i="9"/>
  <c r="G30" i="9"/>
  <c r="K30" i="9"/>
  <c r="M30" i="9"/>
  <c r="M30" i="10" s="1"/>
  <c r="M190" i="12" s="1"/>
  <c r="M30" i="16" s="1"/>
  <c r="M190" i="17" s="1"/>
  <c r="K73" i="16"/>
  <c r="K233" i="13"/>
  <c r="K73" i="13"/>
  <c r="W36" i="16"/>
  <c r="P36" i="13"/>
  <c r="G21" i="13"/>
  <c r="P273" i="13"/>
  <c r="Z113" i="13"/>
  <c r="Y11" i="14"/>
  <c r="G31" i="9"/>
  <c r="G31" i="10" s="1"/>
  <c r="K31" i="9"/>
  <c r="K31" i="10" s="1"/>
  <c r="L150" i="9"/>
  <c r="L150" i="10" s="1"/>
  <c r="L150" i="11" s="1"/>
  <c r="D113" i="16"/>
  <c r="F113" i="20" s="1"/>
  <c r="P113" i="11"/>
  <c r="P113" i="14" s="1"/>
  <c r="P196" i="13"/>
  <c r="Q32" i="13"/>
  <c r="G181" i="13"/>
  <c r="P36" i="17"/>
  <c r="W36" i="11"/>
  <c r="M31" i="9"/>
  <c r="M31" i="10" s="1"/>
  <c r="H31" i="9"/>
  <c r="H31" i="10" s="1"/>
  <c r="H31" i="11" s="1"/>
  <c r="I156" i="9"/>
  <c r="I156" i="10" s="1"/>
  <c r="I316" i="12" s="1"/>
  <c r="I30" i="9"/>
  <c r="I30" i="10" s="1"/>
  <c r="I190" i="12" s="1"/>
  <c r="L30" i="9"/>
  <c r="L30" i="10" s="1"/>
  <c r="L30" i="11" s="1"/>
  <c r="Z113" i="16"/>
  <c r="H252" i="12"/>
  <c r="H92" i="16" s="1"/>
  <c r="H92" i="17" s="1"/>
  <c r="P6" i="16"/>
  <c r="S21" i="14"/>
  <c r="J32" i="11"/>
  <c r="G30" i="10"/>
  <c r="G190" i="12" s="1"/>
  <c r="G30" i="16" s="1"/>
  <c r="L31" i="9"/>
  <c r="L31" i="10" s="1"/>
  <c r="I31" i="9"/>
  <c r="I31" i="10" s="1"/>
  <c r="I31" i="11" s="1"/>
  <c r="J156" i="9"/>
  <c r="J156" i="10" s="1"/>
  <c r="J316" i="12" s="1"/>
  <c r="J156" i="16" s="1"/>
  <c r="G156" i="9"/>
  <c r="G156" i="10" s="1"/>
  <c r="G316" i="12" s="1"/>
  <c r="G156" i="13" s="1"/>
  <c r="K156" i="9"/>
  <c r="K156" i="10" s="1"/>
  <c r="H122" i="9"/>
  <c r="O166" i="13"/>
  <c r="L23" i="9"/>
  <c r="L23" i="10" s="1"/>
  <c r="L183" i="12" s="1"/>
  <c r="D55" i="37"/>
  <c r="A55" i="37" s="1"/>
  <c r="L14" i="10"/>
  <c r="L174" i="12" s="1"/>
  <c r="Z4" i="22"/>
  <c r="Y167" i="22"/>
  <c r="Y20" i="22"/>
  <c r="Y138" i="22"/>
  <c r="Y22" i="22"/>
  <c r="Y62" i="22"/>
  <c r="Y96" i="22"/>
  <c r="Y68" i="22"/>
  <c r="Y78" i="22"/>
  <c r="Y48" i="22"/>
  <c r="Y8" i="22"/>
  <c r="Y124" i="22"/>
  <c r="Y114" i="22"/>
  <c r="Y16" i="22"/>
  <c r="Y19" i="22"/>
  <c r="Y164" i="22"/>
  <c r="Y153" i="6" s="1"/>
  <c r="Y161" i="22"/>
  <c r="Y151" i="6" s="1"/>
  <c r="Y149" i="22"/>
  <c r="Y140" i="6" s="1"/>
  <c r="Y145" i="22"/>
  <c r="Y137" i="6" s="1"/>
  <c r="Y117" i="22"/>
  <c r="Y110" i="6" s="1"/>
  <c r="Y108" i="22"/>
  <c r="Y102" i="6" s="1"/>
  <c r="Y105" i="22"/>
  <c r="Y100" i="6" s="1"/>
  <c r="Y89" i="22"/>
  <c r="Y87" i="22"/>
  <c r="Y84" i="6" s="1"/>
  <c r="Y79" i="22"/>
  <c r="Y67" i="22"/>
  <c r="Y66" i="6" s="1"/>
  <c r="X66" i="9" s="1"/>
  <c r="Y137" i="22"/>
  <c r="Y90" i="22"/>
  <c r="Y91" i="22"/>
  <c r="Y75" i="22"/>
  <c r="Y168" i="22"/>
  <c r="Y99" i="22"/>
  <c r="Y18" i="22"/>
  <c r="Y157" i="22"/>
  <c r="Y132" i="22"/>
  <c r="Y77" i="22"/>
  <c r="Y166" i="22"/>
  <c r="Y26" i="22"/>
  <c r="Y60" i="22"/>
  <c r="Y102" i="22"/>
  <c r="Y158" i="22"/>
  <c r="Y94" i="22"/>
  <c r="Y98" i="22"/>
  <c r="Y88" i="22"/>
  <c r="Y85" i="6" s="1"/>
  <c r="Y82" i="22"/>
  <c r="Y74" i="22"/>
  <c r="Y134" i="22"/>
  <c r="Y71" i="22"/>
  <c r="Y49" i="22"/>
  <c r="Y130" i="22"/>
  <c r="O4" i="6"/>
  <c r="N29" i="6"/>
  <c r="N14" i="6"/>
  <c r="N101" i="6"/>
  <c r="N145" i="6"/>
  <c r="N134" i="6"/>
  <c r="N42" i="6"/>
  <c r="N35" i="6"/>
  <c r="N94" i="6"/>
  <c r="N148" i="6"/>
  <c r="N116" i="6"/>
  <c r="N73" i="6"/>
  <c r="N62" i="6"/>
  <c r="N117" i="6"/>
  <c r="N87" i="6"/>
  <c r="N16" i="6"/>
  <c r="N82" i="6"/>
  <c r="N106" i="6"/>
  <c r="N60" i="6"/>
  <c r="N86" i="6"/>
  <c r="N55" i="6"/>
  <c r="N158" i="6"/>
  <c r="N121" i="6"/>
  <c r="N8" i="6"/>
  <c r="N98" i="6"/>
  <c r="N155" i="6"/>
  <c r="N20" i="6"/>
  <c r="N18" i="6"/>
  <c r="N92" i="6"/>
  <c r="N90" i="6"/>
  <c r="N22" i="6"/>
  <c r="N57" i="6"/>
  <c r="Y147" i="22"/>
  <c r="Y85" i="22"/>
  <c r="Y14" i="22"/>
  <c r="B57" i="22"/>
  <c r="D56" i="22"/>
  <c r="Q256" i="13"/>
  <c r="Q96" i="17"/>
  <c r="H151" i="11"/>
  <c r="Z113" i="14"/>
  <c r="O78" i="17"/>
  <c r="Q96" i="11"/>
  <c r="P144" i="10"/>
  <c r="P144" i="11" s="1"/>
  <c r="V113" i="13"/>
  <c r="N36" i="14"/>
  <c r="X193" i="12"/>
  <c r="X33" i="16" s="1"/>
  <c r="L176" i="12"/>
  <c r="L16" i="16" s="1"/>
  <c r="L16" i="17" s="1"/>
  <c r="U140" i="11"/>
  <c r="V273" i="13"/>
  <c r="H256" i="12"/>
  <c r="H96" i="16" s="1"/>
  <c r="Y25" i="14"/>
  <c r="Y25" i="15" s="1"/>
  <c r="I296" i="12"/>
  <c r="I136" i="16" s="1"/>
  <c r="O78" i="13"/>
  <c r="D24" i="16"/>
  <c r="F24" i="20" s="1"/>
  <c r="AF458" i="1" s="1"/>
  <c r="P24" i="11"/>
  <c r="P24" i="14" s="1"/>
  <c r="P24" i="15" s="1"/>
  <c r="P132" i="10"/>
  <c r="H132" i="37"/>
  <c r="J55" i="11"/>
  <c r="J55" i="14" s="1"/>
  <c r="J55" i="15" s="1"/>
  <c r="P72" i="10"/>
  <c r="P72" i="11" s="1"/>
  <c r="H72" i="37"/>
  <c r="P128" i="10"/>
  <c r="H128" i="37"/>
  <c r="Z32" i="10"/>
  <c r="Z32" i="11" s="1"/>
  <c r="I32" i="37"/>
  <c r="AE422" i="1"/>
  <c r="Z59" i="10"/>
  <c r="Z59" i="11" s="1"/>
  <c r="I59" i="37"/>
  <c r="Z75" i="10"/>
  <c r="Z235" i="12" s="1"/>
  <c r="Z75" i="16" s="1"/>
  <c r="I75" i="37"/>
  <c r="L144" i="37"/>
  <c r="J144" i="37"/>
  <c r="K144" i="37"/>
  <c r="N144" i="37"/>
  <c r="M144" i="37"/>
  <c r="Z96" i="10"/>
  <c r="Z256" i="12" s="1"/>
  <c r="I96" i="37"/>
  <c r="Z58" i="10"/>
  <c r="Z58" i="11" s="1"/>
  <c r="I58" i="37"/>
  <c r="P32" i="10"/>
  <c r="P32" i="11" s="1"/>
  <c r="H32" i="37"/>
  <c r="Z28" i="10"/>
  <c r="I28" i="37"/>
  <c r="P58" i="10"/>
  <c r="P58" i="11" s="1"/>
  <c r="H58" i="37"/>
  <c r="Z88" i="10"/>
  <c r="I88" i="37"/>
  <c r="Z128" i="10"/>
  <c r="I128" i="37"/>
  <c r="N104" i="37"/>
  <c r="M104" i="37"/>
  <c r="L104" i="37"/>
  <c r="K104" i="37"/>
  <c r="J104" i="37"/>
  <c r="P33" i="10"/>
  <c r="H33" i="37"/>
  <c r="P88" i="10"/>
  <c r="D88" i="16" s="1"/>
  <c r="F88" i="20" s="1"/>
  <c r="H88" i="37"/>
  <c r="Z112" i="10"/>
  <c r="Z272" i="12" s="1"/>
  <c r="Z272" i="13" s="1"/>
  <c r="I112" i="37"/>
  <c r="L46" i="37"/>
  <c r="M46" i="37"/>
  <c r="J46" i="37"/>
  <c r="K46" i="37"/>
  <c r="N46" i="37"/>
  <c r="P59" i="10"/>
  <c r="P59" i="11" s="1"/>
  <c r="H59" i="37"/>
  <c r="P75" i="10"/>
  <c r="P75" i="11" s="1"/>
  <c r="H75" i="37"/>
  <c r="AE444" i="1"/>
  <c r="P135" i="10"/>
  <c r="P295" i="12" s="1"/>
  <c r="H135" i="37"/>
  <c r="M128" i="37"/>
  <c r="L128" i="37"/>
  <c r="K128" i="37"/>
  <c r="J128" i="37"/>
  <c r="N128" i="37"/>
  <c r="D40" i="16"/>
  <c r="F40" i="20" s="1"/>
  <c r="P200" i="12"/>
  <c r="P84" i="10"/>
  <c r="P84" i="11" s="1"/>
  <c r="H84" i="37"/>
  <c r="P151" i="10"/>
  <c r="P151" i="11" s="1"/>
  <c r="H151" i="37"/>
  <c r="P140" i="10"/>
  <c r="H140" i="37"/>
  <c r="P102" i="10"/>
  <c r="P102" i="11" s="1"/>
  <c r="H102" i="37"/>
  <c r="P100" i="10"/>
  <c r="P100" i="11" s="1"/>
  <c r="H100" i="37"/>
  <c r="N153" i="37"/>
  <c r="M153" i="37"/>
  <c r="L153" i="37"/>
  <c r="K153" i="37"/>
  <c r="J153" i="37"/>
  <c r="J137" i="37"/>
  <c r="N137" i="37"/>
  <c r="M137" i="37"/>
  <c r="K137" i="37"/>
  <c r="L137" i="37"/>
  <c r="K66" i="37"/>
  <c r="J66" i="37"/>
  <c r="N66" i="37"/>
  <c r="M66" i="37"/>
  <c r="L66" i="37"/>
  <c r="P110" i="10"/>
  <c r="H110" i="37"/>
  <c r="P77" i="10"/>
  <c r="P77" i="11" s="1"/>
  <c r="H77" i="37"/>
  <c r="G201" i="31"/>
  <c r="G197" i="31"/>
  <c r="G190" i="31"/>
  <c r="G194" i="31"/>
  <c r="G187" i="31"/>
  <c r="G204" i="31"/>
  <c r="Y17" i="1"/>
  <c r="G199" i="31"/>
  <c r="M193" i="31"/>
  <c r="Y245" i="1"/>
  <c r="M67" i="31"/>
  <c r="M195" i="31" s="1"/>
  <c r="Y204" i="1"/>
  <c r="M54" i="31"/>
  <c r="M192" i="31" s="1"/>
  <c r="Y273" i="1"/>
  <c r="M71" i="31"/>
  <c r="M197" i="31" s="1"/>
  <c r="Y331" i="1"/>
  <c r="M86" i="31"/>
  <c r="M201" i="31" s="1"/>
  <c r="Y370" i="1"/>
  <c r="M96" i="31"/>
  <c r="M204" i="31" s="1"/>
  <c r="G200" i="31"/>
  <c r="G184" i="31"/>
  <c r="G180" i="31"/>
  <c r="G206" i="31"/>
  <c r="Y112" i="1"/>
  <c r="M29" i="31"/>
  <c r="M186" i="31" s="1"/>
  <c r="Y172" i="1"/>
  <c r="M45" i="31"/>
  <c r="M190" i="31" s="1"/>
  <c r="G191" i="31"/>
  <c r="G179" i="31"/>
  <c r="G192" i="31"/>
  <c r="Y234" i="1"/>
  <c r="M62" i="31"/>
  <c r="M194" i="31" s="1"/>
  <c r="Y392" i="1"/>
  <c r="M102" i="31"/>
  <c r="M179" i="31"/>
  <c r="G186" i="31"/>
  <c r="Y125" i="1"/>
  <c r="M34" i="31"/>
  <c r="M187" i="31" s="1"/>
  <c r="Y314" i="1"/>
  <c r="M83" i="31"/>
  <c r="M200" i="31" s="1"/>
  <c r="Y95" i="1"/>
  <c r="M26" i="31"/>
  <c r="M185" i="31" s="1"/>
  <c r="Y187" i="1"/>
  <c r="M50" i="31"/>
  <c r="M191" i="31" s="1"/>
  <c r="Y301" i="1"/>
  <c r="M78" i="31"/>
  <c r="M199" i="31" s="1"/>
  <c r="Y381" i="1"/>
  <c r="M100" i="31"/>
  <c r="M205" i="31" s="1"/>
  <c r="Y256" i="1"/>
  <c r="M69" i="31"/>
  <c r="M196" i="31" s="1"/>
  <c r="Y284" i="1"/>
  <c r="M77" i="31"/>
  <c r="O110" i="11"/>
  <c r="AI77" i="6"/>
  <c r="O237" i="12"/>
  <c r="O77" i="16" s="1"/>
  <c r="O77" i="17" s="1"/>
  <c r="G110" i="11"/>
  <c r="S96" i="14"/>
  <c r="W46" i="14"/>
  <c r="H135" i="16"/>
  <c r="H295" i="17" s="1"/>
  <c r="H135" i="13"/>
  <c r="S196" i="13"/>
  <c r="G305" i="13"/>
  <c r="G27" i="13"/>
  <c r="I130" i="9"/>
  <c r="I130" i="10" s="1"/>
  <c r="I290" i="12" s="1"/>
  <c r="I62" i="14"/>
  <c r="S196" i="17"/>
  <c r="G187" i="13"/>
  <c r="G27" i="14" s="1"/>
  <c r="G27" i="15" s="1"/>
  <c r="Y64" i="14"/>
  <c r="U36" i="14"/>
  <c r="U36" i="18" s="1"/>
  <c r="U196" i="18" s="1"/>
  <c r="G78" i="13"/>
  <c r="L45" i="9"/>
  <c r="L45" i="10" s="1"/>
  <c r="K88" i="16"/>
  <c r="M6" i="13"/>
  <c r="G238" i="13"/>
  <c r="G78" i="14" s="1"/>
  <c r="I308" i="13"/>
  <c r="P248" i="12"/>
  <c r="P248" i="13" s="1"/>
  <c r="K48" i="9"/>
  <c r="K48" i="10" s="1"/>
  <c r="K208" i="12" s="1"/>
  <c r="G64" i="13"/>
  <c r="H291" i="12"/>
  <c r="M166" i="13"/>
  <c r="M6" i="14" s="1"/>
  <c r="G64" i="17"/>
  <c r="M6" i="17"/>
  <c r="K131" i="11"/>
  <c r="G224" i="13"/>
  <c r="G64" i="14" s="1"/>
  <c r="N6" i="14"/>
  <c r="N6" i="15" s="1"/>
  <c r="Y59" i="11"/>
  <c r="H91" i="9"/>
  <c r="H91" i="10" s="1"/>
  <c r="I46" i="13"/>
  <c r="M40" i="14"/>
  <c r="M40" i="18" s="1"/>
  <c r="M200" i="18" s="1"/>
  <c r="Q21" i="14"/>
  <c r="H294" i="13"/>
  <c r="H134" i="14" s="1"/>
  <c r="H134" i="18" s="1"/>
  <c r="H301" i="18" s="1"/>
  <c r="T112" i="13"/>
  <c r="W143" i="14"/>
  <c r="W143" i="15" s="1"/>
  <c r="J60" i="13"/>
  <c r="W293" i="13"/>
  <c r="Q128" i="15"/>
  <c r="Q128" i="17"/>
  <c r="T272" i="13"/>
  <c r="S143" i="14"/>
  <c r="H134" i="17"/>
  <c r="K27" i="14"/>
  <c r="K27" i="15" s="1"/>
  <c r="J138" i="9"/>
  <c r="J138" i="10" s="1"/>
  <c r="J148" i="14"/>
  <c r="T112" i="17"/>
  <c r="U78" i="13"/>
  <c r="R273" i="13"/>
  <c r="W133" i="11"/>
  <c r="O88" i="14"/>
  <c r="J60" i="16"/>
  <c r="H156" i="11"/>
  <c r="R28" i="14"/>
  <c r="I158" i="11"/>
  <c r="O110" i="13"/>
  <c r="X51" i="14"/>
  <c r="P36" i="14"/>
  <c r="U96" i="17"/>
  <c r="H29" i="14"/>
  <c r="H29" i="15" s="1"/>
  <c r="K97" i="9"/>
  <c r="K97" i="10" s="1"/>
  <c r="K97" i="11" s="1"/>
  <c r="G29" i="16"/>
  <c r="O270" i="13"/>
  <c r="T6" i="14"/>
  <c r="T6" i="18" s="1"/>
  <c r="T166" i="18" s="1"/>
  <c r="O40" i="14"/>
  <c r="O40" i="18" s="1"/>
  <c r="O200" i="18" s="1"/>
  <c r="S40" i="14"/>
  <c r="AA38" i="10"/>
  <c r="G38" i="20" s="1"/>
  <c r="G29" i="13"/>
  <c r="I148" i="17"/>
  <c r="H121" i="16"/>
  <c r="H281" i="17" s="1"/>
  <c r="H97" i="9"/>
  <c r="H97" i="10" s="1"/>
  <c r="H270" i="12"/>
  <c r="H110" i="16" s="1"/>
  <c r="H270" i="17" s="1"/>
  <c r="J156" i="11"/>
  <c r="J94" i="11"/>
  <c r="L94" i="11"/>
  <c r="W21" i="14"/>
  <c r="W21" i="15" s="1"/>
  <c r="N113" i="14"/>
  <c r="N113" i="15" s="1"/>
  <c r="U96" i="13"/>
  <c r="U96" i="11"/>
  <c r="M77" i="11"/>
  <c r="U133" i="17"/>
  <c r="Q46" i="14"/>
  <c r="L148" i="14"/>
  <c r="U256" i="13"/>
  <c r="J28" i="14"/>
  <c r="U6" i="17"/>
  <c r="H121" i="13"/>
  <c r="H121" i="11"/>
  <c r="H121" i="14" s="1"/>
  <c r="S135" i="16"/>
  <c r="S295" i="17" s="1"/>
  <c r="H232" i="12"/>
  <c r="H72" i="16" s="1"/>
  <c r="H116" i="14"/>
  <c r="I148" i="13"/>
  <c r="G97" i="9"/>
  <c r="G97" i="10" s="1"/>
  <c r="I97" i="9"/>
  <c r="I97" i="10" s="1"/>
  <c r="M97" i="9"/>
  <c r="M97" i="10" s="1"/>
  <c r="X132" i="10"/>
  <c r="X132" i="11" s="1"/>
  <c r="AA64" i="10"/>
  <c r="G64" i="20" s="1"/>
  <c r="AA27" i="10"/>
  <c r="G27" i="20" s="1"/>
  <c r="K46" i="14"/>
  <c r="K70" i="9"/>
  <c r="K70" i="10" s="1"/>
  <c r="K70" i="11" s="1"/>
  <c r="G91" i="9"/>
  <c r="G91" i="10" s="1"/>
  <c r="G251" i="12" s="1"/>
  <c r="G91" i="16" s="1"/>
  <c r="M156" i="9"/>
  <c r="M156" i="10" s="1"/>
  <c r="M316" i="12" s="1"/>
  <c r="M316" i="13" s="1"/>
  <c r="AA28" i="10"/>
  <c r="G28" i="20" s="1"/>
  <c r="P45" i="1"/>
  <c r="N45" i="1"/>
  <c r="R66" i="9"/>
  <c r="R66" i="10" s="1"/>
  <c r="R66" i="11" s="1"/>
  <c r="G135" i="11"/>
  <c r="W133" i="17"/>
  <c r="W293" i="17"/>
  <c r="G136" i="11"/>
  <c r="G296" i="12"/>
  <c r="G136" i="16" s="1"/>
  <c r="G296" i="17" s="1"/>
  <c r="G66" i="9"/>
  <c r="G66" i="10" s="1"/>
  <c r="N66" i="9"/>
  <c r="N66" i="10" s="1"/>
  <c r="N66" i="11" s="1"/>
  <c r="P66" i="9"/>
  <c r="I305" i="13"/>
  <c r="H318" i="12"/>
  <c r="H158" i="16" s="1"/>
  <c r="G20" i="11"/>
  <c r="S135" i="13"/>
  <c r="G59" i="11"/>
  <c r="G87" i="11"/>
  <c r="G117" i="11"/>
  <c r="S36" i="11"/>
  <c r="O38" i="14"/>
  <c r="O38" i="15" s="1"/>
  <c r="Q133" i="16"/>
  <c r="Q133" i="11"/>
  <c r="Q133" i="14" s="1"/>
  <c r="G215" i="12"/>
  <c r="AA40" i="10"/>
  <c r="G40" i="20" s="1"/>
  <c r="AA128" i="10"/>
  <c r="G128" i="20" s="1"/>
  <c r="M66" i="9"/>
  <c r="G90" i="11"/>
  <c r="I46" i="17"/>
  <c r="W78" i="14"/>
  <c r="G17" i="11"/>
  <c r="AA17" i="10"/>
  <c r="G17" i="20" s="1"/>
  <c r="G112" i="11"/>
  <c r="I66" i="9"/>
  <c r="I66" i="10" s="1"/>
  <c r="I66" i="11" s="1"/>
  <c r="H66" i="9"/>
  <c r="S140" i="13"/>
  <c r="I206" i="13"/>
  <c r="K246" i="13"/>
  <c r="S36" i="13"/>
  <c r="G145" i="13"/>
  <c r="G11" i="11"/>
  <c r="AA11" i="10"/>
  <c r="G11" i="20" s="1"/>
  <c r="G106" i="11"/>
  <c r="I5" i="9"/>
  <c r="I5" i="10" s="1"/>
  <c r="I5" i="11" s="1"/>
  <c r="G36" i="11"/>
  <c r="L97" i="9"/>
  <c r="L97" i="10" s="1"/>
  <c r="L97" i="11" s="1"/>
  <c r="AA56" i="10"/>
  <c r="G56" i="20" s="1"/>
  <c r="G75" i="11"/>
  <c r="S140" i="11"/>
  <c r="S140" i="14" s="1"/>
  <c r="I145" i="17"/>
  <c r="H64" i="17"/>
  <c r="Y51" i="14"/>
  <c r="G116" i="11"/>
  <c r="G145" i="17"/>
  <c r="O272" i="12"/>
  <c r="O112" i="16" s="1"/>
  <c r="O112" i="17" s="1"/>
  <c r="Q133" i="13"/>
  <c r="G61" i="11"/>
  <c r="G155" i="11"/>
  <c r="G121" i="11"/>
  <c r="G246" i="12"/>
  <c r="G86" i="13" s="1"/>
  <c r="G57" i="11"/>
  <c r="N40" i="14"/>
  <c r="N40" i="15" s="1"/>
  <c r="G113" i="11"/>
  <c r="AA113" i="10"/>
  <c r="G113" i="20" s="1"/>
  <c r="G153" i="9"/>
  <c r="G153" i="10" s="1"/>
  <c r="G313" i="12" s="1"/>
  <c r="G153" i="16" s="1"/>
  <c r="G291" i="12"/>
  <c r="G60" i="11"/>
  <c r="I133" i="10"/>
  <c r="I293" i="12" s="1"/>
  <c r="S66" i="9"/>
  <c r="V66" i="9"/>
  <c r="V66" i="10" s="1"/>
  <c r="V66" i="11" s="1"/>
  <c r="O66" i="9"/>
  <c r="O66" i="10" s="1"/>
  <c r="O66" i="11" s="1"/>
  <c r="T66" i="9"/>
  <c r="T66" i="10" s="1"/>
  <c r="T66" i="11" s="1"/>
  <c r="O224" i="13"/>
  <c r="G82" i="11"/>
  <c r="G220" i="12"/>
  <c r="G30" i="11"/>
  <c r="AA104" i="10"/>
  <c r="G104" i="20" s="1"/>
  <c r="V36" i="13"/>
  <c r="S27" i="14"/>
  <c r="S27" i="15" s="1"/>
  <c r="G158" i="11"/>
  <c r="G184" i="12"/>
  <c r="G184" i="13" s="1"/>
  <c r="AA24" i="10"/>
  <c r="G24" i="20" s="1"/>
  <c r="G292" i="12"/>
  <c r="G16" i="11"/>
  <c r="K86" i="11"/>
  <c r="G94" i="11"/>
  <c r="AA21" i="10"/>
  <c r="G21" i="20" s="1"/>
  <c r="O133" i="10"/>
  <c r="O133" i="11" s="1"/>
  <c r="AA78" i="10"/>
  <c r="G78" i="20" s="1"/>
  <c r="AA25" i="10"/>
  <c r="G25" i="20" s="1"/>
  <c r="G51" i="11"/>
  <c r="AA51" i="10"/>
  <c r="G51" i="20" s="1"/>
  <c r="G248" i="12"/>
  <c r="G248" i="13" s="1"/>
  <c r="G193" i="12"/>
  <c r="G193" i="13" s="1"/>
  <c r="U66" i="9"/>
  <c r="U66" i="10" s="1"/>
  <c r="U66" i="11" s="1"/>
  <c r="K66" i="9"/>
  <c r="K66" i="10" s="1"/>
  <c r="K66" i="11" s="1"/>
  <c r="I145" i="13"/>
  <c r="G92" i="11"/>
  <c r="M64" i="14"/>
  <c r="M64" i="15" s="1"/>
  <c r="G21" i="14"/>
  <c r="G21" i="18" s="1"/>
  <c r="L128" i="14"/>
  <c r="L128" i="15" s="1"/>
  <c r="J60" i="14"/>
  <c r="V38" i="14"/>
  <c r="V38" i="15" s="1"/>
  <c r="V36" i="17"/>
  <c r="G71" i="11"/>
  <c r="AA71" i="10"/>
  <c r="G71" i="20" s="1"/>
  <c r="G143" i="11"/>
  <c r="AA143" i="10"/>
  <c r="G143" i="20" s="1"/>
  <c r="G72" i="11"/>
  <c r="G58" i="11"/>
  <c r="Z75" i="11"/>
  <c r="S135" i="11"/>
  <c r="S135" i="14" s="1"/>
  <c r="G131" i="11"/>
  <c r="G166" i="12"/>
  <c r="G6" i="16" s="1"/>
  <c r="G6" i="17" s="1"/>
  <c r="AA6" i="10"/>
  <c r="G6" i="20" s="1"/>
  <c r="K5" i="9"/>
  <c r="K5" i="10" s="1"/>
  <c r="K165" i="12" s="1"/>
  <c r="O78" i="11"/>
  <c r="O78" i="14" s="1"/>
  <c r="Y133" i="10"/>
  <c r="Y133" i="11" s="1"/>
  <c r="AA46" i="10"/>
  <c r="G46" i="20" s="1"/>
  <c r="AA126" i="10"/>
  <c r="G126" i="20" s="1"/>
  <c r="G270" i="12"/>
  <c r="G151" i="11"/>
  <c r="G300" i="12"/>
  <c r="G140" i="16" s="1"/>
  <c r="U238" i="13"/>
  <c r="Q96" i="14"/>
  <c r="Q96" i="18" s="1"/>
  <c r="Q260" i="18" s="1"/>
  <c r="K176" i="12"/>
  <c r="K16" i="16" s="1"/>
  <c r="K176" i="17" s="1"/>
  <c r="K21" i="14"/>
  <c r="K21" i="15" s="1"/>
  <c r="F31" i="9"/>
  <c r="G5" i="9"/>
  <c r="H38" i="17"/>
  <c r="S32" i="16"/>
  <c r="S192" i="17" s="1"/>
  <c r="X40" i="14"/>
  <c r="T28" i="14"/>
  <c r="T28" i="18" s="1"/>
  <c r="T188" i="18" s="1"/>
  <c r="P88" i="11"/>
  <c r="P88" i="14" s="1"/>
  <c r="F65" i="9"/>
  <c r="P88" i="16"/>
  <c r="H55" i="14"/>
  <c r="X64" i="17"/>
  <c r="U78" i="17"/>
  <c r="G33" i="11"/>
  <c r="W140" i="11"/>
  <c r="L95" i="9"/>
  <c r="L95" i="10" s="1"/>
  <c r="L95" i="11" s="1"/>
  <c r="G140" i="11"/>
  <c r="K53" i="9"/>
  <c r="K53" i="10" s="1"/>
  <c r="L116" i="14"/>
  <c r="G128" i="14"/>
  <c r="G128" i="18" s="1"/>
  <c r="L220" i="13"/>
  <c r="S72" i="11"/>
  <c r="J59" i="11"/>
  <c r="O128" i="18"/>
  <c r="O295" i="18" s="1"/>
  <c r="H94" i="11"/>
  <c r="T36" i="14"/>
  <c r="T36" i="15" s="1"/>
  <c r="K118" i="9"/>
  <c r="K118" i="10" s="1"/>
  <c r="K118" i="11" s="1"/>
  <c r="U78" i="11"/>
  <c r="O256" i="12"/>
  <c r="O96" i="16" s="1"/>
  <c r="M110" i="16"/>
  <c r="M270" i="13"/>
  <c r="M110" i="13"/>
  <c r="K136" i="11"/>
  <c r="K296" i="12"/>
  <c r="K136" i="16" s="1"/>
  <c r="I248" i="12"/>
  <c r="I88" i="16" s="1"/>
  <c r="I14" i="14"/>
  <c r="H295" i="13"/>
  <c r="G55" i="11"/>
  <c r="G48" i="9"/>
  <c r="G48" i="10" s="1"/>
  <c r="H30" i="9"/>
  <c r="H30" i="10" s="1"/>
  <c r="H30" i="11" s="1"/>
  <c r="O96" i="11"/>
  <c r="L281" i="12"/>
  <c r="L121" i="16" s="1"/>
  <c r="L142" i="9"/>
  <c r="L142" i="10" s="1"/>
  <c r="S46" i="13"/>
  <c r="S46" i="17"/>
  <c r="H133" i="16"/>
  <c r="R27" i="14"/>
  <c r="R27" i="18" s="1"/>
  <c r="R187" i="18" s="1"/>
  <c r="Z143" i="15"/>
  <c r="G138" i="9"/>
  <c r="G138" i="10" s="1"/>
  <c r="J97" i="9"/>
  <c r="J97" i="10" s="1"/>
  <c r="J97" i="11" s="1"/>
  <c r="I107" i="9"/>
  <c r="I107" i="10" s="1"/>
  <c r="I107" i="11" s="1"/>
  <c r="K107" i="9"/>
  <c r="K107" i="10" s="1"/>
  <c r="K107" i="11" s="1"/>
  <c r="M107" i="9"/>
  <c r="M107" i="10" s="1"/>
  <c r="M107" i="11" s="1"/>
  <c r="Y21" i="14"/>
  <c r="Y21" i="18" s="1"/>
  <c r="Y181" i="18" s="1"/>
  <c r="S206" i="13"/>
  <c r="K131" i="13"/>
  <c r="V193" i="12"/>
  <c r="V33" i="13" s="1"/>
  <c r="I101" i="17"/>
  <c r="Q110" i="11"/>
  <c r="J65" i="9"/>
  <c r="J65" i="10" s="1"/>
  <c r="J225" i="12" s="1"/>
  <c r="J30" i="9"/>
  <c r="J30" i="10" s="1"/>
  <c r="J30" i="11" s="1"/>
  <c r="L48" i="9"/>
  <c r="L107" i="9"/>
  <c r="L107" i="10" s="1"/>
  <c r="V28" i="11"/>
  <c r="V28" i="14" s="1"/>
  <c r="O140" i="11"/>
  <c r="K291" i="13"/>
  <c r="Y112" i="16"/>
  <c r="Y272" i="17" s="1"/>
  <c r="W40" i="14"/>
  <c r="W40" i="18" s="1"/>
  <c r="W200" i="18" s="1"/>
  <c r="T40" i="14"/>
  <c r="K131" i="17"/>
  <c r="Y112" i="13"/>
  <c r="H133" i="13"/>
  <c r="G107" i="9"/>
  <c r="G107" i="10" s="1"/>
  <c r="G267" i="12" s="1"/>
  <c r="K73" i="11"/>
  <c r="H48" i="9"/>
  <c r="I48" i="9"/>
  <c r="I48" i="10" s="1"/>
  <c r="I48" i="11" s="1"/>
  <c r="J112" i="11"/>
  <c r="J112" i="14" s="1"/>
  <c r="J112" i="18" s="1"/>
  <c r="J279" i="18" s="1"/>
  <c r="G88" i="16"/>
  <c r="G88" i="17" s="1"/>
  <c r="H6" i="14"/>
  <c r="Y112" i="11"/>
  <c r="Y112" i="14" s="1"/>
  <c r="M110" i="11"/>
  <c r="M48" i="9"/>
  <c r="M48" i="10" s="1"/>
  <c r="M48" i="11" s="1"/>
  <c r="M118" i="9"/>
  <c r="M118" i="10" s="1"/>
  <c r="N28" i="14"/>
  <c r="N28" i="18" s="1"/>
  <c r="N188" i="18" s="1"/>
  <c r="S46" i="11"/>
  <c r="M36" i="10"/>
  <c r="M196" i="12" s="1"/>
  <c r="M131" i="16"/>
  <c r="M291" i="13"/>
  <c r="M131" i="13"/>
  <c r="R33" i="11"/>
  <c r="I25" i="14"/>
  <c r="J128" i="14"/>
  <c r="J128" i="18" s="1"/>
  <c r="J295" i="18" s="1"/>
  <c r="W128" i="17"/>
  <c r="U88" i="16"/>
  <c r="Q27" i="14"/>
  <c r="Q27" i="15" s="1"/>
  <c r="H118" i="9"/>
  <c r="H118" i="10" s="1"/>
  <c r="H278" i="12" s="1"/>
  <c r="H118" i="13" s="1"/>
  <c r="J118" i="9"/>
  <c r="J118" i="10" s="1"/>
  <c r="J118" i="11" s="1"/>
  <c r="K65" i="9"/>
  <c r="K65" i="10" s="1"/>
  <c r="K65" i="11" s="1"/>
  <c r="P96" i="10"/>
  <c r="P96" i="11" s="1"/>
  <c r="S135" i="17"/>
  <c r="K62" i="13"/>
  <c r="M30" i="17"/>
  <c r="I118" i="9"/>
  <c r="K152" i="11"/>
  <c r="I21" i="14"/>
  <c r="I21" i="15" s="1"/>
  <c r="L7" i="9"/>
  <c r="V37" i="10"/>
  <c r="U237" i="12"/>
  <c r="U77" i="16" s="1"/>
  <c r="K222" i="13"/>
  <c r="M30" i="13"/>
  <c r="G118" i="9"/>
  <c r="L118" i="9"/>
  <c r="L118" i="10" s="1"/>
  <c r="L118" i="11" s="1"/>
  <c r="M131" i="11"/>
  <c r="K128" i="14"/>
  <c r="W96" i="10"/>
  <c r="W256" i="12" s="1"/>
  <c r="H217" i="12"/>
  <c r="H57" i="13" s="1"/>
  <c r="H14" i="14"/>
  <c r="K62" i="17"/>
  <c r="M190" i="13"/>
  <c r="J168" i="12"/>
  <c r="J8" i="16" s="1"/>
  <c r="J168" i="17" s="1"/>
  <c r="R113" i="16"/>
  <c r="S72" i="13"/>
  <c r="W36" i="14"/>
  <c r="K13" i="9"/>
  <c r="M12" i="9"/>
  <c r="M12" i="10" s="1"/>
  <c r="I128" i="14"/>
  <c r="K36" i="14"/>
  <c r="S232" i="13"/>
  <c r="G29" i="14"/>
  <c r="M30" i="11"/>
  <c r="J13" i="9"/>
  <c r="J13" i="10" s="1"/>
  <c r="J13" i="11" s="1"/>
  <c r="H13" i="9"/>
  <c r="H13" i="10" s="1"/>
  <c r="J235" i="12"/>
  <c r="J75" i="16" s="1"/>
  <c r="Q110" i="16"/>
  <c r="Q270" i="13"/>
  <c r="Q110" i="13"/>
  <c r="G73" i="14"/>
  <c r="L60" i="17"/>
  <c r="U88" i="13"/>
  <c r="Z27" i="13"/>
  <c r="W33" i="13"/>
  <c r="G12" i="9"/>
  <c r="G12" i="10" s="1"/>
  <c r="G172" i="12" s="1"/>
  <c r="F12" i="9"/>
  <c r="J5" i="9"/>
  <c r="J5" i="10" s="1"/>
  <c r="J5" i="11" s="1"/>
  <c r="L5" i="9"/>
  <c r="L5" i="10" s="1"/>
  <c r="L165" i="12" s="1"/>
  <c r="L5" i="16" s="1"/>
  <c r="J48" i="9"/>
  <c r="J48" i="10" s="1"/>
  <c r="J48" i="11" s="1"/>
  <c r="V112" i="14"/>
  <c r="V112" i="18" s="1"/>
  <c r="V279" i="18" s="1"/>
  <c r="K14" i="14"/>
  <c r="L64" i="17"/>
  <c r="Z187" i="13"/>
  <c r="Z27" i="14" s="1"/>
  <c r="W33" i="16"/>
  <c r="W33" i="17" s="1"/>
  <c r="W33" i="11"/>
  <c r="R24" i="18"/>
  <c r="R184" i="18" s="1"/>
  <c r="L12" i="9"/>
  <c r="L12" i="10" s="1"/>
  <c r="L172" i="12" s="1"/>
  <c r="L172" i="13" s="1"/>
  <c r="U143" i="14"/>
  <c r="U143" i="18" s="1"/>
  <c r="U312" i="18" s="1"/>
  <c r="V51" i="13"/>
  <c r="H176" i="12"/>
  <c r="H16" i="16" s="1"/>
  <c r="H16" i="17" s="1"/>
  <c r="I16" i="11"/>
  <c r="L168" i="12"/>
  <c r="L8" i="16" s="1"/>
  <c r="L168" i="17" s="1"/>
  <c r="Y71" i="18"/>
  <c r="Y232" i="18" s="1"/>
  <c r="O36" i="13"/>
  <c r="H12" i="9"/>
  <c r="H150" i="9"/>
  <c r="J150" i="9"/>
  <c r="J150" i="10" s="1"/>
  <c r="J150" i="11" s="1"/>
  <c r="F5" i="9"/>
  <c r="K95" i="9"/>
  <c r="K95" i="10" s="1"/>
  <c r="K255" i="12" s="1"/>
  <c r="H65" i="9"/>
  <c r="H65" i="10" s="1"/>
  <c r="H225" i="12" s="1"/>
  <c r="H65" i="13" s="1"/>
  <c r="K140" i="11"/>
  <c r="V211" i="13"/>
  <c r="M128" i="16"/>
  <c r="R40" i="14"/>
  <c r="R40" i="18" s="1"/>
  <c r="R200" i="18" s="1"/>
  <c r="U6" i="13"/>
  <c r="O196" i="13"/>
  <c r="R27" i="17"/>
  <c r="V51" i="17"/>
  <c r="O36" i="17"/>
  <c r="Q25" i="14"/>
  <c r="G86" i="11"/>
  <c r="I30" i="11"/>
  <c r="J12" i="9"/>
  <c r="J12" i="10" s="1"/>
  <c r="J172" i="12" s="1"/>
  <c r="J172" i="13" s="1"/>
  <c r="O64" i="13"/>
  <c r="L60" i="13"/>
  <c r="H28" i="14"/>
  <c r="G218" i="12"/>
  <c r="G58" i="13" s="1"/>
  <c r="U166" i="13"/>
  <c r="O64" i="17"/>
  <c r="U88" i="11"/>
  <c r="U88" i="14" s="1"/>
  <c r="O36" i="11"/>
  <c r="K80" i="9"/>
  <c r="K80" i="10" s="1"/>
  <c r="K240" i="12" s="1"/>
  <c r="K80" i="16" s="1"/>
  <c r="L60" i="11"/>
  <c r="Z37" i="10"/>
  <c r="Z197" i="12" s="1"/>
  <c r="H250" i="12"/>
  <c r="H90" i="16" s="1"/>
  <c r="P112" i="10"/>
  <c r="P112" i="11" s="1"/>
  <c r="X218" i="12"/>
  <c r="X58" i="16" s="1"/>
  <c r="X38" i="14"/>
  <c r="X38" i="18" s="1"/>
  <c r="X198" i="18" s="1"/>
  <c r="Y75" i="16"/>
  <c r="X113" i="14"/>
  <c r="X113" i="15" s="1"/>
  <c r="S78" i="17"/>
  <c r="J95" i="9"/>
  <c r="M95" i="9"/>
  <c r="M95" i="10" s="1"/>
  <c r="M95" i="11" s="1"/>
  <c r="K91" i="9"/>
  <c r="G53" i="9"/>
  <c r="G53" i="10" s="1"/>
  <c r="G213" i="12" s="1"/>
  <c r="G53" i="16" s="1"/>
  <c r="H107" i="9"/>
  <c r="H107" i="10" s="1"/>
  <c r="M78" i="14"/>
  <c r="M88" i="16"/>
  <c r="X58" i="11"/>
  <c r="J75" i="11"/>
  <c r="Y88" i="10"/>
  <c r="Y248" i="12" s="1"/>
  <c r="Q88" i="10"/>
  <c r="Q88" i="11" s="1"/>
  <c r="I12" i="9"/>
  <c r="I12" i="10" s="1"/>
  <c r="I172" i="12" s="1"/>
  <c r="K145" i="11"/>
  <c r="K145" i="14" s="1"/>
  <c r="T112" i="11"/>
  <c r="T112" i="14" s="1"/>
  <c r="X112" i="10"/>
  <c r="X272" i="12" s="1"/>
  <c r="M88" i="13"/>
  <c r="R24" i="17"/>
  <c r="S78" i="13"/>
  <c r="S25" i="14"/>
  <c r="S25" i="15" s="1"/>
  <c r="Y75" i="13"/>
  <c r="M25" i="14"/>
  <c r="M25" i="18" s="1"/>
  <c r="M185" i="18" s="1"/>
  <c r="H128" i="14"/>
  <c r="F95" i="9"/>
  <c r="I95" i="9"/>
  <c r="I95" i="10" s="1"/>
  <c r="I95" i="11" s="1"/>
  <c r="G95" i="9"/>
  <c r="H88" i="10"/>
  <c r="H248" i="12" s="1"/>
  <c r="R24" i="15"/>
  <c r="K88" i="13"/>
  <c r="U32" i="16"/>
  <c r="S238" i="13"/>
  <c r="Y128" i="14"/>
  <c r="S140" i="16"/>
  <c r="S88" i="10"/>
  <c r="S88" i="11" s="1"/>
  <c r="Q59" i="10"/>
  <c r="Q59" i="11" s="1"/>
  <c r="S270" i="12"/>
  <c r="S110" i="13" s="1"/>
  <c r="U46" i="14"/>
  <c r="U46" i="18" s="1"/>
  <c r="U206" i="18" s="1"/>
  <c r="Z27" i="17"/>
  <c r="M88" i="11"/>
  <c r="M88" i="14" s="1"/>
  <c r="K12" i="9"/>
  <c r="K12" i="10" s="1"/>
  <c r="K12" i="11" s="1"/>
  <c r="H312" i="12"/>
  <c r="H152" i="11"/>
  <c r="S64" i="17"/>
  <c r="S224" i="17"/>
  <c r="N88" i="16"/>
  <c r="N248" i="13"/>
  <c r="N88" i="13"/>
  <c r="S58" i="10"/>
  <c r="S58" i="11" s="1"/>
  <c r="H124" i="9"/>
  <c r="H124" i="10" s="1"/>
  <c r="I256" i="12"/>
  <c r="I96" i="11"/>
  <c r="K67" i="9"/>
  <c r="G67" i="9"/>
  <c r="R132" i="10"/>
  <c r="R292" i="12" s="1"/>
  <c r="U192" i="13"/>
  <c r="U32" i="13"/>
  <c r="W224" i="12"/>
  <c r="W64" i="11"/>
  <c r="I73" i="16"/>
  <c r="I233" i="13"/>
  <c r="P184" i="17"/>
  <c r="P24" i="17"/>
  <c r="P224" i="17"/>
  <c r="P64" i="17"/>
  <c r="U288" i="12"/>
  <c r="U128" i="16" s="1"/>
  <c r="U128" i="11"/>
  <c r="P188" i="12"/>
  <c r="P28" i="11"/>
  <c r="D28" i="16"/>
  <c r="F28" i="20" s="1"/>
  <c r="G166" i="17"/>
  <c r="M5" i="10"/>
  <c r="M5" i="11" s="1"/>
  <c r="G132" i="11"/>
  <c r="S224" i="13"/>
  <c r="L124" i="9"/>
  <c r="L124" i="10" s="1"/>
  <c r="L124" i="11" s="1"/>
  <c r="F124" i="9"/>
  <c r="I158" i="16"/>
  <c r="I158" i="17" s="1"/>
  <c r="I318" i="13"/>
  <c r="I158" i="13"/>
  <c r="V273" i="17"/>
  <c r="V113" i="17"/>
  <c r="M153" i="9"/>
  <c r="M153" i="10" s="1"/>
  <c r="M313" i="12" s="1"/>
  <c r="K153" i="9"/>
  <c r="K153" i="10" s="1"/>
  <c r="K153" i="11" s="1"/>
  <c r="AI150" i="6"/>
  <c r="F150" i="9"/>
  <c r="M136" i="10"/>
  <c r="M296" i="12" s="1"/>
  <c r="M136" i="16" s="1"/>
  <c r="M296" i="17" s="1"/>
  <c r="O206" i="12"/>
  <c r="O46" i="11"/>
  <c r="H38" i="14"/>
  <c r="H38" i="15" s="1"/>
  <c r="U133" i="14"/>
  <c r="U133" i="15" s="1"/>
  <c r="M67" i="9"/>
  <c r="M67" i="10" s="1"/>
  <c r="M227" i="12" s="1"/>
  <c r="J91" i="9"/>
  <c r="J91" i="10" s="1"/>
  <c r="J91" i="11" s="1"/>
  <c r="I153" i="9"/>
  <c r="I153" i="10" s="1"/>
  <c r="I313" i="12" s="1"/>
  <c r="U21" i="11"/>
  <c r="U21" i="14" s="1"/>
  <c r="I53" i="9"/>
  <c r="I53" i="10" s="1"/>
  <c r="I65" i="9"/>
  <c r="I65" i="10" s="1"/>
  <c r="I65" i="11" s="1"/>
  <c r="J107" i="9"/>
  <c r="H67" i="9"/>
  <c r="H67" i="10" s="1"/>
  <c r="K62" i="11"/>
  <c r="G145" i="14"/>
  <c r="G145" i="18" s="1"/>
  <c r="U27" i="14"/>
  <c r="H29" i="18"/>
  <c r="H189" i="18" s="1"/>
  <c r="L115" i="9"/>
  <c r="L115" i="10" s="1"/>
  <c r="L115" i="11" s="1"/>
  <c r="I27" i="14"/>
  <c r="L67" i="9"/>
  <c r="L67" i="10" s="1"/>
  <c r="T153" i="9"/>
  <c r="K215" i="12"/>
  <c r="K55" i="16" s="1"/>
  <c r="S6" i="14"/>
  <c r="J134" i="11"/>
  <c r="J134" i="14" s="1"/>
  <c r="I90" i="11"/>
  <c r="J67" i="9"/>
  <c r="J67" i="10" s="1"/>
  <c r="J67" i="11" s="1"/>
  <c r="I142" i="9"/>
  <c r="I142" i="10" s="1"/>
  <c r="I142" i="11" s="1"/>
  <c r="M142" i="9"/>
  <c r="M142" i="10" s="1"/>
  <c r="M302" i="12" s="1"/>
  <c r="M142" i="16" s="1"/>
  <c r="J14" i="14"/>
  <c r="M65" i="9"/>
  <c r="M65" i="10" s="1"/>
  <c r="M65" i="11" s="1"/>
  <c r="V153" i="9"/>
  <c r="V64" i="16"/>
  <c r="V224" i="13"/>
  <c r="V64" i="14" s="1"/>
  <c r="V64" i="13"/>
  <c r="I224" i="12"/>
  <c r="I64" i="11"/>
  <c r="I7" i="9"/>
  <c r="I7" i="10" s="1"/>
  <c r="I7" i="11" s="1"/>
  <c r="H7" i="9"/>
  <c r="K7" i="9"/>
  <c r="K7" i="10" s="1"/>
  <c r="K7" i="11" s="1"/>
  <c r="M7" i="9"/>
  <c r="M7" i="10" s="1"/>
  <c r="G7" i="9"/>
  <c r="G7" i="10" s="1"/>
  <c r="F7" i="9"/>
  <c r="AI7" i="6"/>
  <c r="F79" i="9"/>
  <c r="AI107" i="6"/>
  <c r="F107" i="9"/>
  <c r="K94" i="10"/>
  <c r="K94" i="11" s="1"/>
  <c r="L112" i="10"/>
  <c r="L272" i="12" s="1"/>
  <c r="AI156" i="6"/>
  <c r="F156" i="9"/>
  <c r="Z211" i="12"/>
  <c r="Z51" i="11"/>
  <c r="Z96" i="11"/>
  <c r="X133" i="16"/>
  <c r="X293" i="13"/>
  <c r="X133" i="13"/>
  <c r="Z200" i="12"/>
  <c r="Z40" i="11"/>
  <c r="S232" i="17"/>
  <c r="AI152" i="6"/>
  <c r="F152" i="9"/>
  <c r="H122" i="10"/>
  <c r="H282" i="12" s="1"/>
  <c r="W110" i="10"/>
  <c r="W110" i="11" s="1"/>
  <c r="O128" i="15"/>
  <c r="K52" i="9"/>
  <c r="K52" i="10" s="1"/>
  <c r="K52" i="11" s="1"/>
  <c r="R113" i="11"/>
  <c r="R113" i="14" s="1"/>
  <c r="J125" i="9"/>
  <c r="J125" i="10" s="1"/>
  <c r="J125" i="11" s="1"/>
  <c r="G125" i="9"/>
  <c r="G125" i="10" s="1"/>
  <c r="G13" i="9"/>
  <c r="G13" i="10" s="1"/>
  <c r="G173" i="12" s="1"/>
  <c r="G13" i="16" s="1"/>
  <c r="G150" i="9"/>
  <c r="G150" i="10" s="1"/>
  <c r="M122" i="9"/>
  <c r="M122" i="10" s="1"/>
  <c r="M122" i="11" s="1"/>
  <c r="H53" i="9"/>
  <c r="G65" i="9"/>
  <c r="J7" i="9"/>
  <c r="I46" i="11"/>
  <c r="L108" i="9"/>
  <c r="L108" i="10" s="1"/>
  <c r="L108" i="11" s="1"/>
  <c r="H90" i="11"/>
  <c r="V113" i="11"/>
  <c r="V113" i="14" s="1"/>
  <c r="K125" i="9"/>
  <c r="K125" i="10" s="1"/>
  <c r="K285" i="12" s="1"/>
  <c r="H125" i="9"/>
  <c r="H125" i="10" s="1"/>
  <c r="H153" i="9"/>
  <c r="H153" i="10" s="1"/>
  <c r="H153" i="11" s="1"/>
  <c r="I125" i="9"/>
  <c r="I125" i="10" s="1"/>
  <c r="I125" i="11" s="1"/>
  <c r="I150" i="9"/>
  <c r="I150" i="10" s="1"/>
  <c r="I150" i="11" s="1"/>
  <c r="I122" i="9"/>
  <c r="I122" i="10" s="1"/>
  <c r="I122" i="11" s="1"/>
  <c r="R37" i="10"/>
  <c r="R197" i="12" s="1"/>
  <c r="I131" i="9"/>
  <c r="F53" i="9"/>
  <c r="L53" i="9"/>
  <c r="L53" i="10" s="1"/>
  <c r="G62" i="14"/>
  <c r="H47" i="9"/>
  <c r="H47" i="10" s="1"/>
  <c r="H47" i="11" s="1"/>
  <c r="L125" i="9"/>
  <c r="L125" i="10" s="1"/>
  <c r="L125" i="11" s="1"/>
  <c r="K88" i="11"/>
  <c r="K88" i="14" s="1"/>
  <c r="K88" i="15" s="1"/>
  <c r="L80" i="9"/>
  <c r="L80" i="10" s="1"/>
  <c r="L80" i="11" s="1"/>
  <c r="M53" i="9"/>
  <c r="M53" i="10" s="1"/>
  <c r="J293" i="12"/>
  <c r="J133" i="16" s="1"/>
  <c r="W128" i="14"/>
  <c r="W128" i="15" s="1"/>
  <c r="V11" i="14"/>
  <c r="V11" i="15" s="1"/>
  <c r="M150" i="9"/>
  <c r="M150" i="10" s="1"/>
  <c r="M310" i="12" s="1"/>
  <c r="M150" i="16" s="1"/>
  <c r="K122" i="9"/>
  <c r="K122" i="10" s="1"/>
  <c r="K122" i="11" s="1"/>
  <c r="J122" i="9"/>
  <c r="J122" i="10" s="1"/>
  <c r="J122" i="11" s="1"/>
  <c r="T37" i="10"/>
  <c r="T197" i="12" s="1"/>
  <c r="J53" i="10"/>
  <c r="J213" i="12" s="1"/>
  <c r="L65" i="9"/>
  <c r="I73" i="11"/>
  <c r="Y78" i="14"/>
  <c r="L66" i="9"/>
  <c r="Q66" i="9"/>
  <c r="Q66" i="10" s="1"/>
  <c r="Q66" i="11" s="1"/>
  <c r="S153" i="9"/>
  <c r="S153" i="10" s="1"/>
  <c r="L122" i="9"/>
  <c r="L122" i="10" s="1"/>
  <c r="L282" i="12" s="1"/>
  <c r="J80" i="9"/>
  <c r="F80" i="9"/>
  <c r="G80" i="9"/>
  <c r="G80" i="10" s="1"/>
  <c r="H80" i="9"/>
  <c r="H80" i="10" s="1"/>
  <c r="H80" i="11" s="1"/>
  <c r="AI48" i="6"/>
  <c r="F48" i="9"/>
  <c r="M80" i="9"/>
  <c r="I80" i="9"/>
  <c r="I80" i="10" s="1"/>
  <c r="I80" i="11" s="1"/>
  <c r="T88" i="10"/>
  <c r="T248" i="12" s="1"/>
  <c r="L90" i="10"/>
  <c r="L250" i="12" s="1"/>
  <c r="L250" i="13" s="1"/>
  <c r="L18" i="10"/>
  <c r="L178" i="12" s="1"/>
  <c r="L18" i="16" s="1"/>
  <c r="L178" i="17" s="1"/>
  <c r="M159" i="6"/>
  <c r="N159" i="6"/>
  <c r="I6" i="16"/>
  <c r="I166" i="13"/>
  <c r="I6" i="13"/>
  <c r="L88" i="16"/>
  <c r="L248" i="13"/>
  <c r="L88" i="13"/>
  <c r="N143" i="18"/>
  <c r="N312" i="18" s="1"/>
  <c r="N143" i="15"/>
  <c r="G192" i="12"/>
  <c r="G32" i="16" s="1"/>
  <c r="I152" i="10"/>
  <c r="I152" i="11" s="1"/>
  <c r="I70" i="9"/>
  <c r="I70" i="10" s="1"/>
  <c r="L70" i="9"/>
  <c r="J70" i="9"/>
  <c r="AI67" i="6"/>
  <c r="F67" i="9"/>
  <c r="I135" i="10"/>
  <c r="I135" i="11" s="1"/>
  <c r="O295" i="12"/>
  <c r="O135" i="16" s="1"/>
  <c r="O21" i="17"/>
  <c r="W33" i="14"/>
  <c r="M93" i="9"/>
  <c r="M93" i="10" s="1"/>
  <c r="M93" i="11" s="1"/>
  <c r="L10" i="9"/>
  <c r="L10" i="10" s="1"/>
  <c r="G124" i="9"/>
  <c r="G124" i="10" s="1"/>
  <c r="G284" i="12" s="1"/>
  <c r="G124" i="16" s="1"/>
  <c r="H5" i="9"/>
  <c r="H70" i="9"/>
  <c r="AI70" i="6"/>
  <c r="F70" i="9"/>
  <c r="F13" i="9"/>
  <c r="M13" i="9"/>
  <c r="I13" i="9"/>
  <c r="I13" i="10" s="1"/>
  <c r="L13" i="9"/>
  <c r="L13" i="10" s="1"/>
  <c r="L13" i="11" s="1"/>
  <c r="N153" i="9"/>
  <c r="N153" i="10" s="1"/>
  <c r="N153" i="11" s="1"/>
  <c r="W135" i="10"/>
  <c r="W135" i="11" s="1"/>
  <c r="L152" i="10"/>
  <c r="L312" i="12" s="1"/>
  <c r="Z177" i="12"/>
  <c r="Z17" i="16" s="1"/>
  <c r="Q128" i="18"/>
  <c r="Q295" i="18" s="1"/>
  <c r="Q78" i="17"/>
  <c r="V196" i="13"/>
  <c r="M115" i="9"/>
  <c r="M115" i="10" s="1"/>
  <c r="M275" i="12" s="1"/>
  <c r="M115" i="16" s="1"/>
  <c r="M275" i="17" s="1"/>
  <c r="J146" i="9"/>
  <c r="J146" i="10" s="1"/>
  <c r="J146" i="11" s="1"/>
  <c r="G111" i="9"/>
  <c r="G111" i="10" s="1"/>
  <c r="J111" i="9"/>
  <c r="I55" i="11"/>
  <c r="O135" i="11"/>
  <c r="M70" i="9"/>
  <c r="M70" i="10" s="1"/>
  <c r="M70" i="11" s="1"/>
  <c r="L55" i="10"/>
  <c r="L55" i="11" s="1"/>
  <c r="L153" i="9"/>
  <c r="L153" i="10" s="1"/>
  <c r="L153" i="11" s="1"/>
  <c r="Q153" i="9"/>
  <c r="F91" i="9"/>
  <c r="I91" i="9"/>
  <c r="I91" i="10" s="1"/>
  <c r="I251" i="12" s="1"/>
  <c r="I91" i="16" s="1"/>
  <c r="L91" i="9"/>
  <c r="L91" i="10" s="1"/>
  <c r="L91" i="11" s="1"/>
  <c r="M91" i="9"/>
  <c r="M91" i="10" s="1"/>
  <c r="Q135" i="10"/>
  <c r="Q135" i="11" s="1"/>
  <c r="G152" i="10"/>
  <c r="G70" i="9"/>
  <c r="G70" i="10" s="1"/>
  <c r="K30" i="10"/>
  <c r="K190" i="12" s="1"/>
  <c r="G5" i="10"/>
  <c r="H178" i="12"/>
  <c r="H18" i="16" s="1"/>
  <c r="Y24" i="18"/>
  <c r="Y184" i="18" s="1"/>
  <c r="X153" i="9"/>
  <c r="X153" i="10" s="1"/>
  <c r="O153" i="9"/>
  <c r="O153" i="10" s="1"/>
  <c r="O313" i="12" s="1"/>
  <c r="J153" i="9"/>
  <c r="J153" i="10" s="1"/>
  <c r="J313" i="12" s="1"/>
  <c r="J153" i="16" s="1"/>
  <c r="I86" i="10"/>
  <c r="I246" i="12" s="1"/>
  <c r="M135" i="10"/>
  <c r="M135" i="11" s="1"/>
  <c r="J18" i="11"/>
  <c r="S32" i="13"/>
  <c r="I67" i="9"/>
  <c r="M125" i="9"/>
  <c r="AI163" i="22"/>
  <c r="E164" i="22"/>
  <c r="E153" i="6" s="1"/>
  <c r="G153" i="6"/>
  <c r="R153" i="9"/>
  <c r="R153" i="10" s="1"/>
  <c r="R153" i="11" s="1"/>
  <c r="K150" i="9"/>
  <c r="K150" i="10" s="1"/>
  <c r="U135" i="10"/>
  <c r="U135" i="11" s="1"/>
  <c r="J152" i="10"/>
  <c r="J312" i="12" s="1"/>
  <c r="M128" i="11"/>
  <c r="M128" i="14" s="1"/>
  <c r="G315" i="12"/>
  <c r="G155" i="16" s="1"/>
  <c r="G315" i="17" s="1"/>
  <c r="Y59" i="14"/>
  <c r="S64" i="13"/>
  <c r="G19" i="9"/>
  <c r="V36" i="11"/>
  <c r="S64" i="11"/>
  <c r="F125" i="9"/>
  <c r="AI125" i="6"/>
  <c r="U153" i="9"/>
  <c r="P153" i="9"/>
  <c r="W153" i="9"/>
  <c r="W153" i="10" s="1"/>
  <c r="W153" i="11" s="1"/>
  <c r="G122" i="9"/>
  <c r="G122" i="10" s="1"/>
  <c r="AI122" i="6"/>
  <c r="F122" i="9"/>
  <c r="V51" i="11"/>
  <c r="V51" i="14" s="1"/>
  <c r="G6" i="11"/>
  <c r="M140" i="11"/>
  <c r="J66" i="9"/>
  <c r="J66" i="10" s="1"/>
  <c r="J66" i="11" s="1"/>
  <c r="M300" i="12"/>
  <c r="M140" i="16" s="1"/>
  <c r="D59" i="16"/>
  <c r="F59" i="20" s="1"/>
  <c r="P219" i="12"/>
  <c r="V88" i="16"/>
  <c r="V248" i="13"/>
  <c r="K238" i="12"/>
  <c r="K78" i="11"/>
  <c r="L156" i="9"/>
  <c r="L261" i="12"/>
  <c r="L101" i="16" s="1"/>
  <c r="L101" i="11"/>
  <c r="X184" i="17"/>
  <c r="X24" i="17"/>
  <c r="Z72" i="11"/>
  <c r="Z232" i="12"/>
  <c r="Z72" i="16" s="1"/>
  <c r="Z232" i="17" s="1"/>
  <c r="L33" i="11"/>
  <c r="L193" i="12"/>
  <c r="L33" i="16" s="1"/>
  <c r="I124" i="9"/>
  <c r="I124" i="10" s="1"/>
  <c r="I124" i="11" s="1"/>
  <c r="V293" i="12"/>
  <c r="V133" i="11"/>
  <c r="H220" i="12"/>
  <c r="H60" i="11"/>
  <c r="G79" i="9"/>
  <c r="G79" i="10" s="1"/>
  <c r="H112" i="17"/>
  <c r="L64" i="14"/>
  <c r="J105" i="9"/>
  <c r="J105" i="10" s="1"/>
  <c r="J79" i="9"/>
  <c r="J79" i="10" s="1"/>
  <c r="J79" i="11" s="1"/>
  <c r="H142" i="9"/>
  <c r="H142" i="10" s="1"/>
  <c r="H142" i="11" s="1"/>
  <c r="J114" i="9"/>
  <c r="J114" i="10" s="1"/>
  <c r="M79" i="9"/>
  <c r="M79" i="10" s="1"/>
  <c r="M239" i="12" s="1"/>
  <c r="M79" i="16" s="1"/>
  <c r="K124" i="9"/>
  <c r="J124" i="9"/>
  <c r="J124" i="10" s="1"/>
  <c r="J124" i="11" s="1"/>
  <c r="H33" i="10"/>
  <c r="H193" i="12" s="1"/>
  <c r="R198" i="12"/>
  <c r="R38" i="16" s="1"/>
  <c r="S78" i="11"/>
  <c r="I88" i="11"/>
  <c r="E296" i="1"/>
  <c r="AO296" i="1" s="1"/>
  <c r="C296" i="1" s="1"/>
  <c r="E290" i="1"/>
  <c r="O290" i="1" s="1"/>
  <c r="D79" i="31" s="1"/>
  <c r="H105" i="9"/>
  <c r="H105" i="10" s="1"/>
  <c r="X64" i="14"/>
  <c r="X64" i="15" s="1"/>
  <c r="M52" i="9"/>
  <c r="M52" i="10" s="1"/>
  <c r="L52" i="9"/>
  <c r="L52" i="10" s="1"/>
  <c r="L212" i="12" s="1"/>
  <c r="X133" i="11"/>
  <c r="M114" i="9"/>
  <c r="M114" i="10" s="1"/>
  <c r="M274" i="12" s="1"/>
  <c r="M114" i="16" s="1"/>
  <c r="K74" i="9"/>
  <c r="K74" i="10" s="1"/>
  <c r="Y33" i="10"/>
  <c r="Y33" i="11" s="1"/>
  <c r="N88" i="11"/>
  <c r="O64" i="11"/>
  <c r="O21" i="14"/>
  <c r="M46" i="14"/>
  <c r="M46" i="15" s="1"/>
  <c r="I101" i="14"/>
  <c r="I74" i="9"/>
  <c r="I74" i="10" s="1"/>
  <c r="I74" i="11" s="1"/>
  <c r="J74" i="9"/>
  <c r="J74" i="10" s="1"/>
  <c r="J74" i="11" s="1"/>
  <c r="K295" i="12"/>
  <c r="K135" i="16" s="1"/>
  <c r="H112" i="13"/>
  <c r="G147" i="9"/>
  <c r="G147" i="10" s="1"/>
  <c r="L120" i="9"/>
  <c r="L120" i="10" s="1"/>
  <c r="L120" i="11" s="1"/>
  <c r="J50" i="9"/>
  <c r="J50" i="10" s="1"/>
  <c r="J50" i="11" s="1"/>
  <c r="L294" i="12"/>
  <c r="H272" i="13"/>
  <c r="J115" i="9"/>
  <c r="J115" i="10" s="1"/>
  <c r="K15" i="9"/>
  <c r="K15" i="10" s="1"/>
  <c r="K15" i="11" s="1"/>
  <c r="I146" i="9"/>
  <c r="I146" i="10" s="1"/>
  <c r="I146" i="11" s="1"/>
  <c r="J129" i="9"/>
  <c r="J129" i="10" s="1"/>
  <c r="H34" i="9"/>
  <c r="H34" i="10" s="1"/>
  <c r="I10" i="9"/>
  <c r="I10" i="10" s="1"/>
  <c r="I170" i="12" s="1"/>
  <c r="I10" i="16" s="1"/>
  <c r="H45" i="9"/>
  <c r="M124" i="9"/>
  <c r="M124" i="10" s="1"/>
  <c r="AE360" i="1"/>
  <c r="M33" i="10"/>
  <c r="M33" i="11" s="1"/>
  <c r="Y295" i="12"/>
  <c r="Y135" i="16" s="1"/>
  <c r="I18" i="10"/>
  <c r="I178" i="12" s="1"/>
  <c r="H12" i="10"/>
  <c r="H172" i="12" s="1"/>
  <c r="U184" i="12"/>
  <c r="U24" i="16" s="1"/>
  <c r="H112" i="11"/>
  <c r="V171" i="17"/>
  <c r="V11" i="17"/>
  <c r="J139" i="9"/>
  <c r="J139" i="10" s="1"/>
  <c r="J139" i="11" s="1"/>
  <c r="L139" i="9"/>
  <c r="L139" i="10" s="1"/>
  <c r="L299" i="12" s="1"/>
  <c r="I34" i="9"/>
  <c r="I34" i="10" s="1"/>
  <c r="I34" i="11" s="1"/>
  <c r="K63" i="9"/>
  <c r="K49" i="9"/>
  <c r="K49" i="10" s="1"/>
  <c r="K49" i="11" s="1"/>
  <c r="M49" i="9"/>
  <c r="M49" i="10" s="1"/>
  <c r="M49" i="11" s="1"/>
  <c r="H44" i="9"/>
  <c r="H44" i="10" s="1"/>
  <c r="H44" i="11" s="1"/>
  <c r="H39" i="9"/>
  <c r="H39" i="10" s="1"/>
  <c r="L137" i="9"/>
  <c r="L137" i="10" s="1"/>
  <c r="L137" i="11" s="1"/>
  <c r="S137" i="9"/>
  <c r="S137" i="10" s="1"/>
  <c r="S297" i="12" s="1"/>
  <c r="S137" i="16" s="1"/>
  <c r="R137" i="9"/>
  <c r="R137" i="10" s="1"/>
  <c r="R137" i="11" s="1"/>
  <c r="Q137" i="9"/>
  <c r="Q137" i="10" s="1"/>
  <c r="Q297" i="12" s="1"/>
  <c r="Q137" i="16" s="1"/>
  <c r="I93" i="9"/>
  <c r="I93" i="10" s="1"/>
  <c r="I93" i="11" s="1"/>
  <c r="J52" i="9"/>
  <c r="J52" i="10" s="1"/>
  <c r="J52" i="11" s="1"/>
  <c r="G74" i="9"/>
  <c r="G74" i="10" s="1"/>
  <c r="I215" i="12"/>
  <c r="I55" i="16" s="1"/>
  <c r="W88" i="10"/>
  <c r="W88" i="11" s="1"/>
  <c r="O33" i="10"/>
  <c r="O33" i="11" s="1"/>
  <c r="L79" i="9"/>
  <c r="L79" i="10" s="1"/>
  <c r="L79" i="11" s="1"/>
  <c r="J187" i="12"/>
  <c r="J27" i="16" s="1"/>
  <c r="Q33" i="10"/>
  <c r="Q33" i="11" s="1"/>
  <c r="U33" i="10"/>
  <c r="U33" i="11" s="1"/>
  <c r="H139" i="9"/>
  <c r="M105" i="9"/>
  <c r="M105" i="10" s="1"/>
  <c r="M265" i="12" s="1"/>
  <c r="I49" i="9"/>
  <c r="I49" i="10" s="1"/>
  <c r="I49" i="11" s="1"/>
  <c r="I44" i="9"/>
  <c r="I44" i="10" s="1"/>
  <c r="I44" i="11" s="1"/>
  <c r="M44" i="9"/>
  <c r="M44" i="10" s="1"/>
  <c r="M44" i="11" s="1"/>
  <c r="T137" i="9"/>
  <c r="V137" i="9"/>
  <c r="V137" i="10" s="1"/>
  <c r="V137" i="11" s="1"/>
  <c r="U137" i="9"/>
  <c r="U137" i="10" s="1"/>
  <c r="U297" i="12" s="1"/>
  <c r="J45" i="9"/>
  <c r="I52" i="9"/>
  <c r="H114" i="9"/>
  <c r="H114" i="10" s="1"/>
  <c r="L114" i="9"/>
  <c r="L114" i="10" s="1"/>
  <c r="L114" i="11" s="1"/>
  <c r="L36" i="10"/>
  <c r="L196" i="12" s="1"/>
  <c r="V72" i="10"/>
  <c r="V232" i="12" s="1"/>
  <c r="V232" i="13" s="1"/>
  <c r="I79" i="9"/>
  <c r="I79" i="10" s="1"/>
  <c r="I79" i="11" s="1"/>
  <c r="J27" i="11"/>
  <c r="Z33" i="10"/>
  <c r="Z193" i="12" s="1"/>
  <c r="Z33" i="16" s="1"/>
  <c r="Z193" i="17" s="1"/>
  <c r="T224" i="12"/>
  <c r="T64" i="16" s="1"/>
  <c r="M139" i="9"/>
  <c r="M139" i="10" s="1"/>
  <c r="L15" i="9"/>
  <c r="L15" i="10" s="1"/>
  <c r="K146" i="9"/>
  <c r="K146" i="10" s="1"/>
  <c r="K146" i="11" s="1"/>
  <c r="M34" i="9"/>
  <c r="M34" i="10" s="1"/>
  <c r="M34" i="11" s="1"/>
  <c r="L63" i="9"/>
  <c r="L63" i="10" s="1"/>
  <c r="L63" i="11" s="1"/>
  <c r="K39" i="9"/>
  <c r="K39" i="10" s="1"/>
  <c r="K39" i="11" s="1"/>
  <c r="L43" i="9"/>
  <c r="L43" i="10" s="1"/>
  <c r="L43" i="11" s="1"/>
  <c r="T132" i="10"/>
  <c r="T132" i="11" s="1"/>
  <c r="V132" i="10"/>
  <c r="V132" i="11" s="1"/>
  <c r="H135" i="11"/>
  <c r="H135" i="14" s="1"/>
  <c r="Y304" i="12"/>
  <c r="Y144" i="16" s="1"/>
  <c r="I139" i="9"/>
  <c r="I139" i="10" s="1"/>
  <c r="I139" i="11" s="1"/>
  <c r="L105" i="9"/>
  <c r="L105" i="10" s="1"/>
  <c r="L265" i="12" s="1"/>
  <c r="K115" i="9"/>
  <c r="K115" i="10" s="1"/>
  <c r="H15" i="9"/>
  <c r="L34" i="9"/>
  <c r="L34" i="10" s="1"/>
  <c r="H63" i="9"/>
  <c r="H63" i="10" s="1"/>
  <c r="H63" i="11" s="1"/>
  <c r="G49" i="9"/>
  <c r="G49" i="10" s="1"/>
  <c r="L49" i="9"/>
  <c r="L49" i="10" s="1"/>
  <c r="L209" i="12" s="1"/>
  <c r="J47" i="9"/>
  <c r="J47" i="10" s="1"/>
  <c r="J47" i="11" s="1"/>
  <c r="H26" i="9"/>
  <c r="H26" i="10" s="1"/>
  <c r="H26" i="11" s="1"/>
  <c r="K41" i="9"/>
  <c r="I41" i="9"/>
  <c r="I41" i="10" s="1"/>
  <c r="I41" i="11" s="1"/>
  <c r="I130" i="16"/>
  <c r="R112" i="10"/>
  <c r="R272" i="12" s="1"/>
  <c r="H79" i="9"/>
  <c r="S304" i="12"/>
  <c r="S144" i="16" s="1"/>
  <c r="Z132" i="10"/>
  <c r="Z132" i="11" s="1"/>
  <c r="K33" i="10"/>
  <c r="K33" i="11" s="1"/>
  <c r="G88" i="11"/>
  <c r="G88" i="14" s="1"/>
  <c r="K139" i="9"/>
  <c r="K139" i="10" s="1"/>
  <c r="K139" i="11" s="1"/>
  <c r="G115" i="9"/>
  <c r="G115" i="10" s="1"/>
  <c r="I115" i="9"/>
  <c r="I115" i="10" s="1"/>
  <c r="J34" i="9"/>
  <c r="J34" i="10" s="1"/>
  <c r="J34" i="11" s="1"/>
  <c r="L149" i="9"/>
  <c r="L149" i="10" s="1"/>
  <c r="L309" i="12" s="1"/>
  <c r="L149" i="16" s="1"/>
  <c r="M63" i="9"/>
  <c r="M63" i="10" s="1"/>
  <c r="M63" i="11" s="1"/>
  <c r="L47" i="9"/>
  <c r="L47" i="10" s="1"/>
  <c r="L47" i="11" s="1"/>
  <c r="I26" i="9"/>
  <c r="I26" i="10" s="1"/>
  <c r="I186" i="12" s="1"/>
  <c r="M26" i="9"/>
  <c r="M26" i="10" s="1"/>
  <c r="M26" i="11" s="1"/>
  <c r="J41" i="9"/>
  <c r="J41" i="10" s="1"/>
  <c r="J41" i="11" s="1"/>
  <c r="K137" i="9"/>
  <c r="K137" i="10" s="1"/>
  <c r="K137" i="11" s="1"/>
  <c r="M137" i="9"/>
  <c r="M137" i="10" s="1"/>
  <c r="M137" i="11" s="1"/>
  <c r="J137" i="9"/>
  <c r="J137" i="10" s="1"/>
  <c r="J137" i="11" s="1"/>
  <c r="J89" i="9"/>
  <c r="L44" i="9"/>
  <c r="L44" i="10" s="1"/>
  <c r="L44" i="11" s="1"/>
  <c r="J44" i="9"/>
  <c r="J44" i="10" s="1"/>
  <c r="J44" i="11" s="1"/>
  <c r="M47" i="9"/>
  <c r="M47" i="10" s="1"/>
  <c r="M47" i="11" s="1"/>
  <c r="O137" i="9"/>
  <c r="O137" i="10" s="1"/>
  <c r="O137" i="11" s="1"/>
  <c r="M111" i="9"/>
  <c r="M111" i="10" s="1"/>
  <c r="M111" i="11" s="1"/>
  <c r="K114" i="9"/>
  <c r="K114" i="10" s="1"/>
  <c r="K274" i="12" s="1"/>
  <c r="K114" i="16" s="1"/>
  <c r="I89" i="9"/>
  <c r="I89" i="10" s="1"/>
  <c r="I89" i="11" s="1"/>
  <c r="X184" i="13"/>
  <c r="X24" i="14" s="1"/>
  <c r="X24" i="13"/>
  <c r="K79" i="9"/>
  <c r="K79" i="10" s="1"/>
  <c r="K79" i="11" s="1"/>
  <c r="J33" i="10"/>
  <c r="J193" i="12" s="1"/>
  <c r="J33" i="16" s="1"/>
  <c r="J193" i="17" s="1"/>
  <c r="S33" i="10"/>
  <c r="S33" i="11" s="1"/>
  <c r="G24" i="13"/>
  <c r="H95" i="9"/>
  <c r="H95" i="10" s="1"/>
  <c r="H95" i="11" s="1"/>
  <c r="W171" i="12"/>
  <c r="W11" i="16" s="1"/>
  <c r="W11" i="11"/>
  <c r="G89" i="9"/>
  <c r="G89" i="10" s="1"/>
  <c r="F130" i="9"/>
  <c r="AI130" i="6"/>
  <c r="R293" i="12"/>
  <c r="V75" i="10"/>
  <c r="V235" i="12" s="1"/>
  <c r="L111" i="9"/>
  <c r="G114" i="9"/>
  <c r="G114" i="10" s="1"/>
  <c r="K119" i="10"/>
  <c r="K279" i="12" s="1"/>
  <c r="I159" i="6"/>
  <c r="G43" i="9"/>
  <c r="G43" i="10" s="1"/>
  <c r="G203" i="12" s="1"/>
  <c r="G43" i="16" s="1"/>
  <c r="G68" i="9"/>
  <c r="R85" i="9"/>
  <c r="R85" i="10" s="1"/>
  <c r="I85" i="9"/>
  <c r="I85" i="10" s="1"/>
  <c r="I85" i="11" s="1"/>
  <c r="U85" i="9"/>
  <c r="U85" i="10" s="1"/>
  <c r="U85" i="11" s="1"/>
  <c r="T85" i="9"/>
  <c r="T85" i="10" s="1"/>
  <c r="K85" i="9"/>
  <c r="K85" i="10" s="1"/>
  <c r="K85" i="11" s="1"/>
  <c r="W85" i="9"/>
  <c r="W85" i="10" s="1"/>
  <c r="W85" i="11" s="1"/>
  <c r="J85" i="9"/>
  <c r="J85" i="10" s="1"/>
  <c r="V85" i="9"/>
  <c r="V85" i="10" s="1"/>
  <c r="M85" i="9"/>
  <c r="M85" i="10" s="1"/>
  <c r="M85" i="11" s="1"/>
  <c r="L85" i="9"/>
  <c r="L85" i="10" s="1"/>
  <c r="L245" i="12" s="1"/>
  <c r="L85" i="16" s="1"/>
  <c r="X85" i="9"/>
  <c r="X85" i="10" s="1"/>
  <c r="X245" i="12" s="1"/>
  <c r="X85" i="16" s="1"/>
  <c r="O85" i="9"/>
  <c r="O85" i="10" s="1"/>
  <c r="O85" i="11" s="1"/>
  <c r="Q85" i="9"/>
  <c r="Q85" i="10" s="1"/>
  <c r="Q85" i="11" s="1"/>
  <c r="N85" i="9"/>
  <c r="N85" i="10" s="1"/>
  <c r="N245" i="12" s="1"/>
  <c r="N85" i="16" s="1"/>
  <c r="S85" i="9"/>
  <c r="S85" i="10" s="1"/>
  <c r="S85" i="11" s="1"/>
  <c r="P85" i="9"/>
  <c r="G85" i="9"/>
  <c r="G85" i="10" s="1"/>
  <c r="F10" i="9"/>
  <c r="AI10" i="6"/>
  <c r="X59" i="10"/>
  <c r="M23" i="9"/>
  <c r="T59" i="10"/>
  <c r="T59" i="11" s="1"/>
  <c r="G52" i="9"/>
  <c r="G52" i="10" s="1"/>
  <c r="I130" i="11"/>
  <c r="V170" i="22"/>
  <c r="G24" i="16"/>
  <c r="G24" i="17" s="1"/>
  <c r="G219" i="12"/>
  <c r="G59" i="16" s="1"/>
  <c r="H74" i="9"/>
  <c r="J99" i="9"/>
  <c r="J99" i="10" s="1"/>
  <c r="J99" i="11" s="1"/>
  <c r="J123" i="9"/>
  <c r="J123" i="10" s="1"/>
  <c r="J123" i="11" s="1"/>
  <c r="K159" i="6"/>
  <c r="K109" i="9"/>
  <c r="K109" i="10" s="1"/>
  <c r="K109" i="11" s="1"/>
  <c r="L109" i="9"/>
  <c r="L109" i="10" s="1"/>
  <c r="L109" i="11" s="1"/>
  <c r="L127" i="9"/>
  <c r="L127" i="10" s="1"/>
  <c r="I127" i="9"/>
  <c r="I127" i="10" s="1"/>
  <c r="I127" i="11" s="1"/>
  <c r="H69" i="9"/>
  <c r="H69" i="10" s="1"/>
  <c r="H69" i="11" s="1"/>
  <c r="K69" i="9"/>
  <c r="K69" i="10" s="1"/>
  <c r="G137" i="9"/>
  <c r="G137" i="10" s="1"/>
  <c r="G297" i="12" s="1"/>
  <c r="G137" i="16" s="1"/>
  <c r="W59" i="10"/>
  <c r="W59" i="11" s="1"/>
  <c r="F142" i="9"/>
  <c r="AI142" i="6"/>
  <c r="L93" i="9"/>
  <c r="H10" i="9"/>
  <c r="G45" i="9"/>
  <c r="G45" i="10" s="1"/>
  <c r="G133" i="10"/>
  <c r="H75" i="10"/>
  <c r="H75" i="11" s="1"/>
  <c r="AI114" i="6"/>
  <c r="F114" i="9"/>
  <c r="K89" i="9"/>
  <c r="K89" i="10" s="1"/>
  <c r="K89" i="11" s="1"/>
  <c r="L130" i="9"/>
  <c r="L130" i="10" s="1"/>
  <c r="L130" i="11" s="1"/>
  <c r="K130" i="9"/>
  <c r="K130" i="10" s="1"/>
  <c r="G119" i="9"/>
  <c r="H119" i="9"/>
  <c r="H119" i="10" s="1"/>
  <c r="H157" i="9"/>
  <c r="K105" i="9"/>
  <c r="H99" i="9"/>
  <c r="H99" i="10" s="1"/>
  <c r="H259" i="12" s="1"/>
  <c r="L99" i="9"/>
  <c r="L99" i="10" s="1"/>
  <c r="L259" i="12" s="1"/>
  <c r="M15" i="9"/>
  <c r="M15" i="10" s="1"/>
  <c r="M15" i="11" s="1"/>
  <c r="L141" i="9"/>
  <c r="L141" i="10" s="1"/>
  <c r="L301" i="12" s="1"/>
  <c r="L141" i="16" s="1"/>
  <c r="I141" i="9"/>
  <c r="I141" i="10" s="1"/>
  <c r="I141" i="11" s="1"/>
  <c r="L39" i="9"/>
  <c r="L39" i="10" s="1"/>
  <c r="L199" i="12" s="1"/>
  <c r="L39" i="13" s="1"/>
  <c r="I39" i="9"/>
  <c r="I39" i="10" s="1"/>
  <c r="I39" i="11" s="1"/>
  <c r="L19" i="9"/>
  <c r="K83" i="9"/>
  <c r="K83" i="10" s="1"/>
  <c r="K243" i="12" s="1"/>
  <c r="K83" i="16" s="1"/>
  <c r="H50" i="9"/>
  <c r="H43" i="9"/>
  <c r="H43" i="10" s="1"/>
  <c r="J127" i="9"/>
  <c r="J127" i="10" s="1"/>
  <c r="J127" i="11" s="1"/>
  <c r="H41" i="9"/>
  <c r="H41" i="10" s="1"/>
  <c r="H41" i="11" s="1"/>
  <c r="K81" i="9"/>
  <c r="K81" i="10" s="1"/>
  <c r="K241" i="12" s="1"/>
  <c r="X137" i="9"/>
  <c r="W137" i="9"/>
  <c r="W137" i="10" s="1"/>
  <c r="F68" i="9"/>
  <c r="AI68" i="6"/>
  <c r="I68" i="9"/>
  <c r="I68" i="10" s="1"/>
  <c r="I68" i="11" s="1"/>
  <c r="K93" i="9"/>
  <c r="K93" i="10" s="1"/>
  <c r="K93" i="11" s="1"/>
  <c r="J10" i="9"/>
  <c r="J219" i="12"/>
  <c r="AI23" i="6"/>
  <c r="F23" i="9"/>
  <c r="G23" i="9"/>
  <c r="I45" i="9"/>
  <c r="I45" i="10" s="1"/>
  <c r="F111" i="9"/>
  <c r="AI111" i="6"/>
  <c r="L89" i="9"/>
  <c r="M89" i="9"/>
  <c r="M89" i="10" s="1"/>
  <c r="M89" i="11" s="1"/>
  <c r="G130" i="9"/>
  <c r="H130" i="9"/>
  <c r="U59" i="10"/>
  <c r="U59" i="11" s="1"/>
  <c r="M74" i="9"/>
  <c r="I138" i="9"/>
  <c r="L138" i="9"/>
  <c r="I119" i="9"/>
  <c r="J119" i="9"/>
  <c r="J119" i="10" s="1"/>
  <c r="J119" i="11" s="1"/>
  <c r="L88" i="11"/>
  <c r="F170" i="22"/>
  <c r="J141" i="9"/>
  <c r="J141" i="10" s="1"/>
  <c r="J141" i="11" s="1"/>
  <c r="J19" i="9"/>
  <c r="J19" i="10" s="1"/>
  <c r="J179" i="12" s="1"/>
  <c r="K43" i="9"/>
  <c r="K43" i="10" s="1"/>
  <c r="K43" i="11" s="1"/>
  <c r="M43" i="9"/>
  <c r="M43" i="10" s="1"/>
  <c r="I137" i="9"/>
  <c r="I137" i="10" s="1"/>
  <c r="H137" i="9"/>
  <c r="H137" i="10" s="1"/>
  <c r="H137" i="11" s="1"/>
  <c r="H68" i="9"/>
  <c r="K142" i="9"/>
  <c r="J142" i="9"/>
  <c r="F93" i="9"/>
  <c r="AI93" i="6"/>
  <c r="M10" i="9"/>
  <c r="M10" i="10" s="1"/>
  <c r="M10" i="11" s="1"/>
  <c r="K10" i="9"/>
  <c r="K10" i="10" s="1"/>
  <c r="K10" i="11" s="1"/>
  <c r="H23" i="9"/>
  <c r="I23" i="9"/>
  <c r="M45" i="9"/>
  <c r="F138" i="9"/>
  <c r="AI138" i="6"/>
  <c r="H111" i="9"/>
  <c r="H111" i="10" s="1"/>
  <c r="J130" i="9"/>
  <c r="L74" i="9"/>
  <c r="L74" i="10" s="1"/>
  <c r="L74" i="11" s="1"/>
  <c r="H138" i="9"/>
  <c r="H138" i="10" s="1"/>
  <c r="M138" i="9"/>
  <c r="L119" i="9"/>
  <c r="L119" i="10" s="1"/>
  <c r="L119" i="11" s="1"/>
  <c r="M119" i="9"/>
  <c r="H123" i="9"/>
  <c r="H123" i="10" s="1"/>
  <c r="I123" i="9"/>
  <c r="H76" i="9"/>
  <c r="H76" i="10" s="1"/>
  <c r="H76" i="11" s="1"/>
  <c r="K19" i="9"/>
  <c r="K19" i="10" s="1"/>
  <c r="H19" i="9"/>
  <c r="H19" i="10" s="1"/>
  <c r="H179" i="12" s="1"/>
  <c r="H19" i="16" s="1"/>
  <c r="I43" i="9"/>
  <c r="I43" i="10" s="1"/>
  <c r="I43" i="11" s="1"/>
  <c r="J68" i="9"/>
  <c r="J68" i="10" s="1"/>
  <c r="K68" i="9"/>
  <c r="K68" i="10" s="1"/>
  <c r="K68" i="11" s="1"/>
  <c r="J93" i="9"/>
  <c r="H93" i="9"/>
  <c r="J23" i="9"/>
  <c r="J23" i="10" s="1"/>
  <c r="J183" i="12" s="1"/>
  <c r="F52" i="9"/>
  <c r="AI52" i="6"/>
  <c r="AI89" i="6"/>
  <c r="F89" i="9"/>
  <c r="P64" i="14"/>
  <c r="M141" i="9"/>
  <c r="M141" i="10" s="1"/>
  <c r="M141" i="11" s="1"/>
  <c r="K123" i="9"/>
  <c r="K123" i="10" s="1"/>
  <c r="K123" i="11" s="1"/>
  <c r="L76" i="9"/>
  <c r="M54" i="9"/>
  <c r="J39" i="9"/>
  <c r="J39" i="10" s="1"/>
  <c r="J199" i="12" s="1"/>
  <c r="M39" i="9"/>
  <c r="M39" i="10" s="1"/>
  <c r="M39" i="11" s="1"/>
  <c r="H127" i="9"/>
  <c r="H127" i="10" s="1"/>
  <c r="H127" i="11" s="1"/>
  <c r="M127" i="9"/>
  <c r="M127" i="10" s="1"/>
  <c r="M127" i="11" s="1"/>
  <c r="N137" i="9"/>
  <c r="N137" i="10" s="1"/>
  <c r="N137" i="11" s="1"/>
  <c r="P137" i="9"/>
  <c r="M68" i="9"/>
  <c r="M68" i="10" s="1"/>
  <c r="L68" i="9"/>
  <c r="L68" i="10" s="1"/>
  <c r="L68" i="11" s="1"/>
  <c r="H85" i="9"/>
  <c r="H85" i="10" s="1"/>
  <c r="H245" i="12" s="1"/>
  <c r="H85" i="16" s="1"/>
  <c r="G142" i="9"/>
  <c r="G142" i="10" s="1"/>
  <c r="G93" i="9"/>
  <c r="G93" i="10" s="1"/>
  <c r="G10" i="9"/>
  <c r="K23" i="9"/>
  <c r="AI45" i="6"/>
  <c r="F45" i="9"/>
  <c r="K45" i="9"/>
  <c r="K45" i="10" s="1"/>
  <c r="K45" i="11" s="1"/>
  <c r="H52" i="9"/>
  <c r="H52" i="10" s="1"/>
  <c r="H52" i="11" s="1"/>
  <c r="I111" i="9"/>
  <c r="I111" i="10" s="1"/>
  <c r="I111" i="11" s="1"/>
  <c r="K111" i="9"/>
  <c r="K111" i="10" s="1"/>
  <c r="K111" i="11" s="1"/>
  <c r="I114" i="9"/>
  <c r="H89" i="9"/>
  <c r="H89" i="10" s="1"/>
  <c r="M130" i="9"/>
  <c r="M130" i="10" s="1"/>
  <c r="AI74" i="6"/>
  <c r="F74" i="9"/>
  <c r="K138" i="9"/>
  <c r="F119" i="9"/>
  <c r="AI119" i="6"/>
  <c r="H170" i="22"/>
  <c r="I157" i="9"/>
  <c r="F139" i="9"/>
  <c r="AI139" i="6"/>
  <c r="AI15" i="6"/>
  <c r="F15" i="9"/>
  <c r="R32" i="10"/>
  <c r="R32" i="11" s="1"/>
  <c r="G141" i="9"/>
  <c r="AI149" i="6"/>
  <c r="F149" i="9"/>
  <c r="F63" i="9"/>
  <c r="AI63" i="6"/>
  <c r="Y96" i="10"/>
  <c r="Y256" i="12" s="1"/>
  <c r="J36" i="10"/>
  <c r="J196" i="12" s="1"/>
  <c r="I154" i="9"/>
  <c r="K154" i="9"/>
  <c r="V32" i="10"/>
  <c r="O32" i="10"/>
  <c r="O192" i="12" s="1"/>
  <c r="O170" i="22"/>
  <c r="AI39" i="6"/>
  <c r="F39" i="9"/>
  <c r="I147" i="9"/>
  <c r="I147" i="10" s="1"/>
  <c r="I147" i="11" s="1"/>
  <c r="G83" i="9"/>
  <c r="G50" i="9"/>
  <c r="X61" i="10"/>
  <c r="X61" i="11" s="1"/>
  <c r="Z61" i="10"/>
  <c r="Z61" i="11" s="1"/>
  <c r="K61" i="10"/>
  <c r="AI127" i="6"/>
  <c r="F127" i="9"/>
  <c r="AI41" i="6"/>
  <c r="F41" i="9"/>
  <c r="AI66" i="22"/>
  <c r="AI170" i="22" s="1"/>
  <c r="G66" i="6"/>
  <c r="E67" i="22"/>
  <c r="M81" i="9"/>
  <c r="S133" i="10"/>
  <c r="S133" i="11" s="1"/>
  <c r="J170" i="22"/>
  <c r="K170" i="22"/>
  <c r="G139" i="9"/>
  <c r="I105" i="9"/>
  <c r="G99" i="9"/>
  <c r="G99" i="10" s="1"/>
  <c r="M99" i="9"/>
  <c r="M99" i="10" s="1"/>
  <c r="M99" i="11" s="1"/>
  <c r="H115" i="9"/>
  <c r="H115" i="10" s="1"/>
  <c r="J15" i="9"/>
  <c r="G96" i="10"/>
  <c r="Y32" i="10"/>
  <c r="Y32" i="11" s="1"/>
  <c r="H141" i="9"/>
  <c r="K141" i="9"/>
  <c r="F146" i="9"/>
  <c r="AI146" i="6"/>
  <c r="AI129" i="6"/>
  <c r="F129" i="9"/>
  <c r="AI34" i="6"/>
  <c r="F34" i="9"/>
  <c r="K34" i="9"/>
  <c r="K34" i="10" s="1"/>
  <c r="K34" i="11" s="1"/>
  <c r="K149" i="9"/>
  <c r="J63" i="9"/>
  <c r="J63" i="10" s="1"/>
  <c r="J63" i="11" s="1"/>
  <c r="L123" i="9"/>
  <c r="L123" i="10" s="1"/>
  <c r="L123" i="11" s="1"/>
  <c r="H154" i="9"/>
  <c r="H154" i="10" s="1"/>
  <c r="M103" i="9"/>
  <c r="J103" i="9"/>
  <c r="J103" i="10" s="1"/>
  <c r="J103" i="11" s="1"/>
  <c r="AI9" i="6"/>
  <c r="L293" i="12"/>
  <c r="L133" i="16" s="1"/>
  <c r="AI47" i="6"/>
  <c r="F47" i="9"/>
  <c r="I47" i="9"/>
  <c r="I47" i="10" s="1"/>
  <c r="I47" i="11" s="1"/>
  <c r="S59" i="10"/>
  <c r="S59" i="11" s="1"/>
  <c r="Z133" i="10"/>
  <c r="Z133" i="11" s="1"/>
  <c r="Q36" i="10"/>
  <c r="Q36" i="11" s="1"/>
  <c r="M170" i="22"/>
  <c r="M108" i="9"/>
  <c r="M108" i="10" s="1"/>
  <c r="M108" i="11" s="1"/>
  <c r="L147" i="9"/>
  <c r="L147" i="10" s="1"/>
  <c r="L147" i="11" s="1"/>
  <c r="I19" i="9"/>
  <c r="M19" i="9"/>
  <c r="J120" i="9"/>
  <c r="J120" i="10" s="1"/>
  <c r="J280" i="12" s="1"/>
  <c r="H120" i="9"/>
  <c r="H120" i="10" s="1"/>
  <c r="H120" i="11" s="1"/>
  <c r="L83" i="9"/>
  <c r="L83" i="10" s="1"/>
  <c r="I83" i="9"/>
  <c r="I83" i="10" s="1"/>
  <c r="I243" i="12" s="1"/>
  <c r="I83" i="16" s="1"/>
  <c r="L50" i="9"/>
  <c r="H61" i="10"/>
  <c r="H61" i="11" s="1"/>
  <c r="T61" i="10"/>
  <c r="T221" i="12" s="1"/>
  <c r="Q61" i="10"/>
  <c r="M109" i="9"/>
  <c r="L26" i="9"/>
  <c r="L26" i="10" s="1"/>
  <c r="L26" i="11" s="1"/>
  <c r="K26" i="9"/>
  <c r="M41" i="9"/>
  <c r="L41" i="9"/>
  <c r="L41" i="10" s="1"/>
  <c r="G81" i="9"/>
  <c r="R133" i="11"/>
  <c r="F69" i="9"/>
  <c r="AI69" i="6"/>
  <c r="I145" i="11"/>
  <c r="I145" i="14" s="1"/>
  <c r="W32" i="11"/>
  <c r="W192" i="12"/>
  <c r="I170" i="22"/>
  <c r="L157" i="9"/>
  <c r="G105" i="9"/>
  <c r="K99" i="9"/>
  <c r="K99" i="10" s="1"/>
  <c r="G15" i="9"/>
  <c r="R36" i="10"/>
  <c r="R36" i="11" s="1"/>
  <c r="G146" i="9"/>
  <c r="G146" i="10" s="1"/>
  <c r="L146" i="9"/>
  <c r="L146" i="10" s="1"/>
  <c r="L146" i="11" s="1"/>
  <c r="G129" i="9"/>
  <c r="G129" i="10" s="1"/>
  <c r="M129" i="9"/>
  <c r="M129" i="10" s="1"/>
  <c r="M129" i="11" s="1"/>
  <c r="G34" i="9"/>
  <c r="G34" i="10" s="1"/>
  <c r="J149" i="9"/>
  <c r="G63" i="9"/>
  <c r="G63" i="10" s="1"/>
  <c r="M96" i="10"/>
  <c r="M96" i="11" s="1"/>
  <c r="J192" i="12"/>
  <c r="J32" i="16" s="1"/>
  <c r="AI123" i="6"/>
  <c r="F123" i="9"/>
  <c r="L154" i="9"/>
  <c r="AI76" i="6"/>
  <c r="F76" i="9"/>
  <c r="M76" i="9"/>
  <c r="M76" i="10" s="1"/>
  <c r="K103" i="9"/>
  <c r="I103" i="9"/>
  <c r="L103" i="9"/>
  <c r="G54" i="9"/>
  <c r="G54" i="10" s="1"/>
  <c r="K54" i="9"/>
  <c r="G44" i="9"/>
  <c r="G44" i="10" s="1"/>
  <c r="K44" i="9"/>
  <c r="G47" i="9"/>
  <c r="G47" i="10" s="1"/>
  <c r="K96" i="10"/>
  <c r="K96" i="11" s="1"/>
  <c r="K133" i="10"/>
  <c r="K133" i="11" s="1"/>
  <c r="K18" i="10"/>
  <c r="K18" i="11" s="1"/>
  <c r="F108" i="9"/>
  <c r="AI108" i="6"/>
  <c r="K108" i="9"/>
  <c r="K108" i="10" s="1"/>
  <c r="K108" i="11" s="1"/>
  <c r="G39" i="9"/>
  <c r="J147" i="9"/>
  <c r="M120" i="9"/>
  <c r="H83" i="9"/>
  <c r="I50" i="9"/>
  <c r="V61" i="10"/>
  <c r="V221" i="12" s="1"/>
  <c r="N61" i="10"/>
  <c r="N61" i="11" s="1"/>
  <c r="G109" i="9"/>
  <c r="I109" i="9"/>
  <c r="J26" i="9"/>
  <c r="J26" i="10" s="1"/>
  <c r="J26" i="11" s="1"/>
  <c r="I81" i="9"/>
  <c r="I81" i="10" s="1"/>
  <c r="I81" i="11" s="1"/>
  <c r="J69" i="9"/>
  <c r="G295" i="12"/>
  <c r="G135" i="16" s="1"/>
  <c r="G170" i="22"/>
  <c r="Y36" i="10"/>
  <c r="Y36" i="11" s="1"/>
  <c r="Y170" i="22"/>
  <c r="L170" i="22"/>
  <c r="F157" i="9"/>
  <c r="AI157" i="6"/>
  <c r="J157" i="9"/>
  <c r="J157" i="10" s="1"/>
  <c r="H139" i="10"/>
  <c r="H299" i="12" s="1"/>
  <c r="I99" i="9"/>
  <c r="I15" i="9"/>
  <c r="T133" i="10"/>
  <c r="T133" i="11" s="1"/>
  <c r="H146" i="9"/>
  <c r="M146" i="9"/>
  <c r="M146" i="10" s="1"/>
  <c r="M146" i="11" s="1"/>
  <c r="H129" i="9"/>
  <c r="H129" i="10" s="1"/>
  <c r="I129" i="9"/>
  <c r="I129" i="10" s="1"/>
  <c r="I129" i="11" s="1"/>
  <c r="G149" i="9"/>
  <c r="M149" i="9"/>
  <c r="I63" i="9"/>
  <c r="X37" i="10"/>
  <c r="X197" i="12" s="1"/>
  <c r="M32" i="10"/>
  <c r="M32" i="11" s="1"/>
  <c r="I140" i="10"/>
  <c r="I300" i="12" s="1"/>
  <c r="M123" i="9"/>
  <c r="J154" i="9"/>
  <c r="J154" i="10" s="1"/>
  <c r="J154" i="11" s="1"/>
  <c r="G76" i="9"/>
  <c r="G76" i="10" s="1"/>
  <c r="G103" i="9"/>
  <c r="AI54" i="6"/>
  <c r="F54" i="9"/>
  <c r="L54" i="9"/>
  <c r="H159" i="6"/>
  <c r="L159" i="6"/>
  <c r="J49" i="9"/>
  <c r="F44" i="9"/>
  <c r="AI44" i="6"/>
  <c r="K47" i="9"/>
  <c r="K47" i="10" s="1"/>
  <c r="K47" i="11" s="1"/>
  <c r="P133" i="10"/>
  <c r="P133" i="11" s="1"/>
  <c r="H133" i="11"/>
  <c r="H133" i="14" s="1"/>
  <c r="H133" i="15" s="1"/>
  <c r="I148" i="11"/>
  <c r="I148" i="14" s="1"/>
  <c r="G108" i="9"/>
  <c r="I108" i="9"/>
  <c r="I108" i="10" s="1"/>
  <c r="H147" i="9"/>
  <c r="F19" i="9"/>
  <c r="AI19" i="6"/>
  <c r="I120" i="9"/>
  <c r="I120" i="10" s="1"/>
  <c r="I120" i="11" s="1"/>
  <c r="K120" i="9"/>
  <c r="J83" i="9"/>
  <c r="J83" i="10" s="1"/>
  <c r="J243" i="12" s="1"/>
  <c r="M83" i="9"/>
  <c r="M50" i="9"/>
  <c r="J43" i="9"/>
  <c r="I36" i="10"/>
  <c r="I196" i="12" s="1"/>
  <c r="L61" i="10"/>
  <c r="L61" i="11" s="1"/>
  <c r="T256" i="12"/>
  <c r="T96" i="16" s="1"/>
  <c r="F109" i="9"/>
  <c r="AI109" i="6"/>
  <c r="F26" i="9"/>
  <c r="AI26" i="6"/>
  <c r="G127" i="9"/>
  <c r="K127" i="9"/>
  <c r="J81" i="9"/>
  <c r="G69" i="9"/>
  <c r="Y75" i="11"/>
  <c r="Y75" i="14" s="1"/>
  <c r="Y75" i="15" s="1"/>
  <c r="G32" i="11"/>
  <c r="S32" i="11"/>
  <c r="S32" i="14" s="1"/>
  <c r="Q170" i="22"/>
  <c r="N170" i="22"/>
  <c r="G157" i="9"/>
  <c r="AI105" i="6"/>
  <c r="F105" i="9"/>
  <c r="G100" i="10"/>
  <c r="P170" i="22"/>
  <c r="K129" i="9"/>
  <c r="H149" i="9"/>
  <c r="I149" i="9"/>
  <c r="M133" i="10"/>
  <c r="M293" i="12" s="1"/>
  <c r="G18" i="10"/>
  <c r="U170" i="22"/>
  <c r="G123" i="9"/>
  <c r="G123" i="10" s="1"/>
  <c r="G154" i="9"/>
  <c r="J76" i="9"/>
  <c r="K76" i="9"/>
  <c r="K76" i="10" s="1"/>
  <c r="K76" i="11" s="1"/>
  <c r="AI103" i="6"/>
  <c r="F103" i="9"/>
  <c r="I54" i="9"/>
  <c r="I54" i="10" s="1"/>
  <c r="I54" i="11" s="1"/>
  <c r="J54" i="9"/>
  <c r="E9" i="9"/>
  <c r="D9" i="9" s="1"/>
  <c r="H9" i="9" s="1"/>
  <c r="H9" i="10" s="1"/>
  <c r="F159" i="6"/>
  <c r="J159" i="6"/>
  <c r="F49" i="9"/>
  <c r="AI49" i="6"/>
  <c r="H49" i="9"/>
  <c r="AI147" i="6"/>
  <c r="F147" i="9"/>
  <c r="M147" i="9"/>
  <c r="M147" i="10" s="1"/>
  <c r="M147" i="11" s="1"/>
  <c r="L19" i="10"/>
  <c r="L179" i="12" s="1"/>
  <c r="F120" i="9"/>
  <c r="AI120" i="6"/>
  <c r="F83" i="9"/>
  <c r="AI83" i="6"/>
  <c r="F43" i="9"/>
  <c r="AI43" i="6"/>
  <c r="J61" i="10"/>
  <c r="J61" i="11" s="1"/>
  <c r="H109" i="9"/>
  <c r="G26" i="9"/>
  <c r="AI81" i="6"/>
  <c r="F81" i="9"/>
  <c r="L81" i="9"/>
  <c r="L69" i="9"/>
  <c r="M69" i="9"/>
  <c r="J281" i="12"/>
  <c r="J121" i="16" s="1"/>
  <c r="N272" i="12"/>
  <c r="N112" i="16" s="1"/>
  <c r="W170" i="22"/>
  <c r="T170" i="22"/>
  <c r="K157" i="9"/>
  <c r="M157" i="9"/>
  <c r="AI99" i="6"/>
  <c r="F99" i="9"/>
  <c r="AI115" i="6"/>
  <c r="F115" i="9"/>
  <c r="T32" i="10"/>
  <c r="T32" i="11" s="1"/>
  <c r="X170" i="22"/>
  <c r="R170" i="22"/>
  <c r="AI141" i="6"/>
  <c r="F141" i="9"/>
  <c r="L129" i="9"/>
  <c r="J95" i="10"/>
  <c r="J95" i="11" s="1"/>
  <c r="H32" i="10"/>
  <c r="H32" i="11" s="1"/>
  <c r="L7" i="10"/>
  <c r="L167" i="12" s="1"/>
  <c r="S170" i="22"/>
  <c r="F154" i="9"/>
  <c r="AI154" i="6"/>
  <c r="M154" i="9"/>
  <c r="I76" i="9"/>
  <c r="H103" i="9"/>
  <c r="H103" i="10" s="1"/>
  <c r="H54" i="9"/>
  <c r="K32" i="10"/>
  <c r="K192" i="12" s="1"/>
  <c r="H108" i="9"/>
  <c r="J108" i="9"/>
  <c r="K147" i="9"/>
  <c r="K147" i="10" s="1"/>
  <c r="K147" i="11" s="1"/>
  <c r="G120" i="9"/>
  <c r="F50" i="9"/>
  <c r="AI50" i="6"/>
  <c r="K50" i="9"/>
  <c r="G37" i="10"/>
  <c r="P61" i="10"/>
  <c r="P61" i="11" s="1"/>
  <c r="R61" i="10"/>
  <c r="R61" i="11" s="1"/>
  <c r="N133" i="10"/>
  <c r="N133" i="11" s="1"/>
  <c r="J109" i="9"/>
  <c r="J109" i="10" s="1"/>
  <c r="J269" i="12" s="1"/>
  <c r="J109" i="16" s="1"/>
  <c r="G41" i="9"/>
  <c r="H81" i="9"/>
  <c r="I33" i="10"/>
  <c r="I33" i="11" s="1"/>
  <c r="I69" i="9"/>
  <c r="R303" i="17"/>
  <c r="R143" i="17"/>
  <c r="V184" i="17"/>
  <c r="V24" i="17"/>
  <c r="K110" i="13"/>
  <c r="T184" i="17"/>
  <c r="T24" i="17"/>
  <c r="M312" i="17"/>
  <c r="M152" i="17"/>
  <c r="G308" i="17"/>
  <c r="G148" i="17"/>
  <c r="T143" i="15"/>
  <c r="I277" i="12"/>
  <c r="I117" i="16" s="1"/>
  <c r="I232" i="12"/>
  <c r="I72" i="16" s="1"/>
  <c r="S216" i="12"/>
  <c r="S56" i="16" s="1"/>
  <c r="Z219" i="12"/>
  <c r="Z59" i="16" s="1"/>
  <c r="N171" i="12"/>
  <c r="N11" i="16" s="1"/>
  <c r="T295" i="12"/>
  <c r="T135" i="16" s="1"/>
  <c r="M198" i="12"/>
  <c r="L171" i="12"/>
  <c r="L11" i="16" s="1"/>
  <c r="V166" i="12"/>
  <c r="V6" i="16" s="1"/>
  <c r="R235" i="12"/>
  <c r="R75" i="16" s="1"/>
  <c r="R295" i="12"/>
  <c r="G277" i="12"/>
  <c r="G117" i="16" s="1"/>
  <c r="M231" i="12"/>
  <c r="M71" i="16" s="1"/>
  <c r="I272" i="12"/>
  <c r="I112" i="16" s="1"/>
  <c r="Q232" i="12"/>
  <c r="Q72" i="16" s="1"/>
  <c r="X187" i="12"/>
  <c r="X27" i="16" s="1"/>
  <c r="U171" i="12"/>
  <c r="U11" i="16" s="1"/>
  <c r="Y166" i="12"/>
  <c r="Y6" i="16" s="1"/>
  <c r="G24" i="11"/>
  <c r="G24" i="14" s="1"/>
  <c r="Z235" i="13"/>
  <c r="Z75" i="13"/>
  <c r="Q272" i="12"/>
  <c r="J198" i="12"/>
  <c r="J38" i="16" s="1"/>
  <c r="N192" i="12"/>
  <c r="N32" i="16" s="1"/>
  <c r="U6" i="11"/>
  <c r="U6" i="14" s="1"/>
  <c r="K273" i="12"/>
  <c r="K113" i="16" s="1"/>
  <c r="K282" i="12"/>
  <c r="W232" i="12"/>
  <c r="W72" i="16" s="1"/>
  <c r="V218" i="12"/>
  <c r="V58" i="16" s="1"/>
  <c r="G171" i="12"/>
  <c r="G11" i="16" s="1"/>
  <c r="W264" i="12"/>
  <c r="W104" i="16" s="1"/>
  <c r="Z231" i="12"/>
  <c r="I189" i="12"/>
  <c r="I29" i="16" s="1"/>
  <c r="H64" i="14"/>
  <c r="H64" i="15" s="1"/>
  <c r="L187" i="12"/>
  <c r="L27" i="16" s="1"/>
  <c r="I6" i="11"/>
  <c r="I6" i="14" s="1"/>
  <c r="V295" i="12"/>
  <c r="V135" i="16" s="1"/>
  <c r="H271" i="12"/>
  <c r="H111" i="16" s="1"/>
  <c r="U231" i="12"/>
  <c r="U71" i="16" s="1"/>
  <c r="J256" i="12"/>
  <c r="L198" i="12"/>
  <c r="L38" i="16" s="1"/>
  <c r="V184" i="13"/>
  <c r="V24" i="14" s="1"/>
  <c r="V24" i="13"/>
  <c r="O231" i="12"/>
  <c r="O71" i="16" s="1"/>
  <c r="K261" i="17"/>
  <c r="K101" i="17"/>
  <c r="M232" i="12"/>
  <c r="M72" i="16" s="1"/>
  <c r="G221" i="12"/>
  <c r="G61" i="16" s="1"/>
  <c r="X196" i="13"/>
  <c r="X36" i="14" s="1"/>
  <c r="X36" i="13"/>
  <c r="M273" i="12"/>
  <c r="M113" i="16" s="1"/>
  <c r="M284" i="12"/>
  <c r="M124" i="16" s="1"/>
  <c r="M216" i="12"/>
  <c r="M56" i="16" s="1"/>
  <c r="N219" i="12"/>
  <c r="N59" i="16" s="1"/>
  <c r="S273" i="12"/>
  <c r="S113" i="16" s="1"/>
  <c r="R231" i="12"/>
  <c r="Y198" i="12"/>
  <c r="Z295" i="12"/>
  <c r="K231" i="12"/>
  <c r="K71" i="16" s="1"/>
  <c r="T184" i="13"/>
  <c r="T24" i="14" s="1"/>
  <c r="T24" i="13"/>
  <c r="Y221" i="12"/>
  <c r="Y61" i="16" s="1"/>
  <c r="K166" i="12"/>
  <c r="K6" i="16" s="1"/>
  <c r="G272" i="12"/>
  <c r="G112" i="16" s="1"/>
  <c r="X303" i="13"/>
  <c r="X143" i="14" s="1"/>
  <c r="X143" i="13"/>
  <c r="K225" i="12"/>
  <c r="K65" i="16" s="1"/>
  <c r="I250" i="17"/>
  <c r="I90" i="17"/>
  <c r="R248" i="12"/>
  <c r="R88" i="16" s="1"/>
  <c r="Y232" i="12"/>
  <c r="Y72" i="16" s="1"/>
  <c r="S198" i="13"/>
  <c r="S38" i="14" s="1"/>
  <c r="S38" i="13"/>
  <c r="I198" i="12"/>
  <c r="I38" i="16" s="1"/>
  <c r="S184" i="12"/>
  <c r="S24" i="16" s="1"/>
  <c r="W273" i="12"/>
  <c r="W113" i="16" s="1"/>
  <c r="P235" i="12"/>
  <c r="P75" i="16" s="1"/>
  <c r="D75" i="16"/>
  <c r="F75" i="20" s="1"/>
  <c r="V135" i="11"/>
  <c r="K308" i="12"/>
  <c r="H111" i="11"/>
  <c r="J101" i="14"/>
  <c r="J96" i="11"/>
  <c r="K232" i="12"/>
  <c r="K72" i="16" s="1"/>
  <c r="L38" i="11"/>
  <c r="Q198" i="12"/>
  <c r="Q38" i="16" s="1"/>
  <c r="L192" i="12"/>
  <c r="L32" i="16" s="1"/>
  <c r="T171" i="12"/>
  <c r="T11" i="16" s="1"/>
  <c r="M114" i="11"/>
  <c r="K261" i="13"/>
  <c r="K101" i="14" s="1"/>
  <c r="K101" i="13"/>
  <c r="M72" i="11"/>
  <c r="H219" i="12"/>
  <c r="H59" i="16" s="1"/>
  <c r="X36" i="16"/>
  <c r="U32" i="11"/>
  <c r="O6" i="11"/>
  <c r="O6" i="14" s="1"/>
  <c r="M113" i="11"/>
  <c r="M124" i="11"/>
  <c r="T231" i="12"/>
  <c r="T71" i="16" s="1"/>
  <c r="G232" i="12"/>
  <c r="G72" i="16" s="1"/>
  <c r="M56" i="11"/>
  <c r="N59" i="11"/>
  <c r="R224" i="12"/>
  <c r="R64" i="16" s="1"/>
  <c r="O171" i="12"/>
  <c r="O11" i="16" s="1"/>
  <c r="S113" i="11"/>
  <c r="K272" i="12"/>
  <c r="D71" i="16"/>
  <c r="F71" i="20" s="1"/>
  <c r="P231" i="12"/>
  <c r="P71" i="16" s="1"/>
  <c r="U221" i="12"/>
  <c r="U61" i="16" s="1"/>
  <c r="N224" i="12"/>
  <c r="N64" i="16" s="1"/>
  <c r="V187" i="12"/>
  <c r="V27" i="16" s="1"/>
  <c r="X171" i="12"/>
  <c r="X11" i="16" s="1"/>
  <c r="I118" i="10"/>
  <c r="I273" i="12"/>
  <c r="I113" i="16" s="1"/>
  <c r="Z135" i="11"/>
  <c r="K318" i="12"/>
  <c r="K158" i="16" s="1"/>
  <c r="I303" i="12"/>
  <c r="I143" i="16" s="1"/>
  <c r="Z171" i="12"/>
  <c r="Z11" i="16" s="1"/>
  <c r="X166" i="12"/>
  <c r="X6" i="16" s="1"/>
  <c r="Q273" i="12"/>
  <c r="Q113" i="16" s="1"/>
  <c r="I284" i="12"/>
  <c r="I124" i="16" s="1"/>
  <c r="X143" i="16"/>
  <c r="I250" i="13"/>
  <c r="I90" i="13"/>
  <c r="R88" i="11"/>
  <c r="Y72" i="11"/>
  <c r="S38" i="16"/>
  <c r="V219" i="12"/>
  <c r="V59" i="16" s="1"/>
  <c r="W184" i="13"/>
  <c r="W24" i="14" s="1"/>
  <c r="W24" i="13"/>
  <c r="K171" i="12"/>
  <c r="G118" i="10"/>
  <c r="J295" i="12"/>
  <c r="J135" i="16" s="1"/>
  <c r="Y264" i="12"/>
  <c r="Y104" i="16" s="1"/>
  <c r="P303" i="13"/>
  <c r="P143" i="14" s="1"/>
  <c r="P143" i="13"/>
  <c r="J261" i="17"/>
  <c r="J101" i="17"/>
  <c r="Z198" i="12"/>
  <c r="Z38" i="16" s="1"/>
  <c r="G95" i="10"/>
  <c r="O273" i="12"/>
  <c r="O113" i="16" s="1"/>
  <c r="H293" i="17"/>
  <c r="H133" i="17"/>
  <c r="S272" i="12"/>
  <c r="L267" i="12"/>
  <c r="L107" i="16" s="1"/>
  <c r="V231" i="12"/>
  <c r="V71" i="16" s="1"/>
  <c r="W304" i="12"/>
  <c r="W144" i="16" s="1"/>
  <c r="N256" i="13"/>
  <c r="N96" i="14" s="1"/>
  <c r="N96" i="13"/>
  <c r="T187" i="12"/>
  <c r="T27" i="16" s="1"/>
  <c r="I173" i="12"/>
  <c r="I13" i="16" s="1"/>
  <c r="O221" i="12"/>
  <c r="O61" i="16" s="1"/>
  <c r="X192" i="12"/>
  <c r="X32" i="16" s="1"/>
  <c r="J171" i="13"/>
  <c r="J11" i="14" s="1"/>
  <c r="J11" i="13"/>
  <c r="AO41" i="1"/>
  <c r="C41" i="1" s="1"/>
  <c r="T303" i="17"/>
  <c r="T143" i="18" s="1"/>
  <c r="T312" i="18" s="1"/>
  <c r="T143" i="17"/>
  <c r="M268" i="12"/>
  <c r="M108" i="16" s="1"/>
  <c r="K310" i="12"/>
  <c r="K150" i="16" s="1"/>
  <c r="D135" i="16"/>
  <c r="F135" i="20" s="1"/>
  <c r="U232" i="12"/>
  <c r="U72" i="16" s="1"/>
  <c r="Q166" i="12"/>
  <c r="Q6" i="16" s="1"/>
  <c r="D56" i="6"/>
  <c r="B57" i="6"/>
  <c r="B56" i="20"/>
  <c r="B56" i="10"/>
  <c r="B56" i="11"/>
  <c r="B216" i="12"/>
  <c r="B56" i="12"/>
  <c r="B216" i="13"/>
  <c r="B56" i="13"/>
  <c r="B56" i="14"/>
  <c r="B216" i="18"/>
  <c r="B56" i="15"/>
  <c r="B56" i="16"/>
  <c r="B216" i="17"/>
  <c r="B56" i="17"/>
  <c r="B56" i="18"/>
  <c r="B56" i="9"/>
  <c r="Y273" i="12"/>
  <c r="Y113" i="16" s="1"/>
  <c r="N295" i="12"/>
  <c r="N135" i="16" s="1"/>
  <c r="R219" i="12"/>
  <c r="R59" i="16" s="1"/>
  <c r="N198" i="12"/>
  <c r="N38" i="16" s="1"/>
  <c r="S171" i="12"/>
  <c r="S11" i="16" s="1"/>
  <c r="X295" i="12"/>
  <c r="M272" i="12"/>
  <c r="M112" i="16" s="1"/>
  <c r="H267" i="12"/>
  <c r="H107" i="16" s="1"/>
  <c r="X248" i="12"/>
  <c r="X88" i="16" s="1"/>
  <c r="O211" i="12"/>
  <c r="O51" i="16" s="1"/>
  <c r="W198" i="12"/>
  <c r="W38" i="16" s="1"/>
  <c r="W184" i="17"/>
  <c r="W24" i="17"/>
  <c r="I192" i="12"/>
  <c r="J135" i="11"/>
  <c r="Y104" i="11"/>
  <c r="V88" i="11"/>
  <c r="O216" i="12"/>
  <c r="O56" i="16" s="1"/>
  <c r="L219" i="12"/>
  <c r="L59" i="16" s="1"/>
  <c r="Z38" i="11"/>
  <c r="I171" i="12"/>
  <c r="I11" i="16" s="1"/>
  <c r="Z224" i="12"/>
  <c r="Z64" i="16" s="1"/>
  <c r="K283" i="12"/>
  <c r="K123" i="16" s="1"/>
  <c r="L107" i="11"/>
  <c r="I231" i="12"/>
  <c r="I71" i="16" s="1"/>
  <c r="W144" i="11"/>
  <c r="N96" i="16"/>
  <c r="R256" i="12"/>
  <c r="R96" i="16" s="1"/>
  <c r="U198" i="12"/>
  <c r="T27" i="11"/>
  <c r="Q32" i="11"/>
  <c r="Q32" i="14" s="1"/>
  <c r="I13" i="11"/>
  <c r="G167" i="12"/>
  <c r="G7" i="16" s="1"/>
  <c r="X235" i="12"/>
  <c r="X75" i="16" s="1"/>
  <c r="G303" i="12"/>
  <c r="G143" i="16" s="1"/>
  <c r="V256" i="12"/>
  <c r="V96" i="16" s="1"/>
  <c r="K250" i="12"/>
  <c r="K90" i="16" s="1"/>
  <c r="W221" i="12"/>
  <c r="W61" i="16" s="1"/>
  <c r="P198" i="12"/>
  <c r="P38" i="16" s="1"/>
  <c r="D38" i="16"/>
  <c r="F38" i="20" s="1"/>
  <c r="J208" i="12"/>
  <c r="J48" i="16" s="1"/>
  <c r="X32" i="11"/>
  <c r="J11" i="16"/>
  <c r="AO37" i="1"/>
  <c r="C37" i="1" s="1"/>
  <c r="P37" i="1"/>
  <c r="P40" i="1" s="1"/>
  <c r="K150" i="11"/>
  <c r="U272" i="13"/>
  <c r="U112" i="14" s="1"/>
  <c r="U112" i="13"/>
  <c r="K277" i="12"/>
  <c r="K117" i="16" s="1"/>
  <c r="X231" i="12"/>
  <c r="L256" i="12"/>
  <c r="L96" i="16" s="1"/>
  <c r="U72" i="11"/>
  <c r="S221" i="12"/>
  <c r="S61" i="16" s="1"/>
  <c r="R171" i="12"/>
  <c r="R11" i="16" s="1"/>
  <c r="Y113" i="11"/>
  <c r="N135" i="11"/>
  <c r="K312" i="12"/>
  <c r="X232" i="13"/>
  <c r="X72" i="14" s="1"/>
  <c r="X72" i="13"/>
  <c r="R59" i="11"/>
  <c r="N38" i="11"/>
  <c r="P171" i="12"/>
  <c r="P11" i="16" s="1"/>
  <c r="D11" i="16"/>
  <c r="F11" i="20" s="1"/>
  <c r="Z166" i="12"/>
  <c r="U273" i="12"/>
  <c r="U113" i="16" s="1"/>
  <c r="X135" i="11"/>
  <c r="W272" i="12"/>
  <c r="W112" i="16" s="1"/>
  <c r="V303" i="13"/>
  <c r="V143" i="14" s="1"/>
  <c r="V143" i="13"/>
  <c r="W231" i="12"/>
  <c r="W71" i="16" s="1"/>
  <c r="X256" i="12"/>
  <c r="X96" i="16" s="1"/>
  <c r="X88" i="11"/>
  <c r="O51" i="11"/>
  <c r="Z196" i="13"/>
  <c r="Z36" i="14" s="1"/>
  <c r="Z36" i="13"/>
  <c r="T198" i="12"/>
  <c r="Q171" i="12"/>
  <c r="G308" i="13"/>
  <c r="G148" i="14" s="1"/>
  <c r="G148" i="13"/>
  <c r="I310" i="12"/>
  <c r="I150" i="16" s="1"/>
  <c r="T235" i="12"/>
  <c r="T75" i="16" s="1"/>
  <c r="U304" i="12"/>
  <c r="U144" i="16" s="1"/>
  <c r="P143" i="16"/>
  <c r="R303" i="13"/>
  <c r="R143" i="14" s="1"/>
  <c r="R143" i="13"/>
  <c r="G231" i="12"/>
  <c r="G71" i="16" s="1"/>
  <c r="U211" i="12"/>
  <c r="U51" i="16" s="1"/>
  <c r="H240" i="12"/>
  <c r="H80" i="16" s="1"/>
  <c r="P187" i="12"/>
  <c r="P27" i="16" s="1"/>
  <c r="D27" i="16"/>
  <c r="F27" i="20" s="1"/>
  <c r="K268" i="12"/>
  <c r="K108" i="16" s="1"/>
  <c r="L235" i="12"/>
  <c r="L75" i="16" s="1"/>
  <c r="O232" i="12"/>
  <c r="O72" i="16" s="1"/>
  <c r="S211" i="12"/>
  <c r="S51" i="16" s="1"/>
  <c r="Y216" i="12"/>
  <c r="Y56" i="16" s="1"/>
  <c r="I221" i="12"/>
  <c r="I61" i="16" s="1"/>
  <c r="M171" i="12"/>
  <c r="M11" i="16" s="1"/>
  <c r="G318" i="12"/>
  <c r="G158" i="16" s="1"/>
  <c r="Q231" i="12"/>
  <c r="Q71" i="16" s="1"/>
  <c r="Q211" i="12"/>
  <c r="Q51" i="16" s="1"/>
  <c r="W216" i="12"/>
  <c r="W56" i="16" s="1"/>
  <c r="M221" i="12"/>
  <c r="M61" i="16" s="1"/>
  <c r="Z303" i="17"/>
  <c r="Z143" i="18" s="1"/>
  <c r="Z312" i="18" s="1"/>
  <c r="Z143" i="17"/>
  <c r="Z235" i="17"/>
  <c r="Z75" i="17"/>
  <c r="U272" i="17"/>
  <c r="U112" i="17"/>
  <c r="J248" i="12"/>
  <c r="J88" i="16" s="1"/>
  <c r="U216" i="12"/>
  <c r="U56" i="16" s="1"/>
  <c r="L240" i="12"/>
  <c r="L80" i="16" s="1"/>
  <c r="K198" i="12"/>
  <c r="K38" i="16" s="1"/>
  <c r="S231" i="12"/>
  <c r="S71" i="16" s="1"/>
  <c r="K189" i="12"/>
  <c r="K29" i="16" s="1"/>
  <c r="K281" i="12"/>
  <c r="X232" i="17"/>
  <c r="X72" i="17"/>
  <c r="H187" i="12"/>
  <c r="H27" i="16" s="1"/>
  <c r="J224" i="12"/>
  <c r="J64" i="16" s="1"/>
  <c r="N187" i="12"/>
  <c r="N27" i="16" s="1"/>
  <c r="M312" i="13"/>
  <c r="M152" i="14" s="1"/>
  <c r="M152" i="13"/>
  <c r="N235" i="12"/>
  <c r="N75" i="16" s="1"/>
  <c r="L295" i="12"/>
  <c r="L135" i="16" s="1"/>
  <c r="V303" i="17"/>
  <c r="V143" i="17"/>
  <c r="W211" i="12"/>
  <c r="W51" i="16" s="1"/>
  <c r="Z218" i="12"/>
  <c r="Z58" i="16" s="1"/>
  <c r="Z196" i="17"/>
  <c r="Z36" i="17"/>
  <c r="Z184" i="12"/>
  <c r="Z24" i="16" s="1"/>
  <c r="G64" i="18"/>
  <c r="G64" i="15"/>
  <c r="I62" i="18"/>
  <c r="I222" i="18" s="1"/>
  <c r="I62" i="15"/>
  <c r="G14" i="15"/>
  <c r="J128" i="15"/>
  <c r="L254" i="17"/>
  <c r="L94" i="17"/>
  <c r="Y40" i="15"/>
  <c r="J6" i="18"/>
  <c r="J166" i="18" s="1"/>
  <c r="J6" i="15"/>
  <c r="G101" i="18"/>
  <c r="G101" i="15"/>
  <c r="J254" i="17"/>
  <c r="J94" i="17"/>
  <c r="Y46" i="18"/>
  <c r="Y206" i="18" s="1"/>
  <c r="Y46" i="15"/>
  <c r="J178" i="17"/>
  <c r="J18" i="17"/>
  <c r="H171" i="17"/>
  <c r="H11" i="17"/>
  <c r="H14" i="18"/>
  <c r="H174" i="18" s="1"/>
  <c r="H14" i="15"/>
  <c r="G168" i="17"/>
  <c r="G8" i="17"/>
  <c r="W143" i="18"/>
  <c r="W312" i="18" s="1"/>
  <c r="Y51" i="18"/>
  <c r="Y211" i="18" s="1"/>
  <c r="Y51" i="15"/>
  <c r="Q216" i="17"/>
  <c r="Q56" i="17"/>
  <c r="R193" i="17"/>
  <c r="R33" i="17"/>
  <c r="L116" i="18"/>
  <c r="L283" i="18" s="1"/>
  <c r="L116" i="15"/>
  <c r="J148" i="18"/>
  <c r="J317" i="18" s="1"/>
  <c r="J148" i="15"/>
  <c r="M78" i="18"/>
  <c r="M240" i="18" s="1"/>
  <c r="M78" i="15"/>
  <c r="Q78" i="18"/>
  <c r="Q240" i="18" s="1"/>
  <c r="Q78" i="15"/>
  <c r="G73" i="18"/>
  <c r="G73" i="15"/>
  <c r="I14" i="18"/>
  <c r="I174" i="18" s="1"/>
  <c r="I14" i="15"/>
  <c r="K14" i="15"/>
  <c r="W78" i="18"/>
  <c r="W240" i="18" s="1"/>
  <c r="W78" i="15"/>
  <c r="R6" i="18"/>
  <c r="R166" i="18" s="1"/>
  <c r="R6" i="15"/>
  <c r="J116" i="18"/>
  <c r="J283" i="18" s="1"/>
  <c r="J116" i="15"/>
  <c r="M21" i="18"/>
  <c r="M181" i="18" s="1"/>
  <c r="M21" i="15"/>
  <c r="H184" i="17"/>
  <c r="H24" i="17"/>
  <c r="W6" i="18"/>
  <c r="W166" i="18" s="1"/>
  <c r="W6" i="15"/>
  <c r="S143" i="18"/>
  <c r="S312" i="18" s="1"/>
  <c r="S143" i="15"/>
  <c r="S6" i="18"/>
  <c r="S166" i="18" s="1"/>
  <c r="S6" i="15"/>
  <c r="O143" i="18"/>
  <c r="O312" i="18" s="1"/>
  <c r="O143" i="15"/>
  <c r="W21" i="18"/>
  <c r="W181" i="18" s="1"/>
  <c r="H116" i="18"/>
  <c r="H283" i="18" s="1"/>
  <c r="H116" i="15"/>
  <c r="G78" i="15"/>
  <c r="X51" i="18"/>
  <c r="X211" i="18" s="1"/>
  <c r="X51" i="15"/>
  <c r="Q21" i="18"/>
  <c r="Q181" i="18" s="1"/>
  <c r="Q21" i="15"/>
  <c r="O25" i="18"/>
  <c r="O185" i="18" s="1"/>
  <c r="O25" i="15"/>
  <c r="I78" i="18"/>
  <c r="I240" i="18" s="1"/>
  <c r="I78" i="15"/>
  <c r="W25" i="15"/>
  <c r="S128" i="15"/>
  <c r="O88" i="18"/>
  <c r="O252" i="18" s="1"/>
  <c r="O88" i="15"/>
  <c r="U64" i="18"/>
  <c r="U224" i="18" s="1"/>
  <c r="U64" i="15"/>
  <c r="H28" i="18"/>
  <c r="H188" i="18" s="1"/>
  <c r="H28" i="15"/>
  <c r="I25" i="18"/>
  <c r="I185" i="18" s="1"/>
  <c r="I25" i="15"/>
  <c r="K143" i="18"/>
  <c r="K312" i="18" s="1"/>
  <c r="K143" i="15"/>
  <c r="Q96" i="15"/>
  <c r="T40" i="18"/>
  <c r="T200" i="18" s="1"/>
  <c r="T40" i="15"/>
  <c r="R288" i="17"/>
  <c r="R128" i="17"/>
  <c r="H128" i="15"/>
  <c r="H261" i="17"/>
  <c r="H101" i="17"/>
  <c r="J275" i="12"/>
  <c r="S256" i="17"/>
  <c r="S96" i="17"/>
  <c r="G248" i="17"/>
  <c r="G222" i="17"/>
  <c r="G62" i="18" s="1"/>
  <c r="G62" i="17"/>
  <c r="H217" i="13"/>
  <c r="H57" i="14" s="1"/>
  <c r="U235" i="12"/>
  <c r="N218" i="12"/>
  <c r="N58" i="16" s="1"/>
  <c r="N216" i="12"/>
  <c r="M206" i="17"/>
  <c r="M46" i="17"/>
  <c r="K196" i="17"/>
  <c r="K36" i="18" s="1"/>
  <c r="K196" i="18" s="1"/>
  <c r="K36" i="17"/>
  <c r="H195" i="13"/>
  <c r="H35" i="14" s="1"/>
  <c r="H35" i="13"/>
  <c r="S32" i="17"/>
  <c r="N193" i="13"/>
  <c r="N33" i="14" s="1"/>
  <c r="N33" i="13"/>
  <c r="L191" i="12"/>
  <c r="L31" i="16" s="1"/>
  <c r="L189" i="12"/>
  <c r="R181" i="12"/>
  <c r="H178" i="17"/>
  <c r="H18" i="17"/>
  <c r="H176" i="17"/>
  <c r="N177" i="12"/>
  <c r="R286" i="12"/>
  <c r="R126" i="16" s="1"/>
  <c r="W286" i="12"/>
  <c r="J274" i="12"/>
  <c r="J264" i="12"/>
  <c r="J104" i="16" s="1"/>
  <c r="I266" i="12"/>
  <c r="R238" i="12"/>
  <c r="L218" i="12"/>
  <c r="L58" i="16" s="1"/>
  <c r="U40" i="15"/>
  <c r="U27" i="15"/>
  <c r="W188" i="12"/>
  <c r="J189" i="12"/>
  <c r="X177" i="12"/>
  <c r="X17" i="16" s="1"/>
  <c r="G176" i="13"/>
  <c r="G16" i="13"/>
  <c r="Y288" i="17"/>
  <c r="Y128" i="18" s="1"/>
  <c r="Y295" i="18" s="1"/>
  <c r="Y128" i="17"/>
  <c r="K292" i="12"/>
  <c r="H273" i="13"/>
  <c r="H113" i="14" s="1"/>
  <c r="H113" i="13"/>
  <c r="J265" i="12"/>
  <c r="H238" i="17"/>
  <c r="H78" i="17"/>
  <c r="Y78" i="18"/>
  <c r="Y240" i="18" s="1"/>
  <c r="Y78" i="15"/>
  <c r="H222" i="13"/>
  <c r="H62" i="14" s="1"/>
  <c r="H62" i="13"/>
  <c r="I213" i="12"/>
  <c r="I53" i="16" s="1"/>
  <c r="I202" i="13"/>
  <c r="I42" i="14" s="1"/>
  <c r="I42" i="13"/>
  <c r="X193" i="17"/>
  <c r="X33" i="17"/>
  <c r="M197" i="12"/>
  <c r="M37" i="16" s="1"/>
  <c r="L194" i="12"/>
  <c r="L34" i="16" s="1"/>
  <c r="X188" i="13"/>
  <c r="X28" i="14" s="1"/>
  <c r="X28" i="13"/>
  <c r="I188" i="12"/>
  <c r="Y128" i="15"/>
  <c r="N288" i="17"/>
  <c r="N128" i="17"/>
  <c r="Z286" i="12"/>
  <c r="Z126" i="16" s="1"/>
  <c r="Y112" i="17"/>
  <c r="J266" i="12"/>
  <c r="J106" i="16" s="1"/>
  <c r="G257" i="12"/>
  <c r="G97" i="16" s="1"/>
  <c r="H247" i="12"/>
  <c r="H87" i="16" s="1"/>
  <c r="Z238" i="12"/>
  <c r="I247" i="12"/>
  <c r="J228" i="12"/>
  <c r="L232" i="12"/>
  <c r="K213" i="12"/>
  <c r="K53" i="16" s="1"/>
  <c r="Q46" i="18"/>
  <c r="Q206" i="18" s="1"/>
  <c r="Q46" i="15"/>
  <c r="G198" i="13"/>
  <c r="G38" i="14" s="1"/>
  <c r="G38" i="13"/>
  <c r="V40" i="15"/>
  <c r="T193" i="13"/>
  <c r="T33" i="14" s="1"/>
  <c r="T33" i="13"/>
  <c r="V193" i="13"/>
  <c r="V33" i="14" s="1"/>
  <c r="Q187" i="17"/>
  <c r="Q27" i="17"/>
  <c r="K187" i="17"/>
  <c r="K27" i="18" s="1"/>
  <c r="K187" i="18" s="1"/>
  <c r="K27" i="17"/>
  <c r="S188" i="12"/>
  <c r="J182" i="12"/>
  <c r="J22" i="16" s="1"/>
  <c r="H177" i="13"/>
  <c r="H17" i="14" s="1"/>
  <c r="H17" i="13"/>
  <c r="S177" i="12"/>
  <c r="V288" i="13"/>
  <c r="V128" i="14" s="1"/>
  <c r="V128" i="13"/>
  <c r="I304" i="12"/>
  <c r="I144" i="16" s="1"/>
  <c r="P292" i="12"/>
  <c r="P132" i="16" s="1"/>
  <c r="D132" i="16"/>
  <c r="F132" i="20" s="1"/>
  <c r="I294" i="12"/>
  <c r="I134" i="16" s="1"/>
  <c r="O264" i="12"/>
  <c r="O104" i="16" s="1"/>
  <c r="G258" i="12"/>
  <c r="G98" i="16" s="1"/>
  <c r="J233" i="12"/>
  <c r="I219" i="12"/>
  <c r="N206" i="12"/>
  <c r="N46" i="16" s="1"/>
  <c r="I197" i="12"/>
  <c r="I37" i="16" s="1"/>
  <c r="I27" i="15"/>
  <c r="M191" i="12"/>
  <c r="M172" i="12"/>
  <c r="M12" i="16" s="1"/>
  <c r="H168" i="17"/>
  <c r="H8" i="17"/>
  <c r="H166" i="17"/>
  <c r="H6" i="18" s="1"/>
  <c r="H166" i="18" s="1"/>
  <c r="H6" i="17"/>
  <c r="G292" i="13"/>
  <c r="G132" i="14" s="1"/>
  <c r="G132" i="13"/>
  <c r="N292" i="12"/>
  <c r="N132" i="16" s="1"/>
  <c r="R304" i="12"/>
  <c r="R144" i="16" s="1"/>
  <c r="L303" i="12"/>
  <c r="J286" i="12"/>
  <c r="J126" i="16" s="1"/>
  <c r="K276" i="12"/>
  <c r="Z264" i="12"/>
  <c r="H246" i="13"/>
  <c r="H86" i="14" s="1"/>
  <c r="H86" i="13"/>
  <c r="T232" i="12"/>
  <c r="T72" i="16" s="1"/>
  <c r="K234" i="12"/>
  <c r="I216" i="17"/>
  <c r="I56" i="17"/>
  <c r="L206" i="12"/>
  <c r="L211" i="12"/>
  <c r="L51" i="16" s="1"/>
  <c r="K200" i="12"/>
  <c r="K191" i="12"/>
  <c r="K31" i="16" s="1"/>
  <c r="H180" i="12"/>
  <c r="M184" i="12"/>
  <c r="I177" i="12"/>
  <c r="I176" i="13"/>
  <c r="I16" i="14" s="1"/>
  <c r="I16" i="13"/>
  <c r="I168" i="13"/>
  <c r="I8" i="14" s="1"/>
  <c r="I8" i="13"/>
  <c r="G294" i="13"/>
  <c r="G134" i="14" s="1"/>
  <c r="G134" i="13"/>
  <c r="G134" i="16"/>
  <c r="H308" i="17"/>
  <c r="H148" i="17"/>
  <c r="J156" i="17"/>
  <c r="J316" i="17"/>
  <c r="K296" i="17"/>
  <c r="K136" i="17"/>
  <c r="Q304" i="12"/>
  <c r="Q144" i="16" s="1"/>
  <c r="J305" i="12"/>
  <c r="K299" i="12"/>
  <c r="L291" i="12"/>
  <c r="L131" i="16" s="1"/>
  <c r="L148" i="18"/>
  <c r="L317" i="18" s="1"/>
  <c r="L148" i="15"/>
  <c r="P304" i="12"/>
  <c r="G266" i="13"/>
  <c r="G106" i="14" s="1"/>
  <c r="G106" i="13"/>
  <c r="H286" i="12"/>
  <c r="H126" i="16" s="1"/>
  <c r="Y286" i="12"/>
  <c r="L264" i="12"/>
  <c r="M257" i="12"/>
  <c r="M97" i="16" s="1"/>
  <c r="I255" i="12"/>
  <c r="I95" i="16" s="1"/>
  <c r="J250" i="12"/>
  <c r="J90" i="16" s="1"/>
  <c r="U200" i="17"/>
  <c r="U40" i="18" s="1"/>
  <c r="U200" i="18" s="1"/>
  <c r="U40" i="17"/>
  <c r="W46" i="18"/>
  <c r="W206" i="18" s="1"/>
  <c r="W46" i="15"/>
  <c r="N200" i="17"/>
  <c r="N40" i="17"/>
  <c r="H35" i="16"/>
  <c r="P36" i="18"/>
  <c r="P196" i="18" s="1"/>
  <c r="P36" i="15"/>
  <c r="V185" i="12"/>
  <c r="V25" i="16" s="1"/>
  <c r="H185" i="12"/>
  <c r="L29" i="11"/>
  <c r="K180" i="12"/>
  <c r="H178" i="13"/>
  <c r="H18" i="14" s="1"/>
  <c r="H18" i="13"/>
  <c r="G174" i="17"/>
  <c r="G14" i="18" s="1"/>
  <c r="G14" i="17"/>
  <c r="O166" i="17"/>
  <c r="O6" i="17"/>
  <c r="H303" i="13"/>
  <c r="H143" i="14" s="1"/>
  <c r="H143" i="13"/>
  <c r="H304" i="13"/>
  <c r="H144" i="14" s="1"/>
  <c r="H144" i="13"/>
  <c r="H291" i="13"/>
  <c r="H131" i="14" s="1"/>
  <c r="H131" i="13"/>
  <c r="I296" i="17"/>
  <c r="I136" i="17"/>
  <c r="Z304" i="12"/>
  <c r="Y292" i="12"/>
  <c r="Y132" i="16" s="1"/>
  <c r="M248" i="17"/>
  <c r="M88" i="17"/>
  <c r="K253" i="12"/>
  <c r="L247" i="12"/>
  <c r="L87" i="16" s="1"/>
  <c r="I217" i="12"/>
  <c r="I57" i="16" s="1"/>
  <c r="L222" i="12"/>
  <c r="X216" i="12"/>
  <c r="H211" i="13"/>
  <c r="H51" i="14" s="1"/>
  <c r="H51" i="13"/>
  <c r="K207" i="12"/>
  <c r="K47" i="16" s="1"/>
  <c r="G195" i="12"/>
  <c r="G35" i="16" s="1"/>
  <c r="J191" i="12"/>
  <c r="J31" i="16" s="1"/>
  <c r="M27" i="15"/>
  <c r="L190" i="12"/>
  <c r="L30" i="16" s="1"/>
  <c r="J185" i="12"/>
  <c r="J25" i="16" s="1"/>
  <c r="J29" i="11"/>
  <c r="M304" i="12"/>
  <c r="M144" i="16" s="1"/>
  <c r="L315" i="12"/>
  <c r="L155" i="16" s="1"/>
  <c r="H292" i="12"/>
  <c r="H132" i="16" s="1"/>
  <c r="I288" i="17"/>
  <c r="I128" i="17"/>
  <c r="X304" i="12"/>
  <c r="I290" i="17"/>
  <c r="I130" i="17"/>
  <c r="J284" i="12"/>
  <c r="J124" i="16" s="1"/>
  <c r="H113" i="16"/>
  <c r="I286" i="12"/>
  <c r="I126" i="16" s="1"/>
  <c r="J277" i="12"/>
  <c r="J117" i="16" s="1"/>
  <c r="I254" i="12"/>
  <c r="J247" i="12"/>
  <c r="J87" i="16" s="1"/>
  <c r="Q224" i="17"/>
  <c r="Q64" i="18" s="1"/>
  <c r="Q224" i="18" s="1"/>
  <c r="Q64" i="17"/>
  <c r="Y64" i="18"/>
  <c r="Y224" i="18" s="1"/>
  <c r="Y64" i="15"/>
  <c r="H62" i="16"/>
  <c r="L231" i="12"/>
  <c r="G217" i="12"/>
  <c r="I53" i="11"/>
  <c r="W218" i="12"/>
  <c r="X193" i="13"/>
  <c r="X33" i="14" s="1"/>
  <c r="X33" i="13"/>
  <c r="M186" i="12"/>
  <c r="M26" i="16" s="1"/>
  <c r="M6" i="18"/>
  <c r="M166" i="18" s="1"/>
  <c r="M6" i="15"/>
  <c r="H296" i="13"/>
  <c r="H136" i="14" s="1"/>
  <c r="H136" i="13"/>
  <c r="N288" i="13"/>
  <c r="N128" i="14" s="1"/>
  <c r="N128" i="13"/>
  <c r="I292" i="12"/>
  <c r="S286" i="12"/>
  <c r="I258" i="12"/>
  <c r="I98" i="16" s="1"/>
  <c r="G97" i="11"/>
  <c r="U248" i="17"/>
  <c r="U88" i="17"/>
  <c r="O235" i="12"/>
  <c r="O75" i="16" s="1"/>
  <c r="I218" i="12"/>
  <c r="I58" i="16" s="1"/>
  <c r="G200" i="17"/>
  <c r="G40" i="17"/>
  <c r="S200" i="17"/>
  <c r="S40" i="18" s="1"/>
  <c r="S200" i="18" s="1"/>
  <c r="S40" i="17"/>
  <c r="K203" i="12"/>
  <c r="K43" i="16" s="1"/>
  <c r="G38" i="16"/>
  <c r="I187" i="17"/>
  <c r="I27" i="18" s="1"/>
  <c r="I187" i="18" s="1"/>
  <c r="I27" i="17"/>
  <c r="H190" i="12"/>
  <c r="X181" i="12"/>
  <c r="I144" i="11"/>
  <c r="K316" i="12"/>
  <c r="J285" i="12"/>
  <c r="J125" i="16" s="1"/>
  <c r="Q286" i="12"/>
  <c r="O104" i="11"/>
  <c r="P264" i="12"/>
  <c r="P104" i="16" s="1"/>
  <c r="D104" i="16"/>
  <c r="F104" i="20" s="1"/>
  <c r="X238" i="12"/>
  <c r="I239" i="12"/>
  <c r="M211" i="12"/>
  <c r="M51" i="16" s="1"/>
  <c r="H207" i="12"/>
  <c r="H47" i="16" s="1"/>
  <c r="N211" i="12"/>
  <c r="H204" i="12"/>
  <c r="H44" i="16" s="1"/>
  <c r="W36" i="15"/>
  <c r="Q188" i="12"/>
  <c r="N184" i="17"/>
  <c r="N24" i="17"/>
  <c r="J181" i="12"/>
  <c r="J176" i="17"/>
  <c r="J16" i="17"/>
  <c r="H168" i="13"/>
  <c r="H8" i="14" s="1"/>
  <c r="H8" i="13"/>
  <c r="H6" i="15"/>
  <c r="G132" i="16"/>
  <c r="H305" i="13"/>
  <c r="H145" i="14" s="1"/>
  <c r="H145" i="13"/>
  <c r="T288" i="17"/>
  <c r="T128" i="17"/>
  <c r="H264" i="13"/>
  <c r="H104" i="14" s="1"/>
  <c r="H104" i="13"/>
  <c r="H86" i="16"/>
  <c r="I242" i="12"/>
  <c r="I82" i="16" s="1"/>
  <c r="V238" i="12"/>
  <c r="V78" i="16" s="1"/>
  <c r="W235" i="12"/>
  <c r="I216" i="13"/>
  <c r="I56" i="14" s="1"/>
  <c r="I56" i="13"/>
  <c r="P216" i="12"/>
  <c r="P56" i="16" s="1"/>
  <c r="D56" i="16"/>
  <c r="F56" i="20" s="1"/>
  <c r="S197" i="12"/>
  <c r="O188" i="12"/>
  <c r="O28" i="16" s="1"/>
  <c r="J174" i="17"/>
  <c r="J14" i="17"/>
  <c r="O292" i="12"/>
  <c r="O132" i="16" s="1"/>
  <c r="Y303" i="17"/>
  <c r="Y143" i="18" s="1"/>
  <c r="Y312" i="18" s="1"/>
  <c r="Y143" i="17"/>
  <c r="J316" i="13"/>
  <c r="J156" i="13"/>
  <c r="K296" i="13"/>
  <c r="K136" i="13"/>
  <c r="Q144" i="11"/>
  <c r="G106" i="16"/>
  <c r="X273" i="17"/>
  <c r="X113" i="17"/>
  <c r="K264" i="12"/>
  <c r="K104" i="16" s="1"/>
  <c r="G254" i="13"/>
  <c r="G94" i="14" s="1"/>
  <c r="G94" i="13"/>
  <c r="I267" i="12"/>
  <c r="I107" i="16" s="1"/>
  <c r="G252" i="12"/>
  <c r="G92" i="16" s="1"/>
  <c r="M97" i="11"/>
  <c r="G238" i="17"/>
  <c r="G78" i="17"/>
  <c r="J246" i="12"/>
  <c r="I235" i="12"/>
  <c r="I211" i="12"/>
  <c r="I51" i="16" s="1"/>
  <c r="K46" i="18"/>
  <c r="K206" i="18" s="1"/>
  <c r="K46" i="15"/>
  <c r="J184" i="17"/>
  <c r="J24" i="17"/>
  <c r="S181" i="17"/>
  <c r="S21" i="18" s="1"/>
  <c r="S181" i="18" s="1"/>
  <c r="S21" i="17"/>
  <c r="Y177" i="12"/>
  <c r="H143" i="16"/>
  <c r="H144" i="16"/>
  <c r="H131" i="16"/>
  <c r="I296" i="13"/>
  <c r="I136" i="14" s="1"/>
  <c r="I136" i="13"/>
  <c r="O304" i="12"/>
  <c r="H277" i="13"/>
  <c r="H117" i="14" s="1"/>
  <c r="H117" i="13"/>
  <c r="M288" i="17"/>
  <c r="M128" i="17"/>
  <c r="L113" i="15"/>
  <c r="I281" i="12"/>
  <c r="I121" i="16" s="1"/>
  <c r="K286" i="12"/>
  <c r="L277" i="12"/>
  <c r="L117" i="16" s="1"/>
  <c r="G250" i="12"/>
  <c r="G90" i="16" s="1"/>
  <c r="G220" i="13"/>
  <c r="G60" i="14" s="1"/>
  <c r="G60" i="13"/>
  <c r="K212" i="12"/>
  <c r="K52" i="16" s="1"/>
  <c r="Y218" i="12"/>
  <c r="H51" i="16"/>
  <c r="K202" i="17"/>
  <c r="K42" i="17"/>
  <c r="G35" i="11"/>
  <c r="W27" i="15"/>
  <c r="K188" i="12"/>
  <c r="K28" i="16" s="1"/>
  <c r="I184" i="12"/>
  <c r="I24" i="16" s="1"/>
  <c r="L177" i="12"/>
  <c r="L17" i="16" s="1"/>
  <c r="M144" i="11"/>
  <c r="G281" i="13"/>
  <c r="G121" i="14" s="1"/>
  <c r="G121" i="13"/>
  <c r="H148" i="18"/>
  <c r="H148" i="15"/>
  <c r="M306" i="12"/>
  <c r="I290" i="13"/>
  <c r="I130" i="14" s="1"/>
  <c r="I130" i="13"/>
  <c r="J278" i="12"/>
  <c r="S264" i="12"/>
  <c r="S104" i="16" s="1"/>
  <c r="K258" i="12"/>
  <c r="K98" i="16" s="1"/>
  <c r="I257" i="12"/>
  <c r="I97" i="16" s="1"/>
  <c r="H242" i="13"/>
  <c r="H82" i="14" s="1"/>
  <c r="H82" i="13"/>
  <c r="L252" i="12"/>
  <c r="L92" i="16" s="1"/>
  <c r="K247" i="12"/>
  <c r="J222" i="12"/>
  <c r="V216" i="12"/>
  <c r="S40" i="15"/>
  <c r="I200" i="12"/>
  <c r="I40" i="16" s="1"/>
  <c r="X40" i="15"/>
  <c r="J201" i="12"/>
  <c r="J41" i="16" s="1"/>
  <c r="L193" i="17"/>
  <c r="L33" i="17"/>
  <c r="G190" i="17"/>
  <c r="G30" i="17"/>
  <c r="J195" i="12"/>
  <c r="J35" i="16" s="1"/>
  <c r="H191" i="12"/>
  <c r="H31" i="16" s="1"/>
  <c r="J190" i="12"/>
  <c r="J30" i="16" s="1"/>
  <c r="R185" i="12"/>
  <c r="J28" i="18"/>
  <c r="J188" i="18" s="1"/>
  <c r="J28" i="15"/>
  <c r="L182" i="12"/>
  <c r="L22" i="16" s="1"/>
  <c r="G316" i="13"/>
  <c r="H136" i="16"/>
  <c r="K294" i="12"/>
  <c r="L310" i="12"/>
  <c r="L150" i="16" s="1"/>
  <c r="N286" i="12"/>
  <c r="N126" i="16" s="1"/>
  <c r="Q264" i="12"/>
  <c r="Q104" i="16" s="1"/>
  <c r="R264" i="12"/>
  <c r="N238" i="12"/>
  <c r="Q64" i="15"/>
  <c r="L234" i="12"/>
  <c r="L74" i="16" s="1"/>
  <c r="O75" i="11"/>
  <c r="H216" i="13"/>
  <c r="H56" i="14" s="1"/>
  <c r="H56" i="13"/>
  <c r="H215" i="17"/>
  <c r="H55" i="17"/>
  <c r="T216" i="12"/>
  <c r="G200" i="13"/>
  <c r="G40" i="14" s="1"/>
  <c r="G40" i="13"/>
  <c r="M204" i="12"/>
  <c r="W197" i="12"/>
  <c r="W37" i="16" s="1"/>
  <c r="D25" i="16"/>
  <c r="F25" i="20" s="1"/>
  <c r="P185" i="12"/>
  <c r="O21" i="18"/>
  <c r="O181" i="18" s="1"/>
  <c r="O21" i="15"/>
  <c r="K182" i="12"/>
  <c r="K22" i="16" s="1"/>
  <c r="T177" i="12"/>
  <c r="T17" i="16" s="1"/>
  <c r="Y171" i="17"/>
  <c r="Y11" i="18" s="1"/>
  <c r="Y171" i="18" s="1"/>
  <c r="Y11" i="17"/>
  <c r="K156" i="11"/>
  <c r="H254" i="17"/>
  <c r="H94" i="17"/>
  <c r="K252" i="12"/>
  <c r="Y59" i="15"/>
  <c r="R218" i="12"/>
  <c r="R58" i="16" s="1"/>
  <c r="G206" i="17"/>
  <c r="G46" i="17"/>
  <c r="M51" i="11"/>
  <c r="H196" i="13"/>
  <c r="H36" i="14" s="1"/>
  <c r="H36" i="13"/>
  <c r="G196" i="12"/>
  <c r="G36" i="16" s="1"/>
  <c r="K36" i="15"/>
  <c r="N184" i="13"/>
  <c r="N24" i="14" s="1"/>
  <c r="N24" i="13"/>
  <c r="O184" i="12"/>
  <c r="O24" i="16" s="1"/>
  <c r="J176" i="13"/>
  <c r="J16" i="14" s="1"/>
  <c r="J16" i="13"/>
  <c r="R177" i="12"/>
  <c r="R17" i="16" s="1"/>
  <c r="H145" i="16"/>
  <c r="L305" i="12"/>
  <c r="T288" i="13"/>
  <c r="T128" i="14" s="1"/>
  <c r="T128" i="13"/>
  <c r="Q292" i="12"/>
  <c r="H104" i="16"/>
  <c r="N264" i="12"/>
  <c r="L202" i="12"/>
  <c r="L42" i="16" s="1"/>
  <c r="R193" i="13"/>
  <c r="R33" i="13"/>
  <c r="L197" i="12"/>
  <c r="L37" i="16" s="1"/>
  <c r="I180" i="12"/>
  <c r="I20" i="16" s="1"/>
  <c r="T181" i="12"/>
  <c r="T113" i="18"/>
  <c r="T280" i="18" s="1"/>
  <c r="T113" i="15"/>
  <c r="M303" i="17"/>
  <c r="M143" i="18" s="1"/>
  <c r="M312" i="18" s="1"/>
  <c r="M143" i="17"/>
  <c r="L292" i="12"/>
  <c r="L132" i="16" s="1"/>
  <c r="M307" i="12"/>
  <c r="H288" i="17"/>
  <c r="H128" i="18" s="1"/>
  <c r="H295" i="18" s="1"/>
  <c r="H128" i="17"/>
  <c r="L273" i="17"/>
  <c r="L113" i="18" s="1"/>
  <c r="L280" i="18" s="1"/>
  <c r="L113" i="17"/>
  <c r="M286" i="12"/>
  <c r="K104" i="11"/>
  <c r="G94" i="16"/>
  <c r="K266" i="12"/>
  <c r="K106" i="16" s="1"/>
  <c r="K248" i="17"/>
  <c r="K88" i="17"/>
  <c r="H233" i="13"/>
  <c r="H73" i="14" s="1"/>
  <c r="H73" i="13"/>
  <c r="L239" i="12"/>
  <c r="J215" i="17"/>
  <c r="J55" i="17"/>
  <c r="I234" i="12"/>
  <c r="K217" i="12"/>
  <c r="K57" i="16" s="1"/>
  <c r="K220" i="12"/>
  <c r="O218" i="12"/>
  <c r="I51" i="11"/>
  <c r="V200" i="17"/>
  <c r="V40" i="18" s="1"/>
  <c r="V200" i="18" s="1"/>
  <c r="V40" i="17"/>
  <c r="V206" i="12"/>
  <c r="V46" i="16" s="1"/>
  <c r="J200" i="12"/>
  <c r="J202" i="12"/>
  <c r="R188" i="17"/>
  <c r="R28" i="18" s="1"/>
  <c r="R188" i="18" s="1"/>
  <c r="R28" i="17"/>
  <c r="W187" i="17"/>
  <c r="W27" i="18" s="1"/>
  <c r="W187" i="18" s="1"/>
  <c r="W27" i="17"/>
  <c r="Y188" i="12"/>
  <c r="K181" i="17"/>
  <c r="K21" i="17"/>
  <c r="J184" i="13"/>
  <c r="J24" i="14" s="1"/>
  <c r="J24" i="13"/>
  <c r="K184" i="12"/>
  <c r="L318" i="12"/>
  <c r="Q143" i="15"/>
  <c r="O144" i="11"/>
  <c r="K288" i="17"/>
  <c r="K128" i="18" s="1"/>
  <c r="K295" i="18" s="1"/>
  <c r="K128" i="17"/>
  <c r="I299" i="12"/>
  <c r="I139" i="16" s="1"/>
  <c r="J291" i="12"/>
  <c r="N304" i="12"/>
  <c r="H117" i="16"/>
  <c r="M292" i="12"/>
  <c r="H256" i="13"/>
  <c r="H96" i="14" s="1"/>
  <c r="H96" i="13"/>
  <c r="U264" i="12"/>
  <c r="U104" i="16" s="1"/>
  <c r="K271" i="12"/>
  <c r="J258" i="12"/>
  <c r="Y235" i="17"/>
  <c r="Y75" i="17"/>
  <c r="G60" i="16"/>
  <c r="S235" i="12"/>
  <c r="S75" i="16" s="1"/>
  <c r="N231" i="12"/>
  <c r="I220" i="12"/>
  <c r="L216" i="12"/>
  <c r="L56" i="16" s="1"/>
  <c r="T206" i="12"/>
  <c r="K202" i="13"/>
  <c r="K42" i="14" s="1"/>
  <c r="K42" i="13"/>
  <c r="L200" i="12"/>
  <c r="U192" i="17"/>
  <c r="U32" i="17"/>
  <c r="L195" i="12"/>
  <c r="O197" i="12"/>
  <c r="M194" i="12"/>
  <c r="M34" i="16" s="1"/>
  <c r="O27" i="15"/>
  <c r="L180" i="12"/>
  <c r="W177" i="12"/>
  <c r="W17" i="16" s="1"/>
  <c r="J318" i="12"/>
  <c r="J158" i="16" s="1"/>
  <c r="K128" i="15"/>
  <c r="G121" i="16"/>
  <c r="L304" i="12"/>
  <c r="L144" i="16" s="1"/>
  <c r="P286" i="12"/>
  <c r="P126" i="16" s="1"/>
  <c r="D126" i="16"/>
  <c r="F126" i="20" s="1"/>
  <c r="S104" i="11"/>
  <c r="L266" i="12"/>
  <c r="L106" i="16" s="1"/>
  <c r="I271" i="12"/>
  <c r="H82" i="16"/>
  <c r="G247" i="13"/>
  <c r="G87" i="14" s="1"/>
  <c r="G87" i="13"/>
  <c r="K64" i="18"/>
  <c r="K224" i="18" s="1"/>
  <c r="K64" i="15"/>
  <c r="J218" i="12"/>
  <c r="K218" i="12"/>
  <c r="R206" i="12"/>
  <c r="R46" i="16" s="1"/>
  <c r="I207" i="12"/>
  <c r="L193" i="13"/>
  <c r="L33" i="13"/>
  <c r="G190" i="13"/>
  <c r="G30" i="13"/>
  <c r="Q25" i="18"/>
  <c r="Q185" i="18" s="1"/>
  <c r="Q25" i="15"/>
  <c r="Z181" i="12"/>
  <c r="L16" i="13"/>
  <c r="U177" i="12"/>
  <c r="L166" i="17"/>
  <c r="L6" i="18" s="1"/>
  <c r="L166" i="18" s="1"/>
  <c r="L6" i="17"/>
  <c r="G156" i="16"/>
  <c r="V304" i="12"/>
  <c r="V144" i="16" s="1"/>
  <c r="K306" i="12"/>
  <c r="K146" i="16" s="1"/>
  <c r="L128" i="18"/>
  <c r="L295" i="18" s="1"/>
  <c r="G276" i="12"/>
  <c r="G116" i="16" s="1"/>
  <c r="Q104" i="11"/>
  <c r="J252" i="12"/>
  <c r="J92" i="16" s="1"/>
  <c r="H231" i="13"/>
  <c r="H71" i="14" s="1"/>
  <c r="H71" i="13"/>
  <c r="L233" i="12"/>
  <c r="L73" i="16" s="1"/>
  <c r="Y219" i="17"/>
  <c r="Y59" i="18" s="1"/>
  <c r="Y219" i="18" s="1"/>
  <c r="Y59" i="17"/>
  <c r="H56" i="16"/>
  <c r="J231" i="12"/>
  <c r="T218" i="12"/>
  <c r="D46" i="16"/>
  <c r="F46" i="20" s="1"/>
  <c r="P206" i="12"/>
  <c r="P211" i="12"/>
  <c r="P51" i="16" s="1"/>
  <c r="D51" i="16"/>
  <c r="F51" i="20" s="1"/>
  <c r="Q40" i="15"/>
  <c r="L203" i="12"/>
  <c r="P197" i="12"/>
  <c r="P37" i="16" s="1"/>
  <c r="D37" i="16"/>
  <c r="F37" i="20" s="1"/>
  <c r="L181" i="12"/>
  <c r="N166" i="17"/>
  <c r="N6" i="18" s="1"/>
  <c r="N166" i="18" s="1"/>
  <c r="N6" i="17"/>
  <c r="H315" i="12"/>
  <c r="H155" i="16" s="1"/>
  <c r="J310" i="12"/>
  <c r="I306" i="12"/>
  <c r="I146" i="16" s="1"/>
  <c r="X286" i="12"/>
  <c r="X126" i="16" s="1"/>
  <c r="I276" i="12"/>
  <c r="H254" i="13"/>
  <c r="H94" i="14" s="1"/>
  <c r="H94" i="13"/>
  <c r="M255" i="12"/>
  <c r="K242" i="12"/>
  <c r="K82" i="16" s="1"/>
  <c r="K249" i="12"/>
  <c r="L238" i="12"/>
  <c r="L78" i="16" s="1"/>
  <c r="J232" i="12"/>
  <c r="G206" i="13"/>
  <c r="G46" i="14" s="1"/>
  <c r="G46" i="13"/>
  <c r="L217" i="12"/>
  <c r="R216" i="12"/>
  <c r="H36" i="16"/>
  <c r="Z185" i="12"/>
  <c r="Z25" i="16" s="1"/>
  <c r="H182" i="12"/>
  <c r="H22" i="16" s="1"/>
  <c r="O24" i="11"/>
  <c r="G177" i="12"/>
  <c r="G17" i="16" s="1"/>
  <c r="Y11" i="15"/>
  <c r="K267" i="12"/>
  <c r="J251" i="12"/>
  <c r="J238" i="12"/>
  <c r="K235" i="12"/>
  <c r="J186" i="12"/>
  <c r="J26" i="16" s="1"/>
  <c r="X185" i="12"/>
  <c r="P177" i="12"/>
  <c r="P17" i="16" s="1"/>
  <c r="D17" i="16"/>
  <c r="F17" i="20" s="1"/>
  <c r="O177" i="12"/>
  <c r="O17" i="16" s="1"/>
  <c r="K172" i="12"/>
  <c r="K12" i="16" s="1"/>
  <c r="M170" i="12"/>
  <c r="G286" i="17"/>
  <c r="G126" i="17"/>
  <c r="S288" i="17"/>
  <c r="S128" i="18" s="1"/>
  <c r="S295" i="18" s="1"/>
  <c r="S128" i="17"/>
  <c r="X288" i="17"/>
  <c r="X128" i="17"/>
  <c r="J303" i="12"/>
  <c r="H258" i="13"/>
  <c r="H98" i="14" s="1"/>
  <c r="H98" i="13"/>
  <c r="M253" i="12"/>
  <c r="M93" i="16" s="1"/>
  <c r="H233" i="17"/>
  <c r="H73" i="17"/>
  <c r="T238" i="12"/>
  <c r="T78" i="16" s="1"/>
  <c r="M64" i="18"/>
  <c r="M224" i="18" s="1"/>
  <c r="H223" i="12"/>
  <c r="H63" i="16" s="1"/>
  <c r="G216" i="17"/>
  <c r="G56" i="17"/>
  <c r="Z216" i="12"/>
  <c r="Z56" i="16" s="1"/>
  <c r="V198" i="17"/>
  <c r="V38" i="17"/>
  <c r="I195" i="12"/>
  <c r="I35" i="16" s="1"/>
  <c r="U187" i="17"/>
  <c r="U27" i="18" s="1"/>
  <c r="U187" i="18" s="1"/>
  <c r="U27" i="17"/>
  <c r="W185" i="17"/>
  <c r="W25" i="18" s="1"/>
  <c r="W185" i="18" s="1"/>
  <c r="W25" i="17"/>
  <c r="O187" i="17"/>
  <c r="O27" i="18" s="1"/>
  <c r="O187" i="18" s="1"/>
  <c r="O27" i="17"/>
  <c r="H184" i="13"/>
  <c r="H24" i="14" s="1"/>
  <c r="H24" i="13"/>
  <c r="K174" i="17"/>
  <c r="K14" i="18" s="1"/>
  <c r="K174" i="18" s="1"/>
  <c r="K14" i="17"/>
  <c r="M177" i="12"/>
  <c r="M17" i="16" s="1"/>
  <c r="K170" i="12"/>
  <c r="Y143" i="15"/>
  <c r="H316" i="17"/>
  <c r="H156" i="17"/>
  <c r="J292" i="12"/>
  <c r="K307" i="12"/>
  <c r="K147" i="16" s="1"/>
  <c r="L296" i="12"/>
  <c r="L136" i="16" s="1"/>
  <c r="L283" i="12"/>
  <c r="L123" i="16" s="1"/>
  <c r="H256" i="17"/>
  <c r="H96" i="17"/>
  <c r="V264" i="12"/>
  <c r="V104" i="16" s="1"/>
  <c r="O219" i="12"/>
  <c r="O59" i="16" s="1"/>
  <c r="M218" i="12"/>
  <c r="M58" i="16" s="1"/>
  <c r="H202" i="13"/>
  <c r="H42" i="14" s="1"/>
  <c r="H42" i="13"/>
  <c r="N196" i="17"/>
  <c r="N36" i="18" s="1"/>
  <c r="N196" i="18" s="1"/>
  <c r="N36" i="17"/>
  <c r="N36" i="15"/>
  <c r="H197" i="12"/>
  <c r="G188" i="13"/>
  <c r="G28" i="14" s="1"/>
  <c r="G28" i="13"/>
  <c r="T185" i="12"/>
  <c r="T25" i="16" s="1"/>
  <c r="L28" i="18"/>
  <c r="L188" i="18" s="1"/>
  <c r="L28" i="15"/>
  <c r="D21" i="16"/>
  <c r="F21" i="20" s="1"/>
  <c r="P181" i="12"/>
  <c r="P21" i="16" s="1"/>
  <c r="S21" i="15"/>
  <c r="G168" i="13"/>
  <c r="G8" i="14" s="1"/>
  <c r="G8" i="13"/>
  <c r="I307" i="12"/>
  <c r="J296" i="12"/>
  <c r="J136" i="16" s="1"/>
  <c r="W292" i="12"/>
  <c r="W132" i="16" s="1"/>
  <c r="Z273" i="17"/>
  <c r="Z113" i="18" s="1"/>
  <c r="Z280" i="18" s="1"/>
  <c r="Z113" i="17"/>
  <c r="G264" i="12"/>
  <c r="G104" i="16" s="1"/>
  <c r="T264" i="12"/>
  <c r="T104" i="16" s="1"/>
  <c r="L254" i="13"/>
  <c r="L94" i="14" s="1"/>
  <c r="L94" i="13"/>
  <c r="G247" i="17"/>
  <c r="G87" i="17"/>
  <c r="L257" i="12"/>
  <c r="L97" i="16" s="1"/>
  <c r="G235" i="13"/>
  <c r="G75" i="14" s="1"/>
  <c r="G75" i="13"/>
  <c r="N232" i="12"/>
  <c r="N72" i="16" s="1"/>
  <c r="J216" i="12"/>
  <c r="J56" i="16" s="1"/>
  <c r="Y197" i="12"/>
  <c r="K194" i="12"/>
  <c r="K34" i="16" s="1"/>
  <c r="H181" i="13"/>
  <c r="H21" i="14" s="1"/>
  <c r="H21" i="13"/>
  <c r="U188" i="12"/>
  <c r="J177" i="17"/>
  <c r="J17" i="17"/>
  <c r="K304" i="12"/>
  <c r="K144" i="16" s="1"/>
  <c r="Z113" i="15"/>
  <c r="J273" i="12"/>
  <c r="J113" i="16" s="1"/>
  <c r="J254" i="13"/>
  <c r="J94" i="14" s="1"/>
  <c r="J94" i="13"/>
  <c r="H231" i="17"/>
  <c r="H71" i="17"/>
  <c r="Q216" i="13"/>
  <c r="Q56" i="14" s="1"/>
  <c r="Q56" i="13"/>
  <c r="G202" i="17"/>
  <c r="G42" i="17"/>
  <c r="K197" i="12"/>
  <c r="K37" i="16" s="1"/>
  <c r="I194" i="12"/>
  <c r="I34" i="16" s="1"/>
  <c r="Q184" i="12"/>
  <c r="K168" i="17"/>
  <c r="K8" i="17"/>
  <c r="L306" i="12"/>
  <c r="L146" i="16" s="1"/>
  <c r="R288" i="13"/>
  <c r="R128" i="14" s="1"/>
  <c r="R128" i="13"/>
  <c r="T304" i="12"/>
  <c r="T144" i="16" s="1"/>
  <c r="G273" i="12"/>
  <c r="G113" i="16" s="1"/>
  <c r="H266" i="12"/>
  <c r="H106" i="16" s="1"/>
  <c r="M259" i="12"/>
  <c r="G62" i="15"/>
  <c r="M235" i="12"/>
  <c r="M75" i="16" s="1"/>
  <c r="K216" i="17"/>
  <c r="K56" i="17"/>
  <c r="Z206" i="12"/>
  <c r="U197" i="12"/>
  <c r="G194" i="12"/>
  <c r="G34" i="16" s="1"/>
  <c r="Y27" i="15"/>
  <c r="G185" i="17"/>
  <c r="G25" i="17"/>
  <c r="L184" i="17"/>
  <c r="L24" i="17"/>
  <c r="R28" i="15"/>
  <c r="Q177" i="12"/>
  <c r="G304" i="12"/>
  <c r="G144" i="16" s="1"/>
  <c r="J306" i="12"/>
  <c r="J146" i="16" s="1"/>
  <c r="V286" i="12"/>
  <c r="V126" i="16" s="1"/>
  <c r="O286" i="12"/>
  <c r="M264" i="12"/>
  <c r="I252" i="12"/>
  <c r="I92" i="16" s="1"/>
  <c r="K211" i="12"/>
  <c r="K51" i="16" s="1"/>
  <c r="X206" i="12"/>
  <c r="G182" i="13"/>
  <c r="G22" i="14" s="1"/>
  <c r="G22" i="13"/>
  <c r="J178" i="13"/>
  <c r="J18" i="14" s="1"/>
  <c r="J18" i="13"/>
  <c r="Q303" i="17"/>
  <c r="Q143" i="18" s="1"/>
  <c r="Q312" i="18" s="1"/>
  <c r="Q143" i="17"/>
  <c r="G286" i="13"/>
  <c r="G126" i="14" s="1"/>
  <c r="G126" i="13"/>
  <c r="X288" i="13"/>
  <c r="X128" i="14" s="1"/>
  <c r="X128" i="13"/>
  <c r="I302" i="12"/>
  <c r="I142" i="16" s="1"/>
  <c r="O132" i="11"/>
  <c r="T286" i="12"/>
  <c r="T126" i="16" s="1"/>
  <c r="G283" i="12"/>
  <c r="G123" i="16" s="1"/>
  <c r="H261" i="13"/>
  <c r="H101" i="14" s="1"/>
  <c r="H101" i="13"/>
  <c r="J115" i="11"/>
  <c r="X264" i="12"/>
  <c r="X104" i="16" s="1"/>
  <c r="H98" i="16"/>
  <c r="L258" i="12"/>
  <c r="L98" i="16" s="1"/>
  <c r="G242" i="12"/>
  <c r="G82" i="16" s="1"/>
  <c r="L242" i="12"/>
  <c r="U75" i="11"/>
  <c r="R232" i="12"/>
  <c r="G216" i="13"/>
  <c r="G56" i="14" s="1"/>
  <c r="G56" i="13"/>
  <c r="N58" i="11"/>
  <c r="N56" i="11"/>
  <c r="X200" i="17"/>
  <c r="X40" i="18" s="1"/>
  <c r="X200" i="18" s="1"/>
  <c r="X40" i="17"/>
  <c r="J206" i="12"/>
  <c r="J46" i="16" s="1"/>
  <c r="J211" i="12"/>
  <c r="W196" i="17"/>
  <c r="W36" i="18" s="1"/>
  <c r="W196" i="18" s="1"/>
  <c r="W36" i="17"/>
  <c r="I35" i="11"/>
  <c r="J197" i="12"/>
  <c r="N33" i="16"/>
  <c r="Q197" i="12"/>
  <c r="L31" i="11"/>
  <c r="M187" i="17"/>
  <c r="M27" i="18" s="1"/>
  <c r="M187" i="18" s="1"/>
  <c r="M27" i="17"/>
  <c r="I191" i="12"/>
  <c r="G187" i="17"/>
  <c r="G27" i="17"/>
  <c r="M188" i="12"/>
  <c r="U25" i="18"/>
  <c r="U185" i="18" s="1"/>
  <c r="U25" i="15"/>
  <c r="J180" i="12"/>
  <c r="J20" i="16" s="1"/>
  <c r="R21" i="11"/>
  <c r="I21" i="18"/>
  <c r="I181" i="18" s="1"/>
  <c r="N17" i="11"/>
  <c r="I12" i="11"/>
  <c r="M143" i="15"/>
  <c r="H316" i="13"/>
  <c r="H156" i="14" s="1"/>
  <c r="H156" i="13"/>
  <c r="R126" i="11"/>
  <c r="W126" i="11"/>
  <c r="I264" i="12"/>
  <c r="I104" i="16" s="1"/>
  <c r="J114" i="11"/>
  <c r="J104" i="11"/>
  <c r="I106" i="11"/>
  <c r="K257" i="12"/>
  <c r="K97" i="16" s="1"/>
  <c r="R78" i="11"/>
  <c r="J242" i="12"/>
  <c r="L58" i="11"/>
  <c r="G53" i="11"/>
  <c r="H42" i="16"/>
  <c r="G211" i="12"/>
  <c r="H206" i="12"/>
  <c r="T211" i="12"/>
  <c r="Y200" i="17"/>
  <c r="Y40" i="18" s="1"/>
  <c r="Y200" i="18" s="1"/>
  <c r="Y40" i="17"/>
  <c r="Q192" i="17"/>
  <c r="Q32" i="17"/>
  <c r="G28" i="16"/>
  <c r="W28" i="11"/>
  <c r="S25" i="18"/>
  <c r="S185" i="18" s="1"/>
  <c r="X17" i="11"/>
  <c r="G16" i="16"/>
  <c r="K177" i="12"/>
  <c r="J173" i="12"/>
  <c r="K132" i="11"/>
  <c r="I289" i="12"/>
  <c r="I129" i="16" s="1"/>
  <c r="U286" i="12"/>
  <c r="N273" i="17"/>
  <c r="N113" i="17"/>
  <c r="G104" i="11"/>
  <c r="J105" i="11"/>
  <c r="S96" i="18"/>
  <c r="S260" i="18" s="1"/>
  <c r="S96" i="15"/>
  <c r="I91" i="11"/>
  <c r="H238" i="13"/>
  <c r="H78" i="14" s="1"/>
  <c r="H78" i="13"/>
  <c r="G75" i="16"/>
  <c r="D78" i="16"/>
  <c r="F78" i="20" s="1"/>
  <c r="P238" i="12"/>
  <c r="Q235" i="12"/>
  <c r="M219" i="12"/>
  <c r="J212" i="12"/>
  <c r="J52" i="16" s="1"/>
  <c r="R211" i="12"/>
  <c r="R51" i="16" s="1"/>
  <c r="I42" i="16"/>
  <c r="T196" i="17"/>
  <c r="T36" i="17"/>
  <c r="M37" i="11"/>
  <c r="X28" i="16"/>
  <c r="H21" i="16"/>
  <c r="I28" i="11"/>
  <c r="L185" i="12"/>
  <c r="L25" i="16" s="1"/>
  <c r="N181" i="12"/>
  <c r="N21" i="16" s="1"/>
  <c r="J177" i="13"/>
  <c r="J17" i="14" s="1"/>
  <c r="J17" i="13"/>
  <c r="V177" i="12"/>
  <c r="J8" i="13"/>
  <c r="L6" i="15"/>
  <c r="K144" i="11"/>
  <c r="J315" i="12"/>
  <c r="J304" i="12"/>
  <c r="K315" i="12"/>
  <c r="U292" i="12"/>
  <c r="U132" i="16" s="1"/>
  <c r="Z126" i="11"/>
  <c r="J120" i="11"/>
  <c r="R273" i="17"/>
  <c r="R113" i="17"/>
  <c r="J106" i="11"/>
  <c r="H87" i="11"/>
  <c r="Z78" i="11"/>
  <c r="J83" i="11"/>
  <c r="I87" i="11"/>
  <c r="J68" i="11"/>
  <c r="L72" i="11"/>
  <c r="H218" i="12"/>
  <c r="H58" i="16" s="1"/>
  <c r="H55" i="15"/>
  <c r="K219" i="12"/>
  <c r="K53" i="11"/>
  <c r="U218" i="12"/>
  <c r="G202" i="13"/>
  <c r="G42" i="14" s="1"/>
  <c r="G42" i="13"/>
  <c r="T33" i="16"/>
  <c r="Y187" i="17"/>
  <c r="Y27" i="18" s="1"/>
  <c r="Y187" i="18" s="1"/>
  <c r="Y27" i="17"/>
  <c r="S187" i="17"/>
  <c r="S27" i="17"/>
  <c r="S28" i="11"/>
  <c r="J22" i="11"/>
  <c r="Q24" i="11"/>
  <c r="H17" i="16"/>
  <c r="S17" i="11"/>
  <c r="K168" i="13"/>
  <c r="K8" i="14" s="1"/>
  <c r="K8" i="13"/>
  <c r="V128" i="16"/>
  <c r="P132" i="11"/>
  <c r="I134" i="11"/>
  <c r="I315" i="12"/>
  <c r="I155" i="16" s="1"/>
  <c r="S292" i="12"/>
  <c r="L286" i="12"/>
  <c r="G98" i="11"/>
  <c r="J234" i="12"/>
  <c r="J74" i="16" s="1"/>
  <c r="J73" i="11"/>
  <c r="M75" i="11"/>
  <c r="K216" i="13"/>
  <c r="K56" i="14" s="1"/>
  <c r="K56" i="13"/>
  <c r="I59" i="11"/>
  <c r="Q200" i="17"/>
  <c r="Q40" i="18" s="1"/>
  <c r="Q200" i="18" s="1"/>
  <c r="Q40" i="17"/>
  <c r="N46" i="11"/>
  <c r="I203" i="12"/>
  <c r="I43" i="16" s="1"/>
  <c r="N197" i="12"/>
  <c r="N37" i="16" s="1"/>
  <c r="I37" i="11"/>
  <c r="M31" i="11"/>
  <c r="G185" i="13"/>
  <c r="G25" i="14" s="1"/>
  <c r="G25" i="13"/>
  <c r="L184" i="13"/>
  <c r="L24" i="14" s="1"/>
  <c r="L24" i="13"/>
  <c r="N185" i="12"/>
  <c r="G180" i="12"/>
  <c r="G20" i="16" s="1"/>
  <c r="V181" i="12"/>
  <c r="V21" i="16" s="1"/>
  <c r="I182" i="12"/>
  <c r="M12" i="11"/>
  <c r="P166" i="17"/>
  <c r="P6" i="17"/>
  <c r="G144" i="11"/>
  <c r="N132" i="11"/>
  <c r="R144" i="11"/>
  <c r="L143" i="11"/>
  <c r="J126" i="11"/>
  <c r="K116" i="11"/>
  <c r="M104" i="11"/>
  <c r="L275" i="12"/>
  <c r="L115" i="16" s="1"/>
  <c r="Z104" i="11"/>
  <c r="L246" i="12"/>
  <c r="L86" i="16" s="1"/>
  <c r="T72" i="11"/>
  <c r="K74" i="11"/>
  <c r="P218" i="12"/>
  <c r="P58" i="16" s="1"/>
  <c r="D58" i="16"/>
  <c r="F58" i="20" s="1"/>
  <c r="J217" i="12"/>
  <c r="J57" i="16" s="1"/>
  <c r="Q218" i="12"/>
  <c r="K51" i="11"/>
  <c r="L46" i="11"/>
  <c r="L51" i="11"/>
  <c r="J210" i="12"/>
  <c r="J50" i="16" s="1"/>
  <c r="K40" i="11"/>
  <c r="H200" i="12"/>
  <c r="H40" i="16" s="1"/>
  <c r="I204" i="12"/>
  <c r="K195" i="12"/>
  <c r="K35" i="16" s="1"/>
  <c r="K31" i="11"/>
  <c r="K185" i="12"/>
  <c r="K25" i="16" s="1"/>
  <c r="G22" i="16"/>
  <c r="H20" i="11"/>
  <c r="M24" i="11"/>
  <c r="I17" i="11"/>
  <c r="I16" i="16"/>
  <c r="H171" i="13"/>
  <c r="H11" i="14" s="1"/>
  <c r="H11" i="13"/>
  <c r="I8" i="16"/>
  <c r="O300" i="17"/>
  <c r="O140" i="17"/>
  <c r="K300" i="17"/>
  <c r="K140" i="17"/>
  <c r="U300" i="17"/>
  <c r="U140" i="17"/>
  <c r="U270" i="12"/>
  <c r="K110" i="16"/>
  <c r="K270" i="17" s="1"/>
  <c r="U300" i="13"/>
  <c r="U140" i="14" s="1"/>
  <c r="U140" i="13"/>
  <c r="K110" i="11"/>
  <c r="K110" i="14" s="1"/>
  <c r="R313" i="12"/>
  <c r="O300" i="13"/>
  <c r="O140" i="13"/>
  <c r="K300" i="13"/>
  <c r="K140" i="13"/>
  <c r="W300" i="17"/>
  <c r="W140" i="17"/>
  <c r="Q300" i="17"/>
  <c r="Q140" i="17"/>
  <c r="W300" i="13"/>
  <c r="W140" i="13"/>
  <c r="Q300" i="13"/>
  <c r="Q140" i="14" s="1"/>
  <c r="Q140" i="13"/>
  <c r="L311" i="12"/>
  <c r="L151" i="16" s="1"/>
  <c r="Q262" i="12"/>
  <c r="Q102" i="16" s="1"/>
  <c r="W244" i="12"/>
  <c r="W84" i="16" s="1"/>
  <c r="J262" i="12"/>
  <c r="J102" i="16" s="1"/>
  <c r="U237" i="17"/>
  <c r="U77" i="17"/>
  <c r="P244" i="12"/>
  <c r="D84" i="16"/>
  <c r="F84" i="20" s="1"/>
  <c r="G262" i="12"/>
  <c r="H237" i="12"/>
  <c r="H77" i="16" s="1"/>
  <c r="V262" i="12"/>
  <c r="V102" i="16" s="1"/>
  <c r="H260" i="12"/>
  <c r="K244" i="12"/>
  <c r="K84" i="16" s="1"/>
  <c r="V237" i="12"/>
  <c r="V77" i="16" s="1"/>
  <c r="J260" i="12"/>
  <c r="J100" i="16" s="1"/>
  <c r="G237" i="12"/>
  <c r="G77" i="16" s="1"/>
  <c r="R77" i="10"/>
  <c r="R77" i="11" s="1"/>
  <c r="S311" i="12"/>
  <c r="S151" i="16" s="1"/>
  <c r="R311" i="12"/>
  <c r="R151" i="16" s="1"/>
  <c r="L151" i="11"/>
  <c r="Q102" i="11"/>
  <c r="H100" i="11"/>
  <c r="K84" i="11"/>
  <c r="V77" i="11"/>
  <c r="H300" i="12"/>
  <c r="H140" i="16" s="1"/>
  <c r="S262" i="12"/>
  <c r="I245" i="12"/>
  <c r="I85" i="16" s="1"/>
  <c r="J100" i="11"/>
  <c r="G77" i="11"/>
  <c r="I237" i="12"/>
  <c r="I77" i="16" s="1"/>
  <c r="T311" i="12"/>
  <c r="T151" i="16" s="1"/>
  <c r="I262" i="12"/>
  <c r="S151" i="11"/>
  <c r="W245" i="12"/>
  <c r="W85" i="16" s="1"/>
  <c r="L300" i="12"/>
  <c r="L140" i="16" s="1"/>
  <c r="I311" i="12"/>
  <c r="K311" i="12"/>
  <c r="K151" i="16" s="1"/>
  <c r="R270" i="12"/>
  <c r="R110" i="16" s="1"/>
  <c r="P260" i="12"/>
  <c r="P100" i="16" s="1"/>
  <c r="D100" i="16"/>
  <c r="F100" i="20" s="1"/>
  <c r="S244" i="12"/>
  <c r="S84" i="16" s="1"/>
  <c r="M66" i="10"/>
  <c r="M66" i="11" s="1"/>
  <c r="Q260" i="12"/>
  <c r="Q100" i="16" s="1"/>
  <c r="R260" i="12"/>
  <c r="R100" i="16" s="1"/>
  <c r="U244" i="12"/>
  <c r="U84" i="16" s="1"/>
  <c r="H311" i="17"/>
  <c r="H151" i="17"/>
  <c r="J300" i="12"/>
  <c r="J140" i="16" s="1"/>
  <c r="T245" i="12"/>
  <c r="T85" i="16" s="1"/>
  <c r="V244" i="12"/>
  <c r="P262" i="12"/>
  <c r="P102" i="16" s="1"/>
  <c r="D102" i="16"/>
  <c r="F102" i="20" s="1"/>
  <c r="W297" i="12"/>
  <c r="W137" i="16" s="1"/>
  <c r="R262" i="12"/>
  <c r="R102" i="16" s="1"/>
  <c r="O245" i="12"/>
  <c r="O85" i="16" s="1"/>
  <c r="L66" i="10"/>
  <c r="L66" i="11" s="1"/>
  <c r="H262" i="12"/>
  <c r="H102" i="16" s="1"/>
  <c r="S237" i="12"/>
  <c r="S77" i="16" s="1"/>
  <c r="J311" i="12"/>
  <c r="J151" i="16" s="1"/>
  <c r="V260" i="12"/>
  <c r="J237" i="12"/>
  <c r="J297" i="12"/>
  <c r="J137" i="16" s="1"/>
  <c r="R300" i="12"/>
  <c r="R140" i="16" s="1"/>
  <c r="J102" i="11"/>
  <c r="N313" i="12"/>
  <c r="N153" i="16" s="1"/>
  <c r="W84" i="11"/>
  <c r="S77" i="11"/>
  <c r="N84" i="10"/>
  <c r="N84" i="11" s="1"/>
  <c r="T300" i="12"/>
  <c r="L262" i="12"/>
  <c r="L102" i="16" s="1"/>
  <c r="U245" i="12"/>
  <c r="U85" i="16" s="1"/>
  <c r="V100" i="11"/>
  <c r="H311" i="13"/>
  <c r="H151" i="13"/>
  <c r="J140" i="11"/>
  <c r="U262" i="12"/>
  <c r="U102" i="16" s="1"/>
  <c r="I270" i="12"/>
  <c r="I110" i="16" s="1"/>
  <c r="L260" i="12"/>
  <c r="L100" i="16" s="1"/>
  <c r="O244" i="12"/>
  <c r="O84" i="16" s="1"/>
  <c r="K237" i="12"/>
  <c r="K77" i="16" s="1"/>
  <c r="I297" i="12"/>
  <c r="I137" i="16" s="1"/>
  <c r="U311" i="12"/>
  <c r="V245" i="12"/>
  <c r="V85" i="16" s="1"/>
  <c r="M237" i="17"/>
  <c r="M77" i="17"/>
  <c r="N237" i="12"/>
  <c r="N77" i="16" s="1"/>
  <c r="P311" i="12"/>
  <c r="P151" i="16" s="1"/>
  <c r="D151" i="16"/>
  <c r="F151" i="20" s="1"/>
  <c r="W137" i="11"/>
  <c r="W311" i="12"/>
  <c r="W151" i="16" s="1"/>
  <c r="W260" i="12"/>
  <c r="W100" i="16" s="1"/>
  <c r="W66" i="10"/>
  <c r="W66" i="11" s="1"/>
  <c r="X66" i="10"/>
  <c r="X66" i="11" s="1"/>
  <c r="H66" i="10"/>
  <c r="H66" i="11" s="1"/>
  <c r="L77" i="10"/>
  <c r="L77" i="11" s="1"/>
  <c r="N311" i="12"/>
  <c r="N151" i="16" s="1"/>
  <c r="M311" i="12"/>
  <c r="M151" i="16" s="1"/>
  <c r="P270" i="12"/>
  <c r="P110" i="16" s="1"/>
  <c r="D110" i="16"/>
  <c r="F110" i="20" s="1"/>
  <c r="N270" i="12"/>
  <c r="N110" i="16" s="1"/>
  <c r="O260" i="12"/>
  <c r="O100" i="16" s="1"/>
  <c r="R297" i="12"/>
  <c r="R137" i="16" s="1"/>
  <c r="G102" i="11"/>
  <c r="Q311" i="12"/>
  <c r="Q151" i="16" s="1"/>
  <c r="J270" i="12"/>
  <c r="J110" i="16" s="1"/>
  <c r="K260" i="12"/>
  <c r="K100" i="16" s="1"/>
  <c r="H77" i="11"/>
  <c r="V300" i="12"/>
  <c r="V140" i="16" s="1"/>
  <c r="G311" i="12"/>
  <c r="G151" i="16" s="1"/>
  <c r="V270" i="12"/>
  <c r="V110" i="16" s="1"/>
  <c r="K262" i="12"/>
  <c r="K102" i="16" s="1"/>
  <c r="U151" i="11"/>
  <c r="V85" i="11"/>
  <c r="M237" i="13"/>
  <c r="M77" i="13"/>
  <c r="W237" i="12"/>
  <c r="M262" i="12"/>
  <c r="M102" i="16" s="1"/>
  <c r="W151" i="11"/>
  <c r="W100" i="11"/>
  <c r="J244" i="12"/>
  <c r="J84" i="16" s="1"/>
  <c r="S66" i="10"/>
  <c r="S66" i="11" s="1"/>
  <c r="T84" i="10"/>
  <c r="T84" i="11" s="1"/>
  <c r="T262" i="12"/>
  <c r="T102" i="16" s="1"/>
  <c r="M151" i="11"/>
  <c r="P110" i="11"/>
  <c r="Q245" i="12"/>
  <c r="Q85" i="16" s="1"/>
  <c r="L244" i="12"/>
  <c r="L84" i="16" s="1"/>
  <c r="T237" i="12"/>
  <c r="T77" i="16" s="1"/>
  <c r="I260" i="12"/>
  <c r="I100" i="16" s="1"/>
  <c r="N262" i="12"/>
  <c r="N102" i="16" s="1"/>
  <c r="K245" i="12"/>
  <c r="K85" i="16" s="1"/>
  <c r="Q237" i="12"/>
  <c r="Q77" i="16" s="1"/>
  <c r="M260" i="12"/>
  <c r="M100" i="16" s="1"/>
  <c r="H84" i="10"/>
  <c r="H84" i="11" s="1"/>
  <c r="T270" i="12"/>
  <c r="T110" i="16" s="1"/>
  <c r="N260" i="12"/>
  <c r="N100" i="16" s="1"/>
  <c r="Q244" i="12"/>
  <c r="Q84" i="16" s="1"/>
  <c r="N300" i="12"/>
  <c r="N140" i="16" s="1"/>
  <c r="U260" i="12"/>
  <c r="H110" i="17"/>
  <c r="G244" i="12"/>
  <c r="G84" i="16" s="1"/>
  <c r="N297" i="12"/>
  <c r="D140" i="16"/>
  <c r="F140" i="20" s="1"/>
  <c r="P300" i="12"/>
  <c r="P140" i="16" s="1"/>
  <c r="S260" i="12"/>
  <c r="S100" i="16" s="1"/>
  <c r="I244" i="12"/>
  <c r="I84" i="16" s="1"/>
  <c r="T260" i="12"/>
  <c r="L270" i="12"/>
  <c r="L110" i="16" s="1"/>
  <c r="O297" i="12"/>
  <c r="O137" i="16" s="1"/>
  <c r="O311" i="12"/>
  <c r="O151" i="16" s="1"/>
  <c r="U77" i="13"/>
  <c r="R244" i="12"/>
  <c r="V311" i="12"/>
  <c r="V151" i="16" s="1"/>
  <c r="M244" i="12"/>
  <c r="M84" i="16" s="1"/>
  <c r="W262" i="12"/>
  <c r="W102" i="16" s="1"/>
  <c r="H313" i="12"/>
  <c r="H153" i="16" s="1"/>
  <c r="T110" i="11"/>
  <c r="M245" i="12"/>
  <c r="M85" i="16" s="1"/>
  <c r="N100" i="11"/>
  <c r="Q84" i="11"/>
  <c r="K297" i="12"/>
  <c r="K137" i="16" s="1"/>
  <c r="N140" i="11"/>
  <c r="U100" i="11"/>
  <c r="H270" i="13"/>
  <c r="H110" i="14" s="1"/>
  <c r="G84" i="11"/>
  <c r="P237" i="12"/>
  <c r="D77" i="16"/>
  <c r="F77" i="20" s="1"/>
  <c r="P140" i="11"/>
  <c r="O262" i="12"/>
  <c r="O102" i="16" s="1"/>
  <c r="S100" i="11"/>
  <c r="I84" i="11"/>
  <c r="H34" i="11" l="1"/>
  <c r="H121" i="17"/>
  <c r="L60" i="14"/>
  <c r="Z112" i="13"/>
  <c r="W193" i="17"/>
  <c r="W33" i="18" s="1"/>
  <c r="W193" i="18" s="1"/>
  <c r="H121" i="15"/>
  <c r="P6" i="14"/>
  <c r="P6" i="15" s="1"/>
  <c r="P6" i="18"/>
  <c r="P166" i="18" s="1"/>
  <c r="G27" i="18"/>
  <c r="W33" i="15"/>
  <c r="R27" i="15"/>
  <c r="K131" i="14"/>
  <c r="Z96" i="16"/>
  <c r="Z256" i="13"/>
  <c r="Z96" i="14" s="1"/>
  <c r="Z96" i="13"/>
  <c r="P113" i="15"/>
  <c r="P113" i="18"/>
  <c r="P280" i="18" s="1"/>
  <c r="H110" i="13"/>
  <c r="O237" i="13"/>
  <c r="O77" i="14" s="1"/>
  <c r="G153" i="11"/>
  <c r="O237" i="17"/>
  <c r="H151" i="14"/>
  <c r="S245" i="12"/>
  <c r="S85" i="16" s="1"/>
  <c r="K140" i="14"/>
  <c r="K140" i="18" s="1"/>
  <c r="K308" i="18" s="1"/>
  <c r="H252" i="13"/>
  <c r="H92" i="14" s="1"/>
  <c r="V33" i="16"/>
  <c r="J279" i="12"/>
  <c r="K239" i="12"/>
  <c r="K79" i="16" s="1"/>
  <c r="K79" i="17" s="1"/>
  <c r="J8" i="17"/>
  <c r="N28" i="15"/>
  <c r="K21" i="18"/>
  <c r="K181" i="18" s="1"/>
  <c r="L176" i="17"/>
  <c r="D72" i="16"/>
  <c r="F72" i="20" s="1"/>
  <c r="L173" i="12"/>
  <c r="G184" i="17"/>
  <c r="M287" i="12"/>
  <c r="M127" i="16" s="1"/>
  <c r="M287" i="17" s="1"/>
  <c r="H176" i="13"/>
  <c r="H16" i="14" s="1"/>
  <c r="H57" i="16"/>
  <c r="H252" i="17"/>
  <c r="G218" i="13"/>
  <c r="G58" i="14" s="1"/>
  <c r="Y25" i="18"/>
  <c r="Y185" i="18" s="1"/>
  <c r="P192" i="12"/>
  <c r="P32" i="16" s="1"/>
  <c r="Z112" i="16"/>
  <c r="K73" i="14"/>
  <c r="AA144" i="10"/>
  <c r="G144" i="20" s="1"/>
  <c r="J109" i="11"/>
  <c r="J194" i="12"/>
  <c r="J239" i="12"/>
  <c r="J79" i="16" s="1"/>
  <c r="J239" i="17" s="1"/>
  <c r="P232" i="12"/>
  <c r="K136" i="14"/>
  <c r="H158" i="13"/>
  <c r="L228" i="12"/>
  <c r="L68" i="16" s="1"/>
  <c r="L68" i="17" s="1"/>
  <c r="D144" i="16"/>
  <c r="F144" i="20" s="1"/>
  <c r="T6" i="15"/>
  <c r="O64" i="14"/>
  <c r="G156" i="11"/>
  <c r="U237" i="13"/>
  <c r="U77" i="14" s="1"/>
  <c r="O77" i="13"/>
  <c r="H92" i="13"/>
  <c r="J168" i="13"/>
  <c r="J8" i="14" s="1"/>
  <c r="J8" i="18" s="1"/>
  <c r="J168" i="18" s="1"/>
  <c r="H19" i="11"/>
  <c r="J223" i="12"/>
  <c r="J63" i="16" s="1"/>
  <c r="K228" i="12"/>
  <c r="K68" i="16" s="1"/>
  <c r="M267" i="12"/>
  <c r="M107" i="16" s="1"/>
  <c r="M107" i="17" s="1"/>
  <c r="L176" i="13"/>
  <c r="L16" i="14" s="1"/>
  <c r="J283" i="12"/>
  <c r="J123" i="16" s="1"/>
  <c r="G78" i="18"/>
  <c r="L178" i="13"/>
  <c r="G58" i="16"/>
  <c r="H16" i="13"/>
  <c r="Z192" i="12"/>
  <c r="Z32" i="16" s="1"/>
  <c r="P135" i="11"/>
  <c r="I282" i="12"/>
  <c r="K230" i="12"/>
  <c r="D32" i="16"/>
  <c r="F32" i="20" s="1"/>
  <c r="J12" i="16"/>
  <c r="I156" i="11"/>
  <c r="I46" i="14"/>
  <c r="Z112" i="11"/>
  <c r="Z112" i="14" s="1"/>
  <c r="I30" i="16"/>
  <c r="I190" i="13"/>
  <c r="I30" i="14" s="1"/>
  <c r="I30" i="15" s="1"/>
  <c r="I30" i="13"/>
  <c r="I133" i="11"/>
  <c r="L307" i="12"/>
  <c r="L147" i="16" s="1"/>
  <c r="L88" i="14"/>
  <c r="K233" i="17"/>
  <c r="K73" i="17"/>
  <c r="D57" i="37"/>
  <c r="A57" i="37" s="1"/>
  <c r="M90" i="9"/>
  <c r="M155" i="9"/>
  <c r="M155" i="10" s="1"/>
  <c r="M158" i="9"/>
  <c r="M158" i="10" s="1"/>
  <c r="M106" i="9"/>
  <c r="M106" i="10" s="1"/>
  <c r="M117" i="9"/>
  <c r="M117" i="10" s="1"/>
  <c r="M148" i="9"/>
  <c r="M134" i="9"/>
  <c r="M29" i="9"/>
  <c r="M29" i="10" s="1"/>
  <c r="X102" i="9"/>
  <c r="X102" i="10" s="1"/>
  <c r="X151" i="9"/>
  <c r="X151" i="10" s="1"/>
  <c r="Y77" i="6"/>
  <c r="AA4" i="22"/>
  <c r="Z22" i="22"/>
  <c r="Z62" i="22"/>
  <c r="Z96" i="22"/>
  <c r="Z68" i="22"/>
  <c r="Z48" i="22"/>
  <c r="Z138" i="22"/>
  <c r="Z167" i="22"/>
  <c r="Z149" i="22"/>
  <c r="Z140" i="6" s="1"/>
  <c r="Y140" i="9" s="1"/>
  <c r="Z105" i="22"/>
  <c r="Z100" i="6" s="1"/>
  <c r="Y100" i="9" s="1"/>
  <c r="Z67" i="22"/>
  <c r="Z147" i="22"/>
  <c r="Z84" i="22"/>
  <c r="Z75" i="22"/>
  <c r="Z114" i="22"/>
  <c r="Z113" i="22"/>
  <c r="Z145" i="22"/>
  <c r="Z89" i="22"/>
  <c r="Z132" i="22"/>
  <c r="Z163" i="22"/>
  <c r="Z164" i="22"/>
  <c r="Z117" i="22"/>
  <c r="Z110" i="6" s="1"/>
  <c r="Y110" i="9" s="1"/>
  <c r="Y110" i="10" s="1"/>
  <c r="Z87" i="22"/>
  <c r="Z84" i="6" s="1"/>
  <c r="Y84" i="9" s="1"/>
  <c r="Z78" i="22"/>
  <c r="Z16" i="22"/>
  <c r="Z91" i="22"/>
  <c r="Z99" i="22"/>
  <c r="Z79" i="22"/>
  <c r="Z137" i="22"/>
  <c r="Z90" i="22"/>
  <c r="Z124" i="22"/>
  <c r="Z98" i="22"/>
  <c r="Z166" i="22"/>
  <c r="Z8" i="22"/>
  <c r="Z5" i="22"/>
  <c r="Z71" i="22"/>
  <c r="Z94" i="22"/>
  <c r="Z14" i="22"/>
  <c r="Z168" i="22"/>
  <c r="Z102" i="22"/>
  <c r="Z161" i="22"/>
  <c r="Z151" i="6" s="1"/>
  <c r="Y151" i="9" s="1"/>
  <c r="Z19" i="22"/>
  <c r="Z26" i="22"/>
  <c r="Z82" i="22"/>
  <c r="Z134" i="22"/>
  <c r="Z65" i="22"/>
  <c r="Z108" i="22"/>
  <c r="Z102" i="6" s="1"/>
  <c r="Y102" i="9" s="1"/>
  <c r="Y102" i="10" s="1"/>
  <c r="Z157" i="22"/>
  <c r="Z20" i="22"/>
  <c r="Z158" i="22"/>
  <c r="Z74" i="22"/>
  <c r="Z63" i="22"/>
  <c r="Z12" i="22"/>
  <c r="Z54" i="22"/>
  <c r="Z53" i="22"/>
  <c r="Z130" i="22"/>
  <c r="Z23" i="22"/>
  <c r="Z35" i="22"/>
  <c r="Z44" i="22"/>
  <c r="Z123" i="22"/>
  <c r="Z150" i="22"/>
  <c r="Z34" i="22"/>
  <c r="Z95" i="22"/>
  <c r="Z93" i="22"/>
  <c r="Z49" i="22"/>
  <c r="Z42" i="22"/>
  <c r="Z69" i="22"/>
  <c r="Z18" i="22"/>
  <c r="Z85" i="22"/>
  <c r="Z31" i="22"/>
  <c r="Z111" i="22"/>
  <c r="Z121" i="22"/>
  <c r="Z143" i="22"/>
  <c r="Z88" i="22"/>
  <c r="Z85" i="6" s="1"/>
  <c r="Z103" i="22"/>
  <c r="Z39" i="22"/>
  <c r="Z77" i="22"/>
  <c r="Z165" i="22"/>
  <c r="Z109" i="22"/>
  <c r="Z60" i="22"/>
  <c r="Z47" i="22"/>
  <c r="Z83" i="22"/>
  <c r="Z13" i="22"/>
  <c r="Z57" i="22"/>
  <c r="Z154" i="22"/>
  <c r="Z106" i="22"/>
  <c r="Z41" i="22"/>
  <c r="Z43" i="22"/>
  <c r="Z118" i="22"/>
  <c r="Z144" i="22"/>
  <c r="Z137" i="6" s="1"/>
  <c r="Z66" i="22"/>
  <c r="Z66" i="6" s="1"/>
  <c r="Z55" i="22"/>
  <c r="Z169" i="22"/>
  <c r="Z125" i="22"/>
  <c r="Z30" i="22"/>
  <c r="Z127" i="22"/>
  <c r="Z129" i="22"/>
  <c r="Z126" i="22"/>
  <c r="Z50" i="22"/>
  <c r="Z9" i="22"/>
  <c r="Z45" i="22"/>
  <c r="Z15" i="22"/>
  <c r="Z112" i="22"/>
  <c r="Z146" i="22"/>
  <c r="Z81" i="22"/>
  <c r="Z156" i="22"/>
  <c r="Z155" i="22"/>
  <c r="Z7" i="22"/>
  <c r="Z101" i="22"/>
  <c r="Z136" i="22"/>
  <c r="Z52" i="22"/>
  <c r="Z97" i="22"/>
  <c r="Z29" i="22"/>
  <c r="Z162" i="22"/>
  <c r="Z159" i="22"/>
  <c r="Z131" i="22"/>
  <c r="Z115" i="22"/>
  <c r="Z10" i="22"/>
  <c r="Z141" i="22"/>
  <c r="Z128" i="22"/>
  <c r="Z70" i="22"/>
  <c r="Z122" i="22"/>
  <c r="Z151" i="22"/>
  <c r="U88" i="15"/>
  <c r="O36" i="14"/>
  <c r="O36" i="18" s="1"/>
  <c r="O196" i="18" s="1"/>
  <c r="G166" i="13"/>
  <c r="G6" i="13"/>
  <c r="H135" i="17"/>
  <c r="O110" i="14"/>
  <c r="O110" i="18" s="1"/>
  <c r="O276" i="18" s="1"/>
  <c r="M92" i="9"/>
  <c r="M92" i="10" s="1"/>
  <c r="M98" i="9"/>
  <c r="M98" i="10" s="1"/>
  <c r="M55" i="9"/>
  <c r="M82" i="9"/>
  <c r="M82" i="10" s="1"/>
  <c r="M62" i="9"/>
  <c r="M94" i="9"/>
  <c r="M145" i="9"/>
  <c r="P4" i="6"/>
  <c r="O29" i="6"/>
  <c r="N29" i="9" s="1"/>
  <c r="O155" i="6"/>
  <c r="N155" i="9" s="1"/>
  <c r="N155" i="10" s="1"/>
  <c r="O60" i="6"/>
  <c r="N60" i="9" s="1"/>
  <c r="O98" i="6"/>
  <c r="N98" i="9" s="1"/>
  <c r="N98" i="10" s="1"/>
  <c r="O86" i="6"/>
  <c r="N86" i="9" s="1"/>
  <c r="N86" i="10" s="1"/>
  <c r="O106" i="6"/>
  <c r="N106" i="9" s="1"/>
  <c r="N106" i="10" s="1"/>
  <c r="O158" i="6"/>
  <c r="N158" i="9" s="1"/>
  <c r="O117" i="6"/>
  <c r="N117" i="9" s="1"/>
  <c r="N117" i="10" s="1"/>
  <c r="O121" i="6"/>
  <c r="N121" i="9" s="1"/>
  <c r="O16" i="6"/>
  <c r="N16" i="9" s="1"/>
  <c r="O82" i="6"/>
  <c r="N82" i="9" s="1"/>
  <c r="N82" i="10" s="1"/>
  <c r="O62" i="6"/>
  <c r="N62" i="9" s="1"/>
  <c r="N62" i="10" s="1"/>
  <c r="O8" i="6"/>
  <c r="N8" i="9" s="1"/>
  <c r="N8" i="10" s="1"/>
  <c r="O92" i="6"/>
  <c r="N92" i="9" s="1"/>
  <c r="N92" i="10" s="1"/>
  <c r="O145" i="6"/>
  <c r="N145" i="9" s="1"/>
  <c r="N145" i="10" s="1"/>
  <c r="O73" i="6"/>
  <c r="N73" i="9" s="1"/>
  <c r="N73" i="10" s="1"/>
  <c r="O22" i="6"/>
  <c r="N22" i="9" s="1"/>
  <c r="N22" i="10" s="1"/>
  <c r="O94" i="6"/>
  <c r="N94" i="9" s="1"/>
  <c r="N94" i="10" s="1"/>
  <c r="O55" i="6"/>
  <c r="N55" i="9" s="1"/>
  <c r="N55" i="10" s="1"/>
  <c r="N55" i="11" s="1"/>
  <c r="O57" i="6"/>
  <c r="N57" i="9" s="1"/>
  <c r="N57" i="10" s="1"/>
  <c r="O101" i="6"/>
  <c r="N101" i="9" s="1"/>
  <c r="O90" i="6"/>
  <c r="N90" i="9" s="1"/>
  <c r="O116" i="6"/>
  <c r="N116" i="9" s="1"/>
  <c r="O148" i="6"/>
  <c r="N148" i="9" s="1"/>
  <c r="O14" i="6"/>
  <c r="N14" i="9" s="1"/>
  <c r="N14" i="10" s="1"/>
  <c r="O35" i="6"/>
  <c r="N35" i="9" s="1"/>
  <c r="O18" i="6"/>
  <c r="N18" i="9" s="1"/>
  <c r="O20" i="6"/>
  <c r="N20" i="9" s="1"/>
  <c r="N20" i="10" s="1"/>
  <c r="O134" i="6"/>
  <c r="N134" i="9" s="1"/>
  <c r="O42" i="6"/>
  <c r="N42" i="9" s="1"/>
  <c r="N42" i="10" s="1"/>
  <c r="O87" i="6"/>
  <c r="N87" i="9" s="1"/>
  <c r="N87" i="10" s="1"/>
  <c r="O150" i="6"/>
  <c r="O131" i="6"/>
  <c r="O118" i="6"/>
  <c r="O91" i="6"/>
  <c r="O67" i="6"/>
  <c r="O65" i="6"/>
  <c r="O70" i="6"/>
  <c r="O7" i="6"/>
  <c r="O5" i="6"/>
  <c r="O30" i="6"/>
  <c r="O97" i="6"/>
  <c r="O12" i="6"/>
  <c r="O80" i="6"/>
  <c r="O48" i="6"/>
  <c r="O122" i="6"/>
  <c r="O136" i="6"/>
  <c r="O13" i="6"/>
  <c r="O156" i="6"/>
  <c r="O53" i="6"/>
  <c r="O152" i="6"/>
  <c r="O31" i="6"/>
  <c r="O114" i="6"/>
  <c r="O23" i="6"/>
  <c r="O93" i="6"/>
  <c r="O81" i="6"/>
  <c r="O127" i="6"/>
  <c r="O50" i="6"/>
  <c r="O147" i="6"/>
  <c r="O39" i="6"/>
  <c r="O44" i="6"/>
  <c r="O107" i="6"/>
  <c r="O79" i="6"/>
  <c r="O119" i="6"/>
  <c r="O138" i="6"/>
  <c r="O52" i="6"/>
  <c r="O69" i="6"/>
  <c r="O41" i="6"/>
  <c r="O109" i="6"/>
  <c r="O120" i="6"/>
  <c r="O19" i="6"/>
  <c r="O47" i="6"/>
  <c r="O9" i="6"/>
  <c r="O111" i="6"/>
  <c r="O45" i="6"/>
  <c r="O68" i="6"/>
  <c r="O10" i="6"/>
  <c r="O142" i="6"/>
  <c r="O43" i="6"/>
  <c r="O125" i="6"/>
  <c r="O124" i="6"/>
  <c r="O74" i="6"/>
  <c r="O130" i="6"/>
  <c r="O89" i="6"/>
  <c r="O26" i="6"/>
  <c r="O83" i="6"/>
  <c r="O108" i="6"/>
  <c r="O95" i="6"/>
  <c r="O49" i="6"/>
  <c r="O149" i="6"/>
  <c r="O34" i="6"/>
  <c r="O115" i="6"/>
  <c r="O157" i="6"/>
  <c r="O103" i="6"/>
  <c r="O154" i="6"/>
  <c r="O63" i="6"/>
  <c r="O15" i="6"/>
  <c r="O99" i="6"/>
  <c r="O54" i="6"/>
  <c r="O76" i="6"/>
  <c r="O123" i="6"/>
  <c r="O146" i="6"/>
  <c r="O141" i="6"/>
  <c r="O129" i="6"/>
  <c r="O105" i="6"/>
  <c r="O139" i="6"/>
  <c r="X84" i="9"/>
  <c r="X84" i="10" s="1"/>
  <c r="X110" i="9"/>
  <c r="X110" i="10" s="1"/>
  <c r="B58" i="22"/>
  <c r="D57" i="22"/>
  <c r="M57" i="9"/>
  <c r="M57" i="10" s="1"/>
  <c r="M57" i="11" s="1"/>
  <c r="M18" i="9"/>
  <c r="M18" i="10" s="1"/>
  <c r="M18" i="11" s="1"/>
  <c r="M8" i="9"/>
  <c r="M8" i="10" s="1"/>
  <c r="M86" i="9"/>
  <c r="M16" i="9"/>
  <c r="M16" i="10" s="1"/>
  <c r="M73" i="9"/>
  <c r="M35" i="9"/>
  <c r="M101" i="9"/>
  <c r="L14" i="11"/>
  <c r="M22" i="9"/>
  <c r="M20" i="9"/>
  <c r="M20" i="10" s="1"/>
  <c r="M121" i="9"/>
  <c r="M60" i="9"/>
  <c r="M60" i="10" s="1"/>
  <c r="M87" i="9"/>
  <c r="M87" i="10" s="1"/>
  <c r="M116" i="9"/>
  <c r="M116" i="10" s="1"/>
  <c r="M42" i="9"/>
  <c r="M42" i="10" s="1"/>
  <c r="M14" i="9"/>
  <c r="X100" i="9"/>
  <c r="X100" i="10" s="1"/>
  <c r="X140" i="9"/>
  <c r="L14" i="16"/>
  <c r="L14" i="13"/>
  <c r="L174" i="13"/>
  <c r="J55" i="18"/>
  <c r="J215" i="18" s="1"/>
  <c r="S36" i="14"/>
  <c r="AF444" i="1"/>
  <c r="AD163" i="1"/>
  <c r="AD444" i="1"/>
  <c r="AD461" i="1"/>
  <c r="P88" i="13"/>
  <c r="AF461" i="1"/>
  <c r="AD453" i="1"/>
  <c r="AD449" i="1"/>
  <c r="AF453" i="1"/>
  <c r="AF163" i="1"/>
  <c r="AF459" i="1"/>
  <c r="AF496" i="1"/>
  <c r="AD459" i="1"/>
  <c r="AD462" i="1"/>
  <c r="Z128" i="11"/>
  <c r="Z288" i="12"/>
  <c r="Z248" i="12"/>
  <c r="Z88" i="11"/>
  <c r="Z28" i="11"/>
  <c r="Z188" i="12"/>
  <c r="P128" i="11"/>
  <c r="D128" i="16"/>
  <c r="F128" i="20" s="1"/>
  <c r="P288" i="12"/>
  <c r="S135" i="15"/>
  <c r="AD360" i="1"/>
  <c r="P33" i="11"/>
  <c r="P193" i="12"/>
  <c r="D33" i="16"/>
  <c r="F33" i="20" s="1"/>
  <c r="AF449" i="1"/>
  <c r="AF462" i="1"/>
  <c r="AD458" i="1"/>
  <c r="AD496" i="1"/>
  <c r="P40" i="16"/>
  <c r="P40" i="13"/>
  <c r="P200" i="13"/>
  <c r="P40" i="14" s="1"/>
  <c r="AF422" i="1"/>
  <c r="AD422" i="1"/>
  <c r="AD438" i="1"/>
  <c r="P66" i="10"/>
  <c r="P66" i="11" s="1"/>
  <c r="H66" i="37"/>
  <c r="P85" i="10"/>
  <c r="D85" i="16" s="1"/>
  <c r="F85" i="20" s="1"/>
  <c r="H85" i="37"/>
  <c r="P153" i="10"/>
  <c r="H153" i="37"/>
  <c r="P137" i="10"/>
  <c r="H137" i="37"/>
  <c r="M206" i="31"/>
  <c r="M198" i="31"/>
  <c r="O153" i="11"/>
  <c r="H85" i="11"/>
  <c r="S270" i="13"/>
  <c r="S110" i="14" s="1"/>
  <c r="Q137" i="11"/>
  <c r="P226" i="12"/>
  <c r="P226" i="13" s="1"/>
  <c r="P66" i="14" s="1"/>
  <c r="H297" i="12"/>
  <c r="H137" i="16" s="1"/>
  <c r="H297" i="17" s="1"/>
  <c r="M297" i="12"/>
  <c r="M137" i="16" s="1"/>
  <c r="M153" i="11"/>
  <c r="S110" i="16"/>
  <c r="S110" i="17" s="1"/>
  <c r="G107" i="16"/>
  <c r="G267" i="13"/>
  <c r="G107" i="13"/>
  <c r="S64" i="14"/>
  <c r="S64" i="18" s="1"/>
  <c r="S224" i="18" s="1"/>
  <c r="G107" i="11"/>
  <c r="I240" i="12"/>
  <c r="I80" i="16" s="1"/>
  <c r="K5" i="11"/>
  <c r="R113" i="15"/>
  <c r="K86" i="14"/>
  <c r="K86" i="15" s="1"/>
  <c r="U96" i="14"/>
  <c r="U96" i="15" s="1"/>
  <c r="W133" i="14"/>
  <c r="W133" i="15" s="1"/>
  <c r="P88" i="15"/>
  <c r="L186" i="12"/>
  <c r="L26" i="16" s="1"/>
  <c r="M142" i="11"/>
  <c r="L34" i="11"/>
  <c r="T36" i="18"/>
  <c r="T196" i="18" s="1"/>
  <c r="H212" i="12"/>
  <c r="H52" i="16" s="1"/>
  <c r="L290" i="12"/>
  <c r="H186" i="12"/>
  <c r="H26" i="16" s="1"/>
  <c r="L285" i="12"/>
  <c r="L125" i="16" s="1"/>
  <c r="G128" i="15"/>
  <c r="I153" i="11"/>
  <c r="T85" i="11"/>
  <c r="S27" i="18"/>
  <c r="S187" i="18" s="1"/>
  <c r="M79" i="11"/>
  <c r="M207" i="12"/>
  <c r="M47" i="16" s="1"/>
  <c r="S218" i="12"/>
  <c r="J33" i="13"/>
  <c r="H72" i="13"/>
  <c r="Z232" i="13"/>
  <c r="Z72" i="14" s="1"/>
  <c r="H107" i="11"/>
  <c r="W140" i="14"/>
  <c r="W140" i="18" s="1"/>
  <c r="W308" i="18" s="1"/>
  <c r="G296" i="13"/>
  <c r="G136" i="14" s="1"/>
  <c r="J263" i="12"/>
  <c r="J263" i="13" s="1"/>
  <c r="J103" i="14" s="1"/>
  <c r="J193" i="13"/>
  <c r="H232" i="13"/>
  <c r="H72" i="14" s="1"/>
  <c r="H72" i="15" s="1"/>
  <c r="M25" i="15"/>
  <c r="U36" i="15"/>
  <c r="I165" i="12"/>
  <c r="I5" i="16" s="1"/>
  <c r="K167" i="12"/>
  <c r="K7" i="16" s="1"/>
  <c r="K7" i="17" s="1"/>
  <c r="L45" i="11"/>
  <c r="L205" i="12"/>
  <c r="N85" i="11"/>
  <c r="O110" i="15"/>
  <c r="S137" i="11"/>
  <c r="K313" i="12"/>
  <c r="K153" i="16" s="1"/>
  <c r="H134" i="15"/>
  <c r="L168" i="13"/>
  <c r="L8" i="14" s="1"/>
  <c r="L8" i="18" s="1"/>
  <c r="L168" i="18" s="1"/>
  <c r="J33" i="17"/>
  <c r="P88" i="17"/>
  <c r="O272" i="17"/>
  <c r="J60" i="15"/>
  <c r="H91" i="11"/>
  <c r="H251" i="12"/>
  <c r="M77" i="14"/>
  <c r="I26" i="11"/>
  <c r="L279" i="12"/>
  <c r="L119" i="16" s="1"/>
  <c r="H278" i="13"/>
  <c r="I249" i="12"/>
  <c r="I89" i="16" s="1"/>
  <c r="X113" i="18"/>
  <c r="X280" i="18" s="1"/>
  <c r="P248" i="17"/>
  <c r="P88" i="18" s="1"/>
  <c r="P252" i="18" s="1"/>
  <c r="N40" i="18"/>
  <c r="N200" i="18" s="1"/>
  <c r="G13" i="11"/>
  <c r="M230" i="12"/>
  <c r="M70" i="13" s="1"/>
  <c r="U32" i="14"/>
  <c r="S140" i="15"/>
  <c r="I158" i="14"/>
  <c r="K86" i="18"/>
  <c r="K250" i="18" s="1"/>
  <c r="L280" i="12"/>
  <c r="L120" i="16" s="1"/>
  <c r="G21" i="15"/>
  <c r="J60" i="17"/>
  <c r="O36" i="15"/>
  <c r="Z33" i="13"/>
  <c r="V38" i="18"/>
  <c r="V198" i="18" s="1"/>
  <c r="W40" i="15"/>
  <c r="K175" i="12"/>
  <c r="K15" i="16" s="1"/>
  <c r="K175" i="17" s="1"/>
  <c r="R40" i="15"/>
  <c r="M150" i="11"/>
  <c r="K269" i="12"/>
  <c r="K109" i="16" s="1"/>
  <c r="K109" i="17" s="1"/>
  <c r="M156" i="13"/>
  <c r="J14" i="18"/>
  <c r="J174" i="18" s="1"/>
  <c r="H118" i="16"/>
  <c r="J220" i="17"/>
  <c r="J60" i="18" s="1"/>
  <c r="J220" i="18" s="1"/>
  <c r="G145" i="15"/>
  <c r="G59" i="13"/>
  <c r="Z193" i="13"/>
  <c r="T28" i="15"/>
  <c r="M209" i="12"/>
  <c r="M49" i="16" s="1"/>
  <c r="M49" i="17" s="1"/>
  <c r="Q27" i="18"/>
  <c r="Q187" i="18" s="1"/>
  <c r="J112" i="15"/>
  <c r="M40" i="15"/>
  <c r="M156" i="16"/>
  <c r="M316" i="17" s="1"/>
  <c r="J226" i="12"/>
  <c r="J66" i="16" s="1"/>
  <c r="R113" i="18"/>
  <c r="R280" i="18" s="1"/>
  <c r="L223" i="12"/>
  <c r="L63" i="16" s="1"/>
  <c r="L251" i="12"/>
  <c r="L91" i="16" s="1"/>
  <c r="L251" i="17" s="1"/>
  <c r="G219" i="13"/>
  <c r="G59" i="14" s="1"/>
  <c r="G30" i="14"/>
  <c r="L18" i="17"/>
  <c r="G16" i="14"/>
  <c r="G16" i="15" s="1"/>
  <c r="Z33" i="17"/>
  <c r="J23" i="11"/>
  <c r="G33" i="14"/>
  <c r="L313" i="12"/>
  <c r="L153" i="16" s="1"/>
  <c r="L313" i="17" s="1"/>
  <c r="L278" i="12"/>
  <c r="L118" i="16" s="1"/>
  <c r="L278" i="17" s="1"/>
  <c r="I83" i="11"/>
  <c r="W133" i="18"/>
  <c r="W300" i="18" s="1"/>
  <c r="X85" i="11"/>
  <c r="L297" i="12"/>
  <c r="L137" i="16" s="1"/>
  <c r="L297" i="17" s="1"/>
  <c r="I137" i="11"/>
  <c r="O140" i="14"/>
  <c r="J204" i="12"/>
  <c r="J44" i="16" s="1"/>
  <c r="J204" i="17" s="1"/>
  <c r="L284" i="12"/>
  <c r="L124" i="16" s="1"/>
  <c r="L18" i="13"/>
  <c r="J257" i="12"/>
  <c r="I209" i="12"/>
  <c r="I49" i="16" s="1"/>
  <c r="I209" i="17" s="1"/>
  <c r="M46" i="18"/>
  <c r="M206" i="18" s="1"/>
  <c r="Z72" i="13"/>
  <c r="G150" i="11"/>
  <c r="M156" i="11"/>
  <c r="M156" i="14" s="1"/>
  <c r="I128" i="18"/>
  <c r="I295" i="18" s="1"/>
  <c r="H55" i="18"/>
  <c r="H215" i="18" s="1"/>
  <c r="Q133" i="15"/>
  <c r="J138" i="11"/>
  <c r="J298" i="12"/>
  <c r="O256" i="17"/>
  <c r="O96" i="17"/>
  <c r="G12" i="16"/>
  <c r="G12" i="13"/>
  <c r="G172" i="13"/>
  <c r="I287" i="12"/>
  <c r="I287" i="13" s="1"/>
  <c r="I127" i="14" s="1"/>
  <c r="N113" i="18"/>
  <c r="N280" i="18" s="1"/>
  <c r="G155" i="13"/>
  <c r="K16" i="17"/>
  <c r="L33" i="14"/>
  <c r="L33" i="18" s="1"/>
  <c r="L193" i="18" s="1"/>
  <c r="J227" i="12"/>
  <c r="R33" i="14"/>
  <c r="R33" i="15" s="1"/>
  <c r="U46" i="15"/>
  <c r="H318" i="13"/>
  <c r="H158" i="14" s="1"/>
  <c r="H158" i="15" s="1"/>
  <c r="V112" i="15"/>
  <c r="O38" i="18"/>
  <c r="O198" i="18" s="1"/>
  <c r="Z75" i="14"/>
  <c r="G29" i="15"/>
  <c r="G33" i="16"/>
  <c r="K16" i="13"/>
  <c r="G315" i="13"/>
  <c r="G155" i="14" s="1"/>
  <c r="G155" i="18" s="1"/>
  <c r="M136" i="13"/>
  <c r="J207" i="12"/>
  <c r="J47" i="16" s="1"/>
  <c r="G91" i="11"/>
  <c r="L204" i="12"/>
  <c r="L44" i="16" s="1"/>
  <c r="I225" i="12"/>
  <c r="I65" i="16" s="1"/>
  <c r="I225" i="17" s="1"/>
  <c r="I97" i="11"/>
  <c r="M136" i="17"/>
  <c r="I228" i="12"/>
  <c r="I68" i="16" s="1"/>
  <c r="I228" i="17" s="1"/>
  <c r="G155" i="17"/>
  <c r="O112" i="13"/>
  <c r="M282" i="12"/>
  <c r="L85" i="11"/>
  <c r="L39" i="16"/>
  <c r="L199" i="17" s="1"/>
  <c r="K176" i="13"/>
  <c r="K16" i="14" s="1"/>
  <c r="K16" i="18" s="1"/>
  <c r="K176" i="18" s="1"/>
  <c r="I10" i="11"/>
  <c r="L149" i="11"/>
  <c r="J14" i="15"/>
  <c r="M271" i="12"/>
  <c r="M271" i="13" s="1"/>
  <c r="M111" i="14" s="1"/>
  <c r="M296" i="13"/>
  <c r="L52" i="11"/>
  <c r="G156" i="14"/>
  <c r="G156" i="15" s="1"/>
  <c r="L8" i="17"/>
  <c r="U143" i="15"/>
  <c r="O272" i="13"/>
  <c r="O112" i="14" s="1"/>
  <c r="X292" i="12"/>
  <c r="X132" i="16" s="1"/>
  <c r="G29" i="17"/>
  <c r="G189" i="17"/>
  <c r="G29" i="18" s="1"/>
  <c r="G189" i="18" s="1"/>
  <c r="K95" i="11"/>
  <c r="I253" i="12"/>
  <c r="I93" i="16" s="1"/>
  <c r="I253" i="17" s="1"/>
  <c r="G136" i="17"/>
  <c r="I241" i="12"/>
  <c r="I81" i="16" s="1"/>
  <c r="I128" i="15"/>
  <c r="I201" i="12"/>
  <c r="I41" i="13" s="1"/>
  <c r="M249" i="12"/>
  <c r="M89" i="16" s="1"/>
  <c r="M249" i="17" s="1"/>
  <c r="J156" i="14"/>
  <c r="J156" i="18" s="1"/>
  <c r="J327" i="18" s="1"/>
  <c r="H280" i="12"/>
  <c r="H120" i="16" s="1"/>
  <c r="H280" i="17" s="1"/>
  <c r="K209" i="12"/>
  <c r="K49" i="16" s="1"/>
  <c r="K49" i="17" s="1"/>
  <c r="O40" i="15"/>
  <c r="X38" i="15"/>
  <c r="Y21" i="15"/>
  <c r="G88" i="15"/>
  <c r="H97" i="11"/>
  <c r="H257" i="12"/>
  <c r="J153" i="11"/>
  <c r="U137" i="11"/>
  <c r="W313" i="12"/>
  <c r="W153" i="16" s="1"/>
  <c r="W313" i="17" s="1"/>
  <c r="G136" i="13"/>
  <c r="L105" i="11"/>
  <c r="I280" i="12"/>
  <c r="I120" i="16" s="1"/>
  <c r="L8" i="13"/>
  <c r="K80" i="11"/>
  <c r="G33" i="13"/>
  <c r="O78" i="18"/>
  <c r="O240" i="18" s="1"/>
  <c r="O78" i="15"/>
  <c r="S36" i="18"/>
  <c r="S196" i="18" s="1"/>
  <c r="S36" i="15"/>
  <c r="J235" i="17"/>
  <c r="J75" i="17"/>
  <c r="K131" i="18"/>
  <c r="K298" i="18" s="1"/>
  <c r="K131" i="15"/>
  <c r="V28" i="18"/>
  <c r="V188" i="18" s="1"/>
  <c r="V28" i="15"/>
  <c r="I248" i="17"/>
  <c r="I88" i="17"/>
  <c r="G118" i="11"/>
  <c r="G197" i="12"/>
  <c r="AA37" i="10"/>
  <c r="G37" i="20" s="1"/>
  <c r="G293" i="12"/>
  <c r="G133" i="16" s="1"/>
  <c r="AA133" i="10"/>
  <c r="G133" i="20" s="1"/>
  <c r="AA33" i="10"/>
  <c r="G33" i="20" s="1"/>
  <c r="AA132" i="10"/>
  <c r="G132" i="20" s="1"/>
  <c r="AA75" i="10"/>
  <c r="G75" i="20" s="1"/>
  <c r="AA36" i="10"/>
  <c r="G36" i="20" s="1"/>
  <c r="G55" i="13"/>
  <c r="G55" i="16"/>
  <c r="G215" i="13"/>
  <c r="G55" i="14" s="1"/>
  <c r="G34" i="11"/>
  <c r="G191" i="12"/>
  <c r="G114" i="11"/>
  <c r="G310" i="12"/>
  <c r="G150" i="16" s="1"/>
  <c r="G310" i="17" s="1"/>
  <c r="G7" i="11"/>
  <c r="H38" i="18"/>
  <c r="H198" i="18" s="1"/>
  <c r="G12" i="11"/>
  <c r="O293" i="12"/>
  <c r="O133" i="16" s="1"/>
  <c r="G255" i="12"/>
  <c r="G122" i="11"/>
  <c r="G88" i="13"/>
  <c r="S72" i="14"/>
  <c r="U78" i="14"/>
  <c r="AA88" i="10"/>
  <c r="G88" i="20" s="1"/>
  <c r="AA32" i="10"/>
  <c r="G32" i="20" s="1"/>
  <c r="Q293" i="17"/>
  <c r="Q133" i="18" s="1"/>
  <c r="Q300" i="18" s="1"/>
  <c r="Q133" i="17"/>
  <c r="AA59" i="10"/>
  <c r="G59" i="20" s="1"/>
  <c r="G123" i="11"/>
  <c r="G256" i="12"/>
  <c r="AA96" i="10"/>
  <c r="G96" i="20" s="1"/>
  <c r="G43" i="11"/>
  <c r="G152" i="11"/>
  <c r="AA58" i="10"/>
  <c r="G58" i="20" s="1"/>
  <c r="G275" i="12"/>
  <c r="G275" i="13" s="1"/>
  <c r="N14" i="11"/>
  <c r="G79" i="11"/>
  <c r="G165" i="12"/>
  <c r="G5" i="16" s="1"/>
  <c r="G208" i="12"/>
  <c r="Y293" i="12"/>
  <c r="Y133" i="16" s="1"/>
  <c r="I133" i="16"/>
  <c r="I133" i="13"/>
  <c r="I293" i="13"/>
  <c r="I133" i="14" s="1"/>
  <c r="G131" i="16"/>
  <c r="G291" i="13"/>
  <c r="G131" i="14" s="1"/>
  <c r="G131" i="13"/>
  <c r="AA61" i="10"/>
  <c r="G61" i="20" s="1"/>
  <c r="AA112" i="10"/>
  <c r="G112" i="20" s="1"/>
  <c r="AA135" i="10"/>
  <c r="G135" i="20" s="1"/>
  <c r="G18" i="11"/>
  <c r="G124" i="11"/>
  <c r="G285" i="12"/>
  <c r="G125" i="16" s="1"/>
  <c r="I158" i="15"/>
  <c r="AA72" i="10"/>
  <c r="G72" i="20" s="1"/>
  <c r="G86" i="16"/>
  <c r="G246" i="13"/>
  <c r="G86" i="14" s="1"/>
  <c r="G300" i="17"/>
  <c r="G140" i="17"/>
  <c r="G66" i="11"/>
  <c r="G260" i="12"/>
  <c r="G137" i="11"/>
  <c r="G110" i="16"/>
  <c r="G270" i="13"/>
  <c r="G110" i="14" s="1"/>
  <c r="G110" i="13"/>
  <c r="G300" i="13"/>
  <c r="G140" i="14" s="1"/>
  <c r="G140" i="13"/>
  <c r="M110" i="14"/>
  <c r="M110" i="15" s="1"/>
  <c r="G209" i="12"/>
  <c r="G49" i="16" s="1"/>
  <c r="V72" i="16"/>
  <c r="M225" i="12"/>
  <c r="M65" i="16" s="1"/>
  <c r="M225" i="17" s="1"/>
  <c r="Z72" i="17"/>
  <c r="G6" i="14"/>
  <c r="L12" i="11"/>
  <c r="L12" i="14" s="1"/>
  <c r="P24" i="18"/>
  <c r="P184" i="18" s="1"/>
  <c r="L90" i="16"/>
  <c r="L250" i="17" s="1"/>
  <c r="L90" i="13"/>
  <c r="V72" i="13"/>
  <c r="I90" i="14"/>
  <c r="H65" i="11"/>
  <c r="L5" i="11"/>
  <c r="Y88" i="11"/>
  <c r="G274" i="12"/>
  <c r="G114" i="16" s="1"/>
  <c r="L141" i="11"/>
  <c r="Z112" i="15"/>
  <c r="M36" i="11"/>
  <c r="Y112" i="15"/>
  <c r="Y112" i="18"/>
  <c r="Y279" i="18" s="1"/>
  <c r="H250" i="17"/>
  <c r="H90" i="17"/>
  <c r="K73" i="15"/>
  <c r="L199" i="13"/>
  <c r="K236" i="12"/>
  <c r="K76" i="16" s="1"/>
  <c r="I214" i="12"/>
  <c r="I54" i="16" s="1"/>
  <c r="I318" i="17"/>
  <c r="I158" i="18" s="1"/>
  <c r="I329" i="18" s="1"/>
  <c r="M88" i="15"/>
  <c r="Q110" i="14"/>
  <c r="Q110" i="15" s="1"/>
  <c r="S46" i="14"/>
  <c r="I88" i="13"/>
  <c r="I248" i="13"/>
  <c r="I88" i="14" s="1"/>
  <c r="J301" i="12"/>
  <c r="J141" i="16" s="1"/>
  <c r="G24" i="15"/>
  <c r="T88" i="11"/>
  <c r="M30" i="14"/>
  <c r="M30" i="18" s="1"/>
  <c r="M190" i="18" s="1"/>
  <c r="H48" i="10"/>
  <c r="H208" i="12" s="1"/>
  <c r="L281" i="17"/>
  <c r="L121" i="17"/>
  <c r="N88" i="14"/>
  <c r="N88" i="15" s="1"/>
  <c r="M36" i="16"/>
  <c r="M196" i="13"/>
  <c r="M36" i="13"/>
  <c r="L281" i="13"/>
  <c r="L121" i="14" s="1"/>
  <c r="L121" i="13"/>
  <c r="O96" i="13"/>
  <c r="O256" i="13"/>
  <c r="O96" i="14" s="1"/>
  <c r="L48" i="10"/>
  <c r="L208" i="12" s="1"/>
  <c r="L48" i="16" s="1"/>
  <c r="M270" i="17"/>
  <c r="M110" i="17"/>
  <c r="G271" i="12"/>
  <c r="V197" i="12"/>
  <c r="V37" i="16" s="1"/>
  <c r="M289" i="12"/>
  <c r="M129" i="16" s="1"/>
  <c r="M289" i="17" s="1"/>
  <c r="M115" i="17"/>
  <c r="I167" i="12"/>
  <c r="I7" i="16" s="1"/>
  <c r="I167" i="17" s="1"/>
  <c r="W11" i="13"/>
  <c r="G48" i="11"/>
  <c r="M131" i="14"/>
  <c r="M115" i="13"/>
  <c r="V88" i="14"/>
  <c r="L274" i="12"/>
  <c r="L274" i="13" s="1"/>
  <c r="L114" i="14" s="1"/>
  <c r="K205" i="12"/>
  <c r="K45" i="13" s="1"/>
  <c r="W171" i="13"/>
  <c r="W11" i="14" s="1"/>
  <c r="W11" i="15" s="1"/>
  <c r="X64" i="18"/>
  <c r="X224" i="18" s="1"/>
  <c r="S78" i="14"/>
  <c r="S78" i="18" s="1"/>
  <c r="S240" i="18" s="1"/>
  <c r="W96" i="11"/>
  <c r="M291" i="17"/>
  <c r="M131" i="17"/>
  <c r="M275" i="13"/>
  <c r="G282" i="12"/>
  <c r="G122" i="13" s="1"/>
  <c r="K83" i="11"/>
  <c r="J12" i="11"/>
  <c r="J12" i="14" s="1"/>
  <c r="K62" i="14"/>
  <c r="K62" i="15" s="1"/>
  <c r="W96" i="16"/>
  <c r="W256" i="13"/>
  <c r="W96" i="13"/>
  <c r="U88" i="18"/>
  <c r="U252" i="18" s="1"/>
  <c r="J12" i="13"/>
  <c r="H88" i="11"/>
  <c r="L12" i="16"/>
  <c r="L172" i="17" s="1"/>
  <c r="H13" i="11"/>
  <c r="H173" i="12"/>
  <c r="K13" i="10"/>
  <c r="K13" i="11" s="1"/>
  <c r="V37" i="11"/>
  <c r="D96" i="16"/>
  <c r="F96" i="20" s="1"/>
  <c r="P256" i="12"/>
  <c r="S135" i="18"/>
  <c r="S302" i="18" s="1"/>
  <c r="U21" i="18"/>
  <c r="U181" i="18" s="1"/>
  <c r="U21" i="15"/>
  <c r="L60" i="18"/>
  <c r="L220" i="18" s="1"/>
  <c r="L60" i="15"/>
  <c r="T112" i="15"/>
  <c r="T112" i="18"/>
  <c r="T279" i="18" s="1"/>
  <c r="N9" i="9"/>
  <c r="Q110" i="17"/>
  <c r="Q270" i="17"/>
  <c r="L9" i="9"/>
  <c r="L12" i="13"/>
  <c r="H150" i="10"/>
  <c r="H310" i="12" s="1"/>
  <c r="Z37" i="11"/>
  <c r="J235" i="13"/>
  <c r="J75" i="14" s="1"/>
  <c r="J75" i="13"/>
  <c r="Z37" i="16"/>
  <c r="Z197" i="13"/>
  <c r="Z37" i="13"/>
  <c r="H65" i="16"/>
  <c r="H225" i="13"/>
  <c r="O6" i="18"/>
  <c r="O166" i="18" s="1"/>
  <c r="O6" i="15"/>
  <c r="L227" i="12"/>
  <c r="L67" i="16" s="1"/>
  <c r="J129" i="11"/>
  <c r="J289" i="12"/>
  <c r="J129" i="16" s="1"/>
  <c r="J289" i="17" s="1"/>
  <c r="K145" i="15"/>
  <c r="K145" i="18"/>
  <c r="K314" i="18" s="1"/>
  <c r="X218" i="17"/>
  <c r="X58" i="17"/>
  <c r="M88" i="18"/>
  <c r="M252" i="18" s="1"/>
  <c r="S248" i="12"/>
  <c r="S88" i="16" s="1"/>
  <c r="K91" i="10"/>
  <c r="X218" i="13"/>
  <c r="X58" i="14" s="1"/>
  <c r="X58" i="13"/>
  <c r="X133" i="14"/>
  <c r="X133" i="15" s="1"/>
  <c r="H88" i="16"/>
  <c r="H248" i="13"/>
  <c r="H88" i="14" s="1"/>
  <c r="H88" i="13"/>
  <c r="X112" i="11"/>
  <c r="Q248" i="12"/>
  <c r="Q88" i="16" s="1"/>
  <c r="X112" i="16"/>
  <c r="X272" i="13"/>
  <c r="X112" i="13"/>
  <c r="P272" i="12"/>
  <c r="D112" i="16"/>
  <c r="F112" i="20" s="1"/>
  <c r="Y96" i="11"/>
  <c r="V64" i="15"/>
  <c r="M136" i="11"/>
  <c r="Y88" i="16"/>
  <c r="Y248" i="13"/>
  <c r="Y88" i="13"/>
  <c r="H250" i="13"/>
  <c r="H90" i="14" s="1"/>
  <c r="H90" i="13"/>
  <c r="Q219" i="12"/>
  <c r="Q59" i="16" s="1"/>
  <c r="S300" i="17"/>
  <c r="S140" i="18" s="1"/>
  <c r="S308" i="18" s="1"/>
  <c r="S140" i="17"/>
  <c r="U288" i="17"/>
  <c r="U128" i="17"/>
  <c r="J134" i="18"/>
  <c r="J301" i="18" s="1"/>
  <c r="J134" i="15"/>
  <c r="K215" i="17"/>
  <c r="K55" i="17"/>
  <c r="G67" i="10"/>
  <c r="V11" i="18"/>
  <c r="V171" i="18" s="1"/>
  <c r="L67" i="11"/>
  <c r="W224" i="13"/>
  <c r="W64" i="14" s="1"/>
  <c r="W64" i="16"/>
  <c r="W64" i="13"/>
  <c r="K67" i="10"/>
  <c r="K227" i="12" s="1"/>
  <c r="I73" i="14"/>
  <c r="L112" i="11"/>
  <c r="K55" i="13"/>
  <c r="K215" i="13"/>
  <c r="K55" i="14" s="1"/>
  <c r="M165" i="12"/>
  <c r="M5" i="16" s="1"/>
  <c r="U128" i="13"/>
  <c r="U288" i="13"/>
  <c r="U128" i="14" s="1"/>
  <c r="U128" i="15" s="1"/>
  <c r="R132" i="11"/>
  <c r="H124" i="11"/>
  <c r="H284" i="12"/>
  <c r="R132" i="16"/>
  <c r="R292" i="13"/>
  <c r="R132" i="13"/>
  <c r="I96" i="16"/>
  <c r="I96" i="13"/>
  <c r="I256" i="13"/>
  <c r="I96" i="14" s="1"/>
  <c r="H152" i="16"/>
  <c r="H312" i="13"/>
  <c r="H152" i="14" s="1"/>
  <c r="H152" i="13"/>
  <c r="H67" i="11"/>
  <c r="H227" i="12"/>
  <c r="I233" i="17"/>
  <c r="I73" i="17"/>
  <c r="H112" i="14"/>
  <c r="T37" i="11"/>
  <c r="U133" i="18"/>
  <c r="U300" i="18" s="1"/>
  <c r="T153" i="10"/>
  <c r="T153" i="11" s="1"/>
  <c r="J107" i="10"/>
  <c r="J267" i="12" s="1"/>
  <c r="O206" i="13"/>
  <c r="O46" i="14" s="1"/>
  <c r="O46" i="13"/>
  <c r="O46" i="16"/>
  <c r="P28" i="16"/>
  <c r="P28" i="13"/>
  <c r="P188" i="13"/>
  <c r="P28" i="14" s="1"/>
  <c r="N248" i="17"/>
  <c r="N88" i="17"/>
  <c r="V153" i="10"/>
  <c r="V153" i="11" s="1"/>
  <c r="V113" i="18"/>
  <c r="V280" i="18" s="1"/>
  <c r="V113" i="15"/>
  <c r="I46" i="18"/>
  <c r="I206" i="18" s="1"/>
  <c r="I46" i="15"/>
  <c r="G192" i="17"/>
  <c r="G32" i="17"/>
  <c r="L5" i="17"/>
  <c r="L165" i="17"/>
  <c r="J293" i="17"/>
  <c r="J133" i="17"/>
  <c r="G125" i="11"/>
  <c r="T37" i="16"/>
  <c r="T197" i="13"/>
  <c r="T37" i="13"/>
  <c r="G48" i="16"/>
  <c r="G48" i="13"/>
  <c r="G208" i="13"/>
  <c r="R37" i="11"/>
  <c r="W270" i="12"/>
  <c r="W110" i="16" s="1"/>
  <c r="L112" i="16"/>
  <c r="L112" i="13"/>
  <c r="L272" i="13"/>
  <c r="M208" i="12"/>
  <c r="M48" i="16" s="1"/>
  <c r="K88" i="18"/>
  <c r="K252" i="18" s="1"/>
  <c r="M67" i="11"/>
  <c r="M80" i="10"/>
  <c r="M240" i="12" s="1"/>
  <c r="R37" i="16"/>
  <c r="R197" i="13"/>
  <c r="R37" i="13"/>
  <c r="G65" i="10"/>
  <c r="H122" i="11"/>
  <c r="X293" i="17"/>
  <c r="X133" i="17"/>
  <c r="G80" i="11"/>
  <c r="G240" i="12"/>
  <c r="S153" i="11"/>
  <c r="S313" i="12"/>
  <c r="J293" i="13"/>
  <c r="J133" i="14" s="1"/>
  <c r="J133" i="13"/>
  <c r="H125" i="11"/>
  <c r="H285" i="12"/>
  <c r="H53" i="10"/>
  <c r="H53" i="11" s="1"/>
  <c r="H122" i="16"/>
  <c r="H122" i="13"/>
  <c r="H282" i="13"/>
  <c r="Z40" i="16"/>
  <c r="Z200" i="13"/>
  <c r="Z40" i="14" s="1"/>
  <c r="Z40" i="13"/>
  <c r="K254" i="12"/>
  <c r="K94" i="16" s="1"/>
  <c r="I208" i="12"/>
  <c r="I48" i="16" s="1"/>
  <c r="L165" i="13"/>
  <c r="L5" i="13"/>
  <c r="H7" i="10"/>
  <c r="H167" i="12" s="1"/>
  <c r="H7" i="16" s="1"/>
  <c r="H7" i="17" s="1"/>
  <c r="I224" i="13"/>
  <c r="I64" i="14" s="1"/>
  <c r="I64" i="13"/>
  <c r="I64" i="16"/>
  <c r="L90" i="11"/>
  <c r="L90" i="14" s="1"/>
  <c r="L65" i="10"/>
  <c r="L65" i="11" s="1"/>
  <c r="J53" i="11"/>
  <c r="K48" i="11"/>
  <c r="L48" i="17"/>
  <c r="L208" i="17"/>
  <c r="J80" i="10"/>
  <c r="J240" i="12" s="1"/>
  <c r="J53" i="16"/>
  <c r="J53" i="13"/>
  <c r="J213" i="13"/>
  <c r="K48" i="16"/>
  <c r="K208" i="13"/>
  <c r="K48" i="13"/>
  <c r="L208" i="13"/>
  <c r="L48" i="13"/>
  <c r="T88" i="16"/>
  <c r="T88" i="13"/>
  <c r="T248" i="13"/>
  <c r="M53" i="11"/>
  <c r="M213" i="12"/>
  <c r="W128" i="18"/>
  <c r="W295" i="18" s="1"/>
  <c r="L53" i="11"/>
  <c r="L213" i="12"/>
  <c r="I131" i="10"/>
  <c r="J7" i="10"/>
  <c r="J7" i="11" s="1"/>
  <c r="Z51" i="16"/>
  <c r="Z211" i="13"/>
  <c r="Z51" i="14" s="1"/>
  <c r="Z51" i="13"/>
  <c r="V64" i="17"/>
  <c r="V224" i="17"/>
  <c r="V64" i="18" s="1"/>
  <c r="V224" i="18" s="1"/>
  <c r="G6" i="18"/>
  <c r="G166" i="18" s="1"/>
  <c r="G6" i="15"/>
  <c r="Z177" i="17"/>
  <c r="Z17" i="17"/>
  <c r="V51" i="15"/>
  <c r="V51" i="18"/>
  <c r="V211" i="18" s="1"/>
  <c r="M128" i="18"/>
  <c r="M295" i="18" s="1"/>
  <c r="M128" i="15"/>
  <c r="J152" i="11"/>
  <c r="I86" i="16"/>
  <c r="I246" i="13"/>
  <c r="I86" i="13"/>
  <c r="K30" i="11"/>
  <c r="V36" i="14"/>
  <c r="L122" i="11"/>
  <c r="L152" i="16"/>
  <c r="L152" i="13"/>
  <c r="L312" i="13"/>
  <c r="H5" i="10"/>
  <c r="H165" i="12" s="1"/>
  <c r="G192" i="13"/>
  <c r="G32" i="14" s="1"/>
  <c r="G32" i="13"/>
  <c r="L248" i="17"/>
  <c r="L88" i="18" s="1"/>
  <c r="L252" i="18" s="1"/>
  <c r="L88" i="17"/>
  <c r="J152" i="16"/>
  <c r="J152" i="13"/>
  <c r="J312" i="13"/>
  <c r="F153" i="9"/>
  <c r="AI153" i="6"/>
  <c r="K30" i="16"/>
  <c r="K190" i="13"/>
  <c r="K30" i="13"/>
  <c r="Q295" i="12"/>
  <c r="Q135" i="16" s="1"/>
  <c r="L122" i="16"/>
  <c r="L282" i="13"/>
  <c r="L122" i="13"/>
  <c r="K5" i="16"/>
  <c r="K5" i="13"/>
  <c r="K165" i="13"/>
  <c r="K5" i="14" s="1"/>
  <c r="O295" i="17"/>
  <c r="O135" i="17"/>
  <c r="I285" i="12"/>
  <c r="I125" i="16" s="1"/>
  <c r="G285" i="13"/>
  <c r="G125" i="13"/>
  <c r="I312" i="12"/>
  <c r="I152" i="16" s="1"/>
  <c r="J33" i="11"/>
  <c r="J33" i="14" s="1"/>
  <c r="U153" i="10"/>
  <c r="U313" i="12" s="1"/>
  <c r="K125" i="11"/>
  <c r="L215" i="12"/>
  <c r="L55" i="16" s="1"/>
  <c r="W295" i="12"/>
  <c r="W135" i="16" s="1"/>
  <c r="O295" i="13"/>
  <c r="O135" i="14" s="1"/>
  <c r="O135" i="15" s="1"/>
  <c r="O135" i="13"/>
  <c r="M67" i="16"/>
  <c r="M227" i="13"/>
  <c r="M67" i="13"/>
  <c r="G49" i="11"/>
  <c r="G111" i="11"/>
  <c r="U295" i="12"/>
  <c r="U135" i="16" s="1"/>
  <c r="K125" i="16"/>
  <c r="K285" i="13"/>
  <c r="K125" i="13"/>
  <c r="G5" i="11"/>
  <c r="G70" i="11"/>
  <c r="G230" i="12"/>
  <c r="M91" i="11"/>
  <c r="M251" i="12"/>
  <c r="Q153" i="10"/>
  <c r="Q153" i="11" s="1"/>
  <c r="J165" i="12"/>
  <c r="J5" i="16" s="1"/>
  <c r="M13" i="10"/>
  <c r="M173" i="12" s="1"/>
  <c r="H70" i="10"/>
  <c r="H230" i="12" s="1"/>
  <c r="J70" i="10"/>
  <c r="J230" i="12" s="1"/>
  <c r="L18" i="11"/>
  <c r="G19" i="10"/>
  <c r="M125" i="10"/>
  <c r="M285" i="12" s="1"/>
  <c r="M295" i="12"/>
  <c r="M135" i="16" s="1"/>
  <c r="X153" i="11"/>
  <c r="X313" i="12"/>
  <c r="Z177" i="13"/>
  <c r="Z17" i="14" s="1"/>
  <c r="Z17" i="15" s="1"/>
  <c r="Z17" i="13"/>
  <c r="Z27" i="18"/>
  <c r="Z187" i="18" s="1"/>
  <c r="Z27" i="15"/>
  <c r="J282" i="12"/>
  <c r="J122" i="16" s="1"/>
  <c r="I295" i="12"/>
  <c r="I135" i="16" s="1"/>
  <c r="I70" i="11"/>
  <c r="I230" i="12"/>
  <c r="J65" i="11"/>
  <c r="I67" i="10"/>
  <c r="I67" i="11" s="1"/>
  <c r="I86" i="11"/>
  <c r="G312" i="12"/>
  <c r="G152" i="16" s="1"/>
  <c r="J111" i="10"/>
  <c r="J271" i="12" s="1"/>
  <c r="J111" i="16" s="1"/>
  <c r="J271" i="17" s="1"/>
  <c r="L152" i="11"/>
  <c r="L70" i="10"/>
  <c r="L230" i="12" s="1"/>
  <c r="I166" i="17"/>
  <c r="I6" i="17"/>
  <c r="M300" i="17"/>
  <c r="M140" i="17"/>
  <c r="M300" i="13"/>
  <c r="M140" i="14" s="1"/>
  <c r="M140" i="15" s="1"/>
  <c r="M140" i="13"/>
  <c r="K295" i="17"/>
  <c r="K135" i="17"/>
  <c r="M139" i="11"/>
  <c r="M299" i="12"/>
  <c r="M139" i="16" s="1"/>
  <c r="M299" i="17" s="1"/>
  <c r="O64" i="15"/>
  <c r="O64" i="18"/>
  <c r="O224" i="18" s="1"/>
  <c r="Y295" i="17"/>
  <c r="Y135" i="17"/>
  <c r="H12" i="16"/>
  <c r="H172" i="13"/>
  <c r="H12" i="13"/>
  <c r="I18" i="16"/>
  <c r="I178" i="13"/>
  <c r="I18" i="13"/>
  <c r="H105" i="11"/>
  <c r="H265" i="12"/>
  <c r="R198" i="17"/>
  <c r="R38" i="17"/>
  <c r="K124" i="10"/>
  <c r="K284" i="12" s="1"/>
  <c r="L64" i="15"/>
  <c r="L64" i="18"/>
  <c r="L224" i="18" s="1"/>
  <c r="L156" i="10"/>
  <c r="M133" i="11"/>
  <c r="Z33" i="11"/>
  <c r="AO290" i="1"/>
  <c r="C290" i="1" s="1"/>
  <c r="P290" i="1"/>
  <c r="R198" i="13"/>
  <c r="R38" i="14" s="1"/>
  <c r="R38" i="15" s="1"/>
  <c r="R38" i="13"/>
  <c r="V133" i="16"/>
  <c r="V293" i="13"/>
  <c r="V133" i="14" s="1"/>
  <c r="V133" i="13"/>
  <c r="AF360" i="1"/>
  <c r="Y135" i="13"/>
  <c r="Y295" i="13"/>
  <c r="Y135" i="14" s="1"/>
  <c r="Y135" i="15" s="1"/>
  <c r="H45" i="10"/>
  <c r="H45" i="11" s="1"/>
  <c r="I101" i="15"/>
  <c r="I101" i="18"/>
  <c r="I266" i="18" s="1"/>
  <c r="Y193" i="12"/>
  <c r="Y33" i="16" s="1"/>
  <c r="M52" i="11"/>
  <c r="M212" i="12"/>
  <c r="H33" i="11"/>
  <c r="U184" i="17"/>
  <c r="U24" i="17"/>
  <c r="L294" i="13"/>
  <c r="L134" i="14" s="1"/>
  <c r="L134" i="13"/>
  <c r="G147" i="11"/>
  <c r="G307" i="12"/>
  <c r="K295" i="13"/>
  <c r="K135" i="14" s="1"/>
  <c r="K135" i="13"/>
  <c r="H33" i="16"/>
  <c r="H193" i="13"/>
  <c r="H33" i="13"/>
  <c r="L261" i="17"/>
  <c r="L101" i="17"/>
  <c r="V88" i="17"/>
  <c r="V248" i="17"/>
  <c r="V88" i="18" s="1"/>
  <c r="V252" i="18" s="1"/>
  <c r="U184" i="13"/>
  <c r="U24" i="14" s="1"/>
  <c r="U24" i="13"/>
  <c r="M193" i="12"/>
  <c r="M33" i="16" s="1"/>
  <c r="H194" i="12"/>
  <c r="H34" i="16" s="1"/>
  <c r="L134" i="16"/>
  <c r="J65" i="16"/>
  <c r="J225" i="13"/>
  <c r="J65" i="13"/>
  <c r="L261" i="13"/>
  <c r="L101" i="14" s="1"/>
  <c r="L101" i="15" s="1"/>
  <c r="L101" i="13"/>
  <c r="K78" i="16"/>
  <c r="K238" i="13"/>
  <c r="K78" i="14" s="1"/>
  <c r="K78" i="13"/>
  <c r="E367" i="1"/>
  <c r="AO367" i="1" s="1"/>
  <c r="C367" i="1" s="1"/>
  <c r="E362" i="1"/>
  <c r="G100" i="11"/>
  <c r="R112" i="11"/>
  <c r="H12" i="11"/>
  <c r="I18" i="11"/>
  <c r="H60" i="16"/>
  <c r="H220" i="13"/>
  <c r="H60" i="14" s="1"/>
  <c r="H60" i="13"/>
  <c r="P59" i="16"/>
  <c r="P219" i="13"/>
  <c r="P59" i="14" s="1"/>
  <c r="P59" i="13"/>
  <c r="H135" i="15"/>
  <c r="H135" i="18"/>
  <c r="H302" i="18" s="1"/>
  <c r="L7" i="11"/>
  <c r="G96" i="11"/>
  <c r="G31" i="11"/>
  <c r="L23" i="11"/>
  <c r="K119" i="11"/>
  <c r="X24" i="18"/>
  <c r="X184" i="18" s="1"/>
  <c r="X24" i="15"/>
  <c r="N174" i="12"/>
  <c r="N14" i="16" s="1"/>
  <c r="L36" i="11"/>
  <c r="U193" i="12"/>
  <c r="U33" i="16" s="1"/>
  <c r="W248" i="12"/>
  <c r="W88" i="16" s="1"/>
  <c r="G88" i="18"/>
  <c r="Z292" i="12"/>
  <c r="Z132" i="16" s="1"/>
  <c r="H15" i="10"/>
  <c r="H15" i="11" s="1"/>
  <c r="L15" i="11"/>
  <c r="L175" i="12"/>
  <c r="L36" i="16"/>
  <c r="L36" i="13"/>
  <c r="L196" i="13"/>
  <c r="I52" i="10"/>
  <c r="I212" i="12" s="1"/>
  <c r="I215" i="17"/>
  <c r="I55" i="17"/>
  <c r="S304" i="17"/>
  <c r="S144" i="17"/>
  <c r="K115" i="11"/>
  <c r="K275" i="12"/>
  <c r="Y304" i="17"/>
  <c r="Y144" i="17"/>
  <c r="T292" i="12"/>
  <c r="T132" i="16" s="1"/>
  <c r="J45" i="10"/>
  <c r="J205" i="12" s="1"/>
  <c r="Q193" i="12"/>
  <c r="Q33" i="16" s="1"/>
  <c r="I55" i="13"/>
  <c r="I215" i="13"/>
  <c r="I55" i="14" s="1"/>
  <c r="I55" i="15" s="1"/>
  <c r="K63" i="10"/>
  <c r="K223" i="12" s="1"/>
  <c r="L99" i="11"/>
  <c r="S304" i="13"/>
  <c r="S144" i="14" s="1"/>
  <c r="S144" i="13"/>
  <c r="R112" i="16"/>
  <c r="R272" i="13"/>
  <c r="R112" i="13"/>
  <c r="Y304" i="13"/>
  <c r="Y144" i="14" s="1"/>
  <c r="Y144" i="15" s="1"/>
  <c r="Y144" i="13"/>
  <c r="V292" i="12"/>
  <c r="V132" i="16" s="1"/>
  <c r="T224" i="17"/>
  <c r="T64" i="17"/>
  <c r="J187" i="17"/>
  <c r="J27" i="17"/>
  <c r="K114" i="11"/>
  <c r="S193" i="12"/>
  <c r="S33" i="16" s="1"/>
  <c r="K41" i="10"/>
  <c r="K201" i="12" s="1"/>
  <c r="K41" i="16" s="1"/>
  <c r="K201" i="17" s="1"/>
  <c r="T224" i="13"/>
  <c r="T64" i="14" s="1"/>
  <c r="T64" i="13"/>
  <c r="V72" i="11"/>
  <c r="V72" i="14" s="1"/>
  <c r="J187" i="13"/>
  <c r="J27" i="14" s="1"/>
  <c r="J27" i="15" s="1"/>
  <c r="J27" i="13"/>
  <c r="O193" i="12"/>
  <c r="O33" i="16" s="1"/>
  <c r="J89" i="10"/>
  <c r="J249" i="12" s="1"/>
  <c r="I115" i="11"/>
  <c r="I275" i="12"/>
  <c r="K193" i="12"/>
  <c r="K33" i="16" s="1"/>
  <c r="H79" i="10"/>
  <c r="H239" i="12" s="1"/>
  <c r="H79" i="16" s="1"/>
  <c r="H114" i="11"/>
  <c r="H274" i="12"/>
  <c r="T137" i="10"/>
  <c r="T297" i="12" s="1"/>
  <c r="T137" i="16" s="1"/>
  <c r="T137" i="17" s="1"/>
  <c r="G74" i="11"/>
  <c r="G234" i="12"/>
  <c r="H39" i="11"/>
  <c r="H199" i="12"/>
  <c r="G10" i="10"/>
  <c r="G130" i="10"/>
  <c r="L89" i="10"/>
  <c r="L249" i="12" s="1"/>
  <c r="R293" i="13"/>
  <c r="R133" i="14" s="1"/>
  <c r="R133" i="13"/>
  <c r="R133" i="16"/>
  <c r="J147" i="10"/>
  <c r="J147" i="11" s="1"/>
  <c r="K142" i="10"/>
  <c r="K302" i="12" s="1"/>
  <c r="M43" i="11"/>
  <c r="M203" i="12"/>
  <c r="M43" i="16" s="1"/>
  <c r="M74" i="10"/>
  <c r="M234" i="12" s="1"/>
  <c r="M74" i="16" s="1"/>
  <c r="M234" i="17" s="1"/>
  <c r="I108" i="11"/>
  <c r="I268" i="12"/>
  <c r="I108" i="16" s="1"/>
  <c r="I268" i="17" s="1"/>
  <c r="G129" i="11"/>
  <c r="G289" i="12"/>
  <c r="G129" i="16" s="1"/>
  <c r="G289" i="17" s="1"/>
  <c r="L41" i="11"/>
  <c r="L201" i="12"/>
  <c r="L41" i="16" s="1"/>
  <c r="K19" i="11"/>
  <c r="K179" i="12"/>
  <c r="K19" i="16" s="1"/>
  <c r="K179" i="17" s="1"/>
  <c r="M119" i="10"/>
  <c r="M279" i="12" s="1"/>
  <c r="M138" i="10"/>
  <c r="M138" i="11" s="1"/>
  <c r="J130" i="10"/>
  <c r="J290" i="12" s="1"/>
  <c r="I23" i="10"/>
  <c r="I183" i="12" s="1"/>
  <c r="L127" i="11"/>
  <c r="L287" i="12"/>
  <c r="L127" i="16" s="1"/>
  <c r="H74" i="10"/>
  <c r="H74" i="11" s="1"/>
  <c r="G298" i="12"/>
  <c r="G138" i="11"/>
  <c r="K23" i="10"/>
  <c r="K23" i="11" s="1"/>
  <c r="J111" i="17"/>
  <c r="I45" i="11"/>
  <c r="I205" i="12"/>
  <c r="J314" i="12"/>
  <c r="J154" i="16" s="1"/>
  <c r="J154" i="17" s="1"/>
  <c r="L170" i="12"/>
  <c r="L10" i="16" s="1"/>
  <c r="L10" i="11"/>
  <c r="G85" i="11"/>
  <c r="G245" i="12"/>
  <c r="G85" i="16" s="1"/>
  <c r="J85" i="11"/>
  <c r="J245" i="12"/>
  <c r="J85" i="16" s="1"/>
  <c r="J85" i="17" s="1"/>
  <c r="R85" i="11"/>
  <c r="R245" i="12"/>
  <c r="R85" i="16" s="1"/>
  <c r="J157" i="11"/>
  <c r="J317" i="12"/>
  <c r="J157" i="16" s="1"/>
  <c r="J157" i="17" s="1"/>
  <c r="L88" i="15"/>
  <c r="G45" i="11"/>
  <c r="G205" i="12"/>
  <c r="K99" i="11"/>
  <c r="K259" i="12"/>
  <c r="K99" i="16" s="1"/>
  <c r="K259" i="17" s="1"/>
  <c r="J39" i="16"/>
  <c r="J199" i="13"/>
  <c r="J39" i="13"/>
  <c r="L302" i="12"/>
  <c r="L142" i="11"/>
  <c r="M68" i="11"/>
  <c r="M228" i="12"/>
  <c r="M68" i="13" s="1"/>
  <c r="L76" i="10"/>
  <c r="L76" i="11" s="1"/>
  <c r="J59" i="13"/>
  <c r="J219" i="13"/>
  <c r="J59" i="14" s="1"/>
  <c r="J59" i="16"/>
  <c r="X137" i="10"/>
  <c r="K105" i="10"/>
  <c r="K105" i="11" s="1"/>
  <c r="M7" i="11"/>
  <c r="M167" i="12"/>
  <c r="M7" i="16" s="1"/>
  <c r="M167" i="17" s="1"/>
  <c r="J19" i="11"/>
  <c r="V61" i="11"/>
  <c r="I114" i="10"/>
  <c r="I114" i="11" s="1"/>
  <c r="J23" i="16"/>
  <c r="J183" i="13"/>
  <c r="J23" i="14" s="1"/>
  <c r="J23" i="13"/>
  <c r="H138" i="11"/>
  <c r="H298" i="12"/>
  <c r="H23" i="10"/>
  <c r="H183" i="12" s="1"/>
  <c r="H302" i="12"/>
  <c r="G119" i="10"/>
  <c r="V297" i="12"/>
  <c r="V137" i="16" s="1"/>
  <c r="K69" i="11"/>
  <c r="K229" i="12"/>
  <c r="G52" i="11"/>
  <c r="G212" i="12"/>
  <c r="V75" i="11"/>
  <c r="H133" i="18"/>
  <c r="H300" i="18" s="1"/>
  <c r="L39" i="11"/>
  <c r="H93" i="10"/>
  <c r="H253" i="12" s="1"/>
  <c r="I123" i="10"/>
  <c r="I283" i="12" s="1"/>
  <c r="I123" i="16" s="1"/>
  <c r="G23" i="10"/>
  <c r="J10" i="10"/>
  <c r="J170" i="12" s="1"/>
  <c r="H157" i="10"/>
  <c r="H317" i="12" s="1"/>
  <c r="K130" i="11"/>
  <c r="K290" i="12"/>
  <c r="G133" i="11"/>
  <c r="L23" i="16"/>
  <c r="L183" i="13"/>
  <c r="L23" i="13"/>
  <c r="T219" i="12"/>
  <c r="T59" i="16" s="1"/>
  <c r="M23" i="10"/>
  <c r="M23" i="11" s="1"/>
  <c r="X219" i="12"/>
  <c r="X59" i="16" s="1"/>
  <c r="V75" i="16"/>
  <c r="V235" i="13"/>
  <c r="V75" i="13"/>
  <c r="M130" i="11"/>
  <c r="M290" i="12"/>
  <c r="G93" i="11"/>
  <c r="G253" i="12"/>
  <c r="M54" i="10"/>
  <c r="M214" i="12" s="1"/>
  <c r="M214" i="13" s="1"/>
  <c r="J111" i="13"/>
  <c r="J271" i="13"/>
  <c r="H123" i="11"/>
  <c r="H283" i="12"/>
  <c r="U219" i="12"/>
  <c r="U59" i="16" s="1"/>
  <c r="X59" i="11"/>
  <c r="K119" i="16"/>
  <c r="K279" i="13"/>
  <c r="K119" i="14" s="1"/>
  <c r="K119" i="13"/>
  <c r="G89" i="11"/>
  <c r="G249" i="12"/>
  <c r="J36" i="11"/>
  <c r="G115" i="11"/>
  <c r="K138" i="10"/>
  <c r="K138" i="11" s="1"/>
  <c r="G142" i="11"/>
  <c r="G302" i="12"/>
  <c r="H68" i="10"/>
  <c r="H228" i="12" s="1"/>
  <c r="H68" i="16" s="1"/>
  <c r="H228" i="17" s="1"/>
  <c r="L138" i="10"/>
  <c r="L298" i="12" s="1"/>
  <c r="H130" i="10"/>
  <c r="H43" i="11"/>
  <c r="H203" i="12"/>
  <c r="H10" i="10"/>
  <c r="H170" i="12" s="1"/>
  <c r="L93" i="10"/>
  <c r="L253" i="12" s="1"/>
  <c r="W219" i="12"/>
  <c r="W59" i="16" s="1"/>
  <c r="G68" i="10"/>
  <c r="L111" i="10"/>
  <c r="L271" i="12" s="1"/>
  <c r="L111" i="16" s="1"/>
  <c r="L271" i="17" s="1"/>
  <c r="M115" i="11"/>
  <c r="M115" i="14" s="1"/>
  <c r="H89" i="11"/>
  <c r="H249" i="12"/>
  <c r="P64" i="15"/>
  <c r="P64" i="18"/>
  <c r="P224" i="18" s="1"/>
  <c r="J93" i="10"/>
  <c r="J253" i="12" s="1"/>
  <c r="M45" i="10"/>
  <c r="M45" i="11" s="1"/>
  <c r="J142" i="10"/>
  <c r="J142" i="11" s="1"/>
  <c r="I119" i="10"/>
  <c r="I279" i="12" s="1"/>
  <c r="I138" i="10"/>
  <c r="I138" i="11" s="1"/>
  <c r="H50" i="10"/>
  <c r="H119" i="11"/>
  <c r="H279" i="12"/>
  <c r="H235" i="12"/>
  <c r="H75" i="16" s="1"/>
  <c r="N272" i="17"/>
  <c r="N112" i="17"/>
  <c r="H9" i="11"/>
  <c r="H169" i="12"/>
  <c r="H169" i="13" s="1"/>
  <c r="H9" i="14" s="1"/>
  <c r="S32" i="18"/>
  <c r="S192" i="18" s="1"/>
  <c r="S32" i="15"/>
  <c r="I148" i="18"/>
  <c r="I317" i="18" s="1"/>
  <c r="I148" i="15"/>
  <c r="I145" i="18"/>
  <c r="I314" i="18" s="1"/>
  <c r="I145" i="15"/>
  <c r="G295" i="17"/>
  <c r="G135" i="17"/>
  <c r="H167" i="17"/>
  <c r="G95" i="11"/>
  <c r="H81" i="10"/>
  <c r="H81" i="11" s="1"/>
  <c r="J19" i="16"/>
  <c r="J179" i="13"/>
  <c r="J19" i="13"/>
  <c r="L207" i="12"/>
  <c r="L47" i="16" s="1"/>
  <c r="J255" i="12"/>
  <c r="L69" i="10"/>
  <c r="L69" i="11" s="1"/>
  <c r="G26" i="10"/>
  <c r="G178" i="12"/>
  <c r="G18" i="16" s="1"/>
  <c r="G127" i="10"/>
  <c r="T256" i="13"/>
  <c r="T96" i="14" s="1"/>
  <c r="T96" i="15" s="1"/>
  <c r="T96" i="13"/>
  <c r="M83" i="10"/>
  <c r="M83" i="11" s="1"/>
  <c r="G108" i="10"/>
  <c r="J49" i="10"/>
  <c r="J49" i="11" s="1"/>
  <c r="G9" i="9"/>
  <c r="G76" i="11"/>
  <c r="G236" i="12"/>
  <c r="G76" i="16" s="1"/>
  <c r="I140" i="11"/>
  <c r="M149" i="10"/>
  <c r="M149" i="11" s="1"/>
  <c r="L255" i="12"/>
  <c r="L95" i="16" s="1"/>
  <c r="H139" i="11"/>
  <c r="I50" i="10"/>
  <c r="I50" i="11" s="1"/>
  <c r="M120" i="10"/>
  <c r="G44" i="11"/>
  <c r="G204" i="12"/>
  <c r="L49" i="11"/>
  <c r="G54" i="11"/>
  <c r="G214" i="12"/>
  <c r="G105" i="10"/>
  <c r="J299" i="12"/>
  <c r="J139" i="16" s="1"/>
  <c r="W192" i="13"/>
  <c r="W32" i="14" s="1"/>
  <c r="W32" i="13"/>
  <c r="W32" i="16"/>
  <c r="T61" i="11"/>
  <c r="J39" i="11"/>
  <c r="M178" i="12"/>
  <c r="M18" i="16" s="1"/>
  <c r="S219" i="12"/>
  <c r="S59" i="16" s="1"/>
  <c r="Y192" i="12"/>
  <c r="Y32" i="16" s="1"/>
  <c r="K81" i="11"/>
  <c r="X221" i="12"/>
  <c r="X61" i="16" s="1"/>
  <c r="G50" i="10"/>
  <c r="O32" i="11"/>
  <c r="J36" i="16"/>
  <c r="J196" i="13"/>
  <c r="J36" i="13"/>
  <c r="G41" i="10"/>
  <c r="R221" i="12"/>
  <c r="R61" i="16" s="1"/>
  <c r="G120" i="10"/>
  <c r="M154" i="10"/>
  <c r="M314" i="12" s="1"/>
  <c r="J259" i="12"/>
  <c r="J99" i="16" s="1"/>
  <c r="N272" i="13"/>
  <c r="N112" i="14" s="1"/>
  <c r="N112" i="13"/>
  <c r="J221" i="12"/>
  <c r="J61" i="16" s="1"/>
  <c r="J54" i="10"/>
  <c r="J54" i="11" s="1"/>
  <c r="G154" i="10"/>
  <c r="H147" i="10"/>
  <c r="H147" i="11" s="1"/>
  <c r="I140" i="16"/>
  <c r="I300" i="13"/>
  <c r="I140" i="13"/>
  <c r="H139" i="16"/>
  <c r="H299" i="13"/>
  <c r="H139" i="13"/>
  <c r="G295" i="13"/>
  <c r="G135" i="14" s="1"/>
  <c r="G135" i="13"/>
  <c r="N221" i="12"/>
  <c r="N61" i="16" s="1"/>
  <c r="K199" i="12"/>
  <c r="K39" i="16" s="1"/>
  <c r="L49" i="16"/>
  <c r="L209" i="13"/>
  <c r="L49" i="13"/>
  <c r="J192" i="17"/>
  <c r="J32" i="17"/>
  <c r="G63" i="11"/>
  <c r="G223" i="12"/>
  <c r="I301" i="12"/>
  <c r="I141" i="16" s="1"/>
  <c r="T61" i="16"/>
  <c r="T221" i="13"/>
  <c r="T61" i="13"/>
  <c r="J15" i="10"/>
  <c r="J15" i="11" s="1"/>
  <c r="K81" i="16"/>
  <c r="K241" i="13"/>
  <c r="K81" i="13"/>
  <c r="K221" i="12"/>
  <c r="K61" i="16" s="1"/>
  <c r="O32" i="16"/>
  <c r="O192" i="13"/>
  <c r="O32" i="13"/>
  <c r="V192" i="12"/>
  <c r="V32" i="16" s="1"/>
  <c r="Y75" i="18"/>
  <c r="Y236" i="18" s="1"/>
  <c r="I193" i="12"/>
  <c r="I33" i="16" s="1"/>
  <c r="J287" i="12"/>
  <c r="J127" i="16" s="1"/>
  <c r="H103" i="11"/>
  <c r="H263" i="12"/>
  <c r="L7" i="16"/>
  <c r="L7" i="13"/>
  <c r="L167" i="13"/>
  <c r="M157" i="10"/>
  <c r="M157" i="11" s="1"/>
  <c r="J281" i="17"/>
  <c r="J121" i="17"/>
  <c r="H49" i="10"/>
  <c r="H49" i="11" s="1"/>
  <c r="M133" i="16"/>
  <c r="M293" i="13"/>
  <c r="M133" i="13"/>
  <c r="K129" i="10"/>
  <c r="K129" i="11" s="1"/>
  <c r="L221" i="12"/>
  <c r="L61" i="16" s="1"/>
  <c r="M50" i="10"/>
  <c r="M50" i="11" s="1"/>
  <c r="D133" i="16"/>
  <c r="F133" i="20" s="1"/>
  <c r="P293" i="12"/>
  <c r="G149" i="10"/>
  <c r="H129" i="11"/>
  <c r="H289" i="12"/>
  <c r="T293" i="12"/>
  <c r="T133" i="16" s="1"/>
  <c r="G39" i="10"/>
  <c r="K293" i="12"/>
  <c r="K133" i="16" s="1"/>
  <c r="G47" i="11"/>
  <c r="G207" i="12"/>
  <c r="G47" i="16" s="1"/>
  <c r="J9" i="9"/>
  <c r="J9" i="10" s="1"/>
  <c r="L103" i="10"/>
  <c r="L263" i="12" s="1"/>
  <c r="J32" i="13"/>
  <c r="J192" i="13"/>
  <c r="J32" i="14" s="1"/>
  <c r="J32" i="15" s="1"/>
  <c r="L157" i="10"/>
  <c r="L317" i="12" s="1"/>
  <c r="M41" i="10"/>
  <c r="M41" i="11" s="1"/>
  <c r="M109" i="10"/>
  <c r="M269" i="12" s="1"/>
  <c r="M109" i="16" s="1"/>
  <c r="M109" i="17" s="1"/>
  <c r="M19" i="10"/>
  <c r="M19" i="11" s="1"/>
  <c r="Q196" i="12"/>
  <c r="Q36" i="16" s="1"/>
  <c r="K141" i="10"/>
  <c r="K141" i="11" s="1"/>
  <c r="G96" i="16"/>
  <c r="G96" i="13"/>
  <c r="G256" i="13"/>
  <c r="G96" i="14" s="1"/>
  <c r="G99" i="11"/>
  <c r="G259" i="12"/>
  <c r="G139" i="10"/>
  <c r="H229" i="12"/>
  <c r="H69" i="16" s="1"/>
  <c r="E66" i="6"/>
  <c r="E159" i="6" s="1"/>
  <c r="E170" i="22"/>
  <c r="K61" i="11"/>
  <c r="L268" i="12"/>
  <c r="L108" i="16" s="1"/>
  <c r="V32" i="11"/>
  <c r="K154" i="10"/>
  <c r="K314" i="12" s="1"/>
  <c r="Y96" i="16"/>
  <c r="Y256" i="13"/>
  <c r="Y96" i="13"/>
  <c r="M223" i="12"/>
  <c r="M63" i="16" s="1"/>
  <c r="L99" i="16"/>
  <c r="L259" i="13"/>
  <c r="L99" i="13"/>
  <c r="K265" i="12"/>
  <c r="K105" i="16" s="1"/>
  <c r="P221" i="12"/>
  <c r="P61" i="16" s="1"/>
  <c r="D61" i="16"/>
  <c r="F61" i="20" s="1"/>
  <c r="K50" i="10"/>
  <c r="K210" i="12" s="1"/>
  <c r="J108" i="10"/>
  <c r="J108" i="11" s="1"/>
  <c r="K32" i="11"/>
  <c r="I76" i="10"/>
  <c r="I76" i="11" s="1"/>
  <c r="L129" i="10"/>
  <c r="L129" i="11" s="1"/>
  <c r="K157" i="10"/>
  <c r="J281" i="13"/>
  <c r="J121" i="14" s="1"/>
  <c r="J121" i="13"/>
  <c r="L81" i="10"/>
  <c r="L241" i="12" s="1"/>
  <c r="I9" i="9"/>
  <c r="J76" i="10"/>
  <c r="J236" i="12" s="1"/>
  <c r="G100" i="16"/>
  <c r="G260" i="13"/>
  <c r="G100" i="13"/>
  <c r="G69" i="10"/>
  <c r="I36" i="11"/>
  <c r="K120" i="10"/>
  <c r="K120" i="11" s="1"/>
  <c r="L54" i="10"/>
  <c r="L214" i="12" s="1"/>
  <c r="G103" i="10"/>
  <c r="M192" i="12"/>
  <c r="M32" i="16" s="1"/>
  <c r="I63" i="10"/>
  <c r="I63" i="11" s="1"/>
  <c r="I15" i="10"/>
  <c r="I15" i="11" s="1"/>
  <c r="J69" i="10"/>
  <c r="J69" i="11" s="1"/>
  <c r="H287" i="12"/>
  <c r="H127" i="16" s="1"/>
  <c r="I109" i="10"/>
  <c r="I109" i="11" s="1"/>
  <c r="V61" i="16"/>
  <c r="V221" i="13"/>
  <c r="V61" i="14" s="1"/>
  <c r="V61" i="13"/>
  <c r="I103" i="10"/>
  <c r="I103" i="11" s="1"/>
  <c r="L154" i="10"/>
  <c r="L314" i="12" s="1"/>
  <c r="L314" i="13" s="1"/>
  <c r="J149" i="10"/>
  <c r="J149" i="11" s="1"/>
  <c r="L139" i="11"/>
  <c r="K26" i="10"/>
  <c r="K186" i="12" s="1"/>
  <c r="K186" i="13" s="1"/>
  <c r="H221" i="12"/>
  <c r="H61" i="16" s="1"/>
  <c r="L83" i="11"/>
  <c r="L243" i="12"/>
  <c r="L83" i="16" s="1"/>
  <c r="I19" i="10"/>
  <c r="I19" i="11" s="1"/>
  <c r="M9" i="9"/>
  <c r="H115" i="11"/>
  <c r="H275" i="12"/>
  <c r="H115" i="16" s="1"/>
  <c r="AI66" i="6"/>
  <c r="AI159" i="6" s="1"/>
  <c r="G159" i="6"/>
  <c r="F66" i="9"/>
  <c r="I154" i="10"/>
  <c r="I154" i="11" s="1"/>
  <c r="H99" i="11"/>
  <c r="I69" i="10"/>
  <c r="I229" i="12" s="1"/>
  <c r="G37" i="11"/>
  <c r="H108" i="10"/>
  <c r="H108" i="11" s="1"/>
  <c r="K32" i="16"/>
  <c r="K32" i="13"/>
  <c r="K192" i="13"/>
  <c r="H192" i="12"/>
  <c r="H32" i="16" s="1"/>
  <c r="L19" i="11"/>
  <c r="I199" i="12"/>
  <c r="I39" i="16" s="1"/>
  <c r="I149" i="10"/>
  <c r="I149" i="11" s="1"/>
  <c r="J81" i="10"/>
  <c r="J81" i="11" s="1"/>
  <c r="I36" i="16"/>
  <c r="I196" i="13"/>
  <c r="I36" i="13"/>
  <c r="K9" i="9"/>
  <c r="K9" i="10" s="1"/>
  <c r="X37" i="11"/>
  <c r="H146" i="10"/>
  <c r="H306" i="12" s="1"/>
  <c r="H306" i="13" s="1"/>
  <c r="M105" i="11"/>
  <c r="Y196" i="12"/>
  <c r="Y36" i="16" s="1"/>
  <c r="G109" i="10"/>
  <c r="H83" i="10"/>
  <c r="H243" i="12" s="1"/>
  <c r="K178" i="12"/>
  <c r="K18" i="16" s="1"/>
  <c r="K256" i="12"/>
  <c r="K96" i="16" s="1"/>
  <c r="K44" i="10"/>
  <c r="K204" i="12" s="1"/>
  <c r="K44" i="13" s="1"/>
  <c r="K54" i="10"/>
  <c r="K214" i="12" s="1"/>
  <c r="K54" i="13" s="1"/>
  <c r="K103" i="10"/>
  <c r="K103" i="11" s="1"/>
  <c r="M256" i="12"/>
  <c r="M96" i="16" s="1"/>
  <c r="G15" i="10"/>
  <c r="L139" i="16"/>
  <c r="L299" i="13"/>
  <c r="L139" i="13"/>
  <c r="G81" i="10"/>
  <c r="Q221" i="12"/>
  <c r="Q61" i="16" s="1"/>
  <c r="M199" i="12"/>
  <c r="M39" i="16" s="1"/>
  <c r="Z293" i="12"/>
  <c r="Z133" i="16" s="1"/>
  <c r="L293" i="17"/>
  <c r="L133" i="17"/>
  <c r="F9" i="9"/>
  <c r="H154" i="11"/>
  <c r="H314" i="12"/>
  <c r="H7" i="13"/>
  <c r="I105" i="10"/>
  <c r="I265" i="12" s="1"/>
  <c r="L269" i="12"/>
  <c r="L109" i="16" s="1"/>
  <c r="Z221" i="12"/>
  <c r="Z61" i="16" s="1"/>
  <c r="G141" i="10"/>
  <c r="M175" i="12"/>
  <c r="M15" i="16" s="1"/>
  <c r="H99" i="16"/>
  <c r="H259" i="13"/>
  <c r="H99" i="13"/>
  <c r="I157" i="10"/>
  <c r="I157" i="11" s="1"/>
  <c r="N293" i="12"/>
  <c r="N133" i="16" s="1"/>
  <c r="H54" i="10"/>
  <c r="H54" i="11" s="1"/>
  <c r="H236" i="12"/>
  <c r="H76" i="16" s="1"/>
  <c r="M301" i="12"/>
  <c r="M141" i="16" s="1"/>
  <c r="T192" i="12"/>
  <c r="T32" i="16" s="1"/>
  <c r="M69" i="10"/>
  <c r="M69" i="11" s="1"/>
  <c r="H109" i="10"/>
  <c r="H109" i="11" s="1"/>
  <c r="L19" i="16"/>
  <c r="L179" i="13"/>
  <c r="L19" i="13"/>
  <c r="H149" i="10"/>
  <c r="H149" i="11" s="1"/>
  <c r="G157" i="10"/>
  <c r="K127" i="10"/>
  <c r="K287" i="12" s="1"/>
  <c r="T256" i="17"/>
  <c r="T96" i="17"/>
  <c r="J43" i="10"/>
  <c r="J203" i="12" s="1"/>
  <c r="J203" i="13" s="1"/>
  <c r="M123" i="10"/>
  <c r="M283" i="12" s="1"/>
  <c r="M123" i="16" s="1"/>
  <c r="M123" i="17" s="1"/>
  <c r="X37" i="16"/>
  <c r="X197" i="13"/>
  <c r="X37" i="13"/>
  <c r="I99" i="10"/>
  <c r="I259" i="12" s="1"/>
  <c r="M105" i="16"/>
  <c r="M265" i="13"/>
  <c r="M105" i="13"/>
  <c r="M76" i="11"/>
  <c r="M236" i="12"/>
  <c r="M76" i="16" s="1"/>
  <c r="G146" i="11"/>
  <c r="G306" i="12"/>
  <c r="R196" i="12"/>
  <c r="R36" i="16" s="1"/>
  <c r="Q61" i="11"/>
  <c r="L50" i="10"/>
  <c r="L210" i="12" s="1"/>
  <c r="L293" i="13"/>
  <c r="L133" i="14" s="1"/>
  <c r="L133" i="13"/>
  <c r="M103" i="10"/>
  <c r="M103" i="11" s="1"/>
  <c r="K149" i="10"/>
  <c r="K149" i="11" s="1"/>
  <c r="H141" i="10"/>
  <c r="H141" i="11" s="1"/>
  <c r="S293" i="12"/>
  <c r="S133" i="16" s="1"/>
  <c r="M81" i="10"/>
  <c r="M81" i="11" s="1"/>
  <c r="H201" i="12"/>
  <c r="G83" i="10"/>
  <c r="R192" i="12"/>
  <c r="R32" i="16" s="1"/>
  <c r="Z218" i="17"/>
  <c r="Z58" i="17"/>
  <c r="I221" i="17"/>
  <c r="I61" i="17"/>
  <c r="H240" i="17"/>
  <c r="H80" i="17"/>
  <c r="M272" i="17"/>
  <c r="M112" i="17"/>
  <c r="Q6" i="17"/>
  <c r="Q166" i="17"/>
  <c r="H219" i="17"/>
  <c r="H59" i="17"/>
  <c r="I198" i="17"/>
  <c r="I38" i="17"/>
  <c r="I6" i="18"/>
  <c r="I166" i="18" s="1"/>
  <c r="I6" i="15"/>
  <c r="G274" i="17"/>
  <c r="G114" i="17"/>
  <c r="W216" i="17"/>
  <c r="W56" i="17"/>
  <c r="T235" i="17"/>
  <c r="T75" i="17"/>
  <c r="R171" i="17"/>
  <c r="R11" i="17"/>
  <c r="K277" i="17"/>
  <c r="K117" i="17"/>
  <c r="V256" i="17"/>
  <c r="V96" i="17"/>
  <c r="Q32" i="15"/>
  <c r="Q32" i="18"/>
  <c r="Q192" i="18" s="1"/>
  <c r="X187" i="17"/>
  <c r="X27" i="17"/>
  <c r="K236" i="17"/>
  <c r="K76" i="17"/>
  <c r="U216" i="17"/>
  <c r="U56" i="17"/>
  <c r="L287" i="17"/>
  <c r="L127" i="17"/>
  <c r="I231" i="17"/>
  <c r="I71" i="17"/>
  <c r="I243" i="17"/>
  <c r="I83" i="17"/>
  <c r="X166" i="17"/>
  <c r="X6" i="17"/>
  <c r="X11" i="17"/>
  <c r="X171" i="17"/>
  <c r="N219" i="17"/>
  <c r="N59" i="17"/>
  <c r="O71" i="17"/>
  <c r="O231" i="17"/>
  <c r="K113" i="17"/>
  <c r="K273" i="17"/>
  <c r="K189" i="17"/>
  <c r="K29" i="17"/>
  <c r="Y56" i="17"/>
  <c r="Y216" i="17"/>
  <c r="G231" i="17"/>
  <c r="G71" i="17"/>
  <c r="U273" i="17"/>
  <c r="U113" i="17"/>
  <c r="I165" i="17"/>
  <c r="I5" i="17"/>
  <c r="K250" i="17"/>
  <c r="K90" i="17"/>
  <c r="U232" i="17"/>
  <c r="U72" i="17"/>
  <c r="K310" i="17"/>
  <c r="K150" i="17"/>
  <c r="P231" i="17"/>
  <c r="P71" i="17"/>
  <c r="U32" i="18"/>
  <c r="U192" i="18" s="1"/>
  <c r="U32" i="15"/>
  <c r="I240" i="17"/>
  <c r="I80" i="17"/>
  <c r="W264" i="17"/>
  <c r="W104" i="17"/>
  <c r="U6" i="18"/>
  <c r="U166" i="18" s="1"/>
  <c r="U6" i="15"/>
  <c r="Y166" i="17"/>
  <c r="Y6" i="17"/>
  <c r="R235" i="17"/>
  <c r="R75" i="17"/>
  <c r="J301" i="17"/>
  <c r="J141" i="17"/>
  <c r="K283" i="17"/>
  <c r="K123" i="17"/>
  <c r="I171" i="17"/>
  <c r="I11" i="17"/>
  <c r="M268" i="17"/>
  <c r="M108" i="17"/>
  <c r="K83" i="17"/>
  <c r="K243" i="17"/>
  <c r="O273" i="17"/>
  <c r="O113" i="17"/>
  <c r="K240" i="17"/>
  <c r="K80" i="17"/>
  <c r="K225" i="17"/>
  <c r="K65" i="17"/>
  <c r="Y221" i="17"/>
  <c r="Y61" i="17"/>
  <c r="U171" i="17"/>
  <c r="U11" i="17"/>
  <c r="Z219" i="17"/>
  <c r="Z59" i="17"/>
  <c r="I277" i="17"/>
  <c r="I117" i="17"/>
  <c r="J224" i="17"/>
  <c r="J64" i="17"/>
  <c r="Q231" i="17"/>
  <c r="Q71" i="17"/>
  <c r="G284" i="17"/>
  <c r="G124" i="17"/>
  <c r="Z192" i="17"/>
  <c r="Z32" i="17"/>
  <c r="G303" i="17"/>
  <c r="G143" i="17"/>
  <c r="R256" i="17"/>
  <c r="R96" i="17"/>
  <c r="V88" i="15"/>
  <c r="M310" i="17"/>
  <c r="M150" i="17"/>
  <c r="W232" i="17"/>
  <c r="W72" i="17"/>
  <c r="G277" i="17"/>
  <c r="G117" i="17"/>
  <c r="K110" i="17"/>
  <c r="Z184" i="13"/>
  <c r="Z24" i="14" s="1"/>
  <c r="Z24" i="13"/>
  <c r="W211" i="13"/>
  <c r="W51" i="14" s="1"/>
  <c r="W51" i="15" s="1"/>
  <c r="W51" i="13"/>
  <c r="N235" i="13"/>
  <c r="N75" i="14" s="1"/>
  <c r="N75" i="13"/>
  <c r="H187" i="13"/>
  <c r="H27" i="14" s="1"/>
  <c r="H27" i="15" s="1"/>
  <c r="H27" i="13"/>
  <c r="K278" i="12"/>
  <c r="K118" i="16" s="1"/>
  <c r="M171" i="13"/>
  <c r="M11" i="14" s="1"/>
  <c r="M11" i="13"/>
  <c r="S211" i="13"/>
  <c r="S51" i="14" s="1"/>
  <c r="S51" i="15" s="1"/>
  <c r="S51" i="13"/>
  <c r="U211" i="13"/>
  <c r="U51" i="14" s="1"/>
  <c r="U51" i="15" s="1"/>
  <c r="U51" i="13"/>
  <c r="I310" i="13"/>
  <c r="I150" i="14" s="1"/>
  <c r="I150" i="15" s="1"/>
  <c r="I150" i="13"/>
  <c r="P171" i="13"/>
  <c r="P11" i="14" s="1"/>
  <c r="P11" i="15" s="1"/>
  <c r="P11" i="13"/>
  <c r="P198" i="13"/>
  <c r="P38" i="14" s="1"/>
  <c r="P38" i="15" s="1"/>
  <c r="P38" i="13"/>
  <c r="X235" i="13"/>
  <c r="X75" i="14" s="1"/>
  <c r="X75" i="15" s="1"/>
  <c r="X75" i="13"/>
  <c r="W198" i="13"/>
  <c r="W38" i="14" s="1"/>
  <c r="W38" i="13"/>
  <c r="I108" i="13"/>
  <c r="L301" i="13"/>
  <c r="L141" i="13"/>
  <c r="N295" i="13"/>
  <c r="N135" i="14" s="1"/>
  <c r="N135" i="13"/>
  <c r="I13" i="13"/>
  <c r="I173" i="13"/>
  <c r="I13" i="14" s="1"/>
  <c r="I13" i="15" s="1"/>
  <c r="V231" i="13"/>
  <c r="V71" i="14" s="1"/>
  <c r="V71" i="13"/>
  <c r="Z38" i="13"/>
  <c r="Z198" i="13"/>
  <c r="Z38" i="14" s="1"/>
  <c r="J295" i="13"/>
  <c r="J135" i="14" s="1"/>
  <c r="J135" i="13"/>
  <c r="G278" i="12"/>
  <c r="G118" i="16" s="1"/>
  <c r="I284" i="13"/>
  <c r="I124" i="14" s="1"/>
  <c r="I124" i="15" s="1"/>
  <c r="I124" i="13"/>
  <c r="R224" i="13"/>
  <c r="R64" i="14" s="1"/>
  <c r="R64" i="13"/>
  <c r="T231" i="13"/>
  <c r="T71" i="14" s="1"/>
  <c r="T71" i="13"/>
  <c r="K101" i="18"/>
  <c r="K266" i="18" s="1"/>
  <c r="K101" i="15"/>
  <c r="Q198" i="13"/>
  <c r="Q38" i="14" s="1"/>
  <c r="Q38" i="13"/>
  <c r="W273" i="13"/>
  <c r="W113" i="14" s="1"/>
  <c r="W113" i="15" s="1"/>
  <c r="W113" i="13"/>
  <c r="Y232" i="13"/>
  <c r="Y72" i="14" s="1"/>
  <c r="Y72" i="15" s="1"/>
  <c r="Y72" i="13"/>
  <c r="G272" i="13"/>
  <c r="G112" i="14" s="1"/>
  <c r="G112" i="13"/>
  <c r="K166" i="13"/>
  <c r="K6" i="14" s="1"/>
  <c r="K6" i="13"/>
  <c r="M284" i="13"/>
  <c r="M124" i="14" s="1"/>
  <c r="M124" i="15" s="1"/>
  <c r="M124" i="13"/>
  <c r="M273" i="13"/>
  <c r="M113" i="14" s="1"/>
  <c r="M113" i="15" s="1"/>
  <c r="M113" i="13"/>
  <c r="M274" i="13"/>
  <c r="M114" i="14" s="1"/>
  <c r="M114" i="13"/>
  <c r="U231" i="13"/>
  <c r="U71" i="14" s="1"/>
  <c r="U71" i="15" s="1"/>
  <c r="U71" i="13"/>
  <c r="N192" i="13"/>
  <c r="N32" i="14" s="1"/>
  <c r="N32" i="13"/>
  <c r="H118" i="11"/>
  <c r="Q232" i="13"/>
  <c r="Q72" i="14" s="1"/>
  <c r="Q72" i="13"/>
  <c r="V166" i="13"/>
  <c r="V6" i="14" s="1"/>
  <c r="V6" i="13"/>
  <c r="T295" i="13"/>
  <c r="T135" i="14" s="1"/>
  <c r="T135" i="13"/>
  <c r="S216" i="13"/>
  <c r="S56" i="14" s="1"/>
  <c r="S56" i="15" s="1"/>
  <c r="S56" i="13"/>
  <c r="K269" i="13"/>
  <c r="K109" i="14" s="1"/>
  <c r="K109" i="15" s="1"/>
  <c r="AF7" i="1"/>
  <c r="Z184" i="17"/>
  <c r="Z24" i="17"/>
  <c r="G274" i="13"/>
  <c r="G114" i="14" s="1"/>
  <c r="G114" i="15" s="1"/>
  <c r="G114" i="13"/>
  <c r="G282" i="13"/>
  <c r="G122" i="14" s="1"/>
  <c r="N187" i="17"/>
  <c r="N27" i="17"/>
  <c r="K189" i="13"/>
  <c r="K29" i="14" s="1"/>
  <c r="K29" i="13"/>
  <c r="L240" i="17"/>
  <c r="L80" i="17"/>
  <c r="J88" i="17"/>
  <c r="J248" i="17"/>
  <c r="W216" i="13"/>
  <c r="W56" i="14" s="1"/>
  <c r="W56" i="13"/>
  <c r="J301" i="13"/>
  <c r="J141" i="14" s="1"/>
  <c r="J141" i="13"/>
  <c r="M171" i="17"/>
  <c r="M11" i="17"/>
  <c r="O72" i="17"/>
  <c r="O232" i="17"/>
  <c r="G284" i="13"/>
  <c r="G124" i="13"/>
  <c r="L235" i="17"/>
  <c r="L75" i="17"/>
  <c r="H240" i="13"/>
  <c r="H80" i="14" s="1"/>
  <c r="H80" i="13"/>
  <c r="G231" i="13"/>
  <c r="G71" i="14" s="1"/>
  <c r="G71" i="15" s="1"/>
  <c r="G71" i="13"/>
  <c r="Z96" i="15"/>
  <c r="U144" i="17"/>
  <c r="U304" i="17"/>
  <c r="Z192" i="13"/>
  <c r="Z32" i="14" s="1"/>
  <c r="Z32" i="15" s="1"/>
  <c r="Z32" i="13"/>
  <c r="Z36" i="18"/>
  <c r="Z196" i="18" s="1"/>
  <c r="Z36" i="15"/>
  <c r="W231" i="17"/>
  <c r="W71" i="17"/>
  <c r="U273" i="13"/>
  <c r="U113" i="14" s="1"/>
  <c r="U113" i="15" s="1"/>
  <c r="U113" i="13"/>
  <c r="R171" i="13"/>
  <c r="R11" i="14" s="1"/>
  <c r="R11" i="13"/>
  <c r="K277" i="13"/>
  <c r="K117" i="14" s="1"/>
  <c r="K117" i="15" s="1"/>
  <c r="K117" i="13"/>
  <c r="W221" i="17"/>
  <c r="W61" i="17"/>
  <c r="K250" i="13"/>
  <c r="K90" i="14" s="1"/>
  <c r="K90" i="13"/>
  <c r="I282" i="13"/>
  <c r="I122" i="14" s="1"/>
  <c r="I122" i="13"/>
  <c r="G303" i="13"/>
  <c r="G143" i="14" s="1"/>
  <c r="G143" i="15" s="1"/>
  <c r="G143" i="13"/>
  <c r="G167" i="17"/>
  <c r="G7" i="17"/>
  <c r="N256" i="17"/>
  <c r="N96" i="18" s="1"/>
  <c r="N260" i="18" s="1"/>
  <c r="N96" i="17"/>
  <c r="K283" i="13"/>
  <c r="K123" i="14" s="1"/>
  <c r="K123" i="15" s="1"/>
  <c r="K123" i="13"/>
  <c r="Z224" i="17"/>
  <c r="Z64" i="17"/>
  <c r="L219" i="17"/>
  <c r="L59" i="17"/>
  <c r="W198" i="17"/>
  <c r="W38" i="17"/>
  <c r="H267" i="17"/>
  <c r="H107" i="17"/>
  <c r="X295" i="13"/>
  <c r="X135" i="14" s="1"/>
  <c r="X135" i="13"/>
  <c r="G173" i="17"/>
  <c r="G13" i="17"/>
  <c r="N295" i="17"/>
  <c r="N135" i="17"/>
  <c r="Q166" i="13"/>
  <c r="Q6" i="14" s="1"/>
  <c r="Q6" i="13"/>
  <c r="U232" i="13"/>
  <c r="U72" i="14" s="1"/>
  <c r="U72" i="13"/>
  <c r="P295" i="13"/>
  <c r="P135" i="13"/>
  <c r="J11" i="15"/>
  <c r="O221" i="17"/>
  <c r="O61" i="17"/>
  <c r="K243" i="13"/>
  <c r="K83" i="14" s="1"/>
  <c r="K83" i="13"/>
  <c r="I243" i="13"/>
  <c r="I83" i="13"/>
  <c r="V231" i="17"/>
  <c r="V71" i="17"/>
  <c r="S272" i="13"/>
  <c r="S112" i="14" s="1"/>
  <c r="S112" i="13"/>
  <c r="O273" i="13"/>
  <c r="O113" i="14" s="1"/>
  <c r="O113" i="15" s="1"/>
  <c r="O113" i="13"/>
  <c r="J295" i="17"/>
  <c r="J135" i="17"/>
  <c r="W24" i="15"/>
  <c r="W24" i="18"/>
  <c r="W184" i="18" s="1"/>
  <c r="M278" i="12"/>
  <c r="M118" i="16" s="1"/>
  <c r="Z11" i="17"/>
  <c r="Z171" i="17"/>
  <c r="K158" i="17"/>
  <c r="K318" i="17"/>
  <c r="M283" i="13"/>
  <c r="X171" i="13"/>
  <c r="X11" i="14" s="1"/>
  <c r="X11" i="15" s="1"/>
  <c r="X11" i="13"/>
  <c r="K272" i="13"/>
  <c r="K112" i="14" s="1"/>
  <c r="K112" i="13"/>
  <c r="T231" i="17"/>
  <c r="T71" i="17"/>
  <c r="H219" i="13"/>
  <c r="H59" i="14" s="1"/>
  <c r="H59" i="15" s="1"/>
  <c r="H59" i="13"/>
  <c r="H255" i="12"/>
  <c r="H95" i="16" s="1"/>
  <c r="Q198" i="17"/>
  <c r="Q38" i="17"/>
  <c r="R88" i="17"/>
  <c r="R248" i="17"/>
  <c r="G272" i="17"/>
  <c r="G112" i="17"/>
  <c r="Y221" i="13"/>
  <c r="Y61" i="14" s="1"/>
  <c r="Y61" i="15" s="1"/>
  <c r="Y61" i="13"/>
  <c r="K71" i="17"/>
  <c r="K231" i="17"/>
  <c r="M310" i="13"/>
  <c r="M150" i="14" s="1"/>
  <c r="M150" i="15" s="1"/>
  <c r="M150" i="13"/>
  <c r="M216" i="17"/>
  <c r="M56" i="17"/>
  <c r="X36" i="15"/>
  <c r="M72" i="17"/>
  <c r="M232" i="17"/>
  <c r="J256" i="13"/>
  <c r="J96" i="14" s="1"/>
  <c r="J96" i="13"/>
  <c r="I189" i="17"/>
  <c r="I29" i="17"/>
  <c r="W264" i="13"/>
  <c r="W104" i="14" s="1"/>
  <c r="W104" i="15" s="1"/>
  <c r="W104" i="13"/>
  <c r="W232" i="13"/>
  <c r="W72" i="14" s="1"/>
  <c r="W72" i="15" s="1"/>
  <c r="W72" i="13"/>
  <c r="K273" i="13"/>
  <c r="K113" i="14" s="1"/>
  <c r="K113" i="15" s="1"/>
  <c r="K113" i="13"/>
  <c r="J198" i="17"/>
  <c r="J38" i="17"/>
  <c r="Z75" i="15"/>
  <c r="Z75" i="18"/>
  <c r="Z236" i="18" s="1"/>
  <c r="M71" i="17"/>
  <c r="M231" i="17"/>
  <c r="K274" i="17"/>
  <c r="K114" i="17"/>
  <c r="R295" i="13"/>
  <c r="R135" i="14" s="1"/>
  <c r="R135" i="13"/>
  <c r="V166" i="17"/>
  <c r="V6" i="17"/>
  <c r="T295" i="17"/>
  <c r="T135" i="17"/>
  <c r="N171" i="17"/>
  <c r="N11" i="17"/>
  <c r="Z219" i="13"/>
  <c r="Z59" i="14" s="1"/>
  <c r="Z59" i="13"/>
  <c r="I72" i="17"/>
  <c r="I232" i="17"/>
  <c r="M282" i="13"/>
  <c r="M122" i="14" s="1"/>
  <c r="M122" i="13"/>
  <c r="G24" i="18"/>
  <c r="G184" i="18" s="1"/>
  <c r="Z72" i="18"/>
  <c r="Z233" i="18" s="1"/>
  <c r="Z72" i="15"/>
  <c r="L307" i="17"/>
  <c r="L147" i="17"/>
  <c r="N187" i="13"/>
  <c r="N27" i="14" s="1"/>
  <c r="N27" i="13"/>
  <c r="S71" i="17"/>
  <c r="S231" i="17"/>
  <c r="L240" i="13"/>
  <c r="L80" i="14" s="1"/>
  <c r="L80" i="15" s="1"/>
  <c r="L80" i="13"/>
  <c r="J248" i="13"/>
  <c r="J88" i="14" s="1"/>
  <c r="J88" i="13"/>
  <c r="G158" i="17"/>
  <c r="G318" i="17"/>
  <c r="O232" i="13"/>
  <c r="O72" i="14" s="1"/>
  <c r="O72" i="13"/>
  <c r="L235" i="13"/>
  <c r="L75" i="14" s="1"/>
  <c r="L75" i="13"/>
  <c r="U304" i="13"/>
  <c r="U144" i="14" s="1"/>
  <c r="U144" i="13"/>
  <c r="T198" i="13"/>
  <c r="T38" i="14" s="1"/>
  <c r="T38" i="13"/>
  <c r="W231" i="13"/>
  <c r="W71" i="14" s="1"/>
  <c r="W71" i="15" s="1"/>
  <c r="W71" i="13"/>
  <c r="V143" i="18"/>
  <c r="V312" i="18" s="1"/>
  <c r="V143" i="15"/>
  <c r="Z166" i="13"/>
  <c r="Z6" i="14" s="1"/>
  <c r="Z6" i="13"/>
  <c r="X72" i="18"/>
  <c r="X233" i="18" s="1"/>
  <c r="X72" i="15"/>
  <c r="S221" i="17"/>
  <c r="S61" i="17"/>
  <c r="X231" i="13"/>
  <c r="X71" i="14" s="1"/>
  <c r="X71" i="13"/>
  <c r="J48" i="17"/>
  <c r="J208" i="17"/>
  <c r="W221" i="13"/>
  <c r="W61" i="14" s="1"/>
  <c r="W61" i="15" s="1"/>
  <c r="W61" i="13"/>
  <c r="I122" i="16"/>
  <c r="G167" i="13"/>
  <c r="G7" i="13"/>
  <c r="U198" i="13"/>
  <c r="U38" i="14" s="1"/>
  <c r="U38" i="13"/>
  <c r="Z224" i="13"/>
  <c r="Z64" i="14" s="1"/>
  <c r="Z64" i="15" s="1"/>
  <c r="Z64" i="13"/>
  <c r="L219" i="13"/>
  <c r="L59" i="14" s="1"/>
  <c r="L59" i="13"/>
  <c r="O216" i="17"/>
  <c r="O56" i="17"/>
  <c r="O211" i="17"/>
  <c r="O51" i="17"/>
  <c r="H267" i="13"/>
  <c r="H107" i="14" s="1"/>
  <c r="H107" i="15" s="1"/>
  <c r="H107" i="13"/>
  <c r="X135" i="16"/>
  <c r="G173" i="13"/>
  <c r="G13" i="14" s="1"/>
  <c r="G13" i="15" s="1"/>
  <c r="G13" i="13"/>
  <c r="N198" i="17"/>
  <c r="N38" i="17"/>
  <c r="Y273" i="17"/>
  <c r="Y113" i="17"/>
  <c r="B58" i="6"/>
  <c r="D57" i="6"/>
  <c r="B57" i="20"/>
  <c r="B57" i="10"/>
  <c r="B57" i="15"/>
  <c r="B57" i="16"/>
  <c r="B217" i="17"/>
  <c r="B57" i="17"/>
  <c r="B217" i="12"/>
  <c r="B57" i="13"/>
  <c r="B57" i="12"/>
  <c r="B57" i="14"/>
  <c r="B217" i="18"/>
  <c r="B217" i="13"/>
  <c r="B57" i="9"/>
  <c r="B57" i="18"/>
  <c r="B57" i="11"/>
  <c r="P135" i="16"/>
  <c r="X32" i="17"/>
  <c r="X192" i="17"/>
  <c r="O221" i="13"/>
  <c r="O61" i="14" s="1"/>
  <c r="O61" i="15" s="1"/>
  <c r="O61" i="13"/>
  <c r="T187" i="17"/>
  <c r="T27" i="17"/>
  <c r="M230" i="13"/>
  <c r="M70" i="14" s="1"/>
  <c r="L267" i="17"/>
  <c r="L107" i="17"/>
  <c r="S112" i="16"/>
  <c r="V219" i="17"/>
  <c r="V59" i="17"/>
  <c r="M118" i="11"/>
  <c r="Z171" i="13"/>
  <c r="Z11" i="14" s="1"/>
  <c r="Z11" i="15" s="1"/>
  <c r="Z11" i="13"/>
  <c r="K318" i="13"/>
  <c r="K158" i="14" s="1"/>
  <c r="K158" i="15" s="1"/>
  <c r="K158" i="13"/>
  <c r="V187" i="17"/>
  <c r="V27" i="17"/>
  <c r="K112" i="16"/>
  <c r="G232" i="17"/>
  <c r="G72" i="17"/>
  <c r="W171" i="17"/>
  <c r="W11" i="17"/>
  <c r="X58" i="15"/>
  <c r="T11" i="17"/>
  <c r="T171" i="17"/>
  <c r="P235" i="17"/>
  <c r="P75" i="17"/>
  <c r="S184" i="17"/>
  <c r="S24" i="17"/>
  <c r="S38" i="15"/>
  <c r="R88" i="13"/>
  <c r="R248" i="13"/>
  <c r="R88" i="14" s="1"/>
  <c r="K231" i="13"/>
  <c r="K71" i="14" s="1"/>
  <c r="K71" i="13"/>
  <c r="R231" i="13"/>
  <c r="R71" i="14" s="1"/>
  <c r="R71" i="13"/>
  <c r="M216" i="13"/>
  <c r="M56" i="14" s="1"/>
  <c r="M56" i="15" s="1"/>
  <c r="M56" i="13"/>
  <c r="G150" i="13"/>
  <c r="M232" i="13"/>
  <c r="M72" i="14" s="1"/>
  <c r="M72" i="15" s="1"/>
  <c r="M72" i="13"/>
  <c r="L198" i="17"/>
  <c r="L38" i="17"/>
  <c r="J96" i="16"/>
  <c r="H111" i="17"/>
  <c r="H271" i="17"/>
  <c r="L187" i="17"/>
  <c r="L27" i="17"/>
  <c r="I189" i="13"/>
  <c r="I29" i="14" s="1"/>
  <c r="I29" i="13"/>
  <c r="G171" i="17"/>
  <c r="G11" i="17"/>
  <c r="J198" i="13"/>
  <c r="J38" i="14" s="1"/>
  <c r="J38" i="13"/>
  <c r="M231" i="13"/>
  <c r="M71" i="14" s="1"/>
  <c r="M71" i="15" s="1"/>
  <c r="M71" i="13"/>
  <c r="K274" i="13"/>
  <c r="K114" i="14" s="1"/>
  <c r="K114" i="13"/>
  <c r="R135" i="16"/>
  <c r="L171" i="17"/>
  <c r="L11" i="17"/>
  <c r="N171" i="13"/>
  <c r="N11" i="14" s="1"/>
  <c r="N11" i="15" s="1"/>
  <c r="N11" i="13"/>
  <c r="I232" i="13"/>
  <c r="I72" i="14" s="1"/>
  <c r="I72" i="15" s="1"/>
  <c r="I72" i="13"/>
  <c r="M122" i="16"/>
  <c r="L307" i="13"/>
  <c r="L147" i="14" s="1"/>
  <c r="L147" i="13"/>
  <c r="L295" i="13"/>
  <c r="L135" i="14" s="1"/>
  <c r="L135" i="13"/>
  <c r="S231" i="13"/>
  <c r="S71" i="14" s="1"/>
  <c r="S71" i="15" s="1"/>
  <c r="S71" i="13"/>
  <c r="K198" i="13"/>
  <c r="K38" i="14" s="1"/>
  <c r="K38" i="13"/>
  <c r="G318" i="13"/>
  <c r="G158" i="14" s="1"/>
  <c r="G158" i="15" s="1"/>
  <c r="G158" i="13"/>
  <c r="K268" i="13"/>
  <c r="K108" i="14" s="1"/>
  <c r="K108" i="13"/>
  <c r="P303" i="17"/>
  <c r="P143" i="18" s="1"/>
  <c r="P312" i="18" s="1"/>
  <c r="P143" i="17"/>
  <c r="T38" i="16"/>
  <c r="X256" i="13"/>
  <c r="X96" i="14" s="1"/>
  <c r="X96" i="13"/>
  <c r="W272" i="13"/>
  <c r="W112" i="14" s="1"/>
  <c r="W112" i="13"/>
  <c r="Z6" i="16"/>
  <c r="S221" i="13"/>
  <c r="S61" i="14" s="1"/>
  <c r="S61" i="15" s="1"/>
  <c r="S61" i="13"/>
  <c r="L256" i="13"/>
  <c r="L96" i="14" s="1"/>
  <c r="L96" i="13"/>
  <c r="X71" i="16"/>
  <c r="U112" i="18"/>
  <c r="U279" i="18" s="1"/>
  <c r="U112" i="15"/>
  <c r="J208" i="13"/>
  <c r="J48" i="14" s="1"/>
  <c r="J48" i="15" s="1"/>
  <c r="J48" i="13"/>
  <c r="U38" i="16"/>
  <c r="O216" i="13"/>
  <c r="O56" i="14" s="1"/>
  <c r="O56" i="15" s="1"/>
  <c r="O56" i="13"/>
  <c r="O211" i="13"/>
  <c r="O51" i="14" s="1"/>
  <c r="O51" i="15" s="1"/>
  <c r="O51" i="13"/>
  <c r="S171" i="13"/>
  <c r="S11" i="14" s="1"/>
  <c r="S11" i="13"/>
  <c r="N198" i="13"/>
  <c r="N38" i="14" s="1"/>
  <c r="N38" i="15" s="1"/>
  <c r="N38" i="13"/>
  <c r="Y273" i="13"/>
  <c r="Y113" i="14" s="1"/>
  <c r="Y113" i="15" s="1"/>
  <c r="Y113" i="13"/>
  <c r="E14" i="1"/>
  <c r="AO14" i="1" s="1"/>
  <c r="E9" i="1"/>
  <c r="O9" i="1" s="1"/>
  <c r="X192" i="13"/>
  <c r="X32" i="14" s="1"/>
  <c r="X32" i="15" s="1"/>
  <c r="X32" i="13"/>
  <c r="T187" i="13"/>
  <c r="T27" i="14" s="1"/>
  <c r="T27" i="13"/>
  <c r="N96" i="15"/>
  <c r="L267" i="13"/>
  <c r="L107" i="14" s="1"/>
  <c r="L107" i="13"/>
  <c r="P143" i="15"/>
  <c r="V219" i="13"/>
  <c r="V59" i="14" s="1"/>
  <c r="V59" i="13"/>
  <c r="X303" i="17"/>
  <c r="X143" i="18" s="1"/>
  <c r="X312" i="18" s="1"/>
  <c r="X143" i="17"/>
  <c r="V187" i="13"/>
  <c r="V27" i="14" s="1"/>
  <c r="V27" i="15" s="1"/>
  <c r="V27" i="13"/>
  <c r="O171" i="13"/>
  <c r="O11" i="14" s="1"/>
  <c r="O11" i="13"/>
  <c r="G232" i="13"/>
  <c r="G72" i="14" s="1"/>
  <c r="G72" i="15" s="1"/>
  <c r="G72" i="13"/>
  <c r="T171" i="13"/>
  <c r="T11" i="14" s="1"/>
  <c r="T11" i="15" s="1"/>
  <c r="T11" i="13"/>
  <c r="S184" i="13"/>
  <c r="S24" i="14" s="1"/>
  <c r="S24" i="15" s="1"/>
  <c r="S24" i="13"/>
  <c r="T24" i="18"/>
  <c r="T184" i="18" s="1"/>
  <c r="T24" i="15"/>
  <c r="R71" i="16"/>
  <c r="L198" i="13"/>
  <c r="L38" i="14" s="1"/>
  <c r="L38" i="13"/>
  <c r="H271" i="13"/>
  <c r="H111" i="14" s="1"/>
  <c r="H111" i="15" s="1"/>
  <c r="H111" i="13"/>
  <c r="V295" i="13"/>
  <c r="V135" i="14" s="1"/>
  <c r="V135" i="13"/>
  <c r="L187" i="13"/>
  <c r="L27" i="14" s="1"/>
  <c r="L27" i="15" s="1"/>
  <c r="L27" i="13"/>
  <c r="G171" i="13"/>
  <c r="G11" i="14" s="1"/>
  <c r="G11" i="13"/>
  <c r="I272" i="13"/>
  <c r="I112" i="14" s="1"/>
  <c r="I112" i="13"/>
  <c r="L171" i="13"/>
  <c r="L11" i="14" s="1"/>
  <c r="L11" i="13"/>
  <c r="H121" i="18"/>
  <c r="H288" i="18" s="1"/>
  <c r="Z218" i="13"/>
  <c r="Z58" i="14" s="1"/>
  <c r="Z58" i="15" s="1"/>
  <c r="Z58" i="13"/>
  <c r="L295" i="17"/>
  <c r="L135" i="17"/>
  <c r="J224" i="13"/>
  <c r="J64" i="14" s="1"/>
  <c r="J64" i="15" s="1"/>
  <c r="J64" i="13"/>
  <c r="K281" i="13"/>
  <c r="K121" i="14" s="1"/>
  <c r="K121" i="13"/>
  <c r="K198" i="17"/>
  <c r="K38" i="17"/>
  <c r="U216" i="13"/>
  <c r="U56" i="14" s="1"/>
  <c r="U56" i="13"/>
  <c r="M61" i="17"/>
  <c r="M221" i="17"/>
  <c r="Q211" i="17"/>
  <c r="Q51" i="17"/>
  <c r="L287" i="13"/>
  <c r="L127" i="14" s="1"/>
  <c r="L127" i="15" s="1"/>
  <c r="L127" i="13"/>
  <c r="Q231" i="13"/>
  <c r="Q71" i="14" s="1"/>
  <c r="Q71" i="15" s="1"/>
  <c r="Q71" i="13"/>
  <c r="I221" i="13"/>
  <c r="I61" i="14" s="1"/>
  <c r="I61" i="15" s="1"/>
  <c r="I61" i="13"/>
  <c r="Y216" i="13"/>
  <c r="Y56" i="14" s="1"/>
  <c r="Y56" i="13"/>
  <c r="K268" i="17"/>
  <c r="K108" i="17"/>
  <c r="P187" i="17"/>
  <c r="P27" i="17"/>
  <c r="R143" i="18"/>
  <c r="R312" i="18" s="1"/>
  <c r="R143" i="15"/>
  <c r="T235" i="13"/>
  <c r="T75" i="14" s="1"/>
  <c r="T75" i="15" s="1"/>
  <c r="T75" i="13"/>
  <c r="G148" i="18"/>
  <c r="G317" i="18" s="1"/>
  <c r="G148" i="15"/>
  <c r="Q171" i="13"/>
  <c r="Q11" i="14" s="1"/>
  <c r="Q11" i="13"/>
  <c r="X256" i="17"/>
  <c r="X96" i="17"/>
  <c r="W272" i="17"/>
  <c r="W112" i="17"/>
  <c r="I165" i="13"/>
  <c r="I5" i="14" s="1"/>
  <c r="I5" i="13"/>
  <c r="K312" i="13"/>
  <c r="K152" i="14" s="1"/>
  <c r="K152" i="13"/>
  <c r="L256" i="17"/>
  <c r="L96" i="17"/>
  <c r="I231" i="13"/>
  <c r="I71" i="14" s="1"/>
  <c r="I71" i="15" s="1"/>
  <c r="I71" i="13"/>
  <c r="I171" i="13"/>
  <c r="I11" i="14" s="1"/>
  <c r="I11" i="13"/>
  <c r="I192" i="13"/>
  <c r="I32" i="14" s="1"/>
  <c r="I32" i="13"/>
  <c r="X248" i="17"/>
  <c r="X88" i="17"/>
  <c r="S171" i="17"/>
  <c r="S11" i="17"/>
  <c r="R219" i="17"/>
  <c r="R59" i="17"/>
  <c r="K310" i="13"/>
  <c r="K150" i="14" s="1"/>
  <c r="K150" i="15" s="1"/>
  <c r="K150" i="13"/>
  <c r="W304" i="17"/>
  <c r="W144" i="17"/>
  <c r="Y264" i="17"/>
  <c r="Y104" i="17"/>
  <c r="K171" i="13"/>
  <c r="K11" i="14" s="1"/>
  <c r="K11" i="13"/>
  <c r="S198" i="17"/>
  <c r="S38" i="18" s="1"/>
  <c r="S198" i="18" s="1"/>
  <c r="S38" i="17"/>
  <c r="I90" i="18"/>
  <c r="I254" i="18" s="1"/>
  <c r="I90" i="15"/>
  <c r="Q273" i="17"/>
  <c r="Q113" i="17"/>
  <c r="I303" i="17"/>
  <c r="I143" i="17"/>
  <c r="I273" i="17"/>
  <c r="I113" i="17"/>
  <c r="I278" i="12"/>
  <c r="I118" i="16" s="1"/>
  <c r="N64" i="17"/>
  <c r="N224" i="17"/>
  <c r="U221" i="17"/>
  <c r="U61" i="17"/>
  <c r="P231" i="13"/>
  <c r="P71" i="14" s="1"/>
  <c r="P71" i="13"/>
  <c r="O171" i="17"/>
  <c r="O11" i="17"/>
  <c r="L192" i="17"/>
  <c r="L32" i="17"/>
  <c r="K232" i="17"/>
  <c r="K72" i="17"/>
  <c r="J101" i="18"/>
  <c r="J266" i="18" s="1"/>
  <c r="J101" i="15"/>
  <c r="K308" i="13"/>
  <c r="K148" i="14" s="1"/>
  <c r="K148" i="13"/>
  <c r="P235" i="13"/>
  <c r="P75" i="14" s="1"/>
  <c r="P75" i="15" s="1"/>
  <c r="P75" i="13"/>
  <c r="S72" i="15"/>
  <c r="S72" i="18"/>
  <c r="S233" i="18" s="1"/>
  <c r="K230" i="13"/>
  <c r="K70" i="14" s="1"/>
  <c r="K70" i="13"/>
  <c r="Z295" i="13"/>
  <c r="Z135" i="14" s="1"/>
  <c r="Z135" i="13"/>
  <c r="Y198" i="13"/>
  <c r="Y38" i="14" s="1"/>
  <c r="Y38" i="13"/>
  <c r="S273" i="17"/>
  <c r="S113" i="17"/>
  <c r="N219" i="13"/>
  <c r="N59" i="14" s="1"/>
  <c r="N59" i="13"/>
  <c r="G61" i="17"/>
  <c r="G221" i="17"/>
  <c r="O231" i="13"/>
  <c r="O71" i="14" s="1"/>
  <c r="O71" i="13"/>
  <c r="V295" i="17"/>
  <c r="V135" i="17"/>
  <c r="Z231" i="13"/>
  <c r="Z71" i="14" s="1"/>
  <c r="Z71" i="13"/>
  <c r="V218" i="17"/>
  <c r="V58" i="17"/>
  <c r="K282" i="13"/>
  <c r="K122" i="14" s="1"/>
  <c r="K122" i="13"/>
  <c r="Q272" i="13"/>
  <c r="Q112" i="14" s="1"/>
  <c r="Q112" i="13"/>
  <c r="Y166" i="13"/>
  <c r="Y6" i="14" s="1"/>
  <c r="Y6" i="13"/>
  <c r="X187" i="13"/>
  <c r="X27" i="14" s="1"/>
  <c r="X27" i="15" s="1"/>
  <c r="X27" i="13"/>
  <c r="I272" i="17"/>
  <c r="I112" i="17"/>
  <c r="G277" i="13"/>
  <c r="G117" i="14" s="1"/>
  <c r="G117" i="15" s="1"/>
  <c r="G117" i="13"/>
  <c r="R235" i="13"/>
  <c r="R75" i="14" s="1"/>
  <c r="R75" i="15" s="1"/>
  <c r="R75" i="13"/>
  <c r="M198" i="13"/>
  <c r="M38" i="14" s="1"/>
  <c r="M38" i="13"/>
  <c r="P32" i="17"/>
  <c r="P192" i="17"/>
  <c r="I277" i="13"/>
  <c r="I117" i="14" s="1"/>
  <c r="I117" i="15" s="1"/>
  <c r="I117" i="13"/>
  <c r="H64" i="18"/>
  <c r="H224" i="18" s="1"/>
  <c r="W211" i="17"/>
  <c r="W51" i="17"/>
  <c r="N235" i="17"/>
  <c r="N75" i="17"/>
  <c r="M152" i="18"/>
  <c r="M322" i="18" s="1"/>
  <c r="M152" i="15"/>
  <c r="H187" i="17"/>
  <c r="H27" i="17"/>
  <c r="K121" i="16"/>
  <c r="K236" i="13"/>
  <c r="K76" i="14" s="1"/>
  <c r="K76" i="13"/>
  <c r="M221" i="13"/>
  <c r="M61" i="14" s="1"/>
  <c r="M61" i="15" s="1"/>
  <c r="M61" i="13"/>
  <c r="Q211" i="13"/>
  <c r="Q51" i="14" s="1"/>
  <c r="Q51" i="13"/>
  <c r="S211" i="17"/>
  <c r="S51" i="18" s="1"/>
  <c r="S211" i="18" s="1"/>
  <c r="S51" i="17"/>
  <c r="P187" i="13"/>
  <c r="P27" i="14" s="1"/>
  <c r="P27" i="13"/>
  <c r="U211" i="17"/>
  <c r="U51" i="18" s="1"/>
  <c r="U211" i="18" s="1"/>
  <c r="U51" i="17"/>
  <c r="I310" i="17"/>
  <c r="I150" i="17"/>
  <c r="Q11" i="16"/>
  <c r="P171" i="17"/>
  <c r="P11" i="17"/>
  <c r="K152" i="16"/>
  <c r="L111" i="13"/>
  <c r="O40" i="1"/>
  <c r="J171" i="17"/>
  <c r="J11" i="18" s="1"/>
  <c r="J171" i="18" s="1"/>
  <c r="J11" i="17"/>
  <c r="P198" i="17"/>
  <c r="P38" i="17"/>
  <c r="V256" i="13"/>
  <c r="V96" i="14" s="1"/>
  <c r="V96" i="13"/>
  <c r="X235" i="17"/>
  <c r="X75" i="17"/>
  <c r="R256" i="13"/>
  <c r="R96" i="14" s="1"/>
  <c r="R96" i="13"/>
  <c r="I32" i="16"/>
  <c r="X248" i="13"/>
  <c r="X88" i="14" s="1"/>
  <c r="X88" i="13"/>
  <c r="M272" i="13"/>
  <c r="M112" i="14" s="1"/>
  <c r="M112" i="13"/>
  <c r="R219" i="13"/>
  <c r="R59" i="14" s="1"/>
  <c r="R59" i="13"/>
  <c r="L301" i="17"/>
  <c r="L141" i="17"/>
  <c r="G239" i="12"/>
  <c r="M268" i="13"/>
  <c r="M108" i="14" s="1"/>
  <c r="M108" i="13"/>
  <c r="I173" i="17"/>
  <c r="I13" i="18" s="1"/>
  <c r="I173" i="18" s="1"/>
  <c r="I13" i="17"/>
  <c r="W304" i="13"/>
  <c r="W144" i="14" s="1"/>
  <c r="W144" i="13"/>
  <c r="Z38" i="17"/>
  <c r="Z198" i="17"/>
  <c r="K240" i="13"/>
  <c r="K80" i="14" s="1"/>
  <c r="K80" i="13"/>
  <c r="Y264" i="13"/>
  <c r="Y104" i="14" s="1"/>
  <c r="Y104" i="13"/>
  <c r="K11" i="16"/>
  <c r="I284" i="17"/>
  <c r="I124" i="17"/>
  <c r="Q273" i="13"/>
  <c r="Q113" i="14" s="1"/>
  <c r="Q113" i="15" s="1"/>
  <c r="Q113" i="13"/>
  <c r="X166" i="13"/>
  <c r="X6" i="14" s="1"/>
  <c r="X6" i="13"/>
  <c r="I303" i="13"/>
  <c r="I143" i="14" s="1"/>
  <c r="I143" i="13"/>
  <c r="I273" i="13"/>
  <c r="I113" i="14" s="1"/>
  <c r="I113" i="15" s="1"/>
  <c r="I113" i="13"/>
  <c r="I118" i="11"/>
  <c r="N224" i="13"/>
  <c r="N64" i="14" s="1"/>
  <c r="N64" i="13"/>
  <c r="U221" i="13"/>
  <c r="U61" i="14" s="1"/>
  <c r="U61" i="15" s="1"/>
  <c r="U61" i="13"/>
  <c r="V232" i="17"/>
  <c r="V72" i="17"/>
  <c r="R224" i="17"/>
  <c r="R64" i="17"/>
  <c r="X196" i="17"/>
  <c r="X36" i="18" s="1"/>
  <c r="X196" i="18" s="1"/>
  <c r="X36" i="17"/>
  <c r="L192" i="13"/>
  <c r="L32" i="14" s="1"/>
  <c r="L32" i="15" s="1"/>
  <c r="L32" i="13"/>
  <c r="K232" i="13"/>
  <c r="K72" i="14" s="1"/>
  <c r="K72" i="15" s="1"/>
  <c r="K72" i="13"/>
  <c r="K148" i="16"/>
  <c r="W273" i="17"/>
  <c r="W113" i="18" s="1"/>
  <c r="W280" i="18" s="1"/>
  <c r="W113" i="17"/>
  <c r="I198" i="13"/>
  <c r="I38" i="14" s="1"/>
  <c r="I38" i="13"/>
  <c r="Y232" i="17"/>
  <c r="Y72" i="17"/>
  <c r="K225" i="13"/>
  <c r="K65" i="14" s="1"/>
  <c r="K65" i="13"/>
  <c r="X143" i="15"/>
  <c r="K166" i="17"/>
  <c r="K6" i="17"/>
  <c r="K70" i="16"/>
  <c r="Z135" i="16"/>
  <c r="Y38" i="16"/>
  <c r="S273" i="13"/>
  <c r="S113" i="14" s="1"/>
  <c r="S113" i="15" s="1"/>
  <c r="S113" i="13"/>
  <c r="I240" i="13"/>
  <c r="I80" i="14" s="1"/>
  <c r="I80" i="13"/>
  <c r="M284" i="17"/>
  <c r="M124" i="17"/>
  <c r="M273" i="17"/>
  <c r="M113" i="17"/>
  <c r="G221" i="13"/>
  <c r="G61" i="14" s="1"/>
  <c r="G61" i="15" s="1"/>
  <c r="G61" i="13"/>
  <c r="M114" i="17"/>
  <c r="M274" i="17"/>
  <c r="V24" i="18"/>
  <c r="V184" i="18" s="1"/>
  <c r="V24" i="15"/>
  <c r="U231" i="17"/>
  <c r="U71" i="17"/>
  <c r="Z71" i="16"/>
  <c r="V218" i="13"/>
  <c r="V58" i="14" s="1"/>
  <c r="V58" i="15" s="1"/>
  <c r="V58" i="13"/>
  <c r="K122" i="16"/>
  <c r="N192" i="17"/>
  <c r="N32" i="17"/>
  <c r="Q112" i="16"/>
  <c r="O112" i="18"/>
  <c r="O279" i="18" s="1"/>
  <c r="O112" i="15"/>
  <c r="U171" i="13"/>
  <c r="U11" i="14" s="1"/>
  <c r="U11" i="13"/>
  <c r="Q232" i="17"/>
  <c r="Q72" i="17"/>
  <c r="M38" i="16"/>
  <c r="P192" i="13"/>
  <c r="P32" i="14" s="1"/>
  <c r="P32" i="13"/>
  <c r="S216" i="17"/>
  <c r="S56" i="17"/>
  <c r="K269" i="17"/>
  <c r="H156" i="18"/>
  <c r="H327" i="18" s="1"/>
  <c r="H156" i="15"/>
  <c r="G304" i="17"/>
  <c r="G144" i="17"/>
  <c r="G264" i="17"/>
  <c r="G104" i="17"/>
  <c r="T128" i="18"/>
  <c r="T295" i="18" s="1"/>
  <c r="T128" i="15"/>
  <c r="L182" i="17"/>
  <c r="L22" i="17"/>
  <c r="K203" i="17"/>
  <c r="K43" i="17"/>
  <c r="M304" i="17"/>
  <c r="M144" i="17"/>
  <c r="G174" i="18"/>
  <c r="G252" i="18"/>
  <c r="P218" i="17"/>
  <c r="P58" i="17"/>
  <c r="L197" i="17"/>
  <c r="L37" i="17"/>
  <c r="G196" i="17"/>
  <c r="G36" i="17"/>
  <c r="H11" i="18"/>
  <c r="H11" i="15"/>
  <c r="G283" i="17"/>
  <c r="G123" i="17"/>
  <c r="K304" i="17"/>
  <c r="K144" i="17"/>
  <c r="L94" i="18"/>
  <c r="L258" i="18" s="1"/>
  <c r="L94" i="15"/>
  <c r="J79" i="17"/>
  <c r="I195" i="17"/>
  <c r="I35" i="17"/>
  <c r="T177" i="17"/>
  <c r="T17" i="17"/>
  <c r="S264" i="17"/>
  <c r="S104" i="17"/>
  <c r="G240" i="18"/>
  <c r="G195" i="17"/>
  <c r="G35" i="17"/>
  <c r="G258" i="17"/>
  <c r="G98" i="17"/>
  <c r="H247" i="17"/>
  <c r="H87" i="17"/>
  <c r="H179" i="17"/>
  <c r="H19" i="17"/>
  <c r="N197" i="17"/>
  <c r="N37" i="17"/>
  <c r="K56" i="18"/>
  <c r="K216" i="18" s="1"/>
  <c r="K56" i="15"/>
  <c r="G42" i="18"/>
  <c r="G42" i="15"/>
  <c r="K257" i="17"/>
  <c r="K97" i="17"/>
  <c r="T286" i="17"/>
  <c r="T126" i="17"/>
  <c r="V286" i="17"/>
  <c r="V126" i="17"/>
  <c r="Q56" i="18"/>
  <c r="Q216" i="18" s="1"/>
  <c r="Q56" i="15"/>
  <c r="H182" i="17"/>
  <c r="H22" i="17"/>
  <c r="R33" i="18"/>
  <c r="R193" i="18" s="1"/>
  <c r="G251" i="17"/>
  <c r="G91" i="17"/>
  <c r="L177" i="17"/>
  <c r="L17" i="17"/>
  <c r="P292" i="17"/>
  <c r="P132" i="17"/>
  <c r="I264" i="17"/>
  <c r="I104" i="17"/>
  <c r="G187" i="18"/>
  <c r="K194" i="17"/>
  <c r="K34" i="17"/>
  <c r="I251" i="17"/>
  <c r="I91" i="17"/>
  <c r="P177" i="17"/>
  <c r="P17" i="17"/>
  <c r="H315" i="17"/>
  <c r="H155" i="17"/>
  <c r="M203" i="17"/>
  <c r="M43" i="17"/>
  <c r="K212" i="17"/>
  <c r="K52" i="17"/>
  <c r="I304" i="17"/>
  <c r="I144" i="17"/>
  <c r="I42" i="15"/>
  <c r="G180" i="17"/>
  <c r="G20" i="17"/>
  <c r="I203" i="17"/>
  <c r="I43" i="17"/>
  <c r="J234" i="17"/>
  <c r="J74" i="17"/>
  <c r="L280" i="17"/>
  <c r="L120" i="17"/>
  <c r="J18" i="18"/>
  <c r="J178" i="18" s="1"/>
  <c r="J18" i="15"/>
  <c r="H94" i="18"/>
  <c r="H258" i="18" s="1"/>
  <c r="H94" i="15"/>
  <c r="J286" i="17"/>
  <c r="J126" i="17"/>
  <c r="N185" i="13"/>
  <c r="N25" i="14" s="1"/>
  <c r="N25" i="13"/>
  <c r="H200" i="17"/>
  <c r="H40" i="17"/>
  <c r="J210" i="17"/>
  <c r="J50" i="17"/>
  <c r="J217" i="13"/>
  <c r="J57" i="14" s="1"/>
  <c r="J57" i="13"/>
  <c r="L246" i="17"/>
  <c r="L86" i="17"/>
  <c r="L275" i="17"/>
  <c r="L115" i="17"/>
  <c r="V181" i="13"/>
  <c r="V21" i="14" s="1"/>
  <c r="V21" i="13"/>
  <c r="L24" i="18"/>
  <c r="L184" i="18" s="1"/>
  <c r="L24" i="15"/>
  <c r="H92" i="18"/>
  <c r="H256" i="18" s="1"/>
  <c r="H92" i="15"/>
  <c r="L286" i="13"/>
  <c r="L126" i="14" s="1"/>
  <c r="L126" i="13"/>
  <c r="I315" i="17"/>
  <c r="I155" i="17"/>
  <c r="V193" i="17"/>
  <c r="V33" i="18" s="1"/>
  <c r="V193" i="18" s="1"/>
  <c r="V33" i="17"/>
  <c r="H278" i="17"/>
  <c r="H118" i="17"/>
  <c r="J315" i="13"/>
  <c r="J155" i="14" s="1"/>
  <c r="J155" i="13"/>
  <c r="V177" i="13"/>
  <c r="V17" i="14" s="1"/>
  <c r="V17" i="13"/>
  <c r="N181" i="13"/>
  <c r="N21" i="14" s="1"/>
  <c r="N21" i="13"/>
  <c r="R211" i="13"/>
  <c r="R51" i="14" s="1"/>
  <c r="R51" i="13"/>
  <c r="J212" i="13"/>
  <c r="J52" i="14" s="1"/>
  <c r="J52" i="13"/>
  <c r="L223" i="13"/>
  <c r="L63" i="14" s="1"/>
  <c r="L63" i="13"/>
  <c r="G176" i="17"/>
  <c r="G16" i="17"/>
  <c r="G181" i="18"/>
  <c r="G211" i="13"/>
  <c r="G51" i="14" s="1"/>
  <c r="G51" i="13"/>
  <c r="J223" i="13"/>
  <c r="J63" i="14" s="1"/>
  <c r="J63" i="13"/>
  <c r="L284" i="17"/>
  <c r="L124" i="17"/>
  <c r="J180" i="17"/>
  <c r="J20" i="17"/>
  <c r="J197" i="13"/>
  <c r="J37" i="14" s="1"/>
  <c r="J37" i="13"/>
  <c r="M207" i="13"/>
  <c r="M47" i="14" s="1"/>
  <c r="M47" i="13"/>
  <c r="J206" i="13"/>
  <c r="J46" i="14" s="1"/>
  <c r="J46" i="13"/>
  <c r="L258" i="17"/>
  <c r="L98" i="17"/>
  <c r="X264" i="13"/>
  <c r="X104" i="14" s="1"/>
  <c r="X104" i="13"/>
  <c r="H101" i="18"/>
  <c r="H266" i="18" s="1"/>
  <c r="H101" i="15"/>
  <c r="G314" i="18"/>
  <c r="K228" i="13"/>
  <c r="K68" i="14" s="1"/>
  <c r="K68" i="13"/>
  <c r="K99" i="17"/>
  <c r="M264" i="13"/>
  <c r="M104" i="14" s="1"/>
  <c r="M104" i="13"/>
  <c r="T304" i="17"/>
  <c r="T144" i="17"/>
  <c r="R128" i="18"/>
  <c r="R295" i="18" s="1"/>
  <c r="R128" i="15"/>
  <c r="K197" i="13"/>
  <c r="K37" i="14" s="1"/>
  <c r="K37" i="13"/>
  <c r="J216" i="13"/>
  <c r="J56" i="14" s="1"/>
  <c r="J56" i="13"/>
  <c r="L257" i="13"/>
  <c r="L97" i="14" s="1"/>
  <c r="L97" i="13"/>
  <c r="W292" i="17"/>
  <c r="W132" i="17"/>
  <c r="T185" i="17"/>
  <c r="T25" i="17"/>
  <c r="H197" i="13"/>
  <c r="H37" i="14" s="1"/>
  <c r="H37" i="13"/>
  <c r="O219" i="13"/>
  <c r="O59" i="14" s="1"/>
  <c r="O59" i="13"/>
  <c r="K307" i="13"/>
  <c r="K147" i="14" s="1"/>
  <c r="K147" i="13"/>
  <c r="J292" i="13"/>
  <c r="J132" i="14" s="1"/>
  <c r="J132" i="13"/>
  <c r="H24" i="18"/>
  <c r="H184" i="18" s="1"/>
  <c r="H24" i="15"/>
  <c r="Z216" i="17"/>
  <c r="Z56" i="17"/>
  <c r="H223" i="17"/>
  <c r="H63" i="17"/>
  <c r="M253" i="17"/>
  <c r="M93" i="17"/>
  <c r="O177" i="13"/>
  <c r="O17" i="14" s="1"/>
  <c r="O17" i="13"/>
  <c r="I249" i="13"/>
  <c r="I89" i="14" s="1"/>
  <c r="I89" i="13"/>
  <c r="G177" i="17"/>
  <c r="G17" i="17"/>
  <c r="G46" i="18"/>
  <c r="G46" i="15"/>
  <c r="L238" i="17"/>
  <c r="L78" i="17"/>
  <c r="M267" i="17"/>
  <c r="P211" i="17"/>
  <c r="P51" i="17"/>
  <c r="T218" i="13"/>
  <c r="T58" i="14" s="1"/>
  <c r="T58" i="13"/>
  <c r="H71" i="18"/>
  <c r="H71" i="15"/>
  <c r="J252" i="17"/>
  <c r="J92" i="17"/>
  <c r="G276" i="17"/>
  <c r="G116" i="17"/>
  <c r="K306" i="17"/>
  <c r="K146" i="17"/>
  <c r="R206" i="17"/>
  <c r="R46" i="17"/>
  <c r="J218" i="13"/>
  <c r="J58" i="14" s="1"/>
  <c r="J58" i="13"/>
  <c r="G87" i="18"/>
  <c r="G87" i="15"/>
  <c r="J283" i="13"/>
  <c r="J123" i="14" s="1"/>
  <c r="J123" i="13"/>
  <c r="L304" i="13"/>
  <c r="L144" i="14" s="1"/>
  <c r="L144" i="13"/>
  <c r="J318" i="17"/>
  <c r="J158" i="17"/>
  <c r="W177" i="17"/>
  <c r="W17" i="17"/>
  <c r="L216" i="13"/>
  <c r="L56" i="14" s="1"/>
  <c r="L56" i="13"/>
  <c r="S235" i="13"/>
  <c r="S75" i="14" s="1"/>
  <c r="S75" i="13"/>
  <c r="I299" i="13"/>
  <c r="I139" i="14" s="1"/>
  <c r="I139" i="13"/>
  <c r="I201" i="13"/>
  <c r="I41" i="14" s="1"/>
  <c r="V206" i="17"/>
  <c r="V46" i="17"/>
  <c r="L239" i="13"/>
  <c r="L79" i="14" s="1"/>
  <c r="L79" i="13"/>
  <c r="H73" i="18"/>
  <c r="H234" i="18" s="1"/>
  <c r="H73" i="15"/>
  <c r="K266" i="13"/>
  <c r="K106" i="14" s="1"/>
  <c r="K106" i="13"/>
  <c r="L202" i="17"/>
  <c r="L42" i="17"/>
  <c r="O184" i="13"/>
  <c r="O24" i="13"/>
  <c r="N24" i="18"/>
  <c r="N184" i="18" s="1"/>
  <c r="N24" i="15"/>
  <c r="K252" i="13"/>
  <c r="K92" i="14" s="1"/>
  <c r="K92" i="13"/>
  <c r="K182" i="13"/>
  <c r="K22" i="14" s="1"/>
  <c r="K22" i="13"/>
  <c r="W197" i="17"/>
  <c r="W37" i="17"/>
  <c r="L310" i="17"/>
  <c r="L150" i="17"/>
  <c r="J190" i="17"/>
  <c r="J30" i="17"/>
  <c r="H232" i="17"/>
  <c r="H72" i="17"/>
  <c r="L252" i="13"/>
  <c r="L92" i="14" s="1"/>
  <c r="L92" i="13"/>
  <c r="I184" i="17"/>
  <c r="I24" i="17"/>
  <c r="L277" i="17"/>
  <c r="L117" i="17"/>
  <c r="I281" i="17"/>
  <c r="I121" i="17"/>
  <c r="H117" i="15"/>
  <c r="O304" i="13"/>
  <c r="O144" i="14" s="1"/>
  <c r="O144" i="13"/>
  <c r="H304" i="17"/>
  <c r="H144" i="17"/>
  <c r="I267" i="13"/>
  <c r="I107" i="14" s="1"/>
  <c r="I107" i="13"/>
  <c r="K136" i="18"/>
  <c r="K303" i="18" s="1"/>
  <c r="K136" i="15"/>
  <c r="O292" i="17"/>
  <c r="O132" i="17"/>
  <c r="O188" i="13"/>
  <c r="O28" i="14" s="1"/>
  <c r="O28" i="13"/>
  <c r="P216" i="17"/>
  <c r="P56" i="17"/>
  <c r="V238" i="17"/>
  <c r="V78" i="17"/>
  <c r="H246" i="17"/>
  <c r="H86" i="17"/>
  <c r="P264" i="17"/>
  <c r="P104" i="17"/>
  <c r="J285" i="13"/>
  <c r="J125" i="14" s="1"/>
  <c r="J125" i="13"/>
  <c r="K19" i="17"/>
  <c r="I218" i="13"/>
  <c r="I58" i="14" s="1"/>
  <c r="I58" i="13"/>
  <c r="O235" i="17"/>
  <c r="O75" i="17"/>
  <c r="N128" i="18"/>
  <c r="N295" i="18" s="1"/>
  <c r="N128" i="15"/>
  <c r="X33" i="18"/>
  <c r="X193" i="18" s="1"/>
  <c r="X33" i="15"/>
  <c r="G217" i="13"/>
  <c r="G57" i="14" s="1"/>
  <c r="G57" i="13"/>
  <c r="J277" i="13"/>
  <c r="J117" i="14" s="1"/>
  <c r="J117" i="13"/>
  <c r="J284" i="13"/>
  <c r="J124" i="14" s="1"/>
  <c r="J124" i="13"/>
  <c r="J185" i="17"/>
  <c r="J25" i="17"/>
  <c r="L190" i="13"/>
  <c r="L30" i="14" s="1"/>
  <c r="L30" i="13"/>
  <c r="K209" i="13"/>
  <c r="K49" i="14" s="1"/>
  <c r="Y292" i="17"/>
  <c r="Y132" i="17"/>
  <c r="H16" i="18"/>
  <c r="H176" i="18" s="1"/>
  <c r="H16" i="15"/>
  <c r="K180" i="13"/>
  <c r="K20" i="14" s="1"/>
  <c r="K20" i="13"/>
  <c r="V185" i="17"/>
  <c r="V25" i="17"/>
  <c r="H217" i="17"/>
  <c r="H57" i="18" s="1"/>
  <c r="H217" i="18" s="1"/>
  <c r="H57" i="17"/>
  <c r="J250" i="13"/>
  <c r="J90" i="14" s="1"/>
  <c r="J90" i="13"/>
  <c r="L291" i="17"/>
  <c r="L131" i="17"/>
  <c r="K200" i="13"/>
  <c r="K40" i="14" s="1"/>
  <c r="K40" i="13"/>
  <c r="T232" i="13"/>
  <c r="T72" i="14" s="1"/>
  <c r="T72" i="13"/>
  <c r="R304" i="17"/>
  <c r="R144" i="17"/>
  <c r="I197" i="17"/>
  <c r="I37" i="17"/>
  <c r="N206" i="13"/>
  <c r="N46" i="14" s="1"/>
  <c r="N46" i="13"/>
  <c r="I294" i="13"/>
  <c r="I134" i="14" s="1"/>
  <c r="I134" i="13"/>
  <c r="K213" i="13"/>
  <c r="K53" i="14" s="1"/>
  <c r="K53" i="13"/>
  <c r="J228" i="13"/>
  <c r="J68" i="14" s="1"/>
  <c r="J68" i="13"/>
  <c r="J280" i="13"/>
  <c r="J120" i="14" s="1"/>
  <c r="J120" i="13"/>
  <c r="L194" i="17"/>
  <c r="L34" i="17"/>
  <c r="M197" i="17"/>
  <c r="M37" i="17"/>
  <c r="M239" i="17"/>
  <c r="M79" i="17"/>
  <c r="I170" i="17"/>
  <c r="I10" i="17"/>
  <c r="G213" i="17"/>
  <c r="G53" i="17"/>
  <c r="J264" i="17"/>
  <c r="J104" i="17"/>
  <c r="N177" i="13"/>
  <c r="N17" i="14" s="1"/>
  <c r="N17" i="13"/>
  <c r="H57" i="15"/>
  <c r="G234" i="18"/>
  <c r="I283" i="17"/>
  <c r="I123" i="17"/>
  <c r="J43" i="13"/>
  <c r="I203" i="13"/>
  <c r="I43" i="14" s="1"/>
  <c r="I43" i="13"/>
  <c r="K219" i="13"/>
  <c r="K59" i="14" s="1"/>
  <c r="K59" i="13"/>
  <c r="H218" i="17"/>
  <c r="H58" i="17"/>
  <c r="N181" i="17"/>
  <c r="N21" i="17"/>
  <c r="H181" i="17"/>
  <c r="H21" i="17"/>
  <c r="R211" i="17"/>
  <c r="R51" i="17"/>
  <c r="J212" i="17"/>
  <c r="J52" i="17"/>
  <c r="L223" i="17"/>
  <c r="L63" i="17"/>
  <c r="H239" i="17"/>
  <c r="H79" i="17"/>
  <c r="T211" i="13"/>
  <c r="T51" i="14" s="1"/>
  <c r="T51" i="13"/>
  <c r="H202" i="17"/>
  <c r="H42" i="18" s="1"/>
  <c r="H202" i="18" s="1"/>
  <c r="H42" i="17"/>
  <c r="J223" i="17"/>
  <c r="J63" i="17"/>
  <c r="K257" i="13"/>
  <c r="K97" i="14" s="1"/>
  <c r="K97" i="13"/>
  <c r="L290" i="13"/>
  <c r="L130" i="14" s="1"/>
  <c r="L130" i="13"/>
  <c r="I8" i="15"/>
  <c r="G22" i="15"/>
  <c r="Q197" i="13"/>
  <c r="Q37" i="14" s="1"/>
  <c r="Q37" i="13"/>
  <c r="M207" i="17"/>
  <c r="M47" i="17"/>
  <c r="J206" i="17"/>
  <c r="J46" i="17"/>
  <c r="R232" i="13"/>
  <c r="R72" i="14" s="1"/>
  <c r="R72" i="13"/>
  <c r="G242" i="17"/>
  <c r="G82" i="17"/>
  <c r="H258" i="17"/>
  <c r="H98" i="18" s="1"/>
  <c r="H262" i="18" s="1"/>
  <c r="H98" i="17"/>
  <c r="X264" i="17"/>
  <c r="X104" i="17"/>
  <c r="G283" i="13"/>
  <c r="G123" i="13"/>
  <c r="X128" i="18"/>
  <c r="X295" i="18" s="1"/>
  <c r="X128" i="15"/>
  <c r="X206" i="13"/>
  <c r="X46" i="14" s="1"/>
  <c r="X46" i="13"/>
  <c r="K228" i="17"/>
  <c r="K68" i="17"/>
  <c r="V286" i="13"/>
  <c r="V126" i="14" s="1"/>
  <c r="V126" i="13"/>
  <c r="G194" i="17"/>
  <c r="G34" i="17"/>
  <c r="Z206" i="13"/>
  <c r="Z46" i="14" s="1"/>
  <c r="Z46" i="13"/>
  <c r="H266" i="17"/>
  <c r="H106" i="17"/>
  <c r="L306" i="17"/>
  <c r="L146" i="17"/>
  <c r="Q184" i="13"/>
  <c r="Q24" i="14" s="1"/>
  <c r="Q24" i="13"/>
  <c r="K197" i="17"/>
  <c r="K37" i="17"/>
  <c r="K304" i="13"/>
  <c r="K144" i="14" s="1"/>
  <c r="K144" i="13"/>
  <c r="J216" i="17"/>
  <c r="J56" i="17"/>
  <c r="G75" i="15"/>
  <c r="L257" i="17"/>
  <c r="L97" i="17"/>
  <c r="G264" i="13"/>
  <c r="G104" i="14" s="1"/>
  <c r="G104" i="13"/>
  <c r="I307" i="13"/>
  <c r="I147" i="14" s="1"/>
  <c r="I147" i="13"/>
  <c r="H42" i="15"/>
  <c r="O219" i="17"/>
  <c r="O59" i="17"/>
  <c r="K307" i="17"/>
  <c r="K147" i="17"/>
  <c r="O177" i="17"/>
  <c r="O17" i="17"/>
  <c r="X185" i="13"/>
  <c r="X25" i="14" s="1"/>
  <c r="X25" i="13"/>
  <c r="I249" i="17"/>
  <c r="I89" i="17"/>
  <c r="H182" i="13"/>
  <c r="H22" i="14" s="1"/>
  <c r="H22" i="13"/>
  <c r="R216" i="13"/>
  <c r="R56" i="14" s="1"/>
  <c r="R56" i="13"/>
  <c r="J232" i="13"/>
  <c r="J72" i="14" s="1"/>
  <c r="J72" i="13"/>
  <c r="K249" i="13"/>
  <c r="K89" i="14" s="1"/>
  <c r="K89" i="13"/>
  <c r="M255" i="13"/>
  <c r="M95" i="14" s="1"/>
  <c r="M95" i="13"/>
  <c r="I276" i="13"/>
  <c r="I116" i="14" s="1"/>
  <c r="I116" i="13"/>
  <c r="H315" i="13"/>
  <c r="H155" i="14" s="1"/>
  <c r="H155" i="13"/>
  <c r="P206" i="13"/>
  <c r="P46" i="14" s="1"/>
  <c r="P46" i="13"/>
  <c r="L204" i="17"/>
  <c r="L44" i="17"/>
  <c r="I271" i="13"/>
  <c r="I111" i="14" s="1"/>
  <c r="I111" i="13"/>
  <c r="J283" i="17"/>
  <c r="J123" i="17"/>
  <c r="P286" i="17"/>
  <c r="P126" i="17"/>
  <c r="L304" i="17"/>
  <c r="L144" i="17"/>
  <c r="L216" i="17"/>
  <c r="L56" i="17"/>
  <c r="S235" i="17"/>
  <c r="S75" i="17"/>
  <c r="U264" i="17"/>
  <c r="U104" i="17"/>
  <c r="H277" i="17"/>
  <c r="H117" i="18" s="1"/>
  <c r="H117" i="17"/>
  <c r="I299" i="17"/>
  <c r="I139" i="17"/>
  <c r="J202" i="13"/>
  <c r="J42" i="14" s="1"/>
  <c r="J42" i="13"/>
  <c r="K266" i="17"/>
  <c r="K106" i="17"/>
  <c r="M286" i="13"/>
  <c r="M126" i="14" s="1"/>
  <c r="M126" i="13"/>
  <c r="I130" i="18"/>
  <c r="I297" i="18" s="1"/>
  <c r="I130" i="15"/>
  <c r="L197" i="13"/>
  <c r="L37" i="14" s="1"/>
  <c r="L37" i="13"/>
  <c r="H264" i="17"/>
  <c r="H104" i="18" s="1"/>
  <c r="H270" i="18" s="1"/>
  <c r="H104" i="17"/>
  <c r="J16" i="18"/>
  <c r="J176" i="18" s="1"/>
  <c r="J16" i="15"/>
  <c r="O184" i="17"/>
  <c r="O24" i="17"/>
  <c r="G196" i="13"/>
  <c r="G36" i="14" s="1"/>
  <c r="G36" i="13"/>
  <c r="S218" i="13"/>
  <c r="S58" i="14" s="1"/>
  <c r="S58" i="13"/>
  <c r="R218" i="17"/>
  <c r="R58" i="17"/>
  <c r="T177" i="13"/>
  <c r="T17" i="14" s="1"/>
  <c r="T17" i="13"/>
  <c r="K182" i="17"/>
  <c r="K22" i="17"/>
  <c r="G40" i="18"/>
  <c r="G40" i="15"/>
  <c r="L234" i="17"/>
  <c r="L74" i="17"/>
  <c r="G251" i="13"/>
  <c r="G91" i="13"/>
  <c r="R185" i="13"/>
  <c r="R25" i="14" s="1"/>
  <c r="R25" i="13"/>
  <c r="H191" i="17"/>
  <c r="H31" i="17"/>
  <c r="I200" i="17"/>
  <c r="I40" i="17"/>
  <c r="M203" i="13"/>
  <c r="M43" i="14" s="1"/>
  <c r="M43" i="13"/>
  <c r="L252" i="17"/>
  <c r="L92" i="17"/>
  <c r="H82" i="15"/>
  <c r="S264" i="13"/>
  <c r="S104" i="14" s="1"/>
  <c r="S104" i="13"/>
  <c r="K287" i="13"/>
  <c r="K127" i="13"/>
  <c r="H317" i="18"/>
  <c r="J314" i="17"/>
  <c r="L177" i="13"/>
  <c r="L17" i="14" s="1"/>
  <c r="L17" i="13"/>
  <c r="K212" i="13"/>
  <c r="K52" i="14" s="1"/>
  <c r="K52" i="13"/>
  <c r="G60" i="15"/>
  <c r="K286" i="13"/>
  <c r="K126" i="14" s="1"/>
  <c r="K126" i="13"/>
  <c r="L173" i="13"/>
  <c r="L13" i="14" s="1"/>
  <c r="L13" i="13"/>
  <c r="Y177" i="13"/>
  <c r="Y17" i="14" s="1"/>
  <c r="Y17" i="13"/>
  <c r="I211" i="17"/>
  <c r="I51" i="17"/>
  <c r="I235" i="13"/>
  <c r="I75" i="14" s="1"/>
  <c r="I75" i="13"/>
  <c r="G252" i="17"/>
  <c r="G92" i="17"/>
  <c r="I267" i="17"/>
  <c r="I107" i="17"/>
  <c r="O188" i="17"/>
  <c r="O28" i="17"/>
  <c r="I242" i="17"/>
  <c r="I82" i="17"/>
  <c r="G292" i="17"/>
  <c r="G132" i="18" s="1"/>
  <c r="G132" i="17"/>
  <c r="H207" i="17"/>
  <c r="H47" i="17"/>
  <c r="J285" i="17"/>
  <c r="J125" i="17"/>
  <c r="K316" i="13"/>
  <c r="K156" i="14" s="1"/>
  <c r="K156" i="13"/>
  <c r="X181" i="13"/>
  <c r="X21" i="14" s="1"/>
  <c r="X21" i="13"/>
  <c r="H190" i="13"/>
  <c r="H30" i="14" s="1"/>
  <c r="H30" i="13"/>
  <c r="G198" i="17"/>
  <c r="G38" i="18" s="1"/>
  <c r="G38" i="17"/>
  <c r="I218" i="17"/>
  <c r="I58" i="17"/>
  <c r="I56" i="18"/>
  <c r="I216" i="18" s="1"/>
  <c r="I56" i="15"/>
  <c r="I258" i="17"/>
  <c r="I98" i="17"/>
  <c r="S286" i="13"/>
  <c r="S126" i="14" s="1"/>
  <c r="S126" i="13"/>
  <c r="I292" i="13"/>
  <c r="I132" i="14" s="1"/>
  <c r="I132" i="13"/>
  <c r="W218" i="13"/>
  <c r="W58" i="14" s="1"/>
  <c r="W58" i="13"/>
  <c r="L231" i="13"/>
  <c r="L71" i="14" s="1"/>
  <c r="L71" i="13"/>
  <c r="J277" i="17"/>
  <c r="J117" i="17"/>
  <c r="J284" i="17"/>
  <c r="J124" i="17"/>
  <c r="H292" i="17"/>
  <c r="H132" i="17"/>
  <c r="M304" i="13"/>
  <c r="M144" i="14" s="1"/>
  <c r="M144" i="13"/>
  <c r="L190" i="17"/>
  <c r="L30" i="17"/>
  <c r="G195" i="13"/>
  <c r="G35" i="14" s="1"/>
  <c r="G35" i="13"/>
  <c r="K209" i="17"/>
  <c r="X216" i="13"/>
  <c r="X56" i="14" s="1"/>
  <c r="X56" i="13"/>
  <c r="L247" i="17"/>
  <c r="L87" i="17"/>
  <c r="Z304" i="13"/>
  <c r="Z144" i="14" s="1"/>
  <c r="Z144" i="13"/>
  <c r="H17" i="15"/>
  <c r="H195" i="17"/>
  <c r="H35" i="17"/>
  <c r="J250" i="17"/>
  <c r="J90" i="17"/>
  <c r="K299" i="13"/>
  <c r="K139" i="14" s="1"/>
  <c r="K139" i="13"/>
  <c r="Q304" i="17"/>
  <c r="Q144" i="17"/>
  <c r="G134" i="15"/>
  <c r="M184" i="13"/>
  <c r="M24" i="14" s="1"/>
  <c r="M24" i="13"/>
  <c r="T232" i="17"/>
  <c r="T72" i="17"/>
  <c r="K255" i="13"/>
  <c r="K95" i="14" s="1"/>
  <c r="K95" i="13"/>
  <c r="J286" i="13"/>
  <c r="J126" i="14" s="1"/>
  <c r="J126" i="13"/>
  <c r="N292" i="17"/>
  <c r="N132" i="17"/>
  <c r="N206" i="17"/>
  <c r="N46" i="17"/>
  <c r="I294" i="17"/>
  <c r="I134" i="17"/>
  <c r="I304" i="13"/>
  <c r="I144" i="14" s="1"/>
  <c r="I144" i="13"/>
  <c r="J182" i="17"/>
  <c r="J22" i="17"/>
  <c r="T33" i="15"/>
  <c r="G38" i="15"/>
  <c r="K213" i="17"/>
  <c r="K53" i="17"/>
  <c r="L232" i="13"/>
  <c r="L72" i="14" s="1"/>
  <c r="L72" i="13"/>
  <c r="J243" i="13"/>
  <c r="J83" i="14" s="1"/>
  <c r="J83" i="13"/>
  <c r="G257" i="17"/>
  <c r="G97" i="17"/>
  <c r="Z286" i="17"/>
  <c r="Z126" i="17"/>
  <c r="H179" i="13"/>
  <c r="H19" i="14" s="1"/>
  <c r="H19" i="13"/>
  <c r="I188" i="13"/>
  <c r="I28" i="14" s="1"/>
  <c r="I28" i="13"/>
  <c r="G58" i="15"/>
  <c r="H62" i="15"/>
  <c r="W188" i="13"/>
  <c r="W28" i="14" s="1"/>
  <c r="W28" i="13"/>
  <c r="L218" i="17"/>
  <c r="L58" i="17"/>
  <c r="L265" i="13"/>
  <c r="L105" i="14" s="1"/>
  <c r="L105" i="13"/>
  <c r="L189" i="13"/>
  <c r="L29" i="14" s="1"/>
  <c r="L29" i="13"/>
  <c r="U235" i="13"/>
  <c r="U75" i="14" s="1"/>
  <c r="U75" i="13"/>
  <c r="J275" i="13"/>
  <c r="J115" i="13"/>
  <c r="G295" i="18"/>
  <c r="G266" i="18"/>
  <c r="K195" i="17"/>
  <c r="K35" i="17"/>
  <c r="J217" i="17"/>
  <c r="J57" i="17"/>
  <c r="K195" i="13"/>
  <c r="K35" i="14" s="1"/>
  <c r="K35" i="13"/>
  <c r="I283" i="13"/>
  <c r="I123" i="13"/>
  <c r="N25" i="16"/>
  <c r="G25" i="18"/>
  <c r="G25" i="15"/>
  <c r="V288" i="17"/>
  <c r="V128" i="18" s="1"/>
  <c r="V295" i="18" s="1"/>
  <c r="V128" i="17"/>
  <c r="K8" i="18"/>
  <c r="K168" i="18" s="1"/>
  <c r="K8" i="15"/>
  <c r="H177" i="17"/>
  <c r="H17" i="18" s="1"/>
  <c r="H177" i="18" s="1"/>
  <c r="H17" i="17"/>
  <c r="K59" i="16"/>
  <c r="H218" i="13"/>
  <c r="H58" i="14" s="1"/>
  <c r="H58" i="13"/>
  <c r="U292" i="13"/>
  <c r="U132" i="14" s="1"/>
  <c r="U132" i="13"/>
  <c r="J17" i="18"/>
  <c r="J177" i="18" s="1"/>
  <c r="J17" i="15"/>
  <c r="L185" i="13"/>
  <c r="L25" i="14" s="1"/>
  <c r="L25" i="13"/>
  <c r="X188" i="17"/>
  <c r="X28" i="18" s="1"/>
  <c r="X188" i="18" s="1"/>
  <c r="X28" i="17"/>
  <c r="H239" i="13"/>
  <c r="H79" i="13"/>
  <c r="T51" i="16"/>
  <c r="H212" i="13"/>
  <c r="H52" i="14" s="1"/>
  <c r="H52" i="13"/>
  <c r="L130" i="16"/>
  <c r="Q37" i="16"/>
  <c r="G56" i="18"/>
  <c r="G56" i="15"/>
  <c r="R72" i="16"/>
  <c r="G242" i="13"/>
  <c r="G82" i="14" s="1"/>
  <c r="G82" i="13"/>
  <c r="L279" i="13"/>
  <c r="L119" i="14" s="1"/>
  <c r="L119" i="13"/>
  <c r="I302" i="13"/>
  <c r="I142" i="14" s="1"/>
  <c r="I142" i="13"/>
  <c r="L309" i="13"/>
  <c r="L149" i="13"/>
  <c r="X46" i="16"/>
  <c r="G194" i="13"/>
  <c r="G34" i="13"/>
  <c r="Z46" i="16"/>
  <c r="M235" i="13"/>
  <c r="M75" i="14" s="1"/>
  <c r="M75" i="13"/>
  <c r="H266" i="13"/>
  <c r="H106" i="14" s="1"/>
  <c r="H106" i="13"/>
  <c r="L306" i="13"/>
  <c r="L146" i="14" s="1"/>
  <c r="L146" i="13"/>
  <c r="Q24" i="16"/>
  <c r="J103" i="16"/>
  <c r="G59" i="15"/>
  <c r="T264" i="13"/>
  <c r="T104" i="14" s="1"/>
  <c r="T104" i="13"/>
  <c r="I147" i="16"/>
  <c r="P181" i="13"/>
  <c r="P21" i="14" s="1"/>
  <c r="P21" i="13"/>
  <c r="G28" i="15"/>
  <c r="M218" i="13"/>
  <c r="M58" i="14" s="1"/>
  <c r="M58" i="13"/>
  <c r="V264" i="13"/>
  <c r="V104" i="14" s="1"/>
  <c r="V104" i="13"/>
  <c r="L296" i="13"/>
  <c r="L136" i="14" s="1"/>
  <c r="L136" i="13"/>
  <c r="M177" i="13"/>
  <c r="M17" i="14" s="1"/>
  <c r="M17" i="13"/>
  <c r="H145" i="15"/>
  <c r="K172" i="13"/>
  <c r="K12" i="14" s="1"/>
  <c r="K12" i="13"/>
  <c r="X25" i="16"/>
  <c r="Z185" i="13"/>
  <c r="Z25" i="14" s="1"/>
  <c r="Z25" i="13"/>
  <c r="R56" i="16"/>
  <c r="J72" i="16"/>
  <c r="K89" i="16"/>
  <c r="M95" i="16"/>
  <c r="I116" i="16"/>
  <c r="I306" i="13"/>
  <c r="I146" i="14" s="1"/>
  <c r="I146" i="13"/>
  <c r="I205" i="13"/>
  <c r="I45" i="14" s="1"/>
  <c r="I45" i="13"/>
  <c r="P46" i="16"/>
  <c r="J231" i="13"/>
  <c r="J71" i="14" s="1"/>
  <c r="J71" i="13"/>
  <c r="Z181" i="13"/>
  <c r="Z21" i="14" s="1"/>
  <c r="Z21" i="13"/>
  <c r="L204" i="13"/>
  <c r="L44" i="14" s="1"/>
  <c r="L44" i="13"/>
  <c r="I111" i="16"/>
  <c r="G281" i="17"/>
  <c r="G121" i="18" s="1"/>
  <c r="G121" i="17"/>
  <c r="O197" i="13"/>
  <c r="O37" i="14" s="1"/>
  <c r="O37" i="13"/>
  <c r="G220" i="17"/>
  <c r="G60" i="18" s="1"/>
  <c r="G60" i="17"/>
  <c r="U264" i="13"/>
  <c r="U104" i="14" s="1"/>
  <c r="U104" i="13"/>
  <c r="N304" i="13"/>
  <c r="N144" i="14" s="1"/>
  <c r="N144" i="13"/>
  <c r="K184" i="13"/>
  <c r="K24" i="14" s="1"/>
  <c r="K24" i="13"/>
  <c r="Y188" i="13"/>
  <c r="Y28" i="14" s="1"/>
  <c r="Y28" i="13"/>
  <c r="J42" i="16"/>
  <c r="O218" i="13"/>
  <c r="O58" i="14" s="1"/>
  <c r="O58" i="13"/>
  <c r="I234" i="13"/>
  <c r="I74" i="14" s="1"/>
  <c r="I74" i="13"/>
  <c r="G254" i="17"/>
  <c r="G94" i="17"/>
  <c r="M126" i="16"/>
  <c r="H9" i="16"/>
  <c r="T181" i="13"/>
  <c r="T21" i="14" s="1"/>
  <c r="T21" i="13"/>
  <c r="Q292" i="13"/>
  <c r="Q132" i="14" s="1"/>
  <c r="Q132" i="13"/>
  <c r="L305" i="13"/>
  <c r="L145" i="14" s="1"/>
  <c r="L145" i="13"/>
  <c r="H305" i="17"/>
  <c r="H145" i="18" s="1"/>
  <c r="H145" i="17"/>
  <c r="K204" i="13"/>
  <c r="L210" i="13"/>
  <c r="L50" i="13"/>
  <c r="S58" i="16"/>
  <c r="R218" i="13"/>
  <c r="R58" i="14" s="1"/>
  <c r="R58" i="13"/>
  <c r="L212" i="13"/>
  <c r="L52" i="14" s="1"/>
  <c r="L52" i="13"/>
  <c r="H56" i="15"/>
  <c r="L234" i="13"/>
  <c r="L74" i="14" s="1"/>
  <c r="L74" i="13"/>
  <c r="Q264" i="17"/>
  <c r="Q104" i="17"/>
  <c r="N286" i="17"/>
  <c r="N126" i="17"/>
  <c r="R25" i="16"/>
  <c r="H191" i="13"/>
  <c r="H31" i="14" s="1"/>
  <c r="H31" i="13"/>
  <c r="I200" i="13"/>
  <c r="I40" i="14" s="1"/>
  <c r="I40" i="13"/>
  <c r="V216" i="13"/>
  <c r="V56" i="14" s="1"/>
  <c r="V56" i="13"/>
  <c r="K247" i="13"/>
  <c r="K87" i="14" s="1"/>
  <c r="K87" i="13"/>
  <c r="I257" i="17"/>
  <c r="I97" i="17"/>
  <c r="K258" i="17"/>
  <c r="K98" i="17"/>
  <c r="K127" i="16"/>
  <c r="K126" i="16"/>
  <c r="I136" i="18"/>
  <c r="I303" i="18" s="1"/>
  <c r="I136" i="15"/>
  <c r="H303" i="17"/>
  <c r="H143" i="18" s="1"/>
  <c r="H143" i="17"/>
  <c r="L13" i="16"/>
  <c r="Y17" i="16"/>
  <c r="I211" i="13"/>
  <c r="I51" i="14" s="1"/>
  <c r="I51" i="13"/>
  <c r="I75" i="16"/>
  <c r="J246" i="13"/>
  <c r="J86" i="14" s="1"/>
  <c r="J86" i="13"/>
  <c r="G252" i="13"/>
  <c r="G92" i="14" s="1"/>
  <c r="G92" i="13"/>
  <c r="K264" i="17"/>
  <c r="K104" i="17"/>
  <c r="G266" i="17"/>
  <c r="G106" i="18" s="1"/>
  <c r="G106" i="17"/>
  <c r="S197" i="13"/>
  <c r="S37" i="14" s="1"/>
  <c r="S37" i="13"/>
  <c r="I242" i="13"/>
  <c r="I82" i="14" s="1"/>
  <c r="I82" i="13"/>
  <c r="H8" i="18"/>
  <c r="H168" i="18" s="1"/>
  <c r="H8" i="15"/>
  <c r="J181" i="13"/>
  <c r="J21" i="14" s="1"/>
  <c r="J21" i="13"/>
  <c r="H207" i="13"/>
  <c r="H47" i="14" s="1"/>
  <c r="H47" i="13"/>
  <c r="K156" i="16"/>
  <c r="X21" i="16"/>
  <c r="H30" i="16"/>
  <c r="I258" i="13"/>
  <c r="I98" i="14" s="1"/>
  <c r="I98" i="13"/>
  <c r="S126" i="16"/>
  <c r="I132" i="16"/>
  <c r="M186" i="13"/>
  <c r="M26" i="14" s="1"/>
  <c r="M26" i="13"/>
  <c r="W58" i="16"/>
  <c r="L71" i="16"/>
  <c r="H222" i="17"/>
  <c r="H62" i="18" s="1"/>
  <c r="H62" i="17"/>
  <c r="I286" i="13"/>
  <c r="I126" i="14" s="1"/>
  <c r="I126" i="13"/>
  <c r="H292" i="13"/>
  <c r="H132" i="14" s="1"/>
  <c r="H132" i="13"/>
  <c r="K207" i="13"/>
  <c r="K47" i="14" s="1"/>
  <c r="K47" i="13"/>
  <c r="X56" i="16"/>
  <c r="L247" i="13"/>
  <c r="L87" i="14" s="1"/>
  <c r="L87" i="13"/>
  <c r="Z144" i="16"/>
  <c r="H18" i="18"/>
  <c r="H178" i="18" s="1"/>
  <c r="H18" i="15"/>
  <c r="I255" i="13"/>
  <c r="I95" i="14" s="1"/>
  <c r="I95" i="13"/>
  <c r="H86" i="18"/>
  <c r="H250" i="18" s="1"/>
  <c r="H86" i="15"/>
  <c r="K139" i="16"/>
  <c r="Q304" i="13"/>
  <c r="Q144" i="14" s="1"/>
  <c r="Q144" i="13"/>
  <c r="M24" i="16"/>
  <c r="K191" i="13"/>
  <c r="K31" i="14" s="1"/>
  <c r="K31" i="13"/>
  <c r="L211" i="13"/>
  <c r="L51" i="14" s="1"/>
  <c r="L51" i="13"/>
  <c r="K95" i="16"/>
  <c r="N292" i="13"/>
  <c r="N132" i="14" s="1"/>
  <c r="N132" i="13"/>
  <c r="M172" i="13"/>
  <c r="M12" i="14" s="1"/>
  <c r="M12" i="13"/>
  <c r="M234" i="13"/>
  <c r="J269" i="13"/>
  <c r="J109" i="14" s="1"/>
  <c r="J109" i="13"/>
  <c r="M302" i="13"/>
  <c r="M142" i="14" s="1"/>
  <c r="M142" i="13"/>
  <c r="J182" i="13"/>
  <c r="J22" i="14" s="1"/>
  <c r="J22" i="13"/>
  <c r="L72" i="16"/>
  <c r="J83" i="16"/>
  <c r="G257" i="13"/>
  <c r="G97" i="14" s="1"/>
  <c r="G97" i="13"/>
  <c r="Z286" i="13"/>
  <c r="Z126" i="14" s="1"/>
  <c r="Z126" i="13"/>
  <c r="I28" i="16"/>
  <c r="I213" i="13"/>
  <c r="I53" i="14" s="1"/>
  <c r="I53" i="13"/>
  <c r="K292" i="13"/>
  <c r="K132" i="14" s="1"/>
  <c r="K132" i="13"/>
  <c r="W28" i="16"/>
  <c r="L218" i="13"/>
  <c r="L58" i="14" s="1"/>
  <c r="L58" i="13"/>
  <c r="R238" i="13"/>
  <c r="R78" i="14" s="1"/>
  <c r="R78" i="13"/>
  <c r="L105" i="16"/>
  <c r="W286" i="13"/>
  <c r="W126" i="14" s="1"/>
  <c r="W126" i="13"/>
  <c r="R181" i="13"/>
  <c r="R21" i="14" s="1"/>
  <c r="R21" i="13"/>
  <c r="L29" i="16"/>
  <c r="H35" i="18"/>
  <c r="H195" i="18" s="1"/>
  <c r="H35" i="15"/>
  <c r="N216" i="13"/>
  <c r="N56" i="14" s="1"/>
  <c r="N56" i="13"/>
  <c r="U75" i="16"/>
  <c r="J115" i="16"/>
  <c r="G224" i="18"/>
  <c r="G182" i="17"/>
  <c r="G22" i="18" s="1"/>
  <c r="G22" i="17"/>
  <c r="I204" i="13"/>
  <c r="I44" i="14" s="1"/>
  <c r="I44" i="13"/>
  <c r="I316" i="13"/>
  <c r="I156" i="14" s="1"/>
  <c r="I156" i="13"/>
  <c r="I182" i="13"/>
  <c r="I22" i="14" s="1"/>
  <c r="I22" i="13"/>
  <c r="G180" i="13"/>
  <c r="G20" i="14" s="1"/>
  <c r="G20" i="13"/>
  <c r="L186" i="17"/>
  <c r="L26" i="17"/>
  <c r="N197" i="13"/>
  <c r="N37" i="14" s="1"/>
  <c r="N37" i="13"/>
  <c r="J234" i="13"/>
  <c r="J74" i="14" s="1"/>
  <c r="J74" i="13"/>
  <c r="S292" i="13"/>
  <c r="S132" i="14" s="1"/>
  <c r="S132" i="13"/>
  <c r="J194" i="13"/>
  <c r="J34" i="14" s="1"/>
  <c r="J34" i="13"/>
  <c r="T193" i="17"/>
  <c r="T33" i="18" s="1"/>
  <c r="T193" i="18" s="1"/>
  <c r="T33" i="17"/>
  <c r="U292" i="17"/>
  <c r="U132" i="17"/>
  <c r="J304" i="13"/>
  <c r="J144" i="14" s="1"/>
  <c r="J144" i="13"/>
  <c r="L185" i="17"/>
  <c r="L25" i="17"/>
  <c r="I202" i="17"/>
  <c r="I42" i="18" s="1"/>
  <c r="I202" i="18" s="1"/>
  <c r="I42" i="17"/>
  <c r="G219" i="17"/>
  <c r="G59" i="18" s="1"/>
  <c r="G59" i="17"/>
  <c r="H78" i="18"/>
  <c r="H240" i="18" s="1"/>
  <c r="H78" i="15"/>
  <c r="L280" i="13"/>
  <c r="L120" i="14" s="1"/>
  <c r="L120" i="13"/>
  <c r="G136" i="18"/>
  <c r="G136" i="15"/>
  <c r="G188" i="17"/>
  <c r="G28" i="18" s="1"/>
  <c r="G28" i="17"/>
  <c r="H206" i="13"/>
  <c r="H46" i="14" s="1"/>
  <c r="H46" i="13"/>
  <c r="H212" i="17"/>
  <c r="H52" i="17"/>
  <c r="J242" i="13"/>
  <c r="J82" i="14" s="1"/>
  <c r="J82" i="13"/>
  <c r="J279" i="13"/>
  <c r="J119" i="14" s="1"/>
  <c r="J119" i="13"/>
  <c r="L279" i="17"/>
  <c r="L119" i="17"/>
  <c r="T286" i="13"/>
  <c r="T126" i="14" s="1"/>
  <c r="T126" i="13"/>
  <c r="I302" i="17"/>
  <c r="I142" i="17"/>
  <c r="L309" i="17"/>
  <c r="L149" i="17"/>
  <c r="K211" i="17"/>
  <c r="K51" i="17"/>
  <c r="I252" i="17"/>
  <c r="I92" i="17"/>
  <c r="O286" i="13"/>
  <c r="O126" i="14" s="1"/>
  <c r="O126" i="13"/>
  <c r="J306" i="17"/>
  <c r="J146" i="17"/>
  <c r="G304" i="13"/>
  <c r="G144" i="14" s="1"/>
  <c r="G144" i="13"/>
  <c r="U197" i="13"/>
  <c r="U37" i="14" s="1"/>
  <c r="U37" i="13"/>
  <c r="M235" i="17"/>
  <c r="M75" i="17"/>
  <c r="M259" i="13"/>
  <c r="M99" i="14" s="1"/>
  <c r="M99" i="13"/>
  <c r="G273" i="17"/>
  <c r="G113" i="17"/>
  <c r="J273" i="13"/>
  <c r="J113" i="14" s="1"/>
  <c r="J113" i="13"/>
  <c r="H21" i="18"/>
  <c r="H181" i="18" s="1"/>
  <c r="H21" i="15"/>
  <c r="K194" i="13"/>
  <c r="K34" i="14" s="1"/>
  <c r="K34" i="13"/>
  <c r="N232" i="13"/>
  <c r="N72" i="14" s="1"/>
  <c r="N72" i="13"/>
  <c r="I251" i="13"/>
  <c r="I91" i="13"/>
  <c r="T264" i="17"/>
  <c r="T104" i="17"/>
  <c r="J296" i="13"/>
  <c r="J136" i="14" s="1"/>
  <c r="J136" i="13"/>
  <c r="P181" i="17"/>
  <c r="P21" i="17"/>
  <c r="L201" i="13"/>
  <c r="L41" i="14" s="1"/>
  <c r="L41" i="13"/>
  <c r="M218" i="17"/>
  <c r="M58" i="17"/>
  <c r="V264" i="17"/>
  <c r="V104" i="17"/>
  <c r="L283" i="13"/>
  <c r="L123" i="14" s="1"/>
  <c r="L123" i="13"/>
  <c r="L296" i="17"/>
  <c r="L136" i="17"/>
  <c r="M177" i="17"/>
  <c r="M17" i="17"/>
  <c r="T238" i="13"/>
  <c r="T78" i="14" s="1"/>
  <c r="T78" i="13"/>
  <c r="K172" i="17"/>
  <c r="K12" i="17"/>
  <c r="J186" i="17"/>
  <c r="J26" i="17"/>
  <c r="Z185" i="17"/>
  <c r="Z25" i="17"/>
  <c r="L217" i="13"/>
  <c r="L57" i="14" s="1"/>
  <c r="L57" i="13"/>
  <c r="K242" i="17"/>
  <c r="K82" i="17"/>
  <c r="I306" i="17"/>
  <c r="I146" i="17"/>
  <c r="L181" i="13"/>
  <c r="L21" i="14" s="1"/>
  <c r="L21" i="13"/>
  <c r="P197" i="17"/>
  <c r="P37" i="17"/>
  <c r="I45" i="16"/>
  <c r="J71" i="16"/>
  <c r="L233" i="13"/>
  <c r="L73" i="14" s="1"/>
  <c r="L73" i="13"/>
  <c r="V304" i="13"/>
  <c r="V144" i="14" s="1"/>
  <c r="V144" i="13"/>
  <c r="G316" i="17"/>
  <c r="G156" i="18" s="1"/>
  <c r="G156" i="17"/>
  <c r="Z21" i="16"/>
  <c r="I207" i="13"/>
  <c r="I47" i="14" s="1"/>
  <c r="I47" i="13"/>
  <c r="K218" i="13"/>
  <c r="K58" i="14" s="1"/>
  <c r="K58" i="13"/>
  <c r="H242" i="17"/>
  <c r="H82" i="18" s="1"/>
  <c r="H244" i="18" s="1"/>
  <c r="H82" i="17"/>
  <c r="P286" i="13"/>
  <c r="P126" i="14" s="1"/>
  <c r="P126" i="13"/>
  <c r="O37" i="16"/>
  <c r="T206" i="13"/>
  <c r="T46" i="14" s="1"/>
  <c r="T46" i="13"/>
  <c r="J227" i="13"/>
  <c r="J67" i="14" s="1"/>
  <c r="J67" i="13"/>
  <c r="J258" i="13"/>
  <c r="J98" i="14" s="1"/>
  <c r="J98" i="13"/>
  <c r="K271" i="13"/>
  <c r="K111" i="14" s="1"/>
  <c r="K111" i="13"/>
  <c r="M292" i="13"/>
  <c r="M132" i="14" s="1"/>
  <c r="M132" i="13"/>
  <c r="N144" i="16"/>
  <c r="L8" i="15"/>
  <c r="K24" i="16"/>
  <c r="Y28" i="16"/>
  <c r="J200" i="13"/>
  <c r="J40" i="14" s="1"/>
  <c r="J40" i="13"/>
  <c r="O58" i="16"/>
  <c r="I74" i="16"/>
  <c r="T21" i="16"/>
  <c r="J289" i="13"/>
  <c r="J129" i="14" s="1"/>
  <c r="Q132" i="16"/>
  <c r="L145" i="16"/>
  <c r="K44" i="16"/>
  <c r="L50" i="16"/>
  <c r="P185" i="13"/>
  <c r="P25" i="14" s="1"/>
  <c r="P25" i="13"/>
  <c r="L52" i="16"/>
  <c r="N238" i="13"/>
  <c r="N78" i="14" s="1"/>
  <c r="N78" i="13"/>
  <c r="Q264" i="13"/>
  <c r="Q104" i="14" s="1"/>
  <c r="Q104" i="13"/>
  <c r="N286" i="13"/>
  <c r="N126" i="14" s="1"/>
  <c r="N126" i="13"/>
  <c r="K294" i="13"/>
  <c r="K134" i="14" s="1"/>
  <c r="K134" i="13"/>
  <c r="J195" i="13"/>
  <c r="J35" i="14" s="1"/>
  <c r="J35" i="13"/>
  <c r="J201" i="13"/>
  <c r="J41" i="14" s="1"/>
  <c r="J41" i="13"/>
  <c r="V56" i="16"/>
  <c r="K87" i="16"/>
  <c r="I257" i="13"/>
  <c r="I97" i="14" s="1"/>
  <c r="I97" i="13"/>
  <c r="K258" i="13"/>
  <c r="K98" i="14" s="1"/>
  <c r="K98" i="13"/>
  <c r="J278" i="13"/>
  <c r="J118" i="14" s="1"/>
  <c r="J118" i="13"/>
  <c r="M306" i="13"/>
  <c r="M146" i="14" s="1"/>
  <c r="M146" i="13"/>
  <c r="G121" i="15"/>
  <c r="K188" i="13"/>
  <c r="K28" i="14" s="1"/>
  <c r="K28" i="13"/>
  <c r="H211" i="17"/>
  <c r="H51" i="18" s="1"/>
  <c r="H211" i="18" s="1"/>
  <c r="H51" i="17"/>
  <c r="H291" i="17"/>
  <c r="H131" i="18" s="1"/>
  <c r="H131" i="17"/>
  <c r="I16" i="15"/>
  <c r="J86" i="16"/>
  <c r="K264" i="13"/>
  <c r="K104" i="14" s="1"/>
  <c r="K104" i="13"/>
  <c r="G132" i="15"/>
  <c r="S37" i="16"/>
  <c r="W235" i="13"/>
  <c r="W75" i="14" s="1"/>
  <c r="W75" i="13"/>
  <c r="J21" i="16"/>
  <c r="H204" i="17"/>
  <c r="H44" i="17"/>
  <c r="M211" i="17"/>
  <c r="M51" i="17"/>
  <c r="I239" i="13"/>
  <c r="I79" i="14" s="1"/>
  <c r="I79" i="13"/>
  <c r="H120" i="13"/>
  <c r="K203" i="13"/>
  <c r="K43" i="14" s="1"/>
  <c r="K43" i="13"/>
  <c r="H136" i="15"/>
  <c r="M186" i="17"/>
  <c r="M26" i="17"/>
  <c r="L228" i="17"/>
  <c r="I254" i="13"/>
  <c r="I94" i="14" s="1"/>
  <c r="I94" i="13"/>
  <c r="I286" i="17"/>
  <c r="I126" i="17"/>
  <c r="K207" i="17"/>
  <c r="K47" i="17"/>
  <c r="L222" i="13"/>
  <c r="L62" i="14" s="1"/>
  <c r="L62" i="13"/>
  <c r="H131" i="15"/>
  <c r="H143" i="15"/>
  <c r="H185" i="13"/>
  <c r="H25" i="14" s="1"/>
  <c r="H25" i="13"/>
  <c r="M209" i="17"/>
  <c r="I255" i="17"/>
  <c r="I95" i="17"/>
  <c r="M257" i="17"/>
  <c r="M97" i="17"/>
  <c r="L264" i="13"/>
  <c r="L104" i="14" s="1"/>
  <c r="L104" i="13"/>
  <c r="Y286" i="13"/>
  <c r="Y126" i="14" s="1"/>
  <c r="Y126" i="13"/>
  <c r="G106" i="15"/>
  <c r="P304" i="13"/>
  <c r="P144" i="14" s="1"/>
  <c r="P144" i="13"/>
  <c r="J305" i="13"/>
  <c r="J145" i="14" s="1"/>
  <c r="J145" i="13"/>
  <c r="G294" i="17"/>
  <c r="G134" i="18" s="1"/>
  <c r="G134" i="17"/>
  <c r="H180" i="13"/>
  <c r="H20" i="14" s="1"/>
  <c r="H20" i="13"/>
  <c r="K191" i="17"/>
  <c r="K31" i="17"/>
  <c r="L211" i="17"/>
  <c r="L51" i="17"/>
  <c r="K276" i="13"/>
  <c r="K116" i="14" s="1"/>
  <c r="K116" i="13"/>
  <c r="K302" i="13"/>
  <c r="K142" i="13"/>
  <c r="M172" i="17"/>
  <c r="M12" i="17"/>
  <c r="I186" i="13"/>
  <c r="I26" i="13"/>
  <c r="I219" i="13"/>
  <c r="I59" i="14" s="1"/>
  <c r="I59" i="13"/>
  <c r="G258" i="13"/>
  <c r="G98" i="14" s="1"/>
  <c r="G98" i="13"/>
  <c r="J269" i="17"/>
  <c r="J109" i="17"/>
  <c r="M302" i="17"/>
  <c r="M142" i="17"/>
  <c r="S177" i="13"/>
  <c r="S17" i="14" s="1"/>
  <c r="S17" i="13"/>
  <c r="V33" i="15"/>
  <c r="I247" i="13"/>
  <c r="I87" i="14" s="1"/>
  <c r="I87" i="13"/>
  <c r="Z238" i="13"/>
  <c r="Z78" i="14" s="1"/>
  <c r="Z78" i="13"/>
  <c r="H247" i="13"/>
  <c r="H87" i="14" s="1"/>
  <c r="H87" i="13"/>
  <c r="J266" i="17"/>
  <c r="J106" i="17"/>
  <c r="I213" i="17"/>
  <c r="I53" i="17"/>
  <c r="J265" i="13"/>
  <c r="J105" i="14" s="1"/>
  <c r="J105" i="13"/>
  <c r="J290" i="13"/>
  <c r="J130" i="13"/>
  <c r="K132" i="16"/>
  <c r="R78" i="16"/>
  <c r="I266" i="13"/>
  <c r="I106" i="14" s="1"/>
  <c r="I106" i="13"/>
  <c r="J274" i="13"/>
  <c r="J114" i="14" s="1"/>
  <c r="J114" i="13"/>
  <c r="W126" i="16"/>
  <c r="R21" i="16"/>
  <c r="N33" i="15"/>
  <c r="N56" i="16"/>
  <c r="I168" i="17"/>
  <c r="I8" i="18" s="1"/>
  <c r="I168" i="18" s="1"/>
  <c r="I8" i="17"/>
  <c r="I176" i="17"/>
  <c r="I16" i="18" s="1"/>
  <c r="I176" i="18" s="1"/>
  <c r="I16" i="17"/>
  <c r="K185" i="17"/>
  <c r="K25" i="17"/>
  <c r="I44" i="16"/>
  <c r="Q218" i="13"/>
  <c r="Q58" i="14" s="1"/>
  <c r="Q58" i="13"/>
  <c r="P218" i="13"/>
  <c r="P58" i="14" s="1"/>
  <c r="P58" i="13"/>
  <c r="I156" i="16"/>
  <c r="I22" i="16"/>
  <c r="L186" i="13"/>
  <c r="L26" i="14" s="1"/>
  <c r="L26" i="13"/>
  <c r="S132" i="16"/>
  <c r="L317" i="13"/>
  <c r="L157" i="13"/>
  <c r="J34" i="16"/>
  <c r="U218" i="13"/>
  <c r="U58" i="14" s="1"/>
  <c r="U58" i="13"/>
  <c r="K315" i="13"/>
  <c r="K155" i="14" s="1"/>
  <c r="K155" i="13"/>
  <c r="J144" i="16"/>
  <c r="M219" i="13"/>
  <c r="M59" i="14" s="1"/>
  <c r="M59" i="13"/>
  <c r="Q235" i="13"/>
  <c r="Q75" i="14" s="1"/>
  <c r="Q75" i="13"/>
  <c r="P238" i="13"/>
  <c r="P78" i="14" s="1"/>
  <c r="P78" i="13"/>
  <c r="U286" i="13"/>
  <c r="U126" i="14" s="1"/>
  <c r="U126" i="13"/>
  <c r="I289" i="17"/>
  <c r="I129" i="17"/>
  <c r="J173" i="13"/>
  <c r="J13" i="14" s="1"/>
  <c r="J13" i="13"/>
  <c r="K177" i="13"/>
  <c r="K17" i="14" s="1"/>
  <c r="K17" i="13"/>
  <c r="H46" i="16"/>
  <c r="J82" i="16"/>
  <c r="I264" i="13"/>
  <c r="I104" i="14" s="1"/>
  <c r="I104" i="13"/>
  <c r="J119" i="16"/>
  <c r="M188" i="13"/>
  <c r="M28" i="14" s="1"/>
  <c r="M28" i="13"/>
  <c r="I191" i="13"/>
  <c r="I31" i="14" s="1"/>
  <c r="I31" i="13"/>
  <c r="N193" i="17"/>
  <c r="N33" i="18" s="1"/>
  <c r="N193" i="18" s="1"/>
  <c r="N33" i="17"/>
  <c r="J211" i="13"/>
  <c r="J51" i="14" s="1"/>
  <c r="J51" i="13"/>
  <c r="L242" i="13"/>
  <c r="L82" i="14" s="1"/>
  <c r="L82" i="13"/>
  <c r="J115" i="14"/>
  <c r="K211" i="13"/>
  <c r="K51" i="14" s="1"/>
  <c r="K51" i="13"/>
  <c r="I252" i="13"/>
  <c r="I92" i="14" s="1"/>
  <c r="I92" i="13"/>
  <c r="O126" i="16"/>
  <c r="J306" i="13"/>
  <c r="J146" i="14" s="1"/>
  <c r="J146" i="13"/>
  <c r="Q177" i="13"/>
  <c r="Q17" i="14" s="1"/>
  <c r="Q17" i="13"/>
  <c r="U37" i="16"/>
  <c r="M228" i="13"/>
  <c r="M68" i="14" s="1"/>
  <c r="G222" i="18"/>
  <c r="M99" i="16"/>
  <c r="G273" i="13"/>
  <c r="G113" i="14" s="1"/>
  <c r="G113" i="13"/>
  <c r="I194" i="17"/>
  <c r="I34" i="17"/>
  <c r="K239" i="17"/>
  <c r="J273" i="17"/>
  <c r="J113" i="17"/>
  <c r="U188" i="13"/>
  <c r="U28" i="14" s="1"/>
  <c r="U28" i="13"/>
  <c r="Y197" i="13"/>
  <c r="Y37" i="14" s="1"/>
  <c r="Y37" i="13"/>
  <c r="N232" i="17"/>
  <c r="N72" i="17"/>
  <c r="J296" i="17"/>
  <c r="J136" i="17"/>
  <c r="G30" i="18"/>
  <c r="G30" i="15"/>
  <c r="L201" i="17"/>
  <c r="L41" i="17"/>
  <c r="J239" i="13"/>
  <c r="J79" i="14" s="1"/>
  <c r="L283" i="17"/>
  <c r="L123" i="17"/>
  <c r="K170" i="13"/>
  <c r="K10" i="14" s="1"/>
  <c r="K10" i="13"/>
  <c r="I195" i="13"/>
  <c r="I35" i="14" s="1"/>
  <c r="I35" i="13"/>
  <c r="T238" i="17"/>
  <c r="T78" i="17"/>
  <c r="J303" i="13"/>
  <c r="J143" i="14" s="1"/>
  <c r="J143" i="13"/>
  <c r="M170" i="13"/>
  <c r="M10" i="14" s="1"/>
  <c r="M10" i="13"/>
  <c r="P177" i="13"/>
  <c r="P17" i="14" s="1"/>
  <c r="P17" i="13"/>
  <c r="J186" i="13"/>
  <c r="J26" i="14" s="1"/>
  <c r="J26" i="13"/>
  <c r="K235" i="13"/>
  <c r="K75" i="14" s="1"/>
  <c r="K75" i="13"/>
  <c r="J238" i="13"/>
  <c r="J78" i="14" s="1"/>
  <c r="J78" i="13"/>
  <c r="J251" i="13"/>
  <c r="J91" i="14" s="1"/>
  <c r="J91" i="13"/>
  <c r="K267" i="13"/>
  <c r="K107" i="14" s="1"/>
  <c r="K107" i="13"/>
  <c r="H196" i="17"/>
  <c r="H36" i="18" s="1"/>
  <c r="H196" i="18" s="1"/>
  <c r="H36" i="17"/>
  <c r="L57" i="16"/>
  <c r="K242" i="13"/>
  <c r="K82" i="14" s="1"/>
  <c r="K82" i="13"/>
  <c r="X286" i="17"/>
  <c r="X126" i="17"/>
  <c r="J310" i="13"/>
  <c r="J150" i="14" s="1"/>
  <c r="J150" i="13"/>
  <c r="L21" i="16"/>
  <c r="L203" i="13"/>
  <c r="L43" i="14" s="1"/>
  <c r="L43" i="13"/>
  <c r="J207" i="17"/>
  <c r="J47" i="17"/>
  <c r="H216" i="17"/>
  <c r="H56" i="18" s="1"/>
  <c r="H216" i="18" s="1"/>
  <c r="H56" i="17"/>
  <c r="L233" i="17"/>
  <c r="L73" i="17"/>
  <c r="V304" i="17"/>
  <c r="V144" i="17"/>
  <c r="U177" i="13"/>
  <c r="U17" i="14" s="1"/>
  <c r="U17" i="13"/>
  <c r="I47" i="16"/>
  <c r="K58" i="16"/>
  <c r="L266" i="17"/>
  <c r="L106" i="17"/>
  <c r="L180" i="13"/>
  <c r="L20" i="14" s="1"/>
  <c r="L20" i="13"/>
  <c r="M194" i="17"/>
  <c r="M34" i="17"/>
  <c r="L195" i="13"/>
  <c r="L35" i="14" s="1"/>
  <c r="L35" i="13"/>
  <c r="L200" i="13"/>
  <c r="L40" i="14" s="1"/>
  <c r="L40" i="13"/>
  <c r="K42" i="18"/>
  <c r="K202" i="18" s="1"/>
  <c r="K42" i="15"/>
  <c r="T46" i="16"/>
  <c r="I220" i="13"/>
  <c r="I60" i="14" s="1"/>
  <c r="I60" i="13"/>
  <c r="N231" i="13"/>
  <c r="N71" i="14" s="1"/>
  <c r="N71" i="13"/>
  <c r="J67" i="16"/>
  <c r="J98" i="16"/>
  <c r="K111" i="16"/>
  <c r="H96" i="18"/>
  <c r="H260" i="18" s="1"/>
  <c r="H96" i="15"/>
  <c r="M132" i="16"/>
  <c r="J291" i="13"/>
  <c r="J131" i="14" s="1"/>
  <c r="J131" i="13"/>
  <c r="L318" i="13"/>
  <c r="L158" i="14" s="1"/>
  <c r="L158" i="13"/>
  <c r="H186" i="17"/>
  <c r="H26" i="17"/>
  <c r="J40" i="16"/>
  <c r="K220" i="13"/>
  <c r="K60" i="14" s="1"/>
  <c r="K60" i="13"/>
  <c r="K217" i="17"/>
  <c r="K57" i="17"/>
  <c r="M307" i="13"/>
  <c r="M147" i="14" s="1"/>
  <c r="M147" i="13"/>
  <c r="L292" i="17"/>
  <c r="L132" i="17"/>
  <c r="I180" i="17"/>
  <c r="I20" i="17"/>
  <c r="G203" i="17"/>
  <c r="G43" i="17"/>
  <c r="N264" i="13"/>
  <c r="N104" i="14" s="1"/>
  <c r="N104" i="13"/>
  <c r="R177" i="17"/>
  <c r="R17" i="17"/>
  <c r="P25" i="16"/>
  <c r="M204" i="13"/>
  <c r="M44" i="14" s="1"/>
  <c r="M44" i="13"/>
  <c r="T216" i="13"/>
  <c r="T56" i="14" s="1"/>
  <c r="T56" i="13"/>
  <c r="N78" i="16"/>
  <c r="R264" i="13"/>
  <c r="R104" i="14" s="1"/>
  <c r="R104" i="13"/>
  <c r="K134" i="16"/>
  <c r="H158" i="17"/>
  <c r="H318" i="17"/>
  <c r="L182" i="13"/>
  <c r="L22" i="14" s="1"/>
  <c r="L22" i="13"/>
  <c r="J195" i="17"/>
  <c r="J35" i="17"/>
  <c r="J201" i="17"/>
  <c r="J41" i="17"/>
  <c r="J222" i="13"/>
  <c r="J62" i="14" s="1"/>
  <c r="J62" i="13"/>
  <c r="L263" i="13"/>
  <c r="L103" i="13"/>
  <c r="J118" i="16"/>
  <c r="M146" i="16"/>
  <c r="K188" i="17"/>
  <c r="K28" i="17"/>
  <c r="Y218" i="13"/>
  <c r="Y58" i="14" s="1"/>
  <c r="Y58" i="13"/>
  <c r="P232" i="13"/>
  <c r="P72" i="14" s="1"/>
  <c r="P72" i="13"/>
  <c r="G250" i="17"/>
  <c r="G90" i="17"/>
  <c r="I259" i="13"/>
  <c r="I99" i="13"/>
  <c r="W75" i="16"/>
  <c r="Q188" i="13"/>
  <c r="Q28" i="14" s="1"/>
  <c r="Q28" i="13"/>
  <c r="H204" i="13"/>
  <c r="H44" i="14" s="1"/>
  <c r="H44" i="13"/>
  <c r="N211" i="13"/>
  <c r="N51" i="14" s="1"/>
  <c r="N51" i="13"/>
  <c r="M211" i="13"/>
  <c r="M51" i="14" s="1"/>
  <c r="M51" i="13"/>
  <c r="I79" i="16"/>
  <c r="X238" i="13"/>
  <c r="X78" i="14" s="1"/>
  <c r="X78" i="13"/>
  <c r="Q286" i="13"/>
  <c r="Q126" i="14" s="1"/>
  <c r="Q126" i="13"/>
  <c r="J257" i="13"/>
  <c r="J97" i="14" s="1"/>
  <c r="J97" i="13"/>
  <c r="J247" i="17"/>
  <c r="J87" i="17"/>
  <c r="I94" i="16"/>
  <c r="H273" i="17"/>
  <c r="H113" i="18" s="1"/>
  <c r="H280" i="18" s="1"/>
  <c r="H113" i="17"/>
  <c r="X304" i="13"/>
  <c r="X144" i="14" s="1"/>
  <c r="X144" i="13"/>
  <c r="L315" i="17"/>
  <c r="L155" i="17"/>
  <c r="K15" i="17"/>
  <c r="J191" i="17"/>
  <c r="J31" i="17"/>
  <c r="H51" i="15"/>
  <c r="L62" i="16"/>
  <c r="I217" i="17"/>
  <c r="I57" i="17"/>
  <c r="K253" i="13"/>
  <c r="K93" i="14" s="1"/>
  <c r="K93" i="13"/>
  <c r="H25" i="16"/>
  <c r="M257" i="13"/>
  <c r="M97" i="14" s="1"/>
  <c r="M97" i="13"/>
  <c r="L104" i="16"/>
  <c r="Y126" i="16"/>
  <c r="H286" i="17"/>
  <c r="H126" i="17"/>
  <c r="P144" i="16"/>
  <c r="J145" i="16"/>
  <c r="I177" i="13"/>
  <c r="I17" i="14" s="1"/>
  <c r="I17" i="13"/>
  <c r="H20" i="16"/>
  <c r="L206" i="13"/>
  <c r="L46" i="14" s="1"/>
  <c r="L46" i="13"/>
  <c r="K234" i="13"/>
  <c r="K74" i="14" s="1"/>
  <c r="K74" i="13"/>
  <c r="Z264" i="13"/>
  <c r="Z104" i="14" s="1"/>
  <c r="Z104" i="13"/>
  <c r="K116" i="16"/>
  <c r="L303" i="13"/>
  <c r="L143" i="14" s="1"/>
  <c r="L143" i="13"/>
  <c r="K142" i="16"/>
  <c r="I26" i="16"/>
  <c r="M191" i="13"/>
  <c r="M31" i="14" s="1"/>
  <c r="M31" i="13"/>
  <c r="I59" i="16"/>
  <c r="J233" i="13"/>
  <c r="J73" i="14" s="1"/>
  <c r="J73" i="13"/>
  <c r="O264" i="17"/>
  <c r="O104" i="17"/>
  <c r="P292" i="13"/>
  <c r="P132" i="14" s="1"/>
  <c r="P132" i="13"/>
  <c r="S17" i="16"/>
  <c r="S188" i="13"/>
  <c r="S28" i="14" s="1"/>
  <c r="S28" i="13"/>
  <c r="I87" i="16"/>
  <c r="Z78" i="16"/>
  <c r="J266" i="13"/>
  <c r="J106" i="14" s="1"/>
  <c r="J106" i="13"/>
  <c r="X28" i="15"/>
  <c r="J105" i="16"/>
  <c r="J130" i="16"/>
  <c r="X177" i="17"/>
  <c r="X17" i="17"/>
  <c r="J189" i="13"/>
  <c r="J29" i="14" s="1"/>
  <c r="J29" i="13"/>
  <c r="I106" i="16"/>
  <c r="J114" i="16"/>
  <c r="R286" i="17"/>
  <c r="R126" i="17"/>
  <c r="I172" i="13"/>
  <c r="I12" i="14" s="1"/>
  <c r="I12" i="13"/>
  <c r="L191" i="17"/>
  <c r="L31" i="17"/>
  <c r="N218" i="17"/>
  <c r="N58" i="17"/>
  <c r="V181" i="17"/>
  <c r="V21" i="17"/>
  <c r="K185" i="13"/>
  <c r="K25" i="14" s="1"/>
  <c r="K25" i="13"/>
  <c r="H200" i="13"/>
  <c r="H40" i="14" s="1"/>
  <c r="H40" i="13"/>
  <c r="J210" i="13"/>
  <c r="J50" i="14" s="1"/>
  <c r="J50" i="13"/>
  <c r="Q58" i="16"/>
  <c r="L246" i="13"/>
  <c r="L86" i="14" s="1"/>
  <c r="L86" i="13"/>
  <c r="L275" i="13"/>
  <c r="L115" i="14" s="1"/>
  <c r="L115" i="13"/>
  <c r="L126" i="16"/>
  <c r="I315" i="13"/>
  <c r="I155" i="14" s="1"/>
  <c r="I155" i="13"/>
  <c r="L157" i="16"/>
  <c r="J204" i="13"/>
  <c r="J44" i="14" s="1"/>
  <c r="U58" i="16"/>
  <c r="K155" i="16"/>
  <c r="J155" i="16"/>
  <c r="V17" i="16"/>
  <c r="M59" i="16"/>
  <c r="Q75" i="16"/>
  <c r="P78" i="16"/>
  <c r="G235" i="17"/>
  <c r="G75" i="18" s="1"/>
  <c r="G75" i="17"/>
  <c r="I91" i="14"/>
  <c r="U126" i="16"/>
  <c r="I289" i="13"/>
  <c r="I129" i="14" s="1"/>
  <c r="I129" i="13"/>
  <c r="J13" i="16"/>
  <c r="K17" i="16"/>
  <c r="G51" i="16"/>
  <c r="J94" i="18"/>
  <c r="J258" i="18" s="1"/>
  <c r="J94" i="15"/>
  <c r="L284" i="13"/>
  <c r="L124" i="14" s="1"/>
  <c r="L124" i="13"/>
  <c r="J180" i="13"/>
  <c r="J20" i="14" s="1"/>
  <c r="J20" i="13"/>
  <c r="M28" i="16"/>
  <c r="I31" i="16"/>
  <c r="J37" i="16"/>
  <c r="J51" i="16"/>
  <c r="L82" i="16"/>
  <c r="L258" i="13"/>
  <c r="L98" i="14" s="1"/>
  <c r="L98" i="13"/>
  <c r="G126" i="18"/>
  <c r="G126" i="15"/>
  <c r="M104" i="16"/>
  <c r="Q17" i="16"/>
  <c r="M68" i="16"/>
  <c r="T304" i="13"/>
  <c r="T144" i="14" s="1"/>
  <c r="T144" i="13"/>
  <c r="I194" i="13"/>
  <c r="I34" i="14" s="1"/>
  <c r="I34" i="13"/>
  <c r="U28" i="16"/>
  <c r="Y37" i="16"/>
  <c r="W292" i="13"/>
  <c r="W132" i="14" s="1"/>
  <c r="W132" i="13"/>
  <c r="G8" i="18"/>
  <c r="G8" i="15"/>
  <c r="T185" i="13"/>
  <c r="T25" i="14" s="1"/>
  <c r="T25" i="13"/>
  <c r="H37" i="16"/>
  <c r="J132" i="16"/>
  <c r="K10" i="16"/>
  <c r="Z216" i="13"/>
  <c r="Z56" i="14" s="1"/>
  <c r="Z56" i="13"/>
  <c r="H223" i="13"/>
  <c r="H63" i="14" s="1"/>
  <c r="H63" i="13"/>
  <c r="M253" i="13"/>
  <c r="M93" i="14" s="1"/>
  <c r="M93" i="13"/>
  <c r="H98" i="15"/>
  <c r="J143" i="16"/>
  <c r="M10" i="16"/>
  <c r="K75" i="16"/>
  <c r="J78" i="16"/>
  <c r="J91" i="16"/>
  <c r="K107" i="16"/>
  <c r="G177" i="13"/>
  <c r="G17" i="14" s="1"/>
  <c r="G17" i="13"/>
  <c r="O24" i="14"/>
  <c r="L238" i="13"/>
  <c r="L78" i="14" s="1"/>
  <c r="L78" i="13"/>
  <c r="M107" i="13"/>
  <c r="X286" i="13"/>
  <c r="X126" i="14" s="1"/>
  <c r="X126" i="13"/>
  <c r="J150" i="16"/>
  <c r="P197" i="13"/>
  <c r="P37" i="14" s="1"/>
  <c r="P37" i="13"/>
  <c r="L43" i="16"/>
  <c r="P211" i="13"/>
  <c r="P51" i="14" s="1"/>
  <c r="P51" i="13"/>
  <c r="J207" i="13"/>
  <c r="J47" i="14" s="1"/>
  <c r="J47" i="13"/>
  <c r="T58" i="16"/>
  <c r="J252" i="13"/>
  <c r="J92" i="14" s="1"/>
  <c r="J92" i="13"/>
  <c r="G276" i="13"/>
  <c r="G116" i="14" s="1"/>
  <c r="G116" i="13"/>
  <c r="K306" i="13"/>
  <c r="K146" i="14" s="1"/>
  <c r="K146" i="13"/>
  <c r="U17" i="16"/>
  <c r="L16" i="15"/>
  <c r="R206" i="13"/>
  <c r="R46" i="14" s="1"/>
  <c r="R46" i="13"/>
  <c r="J58" i="16"/>
  <c r="L266" i="13"/>
  <c r="L106" i="14" s="1"/>
  <c r="L106" i="13"/>
  <c r="J318" i="13"/>
  <c r="J158" i="14" s="1"/>
  <c r="J158" i="13"/>
  <c r="W177" i="13"/>
  <c r="W17" i="14" s="1"/>
  <c r="W17" i="13"/>
  <c r="L20" i="16"/>
  <c r="M194" i="13"/>
  <c r="M34" i="14" s="1"/>
  <c r="M34" i="13"/>
  <c r="L35" i="16"/>
  <c r="L40" i="16"/>
  <c r="I60" i="16"/>
  <c r="N71" i="16"/>
  <c r="J131" i="16"/>
  <c r="L158" i="16"/>
  <c r="J24" i="18"/>
  <c r="J184" i="18" s="1"/>
  <c r="J24" i="15"/>
  <c r="H186" i="13"/>
  <c r="H26" i="14" s="1"/>
  <c r="H26" i="13"/>
  <c r="V206" i="13"/>
  <c r="V46" i="14" s="1"/>
  <c r="V46" i="13"/>
  <c r="K60" i="16"/>
  <c r="K217" i="13"/>
  <c r="K57" i="14" s="1"/>
  <c r="K57" i="13"/>
  <c r="L79" i="16"/>
  <c r="H104" i="15"/>
  <c r="M147" i="16"/>
  <c r="L292" i="13"/>
  <c r="L132" i="14" s="1"/>
  <c r="L132" i="13"/>
  <c r="I180" i="13"/>
  <c r="I20" i="14" s="1"/>
  <c r="I20" i="13"/>
  <c r="L202" i="13"/>
  <c r="L42" i="14" s="1"/>
  <c r="L42" i="13"/>
  <c r="G203" i="13"/>
  <c r="G43" i="13"/>
  <c r="N104" i="16"/>
  <c r="R177" i="13"/>
  <c r="R17" i="14" s="1"/>
  <c r="R17" i="13"/>
  <c r="H36" i="15"/>
  <c r="K92" i="16"/>
  <c r="W197" i="13"/>
  <c r="W37" i="14" s="1"/>
  <c r="W37" i="13"/>
  <c r="M44" i="16"/>
  <c r="T56" i="16"/>
  <c r="R104" i="16"/>
  <c r="L310" i="13"/>
  <c r="L150" i="14" s="1"/>
  <c r="L150" i="13"/>
  <c r="H296" i="17"/>
  <c r="H136" i="18" s="1"/>
  <c r="H303" i="18" s="1"/>
  <c r="H136" i="17"/>
  <c r="J190" i="13"/>
  <c r="J30" i="14" s="1"/>
  <c r="J30" i="13"/>
  <c r="J62" i="16"/>
  <c r="L103" i="16"/>
  <c r="I184" i="13"/>
  <c r="I24" i="14" s="1"/>
  <c r="I24" i="13"/>
  <c r="Y58" i="16"/>
  <c r="P72" i="16"/>
  <c r="G250" i="13"/>
  <c r="G90" i="14" s="1"/>
  <c r="G90" i="13"/>
  <c r="L277" i="13"/>
  <c r="L117" i="14" s="1"/>
  <c r="L117" i="13"/>
  <c r="I281" i="13"/>
  <c r="I121" i="14" s="1"/>
  <c r="I121" i="13"/>
  <c r="O144" i="16"/>
  <c r="I99" i="16"/>
  <c r="G94" i="18"/>
  <c r="G94" i="15"/>
  <c r="O292" i="13"/>
  <c r="O132" i="14" s="1"/>
  <c r="O132" i="13"/>
  <c r="P216" i="13"/>
  <c r="P56" i="14" s="1"/>
  <c r="P56" i="13"/>
  <c r="V238" i="13"/>
  <c r="V78" i="14" s="1"/>
  <c r="V78" i="13"/>
  <c r="Q28" i="16"/>
  <c r="N51" i="16"/>
  <c r="X78" i="16"/>
  <c r="P264" i="13"/>
  <c r="P104" i="14" s="1"/>
  <c r="P104" i="13"/>
  <c r="Q126" i="16"/>
  <c r="O235" i="13"/>
  <c r="O75" i="14" s="1"/>
  <c r="O75" i="13"/>
  <c r="J97" i="16"/>
  <c r="G57" i="16"/>
  <c r="G218" i="17"/>
  <c r="G58" i="17"/>
  <c r="J247" i="13"/>
  <c r="J87" i="14" s="1"/>
  <c r="J87" i="13"/>
  <c r="X144" i="16"/>
  <c r="L315" i="13"/>
  <c r="L155" i="14" s="1"/>
  <c r="L155" i="13"/>
  <c r="J185" i="13"/>
  <c r="J25" i="14" s="1"/>
  <c r="J25" i="13"/>
  <c r="J191" i="13"/>
  <c r="J31" i="14" s="1"/>
  <c r="J31" i="13"/>
  <c r="I217" i="13"/>
  <c r="I57" i="14" s="1"/>
  <c r="I57" i="13"/>
  <c r="K93" i="16"/>
  <c r="Y292" i="13"/>
  <c r="Y132" i="14" s="1"/>
  <c r="Y132" i="13"/>
  <c r="H144" i="18"/>
  <c r="H313" i="18" s="1"/>
  <c r="H144" i="15"/>
  <c r="K20" i="16"/>
  <c r="V185" i="13"/>
  <c r="V25" i="14" s="1"/>
  <c r="V25" i="13"/>
  <c r="H286" i="13"/>
  <c r="H126" i="14" s="1"/>
  <c r="H126" i="13"/>
  <c r="L291" i="13"/>
  <c r="L131" i="14" s="1"/>
  <c r="L131" i="13"/>
  <c r="I17" i="16"/>
  <c r="K40" i="16"/>
  <c r="L46" i="16"/>
  <c r="K74" i="16"/>
  <c r="Z104" i="16"/>
  <c r="L143" i="16"/>
  <c r="R304" i="13"/>
  <c r="R144" i="14" s="1"/>
  <c r="R144" i="13"/>
  <c r="M31" i="16"/>
  <c r="I197" i="13"/>
  <c r="I37" i="14" s="1"/>
  <c r="I37" i="13"/>
  <c r="J73" i="16"/>
  <c r="O264" i="13"/>
  <c r="O104" i="14" s="1"/>
  <c r="O104" i="13"/>
  <c r="V128" i="15"/>
  <c r="S28" i="16"/>
  <c r="J68" i="16"/>
  <c r="J120" i="16"/>
  <c r="L194" i="13"/>
  <c r="L34" i="14" s="1"/>
  <c r="L34" i="13"/>
  <c r="M197" i="13"/>
  <c r="M37" i="14" s="1"/>
  <c r="M37" i="13"/>
  <c r="M239" i="13"/>
  <c r="M79" i="14" s="1"/>
  <c r="M79" i="13"/>
  <c r="H113" i="15"/>
  <c r="I170" i="13"/>
  <c r="I10" i="14" s="1"/>
  <c r="I10" i="13"/>
  <c r="X177" i="13"/>
  <c r="X17" i="14" s="1"/>
  <c r="X17" i="13"/>
  <c r="J29" i="16"/>
  <c r="G213" i="13"/>
  <c r="G53" i="14" s="1"/>
  <c r="G53" i="13"/>
  <c r="J264" i="13"/>
  <c r="J104" i="14" s="1"/>
  <c r="J104" i="13"/>
  <c r="R286" i="13"/>
  <c r="R126" i="14" s="1"/>
  <c r="R126" i="13"/>
  <c r="I12" i="16"/>
  <c r="N17" i="16"/>
  <c r="L191" i="13"/>
  <c r="L31" i="14" s="1"/>
  <c r="L31" i="13"/>
  <c r="N218" i="13"/>
  <c r="N58" i="14" s="1"/>
  <c r="N58" i="13"/>
  <c r="K110" i="15"/>
  <c r="K110" i="18"/>
  <c r="K276" i="18" s="1"/>
  <c r="U140" i="18"/>
  <c r="U308" i="18" s="1"/>
  <c r="U140" i="15"/>
  <c r="O140" i="18"/>
  <c r="O308" i="18" s="1"/>
  <c r="O140" i="15"/>
  <c r="Q140" i="18"/>
  <c r="Q308" i="18" s="1"/>
  <c r="Q140" i="15"/>
  <c r="R313" i="13"/>
  <c r="R153" i="14" s="1"/>
  <c r="R153" i="13"/>
  <c r="R153" i="16"/>
  <c r="U110" i="13"/>
  <c r="U270" i="13"/>
  <c r="U110" i="14" s="1"/>
  <c r="K140" i="15"/>
  <c r="U110" i="16"/>
  <c r="T237" i="17"/>
  <c r="T77" i="17"/>
  <c r="M77" i="18"/>
  <c r="M238" i="18" s="1"/>
  <c r="M77" i="15"/>
  <c r="R297" i="17"/>
  <c r="R137" i="17"/>
  <c r="Q260" i="17"/>
  <c r="Q100" i="17"/>
  <c r="N262" i="17"/>
  <c r="N102" i="17"/>
  <c r="T262" i="17"/>
  <c r="T102" i="17"/>
  <c r="W311" i="17"/>
  <c r="W151" i="17"/>
  <c r="K237" i="17"/>
  <c r="K77" i="17"/>
  <c r="H262" i="17"/>
  <c r="H102" i="17"/>
  <c r="W297" i="17"/>
  <c r="W137" i="17"/>
  <c r="R311" i="17"/>
  <c r="R151" i="17"/>
  <c r="H237" i="17"/>
  <c r="H77" i="17"/>
  <c r="W244" i="17"/>
  <c r="W84" i="17"/>
  <c r="Q237" i="17"/>
  <c r="Q77" i="17"/>
  <c r="L262" i="17"/>
  <c r="L102" i="17"/>
  <c r="U244" i="17"/>
  <c r="U84" i="17"/>
  <c r="K311" i="17"/>
  <c r="K151" i="17"/>
  <c r="I245" i="17"/>
  <c r="I85" i="17"/>
  <c r="G245" i="17"/>
  <c r="G85" i="17"/>
  <c r="H245" i="17"/>
  <c r="H85" i="17"/>
  <c r="K244" i="17"/>
  <c r="K84" i="17"/>
  <c r="H313" i="17"/>
  <c r="H153" i="17"/>
  <c r="Q244" i="17"/>
  <c r="Q84" i="17"/>
  <c r="O260" i="17"/>
  <c r="O100" i="17"/>
  <c r="I297" i="17"/>
  <c r="I137" i="17"/>
  <c r="J297" i="17"/>
  <c r="J137" i="17"/>
  <c r="J311" i="17"/>
  <c r="J151" i="17"/>
  <c r="O245" i="17"/>
  <c r="O85" i="17"/>
  <c r="G244" i="17"/>
  <c r="G84" i="17"/>
  <c r="G311" i="17"/>
  <c r="G151" i="17"/>
  <c r="K260" i="17"/>
  <c r="K100" i="17"/>
  <c r="W260" i="17"/>
  <c r="W100" i="17"/>
  <c r="V245" i="17"/>
  <c r="V85" i="17"/>
  <c r="R262" i="17"/>
  <c r="R102" i="17"/>
  <c r="T311" i="17"/>
  <c r="T151" i="17"/>
  <c r="V262" i="17"/>
  <c r="V102" i="17"/>
  <c r="L311" i="17"/>
  <c r="L151" i="17"/>
  <c r="I237" i="17"/>
  <c r="I77" i="17"/>
  <c r="S297" i="17"/>
  <c r="S137" i="17"/>
  <c r="L270" i="17"/>
  <c r="L110" i="17"/>
  <c r="K297" i="13"/>
  <c r="K137" i="14" s="1"/>
  <c r="K137" i="13"/>
  <c r="V311" i="17"/>
  <c r="V151" i="17"/>
  <c r="L270" i="13"/>
  <c r="L110" i="14" s="1"/>
  <c r="L110" i="13"/>
  <c r="I244" i="13"/>
  <c r="I84" i="14" s="1"/>
  <c r="I84" i="13"/>
  <c r="O226" i="12"/>
  <c r="O66" i="16" s="1"/>
  <c r="J313" i="17"/>
  <c r="J153" i="17"/>
  <c r="V311" i="13"/>
  <c r="V151" i="14" s="1"/>
  <c r="V151" i="13"/>
  <c r="O297" i="13"/>
  <c r="O137" i="14" s="1"/>
  <c r="O137" i="13"/>
  <c r="T260" i="13"/>
  <c r="T100" i="14" s="1"/>
  <c r="T100" i="13"/>
  <c r="I313" i="13"/>
  <c r="I153" i="14" s="1"/>
  <c r="I153" i="13"/>
  <c r="N297" i="13"/>
  <c r="N137" i="14" s="1"/>
  <c r="N137" i="13"/>
  <c r="T270" i="17"/>
  <c r="T110" i="17"/>
  <c r="U297" i="13"/>
  <c r="U137" i="13"/>
  <c r="K245" i="13"/>
  <c r="K85" i="14" s="1"/>
  <c r="K85" i="13"/>
  <c r="W237" i="13"/>
  <c r="W77" i="14" s="1"/>
  <c r="W77" i="13"/>
  <c r="N311" i="17"/>
  <c r="N151" i="17"/>
  <c r="P311" i="17"/>
  <c r="P151" i="17"/>
  <c r="M297" i="13"/>
  <c r="M137" i="14" s="1"/>
  <c r="M137" i="13"/>
  <c r="K226" i="12"/>
  <c r="K66" i="16" s="1"/>
  <c r="M244" i="13"/>
  <c r="M84" i="14" s="1"/>
  <c r="M84" i="13"/>
  <c r="T100" i="16"/>
  <c r="S260" i="13"/>
  <c r="S100" i="13"/>
  <c r="I153" i="16"/>
  <c r="N137" i="16"/>
  <c r="U226" i="12"/>
  <c r="U66" i="16" s="1"/>
  <c r="X245" i="13"/>
  <c r="X85" i="13"/>
  <c r="T270" i="13"/>
  <c r="T110" i="14" s="1"/>
  <c r="T110" i="13"/>
  <c r="U137" i="16"/>
  <c r="V226" i="12"/>
  <c r="V66" i="16" s="1"/>
  <c r="O77" i="18"/>
  <c r="O238" i="18" s="1"/>
  <c r="O77" i="15"/>
  <c r="W77" i="16"/>
  <c r="Q311" i="13"/>
  <c r="Q151" i="14" s="1"/>
  <c r="Q151" i="13"/>
  <c r="N270" i="13"/>
  <c r="N110" i="14" s="1"/>
  <c r="N110" i="13"/>
  <c r="P270" i="13"/>
  <c r="P110" i="14" s="1"/>
  <c r="P110" i="13"/>
  <c r="N311" i="13"/>
  <c r="N151" i="14" s="1"/>
  <c r="N151" i="13"/>
  <c r="X226" i="12"/>
  <c r="G313" i="13"/>
  <c r="G153" i="14" s="1"/>
  <c r="G153" i="13"/>
  <c r="P311" i="13"/>
  <c r="P151" i="14" s="1"/>
  <c r="P151" i="13"/>
  <c r="N237" i="13"/>
  <c r="N77" i="14" s="1"/>
  <c r="N77" i="13"/>
  <c r="L260" i="13"/>
  <c r="L100" i="14" s="1"/>
  <c r="L100" i="13"/>
  <c r="U262" i="13"/>
  <c r="U102" i="14" s="1"/>
  <c r="U102" i="13"/>
  <c r="U245" i="13"/>
  <c r="U85" i="14" s="1"/>
  <c r="U85" i="13"/>
  <c r="N244" i="12"/>
  <c r="N313" i="13"/>
  <c r="N153" i="14" s="1"/>
  <c r="N153" i="13"/>
  <c r="L226" i="12"/>
  <c r="L66" i="16" s="1"/>
  <c r="P262" i="13"/>
  <c r="P102" i="14" s="1"/>
  <c r="P102" i="13"/>
  <c r="T245" i="13"/>
  <c r="T85" i="14" s="1"/>
  <c r="T85" i="13"/>
  <c r="J300" i="13"/>
  <c r="J140" i="14" s="1"/>
  <c r="J140" i="13"/>
  <c r="J260" i="13"/>
  <c r="J100" i="14" s="1"/>
  <c r="J100" i="13"/>
  <c r="V237" i="13"/>
  <c r="V77" i="14" s="1"/>
  <c r="V77" i="13"/>
  <c r="J262" i="13"/>
  <c r="J102" i="14" s="1"/>
  <c r="J102" i="13"/>
  <c r="O262" i="17"/>
  <c r="O102" i="17"/>
  <c r="M245" i="17"/>
  <c r="M85" i="17"/>
  <c r="Q297" i="17"/>
  <c r="Q137" i="17"/>
  <c r="U260" i="13"/>
  <c r="U100" i="14" s="1"/>
  <c r="U100" i="13"/>
  <c r="P237" i="13"/>
  <c r="P77" i="14" s="1"/>
  <c r="P77" i="13"/>
  <c r="H313" i="13"/>
  <c r="H153" i="14" s="1"/>
  <c r="H153" i="13"/>
  <c r="U77" i="18"/>
  <c r="U238" i="18" s="1"/>
  <c r="U77" i="15"/>
  <c r="N245" i="13"/>
  <c r="N85" i="13"/>
  <c r="X245" i="17"/>
  <c r="X85" i="17"/>
  <c r="N300" i="13"/>
  <c r="N140" i="14" s="1"/>
  <c r="N140" i="13"/>
  <c r="Q244" i="13"/>
  <c r="Q84" i="14" s="1"/>
  <c r="Q84" i="13"/>
  <c r="Q237" i="13"/>
  <c r="Q77" i="14" s="1"/>
  <c r="Q77" i="13"/>
  <c r="L244" i="13"/>
  <c r="L84" i="14" s="1"/>
  <c r="L84" i="13"/>
  <c r="J244" i="13"/>
  <c r="J84" i="14" s="1"/>
  <c r="J84" i="13"/>
  <c r="M262" i="13"/>
  <c r="M102" i="14" s="1"/>
  <c r="M102" i="13"/>
  <c r="V300" i="13"/>
  <c r="V140" i="14" s="1"/>
  <c r="V140" i="13"/>
  <c r="K260" i="13"/>
  <c r="K100" i="14" s="1"/>
  <c r="K100" i="13"/>
  <c r="Q311" i="17"/>
  <c r="Q151" i="17"/>
  <c r="M311" i="13"/>
  <c r="M151" i="14" s="1"/>
  <c r="M151" i="13"/>
  <c r="W260" i="13"/>
  <c r="W100" i="14" s="1"/>
  <c r="W100" i="13"/>
  <c r="G313" i="17"/>
  <c r="G153" i="17"/>
  <c r="N237" i="17"/>
  <c r="N77" i="17"/>
  <c r="L260" i="17"/>
  <c r="L100" i="17"/>
  <c r="U262" i="17"/>
  <c r="U102" i="17"/>
  <c r="H262" i="13"/>
  <c r="H102" i="14" s="1"/>
  <c r="H102" i="13"/>
  <c r="R262" i="13"/>
  <c r="R102" i="14" s="1"/>
  <c r="R102" i="13"/>
  <c r="T245" i="17"/>
  <c r="T85" i="17"/>
  <c r="J300" i="17"/>
  <c r="J140" i="17"/>
  <c r="U244" i="13"/>
  <c r="U84" i="14" s="1"/>
  <c r="U84" i="13"/>
  <c r="Q260" i="13"/>
  <c r="Q100" i="14" s="1"/>
  <c r="Q100" i="13"/>
  <c r="M226" i="12"/>
  <c r="M66" i="16" s="1"/>
  <c r="P260" i="13"/>
  <c r="P100" i="14" s="1"/>
  <c r="P100" i="13"/>
  <c r="L300" i="13"/>
  <c r="L140" i="14" s="1"/>
  <c r="L140" i="13"/>
  <c r="T311" i="13"/>
  <c r="T151" i="14" s="1"/>
  <c r="T151" i="13"/>
  <c r="I245" i="13"/>
  <c r="I85" i="14" s="1"/>
  <c r="I85" i="13"/>
  <c r="H300" i="13"/>
  <c r="H140" i="14" s="1"/>
  <c r="H140" i="13"/>
  <c r="S311" i="13"/>
  <c r="S151" i="14" s="1"/>
  <c r="S151" i="13"/>
  <c r="J260" i="17"/>
  <c r="J100" i="17"/>
  <c r="V237" i="17"/>
  <c r="V77" i="17"/>
  <c r="L311" i="13"/>
  <c r="L151" i="14" s="1"/>
  <c r="L151" i="13"/>
  <c r="K297" i="17"/>
  <c r="K137" i="17"/>
  <c r="O311" i="17"/>
  <c r="O151" i="17"/>
  <c r="N260" i="17"/>
  <c r="N100" i="17"/>
  <c r="S100" i="14"/>
  <c r="O262" i="13"/>
  <c r="O102" i="14" s="1"/>
  <c r="O102" i="13"/>
  <c r="Q226" i="12"/>
  <c r="Q66" i="16" s="1"/>
  <c r="H110" i="18"/>
  <c r="H276" i="18" s="1"/>
  <c r="H110" i="15"/>
  <c r="W262" i="13"/>
  <c r="W102" i="14" s="1"/>
  <c r="W102" i="13"/>
  <c r="O311" i="13"/>
  <c r="O151" i="14" s="1"/>
  <c r="O151" i="13"/>
  <c r="N245" i="17"/>
  <c r="N85" i="17"/>
  <c r="P300" i="13"/>
  <c r="P140" i="14" s="1"/>
  <c r="P140" i="13"/>
  <c r="T226" i="12"/>
  <c r="U100" i="16"/>
  <c r="N300" i="17"/>
  <c r="N140" i="17"/>
  <c r="N260" i="13"/>
  <c r="N100" i="14" s="1"/>
  <c r="N100" i="13"/>
  <c r="L244" i="17"/>
  <c r="L84" i="17"/>
  <c r="T262" i="13"/>
  <c r="T102" i="14" s="1"/>
  <c r="T102" i="13"/>
  <c r="S226" i="12"/>
  <c r="S66" i="16" s="1"/>
  <c r="J244" i="17"/>
  <c r="J84" i="17"/>
  <c r="M262" i="17"/>
  <c r="M102" i="17"/>
  <c r="K262" i="13"/>
  <c r="K102" i="14" s="1"/>
  <c r="K102" i="13"/>
  <c r="V300" i="17"/>
  <c r="V140" i="17"/>
  <c r="R245" i="13"/>
  <c r="R85" i="13"/>
  <c r="M311" i="17"/>
  <c r="M151" i="17"/>
  <c r="L237" i="12"/>
  <c r="L77" i="16" s="1"/>
  <c r="W226" i="12"/>
  <c r="W66" i="16" s="1"/>
  <c r="L245" i="13"/>
  <c r="L85" i="13"/>
  <c r="H151" i="18"/>
  <c r="H320" i="18" s="1"/>
  <c r="H151" i="15"/>
  <c r="L262" i="13"/>
  <c r="L102" i="14" s="1"/>
  <c r="L102" i="13"/>
  <c r="R300" i="13"/>
  <c r="R140" i="14" s="1"/>
  <c r="R140" i="13"/>
  <c r="R260" i="13"/>
  <c r="R100" i="14" s="1"/>
  <c r="R100" i="13"/>
  <c r="P260" i="17"/>
  <c r="P100" i="17"/>
  <c r="J245" i="17"/>
  <c r="L300" i="17"/>
  <c r="L140" i="17"/>
  <c r="H300" i="17"/>
  <c r="H140" i="17"/>
  <c r="S311" i="17"/>
  <c r="S151" i="17"/>
  <c r="V262" i="13"/>
  <c r="V102" i="14" s="1"/>
  <c r="V102" i="13"/>
  <c r="I244" i="17"/>
  <c r="I84" i="17"/>
  <c r="N262" i="13"/>
  <c r="N102" i="14" s="1"/>
  <c r="N102" i="13"/>
  <c r="I260" i="17"/>
  <c r="I100" i="17"/>
  <c r="K262" i="17"/>
  <c r="K102" i="17"/>
  <c r="V270" i="17"/>
  <c r="V110" i="17"/>
  <c r="G297" i="17"/>
  <c r="G137" i="17"/>
  <c r="R245" i="17"/>
  <c r="R85" i="17"/>
  <c r="O260" i="13"/>
  <c r="O100" i="14" s="1"/>
  <c r="O100" i="13"/>
  <c r="L245" i="17"/>
  <c r="L85" i="17"/>
  <c r="P66" i="13"/>
  <c r="U311" i="13"/>
  <c r="U151" i="14" s="1"/>
  <c r="U151" i="13"/>
  <c r="I297" i="13"/>
  <c r="I137" i="13"/>
  <c r="K237" i="13"/>
  <c r="K77" i="14" s="1"/>
  <c r="K77" i="13"/>
  <c r="I270" i="17"/>
  <c r="I110" i="17"/>
  <c r="T300" i="13"/>
  <c r="T140" i="14" s="1"/>
  <c r="T140" i="13"/>
  <c r="S245" i="17"/>
  <c r="S85" i="17"/>
  <c r="R300" i="17"/>
  <c r="R140" i="17"/>
  <c r="J237" i="13"/>
  <c r="J77" i="14" s="1"/>
  <c r="J77" i="13"/>
  <c r="J311" i="13"/>
  <c r="J151" i="14" s="1"/>
  <c r="J151" i="13"/>
  <c r="O245" i="13"/>
  <c r="O85" i="14" s="1"/>
  <c r="O85" i="13"/>
  <c r="O313" i="13"/>
  <c r="O153" i="13"/>
  <c r="R260" i="17"/>
  <c r="R100" i="17"/>
  <c r="N226" i="12"/>
  <c r="R270" i="17"/>
  <c r="R110" i="17"/>
  <c r="I311" i="13"/>
  <c r="I151" i="14" s="1"/>
  <c r="I151" i="13"/>
  <c r="W245" i="17"/>
  <c r="W85" i="17"/>
  <c r="I262" i="13"/>
  <c r="I102" i="14" s="1"/>
  <c r="I102" i="13"/>
  <c r="I237" i="13"/>
  <c r="I77" i="14" s="1"/>
  <c r="I77" i="13"/>
  <c r="S262" i="13"/>
  <c r="S102" i="14" s="1"/>
  <c r="S102" i="13"/>
  <c r="G245" i="13"/>
  <c r="G85" i="13"/>
  <c r="R311" i="13"/>
  <c r="R151" i="14" s="1"/>
  <c r="R151" i="13"/>
  <c r="R237" i="12"/>
  <c r="M313" i="13"/>
  <c r="M153" i="14" s="1"/>
  <c r="M153" i="13"/>
  <c r="K244" i="13"/>
  <c r="K84" i="14" s="1"/>
  <c r="K84" i="13"/>
  <c r="P244" i="13"/>
  <c r="P84" i="14" s="1"/>
  <c r="P84" i="13"/>
  <c r="W244" i="13"/>
  <c r="W84" i="14" s="1"/>
  <c r="W84" i="13"/>
  <c r="G244" i="13"/>
  <c r="G84" i="14" s="1"/>
  <c r="G84" i="13"/>
  <c r="H244" i="12"/>
  <c r="Q245" i="17"/>
  <c r="Q85" i="17"/>
  <c r="R244" i="13"/>
  <c r="R84" i="14" s="1"/>
  <c r="R84" i="13"/>
  <c r="M260" i="17"/>
  <c r="M100" i="17"/>
  <c r="K245" i="17"/>
  <c r="K85" i="17"/>
  <c r="I260" i="13"/>
  <c r="I100" i="14" s="1"/>
  <c r="I100" i="13"/>
  <c r="Q245" i="13"/>
  <c r="Q85" i="14" s="1"/>
  <c r="Q85" i="13"/>
  <c r="T244" i="12"/>
  <c r="T84" i="16" s="1"/>
  <c r="V270" i="13"/>
  <c r="V110" i="14" s="1"/>
  <c r="V110" i="13"/>
  <c r="G297" i="13"/>
  <c r="G137" i="13"/>
  <c r="J270" i="17"/>
  <c r="J110" i="17"/>
  <c r="R297" i="13"/>
  <c r="R137" i="14" s="1"/>
  <c r="R137" i="13"/>
  <c r="P270" i="17"/>
  <c r="P110" i="17"/>
  <c r="H226" i="12"/>
  <c r="H66" i="16" s="1"/>
  <c r="W311" i="13"/>
  <c r="W151" i="14" s="1"/>
  <c r="W151" i="13"/>
  <c r="P66" i="16"/>
  <c r="U151" i="16"/>
  <c r="O244" i="17"/>
  <c r="O84" i="17"/>
  <c r="I270" i="13"/>
  <c r="I110" i="14" s="1"/>
  <c r="I110" i="13"/>
  <c r="T140" i="16"/>
  <c r="S245" i="13"/>
  <c r="S85" i="14" s="1"/>
  <c r="S85" i="13"/>
  <c r="J77" i="16"/>
  <c r="V260" i="13"/>
  <c r="V100" i="14" s="1"/>
  <c r="V100" i="13"/>
  <c r="S237" i="17"/>
  <c r="S77" i="17"/>
  <c r="I226" i="12"/>
  <c r="I66" i="16" s="1"/>
  <c r="P262" i="17"/>
  <c r="P102" i="17"/>
  <c r="V244" i="13"/>
  <c r="V84" i="14" s="1"/>
  <c r="V84" i="13"/>
  <c r="O153" i="16"/>
  <c r="S244" i="17"/>
  <c r="S84" i="17"/>
  <c r="R270" i="13"/>
  <c r="R110" i="14" s="1"/>
  <c r="R110" i="13"/>
  <c r="I151" i="16"/>
  <c r="W245" i="13"/>
  <c r="W85" i="14" s="1"/>
  <c r="W85" i="13"/>
  <c r="I102" i="16"/>
  <c r="S102" i="16"/>
  <c r="K313" i="13"/>
  <c r="K153" i="14" s="1"/>
  <c r="K153" i="13"/>
  <c r="G237" i="17"/>
  <c r="G77" i="17"/>
  <c r="M153" i="16"/>
  <c r="H260" i="13"/>
  <c r="H100" i="14" s="1"/>
  <c r="H100" i="13"/>
  <c r="G262" i="13"/>
  <c r="G102" i="14" s="1"/>
  <c r="G102" i="13"/>
  <c r="P84" i="16"/>
  <c r="Q262" i="13"/>
  <c r="Q102" i="14" s="1"/>
  <c r="Q102" i="13"/>
  <c r="W262" i="17"/>
  <c r="W102" i="17"/>
  <c r="P300" i="17"/>
  <c r="P140" i="17"/>
  <c r="R226" i="12"/>
  <c r="R66" i="16" s="1"/>
  <c r="M245" i="13"/>
  <c r="M85" i="14" s="1"/>
  <c r="M85" i="13"/>
  <c r="Q297" i="13"/>
  <c r="Q137" i="14" s="1"/>
  <c r="Q137" i="13"/>
  <c r="O297" i="17"/>
  <c r="O137" i="17"/>
  <c r="M297" i="17"/>
  <c r="M137" i="17"/>
  <c r="P77" i="16"/>
  <c r="M244" i="17"/>
  <c r="M84" i="17"/>
  <c r="R84" i="16"/>
  <c r="S260" i="17"/>
  <c r="S100" i="17"/>
  <c r="J313" i="13"/>
  <c r="J153" i="14" s="1"/>
  <c r="J153" i="13"/>
  <c r="M260" i="13"/>
  <c r="M100" i="14" s="1"/>
  <c r="M100" i="13"/>
  <c r="T237" i="13"/>
  <c r="T77" i="14" s="1"/>
  <c r="T77" i="13"/>
  <c r="G311" i="13"/>
  <c r="G151" i="14" s="1"/>
  <c r="G151" i="13"/>
  <c r="J270" i="13"/>
  <c r="J110" i="14" s="1"/>
  <c r="J110" i="13"/>
  <c r="N270" i="17"/>
  <c r="N110" i="17"/>
  <c r="V245" i="13"/>
  <c r="V85" i="14" s="1"/>
  <c r="V85" i="13"/>
  <c r="O244" i="13"/>
  <c r="O84" i="14" s="1"/>
  <c r="O84" i="13"/>
  <c r="U245" i="17"/>
  <c r="U85" i="17"/>
  <c r="N313" i="17"/>
  <c r="N153" i="17"/>
  <c r="J297" i="13"/>
  <c r="J137" i="14" s="1"/>
  <c r="J137" i="13"/>
  <c r="V100" i="16"/>
  <c r="S237" i="13"/>
  <c r="S77" i="14" s="1"/>
  <c r="S77" i="13"/>
  <c r="L153" i="13"/>
  <c r="W297" i="13"/>
  <c r="W137" i="14" s="1"/>
  <c r="W137" i="13"/>
  <c r="V84" i="16"/>
  <c r="G226" i="12"/>
  <c r="G66" i="16" s="1"/>
  <c r="S244" i="13"/>
  <c r="S84" i="14" s="1"/>
  <c r="S84" i="13"/>
  <c r="K311" i="13"/>
  <c r="K151" i="14" s="1"/>
  <c r="K151" i="13"/>
  <c r="K313" i="17"/>
  <c r="K153" i="17"/>
  <c r="H245" i="13"/>
  <c r="H85" i="14" s="1"/>
  <c r="H85" i="13"/>
  <c r="S297" i="13"/>
  <c r="S137" i="14" s="1"/>
  <c r="S137" i="13"/>
  <c r="G237" i="13"/>
  <c r="G77" i="14" s="1"/>
  <c r="G77" i="13"/>
  <c r="H100" i="16"/>
  <c r="H237" i="13"/>
  <c r="H77" i="14" s="1"/>
  <c r="H77" i="13"/>
  <c r="G102" i="16"/>
  <c r="J262" i="17"/>
  <c r="J102" i="17"/>
  <c r="Q262" i="17"/>
  <c r="Q102" i="17"/>
  <c r="S78" i="15" l="1"/>
  <c r="U71" i="18"/>
  <c r="U232" i="18" s="1"/>
  <c r="V72" i="15"/>
  <c r="K73" i="18"/>
  <c r="K234" i="18" s="1"/>
  <c r="L16" i="18"/>
  <c r="L176" i="18" s="1"/>
  <c r="J19" i="14"/>
  <c r="J12" i="17"/>
  <c r="J172" i="17"/>
  <c r="L313" i="13"/>
  <c r="L153" i="14" s="1"/>
  <c r="L153" i="17"/>
  <c r="G58" i="18"/>
  <c r="G218" i="18" s="1"/>
  <c r="I41" i="16"/>
  <c r="M267" i="13"/>
  <c r="M107" i="14" s="1"/>
  <c r="L125" i="13"/>
  <c r="J129" i="17"/>
  <c r="L154" i="13"/>
  <c r="I93" i="17"/>
  <c r="I209" i="13"/>
  <c r="I49" i="14" s="1"/>
  <c r="I120" i="13"/>
  <c r="M127" i="17"/>
  <c r="L33" i="15"/>
  <c r="J157" i="13"/>
  <c r="G7" i="14"/>
  <c r="G7" i="15" s="1"/>
  <c r="G122" i="16"/>
  <c r="M156" i="17"/>
  <c r="L39" i="14"/>
  <c r="S64" i="15"/>
  <c r="T88" i="14"/>
  <c r="H65" i="14"/>
  <c r="N215" i="12"/>
  <c r="N55" i="16" s="1"/>
  <c r="Z272" i="17"/>
  <c r="Z112" i="18" s="1"/>
  <c r="Z279" i="18" s="1"/>
  <c r="Z112" i="17"/>
  <c r="W140" i="15"/>
  <c r="M127" i="13"/>
  <c r="L68" i="13"/>
  <c r="H158" i="18"/>
  <c r="L285" i="13"/>
  <c r="L125" i="14" s="1"/>
  <c r="J8" i="15"/>
  <c r="J44" i="17"/>
  <c r="M74" i="17"/>
  <c r="K79" i="13"/>
  <c r="H9" i="13"/>
  <c r="J317" i="17"/>
  <c r="H72" i="18"/>
  <c r="G16" i="18"/>
  <c r="S56" i="18"/>
  <c r="S216" i="18" s="1"/>
  <c r="S270" i="17"/>
  <c r="S110" i="18" s="1"/>
  <c r="S276" i="18" s="1"/>
  <c r="M109" i="13"/>
  <c r="M70" i="16"/>
  <c r="K167" i="13"/>
  <c r="K7" i="14" s="1"/>
  <c r="K7" i="15" s="1"/>
  <c r="P135" i="14"/>
  <c r="S110" i="15"/>
  <c r="M217" i="12"/>
  <c r="M57" i="16" s="1"/>
  <c r="K19" i="13"/>
  <c r="M49" i="13"/>
  <c r="O153" i="14"/>
  <c r="U137" i="14"/>
  <c r="M287" i="13"/>
  <c r="M127" i="14" s="1"/>
  <c r="K179" i="13"/>
  <c r="K19" i="14" s="1"/>
  <c r="K19" i="18" s="1"/>
  <c r="K179" i="18" s="1"/>
  <c r="L91" i="13"/>
  <c r="J44" i="13"/>
  <c r="L154" i="16"/>
  <c r="L228" i="13"/>
  <c r="L68" i="14" s="1"/>
  <c r="L68" i="18" s="1"/>
  <c r="L229" i="18" s="1"/>
  <c r="J79" i="13"/>
  <c r="I26" i="14"/>
  <c r="J129" i="13"/>
  <c r="K239" i="13"/>
  <c r="K79" i="14" s="1"/>
  <c r="K79" i="18" s="1"/>
  <c r="K241" i="18" s="1"/>
  <c r="M74" i="13"/>
  <c r="M209" i="13"/>
  <c r="M49" i="14" s="1"/>
  <c r="K49" i="13"/>
  <c r="K205" i="13"/>
  <c r="K45" i="14" s="1"/>
  <c r="L18" i="14"/>
  <c r="Z96" i="17"/>
  <c r="Z256" i="17"/>
  <c r="Z96" i="18" s="1"/>
  <c r="Z260" i="18" s="1"/>
  <c r="M269" i="13"/>
  <c r="M123" i="13"/>
  <c r="M269" i="17"/>
  <c r="H167" i="13"/>
  <c r="K30" i="14"/>
  <c r="K30" i="15" s="1"/>
  <c r="I190" i="17"/>
  <c r="I30" i="18" s="1"/>
  <c r="I190" i="18" s="1"/>
  <c r="I30" i="17"/>
  <c r="D58" i="37"/>
  <c r="A58" i="37" s="1"/>
  <c r="X58" i="18"/>
  <c r="X218" i="18" s="1"/>
  <c r="L14" i="14"/>
  <c r="X140" i="10"/>
  <c r="M14" i="10"/>
  <c r="M14" i="11" s="1"/>
  <c r="M116" i="11"/>
  <c r="M276" i="12"/>
  <c r="M60" i="11"/>
  <c r="M220" i="12"/>
  <c r="M20" i="11"/>
  <c r="M180" i="12"/>
  <c r="N129" i="9"/>
  <c r="N129" i="10" s="1"/>
  <c r="N76" i="9"/>
  <c r="N63" i="9"/>
  <c r="N63" i="10" s="1"/>
  <c r="N115" i="9"/>
  <c r="N115" i="10" s="1"/>
  <c r="N95" i="9"/>
  <c r="N95" i="10" s="1"/>
  <c r="N89" i="9"/>
  <c r="N125" i="9"/>
  <c r="N125" i="10" s="1"/>
  <c r="N68" i="9"/>
  <c r="N68" i="10" s="1"/>
  <c r="N47" i="9"/>
  <c r="N47" i="10" s="1"/>
  <c r="N47" i="11" s="1"/>
  <c r="N41" i="9"/>
  <c r="N41" i="10" s="1"/>
  <c r="N119" i="9"/>
  <c r="N119" i="10" s="1"/>
  <c r="N39" i="9"/>
  <c r="N39" i="10" s="1"/>
  <c r="N81" i="9"/>
  <c r="N81" i="10" s="1"/>
  <c r="N81" i="11" s="1"/>
  <c r="N31" i="9"/>
  <c r="N31" i="10" s="1"/>
  <c r="N13" i="9"/>
  <c r="N13" i="10" s="1"/>
  <c r="N80" i="9"/>
  <c r="O159" i="6"/>
  <c r="N5" i="9"/>
  <c r="N67" i="9"/>
  <c r="N150" i="9"/>
  <c r="N20" i="11"/>
  <c r="N180" i="12"/>
  <c r="N148" i="10"/>
  <c r="N308" i="12" s="1"/>
  <c r="N57" i="11"/>
  <c r="N217" i="12"/>
  <c r="N73" i="11"/>
  <c r="N233" i="12"/>
  <c r="N62" i="11"/>
  <c r="N222" i="12"/>
  <c r="N117" i="11"/>
  <c r="N277" i="12"/>
  <c r="N98" i="11"/>
  <c r="N258" i="12"/>
  <c r="Q4" i="6"/>
  <c r="P14" i="6"/>
  <c r="P29" i="6"/>
  <c r="O29" i="9" s="1"/>
  <c r="O29" i="10" s="1"/>
  <c r="P73" i="6"/>
  <c r="P22" i="6"/>
  <c r="P101" i="6"/>
  <c r="P92" i="6"/>
  <c r="O92" i="9" s="1"/>
  <c r="O92" i="10" s="1"/>
  <c r="P116" i="6"/>
  <c r="P158" i="6"/>
  <c r="O158" i="9" s="1"/>
  <c r="P155" i="6"/>
  <c r="O155" i="9" s="1"/>
  <c r="O155" i="10" s="1"/>
  <c r="P57" i="6"/>
  <c r="P121" i="6"/>
  <c r="P55" i="6"/>
  <c r="O55" i="9" s="1"/>
  <c r="O55" i="10" s="1"/>
  <c r="P148" i="6"/>
  <c r="O148" i="9" s="1"/>
  <c r="P134" i="6"/>
  <c r="O134" i="9" s="1"/>
  <c r="O134" i="10" s="1"/>
  <c r="P98" i="6"/>
  <c r="P117" i="6"/>
  <c r="O117" i="9" s="1"/>
  <c r="O117" i="10" s="1"/>
  <c r="P12" i="6"/>
  <c r="O12" i="9" s="1"/>
  <c r="P87" i="6"/>
  <c r="P106" i="6"/>
  <c r="O106" i="9" s="1"/>
  <c r="O106" i="10" s="1"/>
  <c r="P62" i="6"/>
  <c r="P16" i="6"/>
  <c r="P42" i="6"/>
  <c r="P82" i="6"/>
  <c r="O82" i="9" s="1"/>
  <c r="O82" i="10" s="1"/>
  <c r="P20" i="6"/>
  <c r="P145" i="6"/>
  <c r="O145" i="9" s="1"/>
  <c r="P94" i="6"/>
  <c r="O94" i="9" s="1"/>
  <c r="P86" i="6"/>
  <c r="P90" i="6"/>
  <c r="O90" i="9" s="1"/>
  <c r="O90" i="10" s="1"/>
  <c r="P18" i="6"/>
  <c r="P8" i="6"/>
  <c r="P60" i="6"/>
  <c r="P35" i="6"/>
  <c r="P131" i="6"/>
  <c r="O131" i="9" s="1"/>
  <c r="P52" i="6"/>
  <c r="O52" i="9" s="1"/>
  <c r="P67" i="6"/>
  <c r="O67" i="9" s="1"/>
  <c r="O67" i="10" s="1"/>
  <c r="P80" i="6"/>
  <c r="O80" i="9" s="1"/>
  <c r="O80" i="10" s="1"/>
  <c r="P150" i="6"/>
  <c r="O150" i="9" s="1"/>
  <c r="P70" i="6"/>
  <c r="O70" i="9" s="1"/>
  <c r="O70" i="10" s="1"/>
  <c r="P97" i="6"/>
  <c r="O97" i="9" s="1"/>
  <c r="P79" i="6"/>
  <c r="O79" i="9" s="1"/>
  <c r="O79" i="10" s="1"/>
  <c r="P5" i="6"/>
  <c r="P91" i="6"/>
  <c r="O91" i="9" s="1"/>
  <c r="P7" i="6"/>
  <c r="O7" i="9" s="1"/>
  <c r="O7" i="10" s="1"/>
  <c r="O167" i="12" s="1"/>
  <c r="O7" i="16" s="1"/>
  <c r="O167" i="17" s="1"/>
  <c r="P122" i="6"/>
  <c r="O122" i="9" s="1"/>
  <c r="O122" i="10" s="1"/>
  <c r="P30" i="6"/>
  <c r="O30" i="9" s="1"/>
  <c r="P118" i="6"/>
  <c r="O118" i="9" s="1"/>
  <c r="P48" i="6"/>
  <c r="O48" i="9" s="1"/>
  <c r="P125" i="6"/>
  <c r="O125" i="9" s="1"/>
  <c r="O125" i="10" s="1"/>
  <c r="O285" i="12" s="1"/>
  <c r="O125" i="13" s="1"/>
  <c r="P152" i="6"/>
  <c r="O152" i="9" s="1"/>
  <c r="O152" i="10" s="1"/>
  <c r="P156" i="6"/>
  <c r="O156" i="9" s="1"/>
  <c r="O156" i="10" s="1"/>
  <c r="P136" i="6"/>
  <c r="O136" i="9" s="1"/>
  <c r="P53" i="6"/>
  <c r="O53" i="9" s="1"/>
  <c r="P65" i="6"/>
  <c r="O65" i="9" s="1"/>
  <c r="O65" i="10" s="1"/>
  <c r="P107" i="6"/>
  <c r="O107" i="9" s="1"/>
  <c r="O107" i="10" s="1"/>
  <c r="P124" i="6"/>
  <c r="O124" i="9" s="1"/>
  <c r="P95" i="6"/>
  <c r="O95" i="9" s="1"/>
  <c r="O95" i="10" s="1"/>
  <c r="P31" i="6"/>
  <c r="O31" i="9" s="1"/>
  <c r="O31" i="10" s="1"/>
  <c r="P119" i="6"/>
  <c r="O119" i="9" s="1"/>
  <c r="O119" i="10" s="1"/>
  <c r="O279" i="12" s="1"/>
  <c r="P142" i="6"/>
  <c r="O142" i="9" s="1"/>
  <c r="O142" i="10" s="1"/>
  <c r="P111" i="6"/>
  <c r="O111" i="9" s="1"/>
  <c r="O111" i="10" s="1"/>
  <c r="P69" i="6"/>
  <c r="O69" i="9" s="1"/>
  <c r="O69" i="10" s="1"/>
  <c r="O69" i="11" s="1"/>
  <c r="P83" i="6"/>
  <c r="O83" i="9" s="1"/>
  <c r="O83" i="10" s="1"/>
  <c r="O83" i="11" s="1"/>
  <c r="P147" i="6"/>
  <c r="O147" i="9" s="1"/>
  <c r="O147" i="10" s="1"/>
  <c r="P47" i="6"/>
  <c r="O47" i="9" s="1"/>
  <c r="P13" i="6"/>
  <c r="O13" i="9" s="1"/>
  <c r="P93" i="6"/>
  <c r="O93" i="9" s="1"/>
  <c r="P74" i="6"/>
  <c r="O74" i="9" s="1"/>
  <c r="O74" i="10" s="1"/>
  <c r="P130" i="6"/>
  <c r="O130" i="9" s="1"/>
  <c r="O130" i="10" s="1"/>
  <c r="O290" i="12" s="1"/>
  <c r="O290" i="13" s="1"/>
  <c r="P23" i="6"/>
  <c r="O23" i="9" s="1"/>
  <c r="O23" i="10" s="1"/>
  <c r="O23" i="11" s="1"/>
  <c r="P89" i="6"/>
  <c r="O89" i="9" s="1"/>
  <c r="P127" i="6"/>
  <c r="O127" i="9" s="1"/>
  <c r="O127" i="10" s="1"/>
  <c r="P26" i="6"/>
  <c r="O26" i="9" s="1"/>
  <c r="O26" i="10" s="1"/>
  <c r="P109" i="6"/>
  <c r="O109" i="9" s="1"/>
  <c r="P43" i="6"/>
  <c r="O43" i="9" s="1"/>
  <c r="P120" i="6"/>
  <c r="O120" i="9" s="1"/>
  <c r="O120" i="10" s="1"/>
  <c r="O280" i="12" s="1"/>
  <c r="P138" i="6"/>
  <c r="O138" i="9" s="1"/>
  <c r="O138" i="10" s="1"/>
  <c r="O138" i="11" s="1"/>
  <c r="P81" i="6"/>
  <c r="O81" i="9" s="1"/>
  <c r="O81" i="10" s="1"/>
  <c r="O81" i="11" s="1"/>
  <c r="P50" i="6"/>
  <c r="O50" i="9" s="1"/>
  <c r="O50" i="10" s="1"/>
  <c r="O50" i="11" s="1"/>
  <c r="P39" i="6"/>
  <c r="O39" i="9" s="1"/>
  <c r="O39" i="10" s="1"/>
  <c r="O39" i="11" s="1"/>
  <c r="P108" i="6"/>
  <c r="O108" i="9" s="1"/>
  <c r="O108" i="10" s="1"/>
  <c r="P114" i="6"/>
  <c r="O114" i="9" s="1"/>
  <c r="P45" i="6"/>
  <c r="O45" i="9" s="1"/>
  <c r="O45" i="10" s="1"/>
  <c r="P10" i="6"/>
  <c r="O10" i="9" s="1"/>
  <c r="P68" i="6"/>
  <c r="O68" i="9" s="1"/>
  <c r="O68" i="10" s="1"/>
  <c r="P41" i="6"/>
  <c r="O41" i="9" s="1"/>
  <c r="O41" i="10" s="1"/>
  <c r="P19" i="6"/>
  <c r="O19" i="9" s="1"/>
  <c r="P44" i="6"/>
  <c r="O44" i="9" s="1"/>
  <c r="P103" i="6"/>
  <c r="O103" i="9" s="1"/>
  <c r="O103" i="10" s="1"/>
  <c r="O103" i="11" s="1"/>
  <c r="P63" i="6"/>
  <c r="O63" i="9" s="1"/>
  <c r="O63" i="10" s="1"/>
  <c r="O223" i="12" s="1"/>
  <c r="O63" i="16" s="1"/>
  <c r="P149" i="6"/>
  <c r="O149" i="9" s="1"/>
  <c r="O149" i="10" s="1"/>
  <c r="O149" i="11" s="1"/>
  <c r="P129" i="6"/>
  <c r="O129" i="9" s="1"/>
  <c r="P146" i="6"/>
  <c r="O146" i="9" s="1"/>
  <c r="O146" i="10" s="1"/>
  <c r="P99" i="6"/>
  <c r="O99" i="9" s="1"/>
  <c r="O99" i="10" s="1"/>
  <c r="O259" i="12" s="1"/>
  <c r="O99" i="16" s="1"/>
  <c r="O259" i="17" s="1"/>
  <c r="P105" i="6"/>
  <c r="O105" i="9" s="1"/>
  <c r="O105" i="10" s="1"/>
  <c r="O265" i="12" s="1"/>
  <c r="P76" i="6"/>
  <c r="O76" i="9" s="1"/>
  <c r="O76" i="10" s="1"/>
  <c r="O236" i="12" s="1"/>
  <c r="O236" i="13" s="1"/>
  <c r="P157" i="6"/>
  <c r="O157" i="9" s="1"/>
  <c r="O157" i="10" s="1"/>
  <c r="P9" i="6"/>
  <c r="O9" i="9" s="1"/>
  <c r="O9" i="10" s="1"/>
  <c r="O9" i="11" s="1"/>
  <c r="P54" i="6"/>
  <c r="O54" i="9" s="1"/>
  <c r="P154" i="6"/>
  <c r="O154" i="9" s="1"/>
  <c r="O154" i="10" s="1"/>
  <c r="O154" i="11" s="1"/>
  <c r="P139" i="6"/>
  <c r="O139" i="9" s="1"/>
  <c r="O139" i="10" s="1"/>
  <c r="P49" i="6"/>
  <c r="O49" i="9" s="1"/>
  <c r="O49" i="10" s="1"/>
  <c r="P123" i="6"/>
  <c r="O123" i="9" s="1"/>
  <c r="O123" i="10" s="1"/>
  <c r="O123" i="11" s="1"/>
  <c r="P34" i="6"/>
  <c r="O34" i="9" s="1"/>
  <c r="O34" i="10" s="1"/>
  <c r="P141" i="6"/>
  <c r="O141" i="9" s="1"/>
  <c r="O141" i="10" s="1"/>
  <c r="P15" i="6"/>
  <c r="O15" i="9" s="1"/>
  <c r="O15" i="10" s="1"/>
  <c r="P115" i="6"/>
  <c r="O115" i="9" s="1"/>
  <c r="O115" i="10" s="1"/>
  <c r="M94" i="10"/>
  <c r="M94" i="11" s="1"/>
  <c r="M82" i="11"/>
  <c r="M242" i="12"/>
  <c r="M98" i="11"/>
  <c r="M258" i="12"/>
  <c r="Z77" i="6"/>
  <c r="Y77" i="9" s="1"/>
  <c r="Y77" i="10" s="1"/>
  <c r="Z153" i="6"/>
  <c r="X77" i="9"/>
  <c r="X77" i="10" s="1"/>
  <c r="X102" i="11"/>
  <c r="X262" i="12"/>
  <c r="M134" i="10"/>
  <c r="M134" i="11" s="1"/>
  <c r="M117" i="11"/>
  <c r="M277" i="12"/>
  <c r="M90" i="10"/>
  <c r="G12" i="14"/>
  <c r="G12" i="15" s="1"/>
  <c r="M101" i="10"/>
  <c r="M101" i="11" s="1"/>
  <c r="M73" i="10"/>
  <c r="M73" i="11" s="1"/>
  <c r="M86" i="10"/>
  <c r="M86" i="11" s="1"/>
  <c r="B59" i="22"/>
  <c r="D58" i="22"/>
  <c r="X84" i="11"/>
  <c r="X244" i="12"/>
  <c r="N141" i="9"/>
  <c r="N54" i="9"/>
  <c r="N154" i="9"/>
  <c r="N154" i="10" s="1"/>
  <c r="N34" i="9"/>
  <c r="N34" i="10" s="1"/>
  <c r="N108" i="9"/>
  <c r="N108" i="10" s="1"/>
  <c r="N268" i="12" s="1"/>
  <c r="N130" i="9"/>
  <c r="N43" i="9"/>
  <c r="N43" i="10" s="1"/>
  <c r="N45" i="9"/>
  <c r="N45" i="10" s="1"/>
  <c r="N19" i="9"/>
  <c r="N19" i="10" s="1"/>
  <c r="N179" i="12" s="1"/>
  <c r="N69" i="9"/>
  <c r="N69" i="10" s="1"/>
  <c r="N69" i="11" s="1"/>
  <c r="N79" i="9"/>
  <c r="N79" i="10" s="1"/>
  <c r="N147" i="9"/>
  <c r="N147" i="10" s="1"/>
  <c r="N93" i="9"/>
  <c r="N93" i="10" s="1"/>
  <c r="N93" i="11" s="1"/>
  <c r="N152" i="9"/>
  <c r="N152" i="10" s="1"/>
  <c r="N136" i="9"/>
  <c r="N136" i="10" s="1"/>
  <c r="N12" i="9"/>
  <c r="N7" i="9"/>
  <c r="N91" i="9"/>
  <c r="N87" i="11"/>
  <c r="N247" i="12"/>
  <c r="N18" i="10"/>
  <c r="N18" i="11" s="1"/>
  <c r="N116" i="10"/>
  <c r="N276" i="12" s="1"/>
  <c r="N145" i="11"/>
  <c r="N305" i="12"/>
  <c r="N82" i="11"/>
  <c r="N242" i="12"/>
  <c r="N158" i="10"/>
  <c r="N158" i="11" s="1"/>
  <c r="N60" i="10"/>
  <c r="N60" i="11" s="1"/>
  <c r="Y66" i="9"/>
  <c r="Y66" i="10" s="1"/>
  <c r="Y102" i="11"/>
  <c r="Y262" i="12"/>
  <c r="Z170" i="22"/>
  <c r="Y84" i="10"/>
  <c r="Y84" i="11" s="1"/>
  <c r="L174" i="17"/>
  <c r="L14" i="17"/>
  <c r="X100" i="11"/>
  <c r="X260" i="12"/>
  <c r="M42" i="11"/>
  <c r="M202" i="12"/>
  <c r="M87" i="11"/>
  <c r="M247" i="12"/>
  <c r="M121" i="10"/>
  <c r="M22" i="10"/>
  <c r="M22" i="11" s="1"/>
  <c r="N139" i="9"/>
  <c r="N146" i="9"/>
  <c r="N146" i="10" s="1"/>
  <c r="N99" i="9"/>
  <c r="N99" i="10" s="1"/>
  <c r="N103" i="9"/>
  <c r="N103" i="10" s="1"/>
  <c r="N149" i="9"/>
  <c r="N83" i="9"/>
  <c r="N83" i="10" s="1"/>
  <c r="N74" i="9"/>
  <c r="N74" i="10" s="1"/>
  <c r="N142" i="9"/>
  <c r="N142" i="10" s="1"/>
  <c r="N302" i="12" s="1"/>
  <c r="N111" i="9"/>
  <c r="N120" i="9"/>
  <c r="N120" i="10" s="1"/>
  <c r="N280" i="12" s="1"/>
  <c r="N280" i="13" s="1"/>
  <c r="N52" i="9"/>
  <c r="N52" i="10" s="1"/>
  <c r="N107" i="9"/>
  <c r="N50" i="9"/>
  <c r="N50" i="10" s="1"/>
  <c r="N210" i="12" s="1"/>
  <c r="N23" i="9"/>
  <c r="N53" i="9"/>
  <c r="N122" i="9"/>
  <c r="N122" i="10" s="1"/>
  <c r="N97" i="9"/>
  <c r="N97" i="10" s="1"/>
  <c r="N70" i="9"/>
  <c r="N70" i="10" s="1"/>
  <c r="N230" i="12" s="1"/>
  <c r="N70" i="13" s="1"/>
  <c r="N118" i="9"/>
  <c r="N42" i="11"/>
  <c r="N202" i="12"/>
  <c r="N35" i="10"/>
  <c r="N90" i="10"/>
  <c r="N90" i="11" s="1"/>
  <c r="N94" i="11"/>
  <c r="N254" i="12"/>
  <c r="N92" i="11"/>
  <c r="N252" i="12"/>
  <c r="N16" i="10"/>
  <c r="N106" i="11"/>
  <c r="N266" i="12"/>
  <c r="N155" i="11"/>
  <c r="N315" i="12"/>
  <c r="M145" i="10"/>
  <c r="M145" i="11" s="1"/>
  <c r="M62" i="10"/>
  <c r="M55" i="10"/>
  <c r="M55" i="11" s="1"/>
  <c r="M92" i="11"/>
  <c r="M252" i="12"/>
  <c r="Y137" i="9"/>
  <c r="Y85" i="9"/>
  <c r="Y85" i="10" s="1"/>
  <c r="Y110" i="11"/>
  <c r="Y270" i="12"/>
  <c r="Y100" i="10"/>
  <c r="Y100" i="11" s="1"/>
  <c r="X151" i="11"/>
  <c r="X311" i="12"/>
  <c r="M29" i="11"/>
  <c r="M189" i="12"/>
  <c r="M148" i="10"/>
  <c r="M106" i="11"/>
  <c r="M266" i="12"/>
  <c r="M155" i="11"/>
  <c r="M315" i="12"/>
  <c r="M35" i="10"/>
  <c r="M35" i="11" s="1"/>
  <c r="M16" i="11"/>
  <c r="M176" i="12"/>
  <c r="M8" i="11"/>
  <c r="M168" i="12"/>
  <c r="X110" i="11"/>
  <c r="X270" i="12"/>
  <c r="N105" i="9"/>
  <c r="N105" i="10" s="1"/>
  <c r="N123" i="9"/>
  <c r="N123" i="10" s="1"/>
  <c r="N283" i="12" s="1"/>
  <c r="N123" i="16" s="1"/>
  <c r="N283" i="17" s="1"/>
  <c r="N15" i="9"/>
  <c r="N15" i="10" s="1"/>
  <c r="N157" i="9"/>
  <c r="N157" i="10" s="1"/>
  <c r="N157" i="11" s="1"/>
  <c r="N49" i="9"/>
  <c r="N26" i="9"/>
  <c r="N26" i="10" s="1"/>
  <c r="N186" i="12" s="1"/>
  <c r="N186" i="13" s="1"/>
  <c r="N124" i="9"/>
  <c r="N124" i="10" s="1"/>
  <c r="N10" i="9"/>
  <c r="N10" i="10" s="1"/>
  <c r="N170" i="12" s="1"/>
  <c r="N109" i="9"/>
  <c r="N109" i="10" s="1"/>
  <c r="N138" i="9"/>
  <c r="N138" i="10" s="1"/>
  <c r="N298" i="12" s="1"/>
  <c r="N298" i="13" s="1"/>
  <c r="N44" i="9"/>
  <c r="N44" i="10" s="1"/>
  <c r="N127" i="9"/>
  <c r="N127" i="10" s="1"/>
  <c r="N114" i="9"/>
  <c r="N114" i="10" s="1"/>
  <c r="N156" i="9"/>
  <c r="N48" i="9"/>
  <c r="N48" i="10" s="1"/>
  <c r="N30" i="9"/>
  <c r="N30" i="10" s="1"/>
  <c r="N65" i="9"/>
  <c r="N65" i="10" s="1"/>
  <c r="N131" i="9"/>
  <c r="N131" i="10" s="1"/>
  <c r="N134" i="10"/>
  <c r="N101" i="10"/>
  <c r="N101" i="11" s="1"/>
  <c r="N22" i="11"/>
  <c r="N182" i="12"/>
  <c r="N8" i="11"/>
  <c r="N168" i="12"/>
  <c r="N121" i="10"/>
  <c r="N86" i="11"/>
  <c r="N246" i="12"/>
  <c r="N29" i="10"/>
  <c r="Y151" i="10"/>
  <c r="Y140" i="10"/>
  <c r="Y140" i="11" s="1"/>
  <c r="AA68" i="22"/>
  <c r="AA22" i="22"/>
  <c r="AA164" i="22"/>
  <c r="AA117" i="22"/>
  <c r="AA110" i="6" s="1"/>
  <c r="AA87" i="22"/>
  <c r="AA84" i="6" s="1"/>
  <c r="AA47" i="22"/>
  <c r="AA161" i="22"/>
  <c r="AA151" i="6" s="1"/>
  <c r="AA108" i="22"/>
  <c r="AA102" i="6" s="1"/>
  <c r="AA79" i="22"/>
  <c r="AA18" i="22"/>
  <c r="AA16" i="22"/>
  <c r="AA91" i="22"/>
  <c r="AA99" i="22"/>
  <c r="AA137" i="22"/>
  <c r="AA9" i="22"/>
  <c r="AA157" i="22"/>
  <c r="AA149" i="22"/>
  <c r="AA140" i="6" s="1"/>
  <c r="AA105" i="22"/>
  <c r="AA100" i="6" s="1"/>
  <c r="AA67" i="22"/>
  <c r="AA138" i="22"/>
  <c r="AA20" i="22"/>
  <c r="AA124" i="22"/>
  <c r="AA19" i="22"/>
  <c r="AA103" i="22"/>
  <c r="AA167" i="22"/>
  <c r="AA31" i="22"/>
  <c r="AA113" i="22"/>
  <c r="AA78" i="22"/>
  <c r="AA39" i="22"/>
  <c r="AA26" i="22"/>
  <c r="AA74" i="22"/>
  <c r="AA123" i="22"/>
  <c r="AA65" i="22"/>
  <c r="AA154" i="22"/>
  <c r="AA75" i="22"/>
  <c r="AA114" i="22"/>
  <c r="AA60" i="22"/>
  <c r="AA83" i="22"/>
  <c r="AA8" i="22"/>
  <c r="AA69" i="22"/>
  <c r="AA145" i="22"/>
  <c r="AA49" i="22"/>
  <c r="AA98" i="22"/>
  <c r="AA88" i="22"/>
  <c r="AA129" i="22"/>
  <c r="AA50" i="22"/>
  <c r="AA166" i="22"/>
  <c r="AA48" i="22"/>
  <c r="AA89" i="22"/>
  <c r="AA132" i="22"/>
  <c r="AA134" i="22"/>
  <c r="AA77" i="22"/>
  <c r="AA71" i="22"/>
  <c r="AA82" i="22"/>
  <c r="AA168" i="22"/>
  <c r="AA14" i="22"/>
  <c r="AA163" i="22"/>
  <c r="AA153" i="6" s="1"/>
  <c r="AA96" i="22"/>
  <c r="AA62" i="22"/>
  <c r="AA94" i="22"/>
  <c r="AA102" i="22"/>
  <c r="AA130" i="22"/>
  <c r="AA5" i="22"/>
  <c r="AA90" i="22"/>
  <c r="AA12" i="22"/>
  <c r="AA30" i="22"/>
  <c r="AA121" i="22"/>
  <c r="AA41" i="22"/>
  <c r="AA118" i="22"/>
  <c r="AA141" i="22"/>
  <c r="AA136" i="22"/>
  <c r="AA70" i="22"/>
  <c r="AA42" i="22"/>
  <c r="AA158" i="22"/>
  <c r="AA159" i="22"/>
  <c r="AA162" i="22"/>
  <c r="AA156" i="22"/>
  <c r="AA34" i="22"/>
  <c r="AA54" i="22"/>
  <c r="AA85" i="22"/>
  <c r="AA101" i="22"/>
  <c r="AA147" i="22"/>
  <c r="AA84" i="22"/>
  <c r="AA111" i="22"/>
  <c r="AA95" i="22"/>
  <c r="AA93" i="22"/>
  <c r="AA35" i="22"/>
  <c r="AA23" i="22"/>
  <c r="AA144" i="22"/>
  <c r="AA137" i="6" s="1"/>
  <c r="AA143" i="22"/>
  <c r="AA13" i="22"/>
  <c r="AA150" i="22"/>
  <c r="AA10" i="22"/>
  <c r="AA44" i="22"/>
  <c r="AA43" i="22"/>
  <c r="AA109" i="22"/>
  <c r="AA106" i="22"/>
  <c r="AA53" i="22"/>
  <c r="AA57" i="22"/>
  <c r="AA15" i="22"/>
  <c r="AA55" i="22"/>
  <c r="AA29" i="22"/>
  <c r="AA63" i="22"/>
  <c r="AA165" i="22"/>
  <c r="AA45" i="22"/>
  <c r="AA66" i="22"/>
  <c r="AA66" i="6" s="1"/>
  <c r="E66" i="20" s="1"/>
  <c r="AA112" i="22"/>
  <c r="AA127" i="22"/>
  <c r="AA126" i="22"/>
  <c r="AA81" i="22"/>
  <c r="AA125" i="22"/>
  <c r="AA155" i="22"/>
  <c r="AA151" i="22"/>
  <c r="AA122" i="22"/>
  <c r="AA97" i="22"/>
  <c r="AA128" i="22"/>
  <c r="AA115" i="22"/>
  <c r="AA169" i="22"/>
  <c r="AA52" i="22"/>
  <c r="AA146" i="22"/>
  <c r="AA131" i="22"/>
  <c r="AA7" i="22"/>
  <c r="M158" i="11"/>
  <c r="M318" i="12"/>
  <c r="M113" i="18"/>
  <c r="M280" i="18" s="1"/>
  <c r="K214" i="13"/>
  <c r="K99" i="13"/>
  <c r="X75" i="18"/>
  <c r="X236" i="18" s="1"/>
  <c r="L7" i="14"/>
  <c r="L7" i="15" s="1"/>
  <c r="K259" i="13"/>
  <c r="K99" i="14" s="1"/>
  <c r="P38" i="18"/>
  <c r="P198" i="18" s="1"/>
  <c r="I150" i="18"/>
  <c r="I319" i="18" s="1"/>
  <c r="K41" i="13"/>
  <c r="K41" i="17"/>
  <c r="K54" i="16"/>
  <c r="K201" i="13"/>
  <c r="O7" i="17"/>
  <c r="I86" i="14"/>
  <c r="G48" i="14"/>
  <c r="G48" i="15" s="1"/>
  <c r="AD7" i="1"/>
  <c r="P200" i="17"/>
  <c r="P40" i="18" s="1"/>
  <c r="P200" i="18" s="1"/>
  <c r="P40" i="17"/>
  <c r="Z88" i="16"/>
  <c r="Z248" i="13"/>
  <c r="Z88" i="14" s="1"/>
  <c r="Z88" i="13"/>
  <c r="AD39" i="1"/>
  <c r="Z28" i="16"/>
  <c r="Z28" i="13"/>
  <c r="Z188" i="13"/>
  <c r="Z28" i="14" s="1"/>
  <c r="Z128" i="16"/>
  <c r="Z288" i="13"/>
  <c r="Z128" i="14" s="1"/>
  <c r="Z128" i="13"/>
  <c r="D66" i="16"/>
  <c r="F66" i="20" s="1"/>
  <c r="P40" i="15"/>
  <c r="AF39" i="1"/>
  <c r="P128" i="16"/>
  <c r="P288" i="13"/>
  <c r="P128" i="14" s="1"/>
  <c r="P128" i="13"/>
  <c r="AD63" i="1"/>
  <c r="P33" i="16"/>
  <c r="P193" i="13"/>
  <c r="P33" i="14" s="1"/>
  <c r="P33" i="13"/>
  <c r="P137" i="11"/>
  <c r="P297" i="12"/>
  <c r="D137" i="16"/>
  <c r="F137" i="20" s="1"/>
  <c r="P85" i="11"/>
  <c r="P245" i="12"/>
  <c r="P153" i="11"/>
  <c r="P313" i="12"/>
  <c r="D153" i="16"/>
  <c r="F153" i="20" s="1"/>
  <c r="L137" i="17"/>
  <c r="L137" i="13"/>
  <c r="H137" i="13"/>
  <c r="L297" i="13"/>
  <c r="L137" i="14" s="1"/>
  <c r="H137" i="17"/>
  <c r="H297" i="13"/>
  <c r="H137" i="14" s="1"/>
  <c r="H137" i="18" s="1"/>
  <c r="H304" i="18" s="1"/>
  <c r="D9" i="31"/>
  <c r="G107" i="14"/>
  <c r="G267" i="17"/>
  <c r="G107" i="17"/>
  <c r="M156" i="15"/>
  <c r="U96" i="18"/>
  <c r="U260" i="18" s="1"/>
  <c r="K62" i="18"/>
  <c r="K222" i="18" s="1"/>
  <c r="H118" i="14"/>
  <c r="H118" i="18" s="1"/>
  <c r="H285" i="18" s="1"/>
  <c r="J32" i="18"/>
  <c r="J192" i="18" s="1"/>
  <c r="N85" i="14"/>
  <c r="G34" i="14"/>
  <c r="G34" i="18" s="1"/>
  <c r="L149" i="14"/>
  <c r="L149" i="18" s="1"/>
  <c r="L318" i="18" s="1"/>
  <c r="J43" i="16"/>
  <c r="M129" i="13"/>
  <c r="J317" i="13"/>
  <c r="J157" i="14" s="1"/>
  <c r="J157" i="15" s="1"/>
  <c r="L114" i="16"/>
  <c r="L274" i="17" s="1"/>
  <c r="L114" i="18" s="1"/>
  <c r="L281" i="18" s="1"/>
  <c r="K7" i="13"/>
  <c r="L114" i="13"/>
  <c r="K167" i="17"/>
  <c r="K7" i="18" s="1"/>
  <c r="K167" i="18" s="1"/>
  <c r="L45" i="16"/>
  <c r="L205" i="13"/>
  <c r="L45" i="14" s="1"/>
  <c r="L45" i="13"/>
  <c r="J66" i="13"/>
  <c r="I137" i="14"/>
  <c r="I137" i="18" s="1"/>
  <c r="I304" i="18" s="1"/>
  <c r="J85" i="13"/>
  <c r="M289" i="13"/>
  <c r="M129" i="14" s="1"/>
  <c r="J103" i="13"/>
  <c r="M129" i="17"/>
  <c r="W11" i="18"/>
  <c r="W171" i="18" s="1"/>
  <c r="M156" i="18"/>
  <c r="M327" i="18" s="1"/>
  <c r="J226" i="13"/>
  <c r="J66" i="14" s="1"/>
  <c r="J245" i="13"/>
  <c r="J85" i="14" s="1"/>
  <c r="I81" i="13"/>
  <c r="J156" i="15"/>
  <c r="Y72" i="18"/>
  <c r="Y233" i="18" s="1"/>
  <c r="J65" i="14"/>
  <c r="J65" i="15" s="1"/>
  <c r="L5" i="14"/>
  <c r="L5" i="15" s="1"/>
  <c r="M36" i="14"/>
  <c r="M36" i="15" s="1"/>
  <c r="K16" i="15"/>
  <c r="O63" i="13"/>
  <c r="I241" i="13"/>
  <c r="I81" i="14" s="1"/>
  <c r="J154" i="13"/>
  <c r="M136" i="14"/>
  <c r="M136" i="18" s="1"/>
  <c r="M303" i="18" s="1"/>
  <c r="L141" i="14"/>
  <c r="L141" i="15" s="1"/>
  <c r="J314" i="13"/>
  <c r="J154" i="14" s="1"/>
  <c r="J154" i="15" s="1"/>
  <c r="W51" i="18"/>
  <c r="W211" i="18" s="1"/>
  <c r="M7" i="13"/>
  <c r="K109" i="13"/>
  <c r="H251" i="13"/>
  <c r="H91" i="14" s="1"/>
  <c r="H91" i="16"/>
  <c r="H91" i="13"/>
  <c r="X85" i="14"/>
  <c r="I68" i="13"/>
  <c r="I65" i="13"/>
  <c r="L251" i="13"/>
  <c r="L91" i="14" s="1"/>
  <c r="L91" i="18" s="1"/>
  <c r="L255" i="18" s="1"/>
  <c r="I127" i="16"/>
  <c r="I280" i="13"/>
  <c r="I120" i="14" s="1"/>
  <c r="I120" i="15" s="1"/>
  <c r="I127" i="13"/>
  <c r="I68" i="17"/>
  <c r="I65" i="17"/>
  <c r="L271" i="13"/>
  <c r="G310" i="13"/>
  <c r="G150" i="14" s="1"/>
  <c r="G150" i="15" s="1"/>
  <c r="I268" i="13"/>
  <c r="I108" i="14" s="1"/>
  <c r="I108" i="18" s="1"/>
  <c r="I274" i="18" s="1"/>
  <c r="Y96" i="14"/>
  <c r="Y96" i="15" s="1"/>
  <c r="L236" i="12"/>
  <c r="L76" i="16" s="1"/>
  <c r="Y88" i="14"/>
  <c r="Y88" i="15" s="1"/>
  <c r="I228" i="13"/>
  <c r="I68" i="14" s="1"/>
  <c r="I68" i="18" s="1"/>
  <c r="I229" i="18" s="1"/>
  <c r="M89" i="13"/>
  <c r="I225" i="13"/>
  <c r="I65" i="14" s="1"/>
  <c r="I65" i="18" s="1"/>
  <c r="I225" i="18" s="1"/>
  <c r="M111" i="16"/>
  <c r="G155" i="15"/>
  <c r="G129" i="13"/>
  <c r="L91" i="17"/>
  <c r="O76" i="16"/>
  <c r="O236" i="17" s="1"/>
  <c r="L111" i="17"/>
  <c r="I108" i="17"/>
  <c r="L85" i="14"/>
  <c r="G91" i="14"/>
  <c r="W153" i="17"/>
  <c r="M249" i="13"/>
  <c r="M89" i="14" s="1"/>
  <c r="M89" i="18" s="1"/>
  <c r="M253" i="18" s="1"/>
  <c r="L39" i="17"/>
  <c r="L118" i="17"/>
  <c r="O99" i="17"/>
  <c r="L118" i="13"/>
  <c r="G289" i="13"/>
  <c r="G129" i="14" s="1"/>
  <c r="G123" i="14"/>
  <c r="G123" i="15" s="1"/>
  <c r="M89" i="17"/>
  <c r="L12" i="15"/>
  <c r="J298" i="13"/>
  <c r="J138" i="14" s="1"/>
  <c r="J138" i="16"/>
  <c r="J138" i="13"/>
  <c r="W153" i="13"/>
  <c r="K15" i="13"/>
  <c r="I49" i="17"/>
  <c r="M111" i="13"/>
  <c r="L278" i="13"/>
  <c r="L118" i="14" s="1"/>
  <c r="L118" i="18" s="1"/>
  <c r="L285" i="18" s="1"/>
  <c r="I93" i="13"/>
  <c r="G129" i="17"/>
  <c r="N123" i="17"/>
  <c r="V72" i="18"/>
  <c r="V233" i="18" s="1"/>
  <c r="G150" i="17"/>
  <c r="L39" i="15"/>
  <c r="G85" i="14"/>
  <c r="G85" i="15" s="1"/>
  <c r="W313" i="13"/>
  <c r="W153" i="14" s="1"/>
  <c r="K175" i="13"/>
  <c r="K15" i="14" s="1"/>
  <c r="K15" i="18" s="1"/>
  <c r="K175" i="18" s="1"/>
  <c r="I49" i="13"/>
  <c r="I253" i="13"/>
  <c r="I93" i="14" s="1"/>
  <c r="H27" i="18"/>
  <c r="H187" i="18" s="1"/>
  <c r="I83" i="14"/>
  <c r="I83" i="15" s="1"/>
  <c r="Z33" i="14"/>
  <c r="Z33" i="18" s="1"/>
  <c r="Z193" i="18" s="1"/>
  <c r="X292" i="17"/>
  <c r="X132" i="17"/>
  <c r="H280" i="13"/>
  <c r="H120" i="14" s="1"/>
  <c r="H120" i="18" s="1"/>
  <c r="H287" i="18" s="1"/>
  <c r="G124" i="14"/>
  <c r="G124" i="15" s="1"/>
  <c r="I167" i="13"/>
  <c r="I7" i="14" s="1"/>
  <c r="I7" i="15" s="1"/>
  <c r="G5" i="13"/>
  <c r="M30" i="15"/>
  <c r="G115" i="16"/>
  <c r="G115" i="17" s="1"/>
  <c r="G193" i="17"/>
  <c r="G33" i="18" s="1"/>
  <c r="G193" i="18" s="1"/>
  <c r="G33" i="17"/>
  <c r="G33" i="15"/>
  <c r="R85" i="14"/>
  <c r="R85" i="18" s="1"/>
  <c r="R248" i="18" s="1"/>
  <c r="H146" i="16"/>
  <c r="H306" i="17" s="1"/>
  <c r="K26" i="16"/>
  <c r="K186" i="17" s="1"/>
  <c r="M139" i="17"/>
  <c r="I7" i="17"/>
  <c r="M65" i="13"/>
  <c r="K45" i="16"/>
  <c r="M54" i="16"/>
  <c r="M214" i="17" s="1"/>
  <c r="I7" i="13"/>
  <c r="G133" i="13"/>
  <c r="G165" i="13"/>
  <c r="G5" i="14" s="1"/>
  <c r="G5" i="15" s="1"/>
  <c r="X292" i="13"/>
  <c r="X132" i="14" s="1"/>
  <c r="X132" i="13"/>
  <c r="H97" i="16"/>
  <c r="H257" i="13"/>
  <c r="H97" i="14" s="1"/>
  <c r="H97" i="13"/>
  <c r="G43" i="14"/>
  <c r="H68" i="17"/>
  <c r="H146" i="13"/>
  <c r="M139" i="13"/>
  <c r="H120" i="17"/>
  <c r="K109" i="18"/>
  <c r="K275" i="18" s="1"/>
  <c r="M65" i="17"/>
  <c r="I54" i="13"/>
  <c r="M225" i="13"/>
  <c r="M65" i="14" s="1"/>
  <c r="M65" i="18" s="1"/>
  <c r="M225" i="18" s="1"/>
  <c r="M54" i="13"/>
  <c r="M7" i="17"/>
  <c r="T96" i="18"/>
  <c r="T260" i="18" s="1"/>
  <c r="L99" i="14"/>
  <c r="L99" i="15" s="1"/>
  <c r="G293" i="13"/>
  <c r="G133" i="14" s="1"/>
  <c r="G133" i="15" s="1"/>
  <c r="L90" i="15"/>
  <c r="G172" i="17"/>
  <c r="G12" i="17"/>
  <c r="H68" i="13"/>
  <c r="K26" i="13"/>
  <c r="M299" i="13"/>
  <c r="M139" i="14" s="1"/>
  <c r="M139" i="18" s="1"/>
  <c r="M307" i="18" s="1"/>
  <c r="P11" i="18"/>
  <c r="P171" i="18" s="1"/>
  <c r="I214" i="13"/>
  <c r="I54" i="14" s="1"/>
  <c r="I54" i="15" s="1"/>
  <c r="L90" i="17"/>
  <c r="O167" i="13"/>
  <c r="H228" i="13"/>
  <c r="I124" i="18"/>
  <c r="I291" i="18" s="1"/>
  <c r="M167" i="13"/>
  <c r="M7" i="14" s="1"/>
  <c r="M7" i="15" s="1"/>
  <c r="M133" i="14"/>
  <c r="M133" i="15" s="1"/>
  <c r="Z37" i="14"/>
  <c r="Z37" i="15" s="1"/>
  <c r="AD362" i="1"/>
  <c r="O362" i="1"/>
  <c r="D98" i="31" s="1"/>
  <c r="T297" i="13"/>
  <c r="I88" i="15"/>
  <c r="I88" i="18"/>
  <c r="I252" i="18" s="1"/>
  <c r="G55" i="15"/>
  <c r="G86" i="15"/>
  <c r="G209" i="17"/>
  <c r="G49" i="17"/>
  <c r="G81" i="11"/>
  <c r="G115" i="14"/>
  <c r="G246" i="17"/>
  <c r="G86" i="18" s="1"/>
  <c r="G250" i="18" s="1"/>
  <c r="G86" i="17"/>
  <c r="G269" i="12"/>
  <c r="G131" i="15"/>
  <c r="G215" i="17"/>
  <c r="G55" i="18" s="1"/>
  <c r="G215" i="18" s="1"/>
  <c r="G55" i="17"/>
  <c r="G263" i="12"/>
  <c r="G263" i="13" s="1"/>
  <c r="G139" i="11"/>
  <c r="G149" i="11"/>
  <c r="G26" i="11"/>
  <c r="G228" i="12"/>
  <c r="G228" i="13" s="1"/>
  <c r="G23" i="11"/>
  <c r="G179" i="12"/>
  <c r="G19" i="16" s="1"/>
  <c r="G65" i="11"/>
  <c r="G227" i="12"/>
  <c r="G67" i="13" s="1"/>
  <c r="G291" i="17"/>
  <c r="G131" i="18" s="1"/>
  <c r="G298" i="18" s="1"/>
  <c r="G131" i="17"/>
  <c r="Y133" i="17"/>
  <c r="Y293" i="17"/>
  <c r="O133" i="17"/>
  <c r="O293" i="17"/>
  <c r="G157" i="11"/>
  <c r="G301" i="12"/>
  <c r="G301" i="13" s="1"/>
  <c r="G314" i="12"/>
  <c r="G154" i="16" s="1"/>
  <c r="G105" i="11"/>
  <c r="L12" i="17"/>
  <c r="I133" i="15"/>
  <c r="Y133" i="13"/>
  <c r="Y293" i="13"/>
  <c r="Y133" i="14" s="1"/>
  <c r="Y133" i="15" s="1"/>
  <c r="G255" i="13"/>
  <c r="G95" i="14" s="1"/>
  <c r="G95" i="16"/>
  <c r="G95" i="13"/>
  <c r="O293" i="13"/>
  <c r="O133" i="14" s="1"/>
  <c r="O133" i="15" s="1"/>
  <c r="O133" i="13"/>
  <c r="G37" i="16"/>
  <c r="G197" i="13"/>
  <c r="G37" i="14" s="1"/>
  <c r="G37" i="13"/>
  <c r="M283" i="17"/>
  <c r="G69" i="11"/>
  <c r="G120" i="11"/>
  <c r="G50" i="11"/>
  <c r="G279" i="12"/>
  <c r="G119" i="16" s="1"/>
  <c r="G290" i="12"/>
  <c r="G290" i="13" s="1"/>
  <c r="L316" i="12"/>
  <c r="L156" i="13" s="1"/>
  <c r="I291" i="12"/>
  <c r="G115" i="13"/>
  <c r="G83" i="11"/>
  <c r="G15" i="11"/>
  <c r="G39" i="11"/>
  <c r="J39" i="14"/>
  <c r="J39" i="15" s="1"/>
  <c r="G268" i="12"/>
  <c r="G127" i="11"/>
  <c r="N88" i="18"/>
  <c r="N252" i="18" s="1"/>
  <c r="M110" i="18"/>
  <c r="M276" i="18" s="1"/>
  <c r="I293" i="17"/>
  <c r="I133" i="18" s="1"/>
  <c r="I300" i="18" s="1"/>
  <c r="I133" i="17"/>
  <c r="U78" i="18"/>
  <c r="U240" i="18" s="1"/>
  <c r="U78" i="15"/>
  <c r="G31" i="13"/>
  <c r="G31" i="16"/>
  <c r="G191" i="13"/>
  <c r="G31" i="14" s="1"/>
  <c r="G137" i="14"/>
  <c r="G137" i="18" s="1"/>
  <c r="AF9" i="1"/>
  <c r="AD9" i="1"/>
  <c r="G140" i="15"/>
  <c r="G140" i="18"/>
  <c r="G308" i="18" s="1"/>
  <c r="G110" i="15"/>
  <c r="G270" i="17"/>
  <c r="G110" i="18" s="1"/>
  <c r="G276" i="18" s="1"/>
  <c r="G110" i="17"/>
  <c r="L48" i="11"/>
  <c r="L48" i="14" s="1"/>
  <c r="G209" i="13"/>
  <c r="G49" i="14" s="1"/>
  <c r="G49" i="15" s="1"/>
  <c r="G49" i="13"/>
  <c r="Q110" i="18"/>
  <c r="Q276" i="18" s="1"/>
  <c r="H48" i="11"/>
  <c r="O96" i="18"/>
  <c r="O260" i="18" s="1"/>
  <c r="O96" i="15"/>
  <c r="H48" i="16"/>
  <c r="H208" i="13"/>
  <c r="H48" i="13"/>
  <c r="S46" i="18"/>
  <c r="S206" i="18" s="1"/>
  <c r="S46" i="15"/>
  <c r="M196" i="17"/>
  <c r="M36" i="17"/>
  <c r="L121" i="15"/>
  <c r="L121" i="18"/>
  <c r="L288" i="18" s="1"/>
  <c r="I73" i="18"/>
  <c r="I234" i="18" s="1"/>
  <c r="V197" i="17"/>
  <c r="V37" i="17"/>
  <c r="G111" i="13"/>
  <c r="G271" i="13"/>
  <c r="G111" i="14" s="1"/>
  <c r="X133" i="18"/>
  <c r="X300" i="18" s="1"/>
  <c r="K173" i="12"/>
  <c r="K13" i="16" s="1"/>
  <c r="L112" i="14"/>
  <c r="L112" i="15" s="1"/>
  <c r="H13" i="16"/>
  <c r="H173" i="13"/>
  <c r="H13" i="14" s="1"/>
  <c r="H13" i="13"/>
  <c r="J12" i="18"/>
  <c r="J172" i="18" s="1"/>
  <c r="J12" i="15"/>
  <c r="P96" i="16"/>
  <c r="P256" i="13"/>
  <c r="P96" i="14" s="1"/>
  <c r="P96" i="13"/>
  <c r="M131" i="18"/>
  <c r="M298" i="18" s="1"/>
  <c r="M131" i="15"/>
  <c r="V197" i="13"/>
  <c r="V37" i="14" s="1"/>
  <c r="V37" i="15" s="1"/>
  <c r="V37" i="13"/>
  <c r="M67" i="14"/>
  <c r="M67" i="15" s="1"/>
  <c r="X112" i="14"/>
  <c r="X112" i="15" s="1"/>
  <c r="L12" i="18"/>
  <c r="L172" i="18" s="1"/>
  <c r="W256" i="17"/>
  <c r="W96" i="17"/>
  <c r="W96" i="14"/>
  <c r="G111" i="16"/>
  <c r="J75" i="18"/>
  <c r="J236" i="18" s="1"/>
  <c r="J75" i="15"/>
  <c r="N215" i="17"/>
  <c r="N55" i="17"/>
  <c r="R37" i="14"/>
  <c r="R37" i="15" s="1"/>
  <c r="H65" i="15"/>
  <c r="T61" i="14"/>
  <c r="T61" i="15" s="1"/>
  <c r="H65" i="17"/>
  <c r="H225" i="17"/>
  <c r="H65" i="18" s="1"/>
  <c r="H225" i="18" s="1"/>
  <c r="I73" i="15"/>
  <c r="H150" i="11"/>
  <c r="R132" i="14"/>
  <c r="R132" i="15" s="1"/>
  <c r="Z197" i="17"/>
  <c r="Z37" i="17"/>
  <c r="N215" i="13"/>
  <c r="N55" i="14" s="1"/>
  <c r="N55" i="15" s="1"/>
  <c r="N55" i="13"/>
  <c r="H150" i="16"/>
  <c r="H310" i="13"/>
  <c r="H150" i="13"/>
  <c r="L9" i="10"/>
  <c r="L9" i="11" s="1"/>
  <c r="N9" i="10"/>
  <c r="N169" i="12" s="1"/>
  <c r="H90" i="15"/>
  <c r="H90" i="18"/>
  <c r="H254" i="18" s="1"/>
  <c r="S248" i="17"/>
  <c r="S88" i="17"/>
  <c r="L227" i="17"/>
  <c r="L67" i="17"/>
  <c r="U153" i="11"/>
  <c r="Q248" i="17"/>
  <c r="Q88" i="17"/>
  <c r="K251" i="12"/>
  <c r="K91" i="16" s="1"/>
  <c r="K67" i="11"/>
  <c r="P112" i="16"/>
  <c r="P272" i="13"/>
  <c r="P112" i="14" s="1"/>
  <c r="P112" i="13"/>
  <c r="Q88" i="13"/>
  <c r="Q248" i="13"/>
  <c r="Q88" i="14" s="1"/>
  <c r="H7" i="11"/>
  <c r="H7" i="14" s="1"/>
  <c r="G67" i="11"/>
  <c r="S248" i="13"/>
  <c r="S88" i="14" s="1"/>
  <c r="S88" i="15" s="1"/>
  <c r="S88" i="13"/>
  <c r="L67" i="13"/>
  <c r="L227" i="13"/>
  <c r="L67" i="14" s="1"/>
  <c r="R112" i="14"/>
  <c r="R112" i="15" s="1"/>
  <c r="Q219" i="17"/>
  <c r="Q59" i="17"/>
  <c r="Y248" i="17"/>
  <c r="Y88" i="17"/>
  <c r="X112" i="17"/>
  <c r="X272" i="17"/>
  <c r="H88" i="15"/>
  <c r="Q219" i="13"/>
  <c r="Q59" i="14" s="1"/>
  <c r="Q59" i="15" s="1"/>
  <c r="Q59" i="13"/>
  <c r="H248" i="17"/>
  <c r="H88" i="18" s="1"/>
  <c r="H252" i="18" s="1"/>
  <c r="H88" i="17"/>
  <c r="K91" i="11"/>
  <c r="Z33" i="15"/>
  <c r="L18" i="18"/>
  <c r="L178" i="18" s="1"/>
  <c r="L18" i="15"/>
  <c r="M165" i="17"/>
  <c r="M5" i="17"/>
  <c r="H23" i="11"/>
  <c r="M13" i="11"/>
  <c r="L122" i="14"/>
  <c r="L122" i="15" s="1"/>
  <c r="M80" i="11"/>
  <c r="T37" i="14"/>
  <c r="T37" i="15" s="1"/>
  <c r="O206" i="17"/>
  <c r="O46" i="18" s="1"/>
  <c r="O206" i="18" s="1"/>
  <c r="O46" i="17"/>
  <c r="T313" i="12"/>
  <c r="T153" i="16" s="1"/>
  <c r="H124" i="16"/>
  <c r="H124" i="13"/>
  <c r="H284" i="13"/>
  <c r="H124" i="14" s="1"/>
  <c r="W64" i="15"/>
  <c r="I256" i="17"/>
  <c r="I96" i="18" s="1"/>
  <c r="I260" i="18" s="1"/>
  <c r="I96" i="17"/>
  <c r="M165" i="13"/>
  <c r="M5" i="14" s="1"/>
  <c r="M5" i="13"/>
  <c r="O46" i="15"/>
  <c r="H112" i="15"/>
  <c r="H112" i="18"/>
  <c r="H279" i="18" s="1"/>
  <c r="H227" i="13"/>
  <c r="H67" i="14" s="1"/>
  <c r="H67" i="13"/>
  <c r="H67" i="16"/>
  <c r="H99" i="14"/>
  <c r="L54" i="11"/>
  <c r="L23" i="14"/>
  <c r="L23" i="15" s="1"/>
  <c r="L89" i="11"/>
  <c r="J111" i="11"/>
  <c r="J111" i="14" s="1"/>
  <c r="G125" i="14"/>
  <c r="G125" i="15" s="1"/>
  <c r="J53" i="14"/>
  <c r="J53" i="15" s="1"/>
  <c r="P28" i="15"/>
  <c r="J107" i="11"/>
  <c r="H152" i="15"/>
  <c r="K55" i="18"/>
  <c r="K215" i="18" s="1"/>
  <c r="K55" i="15"/>
  <c r="K67" i="16"/>
  <c r="K67" i="13"/>
  <c r="K227" i="13"/>
  <c r="H70" i="11"/>
  <c r="I64" i="15"/>
  <c r="J107" i="16"/>
  <c r="J267" i="13"/>
  <c r="J107" i="13"/>
  <c r="H312" i="17"/>
  <c r="H152" i="18" s="1"/>
  <c r="H322" i="18" s="1"/>
  <c r="H152" i="17"/>
  <c r="R132" i="17"/>
  <c r="R292" i="17"/>
  <c r="P188" i="17"/>
  <c r="P28" i="18" s="1"/>
  <c r="P188" i="18" s="1"/>
  <c r="P28" i="17"/>
  <c r="I96" i="15"/>
  <c r="W224" i="17"/>
  <c r="W64" i="18" s="1"/>
  <c r="W224" i="18" s="1"/>
  <c r="W64" i="17"/>
  <c r="U128" i="18"/>
  <c r="U295" i="18" s="1"/>
  <c r="V313" i="12"/>
  <c r="V153" i="16" s="1"/>
  <c r="I208" i="17"/>
  <c r="I48" i="17"/>
  <c r="W270" i="17"/>
  <c r="W110" i="17"/>
  <c r="M208" i="17"/>
  <c r="M48" i="17"/>
  <c r="L90" i="18"/>
  <c r="L254" i="18" s="1"/>
  <c r="Z51" i="15"/>
  <c r="I131" i="11"/>
  <c r="M213" i="13"/>
  <c r="M53" i="14" s="1"/>
  <c r="M53" i="13"/>
  <c r="M53" i="16"/>
  <c r="J80" i="11"/>
  <c r="Z40" i="15"/>
  <c r="G80" i="16"/>
  <c r="G80" i="13"/>
  <c r="G240" i="13"/>
  <c r="G80" i="14" s="1"/>
  <c r="K44" i="11"/>
  <c r="K44" i="14" s="1"/>
  <c r="K44" i="15" s="1"/>
  <c r="M74" i="11"/>
  <c r="M74" i="14" s="1"/>
  <c r="M125" i="11"/>
  <c r="Z211" i="17"/>
  <c r="Z51" i="18" s="1"/>
  <c r="Z211" i="18" s="1"/>
  <c r="Z51" i="17"/>
  <c r="T248" i="17"/>
  <c r="T88" i="18" s="1"/>
  <c r="T252" i="18" s="1"/>
  <c r="T88" i="17"/>
  <c r="J80" i="16"/>
  <c r="J240" i="13"/>
  <c r="J80" i="13"/>
  <c r="K48" i="14"/>
  <c r="L225" i="12"/>
  <c r="L65" i="16" s="1"/>
  <c r="Z40" i="17"/>
  <c r="Z200" i="17"/>
  <c r="Z40" i="18" s="1"/>
  <c r="Z200" i="18" s="1"/>
  <c r="O7" i="11"/>
  <c r="G225" i="12"/>
  <c r="G65" i="16" s="1"/>
  <c r="M208" i="13"/>
  <c r="M48" i="14" s="1"/>
  <c r="M48" i="13"/>
  <c r="G208" i="17"/>
  <c r="G48" i="17"/>
  <c r="L53" i="16"/>
  <c r="L213" i="13"/>
  <c r="L53" i="14" s="1"/>
  <c r="L53" i="13"/>
  <c r="I48" i="13"/>
  <c r="I208" i="13"/>
  <c r="I48" i="14" s="1"/>
  <c r="I48" i="15" s="1"/>
  <c r="I36" i="14"/>
  <c r="I36" i="15" s="1"/>
  <c r="H12" i="14"/>
  <c r="H12" i="15" s="1"/>
  <c r="G19" i="11"/>
  <c r="O135" i="18"/>
  <c r="O302" i="18" s="1"/>
  <c r="K48" i="17"/>
  <c r="K208" i="17"/>
  <c r="J213" i="17"/>
  <c r="J53" i="17"/>
  <c r="K254" i="17"/>
  <c r="K94" i="17"/>
  <c r="H213" i="12"/>
  <c r="H53" i="16" s="1"/>
  <c r="L112" i="17"/>
  <c r="L272" i="17"/>
  <c r="J59" i="15"/>
  <c r="K254" i="13"/>
  <c r="K94" i="14" s="1"/>
  <c r="K94" i="13"/>
  <c r="H282" i="17"/>
  <c r="H122" i="17"/>
  <c r="H285" i="13"/>
  <c r="H125" i="14" s="1"/>
  <c r="H125" i="13"/>
  <c r="H125" i="16"/>
  <c r="S153" i="16"/>
  <c r="S313" i="13"/>
  <c r="S153" i="14" s="1"/>
  <c r="S153" i="13"/>
  <c r="R197" i="17"/>
  <c r="R37" i="17"/>
  <c r="M80" i="16"/>
  <c r="M240" i="13"/>
  <c r="M80" i="13"/>
  <c r="T197" i="17"/>
  <c r="T37" i="17"/>
  <c r="R133" i="15"/>
  <c r="K125" i="14"/>
  <c r="K125" i="15" s="1"/>
  <c r="J167" i="12"/>
  <c r="J7" i="16" s="1"/>
  <c r="T88" i="15"/>
  <c r="I64" i="17"/>
  <c r="I224" i="17"/>
  <c r="I64" i="18" s="1"/>
  <c r="I224" i="18" s="1"/>
  <c r="J133" i="18"/>
  <c r="J300" i="18" s="1"/>
  <c r="J133" i="15"/>
  <c r="H122" i="14"/>
  <c r="W110" i="13"/>
  <c r="W270" i="13"/>
  <c r="W110" i="14" s="1"/>
  <c r="W110" i="15" s="1"/>
  <c r="J282" i="17"/>
  <c r="J122" i="17"/>
  <c r="U295" i="17"/>
  <c r="U135" i="17"/>
  <c r="W295" i="17"/>
  <c r="W135" i="17"/>
  <c r="J165" i="17"/>
  <c r="J5" i="17"/>
  <c r="J33" i="15"/>
  <c r="J33" i="18"/>
  <c r="J193" i="18" s="1"/>
  <c r="G32" i="15"/>
  <c r="G32" i="18"/>
  <c r="G192" i="18" s="1"/>
  <c r="I285" i="17"/>
  <c r="I125" i="17"/>
  <c r="M295" i="17"/>
  <c r="M135" i="17"/>
  <c r="Q295" i="17"/>
  <c r="Q135" i="17"/>
  <c r="R38" i="18"/>
  <c r="R198" i="18" s="1"/>
  <c r="G312" i="17"/>
  <c r="G152" i="17"/>
  <c r="X153" i="16"/>
  <c r="X313" i="13"/>
  <c r="X153" i="14" s="1"/>
  <c r="X153" i="13"/>
  <c r="M13" i="16"/>
  <c r="M173" i="13"/>
  <c r="M13" i="13"/>
  <c r="M91" i="16"/>
  <c r="M251" i="13"/>
  <c r="M91" i="14" s="1"/>
  <c r="M91" i="13"/>
  <c r="K190" i="17"/>
  <c r="K30" i="17"/>
  <c r="L312" i="17"/>
  <c r="L152" i="17"/>
  <c r="G141" i="11"/>
  <c r="N26" i="11"/>
  <c r="N129" i="11"/>
  <c r="N10" i="11"/>
  <c r="G312" i="13"/>
  <c r="G152" i="14" s="1"/>
  <c r="G152" i="15" s="1"/>
  <c r="G152" i="13"/>
  <c r="I86" i="15"/>
  <c r="J70" i="11"/>
  <c r="N70" i="16"/>
  <c r="N230" i="13"/>
  <c r="J152" i="14"/>
  <c r="L101" i="18"/>
  <c r="L266" i="18" s="1"/>
  <c r="J282" i="13"/>
  <c r="J122" i="14" s="1"/>
  <c r="J122" i="15" s="1"/>
  <c r="J122" i="13"/>
  <c r="J70" i="16"/>
  <c r="J230" i="13"/>
  <c r="J70" i="13"/>
  <c r="J165" i="13"/>
  <c r="J5" i="14" s="1"/>
  <c r="J5" i="15" s="1"/>
  <c r="J5" i="13"/>
  <c r="G70" i="16"/>
  <c r="G230" i="13"/>
  <c r="G70" i="14" s="1"/>
  <c r="G70" i="13"/>
  <c r="W295" i="13"/>
  <c r="W135" i="14" s="1"/>
  <c r="W135" i="15" s="1"/>
  <c r="W135" i="13"/>
  <c r="L282" i="17"/>
  <c r="L122" i="17"/>
  <c r="V36" i="18"/>
  <c r="V196" i="18" s="1"/>
  <c r="V36" i="15"/>
  <c r="I246" i="17"/>
  <c r="I86" i="18" s="1"/>
  <c r="I250" i="18" s="1"/>
  <c r="I86" i="17"/>
  <c r="I105" i="11"/>
  <c r="K142" i="11"/>
  <c r="K142" i="14" s="1"/>
  <c r="K142" i="15" s="1"/>
  <c r="H33" i="14"/>
  <c r="H33" i="15" s="1"/>
  <c r="I135" i="17"/>
  <c r="I295" i="17"/>
  <c r="M295" i="13"/>
  <c r="M135" i="14" s="1"/>
  <c r="M135" i="13"/>
  <c r="K285" i="17"/>
  <c r="K125" i="17"/>
  <c r="U295" i="13"/>
  <c r="U135" i="14" s="1"/>
  <c r="U135" i="15" s="1"/>
  <c r="U135" i="13"/>
  <c r="M227" i="17"/>
  <c r="M67" i="17"/>
  <c r="L55" i="17"/>
  <c r="L215" i="17"/>
  <c r="I312" i="17"/>
  <c r="I152" i="17"/>
  <c r="K5" i="15"/>
  <c r="Q295" i="13"/>
  <c r="Q135" i="14" s="1"/>
  <c r="Q135" i="15" s="1"/>
  <c r="Q135" i="13"/>
  <c r="J312" i="17"/>
  <c r="J152" i="17"/>
  <c r="H5" i="11"/>
  <c r="Z17" i="18"/>
  <c r="Z177" i="18" s="1"/>
  <c r="L103" i="11"/>
  <c r="L103" i="14" s="1"/>
  <c r="L103" i="15" s="1"/>
  <c r="L70" i="11"/>
  <c r="I135" i="13"/>
  <c r="I295" i="13"/>
  <c r="I135" i="14" s="1"/>
  <c r="M125" i="16"/>
  <c r="M285" i="13"/>
  <c r="M125" i="13"/>
  <c r="H70" i="16"/>
  <c r="H230" i="13"/>
  <c r="H70" i="14" s="1"/>
  <c r="H70" i="13"/>
  <c r="L55" i="13"/>
  <c r="L215" i="13"/>
  <c r="L55" i="14" s="1"/>
  <c r="L55" i="15" s="1"/>
  <c r="U153" i="16"/>
  <c r="U313" i="13"/>
  <c r="U153" i="13"/>
  <c r="I312" i="13"/>
  <c r="I152" i="14" s="1"/>
  <c r="I152" i="13"/>
  <c r="G285" i="17"/>
  <c r="G125" i="17"/>
  <c r="H5" i="16"/>
  <c r="H165" i="13"/>
  <c r="H5" i="13"/>
  <c r="L152" i="14"/>
  <c r="L70" i="16"/>
  <c r="L230" i="13"/>
  <c r="L70" i="13"/>
  <c r="I227" i="12"/>
  <c r="I67" i="16" s="1"/>
  <c r="I70" i="16"/>
  <c r="I230" i="13"/>
  <c r="I70" i="14" s="1"/>
  <c r="I70" i="13"/>
  <c r="G165" i="17"/>
  <c r="G5" i="17"/>
  <c r="Q313" i="12"/>
  <c r="Q153" i="16" s="1"/>
  <c r="O285" i="13"/>
  <c r="I285" i="13"/>
  <c r="I125" i="14" s="1"/>
  <c r="I125" i="13"/>
  <c r="K165" i="17"/>
  <c r="K5" i="18" s="1"/>
  <c r="K165" i="18" s="1"/>
  <c r="K5" i="17"/>
  <c r="T137" i="13"/>
  <c r="T297" i="17"/>
  <c r="G100" i="14"/>
  <c r="G100" i="15" s="1"/>
  <c r="M140" i="18"/>
  <c r="M308" i="18" s="1"/>
  <c r="M115" i="15"/>
  <c r="M115" i="18"/>
  <c r="M282" i="18" s="1"/>
  <c r="M193" i="17"/>
  <c r="M33" i="17"/>
  <c r="Y33" i="17"/>
  <c r="Y193" i="17"/>
  <c r="K78" i="15"/>
  <c r="H60" i="15"/>
  <c r="H194" i="17"/>
  <c r="H34" i="17"/>
  <c r="H139" i="14"/>
  <c r="H139" i="15" s="1"/>
  <c r="J36" i="14"/>
  <c r="J36" i="15" s="1"/>
  <c r="M217" i="13"/>
  <c r="M57" i="14" s="1"/>
  <c r="M57" i="15" s="1"/>
  <c r="M57" i="13"/>
  <c r="H205" i="12"/>
  <c r="H45" i="16" s="1"/>
  <c r="K124" i="11"/>
  <c r="I178" i="17"/>
  <c r="I18" i="17"/>
  <c r="E250" i="1"/>
  <c r="E253" i="1"/>
  <c r="L50" i="11"/>
  <c r="L50" i="14" s="1"/>
  <c r="L50" i="15" s="1"/>
  <c r="M54" i="11"/>
  <c r="M54" i="14" s="1"/>
  <c r="M52" i="13"/>
  <c r="M52" i="16"/>
  <c r="M212" i="13"/>
  <c r="M52" i="14" s="1"/>
  <c r="O120" i="11"/>
  <c r="K124" i="16"/>
  <c r="K284" i="13"/>
  <c r="K124" i="13"/>
  <c r="Y135" i="18"/>
  <c r="Y302" i="18" s="1"/>
  <c r="H34" i="13"/>
  <c r="H194" i="13"/>
  <c r="H34" i="14" s="1"/>
  <c r="K135" i="15"/>
  <c r="K135" i="18"/>
  <c r="K302" i="18" s="1"/>
  <c r="L134" i="15"/>
  <c r="I23" i="11"/>
  <c r="J130" i="11"/>
  <c r="J130" i="14" s="1"/>
  <c r="J130" i="15" s="1"/>
  <c r="H79" i="11"/>
  <c r="H79" i="14" s="1"/>
  <c r="J89" i="11"/>
  <c r="P59" i="15"/>
  <c r="AO362" i="1"/>
  <c r="C362" i="1" s="1"/>
  <c r="AE362" i="1"/>
  <c r="AF362" i="1"/>
  <c r="P362" i="1"/>
  <c r="J225" i="17"/>
  <c r="J65" i="17"/>
  <c r="U24" i="15"/>
  <c r="U24" i="18"/>
  <c r="U184" i="18" s="1"/>
  <c r="L156" i="11"/>
  <c r="H172" i="17"/>
  <c r="H12" i="17"/>
  <c r="O32" i="14"/>
  <c r="P219" i="17"/>
  <c r="P59" i="18" s="1"/>
  <c r="P219" i="18" s="1"/>
  <c r="P59" i="17"/>
  <c r="H220" i="17"/>
  <c r="H60" i="18" s="1"/>
  <c r="H220" i="18" s="1"/>
  <c r="H60" i="17"/>
  <c r="L294" i="17"/>
  <c r="L134" i="18" s="1"/>
  <c r="L301" i="18" s="1"/>
  <c r="L134" i="17"/>
  <c r="M193" i="13"/>
  <c r="M33" i="14" s="1"/>
  <c r="M33" i="15" s="1"/>
  <c r="M33" i="13"/>
  <c r="Y193" i="13"/>
  <c r="Y33" i="14" s="1"/>
  <c r="Y33" i="13"/>
  <c r="V133" i="15"/>
  <c r="H105" i="16"/>
  <c r="H265" i="13"/>
  <c r="H105" i="14" s="1"/>
  <c r="H105" i="13"/>
  <c r="M124" i="18"/>
  <c r="M291" i="18" s="1"/>
  <c r="X37" i="14"/>
  <c r="X37" i="15" s="1"/>
  <c r="K81" i="14"/>
  <c r="K81" i="15" s="1"/>
  <c r="J27" i="18"/>
  <c r="J187" i="18" s="1"/>
  <c r="K238" i="17"/>
  <c r="K78" i="18" s="1"/>
  <c r="K240" i="18" s="1"/>
  <c r="K78" i="17"/>
  <c r="M217" i="17"/>
  <c r="M57" i="17"/>
  <c r="H193" i="17"/>
  <c r="H33" i="17"/>
  <c r="G147" i="16"/>
  <c r="G307" i="13"/>
  <c r="G147" i="14" s="1"/>
  <c r="G147" i="13"/>
  <c r="V293" i="17"/>
  <c r="V133" i="18" s="1"/>
  <c r="V300" i="18" s="1"/>
  <c r="V133" i="17"/>
  <c r="I18" i="14"/>
  <c r="W248" i="17"/>
  <c r="W88" i="17"/>
  <c r="O193" i="17"/>
  <c r="O33" i="17"/>
  <c r="S193" i="17"/>
  <c r="S33" i="17"/>
  <c r="H10" i="11"/>
  <c r="M119" i="11"/>
  <c r="J89" i="16"/>
  <c r="J249" i="13"/>
  <c r="J89" i="13"/>
  <c r="J45" i="11"/>
  <c r="L36" i="14"/>
  <c r="H175" i="12"/>
  <c r="H15" i="16" s="1"/>
  <c r="N174" i="13"/>
  <c r="N14" i="14" s="1"/>
  <c r="N14" i="13"/>
  <c r="K193" i="17"/>
  <c r="K33" i="17"/>
  <c r="O193" i="13"/>
  <c r="O33" i="14" s="1"/>
  <c r="O33" i="15" s="1"/>
  <c r="O33" i="13"/>
  <c r="S193" i="13"/>
  <c r="S33" i="14" s="1"/>
  <c r="S33" i="13"/>
  <c r="S144" i="18"/>
  <c r="S313" i="18" s="1"/>
  <c r="S144" i="15"/>
  <c r="J45" i="16"/>
  <c r="J45" i="13"/>
  <c r="J205" i="13"/>
  <c r="T292" i="17"/>
  <c r="T132" i="17"/>
  <c r="Z292" i="17"/>
  <c r="Z132" i="17"/>
  <c r="G103" i="11"/>
  <c r="L111" i="11"/>
  <c r="T137" i="11"/>
  <c r="K193" i="13"/>
  <c r="K33" i="14" s="1"/>
  <c r="K33" i="15" s="1"/>
  <c r="K33" i="13"/>
  <c r="T64" i="18"/>
  <c r="T224" i="18" s="1"/>
  <c r="T64" i="15"/>
  <c r="K41" i="11"/>
  <c r="V292" i="17"/>
  <c r="V132" i="17"/>
  <c r="T292" i="13"/>
  <c r="T132" i="14" s="1"/>
  <c r="T132" i="15" s="1"/>
  <c r="T132" i="13"/>
  <c r="L196" i="17"/>
  <c r="L36" i="17"/>
  <c r="Z132" i="13"/>
  <c r="Z292" i="13"/>
  <c r="Z132" i="14" s="1"/>
  <c r="Z132" i="15" s="1"/>
  <c r="U193" i="17"/>
  <c r="U33" i="17"/>
  <c r="K54" i="11"/>
  <c r="K54" i="14" s="1"/>
  <c r="K54" i="15" s="1"/>
  <c r="K154" i="11"/>
  <c r="H199" i="13"/>
  <c r="H39" i="14" s="1"/>
  <c r="H39" i="13"/>
  <c r="H39" i="16"/>
  <c r="I115" i="16"/>
  <c r="I275" i="13"/>
  <c r="I115" i="14" s="1"/>
  <c r="I115" i="13"/>
  <c r="V292" i="13"/>
  <c r="V132" i="14" s="1"/>
  <c r="V132" i="15" s="1"/>
  <c r="V132" i="13"/>
  <c r="K63" i="11"/>
  <c r="I55" i="18"/>
  <c r="I215" i="18" s="1"/>
  <c r="L15" i="16"/>
  <c r="L175" i="13"/>
  <c r="L15" i="14" s="1"/>
  <c r="L15" i="13"/>
  <c r="U33" i="13"/>
  <c r="U193" i="13"/>
  <c r="U33" i="14" s="1"/>
  <c r="K32" i="14"/>
  <c r="K32" i="15" s="1"/>
  <c r="G68" i="11"/>
  <c r="L93" i="11"/>
  <c r="G119" i="11"/>
  <c r="H114" i="16"/>
  <c r="H274" i="13"/>
  <c r="H114" i="14" s="1"/>
  <c r="H114" i="13"/>
  <c r="K63" i="16"/>
  <c r="K223" i="13"/>
  <c r="K63" i="13"/>
  <c r="Q193" i="17"/>
  <c r="Q33" i="17"/>
  <c r="Y144" i="18"/>
  <c r="Y313" i="18" s="1"/>
  <c r="I52" i="11"/>
  <c r="K26" i="11"/>
  <c r="K26" i="14" s="1"/>
  <c r="G234" i="13"/>
  <c r="G74" i="14" s="1"/>
  <c r="G74" i="16"/>
  <c r="G74" i="13"/>
  <c r="R272" i="17"/>
  <c r="R112" i="17"/>
  <c r="Q193" i="13"/>
  <c r="Q33" i="14" s="1"/>
  <c r="Q33" i="13"/>
  <c r="K115" i="13"/>
  <c r="K115" i="16"/>
  <c r="K275" i="13"/>
  <c r="K115" i="14" s="1"/>
  <c r="I52" i="16"/>
  <c r="I212" i="13"/>
  <c r="I52" i="13"/>
  <c r="W248" i="13"/>
  <c r="W88" i="14" s="1"/>
  <c r="W88" i="15" s="1"/>
  <c r="W88" i="13"/>
  <c r="N174" i="17"/>
  <c r="N14" i="17"/>
  <c r="H235" i="17"/>
  <c r="H75" i="17"/>
  <c r="J23" i="15"/>
  <c r="V137" i="17"/>
  <c r="V297" i="17"/>
  <c r="H210" i="12"/>
  <c r="H50" i="16" s="1"/>
  <c r="I119" i="16"/>
  <c r="I279" i="13"/>
  <c r="I119" i="13"/>
  <c r="W219" i="17"/>
  <c r="W59" i="17"/>
  <c r="H290" i="12"/>
  <c r="H130" i="16" s="1"/>
  <c r="O205" i="12"/>
  <c r="O45" i="16" s="1"/>
  <c r="U59" i="17"/>
  <c r="U219" i="17"/>
  <c r="X59" i="17"/>
  <c r="X219" i="17"/>
  <c r="J10" i="16"/>
  <c r="J10" i="13"/>
  <c r="J170" i="13"/>
  <c r="G52" i="16"/>
  <c r="G212" i="13"/>
  <c r="G52" i="14" s="1"/>
  <c r="G52" i="13"/>
  <c r="H138" i="16"/>
  <c r="H298" i="13"/>
  <c r="H138" i="14" s="1"/>
  <c r="H138" i="13"/>
  <c r="J183" i="17"/>
  <c r="J23" i="18" s="1"/>
  <c r="J183" i="18" s="1"/>
  <c r="J23" i="17"/>
  <c r="O119" i="16"/>
  <c r="O119" i="13"/>
  <c r="O279" i="13"/>
  <c r="X297" i="12"/>
  <c r="X137" i="16" s="1"/>
  <c r="J199" i="17"/>
  <c r="J39" i="17"/>
  <c r="G45" i="16"/>
  <c r="G205" i="13"/>
  <c r="G45" i="14" s="1"/>
  <c r="G45" i="13"/>
  <c r="G170" i="12"/>
  <c r="G10" i="16" s="1"/>
  <c r="L81" i="11"/>
  <c r="W219" i="13"/>
  <c r="W59" i="14" s="1"/>
  <c r="W59" i="13"/>
  <c r="L138" i="11"/>
  <c r="K298" i="12"/>
  <c r="K138" i="16" s="1"/>
  <c r="K119" i="15"/>
  <c r="N10" i="16"/>
  <c r="N170" i="13"/>
  <c r="N10" i="14" s="1"/>
  <c r="N10" i="13"/>
  <c r="U219" i="13"/>
  <c r="U59" i="14" s="1"/>
  <c r="U59" i="15" s="1"/>
  <c r="U59" i="13"/>
  <c r="H123" i="16"/>
  <c r="H283" i="13"/>
  <c r="H123" i="14" s="1"/>
  <c r="H123" i="13"/>
  <c r="X219" i="13"/>
  <c r="X59" i="14" s="1"/>
  <c r="X59" i="15" s="1"/>
  <c r="X59" i="13"/>
  <c r="L183" i="17"/>
  <c r="L23" i="17"/>
  <c r="H157" i="11"/>
  <c r="H93" i="11"/>
  <c r="J219" i="17"/>
  <c r="J59" i="18" s="1"/>
  <c r="J219" i="18" s="1"/>
  <c r="J59" i="17"/>
  <c r="I23" i="16"/>
  <c r="I183" i="13"/>
  <c r="I23" i="13"/>
  <c r="R293" i="17"/>
  <c r="R133" i="18" s="1"/>
  <c r="R300" i="18" s="1"/>
  <c r="R133" i="17"/>
  <c r="I99" i="11"/>
  <c r="I99" i="14" s="1"/>
  <c r="I99" i="15" s="1"/>
  <c r="J302" i="12"/>
  <c r="J142" i="16" s="1"/>
  <c r="N253" i="12"/>
  <c r="L138" i="16"/>
  <c r="L298" i="13"/>
  <c r="L138" i="13"/>
  <c r="K279" i="17"/>
  <c r="K119" i="18" s="1"/>
  <c r="K286" i="18" s="1"/>
  <c r="K119" i="17"/>
  <c r="V235" i="17"/>
  <c r="V75" i="17"/>
  <c r="H157" i="16"/>
  <c r="H317" i="13"/>
  <c r="H157" i="13"/>
  <c r="G183" i="12"/>
  <c r="G23" i="16" s="1"/>
  <c r="H93" i="16"/>
  <c r="H93" i="13"/>
  <c r="H253" i="13"/>
  <c r="V297" i="13"/>
  <c r="V137" i="14" s="1"/>
  <c r="V137" i="15" s="1"/>
  <c r="V137" i="13"/>
  <c r="H302" i="13"/>
  <c r="H142" i="14" s="1"/>
  <c r="H142" i="13"/>
  <c r="I274" i="12"/>
  <c r="I114" i="16" s="1"/>
  <c r="K183" i="12"/>
  <c r="K23" i="16" s="1"/>
  <c r="O63" i="11"/>
  <c r="J307" i="12"/>
  <c r="J147" i="16" s="1"/>
  <c r="L89" i="16"/>
  <c r="L249" i="13"/>
  <c r="L89" i="13"/>
  <c r="M123" i="11"/>
  <c r="M123" i="14" s="1"/>
  <c r="I69" i="11"/>
  <c r="G154" i="11"/>
  <c r="N142" i="11"/>
  <c r="H119" i="16"/>
  <c r="H279" i="13"/>
  <c r="H119" i="14" s="1"/>
  <c r="H119" i="13"/>
  <c r="J93" i="11"/>
  <c r="H89" i="16"/>
  <c r="H249" i="13"/>
  <c r="H89" i="14" s="1"/>
  <c r="H89" i="13"/>
  <c r="L93" i="16"/>
  <c r="L253" i="13"/>
  <c r="L93" i="13"/>
  <c r="H68" i="11"/>
  <c r="G302" i="13"/>
  <c r="G142" i="14" s="1"/>
  <c r="G142" i="13"/>
  <c r="G142" i="16"/>
  <c r="O243" i="12"/>
  <c r="O83" i="16" s="1"/>
  <c r="M183" i="12"/>
  <c r="K130" i="16"/>
  <c r="K130" i="13"/>
  <c r="K290" i="13"/>
  <c r="K130" i="14" s="1"/>
  <c r="H142" i="16"/>
  <c r="L142" i="16"/>
  <c r="L302" i="13"/>
  <c r="L142" i="14" s="1"/>
  <c r="L142" i="13"/>
  <c r="G138" i="16"/>
  <c r="G298" i="13"/>
  <c r="G138" i="14" s="1"/>
  <c r="G138" i="13"/>
  <c r="M298" i="12"/>
  <c r="M138" i="16" s="1"/>
  <c r="G130" i="11"/>
  <c r="N142" i="16"/>
  <c r="N302" i="13"/>
  <c r="N142" i="13"/>
  <c r="H235" i="13"/>
  <c r="H75" i="14" s="1"/>
  <c r="H75" i="13"/>
  <c r="I298" i="12"/>
  <c r="I138" i="16" s="1"/>
  <c r="M205" i="12"/>
  <c r="M45" i="16" s="1"/>
  <c r="J93" i="16"/>
  <c r="J93" i="13"/>
  <c r="J253" i="13"/>
  <c r="N138" i="16"/>
  <c r="G249" i="13"/>
  <c r="G89" i="14" s="1"/>
  <c r="G89" i="13"/>
  <c r="G89" i="16"/>
  <c r="G93" i="13"/>
  <c r="G93" i="16"/>
  <c r="G253" i="13"/>
  <c r="G93" i="14" s="1"/>
  <c r="M130" i="16"/>
  <c r="M130" i="13"/>
  <c r="M290" i="13"/>
  <c r="M130" i="14" s="1"/>
  <c r="T219" i="17"/>
  <c r="T59" i="17"/>
  <c r="I123" i="11"/>
  <c r="I123" i="14" s="1"/>
  <c r="V75" i="14"/>
  <c r="K69" i="13"/>
  <c r="K229" i="13"/>
  <c r="K69" i="14" s="1"/>
  <c r="L170" i="17"/>
  <c r="L10" i="17"/>
  <c r="L39" i="18"/>
  <c r="L199" i="18" s="1"/>
  <c r="O76" i="11"/>
  <c r="O76" i="14" s="1"/>
  <c r="K50" i="11"/>
  <c r="M109" i="11"/>
  <c r="H50" i="11"/>
  <c r="I119" i="11"/>
  <c r="H10" i="16"/>
  <c r="H170" i="13"/>
  <c r="H10" i="13"/>
  <c r="H43" i="16"/>
  <c r="H203" i="13"/>
  <c r="H43" i="14" s="1"/>
  <c r="H43" i="13"/>
  <c r="H130" i="11"/>
  <c r="O45" i="11"/>
  <c r="G133" i="17"/>
  <c r="G293" i="17"/>
  <c r="N120" i="11"/>
  <c r="N120" i="14" s="1"/>
  <c r="T219" i="13"/>
  <c r="T59" i="14" s="1"/>
  <c r="T59" i="13"/>
  <c r="N229" i="12"/>
  <c r="N69" i="16" s="1"/>
  <c r="J10" i="11"/>
  <c r="K69" i="16"/>
  <c r="H23" i="16"/>
  <c r="H183" i="13"/>
  <c r="H23" i="14" s="1"/>
  <c r="H23" i="13"/>
  <c r="O119" i="11"/>
  <c r="X137" i="11"/>
  <c r="L170" i="13"/>
  <c r="L10" i="14" s="1"/>
  <c r="L10" i="15" s="1"/>
  <c r="L10" i="13"/>
  <c r="H234" i="12"/>
  <c r="M119" i="16"/>
  <c r="M279" i="13"/>
  <c r="M119" i="13"/>
  <c r="G10" i="11"/>
  <c r="L269" i="17"/>
  <c r="L109" i="17"/>
  <c r="Y36" i="17"/>
  <c r="Y196" i="17"/>
  <c r="H32" i="17"/>
  <c r="H192" i="17"/>
  <c r="M63" i="17"/>
  <c r="M223" i="17"/>
  <c r="L255" i="17"/>
  <c r="L95" i="17"/>
  <c r="R192" i="17"/>
  <c r="R32" i="17"/>
  <c r="N293" i="17"/>
  <c r="N133" i="17"/>
  <c r="I199" i="17"/>
  <c r="I39" i="17"/>
  <c r="H275" i="17"/>
  <c r="H115" i="17"/>
  <c r="T192" i="17"/>
  <c r="T32" i="17"/>
  <c r="P221" i="17"/>
  <c r="P61" i="17"/>
  <c r="Z221" i="17"/>
  <c r="Z61" i="17"/>
  <c r="H221" i="17"/>
  <c r="H61" i="17"/>
  <c r="H287" i="17"/>
  <c r="H127" i="17"/>
  <c r="H229" i="17"/>
  <c r="H69" i="17"/>
  <c r="I301" i="17"/>
  <c r="I141" i="17"/>
  <c r="L236" i="17"/>
  <c r="L76" i="17"/>
  <c r="M178" i="17"/>
  <c r="M18" i="17"/>
  <c r="M241" i="12"/>
  <c r="M81" i="16" s="1"/>
  <c r="R196" i="13"/>
  <c r="R36" i="14" s="1"/>
  <c r="R36" i="15" s="1"/>
  <c r="R36" i="13"/>
  <c r="M236" i="13"/>
  <c r="M76" i="14" s="1"/>
  <c r="M76" i="13"/>
  <c r="M265" i="17"/>
  <c r="M105" i="17"/>
  <c r="L179" i="17"/>
  <c r="L19" i="17"/>
  <c r="H269" i="12"/>
  <c r="H109" i="16" s="1"/>
  <c r="H236" i="13"/>
  <c r="H76" i="14" s="1"/>
  <c r="H76" i="13"/>
  <c r="I317" i="12"/>
  <c r="I157" i="16" s="1"/>
  <c r="H259" i="17"/>
  <c r="H99" i="17"/>
  <c r="N317" i="12"/>
  <c r="M199" i="13"/>
  <c r="M39" i="14" s="1"/>
  <c r="M39" i="15" s="1"/>
  <c r="M39" i="13"/>
  <c r="Q221" i="13"/>
  <c r="Q61" i="14" s="1"/>
  <c r="Q61" i="15" s="1"/>
  <c r="Q61" i="13"/>
  <c r="G241" i="12"/>
  <c r="G81" i="16" s="1"/>
  <c r="G175" i="12"/>
  <c r="G15" i="16" s="1"/>
  <c r="O314" i="12"/>
  <c r="O154" i="16" s="1"/>
  <c r="K178" i="13"/>
  <c r="K18" i="14" s="1"/>
  <c r="K18" i="15" s="1"/>
  <c r="K18" i="13"/>
  <c r="H83" i="11"/>
  <c r="J241" i="12"/>
  <c r="J81" i="16" s="1"/>
  <c r="I69" i="16"/>
  <c r="I229" i="13"/>
  <c r="I69" i="13"/>
  <c r="I179" i="12"/>
  <c r="I19" i="16" s="1"/>
  <c r="L139" i="14"/>
  <c r="V61" i="15"/>
  <c r="I175" i="12"/>
  <c r="I15" i="16" s="1"/>
  <c r="I223" i="12"/>
  <c r="I63" i="16" s="1"/>
  <c r="L54" i="16"/>
  <c r="L214" i="13"/>
  <c r="L54" i="13"/>
  <c r="J121" i="18"/>
  <c r="J288" i="18" s="1"/>
  <c r="J121" i="15"/>
  <c r="L289" i="12"/>
  <c r="K50" i="16"/>
  <c r="K50" i="13"/>
  <c r="K210" i="13"/>
  <c r="G99" i="16"/>
  <c r="G259" i="13"/>
  <c r="G99" i="14" s="1"/>
  <c r="G99" i="13"/>
  <c r="O108" i="11"/>
  <c r="M201" i="12"/>
  <c r="M41" i="16" s="1"/>
  <c r="K293" i="13"/>
  <c r="K133" i="14" s="1"/>
  <c r="K133" i="13"/>
  <c r="G309" i="12"/>
  <c r="G149" i="16" s="1"/>
  <c r="N108" i="11"/>
  <c r="H263" i="13"/>
  <c r="H103" i="14" s="1"/>
  <c r="H103" i="16"/>
  <c r="H103" i="13"/>
  <c r="J287" i="13"/>
  <c r="J127" i="14" s="1"/>
  <c r="J127" i="13"/>
  <c r="K221" i="13"/>
  <c r="K61" i="14" s="1"/>
  <c r="K61" i="15" s="1"/>
  <c r="K61" i="13"/>
  <c r="T61" i="17"/>
  <c r="T221" i="17"/>
  <c r="I140" i="14"/>
  <c r="J259" i="13"/>
  <c r="J99" i="14" s="1"/>
  <c r="J99" i="13"/>
  <c r="G280" i="12"/>
  <c r="G120" i="16" s="1"/>
  <c r="R221" i="13"/>
  <c r="R61" i="14" s="1"/>
  <c r="R61" i="13"/>
  <c r="S219" i="13"/>
  <c r="S59" i="14" s="1"/>
  <c r="S59" i="13"/>
  <c r="W32" i="15"/>
  <c r="G44" i="16"/>
  <c r="G204" i="13"/>
  <c r="G44" i="14" s="1"/>
  <c r="G44" i="13"/>
  <c r="G9" i="10"/>
  <c r="M243" i="12"/>
  <c r="M83" i="16" s="1"/>
  <c r="G72" i="18"/>
  <c r="G233" i="18" s="1"/>
  <c r="R192" i="13"/>
  <c r="R32" i="14" s="1"/>
  <c r="R32" i="13"/>
  <c r="G146" i="13"/>
  <c r="G146" i="16"/>
  <c r="G306" i="13"/>
  <c r="G146" i="14" s="1"/>
  <c r="M236" i="17"/>
  <c r="M76" i="17"/>
  <c r="O309" i="12"/>
  <c r="O149" i="16" s="1"/>
  <c r="M229" i="12"/>
  <c r="J19" i="15"/>
  <c r="H154" i="16"/>
  <c r="H314" i="13"/>
  <c r="H154" i="14" s="1"/>
  <c r="H154" i="13"/>
  <c r="L139" i="17"/>
  <c r="L299" i="17"/>
  <c r="H83" i="16"/>
  <c r="H243" i="13"/>
  <c r="H83" i="13"/>
  <c r="I199" i="13"/>
  <c r="I39" i="14" s="1"/>
  <c r="I39" i="15" s="1"/>
  <c r="I39" i="13"/>
  <c r="L243" i="17"/>
  <c r="L83" i="17"/>
  <c r="H221" i="13"/>
  <c r="H61" i="14" s="1"/>
  <c r="H61" i="15" s="1"/>
  <c r="H61" i="13"/>
  <c r="J309" i="12"/>
  <c r="J149" i="16" s="1"/>
  <c r="V221" i="17"/>
  <c r="V61" i="18" s="1"/>
  <c r="V221" i="18" s="1"/>
  <c r="V61" i="17"/>
  <c r="M32" i="17"/>
  <c r="M192" i="17"/>
  <c r="K317" i="12"/>
  <c r="K157" i="16" s="1"/>
  <c r="K265" i="17"/>
  <c r="K105" i="17"/>
  <c r="L108" i="17"/>
  <c r="L268" i="17"/>
  <c r="H229" i="13"/>
  <c r="H69" i="14" s="1"/>
  <c r="H69" i="15" s="1"/>
  <c r="H69" i="13"/>
  <c r="J9" i="11"/>
  <c r="J169" i="12"/>
  <c r="J9" i="16" s="1"/>
  <c r="T293" i="17"/>
  <c r="T133" i="17"/>
  <c r="M293" i="17"/>
  <c r="M133" i="17"/>
  <c r="N108" i="16"/>
  <c r="N268" i="13"/>
  <c r="N108" i="13"/>
  <c r="I193" i="17"/>
  <c r="I33" i="17"/>
  <c r="V192" i="17"/>
  <c r="V32" i="17"/>
  <c r="I301" i="13"/>
  <c r="I141" i="14" s="1"/>
  <c r="I141" i="13"/>
  <c r="N221" i="17"/>
  <c r="N61" i="17"/>
  <c r="G135" i="18"/>
  <c r="G302" i="18" s="1"/>
  <c r="G135" i="15"/>
  <c r="I300" i="17"/>
  <c r="I140" i="17"/>
  <c r="J214" i="12"/>
  <c r="J54" i="16" s="1"/>
  <c r="J221" i="17"/>
  <c r="J61" i="17"/>
  <c r="R61" i="17"/>
  <c r="R221" i="17"/>
  <c r="J196" i="17"/>
  <c r="J36" i="17"/>
  <c r="Y32" i="17"/>
  <c r="Y192" i="17"/>
  <c r="S219" i="17"/>
  <c r="S59" i="17"/>
  <c r="J299" i="17"/>
  <c r="J139" i="17"/>
  <c r="L255" i="13"/>
  <c r="L95" i="14" s="1"/>
  <c r="L95" i="15" s="1"/>
  <c r="L95" i="13"/>
  <c r="M309" i="12"/>
  <c r="M149" i="16" s="1"/>
  <c r="K72" i="18"/>
  <c r="K233" i="18" s="1"/>
  <c r="G243" i="12"/>
  <c r="G83" i="16" s="1"/>
  <c r="H301" i="12"/>
  <c r="H141" i="16" s="1"/>
  <c r="M263" i="12"/>
  <c r="M103" i="16" s="1"/>
  <c r="K127" i="11"/>
  <c r="K127" i="14" s="1"/>
  <c r="K127" i="15" s="1"/>
  <c r="H214" i="12"/>
  <c r="H54" i="16" s="1"/>
  <c r="I105" i="16"/>
  <c r="I265" i="13"/>
  <c r="I105" i="13"/>
  <c r="N26" i="13"/>
  <c r="K263" i="12"/>
  <c r="I196" i="17"/>
  <c r="I36" i="17"/>
  <c r="L19" i="14"/>
  <c r="L83" i="13"/>
  <c r="L243" i="13"/>
  <c r="L83" i="14" s="1"/>
  <c r="L154" i="11"/>
  <c r="L154" i="14" s="1"/>
  <c r="M192" i="13"/>
  <c r="M32" i="14" s="1"/>
  <c r="M32" i="15" s="1"/>
  <c r="M32" i="13"/>
  <c r="G229" i="12"/>
  <c r="G69" i="16" s="1"/>
  <c r="I9" i="10"/>
  <c r="I169" i="12" s="1"/>
  <c r="L81" i="16"/>
  <c r="L241" i="13"/>
  <c r="L81" i="13"/>
  <c r="K157" i="11"/>
  <c r="I236" i="12"/>
  <c r="I76" i="16" s="1"/>
  <c r="K265" i="13"/>
  <c r="K105" i="14" s="1"/>
  <c r="K105" i="13"/>
  <c r="Y256" i="17"/>
  <c r="Y96" i="18" s="1"/>
  <c r="Y260" i="18" s="1"/>
  <c r="Y96" i="17"/>
  <c r="L268" i="13"/>
  <c r="L108" i="14" s="1"/>
  <c r="L108" i="13"/>
  <c r="G96" i="15"/>
  <c r="K301" i="12"/>
  <c r="K141" i="16" s="1"/>
  <c r="L157" i="11"/>
  <c r="L157" i="14" s="1"/>
  <c r="L157" i="15" s="1"/>
  <c r="G207" i="13"/>
  <c r="G47" i="14" s="1"/>
  <c r="G47" i="13"/>
  <c r="O105" i="11"/>
  <c r="T293" i="13"/>
  <c r="T133" i="14" s="1"/>
  <c r="T133" i="13"/>
  <c r="P133" i="16"/>
  <c r="P133" i="13"/>
  <c r="P293" i="13"/>
  <c r="P133" i="14" s="1"/>
  <c r="I193" i="13"/>
  <c r="I33" i="14" s="1"/>
  <c r="I33" i="13"/>
  <c r="V192" i="13"/>
  <c r="V32" i="14" s="1"/>
  <c r="V32" i="15" s="1"/>
  <c r="V32" i="13"/>
  <c r="G63" i="16"/>
  <c r="G223" i="13"/>
  <c r="G63" i="14" s="1"/>
  <c r="G63" i="13"/>
  <c r="N221" i="13"/>
  <c r="N61" i="14" s="1"/>
  <c r="N61" i="13"/>
  <c r="J61" i="13"/>
  <c r="J221" i="13"/>
  <c r="J61" i="14" s="1"/>
  <c r="M154" i="11"/>
  <c r="Y192" i="13"/>
  <c r="Y32" i="14" s="1"/>
  <c r="Y32" i="13"/>
  <c r="J299" i="13"/>
  <c r="J139" i="14" s="1"/>
  <c r="J139" i="13"/>
  <c r="M280" i="12"/>
  <c r="M120" i="16" s="1"/>
  <c r="J209" i="12"/>
  <c r="J49" i="16" s="1"/>
  <c r="G287" i="12"/>
  <c r="G18" i="17"/>
  <c r="G178" i="17"/>
  <c r="J95" i="13"/>
  <c r="J255" i="13"/>
  <c r="J95" i="14" s="1"/>
  <c r="I72" i="18"/>
  <c r="I233" i="18" s="1"/>
  <c r="H41" i="13"/>
  <c r="H201" i="13"/>
  <c r="H41" i="14" s="1"/>
  <c r="S293" i="17"/>
  <c r="S133" i="17"/>
  <c r="G317" i="12"/>
  <c r="G157" i="16" s="1"/>
  <c r="T192" i="13"/>
  <c r="T32" i="14" s="1"/>
  <c r="T32" i="15" s="1"/>
  <c r="T32" i="13"/>
  <c r="M175" i="17"/>
  <c r="M15" i="17"/>
  <c r="Z221" i="13"/>
  <c r="Z61" i="14" s="1"/>
  <c r="Z61" i="13"/>
  <c r="N306" i="12"/>
  <c r="N146" i="16" s="1"/>
  <c r="Z293" i="17"/>
  <c r="Z133" i="17"/>
  <c r="M256" i="17"/>
  <c r="M96" i="17"/>
  <c r="K256" i="17"/>
  <c r="K96" i="17"/>
  <c r="Y196" i="13"/>
  <c r="Y36" i="14" s="1"/>
  <c r="Y36" i="13"/>
  <c r="K32" i="17"/>
  <c r="K192" i="17"/>
  <c r="I314" i="12"/>
  <c r="I154" i="16" s="1"/>
  <c r="I269" i="12"/>
  <c r="I109" i="16" s="1"/>
  <c r="J229" i="12"/>
  <c r="J69" i="16" s="1"/>
  <c r="O199" i="12"/>
  <c r="O39" i="16" s="1"/>
  <c r="J268" i="12"/>
  <c r="J108" i="16" s="1"/>
  <c r="P221" i="13"/>
  <c r="P61" i="14" s="1"/>
  <c r="P61" i="15" s="1"/>
  <c r="P61" i="13"/>
  <c r="G207" i="17"/>
  <c r="G47" i="17"/>
  <c r="O105" i="16"/>
  <c r="O265" i="13"/>
  <c r="O105" i="13"/>
  <c r="H289" i="13"/>
  <c r="H129" i="14" s="1"/>
  <c r="H129" i="13"/>
  <c r="H129" i="16"/>
  <c r="M210" i="12"/>
  <c r="M50" i="16" s="1"/>
  <c r="H209" i="12"/>
  <c r="H49" i="16" s="1"/>
  <c r="L167" i="17"/>
  <c r="L7" i="17"/>
  <c r="K199" i="17"/>
  <c r="K39" i="17"/>
  <c r="M154" i="16"/>
  <c r="M314" i="13"/>
  <c r="M154" i="13"/>
  <c r="G201" i="12"/>
  <c r="G41" i="16" s="1"/>
  <c r="L236" i="13"/>
  <c r="L76" i="14" s="1"/>
  <c r="L76" i="13"/>
  <c r="G210" i="12"/>
  <c r="G50" i="16" s="1"/>
  <c r="M18" i="13"/>
  <c r="M178" i="13"/>
  <c r="M18" i="14" s="1"/>
  <c r="M18" i="15" s="1"/>
  <c r="G54" i="13"/>
  <c r="G54" i="16"/>
  <c r="G214" i="13"/>
  <c r="G54" i="14" s="1"/>
  <c r="M120" i="11"/>
  <c r="G236" i="13"/>
  <c r="G76" i="14" s="1"/>
  <c r="G76" i="13"/>
  <c r="G108" i="11"/>
  <c r="G18" i="13"/>
  <c r="G178" i="13"/>
  <c r="G18" i="14" s="1"/>
  <c r="G18" i="15" s="1"/>
  <c r="L229" i="12"/>
  <c r="L69" i="16" s="1"/>
  <c r="J95" i="16"/>
  <c r="L207" i="17"/>
  <c r="L47" i="17"/>
  <c r="J19" i="17"/>
  <c r="J179" i="17"/>
  <c r="J19" i="18" s="1"/>
  <c r="J179" i="18" s="1"/>
  <c r="H41" i="16"/>
  <c r="S293" i="13"/>
  <c r="S133" i="14" s="1"/>
  <c r="S133" i="13"/>
  <c r="K309" i="12"/>
  <c r="K149" i="16" s="1"/>
  <c r="X197" i="17"/>
  <c r="X37" i="17"/>
  <c r="J43" i="11"/>
  <c r="J43" i="14" s="1"/>
  <c r="M301" i="13"/>
  <c r="M141" i="14" s="1"/>
  <c r="M141" i="13"/>
  <c r="M175" i="13"/>
  <c r="M15" i="14" s="1"/>
  <c r="M15" i="13"/>
  <c r="N146" i="11"/>
  <c r="Z293" i="13"/>
  <c r="Z133" i="14" s="1"/>
  <c r="Z133" i="13"/>
  <c r="M256" i="13"/>
  <c r="M96" i="14" s="1"/>
  <c r="M96" i="15" s="1"/>
  <c r="M96" i="13"/>
  <c r="K256" i="13"/>
  <c r="K96" i="14" s="1"/>
  <c r="K96" i="13"/>
  <c r="N19" i="11"/>
  <c r="G109" i="11"/>
  <c r="M105" i="14"/>
  <c r="H146" i="11"/>
  <c r="H146" i="14" s="1"/>
  <c r="O283" i="12"/>
  <c r="O123" i="16" s="1"/>
  <c r="I309" i="12"/>
  <c r="I149" i="16" s="1"/>
  <c r="O210" i="12"/>
  <c r="O50" i="16" s="1"/>
  <c r="M9" i="10"/>
  <c r="M169" i="12" s="1"/>
  <c r="K280" i="12"/>
  <c r="K120" i="16" s="1"/>
  <c r="J76" i="11"/>
  <c r="K154" i="16"/>
  <c r="K314" i="13"/>
  <c r="K154" i="13"/>
  <c r="G256" i="17"/>
  <c r="G96" i="18" s="1"/>
  <c r="G96" i="17"/>
  <c r="Q196" i="17"/>
  <c r="Q36" i="17"/>
  <c r="G199" i="12"/>
  <c r="G39" i="16" s="1"/>
  <c r="L221" i="17"/>
  <c r="L61" i="17"/>
  <c r="K289" i="12"/>
  <c r="K129" i="16" s="1"/>
  <c r="O32" i="15"/>
  <c r="K241" i="17"/>
  <c r="K81" i="17"/>
  <c r="K199" i="13"/>
  <c r="K39" i="14" s="1"/>
  <c r="K39" i="15" s="1"/>
  <c r="K39" i="13"/>
  <c r="H299" i="17"/>
  <c r="H139" i="17"/>
  <c r="H307" i="12"/>
  <c r="H147" i="16" s="1"/>
  <c r="N112" i="18"/>
  <c r="N279" i="18" s="1"/>
  <c r="N112" i="15"/>
  <c r="G41" i="11"/>
  <c r="X221" i="17"/>
  <c r="X61" i="17"/>
  <c r="W32" i="17"/>
  <c r="W192" i="17"/>
  <c r="W32" i="18" s="1"/>
  <c r="W192" i="18" s="1"/>
  <c r="G265" i="12"/>
  <c r="G105" i="16" s="1"/>
  <c r="G76" i="17"/>
  <c r="G236" i="17"/>
  <c r="G186" i="12"/>
  <c r="G26" i="16" s="1"/>
  <c r="L47" i="13"/>
  <c r="L207" i="13"/>
  <c r="L47" i="14" s="1"/>
  <c r="H241" i="12"/>
  <c r="H81" i="16" s="1"/>
  <c r="L133" i="18"/>
  <c r="L300" i="18" s="1"/>
  <c r="L133" i="15"/>
  <c r="R196" i="17"/>
  <c r="R36" i="17"/>
  <c r="H309" i="12"/>
  <c r="H149" i="16" s="1"/>
  <c r="M301" i="17"/>
  <c r="M141" i="17"/>
  <c r="H236" i="17"/>
  <c r="H76" i="17"/>
  <c r="N293" i="13"/>
  <c r="N133" i="14" s="1"/>
  <c r="N133" i="13"/>
  <c r="H99" i="15"/>
  <c r="L269" i="13"/>
  <c r="L109" i="14" s="1"/>
  <c r="L109" i="15" s="1"/>
  <c r="L109" i="13"/>
  <c r="M199" i="17"/>
  <c r="M39" i="17"/>
  <c r="Q61" i="17"/>
  <c r="Q221" i="17"/>
  <c r="K178" i="17"/>
  <c r="K18" i="17"/>
  <c r="N19" i="16"/>
  <c r="N179" i="13"/>
  <c r="N19" i="13"/>
  <c r="K9" i="11"/>
  <c r="K169" i="12"/>
  <c r="H192" i="13"/>
  <c r="H32" i="14" s="1"/>
  <c r="H32" i="15" s="1"/>
  <c r="H32" i="13"/>
  <c r="H268" i="12"/>
  <c r="H108" i="16" s="1"/>
  <c r="H275" i="13"/>
  <c r="H115" i="14" s="1"/>
  <c r="H115" i="13"/>
  <c r="I263" i="12"/>
  <c r="I103" i="16" s="1"/>
  <c r="H287" i="13"/>
  <c r="H127" i="14" s="1"/>
  <c r="H127" i="15" s="1"/>
  <c r="H127" i="13"/>
  <c r="G260" i="17"/>
  <c r="G100" i="17"/>
  <c r="J76" i="16"/>
  <c r="J236" i="13"/>
  <c r="J76" i="13"/>
  <c r="L259" i="17"/>
  <c r="L99" i="17"/>
  <c r="M223" i="13"/>
  <c r="M63" i="14" s="1"/>
  <c r="M63" i="13"/>
  <c r="G299" i="12"/>
  <c r="G139" i="16" s="1"/>
  <c r="Q196" i="13"/>
  <c r="Q36" i="14" s="1"/>
  <c r="Q36" i="13"/>
  <c r="M179" i="12"/>
  <c r="K293" i="17"/>
  <c r="K133" i="17"/>
  <c r="L221" i="13"/>
  <c r="L61" i="14" s="1"/>
  <c r="L61" i="15" s="1"/>
  <c r="L61" i="13"/>
  <c r="M317" i="12"/>
  <c r="M157" i="16" s="1"/>
  <c r="J287" i="17"/>
  <c r="J127" i="17"/>
  <c r="O32" i="17"/>
  <c r="O192" i="17"/>
  <c r="O32" i="18" s="1"/>
  <c r="O192" i="18" s="1"/>
  <c r="K61" i="17"/>
  <c r="K221" i="17"/>
  <c r="J175" i="12"/>
  <c r="J15" i="16" s="1"/>
  <c r="L209" i="17"/>
  <c r="L49" i="17"/>
  <c r="J99" i="17"/>
  <c r="J259" i="17"/>
  <c r="X221" i="13"/>
  <c r="X61" i="14" s="1"/>
  <c r="X61" i="15" s="1"/>
  <c r="X61" i="13"/>
  <c r="L49" i="14"/>
  <c r="I210" i="12"/>
  <c r="I50" i="16" s="1"/>
  <c r="K80" i="18"/>
  <c r="K242" i="18" s="1"/>
  <c r="K80" i="15"/>
  <c r="W144" i="18"/>
  <c r="W313" i="18" s="1"/>
  <c r="W144" i="15"/>
  <c r="N59" i="18"/>
  <c r="N219" i="18" s="1"/>
  <c r="N59" i="15"/>
  <c r="V135" i="15"/>
  <c r="V135" i="18"/>
  <c r="V302" i="18" s="1"/>
  <c r="L38" i="18"/>
  <c r="L198" i="18" s="1"/>
  <c r="L38" i="15"/>
  <c r="K278" i="17"/>
  <c r="K118" i="17"/>
  <c r="U72" i="18"/>
  <c r="U233" i="18" s="1"/>
  <c r="U72" i="15"/>
  <c r="Z135" i="15"/>
  <c r="R59" i="18"/>
  <c r="R219" i="18" s="1"/>
  <c r="R59" i="15"/>
  <c r="T27" i="18"/>
  <c r="T187" i="18" s="1"/>
  <c r="T27" i="15"/>
  <c r="Y104" i="18"/>
  <c r="Y270" i="18" s="1"/>
  <c r="Y104" i="15"/>
  <c r="M278" i="17"/>
  <c r="M118" i="17"/>
  <c r="P32" i="18"/>
  <c r="P192" i="18" s="1"/>
  <c r="P32" i="15"/>
  <c r="M198" i="17"/>
  <c r="M38" i="18" s="1"/>
  <c r="M198" i="18" s="1"/>
  <c r="M38" i="17"/>
  <c r="Z231" i="17"/>
  <c r="Z71" i="18" s="1"/>
  <c r="Z232" i="18" s="1"/>
  <c r="Z71" i="17"/>
  <c r="K171" i="17"/>
  <c r="K11" i="18" s="1"/>
  <c r="K171" i="18" s="1"/>
  <c r="K11" i="17"/>
  <c r="I278" i="13"/>
  <c r="I118" i="14" s="1"/>
  <c r="I118" i="15" s="1"/>
  <c r="I118" i="13"/>
  <c r="I32" i="15"/>
  <c r="P135" i="15"/>
  <c r="I112" i="18"/>
  <c r="I279" i="18" s="1"/>
  <c r="I112" i="15"/>
  <c r="G11" i="18"/>
  <c r="G171" i="18" s="1"/>
  <c r="G11" i="15"/>
  <c r="M230" i="17"/>
  <c r="M70" i="18" s="1"/>
  <c r="M231" i="18" s="1"/>
  <c r="M70" i="17"/>
  <c r="T198" i="17"/>
  <c r="T38" i="18" s="1"/>
  <c r="T198" i="18" s="1"/>
  <c r="T38" i="17"/>
  <c r="H111" i="18"/>
  <c r="H278" i="18" s="1"/>
  <c r="K272" i="17"/>
  <c r="K112" i="18" s="1"/>
  <c r="K279" i="18" s="1"/>
  <c r="K112" i="17"/>
  <c r="G158" i="18"/>
  <c r="G329" i="18" s="1"/>
  <c r="M72" i="18"/>
  <c r="M233" i="18" s="1"/>
  <c r="H255" i="13"/>
  <c r="H95" i="14" s="1"/>
  <c r="H95" i="13"/>
  <c r="I122" i="15"/>
  <c r="R11" i="18"/>
  <c r="R171" i="18" s="1"/>
  <c r="R11" i="15"/>
  <c r="H80" i="18"/>
  <c r="H242" i="18" s="1"/>
  <c r="H80" i="15"/>
  <c r="N32" i="15"/>
  <c r="N32" i="18"/>
  <c r="N192" i="18" s="1"/>
  <c r="N75" i="18"/>
  <c r="N236" i="18" s="1"/>
  <c r="N75" i="15"/>
  <c r="Z24" i="18"/>
  <c r="Z184" i="18" s="1"/>
  <c r="Z24" i="15"/>
  <c r="J64" i="18"/>
  <c r="R75" i="18"/>
  <c r="R236" i="18" s="1"/>
  <c r="K150" i="18"/>
  <c r="K319" i="18" s="1"/>
  <c r="U113" i="18"/>
  <c r="U280" i="18" s="1"/>
  <c r="M7" i="18"/>
  <c r="M167" i="18" s="1"/>
  <c r="Z295" i="17"/>
  <c r="Z135" i="18" s="1"/>
  <c r="Z302" i="18" s="1"/>
  <c r="Z135" i="17"/>
  <c r="R96" i="15"/>
  <c r="R96" i="18"/>
  <c r="R260" i="18" s="1"/>
  <c r="Q51" i="18"/>
  <c r="Q211" i="18" s="1"/>
  <c r="Q51" i="15"/>
  <c r="Q112" i="15"/>
  <c r="V58" i="18"/>
  <c r="V218" i="18" s="1"/>
  <c r="Z71" i="15"/>
  <c r="S113" i="18"/>
  <c r="S280" i="18" s="1"/>
  <c r="Y38" i="15"/>
  <c r="K70" i="15"/>
  <c r="K148" i="15"/>
  <c r="Q11" i="15"/>
  <c r="U56" i="18"/>
  <c r="U216" i="18" s="1"/>
  <c r="U56" i="15"/>
  <c r="R231" i="17"/>
  <c r="R71" i="18" s="1"/>
  <c r="R232" i="18" s="1"/>
  <c r="R71" i="17"/>
  <c r="V59" i="18"/>
  <c r="V219" i="18" s="1"/>
  <c r="V59" i="15"/>
  <c r="S11" i="18"/>
  <c r="S171" i="18" s="1"/>
  <c r="S11" i="15"/>
  <c r="K108" i="18"/>
  <c r="K274" i="18" s="1"/>
  <c r="K108" i="15"/>
  <c r="L135" i="15"/>
  <c r="L135" i="18"/>
  <c r="L302" i="18" s="1"/>
  <c r="R295" i="17"/>
  <c r="R135" i="18" s="1"/>
  <c r="R302" i="18" s="1"/>
  <c r="R135" i="17"/>
  <c r="J38" i="18"/>
  <c r="J198" i="18" s="1"/>
  <c r="J38" i="15"/>
  <c r="L27" i="18"/>
  <c r="P75" i="18"/>
  <c r="P236" i="18" s="1"/>
  <c r="X295" i="17"/>
  <c r="X135" i="18" s="1"/>
  <c r="X302" i="18" s="1"/>
  <c r="X135" i="17"/>
  <c r="O51" i="18"/>
  <c r="O211" i="18" s="1"/>
  <c r="L59" i="18"/>
  <c r="L219" i="18" s="1"/>
  <c r="L59" i="15"/>
  <c r="S61" i="18"/>
  <c r="S221" i="18" s="1"/>
  <c r="N11" i="18"/>
  <c r="N171" i="18" s="1"/>
  <c r="J96" i="15"/>
  <c r="M56" i="18"/>
  <c r="M216" i="18" s="1"/>
  <c r="K112" i="15"/>
  <c r="M278" i="13"/>
  <c r="M118" i="14" s="1"/>
  <c r="M118" i="15" s="1"/>
  <c r="M118" i="13"/>
  <c r="S112" i="15"/>
  <c r="O61" i="18"/>
  <c r="O221" i="18" s="1"/>
  <c r="G122" i="15"/>
  <c r="T135" i="15"/>
  <c r="T135" i="18"/>
  <c r="T302" i="18" s="1"/>
  <c r="Q72" i="15"/>
  <c r="Q72" i="18"/>
  <c r="Q233" i="18" s="1"/>
  <c r="R64" i="18"/>
  <c r="R224" i="18" s="1"/>
  <c r="R64" i="15"/>
  <c r="G114" i="18"/>
  <c r="G281" i="18" s="1"/>
  <c r="H59" i="18"/>
  <c r="H219" i="18" s="1"/>
  <c r="I61" i="18"/>
  <c r="I221" i="18" s="1"/>
  <c r="U11" i="15"/>
  <c r="U11" i="18"/>
  <c r="U171" i="18" s="1"/>
  <c r="K282" i="17"/>
  <c r="K122" i="18" s="1"/>
  <c r="K289" i="18" s="1"/>
  <c r="K122" i="17"/>
  <c r="I80" i="15"/>
  <c r="I80" i="18"/>
  <c r="I242" i="18" s="1"/>
  <c r="Y198" i="17"/>
  <c r="Y38" i="18" s="1"/>
  <c r="Y38" i="17"/>
  <c r="K308" i="17"/>
  <c r="K148" i="18" s="1"/>
  <c r="K148" i="17"/>
  <c r="O76" i="17"/>
  <c r="G239" i="13"/>
  <c r="G79" i="14" s="1"/>
  <c r="G79" i="13"/>
  <c r="G61" i="18"/>
  <c r="U61" i="18"/>
  <c r="U221" i="18" s="1"/>
  <c r="I11" i="18"/>
  <c r="I171" i="18" s="1"/>
  <c r="I11" i="15"/>
  <c r="L11" i="15"/>
  <c r="L11" i="18"/>
  <c r="L171" i="18" s="1"/>
  <c r="U198" i="17"/>
  <c r="U38" i="18" s="1"/>
  <c r="U198" i="18" s="1"/>
  <c r="U38" i="17"/>
  <c r="Z166" i="17"/>
  <c r="Z6" i="18" s="1"/>
  <c r="Z166" i="18" s="1"/>
  <c r="Z6" i="17"/>
  <c r="K38" i="18"/>
  <c r="K198" i="18" s="1"/>
  <c r="K38" i="15"/>
  <c r="J256" i="17"/>
  <c r="J96" i="18" s="1"/>
  <c r="J260" i="18" s="1"/>
  <c r="J96" i="17"/>
  <c r="T11" i="18"/>
  <c r="T171" i="18" s="1"/>
  <c r="P295" i="17"/>
  <c r="P135" i="17"/>
  <c r="N135" i="15"/>
  <c r="N135" i="18"/>
  <c r="N302" i="18" s="1"/>
  <c r="N27" i="18"/>
  <c r="N187" i="18" s="1"/>
  <c r="N27" i="15"/>
  <c r="M71" i="18"/>
  <c r="M232" i="18" s="1"/>
  <c r="J135" i="15"/>
  <c r="J135" i="18"/>
  <c r="K90" i="18"/>
  <c r="K254" i="18" s="1"/>
  <c r="K90" i="15"/>
  <c r="G278" i="17"/>
  <c r="G118" i="17"/>
  <c r="Z38" i="15"/>
  <c r="Z38" i="18"/>
  <c r="Z198" i="18" s="1"/>
  <c r="M11" i="18"/>
  <c r="M171" i="18" s="1"/>
  <c r="M11" i="15"/>
  <c r="Z32" i="18"/>
  <c r="Z192" i="18" s="1"/>
  <c r="Q71" i="18"/>
  <c r="Q232" i="18" s="1"/>
  <c r="I117" i="18"/>
  <c r="I284" i="18" s="1"/>
  <c r="K123" i="18"/>
  <c r="K290" i="18" s="1"/>
  <c r="W104" i="18"/>
  <c r="W270" i="18" s="1"/>
  <c r="G71" i="18"/>
  <c r="G232" i="18" s="1"/>
  <c r="L127" i="18"/>
  <c r="L294" i="18" s="1"/>
  <c r="I38" i="15"/>
  <c r="I38" i="18"/>
  <c r="I198" i="18" s="1"/>
  <c r="K214" i="17"/>
  <c r="K54" i="17"/>
  <c r="G79" i="16"/>
  <c r="M112" i="18"/>
  <c r="M279" i="18" s="1"/>
  <c r="M112" i="15"/>
  <c r="I192" i="17"/>
  <c r="I32" i="18" s="1"/>
  <c r="I32" i="17"/>
  <c r="V96" i="18"/>
  <c r="V260" i="18" s="1"/>
  <c r="V96" i="15"/>
  <c r="X135" i="15"/>
  <c r="M38" i="15"/>
  <c r="K122" i="15"/>
  <c r="L32" i="18"/>
  <c r="L192" i="18" s="1"/>
  <c r="Q113" i="18"/>
  <c r="Q280" i="18" s="1"/>
  <c r="I5" i="18"/>
  <c r="I5" i="15"/>
  <c r="AO9" i="1"/>
  <c r="C9" i="1" s="1"/>
  <c r="P9" i="1"/>
  <c r="AE9" i="1"/>
  <c r="X231" i="17"/>
  <c r="X71" i="18" s="1"/>
  <c r="X232" i="18" s="1"/>
  <c r="X71" i="17"/>
  <c r="X96" i="18"/>
  <c r="X260" i="18" s="1"/>
  <c r="X96" i="15"/>
  <c r="M282" i="17"/>
  <c r="M122" i="18" s="1"/>
  <c r="M289" i="18" s="1"/>
  <c r="M122" i="17"/>
  <c r="K114" i="18"/>
  <c r="K281" i="18" s="1"/>
  <c r="K114" i="15"/>
  <c r="S24" i="18"/>
  <c r="S184" i="18" s="1"/>
  <c r="V27" i="18"/>
  <c r="V187" i="18" s="1"/>
  <c r="S272" i="17"/>
  <c r="S112" i="18" s="1"/>
  <c r="S279" i="18" s="1"/>
  <c r="S112" i="17"/>
  <c r="M70" i="15"/>
  <c r="Y113" i="18"/>
  <c r="Y280" i="18" s="1"/>
  <c r="X71" i="15"/>
  <c r="S71" i="18"/>
  <c r="S232" i="18" s="1"/>
  <c r="G282" i="17"/>
  <c r="G122" i="18" s="1"/>
  <c r="G122" i="17"/>
  <c r="G150" i="18"/>
  <c r="G319" i="18" s="1"/>
  <c r="W56" i="18"/>
  <c r="W216" i="18" s="1"/>
  <c r="W56" i="15"/>
  <c r="L80" i="18"/>
  <c r="L242" i="18" s="1"/>
  <c r="K29" i="18"/>
  <c r="K189" i="18" s="1"/>
  <c r="K29" i="15"/>
  <c r="V6" i="18"/>
  <c r="V166" i="18" s="1"/>
  <c r="V6" i="15"/>
  <c r="Q38" i="18"/>
  <c r="Q198" i="18" s="1"/>
  <c r="Q38" i="15"/>
  <c r="G278" i="13"/>
  <c r="G118" i="14" s="1"/>
  <c r="G118" i="13"/>
  <c r="W38" i="18"/>
  <c r="W198" i="18" s="1"/>
  <c r="W38" i="15"/>
  <c r="G117" i="18"/>
  <c r="G284" i="18" s="1"/>
  <c r="I214" i="17"/>
  <c r="I54" i="17"/>
  <c r="P27" i="18"/>
  <c r="P187" i="18" s="1"/>
  <c r="P27" i="15"/>
  <c r="K76" i="18"/>
  <c r="K76" i="15"/>
  <c r="I113" i="18"/>
  <c r="I280" i="18" s="1"/>
  <c r="K11" i="15"/>
  <c r="M61" i="18"/>
  <c r="M221" i="18" s="1"/>
  <c r="O11" i="15"/>
  <c r="O11" i="18"/>
  <c r="O171" i="18" s="1"/>
  <c r="R88" i="18"/>
  <c r="R252" i="18" s="1"/>
  <c r="R88" i="15"/>
  <c r="X32" i="18"/>
  <c r="X192" i="18" s="1"/>
  <c r="N38" i="18"/>
  <c r="N198" i="18" s="1"/>
  <c r="U38" i="15"/>
  <c r="J48" i="18"/>
  <c r="Z6" i="15"/>
  <c r="L75" i="18"/>
  <c r="L236" i="18" s="1"/>
  <c r="L75" i="15"/>
  <c r="O72" i="18"/>
  <c r="O233" i="18" s="1"/>
  <c r="O72" i="15"/>
  <c r="K158" i="18"/>
  <c r="K329" i="18" s="1"/>
  <c r="Z11" i="18"/>
  <c r="Z171" i="18" s="1"/>
  <c r="W61" i="18"/>
  <c r="W221" i="18" s="1"/>
  <c r="W71" i="18"/>
  <c r="W232" i="18" s="1"/>
  <c r="K6" i="18"/>
  <c r="K6" i="15"/>
  <c r="G112" i="18"/>
  <c r="G112" i="15"/>
  <c r="T71" i="15"/>
  <c r="T71" i="18"/>
  <c r="T232" i="18" s="1"/>
  <c r="K278" i="13"/>
  <c r="K118" i="14" s="1"/>
  <c r="K118" i="13"/>
  <c r="G143" i="18"/>
  <c r="G312" i="18" s="1"/>
  <c r="Y61" i="18"/>
  <c r="Y221" i="18" s="1"/>
  <c r="O113" i="18"/>
  <c r="O280" i="18" s="1"/>
  <c r="I71" i="18"/>
  <c r="I232" i="18" s="1"/>
  <c r="X27" i="18"/>
  <c r="X187" i="18" s="1"/>
  <c r="Q272" i="17"/>
  <c r="Q112" i="18" s="1"/>
  <c r="Q279" i="18" s="1"/>
  <c r="Q112" i="17"/>
  <c r="K230" i="17"/>
  <c r="K70" i="18" s="1"/>
  <c r="K70" i="17"/>
  <c r="K65" i="18"/>
  <c r="K225" i="18" s="1"/>
  <c r="K65" i="15"/>
  <c r="N64" i="15"/>
  <c r="N64" i="18"/>
  <c r="N224" i="18" s="1"/>
  <c r="I143" i="18"/>
  <c r="I312" i="18" s="1"/>
  <c r="I143" i="15"/>
  <c r="X6" i="18"/>
  <c r="X166" i="18" s="1"/>
  <c r="X6" i="15"/>
  <c r="M108" i="15"/>
  <c r="M108" i="18"/>
  <c r="M274" i="18" s="1"/>
  <c r="X88" i="18"/>
  <c r="X252" i="18" s="1"/>
  <c r="X88" i="15"/>
  <c r="L107" i="18"/>
  <c r="L273" i="18" s="1"/>
  <c r="L107" i="15"/>
  <c r="K312" i="17"/>
  <c r="K152" i="18" s="1"/>
  <c r="K152" i="17"/>
  <c r="Q171" i="17"/>
  <c r="Q11" i="18" s="1"/>
  <c r="Q11" i="17"/>
  <c r="K281" i="17"/>
  <c r="K121" i="18" s="1"/>
  <c r="K288" i="18" s="1"/>
  <c r="K121" i="17"/>
  <c r="Y6" i="18"/>
  <c r="Y166" i="18" s="1"/>
  <c r="Y6" i="15"/>
  <c r="O71" i="18"/>
  <c r="O232" i="18" s="1"/>
  <c r="O71" i="15"/>
  <c r="P71" i="15"/>
  <c r="P71" i="18"/>
  <c r="P232" i="18" s="1"/>
  <c r="I278" i="17"/>
  <c r="I118" i="17"/>
  <c r="K83" i="15"/>
  <c r="K83" i="18"/>
  <c r="K245" i="18" s="1"/>
  <c r="K152" i="15"/>
  <c r="Y56" i="18"/>
  <c r="Y216" i="18" s="1"/>
  <c r="Y56" i="15"/>
  <c r="K121" i="15"/>
  <c r="L96" i="18"/>
  <c r="L260" i="18" s="1"/>
  <c r="L96" i="15"/>
  <c r="W112" i="18"/>
  <c r="W279" i="18" s="1"/>
  <c r="W112" i="15"/>
  <c r="L147" i="18"/>
  <c r="L316" i="18" s="1"/>
  <c r="L147" i="15"/>
  <c r="I29" i="18"/>
  <c r="I189" i="18" s="1"/>
  <c r="I29" i="15"/>
  <c r="R71" i="15"/>
  <c r="K71" i="15"/>
  <c r="K71" i="18"/>
  <c r="K232" i="18" s="1"/>
  <c r="D58" i="6"/>
  <c r="B59" i="6"/>
  <c r="D59" i="37" s="1"/>
  <c r="A59" i="37" s="1"/>
  <c r="B58" i="20"/>
  <c r="B58" i="10"/>
  <c r="B58" i="11"/>
  <c r="B218" i="12"/>
  <c r="B58" i="12"/>
  <c r="B218" i="13"/>
  <c r="B58" i="13"/>
  <c r="B58" i="14"/>
  <c r="B218" i="18"/>
  <c r="B58" i="15"/>
  <c r="B58" i="16"/>
  <c r="B218" i="17"/>
  <c r="B58" i="17"/>
  <c r="B58" i="18"/>
  <c r="B58" i="9"/>
  <c r="O56" i="18"/>
  <c r="O216" i="18" s="1"/>
  <c r="I282" i="17"/>
  <c r="I122" i="18" s="1"/>
  <c r="I289" i="18" s="1"/>
  <c r="I122" i="17"/>
  <c r="T38" i="15"/>
  <c r="U144" i="18"/>
  <c r="U313" i="18" s="1"/>
  <c r="U144" i="15"/>
  <c r="J88" i="18"/>
  <c r="J88" i="15"/>
  <c r="M122" i="15"/>
  <c r="Z59" i="15"/>
  <c r="Z59" i="18"/>
  <c r="Z219" i="18" s="1"/>
  <c r="R135" i="15"/>
  <c r="H255" i="17"/>
  <c r="H95" i="17"/>
  <c r="M114" i="15"/>
  <c r="M114" i="18"/>
  <c r="M281" i="18" s="1"/>
  <c r="Q6" i="18"/>
  <c r="Q166" i="18" s="1"/>
  <c r="Q6" i="15"/>
  <c r="G13" i="18"/>
  <c r="G173" i="18" s="1"/>
  <c r="H107" i="18"/>
  <c r="H273" i="18" s="1"/>
  <c r="Z64" i="18"/>
  <c r="Z224" i="18" s="1"/>
  <c r="J141" i="18"/>
  <c r="J141" i="15"/>
  <c r="V71" i="18"/>
  <c r="V232" i="18" s="1"/>
  <c r="V71" i="15"/>
  <c r="W72" i="18"/>
  <c r="W233" i="18" s="1"/>
  <c r="M150" i="18"/>
  <c r="M319" i="18" s="1"/>
  <c r="K113" i="18"/>
  <c r="K280" i="18" s="1"/>
  <c r="X11" i="18"/>
  <c r="X171" i="18" s="1"/>
  <c r="K117" i="18"/>
  <c r="K284" i="18" s="1"/>
  <c r="T75" i="18"/>
  <c r="T236" i="18" s="1"/>
  <c r="Z58" i="18"/>
  <c r="Z218" i="18" s="1"/>
  <c r="R126" i="18"/>
  <c r="R293" i="18" s="1"/>
  <c r="R126" i="15"/>
  <c r="J104" i="18"/>
  <c r="J270" i="18" s="1"/>
  <c r="J104" i="15"/>
  <c r="I37" i="18"/>
  <c r="I197" i="18" s="1"/>
  <c r="I37" i="15"/>
  <c r="M37" i="18"/>
  <c r="M197" i="18" s="1"/>
  <c r="M37" i="15"/>
  <c r="I12" i="15"/>
  <c r="K51" i="18"/>
  <c r="K211" i="18" s="1"/>
  <c r="K51" i="15"/>
  <c r="I87" i="15"/>
  <c r="S17" i="15"/>
  <c r="I26" i="15"/>
  <c r="H20" i="15"/>
  <c r="G327" i="18"/>
  <c r="G188" i="18"/>
  <c r="N56" i="15"/>
  <c r="K74" i="15"/>
  <c r="M97" i="18"/>
  <c r="M261" i="18" s="1"/>
  <c r="M97" i="15"/>
  <c r="H329" i="18"/>
  <c r="H298" i="18"/>
  <c r="W126" i="15"/>
  <c r="G97" i="18"/>
  <c r="G97" i="15"/>
  <c r="J109" i="18"/>
  <c r="J275" i="18" s="1"/>
  <c r="J109" i="15"/>
  <c r="M12" i="18"/>
  <c r="M172" i="18" s="1"/>
  <c r="M12" i="15"/>
  <c r="K31" i="18"/>
  <c r="K191" i="18" s="1"/>
  <c r="K31" i="15"/>
  <c r="H222" i="18"/>
  <c r="L149" i="15"/>
  <c r="N58" i="18"/>
  <c r="N218" i="18" s="1"/>
  <c r="N58" i="15"/>
  <c r="M79" i="18"/>
  <c r="M241" i="18" s="1"/>
  <c r="M79" i="15"/>
  <c r="L34" i="18"/>
  <c r="L194" i="18" s="1"/>
  <c r="L34" i="15"/>
  <c r="G236" i="18"/>
  <c r="I17" i="15"/>
  <c r="I106" i="15"/>
  <c r="H87" i="18"/>
  <c r="H251" i="18" s="1"/>
  <c r="H87" i="15"/>
  <c r="G301" i="18"/>
  <c r="Q104" i="18"/>
  <c r="Q270" i="18" s="1"/>
  <c r="Q104" i="15"/>
  <c r="G220" i="18"/>
  <c r="L105" i="15"/>
  <c r="M144" i="18"/>
  <c r="M313" i="18" s="1"/>
  <c r="M144" i="15"/>
  <c r="O104" i="18"/>
  <c r="O270" i="18" s="1"/>
  <c r="O104" i="15"/>
  <c r="J73" i="15"/>
  <c r="Z104" i="15"/>
  <c r="L46" i="15"/>
  <c r="M51" i="18"/>
  <c r="M211" i="18" s="1"/>
  <c r="M51" i="15"/>
  <c r="I97" i="18"/>
  <c r="I261" i="18" s="1"/>
  <c r="I97" i="15"/>
  <c r="L58" i="18"/>
  <c r="L218" i="18" s="1"/>
  <c r="L58" i="15"/>
  <c r="M75" i="18"/>
  <c r="M236" i="18" s="1"/>
  <c r="M75" i="15"/>
  <c r="L72" i="15"/>
  <c r="H284" i="18"/>
  <c r="R144" i="18"/>
  <c r="R313" i="18" s="1"/>
  <c r="R144" i="15"/>
  <c r="O75" i="18"/>
  <c r="O236" i="18" s="1"/>
  <c r="O75" i="15"/>
  <c r="J106" i="18"/>
  <c r="J272" i="18" s="1"/>
  <c r="J106" i="15"/>
  <c r="I35" i="18"/>
  <c r="I195" i="18" s="1"/>
  <c r="I35" i="15"/>
  <c r="Z78" i="15"/>
  <c r="K116" i="15"/>
  <c r="K104" i="18"/>
  <c r="K270" i="18" s="1"/>
  <c r="K104" i="15"/>
  <c r="G219" i="18"/>
  <c r="Z126" i="18"/>
  <c r="Z293" i="18" s="1"/>
  <c r="Z126" i="15"/>
  <c r="M142" i="18"/>
  <c r="M311" i="18" s="1"/>
  <c r="M142" i="15"/>
  <c r="Q144" i="18"/>
  <c r="Q313" i="18" s="1"/>
  <c r="Q144" i="15"/>
  <c r="G35" i="18"/>
  <c r="G35" i="15"/>
  <c r="K156" i="15"/>
  <c r="I134" i="18"/>
  <c r="I301" i="18" s="1"/>
  <c r="I134" i="15"/>
  <c r="X17" i="18"/>
  <c r="X177" i="18" s="1"/>
  <c r="X17" i="15"/>
  <c r="L31" i="18"/>
  <c r="L191" i="18" s="1"/>
  <c r="L31" i="15"/>
  <c r="G53" i="18"/>
  <c r="G53" i="15"/>
  <c r="I10" i="18"/>
  <c r="I170" i="18" s="1"/>
  <c r="I10" i="15"/>
  <c r="O132" i="18"/>
  <c r="O299" i="18" s="1"/>
  <c r="O132" i="15"/>
  <c r="S28" i="15"/>
  <c r="M31" i="15"/>
  <c r="G182" i="18"/>
  <c r="R78" i="15"/>
  <c r="L52" i="15"/>
  <c r="H314" i="18"/>
  <c r="J83" i="15"/>
  <c r="K144" i="18"/>
  <c r="K313" i="18" s="1"/>
  <c r="K144" i="15"/>
  <c r="L303" i="17"/>
  <c r="L143" i="18" s="1"/>
  <c r="L312" i="18" s="1"/>
  <c r="L143" i="17"/>
  <c r="L131" i="18"/>
  <c r="L298" i="18" s="1"/>
  <c r="L131" i="15"/>
  <c r="J87" i="18"/>
  <c r="J251" i="18" s="1"/>
  <c r="J87" i="15"/>
  <c r="V78" i="18"/>
  <c r="V240" i="18" s="1"/>
  <c r="V78" i="15"/>
  <c r="O304" i="17"/>
  <c r="O144" i="18" s="1"/>
  <c r="O313" i="18" s="1"/>
  <c r="O144" i="17"/>
  <c r="L285" i="17"/>
  <c r="L125" i="18" s="1"/>
  <c r="L292" i="18" s="1"/>
  <c r="L125" i="17"/>
  <c r="T216" i="17"/>
  <c r="T56" i="18" s="1"/>
  <c r="T216" i="18" s="1"/>
  <c r="T56" i="17"/>
  <c r="L132" i="18"/>
  <c r="L299" i="18" s="1"/>
  <c r="L132" i="15"/>
  <c r="I201" i="17"/>
  <c r="I41" i="18" s="1"/>
  <c r="I201" i="18" s="1"/>
  <c r="I41" i="17"/>
  <c r="L195" i="17"/>
  <c r="L35" i="18" s="1"/>
  <c r="L195" i="18" s="1"/>
  <c r="L35" i="17"/>
  <c r="J47" i="18"/>
  <c r="J207" i="18" s="1"/>
  <c r="J47" i="15"/>
  <c r="K267" i="17"/>
  <c r="K107" i="17"/>
  <c r="K170" i="17"/>
  <c r="K10" i="18" s="1"/>
  <c r="K170" i="18" s="1"/>
  <c r="K10" i="17"/>
  <c r="W132" i="18"/>
  <c r="W299" i="18" s="1"/>
  <c r="W132" i="15"/>
  <c r="Q177" i="17"/>
  <c r="Q17" i="18" s="1"/>
  <c r="Q177" i="18" s="1"/>
  <c r="Q17" i="17"/>
  <c r="J197" i="17"/>
  <c r="J37" i="18" s="1"/>
  <c r="J197" i="18" s="1"/>
  <c r="J37" i="17"/>
  <c r="J114" i="15"/>
  <c r="G211" i="17"/>
  <c r="G51" i="18" s="1"/>
  <c r="G51" i="17"/>
  <c r="K177" i="17"/>
  <c r="K17" i="18" s="1"/>
  <c r="K177" i="18" s="1"/>
  <c r="K17" i="17"/>
  <c r="U286" i="17"/>
  <c r="U126" i="18" s="1"/>
  <c r="U293" i="18" s="1"/>
  <c r="U126" i="17"/>
  <c r="P238" i="17"/>
  <c r="P78" i="18" s="1"/>
  <c r="P240" i="18" s="1"/>
  <c r="P78" i="17"/>
  <c r="M219" i="17"/>
  <c r="M59" i="18" s="1"/>
  <c r="M219" i="18" s="1"/>
  <c r="M59" i="17"/>
  <c r="P132" i="18"/>
  <c r="P299" i="18" s="1"/>
  <c r="P132" i="15"/>
  <c r="L143" i="15"/>
  <c r="J274" i="17"/>
  <c r="J114" i="18" s="1"/>
  <c r="J114" i="17"/>
  <c r="I247" i="17"/>
  <c r="I87" i="18" s="1"/>
  <c r="I251" i="18" s="1"/>
  <c r="I87" i="17"/>
  <c r="K302" i="17"/>
  <c r="K142" i="17"/>
  <c r="K276" i="17"/>
  <c r="K116" i="18" s="1"/>
  <c r="K283" i="18" s="1"/>
  <c r="K116" i="17"/>
  <c r="L314" i="17"/>
  <c r="L154" i="17"/>
  <c r="I254" i="17"/>
  <c r="I94" i="18" s="1"/>
  <c r="I94" i="17"/>
  <c r="I239" i="17"/>
  <c r="I79" i="18" s="1"/>
  <c r="I241" i="18" s="1"/>
  <c r="I79" i="17"/>
  <c r="H44" i="18"/>
  <c r="H204" i="18" s="1"/>
  <c r="H44" i="15"/>
  <c r="P72" i="15"/>
  <c r="J62" i="15"/>
  <c r="L125" i="15"/>
  <c r="L158" i="15"/>
  <c r="J227" i="17"/>
  <c r="J67" i="18" s="1"/>
  <c r="J228" i="18" s="1"/>
  <c r="J67" i="17"/>
  <c r="U17" i="15"/>
  <c r="J91" i="15"/>
  <c r="M271" i="17"/>
  <c r="M111" i="18" s="1"/>
  <c r="M278" i="18" s="1"/>
  <c r="M111" i="17"/>
  <c r="Q17" i="15"/>
  <c r="J242" i="17"/>
  <c r="J82" i="18" s="1"/>
  <c r="J244" i="18" s="1"/>
  <c r="J82" i="17"/>
  <c r="J13" i="15"/>
  <c r="K95" i="15"/>
  <c r="L51" i="18"/>
  <c r="L211" i="18" s="1"/>
  <c r="L51" i="15"/>
  <c r="I144" i="18"/>
  <c r="I313" i="18" s="1"/>
  <c r="I144" i="15"/>
  <c r="G299" i="18"/>
  <c r="J246" i="17"/>
  <c r="J86" i="18" s="1"/>
  <c r="J86" i="17"/>
  <c r="K98" i="18"/>
  <c r="K262" i="18" s="1"/>
  <c r="K98" i="15"/>
  <c r="N78" i="15"/>
  <c r="P25" i="15"/>
  <c r="Q292" i="17"/>
  <c r="Q132" i="18" s="1"/>
  <c r="Q299" i="18" s="1"/>
  <c r="Q132" i="17"/>
  <c r="I234" i="17"/>
  <c r="I74" i="17"/>
  <c r="O197" i="17"/>
  <c r="O37" i="18" s="1"/>
  <c r="O197" i="18" s="1"/>
  <c r="O37" i="17"/>
  <c r="Z181" i="17"/>
  <c r="Z21" i="18" s="1"/>
  <c r="Z181" i="18" s="1"/>
  <c r="Z21" i="17"/>
  <c r="T78" i="18"/>
  <c r="T240" i="18" s="1"/>
  <c r="T78" i="15"/>
  <c r="U75" i="15"/>
  <c r="H19" i="18"/>
  <c r="H179" i="18" s="1"/>
  <c r="H19" i="15"/>
  <c r="J126" i="18"/>
  <c r="J293" i="18" s="1"/>
  <c r="J126" i="15"/>
  <c r="U235" i="17"/>
  <c r="U75" i="18" s="1"/>
  <c r="U236" i="18" s="1"/>
  <c r="U75" i="17"/>
  <c r="W188" i="17"/>
  <c r="W28" i="18" s="1"/>
  <c r="W188" i="18" s="1"/>
  <c r="W28" i="17"/>
  <c r="M184" i="17"/>
  <c r="M24" i="18" s="1"/>
  <c r="M184" i="18" s="1"/>
  <c r="M24" i="17"/>
  <c r="I95" i="18"/>
  <c r="I259" i="18" s="1"/>
  <c r="I95" i="15"/>
  <c r="L29" i="15"/>
  <c r="L231" i="17"/>
  <c r="L71" i="18" s="1"/>
  <c r="L232" i="18" s="1"/>
  <c r="L71" i="17"/>
  <c r="I292" i="17"/>
  <c r="I132" i="18" s="1"/>
  <c r="I299" i="18" s="1"/>
  <c r="I132" i="17"/>
  <c r="I235" i="17"/>
  <c r="I75" i="18" s="1"/>
  <c r="I236" i="18" s="1"/>
  <c r="I75" i="17"/>
  <c r="L173" i="17"/>
  <c r="L13" i="18" s="1"/>
  <c r="L173" i="18" s="1"/>
  <c r="L13" i="17"/>
  <c r="Y28" i="15"/>
  <c r="P206" i="17"/>
  <c r="P46" i="18" s="1"/>
  <c r="P206" i="18" s="1"/>
  <c r="P46" i="17"/>
  <c r="I276" i="17"/>
  <c r="I116" i="18" s="1"/>
  <c r="I283" i="18" s="1"/>
  <c r="I116" i="17"/>
  <c r="Z25" i="18"/>
  <c r="Z185" i="18" s="1"/>
  <c r="Z25" i="15"/>
  <c r="M17" i="18"/>
  <c r="M177" i="18" s="1"/>
  <c r="M17" i="15"/>
  <c r="G216" i="18"/>
  <c r="W28" i="15"/>
  <c r="M104" i="15"/>
  <c r="K35" i="18"/>
  <c r="K195" i="18" s="1"/>
  <c r="K35" i="15"/>
  <c r="I75" i="15"/>
  <c r="Y17" i="15"/>
  <c r="S104" i="18"/>
  <c r="S270" i="18" s="1"/>
  <c r="S104" i="15"/>
  <c r="M95" i="15"/>
  <c r="J72" i="15"/>
  <c r="J103" i="15"/>
  <c r="Z46" i="15"/>
  <c r="X46" i="15"/>
  <c r="Q37" i="15"/>
  <c r="J90" i="18"/>
  <c r="J254" i="18" s="1"/>
  <c r="J90" i="15"/>
  <c r="L30" i="18"/>
  <c r="L190" i="18" s="1"/>
  <c r="L30" i="15"/>
  <c r="J117" i="18"/>
  <c r="J284" i="18" s="1"/>
  <c r="J117" i="15"/>
  <c r="J125" i="18"/>
  <c r="J292" i="18" s="1"/>
  <c r="J125" i="15"/>
  <c r="L92" i="18"/>
  <c r="L256" i="18" s="1"/>
  <c r="L92" i="15"/>
  <c r="K22" i="18"/>
  <c r="K182" i="18" s="1"/>
  <c r="K22" i="15"/>
  <c r="L56" i="18"/>
  <c r="L216" i="18" s="1"/>
  <c r="L56" i="15"/>
  <c r="J123" i="18"/>
  <c r="J290" i="18" s="1"/>
  <c r="J123" i="15"/>
  <c r="J58" i="15"/>
  <c r="T58" i="15"/>
  <c r="G51" i="15"/>
  <c r="R51" i="18"/>
  <c r="R211" i="18" s="1"/>
  <c r="R51" i="15"/>
  <c r="J155" i="15"/>
  <c r="H171" i="18"/>
  <c r="N177" i="17"/>
  <c r="N17" i="18" s="1"/>
  <c r="N177" i="18" s="1"/>
  <c r="N17" i="17"/>
  <c r="J280" i="17"/>
  <c r="J120" i="18" s="1"/>
  <c r="J287" i="18" s="1"/>
  <c r="J120" i="17"/>
  <c r="J233" i="17"/>
  <c r="J73" i="18" s="1"/>
  <c r="J73" i="17"/>
  <c r="Z264" i="17"/>
  <c r="Z104" i="18" s="1"/>
  <c r="Z270" i="18" s="1"/>
  <c r="Z104" i="17"/>
  <c r="M127" i="18"/>
  <c r="M294" i="18" s="1"/>
  <c r="M127" i="15"/>
  <c r="J257" i="17"/>
  <c r="J97" i="18" s="1"/>
  <c r="J261" i="18" s="1"/>
  <c r="J97" i="17"/>
  <c r="P104" i="18"/>
  <c r="P270" i="18" s="1"/>
  <c r="P104" i="15"/>
  <c r="N211" i="17"/>
  <c r="N51" i="17"/>
  <c r="I24" i="18"/>
  <c r="I24" i="15"/>
  <c r="R264" i="17"/>
  <c r="R104" i="18" s="1"/>
  <c r="R270" i="18" s="1"/>
  <c r="R104" i="17"/>
  <c r="K57" i="18"/>
  <c r="K217" i="18" s="1"/>
  <c r="K57" i="15"/>
  <c r="L318" i="17"/>
  <c r="L158" i="18" s="1"/>
  <c r="L158" i="17"/>
  <c r="J158" i="15"/>
  <c r="J158" i="18"/>
  <c r="J329" i="18" s="1"/>
  <c r="G116" i="18"/>
  <c r="G116" i="15"/>
  <c r="P37" i="18"/>
  <c r="P197" i="18" s="1"/>
  <c r="P37" i="15"/>
  <c r="L78" i="18"/>
  <c r="L240" i="18" s="1"/>
  <c r="L78" i="15"/>
  <c r="J251" i="17"/>
  <c r="J91" i="18" s="1"/>
  <c r="J255" i="18" s="1"/>
  <c r="J91" i="17"/>
  <c r="H63" i="18"/>
  <c r="H223" i="18" s="1"/>
  <c r="H63" i="15"/>
  <c r="J292" i="17"/>
  <c r="J132" i="18" s="1"/>
  <c r="J299" i="18" s="1"/>
  <c r="J132" i="17"/>
  <c r="Y197" i="17"/>
  <c r="Y37" i="18" s="1"/>
  <c r="Y197" i="18" s="1"/>
  <c r="Y37" i="17"/>
  <c r="I34" i="18"/>
  <c r="I194" i="18" s="1"/>
  <c r="I34" i="15"/>
  <c r="T144" i="18"/>
  <c r="T313" i="18" s="1"/>
  <c r="T144" i="15"/>
  <c r="L98" i="18"/>
  <c r="L262" i="18" s="1"/>
  <c r="L98" i="15"/>
  <c r="I191" i="17"/>
  <c r="I31" i="18" s="1"/>
  <c r="I191" i="18" s="1"/>
  <c r="I31" i="17"/>
  <c r="K132" i="15"/>
  <c r="G104" i="18"/>
  <c r="G104" i="15"/>
  <c r="L86" i="18"/>
  <c r="L250" i="18" s="1"/>
  <c r="L86" i="15"/>
  <c r="J50" i="18"/>
  <c r="J210" i="18" s="1"/>
  <c r="J50" i="15"/>
  <c r="I266" i="17"/>
  <c r="I106" i="18" s="1"/>
  <c r="I272" i="18" s="1"/>
  <c r="I106" i="17"/>
  <c r="S177" i="17"/>
  <c r="S17" i="18" s="1"/>
  <c r="S177" i="18" s="1"/>
  <c r="S17" i="17"/>
  <c r="J97" i="15"/>
  <c r="M306" i="17"/>
  <c r="M146" i="17"/>
  <c r="L22" i="18"/>
  <c r="L182" i="18" s="1"/>
  <c r="L22" i="15"/>
  <c r="T56" i="15"/>
  <c r="M147" i="15"/>
  <c r="J200" i="17"/>
  <c r="J40" i="18" s="1"/>
  <c r="J40" i="17"/>
  <c r="K271" i="17"/>
  <c r="K111" i="18" s="1"/>
  <c r="K278" i="18" s="1"/>
  <c r="K111" i="17"/>
  <c r="M10" i="15"/>
  <c r="K10" i="15"/>
  <c r="U28" i="15"/>
  <c r="M28" i="15"/>
  <c r="J68" i="15"/>
  <c r="G98" i="18"/>
  <c r="G98" i="15"/>
  <c r="G144" i="18"/>
  <c r="G144" i="15"/>
  <c r="Q58" i="15"/>
  <c r="N216" i="17"/>
  <c r="N56" i="18" s="1"/>
  <c r="N216" i="18" s="1"/>
  <c r="N56" i="17"/>
  <c r="P144" i="15"/>
  <c r="H312" i="18"/>
  <c r="W75" i="15"/>
  <c r="J41" i="18"/>
  <c r="J201" i="18" s="1"/>
  <c r="J41" i="15"/>
  <c r="L210" i="17"/>
  <c r="L50" i="17"/>
  <c r="J40" i="15"/>
  <c r="G91" i="18"/>
  <c r="G91" i="15"/>
  <c r="I205" i="17"/>
  <c r="I45" i="18" s="1"/>
  <c r="I205" i="18" s="1"/>
  <c r="I45" i="17"/>
  <c r="L21" i="15"/>
  <c r="N72" i="18"/>
  <c r="N233" i="18" s="1"/>
  <c r="N72" i="15"/>
  <c r="K34" i="18"/>
  <c r="K194" i="18" s="1"/>
  <c r="K34" i="15"/>
  <c r="J113" i="18"/>
  <c r="J280" i="18" s="1"/>
  <c r="J113" i="15"/>
  <c r="U37" i="15"/>
  <c r="O126" i="15"/>
  <c r="N17" i="15"/>
  <c r="H46" i="15"/>
  <c r="L120" i="18"/>
  <c r="L287" i="18" s="1"/>
  <c r="L120" i="15"/>
  <c r="T72" i="18"/>
  <c r="T233" i="18" s="1"/>
  <c r="T72" i="15"/>
  <c r="K255" i="17"/>
  <c r="K95" i="18" s="1"/>
  <c r="K259" i="18" s="1"/>
  <c r="K95" i="17"/>
  <c r="X216" i="17"/>
  <c r="X56" i="18" s="1"/>
  <c r="X216" i="18" s="1"/>
  <c r="X56" i="17"/>
  <c r="H132" i="18"/>
  <c r="H299" i="18" s="1"/>
  <c r="H132" i="15"/>
  <c r="W218" i="17"/>
  <c r="W58" i="18" s="1"/>
  <c r="W218" i="18" s="1"/>
  <c r="W58" i="17"/>
  <c r="S286" i="17"/>
  <c r="S126" i="18" s="1"/>
  <c r="S293" i="18" s="1"/>
  <c r="S126" i="17"/>
  <c r="H190" i="17"/>
  <c r="H30" i="18" s="1"/>
  <c r="H30" i="17"/>
  <c r="K316" i="17"/>
  <c r="K156" i="18" s="1"/>
  <c r="K327" i="18" s="1"/>
  <c r="K156" i="17"/>
  <c r="J21" i="15"/>
  <c r="S37" i="15"/>
  <c r="I40" i="18"/>
  <c r="I200" i="18" s="1"/>
  <c r="I40" i="15"/>
  <c r="Q132" i="15"/>
  <c r="O58" i="15"/>
  <c r="U104" i="18"/>
  <c r="U270" i="18" s="1"/>
  <c r="U104" i="15"/>
  <c r="I271" i="17"/>
  <c r="I111" i="18" s="1"/>
  <c r="I278" i="18" s="1"/>
  <c r="I111" i="17"/>
  <c r="M255" i="17"/>
  <c r="M95" i="18" s="1"/>
  <c r="M259" i="18" s="1"/>
  <c r="M95" i="17"/>
  <c r="X185" i="17"/>
  <c r="X25" i="18" s="1"/>
  <c r="X185" i="18" s="1"/>
  <c r="X25" i="17"/>
  <c r="Q184" i="17"/>
  <c r="Q24" i="18" s="1"/>
  <c r="Q184" i="18" s="1"/>
  <c r="Q24" i="17"/>
  <c r="H52" i="18"/>
  <c r="H212" i="18" s="1"/>
  <c r="H52" i="15"/>
  <c r="L25" i="18"/>
  <c r="L185" i="18" s="1"/>
  <c r="L25" i="15"/>
  <c r="N46" i="18"/>
  <c r="N206" i="18" s="1"/>
  <c r="N46" i="15"/>
  <c r="M129" i="18"/>
  <c r="M296" i="18" s="1"/>
  <c r="M129" i="15"/>
  <c r="X56" i="15"/>
  <c r="H233" i="18"/>
  <c r="I132" i="15"/>
  <c r="H30" i="15"/>
  <c r="M43" i="18"/>
  <c r="M203" i="18" s="1"/>
  <c r="M43" i="15"/>
  <c r="R25" i="15"/>
  <c r="G200" i="18"/>
  <c r="S58" i="15"/>
  <c r="H9" i="15"/>
  <c r="J42" i="15"/>
  <c r="I58" i="18"/>
  <c r="I218" i="18" s="1"/>
  <c r="I58" i="15"/>
  <c r="I107" i="18"/>
  <c r="I273" i="18" s="1"/>
  <c r="I107" i="15"/>
  <c r="G206" i="18"/>
  <c r="J132" i="15"/>
  <c r="O59" i="18"/>
  <c r="O219" i="18" s="1"/>
  <c r="O59" i="15"/>
  <c r="J56" i="18"/>
  <c r="J216" i="18" s="1"/>
  <c r="J56" i="15"/>
  <c r="J46" i="18"/>
  <c r="J206" i="18" s="1"/>
  <c r="J46" i="15"/>
  <c r="J37" i="15"/>
  <c r="I172" i="17"/>
  <c r="I12" i="18" s="1"/>
  <c r="I12" i="17"/>
  <c r="J189" i="17"/>
  <c r="J29" i="18" s="1"/>
  <c r="J29" i="17"/>
  <c r="J228" i="17"/>
  <c r="J68" i="18" s="1"/>
  <c r="J68" i="17"/>
  <c r="I177" i="17"/>
  <c r="I17" i="18" s="1"/>
  <c r="I177" i="18" s="1"/>
  <c r="I17" i="17"/>
  <c r="J31" i="18"/>
  <c r="J191" i="18" s="1"/>
  <c r="J31" i="15"/>
  <c r="Q188" i="17"/>
  <c r="Q28" i="18" s="1"/>
  <c r="Q188" i="18" s="1"/>
  <c r="Q28" i="17"/>
  <c r="P56" i="18"/>
  <c r="P216" i="18" s="1"/>
  <c r="P56" i="15"/>
  <c r="I121" i="18"/>
  <c r="I288" i="18" s="1"/>
  <c r="I121" i="15"/>
  <c r="G90" i="18"/>
  <c r="G90" i="15"/>
  <c r="N264" i="17"/>
  <c r="N104" i="18" s="1"/>
  <c r="N270" i="18" s="1"/>
  <c r="N104" i="17"/>
  <c r="M307" i="17"/>
  <c r="M147" i="18" s="1"/>
  <c r="M316" i="18" s="1"/>
  <c r="M147" i="17"/>
  <c r="K220" i="17"/>
  <c r="K60" i="18" s="1"/>
  <c r="K220" i="18" s="1"/>
  <c r="K60" i="17"/>
  <c r="J291" i="17"/>
  <c r="J131" i="18" s="1"/>
  <c r="J131" i="17"/>
  <c r="M34" i="18"/>
  <c r="M194" i="18" s="1"/>
  <c r="M34" i="15"/>
  <c r="L106" i="18"/>
  <c r="L272" i="18" s="1"/>
  <c r="L106" i="15"/>
  <c r="U177" i="17"/>
  <c r="U17" i="18" s="1"/>
  <c r="U177" i="18" s="1"/>
  <c r="U17" i="17"/>
  <c r="P51" i="18"/>
  <c r="P211" i="18" s="1"/>
  <c r="P51" i="15"/>
  <c r="X126" i="18"/>
  <c r="X293" i="18" s="1"/>
  <c r="X126" i="15"/>
  <c r="J238" i="17"/>
  <c r="J78" i="18" s="1"/>
  <c r="J240" i="18" s="1"/>
  <c r="J78" i="17"/>
  <c r="M170" i="17"/>
  <c r="M10" i="18" s="1"/>
  <c r="M10" i="17"/>
  <c r="H197" i="17"/>
  <c r="H37" i="18" s="1"/>
  <c r="H197" i="18" s="1"/>
  <c r="H37" i="17"/>
  <c r="G168" i="18"/>
  <c r="U188" i="17"/>
  <c r="U28" i="18" s="1"/>
  <c r="U188" i="18" s="1"/>
  <c r="U28" i="17"/>
  <c r="M228" i="17"/>
  <c r="M68" i="18" s="1"/>
  <c r="M229" i="18" s="1"/>
  <c r="M68" i="17"/>
  <c r="M264" i="17"/>
  <c r="M104" i="18" s="1"/>
  <c r="M270" i="18" s="1"/>
  <c r="M104" i="17"/>
  <c r="L242" i="17"/>
  <c r="L82" i="18" s="1"/>
  <c r="L244" i="18" s="1"/>
  <c r="L82" i="17"/>
  <c r="M188" i="17"/>
  <c r="M28" i="18" s="1"/>
  <c r="M188" i="18" s="1"/>
  <c r="M28" i="17"/>
  <c r="K315" i="17"/>
  <c r="K155" i="18" s="1"/>
  <c r="K326" i="18" s="1"/>
  <c r="K155" i="17"/>
  <c r="J22" i="18"/>
  <c r="J182" i="18" s="1"/>
  <c r="J22" i="15"/>
  <c r="J290" i="17"/>
  <c r="J130" i="17"/>
  <c r="J29" i="15"/>
  <c r="X144" i="15"/>
  <c r="Q126" i="15"/>
  <c r="Y58" i="15"/>
  <c r="R104" i="15"/>
  <c r="P185" i="17"/>
  <c r="P25" i="18" s="1"/>
  <c r="P185" i="18" s="1"/>
  <c r="P25" i="17"/>
  <c r="J131" i="15"/>
  <c r="N71" i="15"/>
  <c r="L181" i="17"/>
  <c r="L21" i="18" s="1"/>
  <c r="L181" i="18" s="1"/>
  <c r="L21" i="17"/>
  <c r="K82" i="18"/>
  <c r="K244" i="18" s="1"/>
  <c r="K82" i="15"/>
  <c r="J78" i="15"/>
  <c r="U197" i="17"/>
  <c r="U37" i="18" s="1"/>
  <c r="U197" i="18" s="1"/>
  <c r="U37" i="17"/>
  <c r="O286" i="17"/>
  <c r="O126" i="18" s="1"/>
  <c r="O293" i="18" s="1"/>
  <c r="O126" i="17"/>
  <c r="J115" i="15"/>
  <c r="R21" i="15"/>
  <c r="I104" i="18"/>
  <c r="I270" i="18" s="1"/>
  <c r="I104" i="15"/>
  <c r="H206" i="17"/>
  <c r="H46" i="18" s="1"/>
  <c r="H46" i="17"/>
  <c r="Q75" i="15"/>
  <c r="I316" i="17"/>
  <c r="I156" i="18" s="1"/>
  <c r="I327" i="18" s="1"/>
  <c r="I156" i="17"/>
  <c r="K40" i="15"/>
  <c r="K292" i="17"/>
  <c r="K132" i="18" s="1"/>
  <c r="K299" i="18" s="1"/>
  <c r="K132" i="17"/>
  <c r="I94" i="15"/>
  <c r="M146" i="18"/>
  <c r="M315" i="18" s="1"/>
  <c r="M146" i="15"/>
  <c r="K204" i="17"/>
  <c r="K44" i="17"/>
  <c r="J129" i="18"/>
  <c r="J296" i="18" s="1"/>
  <c r="J129" i="15"/>
  <c r="J82" i="15"/>
  <c r="G326" i="18"/>
  <c r="L232" i="17"/>
  <c r="L72" i="18" s="1"/>
  <c r="L233" i="18" s="1"/>
  <c r="L72" i="17"/>
  <c r="X181" i="17"/>
  <c r="X21" i="18" s="1"/>
  <c r="X181" i="18" s="1"/>
  <c r="X21" i="17"/>
  <c r="J202" i="17"/>
  <c r="J42" i="18" s="1"/>
  <c r="J42" i="17"/>
  <c r="N144" i="15"/>
  <c r="I45" i="15"/>
  <c r="K249" i="17"/>
  <c r="K89" i="18" s="1"/>
  <c r="K253" i="18" s="1"/>
  <c r="K89" i="17"/>
  <c r="V104" i="18"/>
  <c r="V270" i="18" s="1"/>
  <c r="V104" i="15"/>
  <c r="T104" i="18"/>
  <c r="T270" i="18" s="1"/>
  <c r="T104" i="15"/>
  <c r="X206" i="17"/>
  <c r="X46" i="18" s="1"/>
  <c r="X206" i="18" s="1"/>
  <c r="X46" i="17"/>
  <c r="I142" i="18"/>
  <c r="I311" i="18" s="1"/>
  <c r="I142" i="15"/>
  <c r="T211" i="17"/>
  <c r="T51" i="17"/>
  <c r="J203" i="17"/>
  <c r="J43" i="17"/>
  <c r="N132" i="18"/>
  <c r="N299" i="18" s="1"/>
  <c r="N132" i="15"/>
  <c r="L13" i="15"/>
  <c r="K126" i="15"/>
  <c r="K52" i="18"/>
  <c r="K212" i="18" s="1"/>
  <c r="K52" i="15"/>
  <c r="I111" i="15"/>
  <c r="H155" i="18"/>
  <c r="H326" i="18" s="1"/>
  <c r="H155" i="15"/>
  <c r="K89" i="15"/>
  <c r="R56" i="15"/>
  <c r="I81" i="15"/>
  <c r="I43" i="18"/>
  <c r="I203" i="18" s="1"/>
  <c r="I43" i="15"/>
  <c r="K20" i="15"/>
  <c r="J154" i="18"/>
  <c r="O144" i="15"/>
  <c r="L144" i="18"/>
  <c r="L313" i="18" s="1"/>
  <c r="L144" i="15"/>
  <c r="J63" i="18"/>
  <c r="J223" i="18" s="1"/>
  <c r="J63" i="15"/>
  <c r="N21" i="18"/>
  <c r="N181" i="18" s="1"/>
  <c r="N21" i="15"/>
  <c r="K53" i="18"/>
  <c r="K213" i="18" s="1"/>
  <c r="K53" i="15"/>
  <c r="K234" i="17"/>
  <c r="K74" i="18" s="1"/>
  <c r="K235" i="18" s="1"/>
  <c r="K74" i="17"/>
  <c r="Y132" i="18"/>
  <c r="Y299" i="18" s="1"/>
  <c r="Y132" i="15"/>
  <c r="I57" i="18"/>
  <c r="I217" i="18" s="1"/>
  <c r="I57" i="15"/>
  <c r="L155" i="15"/>
  <c r="L155" i="18"/>
  <c r="L326" i="18" s="1"/>
  <c r="G217" i="17"/>
  <c r="G57" i="18" s="1"/>
  <c r="G57" i="17"/>
  <c r="J222" i="17"/>
  <c r="J62" i="18" s="1"/>
  <c r="J62" i="17"/>
  <c r="M204" i="17"/>
  <c r="M44" i="18" s="1"/>
  <c r="M204" i="18" s="1"/>
  <c r="M44" i="17"/>
  <c r="G43" i="18"/>
  <c r="G43" i="15"/>
  <c r="I20" i="18"/>
  <c r="I180" i="18" s="1"/>
  <c r="I20" i="15"/>
  <c r="I51" i="18"/>
  <c r="I211" i="18" s="1"/>
  <c r="I51" i="15"/>
  <c r="N231" i="17"/>
  <c r="N71" i="18" s="1"/>
  <c r="N232" i="18" s="1"/>
  <c r="N71" i="17"/>
  <c r="L180" i="17"/>
  <c r="L20" i="18" s="1"/>
  <c r="L180" i="18" s="1"/>
  <c r="L20" i="17"/>
  <c r="J218" i="17"/>
  <c r="J58" i="18" s="1"/>
  <c r="J218" i="18" s="1"/>
  <c r="J58" i="17"/>
  <c r="J92" i="18"/>
  <c r="J256" i="18" s="1"/>
  <c r="J92" i="15"/>
  <c r="O24" i="18"/>
  <c r="O184" i="18" s="1"/>
  <c r="O24" i="15"/>
  <c r="K235" i="17"/>
  <c r="K75" i="18" s="1"/>
  <c r="K236" i="18" s="1"/>
  <c r="K75" i="17"/>
  <c r="M93" i="18"/>
  <c r="M257" i="18" s="1"/>
  <c r="M93" i="15"/>
  <c r="Z56" i="18"/>
  <c r="Z216" i="18" s="1"/>
  <c r="Z56" i="15"/>
  <c r="J211" i="17"/>
  <c r="J51" i="18" s="1"/>
  <c r="J211" i="18" s="1"/>
  <c r="J51" i="17"/>
  <c r="L124" i="18"/>
  <c r="L291" i="18" s="1"/>
  <c r="L124" i="15"/>
  <c r="J173" i="17"/>
  <c r="J13" i="18" s="1"/>
  <c r="J13" i="17"/>
  <c r="I129" i="18"/>
  <c r="I296" i="18" s="1"/>
  <c r="I129" i="15"/>
  <c r="I91" i="18"/>
  <c r="I255" i="18" s="1"/>
  <c r="I91" i="15"/>
  <c r="Q235" i="17"/>
  <c r="Q75" i="18" s="1"/>
  <c r="Q236" i="18" s="1"/>
  <c r="Q75" i="17"/>
  <c r="J120" i="15"/>
  <c r="U218" i="17"/>
  <c r="U58" i="18" s="1"/>
  <c r="U218" i="18" s="1"/>
  <c r="U58" i="17"/>
  <c r="L115" i="18"/>
  <c r="L282" i="18" s="1"/>
  <c r="L115" i="15"/>
  <c r="H40" i="18"/>
  <c r="H200" i="18" s="1"/>
  <c r="H40" i="15"/>
  <c r="J265" i="17"/>
  <c r="J105" i="18" s="1"/>
  <c r="J105" i="17"/>
  <c r="I219" i="17"/>
  <c r="I59" i="18" s="1"/>
  <c r="I219" i="18" s="1"/>
  <c r="I59" i="17"/>
  <c r="Y286" i="17"/>
  <c r="Y126" i="18" s="1"/>
  <c r="Y293" i="18" s="1"/>
  <c r="Y126" i="17"/>
  <c r="L222" i="17"/>
  <c r="L62" i="18" s="1"/>
  <c r="L222" i="18" s="1"/>
  <c r="L62" i="17"/>
  <c r="Q28" i="15"/>
  <c r="N104" i="15"/>
  <c r="M292" i="17"/>
  <c r="M132" i="18" s="1"/>
  <c r="M299" i="18" s="1"/>
  <c r="M132" i="17"/>
  <c r="L40" i="15"/>
  <c r="L20" i="15"/>
  <c r="K218" i="17"/>
  <c r="K58" i="18" s="1"/>
  <c r="K218" i="18" s="1"/>
  <c r="K58" i="17"/>
  <c r="J26" i="18"/>
  <c r="J186" i="18" s="1"/>
  <c r="J26" i="15"/>
  <c r="G190" i="18"/>
  <c r="I28" i="15"/>
  <c r="J304" i="17"/>
  <c r="J144" i="18" s="1"/>
  <c r="J313" i="18" s="1"/>
  <c r="J144" i="17"/>
  <c r="J194" i="17"/>
  <c r="J34" i="18" s="1"/>
  <c r="J194" i="18" s="1"/>
  <c r="J34" i="17"/>
  <c r="S292" i="17"/>
  <c r="S132" i="18" s="1"/>
  <c r="S299" i="18" s="1"/>
  <c r="S132" i="17"/>
  <c r="L26" i="18"/>
  <c r="L186" i="18" s="1"/>
  <c r="L26" i="15"/>
  <c r="I204" i="17"/>
  <c r="I44" i="18" s="1"/>
  <c r="I204" i="18" s="1"/>
  <c r="I44" i="17"/>
  <c r="G272" i="18"/>
  <c r="Y126" i="15"/>
  <c r="H25" i="15"/>
  <c r="L62" i="15"/>
  <c r="K43" i="18"/>
  <c r="K203" i="18" s="1"/>
  <c r="K43" i="15"/>
  <c r="I79" i="15"/>
  <c r="G288" i="18"/>
  <c r="J35" i="18"/>
  <c r="J195" i="18" s="1"/>
  <c r="J35" i="15"/>
  <c r="K134" i="15"/>
  <c r="T181" i="17"/>
  <c r="T21" i="18" s="1"/>
  <c r="T181" i="18" s="1"/>
  <c r="T21" i="17"/>
  <c r="O218" i="17"/>
  <c r="O58" i="18" s="1"/>
  <c r="O218" i="18" s="1"/>
  <c r="O58" i="17"/>
  <c r="Y188" i="17"/>
  <c r="Y28" i="18" s="1"/>
  <c r="Y188" i="18" s="1"/>
  <c r="Y28" i="17"/>
  <c r="N304" i="17"/>
  <c r="N144" i="18" s="1"/>
  <c r="N313" i="18" s="1"/>
  <c r="N144" i="17"/>
  <c r="K111" i="15"/>
  <c r="J67" i="15"/>
  <c r="K58" i="15"/>
  <c r="L73" i="18"/>
  <c r="L234" i="18" s="1"/>
  <c r="L73" i="15"/>
  <c r="M111" i="15"/>
  <c r="L123" i="18"/>
  <c r="L290" i="18" s="1"/>
  <c r="L123" i="15"/>
  <c r="L41" i="18"/>
  <c r="L201" i="18" s="1"/>
  <c r="L41" i="15"/>
  <c r="J119" i="15"/>
  <c r="G20" i="18"/>
  <c r="G20" i="15"/>
  <c r="J275" i="17"/>
  <c r="J115" i="18" s="1"/>
  <c r="J282" i="18" s="1"/>
  <c r="J115" i="17"/>
  <c r="K299" i="17"/>
  <c r="K139" i="18" s="1"/>
  <c r="K307" i="18" s="1"/>
  <c r="K139" i="17"/>
  <c r="M49" i="18"/>
  <c r="M209" i="18" s="1"/>
  <c r="M49" i="15"/>
  <c r="L87" i="18"/>
  <c r="L251" i="18" s="1"/>
  <c r="L87" i="15"/>
  <c r="K47" i="18"/>
  <c r="K207" i="18" s="1"/>
  <c r="K47" i="15"/>
  <c r="I126" i="18"/>
  <c r="I293" i="18" s="1"/>
  <c r="I126" i="15"/>
  <c r="I49" i="18"/>
  <c r="I209" i="18" s="1"/>
  <c r="I49" i="15"/>
  <c r="I98" i="18"/>
  <c r="I262" i="18" s="1"/>
  <c r="I98" i="15"/>
  <c r="G92" i="18"/>
  <c r="G92" i="15"/>
  <c r="K286" i="17"/>
  <c r="K126" i="18" s="1"/>
  <c r="K293" i="18" s="1"/>
  <c r="K126" i="17"/>
  <c r="K87" i="15"/>
  <c r="H31" i="18"/>
  <c r="H191" i="18" s="1"/>
  <c r="H31" i="15"/>
  <c r="L74" i="18"/>
  <c r="L235" i="18" s="1"/>
  <c r="L74" i="15"/>
  <c r="L145" i="15"/>
  <c r="T21" i="15"/>
  <c r="O37" i="15"/>
  <c r="Z21" i="15"/>
  <c r="J232" i="17"/>
  <c r="J72" i="18" s="1"/>
  <c r="J72" i="17"/>
  <c r="K12" i="18"/>
  <c r="K172" i="18" s="1"/>
  <c r="K12" i="15"/>
  <c r="I241" i="17"/>
  <c r="I81" i="18" s="1"/>
  <c r="I81" i="17"/>
  <c r="P21" i="18"/>
  <c r="P181" i="18" s="1"/>
  <c r="P21" i="15"/>
  <c r="G129" i="18"/>
  <c r="G129" i="15"/>
  <c r="L146" i="18"/>
  <c r="L315" i="18" s="1"/>
  <c r="L146" i="15"/>
  <c r="Z206" i="17"/>
  <c r="Z46" i="18" s="1"/>
  <c r="Z206" i="18" s="1"/>
  <c r="Z46" i="17"/>
  <c r="G82" i="18"/>
  <c r="G82" i="15"/>
  <c r="L290" i="17"/>
  <c r="L130" i="18" s="1"/>
  <c r="L297" i="18" s="1"/>
  <c r="L130" i="17"/>
  <c r="Z144" i="15"/>
  <c r="W58" i="15"/>
  <c r="S126" i="15"/>
  <c r="X21" i="15"/>
  <c r="T17" i="18"/>
  <c r="T177" i="18" s="1"/>
  <c r="T17" i="15"/>
  <c r="G36" i="18"/>
  <c r="G36" i="15"/>
  <c r="L37" i="18"/>
  <c r="L197" i="18" s="1"/>
  <c r="L37" i="15"/>
  <c r="M126" i="15"/>
  <c r="R72" i="15"/>
  <c r="I89" i="18"/>
  <c r="I253" i="18" s="1"/>
  <c r="I89" i="15"/>
  <c r="K147" i="18"/>
  <c r="K316" i="18" s="1"/>
  <c r="K147" i="15"/>
  <c r="H37" i="15"/>
  <c r="L97" i="18"/>
  <c r="L261" i="18" s="1"/>
  <c r="L97" i="15"/>
  <c r="K68" i="18"/>
  <c r="K229" i="18" s="1"/>
  <c r="K68" i="15"/>
  <c r="X104" i="18"/>
  <c r="X270" i="18" s="1"/>
  <c r="X104" i="15"/>
  <c r="M47" i="18"/>
  <c r="M207" i="18" s="1"/>
  <c r="M47" i="15"/>
  <c r="J57" i="18"/>
  <c r="J217" i="18" s="1"/>
  <c r="J57" i="15"/>
  <c r="S188" i="17"/>
  <c r="S28" i="18" s="1"/>
  <c r="S188" i="18" s="1"/>
  <c r="S28" i="17"/>
  <c r="L206" i="17"/>
  <c r="L46" i="18" s="1"/>
  <c r="L206" i="18" s="1"/>
  <c r="L46" i="17"/>
  <c r="H126" i="18"/>
  <c r="H293" i="18" s="1"/>
  <c r="H126" i="15"/>
  <c r="V25" i="18"/>
  <c r="V185" i="18" s="1"/>
  <c r="V25" i="15"/>
  <c r="X304" i="17"/>
  <c r="X144" i="18" s="1"/>
  <c r="X313" i="18" s="1"/>
  <c r="X144" i="17"/>
  <c r="X238" i="17"/>
  <c r="X78" i="18" s="1"/>
  <c r="X240" i="18" s="1"/>
  <c r="X78" i="17"/>
  <c r="G258" i="18"/>
  <c r="L117" i="18"/>
  <c r="L284" i="18" s="1"/>
  <c r="L117" i="15"/>
  <c r="P232" i="17"/>
  <c r="P72" i="18" s="1"/>
  <c r="P233" i="18" s="1"/>
  <c r="P72" i="17"/>
  <c r="H26" i="18"/>
  <c r="H186" i="18" s="1"/>
  <c r="H26" i="15"/>
  <c r="I220" i="17"/>
  <c r="I60" i="18" s="1"/>
  <c r="I220" i="18" s="1"/>
  <c r="I60" i="17"/>
  <c r="T218" i="17"/>
  <c r="T58" i="18" s="1"/>
  <c r="T218" i="18" s="1"/>
  <c r="T58" i="17"/>
  <c r="M107" i="18"/>
  <c r="M273" i="18" s="1"/>
  <c r="M107" i="15"/>
  <c r="J303" i="17"/>
  <c r="J143" i="18" s="1"/>
  <c r="J312" i="18" s="1"/>
  <c r="J143" i="17"/>
  <c r="T25" i="18"/>
  <c r="T185" i="18" s="1"/>
  <c r="T25" i="15"/>
  <c r="K99" i="18"/>
  <c r="K263" i="18" s="1"/>
  <c r="K99" i="15"/>
  <c r="G293" i="18"/>
  <c r="J20" i="18"/>
  <c r="J180" i="18" s="1"/>
  <c r="J20" i="15"/>
  <c r="V177" i="17"/>
  <c r="V17" i="18" s="1"/>
  <c r="V177" i="18" s="1"/>
  <c r="V17" i="17"/>
  <c r="I155" i="18"/>
  <c r="I326" i="18" s="1"/>
  <c r="I155" i="15"/>
  <c r="J305" i="17"/>
  <c r="J145" i="18" s="1"/>
  <c r="J314" i="18" s="1"/>
  <c r="J145" i="17"/>
  <c r="L264" i="17"/>
  <c r="L104" i="18" s="1"/>
  <c r="L270" i="18" s="1"/>
  <c r="L104" i="17"/>
  <c r="H185" i="17"/>
  <c r="H25" i="18" s="1"/>
  <c r="H25" i="17"/>
  <c r="K93" i="15"/>
  <c r="N51" i="18"/>
  <c r="N211" i="18" s="1"/>
  <c r="N51" i="15"/>
  <c r="W235" i="17"/>
  <c r="W75" i="18" s="1"/>
  <c r="W236" i="18" s="1"/>
  <c r="W75" i="17"/>
  <c r="J278" i="17"/>
  <c r="J118" i="18" s="1"/>
  <c r="J285" i="18" s="1"/>
  <c r="J118" i="17"/>
  <c r="K294" i="17"/>
  <c r="K134" i="18" s="1"/>
  <c r="K301" i="18" s="1"/>
  <c r="K134" i="17"/>
  <c r="J258" i="17"/>
  <c r="J98" i="18" s="1"/>
  <c r="J262" i="18" s="1"/>
  <c r="J98" i="17"/>
  <c r="I60" i="15"/>
  <c r="I207" i="17"/>
  <c r="I47" i="18" s="1"/>
  <c r="I47" i="17"/>
  <c r="L217" i="17"/>
  <c r="L57" i="18" s="1"/>
  <c r="L217" i="18" s="1"/>
  <c r="L57" i="17"/>
  <c r="K107" i="18"/>
  <c r="K273" i="18" s="1"/>
  <c r="K107" i="15"/>
  <c r="K75" i="15"/>
  <c r="J143" i="15"/>
  <c r="G113" i="18"/>
  <c r="G113" i="15"/>
  <c r="M68" i="15"/>
  <c r="I92" i="18"/>
  <c r="I256" i="18" s="1"/>
  <c r="I92" i="15"/>
  <c r="L82" i="15"/>
  <c r="K17" i="15"/>
  <c r="U126" i="15"/>
  <c r="P78" i="15"/>
  <c r="M59" i="15"/>
  <c r="Q24" i="15"/>
  <c r="I182" i="17"/>
  <c r="I22" i="18" s="1"/>
  <c r="I182" i="18" s="1"/>
  <c r="I22" i="17"/>
  <c r="R181" i="17"/>
  <c r="R21" i="18" s="1"/>
  <c r="R181" i="18" s="1"/>
  <c r="R21" i="17"/>
  <c r="R238" i="17"/>
  <c r="R78" i="18" s="1"/>
  <c r="R240" i="18" s="1"/>
  <c r="R78" i="17"/>
  <c r="J181" i="17"/>
  <c r="J21" i="18" s="1"/>
  <c r="J21" i="17"/>
  <c r="S197" i="17"/>
  <c r="S37" i="18" s="1"/>
  <c r="S197" i="18" s="1"/>
  <c r="S37" i="17"/>
  <c r="J118" i="15"/>
  <c r="K247" i="17"/>
  <c r="K87" i="18" s="1"/>
  <c r="K87" i="17"/>
  <c r="L212" i="17"/>
  <c r="L52" i="18" s="1"/>
  <c r="L212" i="18" s="1"/>
  <c r="L52" i="17"/>
  <c r="L305" i="17"/>
  <c r="L145" i="18" s="1"/>
  <c r="L314" i="18" s="1"/>
  <c r="L145" i="17"/>
  <c r="V144" i="18"/>
  <c r="V313" i="18" s="1"/>
  <c r="V144" i="15"/>
  <c r="J231" i="17"/>
  <c r="J71" i="18" s="1"/>
  <c r="J232" i="18" s="1"/>
  <c r="J71" i="17"/>
  <c r="G303" i="18"/>
  <c r="J144" i="15"/>
  <c r="J34" i="15"/>
  <c r="S132" i="15"/>
  <c r="N37" i="18"/>
  <c r="N197" i="18" s="1"/>
  <c r="N37" i="15"/>
  <c r="L265" i="17"/>
  <c r="L105" i="18" s="1"/>
  <c r="L271" i="18" s="1"/>
  <c r="L105" i="17"/>
  <c r="I188" i="17"/>
  <c r="I28" i="18" s="1"/>
  <c r="I188" i="18" s="1"/>
  <c r="I28" i="17"/>
  <c r="Z304" i="17"/>
  <c r="Z144" i="18" s="1"/>
  <c r="Z313" i="18" s="1"/>
  <c r="Z144" i="17"/>
  <c r="H47" i="18"/>
  <c r="H207" i="18" s="1"/>
  <c r="H47" i="15"/>
  <c r="K287" i="17"/>
  <c r="K127" i="17"/>
  <c r="R185" i="17"/>
  <c r="R25" i="18" s="1"/>
  <c r="R185" i="18" s="1"/>
  <c r="R25" i="17"/>
  <c r="R58" i="18"/>
  <c r="R218" i="18" s="1"/>
  <c r="R58" i="15"/>
  <c r="H169" i="17"/>
  <c r="H9" i="18" s="1"/>
  <c r="H9" i="17"/>
  <c r="K24" i="15"/>
  <c r="I146" i="18"/>
  <c r="I315" i="18" s="1"/>
  <c r="I146" i="15"/>
  <c r="R216" i="17"/>
  <c r="R56" i="18" s="1"/>
  <c r="R216" i="18" s="1"/>
  <c r="R56" i="17"/>
  <c r="L136" i="18"/>
  <c r="L303" i="18" s="1"/>
  <c r="L136" i="15"/>
  <c r="I93" i="18"/>
  <c r="I257" i="18" s="1"/>
  <c r="I93" i="15"/>
  <c r="J263" i="17"/>
  <c r="J103" i="18" s="1"/>
  <c r="J103" i="17"/>
  <c r="I280" i="17"/>
  <c r="I120" i="17"/>
  <c r="R232" i="17"/>
  <c r="R72" i="18" s="1"/>
  <c r="R233" i="18" s="1"/>
  <c r="R72" i="17"/>
  <c r="U132" i="18"/>
  <c r="U299" i="18" s="1"/>
  <c r="U132" i="15"/>
  <c r="H58" i="18"/>
  <c r="H218" i="18" s="1"/>
  <c r="H58" i="15"/>
  <c r="G185" i="18"/>
  <c r="P46" i="15"/>
  <c r="I116" i="15"/>
  <c r="H22" i="18"/>
  <c r="H182" i="18" s="1"/>
  <c r="H22" i="15"/>
  <c r="X25" i="15"/>
  <c r="I147" i="15"/>
  <c r="V126" i="18"/>
  <c r="V293" i="18" s="1"/>
  <c r="V126" i="15"/>
  <c r="K97" i="18"/>
  <c r="K261" i="18" s="1"/>
  <c r="K97" i="15"/>
  <c r="K59" i="15"/>
  <c r="K49" i="18"/>
  <c r="K209" i="18" s="1"/>
  <c r="K49" i="15"/>
  <c r="J124" i="18"/>
  <c r="J291" i="18" s="1"/>
  <c r="J124" i="15"/>
  <c r="G57" i="15"/>
  <c r="K106" i="18"/>
  <c r="K272" i="18" s="1"/>
  <c r="K106" i="15"/>
  <c r="L79" i="15"/>
  <c r="I41" i="15"/>
  <c r="I139" i="18"/>
  <c r="I307" i="18" s="1"/>
  <c r="I139" i="15"/>
  <c r="S75" i="18"/>
  <c r="S236" i="18" s="1"/>
  <c r="S75" i="15"/>
  <c r="G251" i="18"/>
  <c r="H232" i="18"/>
  <c r="L63" i="18"/>
  <c r="L223" i="18" s="1"/>
  <c r="L63" i="15"/>
  <c r="J52" i="18"/>
  <c r="J212" i="18" s="1"/>
  <c r="J52" i="15"/>
  <c r="V17" i="15"/>
  <c r="L126" i="15"/>
  <c r="V21" i="18"/>
  <c r="V181" i="18" s="1"/>
  <c r="V21" i="15"/>
  <c r="M191" i="17"/>
  <c r="M31" i="18" s="1"/>
  <c r="M191" i="18" s="1"/>
  <c r="M31" i="17"/>
  <c r="K200" i="17"/>
  <c r="K40" i="18" s="1"/>
  <c r="K200" i="18" s="1"/>
  <c r="K40" i="17"/>
  <c r="K180" i="17"/>
  <c r="K20" i="18" s="1"/>
  <c r="K180" i="18" s="1"/>
  <c r="K20" i="17"/>
  <c r="K253" i="17"/>
  <c r="K93" i="18" s="1"/>
  <c r="K257" i="18" s="1"/>
  <c r="K93" i="17"/>
  <c r="J25" i="18"/>
  <c r="J185" i="18" s="1"/>
  <c r="J25" i="15"/>
  <c r="Q286" i="17"/>
  <c r="Q126" i="18" s="1"/>
  <c r="Q293" i="18" s="1"/>
  <c r="Q126" i="17"/>
  <c r="I259" i="17"/>
  <c r="I99" i="17"/>
  <c r="Y218" i="17"/>
  <c r="Y58" i="18" s="1"/>
  <c r="Y218" i="18" s="1"/>
  <c r="Y58" i="17"/>
  <c r="L263" i="17"/>
  <c r="L103" i="17"/>
  <c r="J30" i="18"/>
  <c r="J190" i="18" s="1"/>
  <c r="J30" i="15"/>
  <c r="L150" i="18"/>
  <c r="L319" i="18" s="1"/>
  <c r="L150" i="15"/>
  <c r="W37" i="18"/>
  <c r="W197" i="18" s="1"/>
  <c r="W37" i="15"/>
  <c r="K252" i="17"/>
  <c r="K92" i="18" s="1"/>
  <c r="K256" i="18" s="1"/>
  <c r="K92" i="17"/>
  <c r="R17" i="18"/>
  <c r="R177" i="18" s="1"/>
  <c r="R17" i="15"/>
  <c r="L42" i="18"/>
  <c r="L202" i="18" s="1"/>
  <c r="L42" i="15"/>
  <c r="L239" i="17"/>
  <c r="L79" i="18" s="1"/>
  <c r="L241" i="18" s="1"/>
  <c r="L79" i="17"/>
  <c r="V46" i="18"/>
  <c r="V206" i="18" s="1"/>
  <c r="V46" i="15"/>
  <c r="L200" i="17"/>
  <c r="L40" i="18" s="1"/>
  <c r="L200" i="18" s="1"/>
  <c r="L40" i="17"/>
  <c r="W17" i="18"/>
  <c r="W177" i="18" s="1"/>
  <c r="W17" i="15"/>
  <c r="R46" i="18"/>
  <c r="R206" i="18" s="1"/>
  <c r="R46" i="15"/>
  <c r="K146" i="18"/>
  <c r="K315" i="18" s="1"/>
  <c r="K146" i="15"/>
  <c r="L203" i="17"/>
  <c r="L43" i="18" s="1"/>
  <c r="L203" i="18" s="1"/>
  <c r="L43" i="17"/>
  <c r="J310" i="17"/>
  <c r="J150" i="18" s="1"/>
  <c r="J319" i="18" s="1"/>
  <c r="J150" i="17"/>
  <c r="G17" i="18"/>
  <c r="G17" i="15"/>
  <c r="J315" i="17"/>
  <c r="J155" i="18" s="1"/>
  <c r="J326" i="18" s="1"/>
  <c r="J155" i="17"/>
  <c r="J44" i="18"/>
  <c r="J204" i="18" s="1"/>
  <c r="J44" i="15"/>
  <c r="L317" i="17"/>
  <c r="L157" i="17"/>
  <c r="L286" i="17"/>
  <c r="L126" i="18" s="1"/>
  <c r="L293" i="18" s="1"/>
  <c r="L126" i="17"/>
  <c r="I59" i="15"/>
  <c r="Q218" i="17"/>
  <c r="Q58" i="18" s="1"/>
  <c r="Q218" i="18" s="1"/>
  <c r="Q58" i="17"/>
  <c r="K25" i="18"/>
  <c r="K185" i="18" s="1"/>
  <c r="K25" i="15"/>
  <c r="Z238" i="17"/>
  <c r="Z78" i="18" s="1"/>
  <c r="Z240" i="18" s="1"/>
  <c r="Z78" i="17"/>
  <c r="I186" i="17"/>
  <c r="I26" i="18" s="1"/>
  <c r="I186" i="18" s="1"/>
  <c r="I26" i="17"/>
  <c r="H180" i="17"/>
  <c r="H20" i="18" s="1"/>
  <c r="H180" i="18" s="1"/>
  <c r="H20" i="17"/>
  <c r="P304" i="17"/>
  <c r="P144" i="18" s="1"/>
  <c r="P313" i="18" s="1"/>
  <c r="P144" i="17"/>
  <c r="X78" i="15"/>
  <c r="N238" i="17"/>
  <c r="N78" i="18" s="1"/>
  <c r="N78" i="17"/>
  <c r="M44" i="15"/>
  <c r="K60" i="15"/>
  <c r="T206" i="17"/>
  <c r="T46" i="18" s="1"/>
  <c r="T206" i="18" s="1"/>
  <c r="T46" i="17"/>
  <c r="L35" i="15"/>
  <c r="L43" i="15"/>
  <c r="J150" i="15"/>
  <c r="P17" i="18"/>
  <c r="P177" i="18" s="1"/>
  <c r="P17" i="15"/>
  <c r="J79" i="18"/>
  <c r="J241" i="18" s="1"/>
  <c r="J79" i="15"/>
  <c r="Y37" i="15"/>
  <c r="M259" i="17"/>
  <c r="M99" i="18" s="1"/>
  <c r="M263" i="18" s="1"/>
  <c r="M99" i="17"/>
  <c r="J146" i="18"/>
  <c r="J315" i="18" s="1"/>
  <c r="J146" i="15"/>
  <c r="J51" i="15"/>
  <c r="I31" i="15"/>
  <c r="J279" i="17"/>
  <c r="J119" i="18" s="1"/>
  <c r="J119" i="17"/>
  <c r="J105" i="15"/>
  <c r="K155" i="15"/>
  <c r="U58" i="15"/>
  <c r="P58" i="18"/>
  <c r="P218" i="18" s="1"/>
  <c r="P58" i="15"/>
  <c r="W286" i="17"/>
  <c r="W126" i="18" s="1"/>
  <c r="W293" i="18" s="1"/>
  <c r="W126" i="17"/>
  <c r="J145" i="15"/>
  <c r="L104" i="15"/>
  <c r="I53" i="18"/>
  <c r="I213" i="18" s="1"/>
  <c r="I53" i="15"/>
  <c r="K28" i="18"/>
  <c r="K188" i="18" s="1"/>
  <c r="K28" i="15"/>
  <c r="V216" i="17"/>
  <c r="V56" i="18" s="1"/>
  <c r="V216" i="18" s="1"/>
  <c r="V56" i="17"/>
  <c r="N126" i="18"/>
  <c r="N293" i="18" s="1"/>
  <c r="N126" i="15"/>
  <c r="K184" i="17"/>
  <c r="K24" i="18" s="1"/>
  <c r="K24" i="17"/>
  <c r="M132" i="15"/>
  <c r="J98" i="15"/>
  <c r="T46" i="15"/>
  <c r="P126" i="18"/>
  <c r="P293" i="18" s="1"/>
  <c r="P126" i="15"/>
  <c r="I47" i="15"/>
  <c r="L57" i="15"/>
  <c r="J136" i="18"/>
  <c r="J303" i="18" s="1"/>
  <c r="J136" i="15"/>
  <c r="M99" i="15"/>
  <c r="T126" i="18"/>
  <c r="T293" i="18" s="1"/>
  <c r="T126" i="15"/>
  <c r="J74" i="18"/>
  <c r="J235" i="18" s="1"/>
  <c r="J74" i="15"/>
  <c r="I22" i="15"/>
  <c r="I156" i="15"/>
  <c r="I44" i="15"/>
  <c r="M24" i="15"/>
  <c r="L189" i="17"/>
  <c r="L29" i="18" s="1"/>
  <c r="L189" i="18" s="1"/>
  <c r="L29" i="17"/>
  <c r="J243" i="17"/>
  <c r="J83" i="18" s="1"/>
  <c r="J83" i="17"/>
  <c r="M26" i="18"/>
  <c r="M186" i="18" s="1"/>
  <c r="M26" i="15"/>
  <c r="I82" i="18"/>
  <c r="I244" i="18" s="1"/>
  <c r="I82" i="15"/>
  <c r="J86" i="15"/>
  <c r="Y177" i="17"/>
  <c r="Y17" i="18" s="1"/>
  <c r="Y177" i="18" s="1"/>
  <c r="Y17" i="17"/>
  <c r="V56" i="15"/>
  <c r="S218" i="17"/>
  <c r="S58" i="18" s="1"/>
  <c r="S218" i="18" s="1"/>
  <c r="S58" i="17"/>
  <c r="M286" i="17"/>
  <c r="M126" i="18" s="1"/>
  <c r="M293" i="18" s="1"/>
  <c r="M126" i="17"/>
  <c r="I74" i="18"/>
  <c r="I235" i="18" s="1"/>
  <c r="I74" i="15"/>
  <c r="L44" i="18"/>
  <c r="L204" i="18" s="1"/>
  <c r="L44" i="15"/>
  <c r="J71" i="15"/>
  <c r="M58" i="18"/>
  <c r="M218" i="18" s="1"/>
  <c r="M58" i="15"/>
  <c r="I307" i="17"/>
  <c r="I147" i="18" s="1"/>
  <c r="I316" i="18" s="1"/>
  <c r="I147" i="17"/>
  <c r="H106" i="18"/>
  <c r="H272" i="18" s="1"/>
  <c r="H106" i="15"/>
  <c r="L119" i="18"/>
  <c r="L286" i="18" s="1"/>
  <c r="L119" i="15"/>
  <c r="Q197" i="17"/>
  <c r="Q37" i="18" s="1"/>
  <c r="Q37" i="17"/>
  <c r="I287" i="17"/>
  <c r="I127" i="18" s="1"/>
  <c r="I294" i="18" s="1"/>
  <c r="I127" i="17"/>
  <c r="K219" i="17"/>
  <c r="K59" i="18" s="1"/>
  <c r="K219" i="18" s="1"/>
  <c r="K59" i="17"/>
  <c r="N185" i="17"/>
  <c r="N25" i="18" s="1"/>
  <c r="N185" i="18" s="1"/>
  <c r="N25" i="17"/>
  <c r="G176" i="18"/>
  <c r="G198" i="18"/>
  <c r="K139" i="15"/>
  <c r="L71" i="15"/>
  <c r="L17" i="18"/>
  <c r="L177" i="18" s="1"/>
  <c r="L17" i="15"/>
  <c r="G123" i="18"/>
  <c r="L130" i="15"/>
  <c r="T51" i="18"/>
  <c r="T211" i="18" s="1"/>
  <c r="T51" i="15"/>
  <c r="I127" i="15"/>
  <c r="O28" i="18"/>
  <c r="O188" i="18" s="1"/>
  <c r="O28" i="15"/>
  <c r="K92" i="15"/>
  <c r="O17" i="18"/>
  <c r="O177" i="18" s="1"/>
  <c r="O17" i="15"/>
  <c r="K37" i="18"/>
  <c r="K197" i="18" s="1"/>
  <c r="K37" i="15"/>
  <c r="N25" i="15"/>
  <c r="G202" i="18"/>
  <c r="U110" i="15"/>
  <c r="U270" i="17"/>
  <c r="U110" i="18" s="1"/>
  <c r="U276" i="18" s="1"/>
  <c r="U110" i="17"/>
  <c r="R313" i="17"/>
  <c r="R153" i="18" s="1"/>
  <c r="R323" i="18" s="1"/>
  <c r="R153" i="17"/>
  <c r="R153" i="15"/>
  <c r="H100" i="15"/>
  <c r="S151" i="18"/>
  <c r="S320" i="18" s="1"/>
  <c r="S151" i="15"/>
  <c r="Q84" i="18"/>
  <c r="Q246" i="18" s="1"/>
  <c r="Q84" i="15"/>
  <c r="N85" i="18"/>
  <c r="N248" i="18" s="1"/>
  <c r="N85" i="15"/>
  <c r="K226" i="17"/>
  <c r="K66" i="17"/>
  <c r="G77" i="18"/>
  <c r="G77" i="15"/>
  <c r="V85" i="18"/>
  <c r="V248" i="18" s="1"/>
  <c r="V85" i="15"/>
  <c r="X85" i="18"/>
  <c r="X248" i="18" s="1"/>
  <c r="X85" i="15"/>
  <c r="I153" i="15"/>
  <c r="J153" i="18"/>
  <c r="J323" i="18" s="1"/>
  <c r="J153" i="15"/>
  <c r="G102" i="15"/>
  <c r="W84" i="18"/>
  <c r="W246" i="18" s="1"/>
  <c r="W84" i="15"/>
  <c r="K84" i="18"/>
  <c r="K246" i="18" s="1"/>
  <c r="K84" i="15"/>
  <c r="N140" i="18"/>
  <c r="N308" i="18" s="1"/>
  <c r="N140" i="15"/>
  <c r="U226" i="17"/>
  <c r="U66" i="17"/>
  <c r="S137" i="18"/>
  <c r="S304" i="18" s="1"/>
  <c r="S137" i="15"/>
  <c r="N100" i="18"/>
  <c r="N264" i="18" s="1"/>
  <c r="N100" i="15"/>
  <c r="P140" i="18"/>
  <c r="P308" i="18" s="1"/>
  <c r="P140" i="15"/>
  <c r="S77" i="18"/>
  <c r="S238" i="18" s="1"/>
  <c r="S77" i="15"/>
  <c r="M153" i="15"/>
  <c r="O153" i="15"/>
  <c r="L151" i="18"/>
  <c r="L320" i="18" s="1"/>
  <c r="L151" i="15"/>
  <c r="L226" i="17"/>
  <c r="L66" i="17"/>
  <c r="P110" i="18"/>
  <c r="P276" i="18" s="1"/>
  <c r="P110" i="15"/>
  <c r="H85" i="18"/>
  <c r="H248" i="18" s="1"/>
  <c r="H85" i="15"/>
  <c r="R226" i="17"/>
  <c r="R66" i="17"/>
  <c r="Q102" i="18"/>
  <c r="Q267" i="18" s="1"/>
  <c r="Q102" i="15"/>
  <c r="G84" i="18"/>
  <c r="G84" i="15"/>
  <c r="M151" i="18"/>
  <c r="M320" i="18" s="1"/>
  <c r="M151" i="15"/>
  <c r="G226" i="17"/>
  <c r="G66" i="17"/>
  <c r="M85" i="18"/>
  <c r="M248" i="18" s="1"/>
  <c r="M85" i="15"/>
  <c r="R110" i="18"/>
  <c r="R276" i="18" s="1"/>
  <c r="R110" i="15"/>
  <c r="T300" i="17"/>
  <c r="T140" i="18" s="1"/>
  <c r="T308" i="18" s="1"/>
  <c r="T140" i="17"/>
  <c r="R244" i="17"/>
  <c r="R84" i="18" s="1"/>
  <c r="R246" i="18" s="1"/>
  <c r="R84" i="17"/>
  <c r="W85" i="18"/>
  <c r="W248" i="18" s="1"/>
  <c r="W85" i="15"/>
  <c r="Q85" i="18"/>
  <c r="Q248" i="18" s="1"/>
  <c r="Q85" i="15"/>
  <c r="S102" i="15"/>
  <c r="G262" i="17"/>
  <c r="G102" i="18" s="1"/>
  <c r="G102" i="17"/>
  <c r="V77" i="18"/>
  <c r="V238" i="18" s="1"/>
  <c r="V77" i="15"/>
  <c r="I311" i="17"/>
  <c r="I151" i="18" s="1"/>
  <c r="I320" i="18" s="1"/>
  <c r="I151" i="17"/>
  <c r="O313" i="17"/>
  <c r="O153" i="18" s="1"/>
  <c r="O323" i="18" s="1"/>
  <c r="O153" i="17"/>
  <c r="P226" i="17"/>
  <c r="P66" i="18" s="1"/>
  <c r="P226" i="18" s="1"/>
  <c r="P66" i="17"/>
  <c r="N226" i="13"/>
  <c r="N66" i="14" s="1"/>
  <c r="N66" i="13"/>
  <c r="K151" i="18"/>
  <c r="K320" i="18" s="1"/>
  <c r="K151" i="15"/>
  <c r="P244" i="17"/>
  <c r="P84" i="18" s="1"/>
  <c r="P246" i="18" s="1"/>
  <c r="P84" i="17"/>
  <c r="J237" i="17"/>
  <c r="J77" i="18" s="1"/>
  <c r="J238" i="18" s="1"/>
  <c r="J77" i="17"/>
  <c r="G137" i="15"/>
  <c r="I100" i="18"/>
  <c r="I264" i="18" s="1"/>
  <c r="I100" i="15"/>
  <c r="R151" i="18"/>
  <c r="R320" i="18" s="1"/>
  <c r="R151" i="15"/>
  <c r="I151" i="15"/>
  <c r="N66" i="16"/>
  <c r="W100" i="18"/>
  <c r="W264" i="18" s="1"/>
  <c r="W100" i="15"/>
  <c r="R140" i="18"/>
  <c r="R308" i="18" s="1"/>
  <c r="R140" i="15"/>
  <c r="M226" i="13"/>
  <c r="M66" i="14" s="1"/>
  <c r="M66" i="13"/>
  <c r="H102" i="18"/>
  <c r="H267" i="18" s="1"/>
  <c r="H102" i="15"/>
  <c r="V244" i="17"/>
  <c r="V84" i="18" s="1"/>
  <c r="V246" i="18" s="1"/>
  <c r="V84" i="17"/>
  <c r="J137" i="18"/>
  <c r="J304" i="18" s="1"/>
  <c r="J137" i="15"/>
  <c r="J110" i="18"/>
  <c r="J276" i="18" s="1"/>
  <c r="J110" i="15"/>
  <c r="P237" i="17"/>
  <c r="P77" i="18" s="1"/>
  <c r="P238" i="18" s="1"/>
  <c r="P77" i="17"/>
  <c r="M313" i="17"/>
  <c r="M153" i="18" s="1"/>
  <c r="M323" i="18" s="1"/>
  <c r="M153" i="17"/>
  <c r="V84" i="15"/>
  <c r="I110" i="18"/>
  <c r="I276" i="18" s="1"/>
  <c r="I110" i="15"/>
  <c r="T244" i="13"/>
  <c r="T84" i="14" s="1"/>
  <c r="T84" i="13"/>
  <c r="R84" i="15"/>
  <c r="L237" i="13"/>
  <c r="L77" i="14" s="1"/>
  <c r="L77" i="13"/>
  <c r="S226" i="13"/>
  <c r="S66" i="14" s="1"/>
  <c r="S66" i="13"/>
  <c r="O102" i="18"/>
  <c r="O267" i="18" s="1"/>
  <c r="O102" i="15"/>
  <c r="M102" i="18"/>
  <c r="M267" i="18" s="1"/>
  <c r="M102" i="15"/>
  <c r="Q77" i="18"/>
  <c r="Q238" i="18" s="1"/>
  <c r="Q77" i="15"/>
  <c r="H153" i="18"/>
  <c r="H323" i="18" s="1"/>
  <c r="H153" i="15"/>
  <c r="L100" i="18"/>
  <c r="L264" i="18" s="1"/>
  <c r="L100" i="15"/>
  <c r="P151" i="18"/>
  <c r="P320" i="18" s="1"/>
  <c r="P151" i="15"/>
  <c r="N151" i="18"/>
  <c r="N320" i="18" s="1"/>
  <c r="N151" i="15"/>
  <c r="Q151" i="18"/>
  <c r="Q320" i="18" s="1"/>
  <c r="Q151" i="15"/>
  <c r="V226" i="13"/>
  <c r="V66" i="14" s="1"/>
  <c r="V66" i="13"/>
  <c r="K137" i="18"/>
  <c r="K304" i="18" s="1"/>
  <c r="K137" i="15"/>
  <c r="H260" i="17"/>
  <c r="H100" i="18" s="1"/>
  <c r="H100" i="17"/>
  <c r="S84" i="18"/>
  <c r="S246" i="18" s="1"/>
  <c r="S84" i="15"/>
  <c r="L153" i="18"/>
  <c r="L323" i="18" s="1"/>
  <c r="L153" i="15"/>
  <c r="T77" i="18"/>
  <c r="T238" i="18" s="1"/>
  <c r="T77" i="15"/>
  <c r="I262" i="17"/>
  <c r="I102" i="18" s="1"/>
  <c r="I267" i="18" s="1"/>
  <c r="I102" i="17"/>
  <c r="S85" i="18"/>
  <c r="S248" i="18" s="1"/>
  <c r="S85" i="15"/>
  <c r="H226" i="13"/>
  <c r="H66" i="14" s="1"/>
  <c r="H66" i="13"/>
  <c r="R137" i="18"/>
  <c r="R304" i="18" s="1"/>
  <c r="R137" i="15"/>
  <c r="V110" i="18"/>
  <c r="V276" i="18" s="1"/>
  <c r="V110" i="15"/>
  <c r="T244" i="17"/>
  <c r="T84" i="17"/>
  <c r="U100" i="15"/>
  <c r="P84" i="15"/>
  <c r="G85" i="18"/>
  <c r="I102" i="15"/>
  <c r="L237" i="17"/>
  <c r="L77" i="17"/>
  <c r="U260" i="17"/>
  <c r="U100" i="18" s="1"/>
  <c r="U264" i="18" s="1"/>
  <c r="U100" i="17"/>
  <c r="S100" i="18"/>
  <c r="S264" i="18" s="1"/>
  <c r="S100" i="15"/>
  <c r="T151" i="18"/>
  <c r="T320" i="18" s="1"/>
  <c r="T151" i="15"/>
  <c r="Q100" i="18"/>
  <c r="Q264" i="18" s="1"/>
  <c r="Q100" i="15"/>
  <c r="V140" i="18"/>
  <c r="V308" i="18" s="1"/>
  <c r="V140" i="15"/>
  <c r="I84" i="18"/>
  <c r="I246" i="18" s="1"/>
  <c r="I84" i="15"/>
  <c r="V226" i="17"/>
  <c r="V66" i="17"/>
  <c r="H77" i="18"/>
  <c r="H238" i="18" s="1"/>
  <c r="H77" i="15"/>
  <c r="K85" i="18"/>
  <c r="K248" i="18" s="1"/>
  <c r="K85" i="15"/>
  <c r="N137" i="15"/>
  <c r="O137" i="18"/>
  <c r="O304" i="18" s="1"/>
  <c r="O137" i="15"/>
  <c r="H226" i="17"/>
  <c r="H66" i="17"/>
  <c r="Q137" i="18"/>
  <c r="Q304" i="18" s="1"/>
  <c r="Q137" i="15"/>
  <c r="R237" i="13"/>
  <c r="R77" i="14" s="1"/>
  <c r="R77" i="13"/>
  <c r="J77" i="15"/>
  <c r="T140" i="15"/>
  <c r="K77" i="18"/>
  <c r="K238" i="18" s="1"/>
  <c r="K77" i="15"/>
  <c r="P66" i="15"/>
  <c r="O100" i="18"/>
  <c r="O264" i="18" s="1"/>
  <c r="O100" i="15"/>
  <c r="V102" i="18"/>
  <c r="V267" i="18" s="1"/>
  <c r="V102" i="15"/>
  <c r="L102" i="18"/>
  <c r="L267" i="18" s="1"/>
  <c r="L102" i="15"/>
  <c r="T102" i="18"/>
  <c r="T267" i="18" s="1"/>
  <c r="T102" i="15"/>
  <c r="T226" i="13"/>
  <c r="T66" i="14" s="1"/>
  <c r="T66" i="13"/>
  <c r="Q226" i="17"/>
  <c r="Q66" i="17"/>
  <c r="J102" i="18"/>
  <c r="J267" i="18" s="1"/>
  <c r="J102" i="15"/>
  <c r="U151" i="15"/>
  <c r="J84" i="18"/>
  <c r="J246" i="18" s="1"/>
  <c r="J84" i="15"/>
  <c r="U137" i="15"/>
  <c r="P102" i="18"/>
  <c r="P267" i="18" s="1"/>
  <c r="P102" i="15"/>
  <c r="N153" i="15"/>
  <c r="N153" i="18"/>
  <c r="N323" i="18" s="1"/>
  <c r="U85" i="18"/>
  <c r="U248" i="18" s="1"/>
  <c r="U85" i="15"/>
  <c r="W237" i="17"/>
  <c r="W77" i="18" s="1"/>
  <c r="W238" i="18" s="1"/>
  <c r="W77" i="17"/>
  <c r="T260" i="17"/>
  <c r="T100" i="18" s="1"/>
  <c r="T264" i="18" s="1"/>
  <c r="T100" i="17"/>
  <c r="L110" i="18"/>
  <c r="L276" i="18" s="1"/>
  <c r="L110" i="15"/>
  <c r="L137" i="18"/>
  <c r="L304" i="18" s="1"/>
  <c r="L137" i="15"/>
  <c r="G226" i="13"/>
  <c r="G66" i="14" s="1"/>
  <c r="G66" i="13"/>
  <c r="M100" i="18"/>
  <c r="M264" i="18" s="1"/>
  <c r="M100" i="15"/>
  <c r="W137" i="18"/>
  <c r="W304" i="18" s="1"/>
  <c r="W137" i="15"/>
  <c r="N102" i="18"/>
  <c r="N267" i="18" s="1"/>
  <c r="N102" i="15"/>
  <c r="R100" i="18"/>
  <c r="R264" i="18" s="1"/>
  <c r="R100" i="15"/>
  <c r="T66" i="16"/>
  <c r="O151" i="18"/>
  <c r="O320" i="18" s="1"/>
  <c r="O151" i="15"/>
  <c r="W102" i="18"/>
  <c r="W267" i="18" s="1"/>
  <c r="W102" i="15"/>
  <c r="Q226" i="13"/>
  <c r="Q66" i="14" s="1"/>
  <c r="Q66" i="13"/>
  <c r="H140" i="18"/>
  <c r="H140" i="15"/>
  <c r="L140" i="18"/>
  <c r="L308" i="18" s="1"/>
  <c r="L140" i="15"/>
  <c r="P100" i="18"/>
  <c r="P264" i="18" s="1"/>
  <c r="P100" i="15"/>
  <c r="U84" i="18"/>
  <c r="U246" i="18" s="1"/>
  <c r="U84" i="15"/>
  <c r="R102" i="18"/>
  <c r="R267" i="18" s="1"/>
  <c r="R102" i="15"/>
  <c r="N244" i="13"/>
  <c r="N84" i="14" s="1"/>
  <c r="N84" i="13"/>
  <c r="X226" i="13"/>
  <c r="X66" i="14" s="1"/>
  <c r="X66" i="13"/>
  <c r="G153" i="18"/>
  <c r="G153" i="15"/>
  <c r="U297" i="17"/>
  <c r="U137" i="18" s="1"/>
  <c r="U304" i="18" s="1"/>
  <c r="U137" i="17"/>
  <c r="U226" i="13"/>
  <c r="U66" i="14" s="1"/>
  <c r="U66" i="13"/>
  <c r="K226" i="13"/>
  <c r="K66" i="14" s="1"/>
  <c r="K66" i="13"/>
  <c r="V151" i="18"/>
  <c r="V320" i="18" s="1"/>
  <c r="V151" i="15"/>
  <c r="O226" i="17"/>
  <c r="O66" i="17"/>
  <c r="G151" i="18"/>
  <c r="G151" i="15"/>
  <c r="I226" i="17"/>
  <c r="I66" i="17"/>
  <c r="U311" i="17"/>
  <c r="U151" i="18" s="1"/>
  <c r="U320" i="18" s="1"/>
  <c r="U151" i="17"/>
  <c r="L85" i="18"/>
  <c r="L248" i="18" s="1"/>
  <c r="L85" i="15"/>
  <c r="R77" i="16"/>
  <c r="V260" i="17"/>
  <c r="V100" i="18" s="1"/>
  <c r="V264" i="18" s="1"/>
  <c r="V100" i="17"/>
  <c r="K153" i="18"/>
  <c r="K323" i="18" s="1"/>
  <c r="K153" i="15"/>
  <c r="J140" i="18"/>
  <c r="J308" i="18" s="1"/>
  <c r="J140" i="15"/>
  <c r="H244" i="13"/>
  <c r="H84" i="14" s="1"/>
  <c r="H84" i="13"/>
  <c r="W226" i="17"/>
  <c r="W66" i="17"/>
  <c r="K102" i="18"/>
  <c r="K267" i="18" s="1"/>
  <c r="K102" i="15"/>
  <c r="M226" i="17"/>
  <c r="M66" i="17"/>
  <c r="L84" i="18"/>
  <c r="L246" i="18" s="1"/>
  <c r="L84" i="15"/>
  <c r="P77" i="15"/>
  <c r="W153" i="18"/>
  <c r="W323" i="18" s="1"/>
  <c r="W153" i="15"/>
  <c r="N84" i="16"/>
  <c r="U102" i="18"/>
  <c r="U267" i="18" s="1"/>
  <c r="U102" i="15"/>
  <c r="N77" i="18"/>
  <c r="N238" i="18" s="1"/>
  <c r="N77" i="15"/>
  <c r="X66" i="16"/>
  <c r="N110" i="18"/>
  <c r="N276" i="18" s="1"/>
  <c r="N110" i="15"/>
  <c r="N297" i="17"/>
  <c r="N137" i="18" s="1"/>
  <c r="N304" i="18" s="1"/>
  <c r="N137" i="17"/>
  <c r="M84" i="18"/>
  <c r="M246" i="18" s="1"/>
  <c r="M84" i="15"/>
  <c r="W77" i="15"/>
  <c r="T110" i="18"/>
  <c r="T276" i="18" s="1"/>
  <c r="T110" i="15"/>
  <c r="O226" i="13"/>
  <c r="O66" i="14" s="1"/>
  <c r="O66" i="13"/>
  <c r="R226" i="13"/>
  <c r="R66" i="14" s="1"/>
  <c r="R66" i="13"/>
  <c r="J66" i="15"/>
  <c r="V100" i="15"/>
  <c r="W151" i="18"/>
  <c r="W320" i="18" s="1"/>
  <c r="W151" i="15"/>
  <c r="I226" i="13"/>
  <c r="I66" i="14" s="1"/>
  <c r="I66" i="13"/>
  <c r="J151" i="18"/>
  <c r="J320" i="18" s="1"/>
  <c r="J151" i="15"/>
  <c r="J100" i="18"/>
  <c r="J264" i="18" s="1"/>
  <c r="J100" i="15"/>
  <c r="J226" i="17"/>
  <c r="J66" i="18" s="1"/>
  <c r="J226" i="18" s="1"/>
  <c r="J66" i="17"/>
  <c r="O84" i="18"/>
  <c r="O246" i="18" s="1"/>
  <c r="O84" i="15"/>
  <c r="S262" i="17"/>
  <c r="S102" i="18" s="1"/>
  <c r="S267" i="18" s="1"/>
  <c r="S102" i="17"/>
  <c r="H84" i="16"/>
  <c r="I77" i="18"/>
  <c r="I238" i="18" s="1"/>
  <c r="I77" i="15"/>
  <c r="O85" i="18"/>
  <c r="O248" i="18" s="1"/>
  <c r="O85" i="15"/>
  <c r="T85" i="18"/>
  <c r="T248" i="18" s="1"/>
  <c r="T85" i="15"/>
  <c r="W226" i="13"/>
  <c r="W66" i="14" s="1"/>
  <c r="W66" i="13"/>
  <c r="S226" i="17"/>
  <c r="S66" i="17"/>
  <c r="I85" i="18"/>
  <c r="I248" i="18" s="1"/>
  <c r="I85" i="15"/>
  <c r="K100" i="18"/>
  <c r="K264" i="18" s="1"/>
  <c r="K100" i="15"/>
  <c r="L226" i="13"/>
  <c r="L66" i="14" s="1"/>
  <c r="L66" i="13"/>
  <c r="I313" i="17"/>
  <c r="I153" i="18" s="1"/>
  <c r="I323" i="18" s="1"/>
  <c r="I153" i="17"/>
  <c r="M137" i="18"/>
  <c r="M304" i="18" s="1"/>
  <c r="M137" i="15"/>
  <c r="T100" i="15"/>
  <c r="N120" i="13" l="1"/>
  <c r="I36" i="18"/>
  <c r="I196" i="18" s="1"/>
  <c r="M67" i="18"/>
  <c r="M228" i="18" s="1"/>
  <c r="N70" i="11"/>
  <c r="G12" i="18"/>
  <c r="G172" i="18" s="1"/>
  <c r="N120" i="16"/>
  <c r="N280" i="17" s="1"/>
  <c r="I137" i="15"/>
  <c r="L91" i="15"/>
  <c r="K19" i="15"/>
  <c r="L68" i="15"/>
  <c r="K79" i="15"/>
  <c r="L114" i="15"/>
  <c r="I83" i="18"/>
  <c r="I245" i="18" s="1"/>
  <c r="G7" i="18"/>
  <c r="G167" i="18" s="1"/>
  <c r="M109" i="14"/>
  <c r="N138" i="11"/>
  <c r="N123" i="11"/>
  <c r="K30" i="18"/>
  <c r="K190" i="18" s="1"/>
  <c r="N123" i="13"/>
  <c r="M139" i="15"/>
  <c r="K81" i="18"/>
  <c r="K243" i="18" s="1"/>
  <c r="O241" i="12"/>
  <c r="O81" i="16" s="1"/>
  <c r="N26" i="16"/>
  <c r="N50" i="11"/>
  <c r="G141" i="16"/>
  <c r="N138" i="13"/>
  <c r="G68" i="16"/>
  <c r="O99" i="11"/>
  <c r="O99" i="13"/>
  <c r="P135" i="18"/>
  <c r="P302" i="18" s="1"/>
  <c r="M39" i="18"/>
  <c r="M199" i="18" s="1"/>
  <c r="O229" i="12"/>
  <c r="O69" i="16" s="1"/>
  <c r="O183" i="12"/>
  <c r="O23" i="16" s="1"/>
  <c r="K41" i="14"/>
  <c r="N283" i="13"/>
  <c r="O259" i="13"/>
  <c r="O223" i="13"/>
  <c r="O63" i="14" s="1"/>
  <c r="O7" i="13"/>
  <c r="Z37" i="18"/>
  <c r="Z197" i="18" s="1"/>
  <c r="O76" i="13"/>
  <c r="N116" i="11"/>
  <c r="N281" i="12"/>
  <c r="N121" i="16" s="1"/>
  <c r="N121" i="11"/>
  <c r="N139" i="10"/>
  <c r="G137" i="37"/>
  <c r="Z137" i="9"/>
  <c r="E137" i="20"/>
  <c r="G153" i="37"/>
  <c r="Z153" i="9"/>
  <c r="G140" i="37"/>
  <c r="Z140" i="9"/>
  <c r="E140" i="20"/>
  <c r="G84" i="37"/>
  <c r="Z84" i="9"/>
  <c r="E84" i="20"/>
  <c r="N189" i="12"/>
  <c r="N29" i="11"/>
  <c r="N65" i="11"/>
  <c r="N225" i="12"/>
  <c r="N65" i="16" s="1"/>
  <c r="N114" i="11"/>
  <c r="N274" i="12"/>
  <c r="N109" i="11"/>
  <c r="N269" i="12"/>
  <c r="N109" i="16" s="1"/>
  <c r="N269" i="17" s="1"/>
  <c r="Y137" i="10"/>
  <c r="Y137" i="11" s="1"/>
  <c r="N176" i="12"/>
  <c r="N16" i="11"/>
  <c r="N34" i="11"/>
  <c r="N194" i="12"/>
  <c r="K205" i="17"/>
  <c r="K45" i="18" s="1"/>
  <c r="K205" i="18" s="1"/>
  <c r="K45" i="15"/>
  <c r="Y311" i="12"/>
  <c r="Y151" i="16" s="1"/>
  <c r="Y151" i="11"/>
  <c r="M8" i="16"/>
  <c r="M8" i="13"/>
  <c r="M168" i="13"/>
  <c r="M8" i="14" s="1"/>
  <c r="N195" i="12"/>
  <c r="N35" i="11"/>
  <c r="N53" i="10"/>
  <c r="N53" i="11" s="1"/>
  <c r="N149" i="10"/>
  <c r="N45" i="11"/>
  <c r="I131" i="16"/>
  <c r="I131" i="17" s="1"/>
  <c r="I291" i="13"/>
  <c r="M308" i="12"/>
  <c r="M148" i="16" s="1"/>
  <c r="M148" i="11"/>
  <c r="Y110" i="16"/>
  <c r="Y110" i="13"/>
  <c r="Y270" i="13"/>
  <c r="Y110" i="14" s="1"/>
  <c r="M222" i="12"/>
  <c r="M62" i="11"/>
  <c r="N97" i="11"/>
  <c r="N257" i="12"/>
  <c r="N74" i="11"/>
  <c r="N234" i="12"/>
  <c r="N99" i="11"/>
  <c r="N259" i="12"/>
  <c r="N111" i="10"/>
  <c r="N111" i="11" s="1"/>
  <c r="N205" i="12"/>
  <c r="N45" i="16" s="1"/>
  <c r="N294" i="12"/>
  <c r="N134" i="16" s="1"/>
  <c r="N134" i="11"/>
  <c r="N48" i="11"/>
  <c r="N208" i="12"/>
  <c r="N44" i="11"/>
  <c r="N204" i="12"/>
  <c r="M281" i="12"/>
  <c r="M121" i="11"/>
  <c r="N145" i="16"/>
  <c r="N145" i="13"/>
  <c r="N305" i="13"/>
  <c r="N145" i="14" s="1"/>
  <c r="N91" i="10"/>
  <c r="N91" i="11" s="1"/>
  <c r="N147" i="11"/>
  <c r="N307" i="12"/>
  <c r="N147" i="16" s="1"/>
  <c r="X84" i="16"/>
  <c r="X244" i="13"/>
  <c r="X84" i="14" s="1"/>
  <c r="X84" i="13"/>
  <c r="M250" i="12"/>
  <c r="Y153" i="9"/>
  <c r="E153" i="20"/>
  <c r="O141" i="11"/>
  <c r="O301" i="12"/>
  <c r="O141" i="16" s="1"/>
  <c r="O139" i="11"/>
  <c r="O299" i="12"/>
  <c r="O139" i="16" s="1"/>
  <c r="O157" i="11"/>
  <c r="O317" i="12"/>
  <c r="O146" i="11"/>
  <c r="O306" i="12"/>
  <c r="O68" i="11"/>
  <c r="O228" i="12"/>
  <c r="O68" i="16" s="1"/>
  <c r="O268" i="12"/>
  <c r="O108" i="16" s="1"/>
  <c r="O26" i="11"/>
  <c r="O186" i="12"/>
  <c r="O47" i="10"/>
  <c r="O47" i="11" s="1"/>
  <c r="O111" i="11"/>
  <c r="O271" i="12"/>
  <c r="O95" i="11"/>
  <c r="O255" i="12"/>
  <c r="O53" i="10"/>
  <c r="O213" i="12" s="1"/>
  <c r="O122" i="11"/>
  <c r="O282" i="12"/>
  <c r="O79" i="11"/>
  <c r="O239" i="12"/>
  <c r="O79" i="16" s="1"/>
  <c r="O80" i="11"/>
  <c r="O240" i="12"/>
  <c r="O35" i="9"/>
  <c r="O90" i="11"/>
  <c r="O250" i="12"/>
  <c r="O20" i="9"/>
  <c r="O62" i="9"/>
  <c r="O117" i="11"/>
  <c r="O277" i="12"/>
  <c r="O55" i="11"/>
  <c r="O215" i="12"/>
  <c r="O158" i="10"/>
  <c r="O158" i="11" s="1"/>
  <c r="O22" i="9"/>
  <c r="O22" i="10" s="1"/>
  <c r="F4" i="37"/>
  <c r="R4" i="6"/>
  <c r="Q98" i="6"/>
  <c r="Q92" i="6"/>
  <c r="Q22" i="6"/>
  <c r="Q94" i="6"/>
  <c r="Q30" i="6"/>
  <c r="Q62" i="6"/>
  <c r="Q116" i="6"/>
  <c r="Q148" i="6"/>
  <c r="Q158" i="6"/>
  <c r="Q87" i="6"/>
  <c r="Q106" i="6"/>
  <c r="Q35" i="6"/>
  <c r="Q155" i="6"/>
  <c r="Q86" i="6"/>
  <c r="Q14" i="6"/>
  <c r="Q73" i="6"/>
  <c r="Q134" i="6"/>
  <c r="Q117" i="6"/>
  <c r="Q60" i="6"/>
  <c r="Q55" i="6"/>
  <c r="Q82" i="6"/>
  <c r="Q57" i="6"/>
  <c r="Q29" i="6"/>
  <c r="Q101" i="6"/>
  <c r="Q90" i="6"/>
  <c r="Q8" i="6"/>
  <c r="Q145" i="6"/>
  <c r="Q18" i="6"/>
  <c r="Q121" i="6"/>
  <c r="Q42" i="6"/>
  <c r="Q16" i="6"/>
  <c r="Q20" i="6"/>
  <c r="Q53" i="6"/>
  <c r="Q114" i="6"/>
  <c r="Q76" i="6"/>
  <c r="Q48" i="6"/>
  <c r="Q23" i="6"/>
  <c r="Q7" i="6"/>
  <c r="Q152" i="6"/>
  <c r="Q67" i="6"/>
  <c r="Q107" i="6"/>
  <c r="Q70" i="6"/>
  <c r="Q97" i="6"/>
  <c r="Q150" i="6"/>
  <c r="Q79" i="6"/>
  <c r="Q65" i="6"/>
  <c r="Q5" i="6"/>
  <c r="Q80" i="6"/>
  <c r="Q122" i="6"/>
  <c r="Q13" i="6"/>
  <c r="Q136" i="6"/>
  <c r="Q118" i="6"/>
  <c r="Q131" i="6"/>
  <c r="Q12" i="6"/>
  <c r="Q91" i="6"/>
  <c r="Q93" i="6"/>
  <c r="Q10" i="6"/>
  <c r="Q81" i="6"/>
  <c r="Q41" i="6"/>
  <c r="Q26" i="6"/>
  <c r="Q109" i="6"/>
  <c r="Q43" i="6"/>
  <c r="Q39" i="6"/>
  <c r="Q108" i="6"/>
  <c r="Q9" i="6"/>
  <c r="Q124" i="6"/>
  <c r="Q74" i="6"/>
  <c r="Q52" i="6"/>
  <c r="Q69" i="6"/>
  <c r="Q49" i="6"/>
  <c r="Q95" i="6"/>
  <c r="Q31" i="6"/>
  <c r="Q119" i="6"/>
  <c r="Q127" i="6"/>
  <c r="Q50" i="6"/>
  <c r="Q120" i="6"/>
  <c r="Q44" i="6"/>
  <c r="Q125" i="6"/>
  <c r="Q68" i="6"/>
  <c r="Q142" i="6"/>
  <c r="Q138" i="6"/>
  <c r="Q130" i="6"/>
  <c r="Q89" i="6"/>
  <c r="Q111" i="6"/>
  <c r="Q45" i="6"/>
  <c r="Q156" i="6"/>
  <c r="Q83" i="6"/>
  <c r="Q19" i="6"/>
  <c r="Q147" i="6"/>
  <c r="Q47" i="6"/>
  <c r="Q15" i="6"/>
  <c r="Q99" i="6"/>
  <c r="Q54" i="6"/>
  <c r="Q149" i="6"/>
  <c r="Q129" i="6"/>
  <c r="Q146" i="6"/>
  <c r="Q141" i="6"/>
  <c r="Q105" i="6"/>
  <c r="Q139" i="6"/>
  <c r="Q157" i="6"/>
  <c r="Q154" i="6"/>
  <c r="Q34" i="6"/>
  <c r="Q123" i="6"/>
  <c r="Q115" i="6"/>
  <c r="Q103" i="6"/>
  <c r="Q63" i="6"/>
  <c r="N148" i="16"/>
  <c r="N148" i="13"/>
  <c r="N308" i="13"/>
  <c r="N5" i="10"/>
  <c r="N5" i="11" s="1"/>
  <c r="N119" i="11"/>
  <c r="N279" i="12"/>
  <c r="M60" i="16"/>
  <c r="M220" i="13"/>
  <c r="M60" i="14" s="1"/>
  <c r="M60" i="13"/>
  <c r="X300" i="12"/>
  <c r="N207" i="12"/>
  <c r="N47" i="16" s="1"/>
  <c r="N207" i="17" s="1"/>
  <c r="O298" i="12"/>
  <c r="O130" i="13"/>
  <c r="O125" i="16"/>
  <c r="O285" i="17" s="1"/>
  <c r="M158" i="16"/>
  <c r="M158" i="13"/>
  <c r="M318" i="13"/>
  <c r="M158" i="14" s="1"/>
  <c r="AA85" i="6"/>
  <c r="AA77" i="6"/>
  <c r="G102" i="37"/>
  <c r="Z102" i="9"/>
  <c r="G110" i="37"/>
  <c r="Z110" i="9"/>
  <c r="E110" i="20"/>
  <c r="N86" i="16"/>
  <c r="N246" i="13"/>
  <c r="N86" i="14" s="1"/>
  <c r="N86" i="13"/>
  <c r="N8" i="16"/>
  <c r="N168" i="13"/>
  <c r="N8" i="14" s="1"/>
  <c r="N8" i="13"/>
  <c r="N30" i="11"/>
  <c r="N190" i="12"/>
  <c r="N124" i="11"/>
  <c r="N284" i="12"/>
  <c r="N49" i="10"/>
  <c r="N49" i="11" s="1"/>
  <c r="N15" i="11"/>
  <c r="N175" i="12"/>
  <c r="N105" i="11"/>
  <c r="N265" i="12"/>
  <c r="M195" i="12"/>
  <c r="M35" i="16" s="1"/>
  <c r="M106" i="16"/>
  <c r="M266" i="13"/>
  <c r="M106" i="14" s="1"/>
  <c r="M106" i="13"/>
  <c r="M29" i="16"/>
  <c r="M189" i="13"/>
  <c r="M29" i="14" s="1"/>
  <c r="M29" i="13"/>
  <c r="N106" i="16"/>
  <c r="N266" i="13"/>
  <c r="N106" i="14" s="1"/>
  <c r="N106" i="13"/>
  <c r="N252" i="13"/>
  <c r="N92" i="14" s="1"/>
  <c r="N92" i="15" s="1"/>
  <c r="N92" i="13"/>
  <c r="N92" i="16"/>
  <c r="N42" i="16"/>
  <c r="N202" i="13"/>
  <c r="N42" i="14" s="1"/>
  <c r="N42" i="15" s="1"/>
  <c r="N42" i="13"/>
  <c r="N103" i="11"/>
  <c r="N263" i="12"/>
  <c r="M247" i="13"/>
  <c r="M87" i="14" s="1"/>
  <c r="M87" i="13"/>
  <c r="M87" i="16"/>
  <c r="M42" i="16"/>
  <c r="M202" i="13"/>
  <c r="M42" i="14" s="1"/>
  <c r="M42" i="13"/>
  <c r="Y244" i="12"/>
  <c r="N318" i="12"/>
  <c r="N158" i="16" s="1"/>
  <c r="N178" i="12"/>
  <c r="N12" i="10"/>
  <c r="N12" i="11" s="1"/>
  <c r="N152" i="11"/>
  <c r="N312" i="12"/>
  <c r="N130" i="10"/>
  <c r="N130" i="11" s="1"/>
  <c r="N54" i="10"/>
  <c r="M246" i="12"/>
  <c r="M261" i="12"/>
  <c r="Y77" i="11"/>
  <c r="Y237" i="12"/>
  <c r="M82" i="16"/>
  <c r="M242" i="13"/>
  <c r="M82" i="14" s="1"/>
  <c r="M82" i="13"/>
  <c r="M254" i="12"/>
  <c r="O34" i="11"/>
  <c r="O194" i="12"/>
  <c r="O129" i="10"/>
  <c r="O129" i="11" s="1"/>
  <c r="O44" i="10"/>
  <c r="O44" i="11" s="1"/>
  <c r="O10" i="10"/>
  <c r="O10" i="11" s="1"/>
  <c r="O120" i="16"/>
  <c r="O280" i="13"/>
  <c r="O120" i="14" s="1"/>
  <c r="O120" i="13"/>
  <c r="O127" i="11"/>
  <c r="O287" i="12"/>
  <c r="O127" i="16" s="1"/>
  <c r="O74" i="11"/>
  <c r="O234" i="12"/>
  <c r="O74" i="16" s="1"/>
  <c r="O147" i="11"/>
  <c r="O307" i="12"/>
  <c r="O147" i="16" s="1"/>
  <c r="O142" i="11"/>
  <c r="O302" i="12"/>
  <c r="O124" i="10"/>
  <c r="O124" i="11" s="1"/>
  <c r="O136" i="10"/>
  <c r="O296" i="12" s="1"/>
  <c r="O48" i="10"/>
  <c r="O48" i="11" s="1"/>
  <c r="O97" i="10"/>
  <c r="O257" i="12" s="1"/>
  <c r="O67" i="11"/>
  <c r="O227" i="12"/>
  <c r="O67" i="16" s="1"/>
  <c r="O60" i="9"/>
  <c r="O60" i="10" s="1"/>
  <c r="O86" i="9"/>
  <c r="O82" i="11"/>
  <c r="O242" i="12"/>
  <c r="O106" i="11"/>
  <c r="O266" i="12"/>
  <c r="O98" i="9"/>
  <c r="O98" i="10" s="1"/>
  <c r="O121" i="9"/>
  <c r="O116" i="9"/>
  <c r="O116" i="10" s="1"/>
  <c r="O73" i="9"/>
  <c r="N98" i="16"/>
  <c r="N258" i="13"/>
  <c r="N98" i="14" s="1"/>
  <c r="N98" i="13"/>
  <c r="N62" i="13"/>
  <c r="N62" i="16"/>
  <c r="N222" i="13"/>
  <c r="N62" i="14" s="1"/>
  <c r="N57" i="16"/>
  <c r="N217" i="13"/>
  <c r="N57" i="14" s="1"/>
  <c r="N57" i="13"/>
  <c r="N20" i="16"/>
  <c r="N180" i="13"/>
  <c r="N20" i="14" s="1"/>
  <c r="N20" i="13"/>
  <c r="N13" i="11"/>
  <c r="N173" i="12"/>
  <c r="N125" i="11"/>
  <c r="N285" i="12"/>
  <c r="N95" i="11"/>
  <c r="N255" i="12"/>
  <c r="N63" i="11"/>
  <c r="N223" i="12"/>
  <c r="N289" i="12"/>
  <c r="N129" i="16" s="1"/>
  <c r="L14" i="18"/>
  <c r="L174" i="18" s="1"/>
  <c r="L14" i="15"/>
  <c r="I54" i="18"/>
  <c r="I214" i="18" s="1"/>
  <c r="L7" i="18"/>
  <c r="L167" i="18" s="1"/>
  <c r="K50" i="14"/>
  <c r="K50" i="15" s="1"/>
  <c r="G48" i="18"/>
  <c r="G208" i="18" s="1"/>
  <c r="O7" i="14"/>
  <c r="O7" i="18" s="1"/>
  <c r="O167" i="18" s="1"/>
  <c r="E102" i="20"/>
  <c r="AA170" i="22"/>
  <c r="G151" i="37"/>
  <c r="Z151" i="9"/>
  <c r="Y300" i="12"/>
  <c r="Y140" i="16" s="1"/>
  <c r="N261" i="12"/>
  <c r="N101" i="16" s="1"/>
  <c r="N131" i="11"/>
  <c r="N291" i="12"/>
  <c r="N131" i="16" s="1"/>
  <c r="N156" i="10"/>
  <c r="N127" i="11"/>
  <c r="N287" i="12"/>
  <c r="X110" i="16"/>
  <c r="X270" i="13"/>
  <c r="X110" i="14" s="1"/>
  <c r="X110" i="13"/>
  <c r="M16" i="16"/>
  <c r="M16" i="13"/>
  <c r="M176" i="13"/>
  <c r="M16" i="14" s="1"/>
  <c r="M315" i="13"/>
  <c r="M155" i="14" s="1"/>
  <c r="M155" i="16"/>
  <c r="M155" i="13"/>
  <c r="M92" i="16"/>
  <c r="M252" i="13"/>
  <c r="M92" i="14" s="1"/>
  <c r="M92" i="13"/>
  <c r="M215" i="12"/>
  <c r="M55" i="16" s="1"/>
  <c r="M305" i="12"/>
  <c r="N250" i="12"/>
  <c r="N122" i="11"/>
  <c r="N282" i="12"/>
  <c r="N23" i="10"/>
  <c r="N107" i="10"/>
  <c r="N107" i="11" s="1"/>
  <c r="N83" i="11"/>
  <c r="N243" i="12"/>
  <c r="M182" i="12"/>
  <c r="Y66" i="11"/>
  <c r="Y226" i="12"/>
  <c r="N82" i="13"/>
  <c r="N82" i="16"/>
  <c r="N242" i="13"/>
  <c r="N82" i="14" s="1"/>
  <c r="N87" i="16"/>
  <c r="N247" i="13"/>
  <c r="N87" i="14" s="1"/>
  <c r="N87" i="13"/>
  <c r="N79" i="11"/>
  <c r="N239" i="12"/>
  <c r="N141" i="10"/>
  <c r="N141" i="11" s="1"/>
  <c r="M117" i="16"/>
  <c r="M277" i="13"/>
  <c r="M117" i="14" s="1"/>
  <c r="M117" i="13"/>
  <c r="M294" i="12"/>
  <c r="E77" i="20"/>
  <c r="M98" i="16"/>
  <c r="M258" i="13"/>
  <c r="M98" i="14" s="1"/>
  <c r="M98" i="13"/>
  <c r="O115" i="11"/>
  <c r="O275" i="12"/>
  <c r="O54" i="10"/>
  <c r="O54" i="11" s="1"/>
  <c r="O19" i="10"/>
  <c r="O19" i="11" s="1"/>
  <c r="O43" i="10"/>
  <c r="O43" i="11" s="1"/>
  <c r="O89" i="10"/>
  <c r="O249" i="12" s="1"/>
  <c r="O89" i="11"/>
  <c r="O93" i="10"/>
  <c r="O93" i="11" s="1"/>
  <c r="O107" i="11"/>
  <c r="O267" i="12"/>
  <c r="O156" i="11"/>
  <c r="O316" i="12"/>
  <c r="O118" i="10"/>
  <c r="O278" i="12" s="1"/>
  <c r="O118" i="11"/>
  <c r="O91" i="10"/>
  <c r="O91" i="11" s="1"/>
  <c r="O70" i="11"/>
  <c r="O230" i="12"/>
  <c r="O70" i="16" s="1"/>
  <c r="O52" i="10"/>
  <c r="O8" i="9"/>
  <c r="O8" i="10" s="1"/>
  <c r="O94" i="10"/>
  <c r="O42" i="9"/>
  <c r="O87" i="9"/>
  <c r="O87" i="10" s="1"/>
  <c r="O134" i="11"/>
  <c r="O294" i="12"/>
  <c r="O134" i="16" s="1"/>
  <c r="O57" i="9"/>
  <c r="O57" i="10" s="1"/>
  <c r="O92" i="11"/>
  <c r="O252" i="12"/>
  <c r="O29" i="11"/>
  <c r="O189" i="12"/>
  <c r="N67" i="10"/>
  <c r="N67" i="11" s="1"/>
  <c r="N80" i="10"/>
  <c r="N80" i="11" s="1"/>
  <c r="N39" i="11"/>
  <c r="N199" i="12"/>
  <c r="N89" i="10"/>
  <c r="N115" i="11"/>
  <c r="N275" i="12"/>
  <c r="N115" i="16" s="1"/>
  <c r="N76" i="10"/>
  <c r="N76" i="11"/>
  <c r="M20" i="16"/>
  <c r="M180" i="13"/>
  <c r="M20" i="14" s="1"/>
  <c r="M20" i="13"/>
  <c r="M276" i="13"/>
  <c r="M116" i="14" s="1"/>
  <c r="M116" i="16"/>
  <c r="M116" i="13"/>
  <c r="M174" i="12"/>
  <c r="M14" i="16"/>
  <c r="N241" i="12"/>
  <c r="N81" i="16" s="1"/>
  <c r="K32" i="18"/>
  <c r="K192" i="18" s="1"/>
  <c r="O263" i="12"/>
  <c r="O103" i="16" s="1"/>
  <c r="O263" i="17" s="1"/>
  <c r="O130" i="11"/>
  <c r="L89" i="14"/>
  <c r="O130" i="16"/>
  <c r="O125" i="11"/>
  <c r="O125" i="14" s="1"/>
  <c r="O125" i="15" s="1"/>
  <c r="G66" i="37"/>
  <c r="Z66" i="9"/>
  <c r="G100" i="37"/>
  <c r="Z100" i="9"/>
  <c r="E100" i="20"/>
  <c r="N22" i="16"/>
  <c r="N182" i="13"/>
  <c r="N22" i="14" s="1"/>
  <c r="N22" i="13"/>
  <c r="X151" i="16"/>
  <c r="X151" i="13"/>
  <c r="X311" i="13"/>
  <c r="X151" i="14" s="1"/>
  <c r="Y260" i="12"/>
  <c r="Y85" i="11"/>
  <c r="Y245" i="12"/>
  <c r="N155" i="16"/>
  <c r="N315" i="13"/>
  <c r="N155" i="14" s="1"/>
  <c r="N155" i="13"/>
  <c r="N94" i="16"/>
  <c r="N94" i="13"/>
  <c r="N254" i="13"/>
  <c r="N94" i="14" s="1"/>
  <c r="N118" i="10"/>
  <c r="N118" i="11" s="1"/>
  <c r="N50" i="16"/>
  <c r="N210" i="13"/>
  <c r="N50" i="14" s="1"/>
  <c r="N50" i="13"/>
  <c r="N52" i="11"/>
  <c r="N212" i="12"/>
  <c r="X100" i="16"/>
  <c r="X260" i="13"/>
  <c r="X100" i="14" s="1"/>
  <c r="X100" i="13"/>
  <c r="E151" i="20"/>
  <c r="Y102" i="16"/>
  <c r="Y262" i="13"/>
  <c r="Y102" i="14" s="1"/>
  <c r="Y102" i="13"/>
  <c r="N220" i="12"/>
  <c r="N60" i="16" s="1"/>
  <c r="N116" i="16"/>
  <c r="N276" i="13"/>
  <c r="N116" i="14" s="1"/>
  <c r="N116" i="13"/>
  <c r="N7" i="10"/>
  <c r="N136" i="11"/>
  <c r="N296" i="12"/>
  <c r="N136" i="16" s="1"/>
  <c r="N43" i="11"/>
  <c r="N203" i="12"/>
  <c r="N154" i="11"/>
  <c r="N314" i="12"/>
  <c r="B60" i="22"/>
  <c r="D59" i="22"/>
  <c r="M233" i="12"/>
  <c r="M73" i="16" s="1"/>
  <c r="M90" i="11"/>
  <c r="X102" i="16"/>
  <c r="X262" i="13"/>
  <c r="X102" i="14" s="1"/>
  <c r="X102" i="13"/>
  <c r="X77" i="11"/>
  <c r="X237" i="12"/>
  <c r="O15" i="11"/>
  <c r="O175" i="12"/>
  <c r="O49" i="11"/>
  <c r="O209" i="12"/>
  <c r="O63" i="17"/>
  <c r="O223" i="17"/>
  <c r="O41" i="11"/>
  <c r="O201" i="12"/>
  <c r="O114" i="10"/>
  <c r="O274" i="12" s="1"/>
  <c r="O109" i="10"/>
  <c r="O269" i="12" s="1"/>
  <c r="O13" i="10"/>
  <c r="O13" i="11" s="1"/>
  <c r="O31" i="11"/>
  <c r="O191" i="12"/>
  <c r="O65" i="11"/>
  <c r="O225" i="12"/>
  <c r="O152" i="11"/>
  <c r="O312" i="12"/>
  <c r="O30" i="10"/>
  <c r="O30" i="11" s="1"/>
  <c r="O5" i="9"/>
  <c r="O5" i="10" s="1"/>
  <c r="P159" i="6"/>
  <c r="O150" i="10"/>
  <c r="O310" i="12" s="1"/>
  <c r="O131" i="10"/>
  <c r="O18" i="9"/>
  <c r="O18" i="10" s="1"/>
  <c r="O145" i="10"/>
  <c r="O16" i="9"/>
  <c r="O12" i="10"/>
  <c r="O148" i="10"/>
  <c r="O155" i="11"/>
  <c r="O315" i="12"/>
  <c r="O155" i="16" s="1"/>
  <c r="O101" i="9"/>
  <c r="O101" i="10" s="1"/>
  <c r="O14" i="9"/>
  <c r="N117" i="16"/>
  <c r="N117" i="13"/>
  <c r="N277" i="13"/>
  <c r="N117" i="14" s="1"/>
  <c r="N73" i="16"/>
  <c r="N73" i="13"/>
  <c r="N233" i="13"/>
  <c r="N73" i="14" s="1"/>
  <c r="N148" i="11"/>
  <c r="N150" i="10"/>
  <c r="N150" i="11" s="1"/>
  <c r="N31" i="11"/>
  <c r="N191" i="12"/>
  <c r="N41" i="11"/>
  <c r="N201" i="12"/>
  <c r="N68" i="11"/>
  <c r="N228" i="12"/>
  <c r="X140" i="11"/>
  <c r="P288" i="17"/>
  <c r="P128" i="18" s="1"/>
  <c r="P295" i="18" s="1"/>
  <c r="AA295" i="18" s="1"/>
  <c r="P128" i="17"/>
  <c r="Z248" i="17"/>
  <c r="Z88" i="18" s="1"/>
  <c r="Z252" i="18" s="1"/>
  <c r="Z88" i="17"/>
  <c r="Z128" i="15"/>
  <c r="Z88" i="15"/>
  <c r="P33" i="15"/>
  <c r="Z288" i="17"/>
  <c r="Z128" i="18" s="1"/>
  <c r="Z295" i="18" s="1"/>
  <c r="Z128" i="17"/>
  <c r="P193" i="17"/>
  <c r="P33" i="18" s="1"/>
  <c r="P193" i="18" s="1"/>
  <c r="P33" i="17"/>
  <c r="Z28" i="15"/>
  <c r="M36" i="18"/>
  <c r="M196" i="18" s="1"/>
  <c r="H12" i="18"/>
  <c r="H172" i="18" s="1"/>
  <c r="P128" i="15"/>
  <c r="Z188" i="17"/>
  <c r="Z28" i="18" s="1"/>
  <c r="Z28" i="17"/>
  <c r="P85" i="16"/>
  <c r="P245" i="13"/>
  <c r="P85" i="14" s="1"/>
  <c r="P85" i="13"/>
  <c r="P153" i="16"/>
  <c r="P313" i="13"/>
  <c r="P153" i="14" s="1"/>
  <c r="P153" i="13"/>
  <c r="P137" i="16"/>
  <c r="P297" i="13"/>
  <c r="P137" i="14" s="1"/>
  <c r="P137" i="13"/>
  <c r="H137" i="15"/>
  <c r="R85" i="15"/>
  <c r="T61" i="18"/>
  <c r="T221" i="18" s="1"/>
  <c r="G141" i="14"/>
  <c r="G141" i="15" s="1"/>
  <c r="H139" i="18"/>
  <c r="H307" i="18" s="1"/>
  <c r="L93" i="14"/>
  <c r="L93" i="15" s="1"/>
  <c r="L23" i="18"/>
  <c r="L183" i="18" s="1"/>
  <c r="G107" i="18"/>
  <c r="G273" i="18" s="1"/>
  <c r="G107" i="15"/>
  <c r="L99" i="18"/>
  <c r="L263" i="18" s="1"/>
  <c r="I131" i="13"/>
  <c r="H99" i="18"/>
  <c r="H263" i="18" s="1"/>
  <c r="G227" i="13"/>
  <c r="G67" i="14" s="1"/>
  <c r="N26" i="14"/>
  <c r="N26" i="15" s="1"/>
  <c r="I105" i="14"/>
  <c r="I23" i="14"/>
  <c r="I23" i="15" s="1"/>
  <c r="G67" i="16"/>
  <c r="G67" i="17" s="1"/>
  <c r="G141" i="13"/>
  <c r="R112" i="18"/>
  <c r="R279" i="18" s="1"/>
  <c r="N120" i="17"/>
  <c r="R36" i="18"/>
  <c r="R196" i="18" s="1"/>
  <c r="G279" i="13"/>
  <c r="G119" i="13"/>
  <c r="T37" i="18"/>
  <c r="T197" i="18" s="1"/>
  <c r="M119" i="14"/>
  <c r="K44" i="18"/>
  <c r="K204" i="18" s="1"/>
  <c r="K26" i="17"/>
  <c r="N120" i="15"/>
  <c r="L5" i="18"/>
  <c r="L165" i="18" s="1"/>
  <c r="X112" i="18"/>
  <c r="X279" i="18" s="1"/>
  <c r="M136" i="15"/>
  <c r="L141" i="18"/>
  <c r="L310" i="18" s="1"/>
  <c r="M54" i="17"/>
  <c r="J36" i="18"/>
  <c r="J196" i="18" s="1"/>
  <c r="O119" i="14"/>
  <c r="O119" i="15" s="1"/>
  <c r="M54" i="15"/>
  <c r="G5" i="18"/>
  <c r="G165" i="18" s="1"/>
  <c r="L112" i="18"/>
  <c r="L279" i="18" s="1"/>
  <c r="I65" i="15"/>
  <c r="G124" i="18"/>
  <c r="G291" i="18" s="1"/>
  <c r="O99" i="14"/>
  <c r="O99" i="15" s="1"/>
  <c r="K67" i="14"/>
  <c r="H118" i="15"/>
  <c r="K26" i="15"/>
  <c r="G103" i="14"/>
  <c r="J85" i="18"/>
  <c r="J248" i="18" s="1"/>
  <c r="J85" i="15"/>
  <c r="H120" i="15"/>
  <c r="M65" i="15"/>
  <c r="L114" i="17"/>
  <c r="R37" i="18"/>
  <c r="R197" i="18" s="1"/>
  <c r="H91" i="15"/>
  <c r="L45" i="15"/>
  <c r="L81" i="14"/>
  <c r="G130" i="13"/>
  <c r="L205" i="17"/>
  <c r="L45" i="18" s="1"/>
  <c r="L205" i="18" s="1"/>
  <c r="L45" i="17"/>
  <c r="I120" i="18"/>
  <c r="I287" i="18" s="1"/>
  <c r="H146" i="15"/>
  <c r="H91" i="17"/>
  <c r="H251" i="17"/>
  <c r="H91" i="18" s="1"/>
  <c r="H255" i="18" s="1"/>
  <c r="G34" i="15"/>
  <c r="H146" i="17"/>
  <c r="J157" i="18"/>
  <c r="J328" i="18" s="1"/>
  <c r="I68" i="15"/>
  <c r="K15" i="15"/>
  <c r="G103" i="16"/>
  <c r="N123" i="14"/>
  <c r="N123" i="15" s="1"/>
  <c r="J65" i="18"/>
  <c r="J225" i="18" s="1"/>
  <c r="G37" i="15"/>
  <c r="K154" i="14"/>
  <c r="G179" i="13"/>
  <c r="G19" i="14" s="1"/>
  <c r="G19" i="15" s="1"/>
  <c r="Y88" i="18"/>
  <c r="Y252" i="18" s="1"/>
  <c r="G154" i="13"/>
  <c r="G130" i="16"/>
  <c r="G290" i="17" s="1"/>
  <c r="G19" i="13"/>
  <c r="M13" i="14"/>
  <c r="M13" i="15" s="1"/>
  <c r="G314" i="13"/>
  <c r="G154" i="14" s="1"/>
  <c r="G154" i="15" s="1"/>
  <c r="T137" i="14"/>
  <c r="T137" i="18" s="1"/>
  <c r="T304" i="18" s="1"/>
  <c r="M89" i="15"/>
  <c r="I108" i="15"/>
  <c r="O76" i="15"/>
  <c r="L122" i="18"/>
  <c r="L289" i="18" s="1"/>
  <c r="G115" i="15"/>
  <c r="L118" i="15"/>
  <c r="K45" i="17"/>
  <c r="G103" i="13"/>
  <c r="L111" i="14"/>
  <c r="L111" i="15" s="1"/>
  <c r="J138" i="15"/>
  <c r="X37" i="18"/>
  <c r="X197" i="18" s="1"/>
  <c r="G125" i="18"/>
  <c r="G292" i="18" s="1"/>
  <c r="J298" i="17"/>
  <c r="J138" i="18" s="1"/>
  <c r="J306" i="18" s="1"/>
  <c r="J138" i="17"/>
  <c r="G100" i="18"/>
  <c r="G264" i="18" s="1"/>
  <c r="I69" i="14"/>
  <c r="I69" i="15" s="1"/>
  <c r="H68" i="14"/>
  <c r="H68" i="18" s="1"/>
  <c r="H229" i="18" s="1"/>
  <c r="G68" i="13"/>
  <c r="L316" i="13"/>
  <c r="L156" i="14" s="1"/>
  <c r="G133" i="18"/>
  <c r="G300" i="18" s="1"/>
  <c r="L156" i="16"/>
  <c r="L316" i="17" s="1"/>
  <c r="M125" i="14"/>
  <c r="M125" i="15" s="1"/>
  <c r="G275" i="17"/>
  <c r="G115" i="18" s="1"/>
  <c r="G282" i="18" s="1"/>
  <c r="H97" i="15"/>
  <c r="X132" i="15"/>
  <c r="X132" i="18"/>
  <c r="X299" i="18" s="1"/>
  <c r="I7" i="18"/>
  <c r="I167" i="18" s="1"/>
  <c r="M133" i="18"/>
  <c r="M300" i="18" s="1"/>
  <c r="L54" i="14"/>
  <c r="L54" i="15" s="1"/>
  <c r="J39" i="18"/>
  <c r="J199" i="18" s="1"/>
  <c r="N70" i="14"/>
  <c r="N70" i="15" s="1"/>
  <c r="H257" i="17"/>
  <c r="H97" i="18" s="1"/>
  <c r="H97" i="17"/>
  <c r="K18" i="18"/>
  <c r="K178" i="18" s="1"/>
  <c r="H33" i="18"/>
  <c r="H193" i="18" s="1"/>
  <c r="O250" i="1"/>
  <c r="D69" i="31" s="1"/>
  <c r="P256" i="1"/>
  <c r="N256" i="1"/>
  <c r="G31" i="15"/>
  <c r="J89" i="14"/>
  <c r="J89" i="15" s="1"/>
  <c r="M57" i="18"/>
  <c r="M217" i="18" s="1"/>
  <c r="J53" i="18"/>
  <c r="J213" i="18" s="1"/>
  <c r="G109" i="16"/>
  <c r="G269" i="13"/>
  <c r="G109" i="14" s="1"/>
  <c r="G109" i="13"/>
  <c r="G197" i="17"/>
  <c r="G37" i="18" s="1"/>
  <c r="G197" i="18" s="1"/>
  <c r="G37" i="17"/>
  <c r="G255" i="17"/>
  <c r="G95" i="18" s="1"/>
  <c r="G259" i="18" s="1"/>
  <c r="G95" i="17"/>
  <c r="O133" i="18"/>
  <c r="O300" i="18" s="1"/>
  <c r="G108" i="16"/>
  <c r="G268" i="13"/>
  <c r="G108" i="14" s="1"/>
  <c r="G108" i="13"/>
  <c r="G95" i="15"/>
  <c r="G191" i="17"/>
  <c r="G31" i="18" s="1"/>
  <c r="G31" i="17"/>
  <c r="Y133" i="18"/>
  <c r="Y300" i="18" s="1"/>
  <c r="G9" i="11"/>
  <c r="K125" i="18"/>
  <c r="K292" i="18" s="1"/>
  <c r="K142" i="18"/>
  <c r="G111" i="15"/>
  <c r="U153" i="14"/>
  <c r="U153" i="15" s="1"/>
  <c r="L48" i="15"/>
  <c r="L48" i="18"/>
  <c r="L208" i="18" s="1"/>
  <c r="G49" i="18"/>
  <c r="G209" i="18" s="1"/>
  <c r="H93" i="14"/>
  <c r="H93" i="15" s="1"/>
  <c r="H208" i="17"/>
  <c r="H48" i="17"/>
  <c r="H48" i="14"/>
  <c r="K173" i="17"/>
  <c r="K13" i="17"/>
  <c r="W96" i="15"/>
  <c r="W96" i="18"/>
  <c r="W260" i="18" s="1"/>
  <c r="P96" i="15"/>
  <c r="P256" i="17"/>
  <c r="P96" i="18" s="1"/>
  <c r="P260" i="18" s="1"/>
  <c r="P96" i="17"/>
  <c r="K13" i="13"/>
  <c r="K173" i="13"/>
  <c r="K13" i="14" s="1"/>
  <c r="H13" i="15"/>
  <c r="G271" i="17"/>
  <c r="G111" i="18" s="1"/>
  <c r="G278" i="18" s="1"/>
  <c r="G111" i="17"/>
  <c r="H173" i="17"/>
  <c r="H13" i="18" s="1"/>
  <c r="H173" i="18" s="1"/>
  <c r="H13" i="17"/>
  <c r="V37" i="18"/>
  <c r="V197" i="18" s="1"/>
  <c r="H7" i="15"/>
  <c r="H7" i="18"/>
  <c r="H167" i="18" s="1"/>
  <c r="H150" i="14"/>
  <c r="R132" i="18"/>
  <c r="R299" i="18" s="1"/>
  <c r="N9" i="11"/>
  <c r="H310" i="17"/>
  <c r="H150" i="17"/>
  <c r="N9" i="16"/>
  <c r="N169" i="13"/>
  <c r="N9" i="13"/>
  <c r="N55" i="18"/>
  <c r="N215" i="18" s="1"/>
  <c r="L169" i="12"/>
  <c r="L9" i="16" s="1"/>
  <c r="L67" i="15"/>
  <c r="L67" i="18"/>
  <c r="L228" i="18" s="1"/>
  <c r="K251" i="17"/>
  <c r="K91" i="17"/>
  <c r="H125" i="15"/>
  <c r="Q59" i="18"/>
  <c r="Q219" i="18" s="1"/>
  <c r="P112" i="15"/>
  <c r="K91" i="13"/>
  <c r="K251" i="13"/>
  <c r="K91" i="14" s="1"/>
  <c r="S88" i="18"/>
  <c r="S252" i="18" s="1"/>
  <c r="P272" i="17"/>
  <c r="P112" i="18" s="1"/>
  <c r="P112" i="17"/>
  <c r="Q88" i="18"/>
  <c r="Q252" i="18" s="1"/>
  <c r="Q88" i="15"/>
  <c r="O7" i="15"/>
  <c r="M74" i="18"/>
  <c r="M235" i="18" s="1"/>
  <c r="M74" i="15"/>
  <c r="H79" i="18"/>
  <c r="H241" i="18" s="1"/>
  <c r="H79" i="15"/>
  <c r="N108" i="14"/>
  <c r="M80" i="14"/>
  <c r="M80" i="15" s="1"/>
  <c r="H5" i="14"/>
  <c r="H5" i="15" s="1"/>
  <c r="K67" i="15"/>
  <c r="H67" i="15"/>
  <c r="M5" i="15"/>
  <c r="M5" i="18"/>
  <c r="M165" i="18" s="1"/>
  <c r="T313" i="17"/>
  <c r="T153" i="17"/>
  <c r="J45" i="14"/>
  <c r="J45" i="15" s="1"/>
  <c r="T153" i="13"/>
  <c r="T313" i="13"/>
  <c r="T153" i="14" s="1"/>
  <c r="T153" i="15" s="1"/>
  <c r="J111" i="15"/>
  <c r="J111" i="18"/>
  <c r="J278" i="18" s="1"/>
  <c r="K227" i="17"/>
  <c r="K67" i="17"/>
  <c r="H124" i="15"/>
  <c r="J267" i="17"/>
  <c r="J107" i="17"/>
  <c r="J107" i="14"/>
  <c r="H227" i="17"/>
  <c r="H67" i="18" s="1"/>
  <c r="H228" i="18" s="1"/>
  <c r="H67" i="17"/>
  <c r="H124" i="17"/>
  <c r="H284" i="17"/>
  <c r="H124" i="18" s="1"/>
  <c r="H291" i="18" s="1"/>
  <c r="V153" i="17"/>
  <c r="V313" i="17"/>
  <c r="V153" i="13"/>
  <c r="V313" i="13"/>
  <c r="V153" i="14" s="1"/>
  <c r="V153" i="15" s="1"/>
  <c r="G225" i="17"/>
  <c r="G65" i="17"/>
  <c r="N225" i="17"/>
  <c r="N65" i="17"/>
  <c r="L225" i="17"/>
  <c r="L65" i="17"/>
  <c r="L138" i="14"/>
  <c r="L138" i="15" s="1"/>
  <c r="M48" i="18"/>
  <c r="M208" i="18" s="1"/>
  <c r="M48" i="15"/>
  <c r="H39" i="15"/>
  <c r="J70" i="14"/>
  <c r="J70" i="15" s="1"/>
  <c r="S153" i="15"/>
  <c r="H53" i="17"/>
  <c r="H213" i="17"/>
  <c r="M53" i="15"/>
  <c r="I48" i="18"/>
  <c r="I208" i="18" s="1"/>
  <c r="J5" i="18"/>
  <c r="J165" i="18" s="1"/>
  <c r="W135" i="18"/>
  <c r="W302" i="18" s="1"/>
  <c r="S153" i="17"/>
  <c r="S313" i="17"/>
  <c r="S153" i="18" s="1"/>
  <c r="S323" i="18" s="1"/>
  <c r="H213" i="13"/>
  <c r="H53" i="14" s="1"/>
  <c r="H53" i="13"/>
  <c r="L53" i="15"/>
  <c r="J240" i="17"/>
  <c r="J80" i="17"/>
  <c r="I131" i="14"/>
  <c r="J167" i="17"/>
  <c r="J7" i="17"/>
  <c r="M240" i="17"/>
  <c r="M80" i="17"/>
  <c r="H285" i="17"/>
  <c r="H125" i="18" s="1"/>
  <c r="H292" i="18" s="1"/>
  <c r="H125" i="17"/>
  <c r="K94" i="15"/>
  <c r="K94" i="18"/>
  <c r="K258" i="18" s="1"/>
  <c r="L213" i="17"/>
  <c r="L53" i="18" s="1"/>
  <c r="L213" i="18" s="1"/>
  <c r="L53" i="17"/>
  <c r="L225" i="13"/>
  <c r="L65" i="14" s="1"/>
  <c r="L65" i="15" s="1"/>
  <c r="L65" i="13"/>
  <c r="G80" i="15"/>
  <c r="J80" i="14"/>
  <c r="H122" i="18"/>
  <c r="H289" i="18" s="1"/>
  <c r="H122" i="15"/>
  <c r="J7" i="13"/>
  <c r="J167" i="13"/>
  <c r="J7" i="14" s="1"/>
  <c r="J7" i="15" s="1"/>
  <c r="G225" i="13"/>
  <c r="G65" i="14" s="1"/>
  <c r="G65" i="15" s="1"/>
  <c r="G65" i="13"/>
  <c r="K48" i="18"/>
  <c r="K208" i="18" s="1"/>
  <c r="K48" i="15"/>
  <c r="G240" i="17"/>
  <c r="G80" i="18" s="1"/>
  <c r="G242" i="18" s="1"/>
  <c r="G80" i="17"/>
  <c r="N65" i="13"/>
  <c r="N225" i="13"/>
  <c r="N65" i="14" s="1"/>
  <c r="M213" i="17"/>
  <c r="M53" i="18" s="1"/>
  <c r="M213" i="18" s="1"/>
  <c r="M53" i="17"/>
  <c r="W110" i="18"/>
  <c r="W276" i="18" s="1"/>
  <c r="Q153" i="17"/>
  <c r="Q313" i="17"/>
  <c r="I258" i="18"/>
  <c r="H230" i="17"/>
  <c r="H70" i="18" s="1"/>
  <c r="H231" i="18" s="1"/>
  <c r="H70" i="17"/>
  <c r="J152" i="15"/>
  <c r="J152" i="18"/>
  <c r="J322" i="18" s="1"/>
  <c r="G179" i="17"/>
  <c r="G19" i="17"/>
  <c r="Q135" i="18"/>
  <c r="Q302" i="18" s="1"/>
  <c r="G119" i="14"/>
  <c r="G119" i="15" s="1"/>
  <c r="I70" i="15"/>
  <c r="L152" i="18"/>
  <c r="L322" i="18" s="1"/>
  <c r="L152" i="15"/>
  <c r="I135" i="18"/>
  <c r="I302" i="18" s="1"/>
  <c r="I135" i="15"/>
  <c r="M135" i="18"/>
  <c r="M302" i="18" s="1"/>
  <c r="M135" i="15"/>
  <c r="M173" i="17"/>
  <c r="M13" i="17"/>
  <c r="M54" i="18"/>
  <c r="M214" i="18" s="1"/>
  <c r="Q153" i="13"/>
  <c r="Q313" i="13"/>
  <c r="Q153" i="14" s="1"/>
  <c r="I70" i="17"/>
  <c r="I230" i="17"/>
  <c r="I70" i="18" s="1"/>
  <c r="I231" i="18" s="1"/>
  <c r="U313" i="17"/>
  <c r="U153" i="17"/>
  <c r="G70" i="15"/>
  <c r="J230" i="17"/>
  <c r="J70" i="17"/>
  <c r="X153" i="15"/>
  <c r="I227" i="17"/>
  <c r="I67" i="17"/>
  <c r="L230" i="17"/>
  <c r="L70" i="17"/>
  <c r="M285" i="17"/>
  <c r="M125" i="17"/>
  <c r="L70" i="14"/>
  <c r="G70" i="17"/>
  <c r="G230" i="17"/>
  <c r="G70" i="18" s="1"/>
  <c r="M91" i="15"/>
  <c r="X313" i="17"/>
  <c r="X153" i="18" s="1"/>
  <c r="X323" i="18" s="1"/>
  <c r="X153" i="17"/>
  <c r="G152" i="18"/>
  <c r="G322" i="18" s="1"/>
  <c r="L50" i="18"/>
  <c r="L210" i="18" s="1"/>
  <c r="I125" i="18"/>
  <c r="I292" i="18" s="1"/>
  <c r="I125" i="15"/>
  <c r="I227" i="13"/>
  <c r="I67" i="14" s="1"/>
  <c r="I67" i="15" s="1"/>
  <c r="I67" i="13"/>
  <c r="H165" i="17"/>
  <c r="H5" i="17"/>
  <c r="L55" i="18"/>
  <c r="L215" i="18" s="1"/>
  <c r="N230" i="17"/>
  <c r="N70" i="17"/>
  <c r="M251" i="17"/>
  <c r="M91" i="18" s="1"/>
  <c r="M91" i="17"/>
  <c r="U135" i="18"/>
  <c r="U302" i="18" s="1"/>
  <c r="L103" i="18"/>
  <c r="L269" i="18" s="1"/>
  <c r="H10" i="14"/>
  <c r="H10" i="15" s="1"/>
  <c r="N142" i="14"/>
  <c r="N142" i="15" s="1"/>
  <c r="I152" i="18"/>
  <c r="I322" i="18" s="1"/>
  <c r="I152" i="15"/>
  <c r="H70" i="15"/>
  <c r="J122" i="18"/>
  <c r="J289" i="18" s="1"/>
  <c r="K41" i="18"/>
  <c r="K201" i="18" s="1"/>
  <c r="K41" i="15"/>
  <c r="H205" i="17"/>
  <c r="H45" i="17"/>
  <c r="K115" i="15"/>
  <c r="G147" i="15"/>
  <c r="K124" i="17"/>
  <c r="K284" i="17"/>
  <c r="AO253" i="1"/>
  <c r="C253" i="1" s="1"/>
  <c r="J130" i="18"/>
  <c r="J297" i="18" s="1"/>
  <c r="O33" i="18"/>
  <c r="O193" i="18" s="1"/>
  <c r="G307" i="17"/>
  <c r="G147" i="18" s="1"/>
  <c r="G316" i="18" s="1"/>
  <c r="G147" i="17"/>
  <c r="M52" i="15"/>
  <c r="P250" i="1"/>
  <c r="AO250" i="1"/>
  <c r="C250" i="1" s="1"/>
  <c r="K124" i="14"/>
  <c r="K54" i="18"/>
  <c r="K214" i="18" s="1"/>
  <c r="I18" i="18"/>
  <c r="I178" i="18" s="1"/>
  <c r="I18" i="15"/>
  <c r="M52" i="17"/>
  <c r="M212" i="17"/>
  <c r="M52" i="18" s="1"/>
  <c r="M212" i="18" s="1"/>
  <c r="H45" i="13"/>
  <c r="H205" i="13"/>
  <c r="H45" i="14" s="1"/>
  <c r="H45" i="15" s="1"/>
  <c r="M33" i="18"/>
  <c r="M193" i="18" s="1"/>
  <c r="H105" i="15"/>
  <c r="H265" i="17"/>
  <c r="H105" i="18" s="1"/>
  <c r="H271" i="18" s="1"/>
  <c r="H105" i="17"/>
  <c r="Y33" i="18"/>
  <c r="Y193" i="18" s="1"/>
  <c r="Y33" i="15"/>
  <c r="H34" i="18"/>
  <c r="H194" i="18" s="1"/>
  <c r="H34" i="15"/>
  <c r="L154" i="18"/>
  <c r="L325" i="18" s="1"/>
  <c r="L154" i="15"/>
  <c r="H175" i="17"/>
  <c r="H15" i="17"/>
  <c r="G68" i="14"/>
  <c r="G68" i="15" s="1"/>
  <c r="I52" i="14"/>
  <c r="H114" i="17"/>
  <c r="H274" i="17"/>
  <c r="H114" i="18" s="1"/>
  <c r="H281" i="18" s="1"/>
  <c r="H199" i="17"/>
  <c r="H39" i="18" s="1"/>
  <c r="H199" i="18" s="1"/>
  <c r="H39" i="17"/>
  <c r="J205" i="17"/>
  <c r="J45" i="17"/>
  <c r="I212" i="17"/>
  <c r="I52" i="17"/>
  <c r="Q33" i="15"/>
  <c r="Q33" i="18"/>
  <c r="Q193" i="18" s="1"/>
  <c r="U33" i="15"/>
  <c r="U33" i="18"/>
  <c r="U193" i="18" s="1"/>
  <c r="H175" i="13"/>
  <c r="H15" i="14" s="1"/>
  <c r="H15" i="15" s="1"/>
  <c r="H15" i="13"/>
  <c r="K26" i="18"/>
  <c r="K186" i="18" s="1"/>
  <c r="I9" i="11"/>
  <c r="G234" i="17"/>
  <c r="G74" i="18" s="1"/>
  <c r="G235" i="18" s="1"/>
  <c r="G74" i="17"/>
  <c r="K33" i="18"/>
  <c r="K193" i="18" s="1"/>
  <c r="L36" i="15"/>
  <c r="L36" i="18"/>
  <c r="L196" i="18" s="1"/>
  <c r="J249" i="17"/>
  <c r="J89" i="17"/>
  <c r="G74" i="15"/>
  <c r="K63" i="14"/>
  <c r="V132" i="18"/>
  <c r="V299" i="18" s="1"/>
  <c r="T132" i="18"/>
  <c r="T299" i="18" s="1"/>
  <c r="O105" i="14"/>
  <c r="O105" i="15" s="1"/>
  <c r="K275" i="17"/>
  <c r="K115" i="18" s="1"/>
  <c r="K282" i="18" s="1"/>
  <c r="K115" i="17"/>
  <c r="L15" i="15"/>
  <c r="I115" i="15"/>
  <c r="S33" i="18"/>
  <c r="S193" i="18" s="1"/>
  <c r="S33" i="15"/>
  <c r="K223" i="17"/>
  <c r="K63" i="17"/>
  <c r="H114" i="15"/>
  <c r="L175" i="17"/>
  <c r="L15" i="18" s="1"/>
  <c r="L175" i="18" s="1"/>
  <c r="L15" i="17"/>
  <c r="I275" i="17"/>
  <c r="I115" i="18" s="1"/>
  <c r="I282" i="18" s="1"/>
  <c r="I115" i="17"/>
  <c r="Z132" i="18"/>
  <c r="Z299" i="18" s="1"/>
  <c r="N14" i="18"/>
  <c r="N14" i="15"/>
  <c r="W88" i="18"/>
  <c r="W252" i="18" s="1"/>
  <c r="N229" i="17"/>
  <c r="N69" i="17"/>
  <c r="M109" i="18"/>
  <c r="M275" i="18" s="1"/>
  <c r="M109" i="15"/>
  <c r="I274" i="17"/>
  <c r="I114" i="17"/>
  <c r="M123" i="15"/>
  <c r="M123" i="18"/>
  <c r="M290" i="18" s="1"/>
  <c r="H210" i="17"/>
  <c r="H50" i="17"/>
  <c r="O243" i="17"/>
  <c r="O83" i="17"/>
  <c r="N205" i="17"/>
  <c r="N45" i="17"/>
  <c r="O183" i="17"/>
  <c r="O23" i="17"/>
  <c r="I123" i="15"/>
  <c r="I123" i="18"/>
  <c r="I290" i="18" s="1"/>
  <c r="G138" i="15"/>
  <c r="K298" i="17"/>
  <c r="K138" i="17"/>
  <c r="X137" i="17"/>
  <c r="X297" i="17"/>
  <c r="H23" i="15"/>
  <c r="G253" i="17"/>
  <c r="G93" i="18" s="1"/>
  <c r="G257" i="18" s="1"/>
  <c r="G93" i="17"/>
  <c r="M45" i="17"/>
  <c r="M205" i="17"/>
  <c r="G142" i="15"/>
  <c r="N93" i="13"/>
  <c r="N253" i="13"/>
  <c r="N93" i="14" s="1"/>
  <c r="M290" i="17"/>
  <c r="M130" i="18" s="1"/>
  <c r="M297" i="18" s="1"/>
  <c r="M130" i="17"/>
  <c r="M298" i="13"/>
  <c r="M138" i="14" s="1"/>
  <c r="M138" i="15" s="1"/>
  <c r="M138" i="13"/>
  <c r="K130" i="15"/>
  <c r="G302" i="17"/>
  <c r="G142" i="18" s="1"/>
  <c r="G311" i="18" s="1"/>
  <c r="G142" i="17"/>
  <c r="J307" i="13"/>
  <c r="J147" i="14" s="1"/>
  <c r="J147" i="13"/>
  <c r="H142" i="15"/>
  <c r="H317" i="17"/>
  <c r="H157" i="17"/>
  <c r="L138" i="17"/>
  <c r="L298" i="17"/>
  <c r="O298" i="13"/>
  <c r="O138" i="14" s="1"/>
  <c r="O138" i="13"/>
  <c r="N10" i="15"/>
  <c r="G205" i="17"/>
  <c r="G45" i="18" s="1"/>
  <c r="G205" i="18" s="1"/>
  <c r="G45" i="17"/>
  <c r="O290" i="17"/>
  <c r="O130" i="17"/>
  <c r="X59" i="18"/>
  <c r="X219" i="18" s="1"/>
  <c r="L302" i="17"/>
  <c r="L142" i="18" s="1"/>
  <c r="L311" i="18" s="1"/>
  <c r="L142" i="17"/>
  <c r="M183" i="13"/>
  <c r="M23" i="14" s="1"/>
  <c r="M23" i="13"/>
  <c r="L253" i="17"/>
  <c r="L93" i="18" s="1"/>
  <c r="L257" i="18" s="1"/>
  <c r="L93" i="17"/>
  <c r="L89" i="15"/>
  <c r="H123" i="17"/>
  <c r="H283" i="17"/>
  <c r="H123" i="18" s="1"/>
  <c r="H290" i="18" s="1"/>
  <c r="G170" i="17"/>
  <c r="G10" i="17"/>
  <c r="G52" i="15"/>
  <c r="I99" i="18"/>
  <c r="I263" i="18" s="1"/>
  <c r="K61" i="18"/>
  <c r="K221" i="18" s="1"/>
  <c r="J76" i="14"/>
  <c r="J76" i="15" s="1"/>
  <c r="M9" i="11"/>
  <c r="N229" i="13"/>
  <c r="N69" i="14" s="1"/>
  <c r="N69" i="13"/>
  <c r="H43" i="15"/>
  <c r="G130" i="14"/>
  <c r="G93" i="15"/>
  <c r="G249" i="17"/>
  <c r="G89" i="18" s="1"/>
  <c r="G253" i="18" s="1"/>
  <c r="G89" i="17"/>
  <c r="H75" i="18"/>
  <c r="H236" i="18" s="1"/>
  <c r="H75" i="15"/>
  <c r="L142" i="15"/>
  <c r="H142" i="17"/>
  <c r="H302" i="17"/>
  <c r="H142" i="18" s="1"/>
  <c r="M23" i="16"/>
  <c r="H119" i="15"/>
  <c r="H253" i="17"/>
  <c r="H93" i="17"/>
  <c r="N205" i="13"/>
  <c r="N45" i="14" s="1"/>
  <c r="N45" i="13"/>
  <c r="N93" i="16"/>
  <c r="H123" i="15"/>
  <c r="N170" i="17"/>
  <c r="N10" i="18" s="1"/>
  <c r="N170" i="18" s="1"/>
  <c r="N10" i="17"/>
  <c r="G170" i="13"/>
  <c r="G10" i="14" s="1"/>
  <c r="G10" i="13"/>
  <c r="J170" i="17"/>
  <c r="J10" i="17"/>
  <c r="U59" i="18"/>
  <c r="U219" i="18" s="1"/>
  <c r="O243" i="13"/>
  <c r="O83" i="14" s="1"/>
  <c r="O83" i="13"/>
  <c r="G183" i="17"/>
  <c r="G23" i="17"/>
  <c r="O279" i="17"/>
  <c r="O119" i="17"/>
  <c r="O45" i="17"/>
  <c r="O205" i="17"/>
  <c r="I119" i="14"/>
  <c r="N120" i="18"/>
  <c r="N287" i="18" s="1"/>
  <c r="O76" i="18"/>
  <c r="O237" i="18" s="1"/>
  <c r="L61" i="18"/>
  <c r="L221" i="18" s="1"/>
  <c r="M119" i="17"/>
  <c r="M279" i="17"/>
  <c r="H23" i="17"/>
  <c r="H183" i="17"/>
  <c r="H23" i="18" s="1"/>
  <c r="H183" i="18" s="1"/>
  <c r="T59" i="18"/>
  <c r="T219" i="18" s="1"/>
  <c r="T59" i="15"/>
  <c r="K69" i="15"/>
  <c r="G89" i="15"/>
  <c r="N298" i="17"/>
  <c r="N138" i="17"/>
  <c r="M205" i="13"/>
  <c r="M45" i="14" s="1"/>
  <c r="M45" i="13"/>
  <c r="G298" i="17"/>
  <c r="G138" i="18" s="1"/>
  <c r="G138" i="17"/>
  <c r="H89" i="15"/>
  <c r="K183" i="13"/>
  <c r="K23" i="14" s="1"/>
  <c r="K23" i="15" s="1"/>
  <c r="K23" i="13"/>
  <c r="G183" i="13"/>
  <c r="G23" i="14" s="1"/>
  <c r="G23" i="13"/>
  <c r="G279" i="17"/>
  <c r="G119" i="18" s="1"/>
  <c r="G119" i="17"/>
  <c r="H157" i="14"/>
  <c r="G212" i="17"/>
  <c r="G52" i="18" s="1"/>
  <c r="G52" i="17"/>
  <c r="O205" i="13"/>
  <c r="O45" i="14" s="1"/>
  <c r="O45" i="15" s="1"/>
  <c r="O45" i="13"/>
  <c r="H290" i="17"/>
  <c r="H130" i="17"/>
  <c r="I119" i="17"/>
  <c r="I279" i="17"/>
  <c r="V137" i="18"/>
  <c r="V304" i="18" s="1"/>
  <c r="H203" i="17"/>
  <c r="H43" i="18" s="1"/>
  <c r="H203" i="18" s="1"/>
  <c r="H43" i="17"/>
  <c r="K290" i="17"/>
  <c r="K130" i="18" s="1"/>
  <c r="K297" i="18" s="1"/>
  <c r="K130" i="17"/>
  <c r="K183" i="17"/>
  <c r="K23" i="17"/>
  <c r="H74" i="13"/>
  <c r="H234" i="13"/>
  <c r="H74" i="14" s="1"/>
  <c r="O183" i="13"/>
  <c r="O23" i="14" s="1"/>
  <c r="O23" i="15" s="1"/>
  <c r="O23" i="13"/>
  <c r="M130" i="15"/>
  <c r="J93" i="17"/>
  <c r="J253" i="17"/>
  <c r="I138" i="17"/>
  <c r="I298" i="17"/>
  <c r="N302" i="17"/>
  <c r="N142" i="17"/>
  <c r="H249" i="17"/>
  <c r="H89" i="18" s="1"/>
  <c r="H89" i="17"/>
  <c r="L249" i="17"/>
  <c r="L89" i="18" s="1"/>
  <c r="L253" i="18" s="1"/>
  <c r="L89" i="17"/>
  <c r="J142" i="17"/>
  <c r="J302" i="17"/>
  <c r="G68" i="17"/>
  <c r="G228" i="17"/>
  <c r="H138" i="15"/>
  <c r="H290" i="13"/>
  <c r="H130" i="14" s="1"/>
  <c r="H130" i="15" s="1"/>
  <c r="H130" i="13"/>
  <c r="M119" i="15"/>
  <c r="K229" i="17"/>
  <c r="K69" i="18" s="1"/>
  <c r="K230" i="18" s="1"/>
  <c r="K69" i="17"/>
  <c r="H279" i="17"/>
  <c r="H119" i="18" s="1"/>
  <c r="H286" i="18" s="1"/>
  <c r="H119" i="17"/>
  <c r="I274" i="13"/>
  <c r="I114" i="14" s="1"/>
  <c r="I114" i="13"/>
  <c r="K138" i="13"/>
  <c r="K298" i="13"/>
  <c r="K138" i="14" s="1"/>
  <c r="H83" i="14"/>
  <c r="H83" i="15" s="1"/>
  <c r="H74" i="16"/>
  <c r="H170" i="17"/>
  <c r="H10" i="18" s="1"/>
  <c r="H170" i="18" s="1"/>
  <c r="H10" i="17"/>
  <c r="L10" i="18"/>
  <c r="L170" i="18" s="1"/>
  <c r="V75" i="15"/>
  <c r="V75" i="18"/>
  <c r="V236" i="18" s="1"/>
  <c r="I138" i="13"/>
  <c r="I298" i="13"/>
  <c r="I138" i="14" s="1"/>
  <c r="I138" i="15" s="1"/>
  <c r="M298" i="17"/>
  <c r="M138" i="17"/>
  <c r="N138" i="14"/>
  <c r="J93" i="14"/>
  <c r="J147" i="17"/>
  <c r="J307" i="17"/>
  <c r="J302" i="13"/>
  <c r="J142" i="14" s="1"/>
  <c r="J142" i="15" s="1"/>
  <c r="J142" i="13"/>
  <c r="I183" i="17"/>
  <c r="I23" i="17"/>
  <c r="O138" i="16"/>
  <c r="W59" i="18"/>
  <c r="W219" i="18" s="1"/>
  <c r="W59" i="15"/>
  <c r="G45" i="15"/>
  <c r="X137" i="13"/>
  <c r="X297" i="13"/>
  <c r="X137" i="14" s="1"/>
  <c r="H298" i="17"/>
  <c r="H138" i="18" s="1"/>
  <c r="H306" i="18" s="1"/>
  <c r="H138" i="17"/>
  <c r="O130" i="14"/>
  <c r="J10" i="14"/>
  <c r="H210" i="13"/>
  <c r="H50" i="14" s="1"/>
  <c r="H50" i="15" s="1"/>
  <c r="H50" i="13"/>
  <c r="J43" i="18"/>
  <c r="J203" i="18" s="1"/>
  <c r="J43" i="15"/>
  <c r="L229" i="17"/>
  <c r="L69" i="17"/>
  <c r="J49" i="17"/>
  <c r="J209" i="17"/>
  <c r="K317" i="17"/>
  <c r="K157" i="17"/>
  <c r="G260" i="18"/>
  <c r="N47" i="17"/>
  <c r="M243" i="17"/>
  <c r="M83" i="17"/>
  <c r="G120" i="17"/>
  <c r="G280" i="17"/>
  <c r="M41" i="17"/>
  <c r="M201" i="17"/>
  <c r="O154" i="17"/>
  <c r="O314" i="17"/>
  <c r="H269" i="17"/>
  <c r="H109" i="17"/>
  <c r="G299" i="17"/>
  <c r="G139" i="17"/>
  <c r="I269" i="17"/>
  <c r="I109" i="17"/>
  <c r="J241" i="17"/>
  <c r="J81" i="17"/>
  <c r="I157" i="17"/>
  <c r="I317" i="17"/>
  <c r="G199" i="17"/>
  <c r="G39" i="17"/>
  <c r="H209" i="17"/>
  <c r="H49" i="17"/>
  <c r="O199" i="17"/>
  <c r="O39" i="17"/>
  <c r="H214" i="17"/>
  <c r="H54" i="17"/>
  <c r="O309" i="17"/>
  <c r="O149" i="17"/>
  <c r="I63" i="17"/>
  <c r="I223" i="17"/>
  <c r="M241" i="17"/>
  <c r="M81" i="17"/>
  <c r="G265" i="17"/>
  <c r="G105" i="17"/>
  <c r="G83" i="17"/>
  <c r="G243" i="17"/>
  <c r="J214" i="17"/>
  <c r="J54" i="17"/>
  <c r="J169" i="17"/>
  <c r="J9" i="17"/>
  <c r="I179" i="17"/>
  <c r="I19" i="17"/>
  <c r="G175" i="17"/>
  <c r="G15" i="17"/>
  <c r="H307" i="17"/>
  <c r="H147" i="17"/>
  <c r="K154" i="15"/>
  <c r="O283" i="17"/>
  <c r="O123" i="17"/>
  <c r="O241" i="17"/>
  <c r="O81" i="17"/>
  <c r="J268" i="17"/>
  <c r="J108" i="17"/>
  <c r="O229" i="17"/>
  <c r="O69" i="17"/>
  <c r="G241" i="17"/>
  <c r="G81" i="17"/>
  <c r="K127" i="18"/>
  <c r="K294" i="18" s="1"/>
  <c r="H146" i="18"/>
  <c r="M317" i="13"/>
  <c r="M157" i="14" s="1"/>
  <c r="M157" i="15" s="1"/>
  <c r="M157" i="13"/>
  <c r="G186" i="13"/>
  <c r="G26" i="14" s="1"/>
  <c r="G26" i="15" s="1"/>
  <c r="G26" i="13"/>
  <c r="X61" i="18"/>
  <c r="X221" i="18" s="1"/>
  <c r="Z133" i="15"/>
  <c r="Z133" i="18"/>
  <c r="Z300" i="18" s="1"/>
  <c r="M210" i="13"/>
  <c r="M50" i="14" s="1"/>
  <c r="M50" i="13"/>
  <c r="J229" i="13"/>
  <c r="J69" i="14" s="1"/>
  <c r="J69" i="15" s="1"/>
  <c r="J69" i="13"/>
  <c r="N306" i="13"/>
  <c r="N146" i="14" s="1"/>
  <c r="N146" i="13"/>
  <c r="G18" i="18"/>
  <c r="T133" i="15"/>
  <c r="T133" i="18"/>
  <c r="T300" i="18" s="1"/>
  <c r="K105" i="18"/>
  <c r="K271" i="18" s="1"/>
  <c r="K105" i="15"/>
  <c r="I236" i="13"/>
  <c r="I76" i="14" s="1"/>
  <c r="I76" i="13"/>
  <c r="L81" i="17"/>
  <c r="L241" i="17"/>
  <c r="L81" i="18" s="1"/>
  <c r="L243" i="18" s="1"/>
  <c r="G229" i="13"/>
  <c r="G69" i="14" s="1"/>
  <c r="G69" i="13"/>
  <c r="H141" i="13"/>
  <c r="H301" i="13"/>
  <c r="H141" i="14" s="1"/>
  <c r="H141" i="15" s="1"/>
  <c r="N307" i="13"/>
  <c r="N147" i="14" s="1"/>
  <c r="N147" i="13"/>
  <c r="O169" i="12"/>
  <c r="O9" i="16" s="1"/>
  <c r="H263" i="17"/>
  <c r="H103" i="18" s="1"/>
  <c r="H269" i="18" s="1"/>
  <c r="H103" i="17"/>
  <c r="G309" i="13"/>
  <c r="G149" i="14" s="1"/>
  <c r="G149" i="15" s="1"/>
  <c r="G149" i="13"/>
  <c r="G99" i="15"/>
  <c r="I175" i="13"/>
  <c r="I15" i="14" s="1"/>
  <c r="I15" i="13"/>
  <c r="L139" i="18"/>
  <c r="L307" i="18" s="1"/>
  <c r="L139" i="15"/>
  <c r="M76" i="18"/>
  <c r="M237" i="18" s="1"/>
  <c r="M76" i="15"/>
  <c r="I39" i="18"/>
  <c r="I199" i="18" s="1"/>
  <c r="Q36" i="18"/>
  <c r="Q196" i="18" s="1"/>
  <c r="Q36" i="15"/>
  <c r="H115" i="18"/>
  <c r="H282" i="18" s="1"/>
  <c r="H115" i="15"/>
  <c r="N133" i="18"/>
  <c r="N300" i="18" s="1"/>
  <c r="N133" i="15"/>
  <c r="L47" i="18"/>
  <c r="L207" i="18" s="1"/>
  <c r="L47" i="15"/>
  <c r="H307" i="13"/>
  <c r="H147" i="14" s="1"/>
  <c r="H147" i="15" s="1"/>
  <c r="H147" i="13"/>
  <c r="O283" i="13"/>
  <c r="O123" i="14" s="1"/>
  <c r="O123" i="15" s="1"/>
  <c r="O123" i="13"/>
  <c r="K96" i="18"/>
  <c r="K260" i="18" s="1"/>
  <c r="K96" i="15"/>
  <c r="M141" i="18"/>
  <c r="M310" i="18" s="1"/>
  <c r="M141" i="15"/>
  <c r="L229" i="13"/>
  <c r="L69" i="14" s="1"/>
  <c r="L69" i="15" s="1"/>
  <c r="L69" i="13"/>
  <c r="O265" i="17"/>
  <c r="O105" i="17"/>
  <c r="J108" i="13"/>
  <c r="J268" i="13"/>
  <c r="J108" i="14" s="1"/>
  <c r="M96" i="18"/>
  <c r="M260" i="18" s="1"/>
  <c r="N306" i="17"/>
  <c r="N146" i="17"/>
  <c r="J209" i="13"/>
  <c r="J49" i="14" s="1"/>
  <c r="J49" i="13"/>
  <c r="Y32" i="18"/>
  <c r="Y192" i="18" s="1"/>
  <c r="Y32" i="15"/>
  <c r="I33" i="15"/>
  <c r="I33" i="18"/>
  <c r="G229" i="17"/>
  <c r="G69" i="17"/>
  <c r="L83" i="15"/>
  <c r="L83" i="18"/>
  <c r="L245" i="18" s="1"/>
  <c r="I105" i="15"/>
  <c r="K317" i="13"/>
  <c r="K157" i="14" s="1"/>
  <c r="K157" i="13"/>
  <c r="J149" i="13"/>
  <c r="J309" i="13"/>
  <c r="J149" i="14" s="1"/>
  <c r="M243" i="13"/>
  <c r="M83" i="14" s="1"/>
  <c r="M83" i="15" s="1"/>
  <c r="M83" i="13"/>
  <c r="G44" i="15"/>
  <c r="H103" i="15"/>
  <c r="G259" i="17"/>
  <c r="G99" i="18" s="1"/>
  <c r="G99" i="17"/>
  <c r="I15" i="17"/>
  <c r="I175" i="17"/>
  <c r="J241" i="13"/>
  <c r="J81" i="14" s="1"/>
  <c r="J81" i="13"/>
  <c r="O314" i="13"/>
  <c r="O154" i="14" s="1"/>
  <c r="O154" i="13"/>
  <c r="G241" i="13"/>
  <c r="G81" i="14" s="1"/>
  <c r="G81" i="13"/>
  <c r="I317" i="13"/>
  <c r="I157" i="14" s="1"/>
  <c r="I157" i="13"/>
  <c r="H269" i="13"/>
  <c r="H109" i="14" s="1"/>
  <c r="H109" i="15" s="1"/>
  <c r="H109" i="13"/>
  <c r="M241" i="13"/>
  <c r="M81" i="14" s="1"/>
  <c r="M81" i="15" s="1"/>
  <c r="M81" i="13"/>
  <c r="H127" i="18"/>
  <c r="H294" i="18" s="1"/>
  <c r="K169" i="13"/>
  <c r="K9" i="14" s="1"/>
  <c r="K9" i="13"/>
  <c r="N241" i="17"/>
  <c r="N81" i="17"/>
  <c r="G265" i="13"/>
  <c r="G105" i="14" s="1"/>
  <c r="G105" i="13"/>
  <c r="K289" i="17"/>
  <c r="K129" i="17"/>
  <c r="G263" i="17"/>
  <c r="G103" i="18" s="1"/>
  <c r="G269" i="18" s="1"/>
  <c r="G103" i="17"/>
  <c r="O210" i="17"/>
  <c r="O50" i="17"/>
  <c r="I309" i="17"/>
  <c r="I149" i="17"/>
  <c r="G76" i="18"/>
  <c r="G237" i="18" s="1"/>
  <c r="G76" i="15"/>
  <c r="G54" i="15"/>
  <c r="G210" i="17"/>
  <c r="G50" i="17"/>
  <c r="G201" i="17"/>
  <c r="G41" i="17"/>
  <c r="H209" i="13"/>
  <c r="H49" i="14" s="1"/>
  <c r="H49" i="13"/>
  <c r="H289" i="17"/>
  <c r="H129" i="18" s="1"/>
  <c r="H296" i="18" s="1"/>
  <c r="H129" i="17"/>
  <c r="O241" i="13"/>
  <c r="O81" i="14" s="1"/>
  <c r="O81" i="13"/>
  <c r="O199" i="13"/>
  <c r="O39" i="14" s="1"/>
  <c r="O39" i="15" s="1"/>
  <c r="O39" i="13"/>
  <c r="I269" i="13"/>
  <c r="I109" i="14" s="1"/>
  <c r="I109" i="13"/>
  <c r="I314" i="17"/>
  <c r="I154" i="17"/>
  <c r="Z61" i="18"/>
  <c r="Z221" i="18" s="1"/>
  <c r="Z61" i="15"/>
  <c r="G317" i="17"/>
  <c r="G157" i="17"/>
  <c r="H41" i="15"/>
  <c r="J95" i="15"/>
  <c r="G127" i="13"/>
  <c r="G287" i="13"/>
  <c r="G127" i="14" s="1"/>
  <c r="J139" i="18"/>
  <c r="J307" i="18" s="1"/>
  <c r="J139" i="15"/>
  <c r="J61" i="18"/>
  <c r="J221" i="18" s="1"/>
  <c r="J61" i="15"/>
  <c r="G63" i="15"/>
  <c r="P133" i="15"/>
  <c r="L108" i="18"/>
  <c r="L274" i="18" s="1"/>
  <c r="L108" i="15"/>
  <c r="O229" i="13"/>
  <c r="O69" i="14" s="1"/>
  <c r="O69" i="13"/>
  <c r="K263" i="13"/>
  <c r="K103" i="14" s="1"/>
  <c r="K103" i="13"/>
  <c r="N26" i="17"/>
  <c r="N186" i="17"/>
  <c r="I265" i="17"/>
  <c r="I105" i="18" s="1"/>
  <c r="I271" i="18" s="1"/>
  <c r="I105" i="17"/>
  <c r="H214" i="13"/>
  <c r="H54" i="14" s="1"/>
  <c r="H54" i="15" s="1"/>
  <c r="H54" i="13"/>
  <c r="M309" i="17"/>
  <c r="M149" i="17"/>
  <c r="J214" i="13"/>
  <c r="J54" i="14" s="1"/>
  <c r="J54" i="13"/>
  <c r="N108" i="15"/>
  <c r="J309" i="17"/>
  <c r="J149" i="17"/>
  <c r="H154" i="15"/>
  <c r="G204" i="17"/>
  <c r="G44" i="18" s="1"/>
  <c r="G44" i="17"/>
  <c r="S59" i="18"/>
  <c r="S219" i="18" s="1"/>
  <c r="S59" i="15"/>
  <c r="J127" i="18"/>
  <c r="J294" i="18" s="1"/>
  <c r="J127" i="15"/>
  <c r="K133" i="18"/>
  <c r="K133" i="15"/>
  <c r="K210" i="17"/>
  <c r="K50" i="17"/>
  <c r="I179" i="13"/>
  <c r="I19" i="14" s="1"/>
  <c r="I19" i="13"/>
  <c r="H69" i="18"/>
  <c r="H230" i="18" s="1"/>
  <c r="L95" i="18"/>
  <c r="L259" i="18" s="1"/>
  <c r="I210" i="17"/>
  <c r="I50" i="17"/>
  <c r="G314" i="17"/>
  <c r="G154" i="17"/>
  <c r="J15" i="17"/>
  <c r="J175" i="17"/>
  <c r="M63" i="18"/>
  <c r="M223" i="18" s="1"/>
  <c r="M63" i="15"/>
  <c r="J76" i="17"/>
  <c r="J236" i="17"/>
  <c r="I103" i="17"/>
  <c r="I263" i="17"/>
  <c r="K9" i="16"/>
  <c r="N179" i="17"/>
  <c r="N19" i="17"/>
  <c r="Q61" i="18"/>
  <c r="Q221" i="18" s="1"/>
  <c r="H309" i="17"/>
  <c r="H149" i="17"/>
  <c r="N81" i="13"/>
  <c r="N241" i="13"/>
  <c r="N81" i="14" s="1"/>
  <c r="N81" i="15" s="1"/>
  <c r="K289" i="13"/>
  <c r="K129" i="14" s="1"/>
  <c r="K129" i="13"/>
  <c r="K314" i="17"/>
  <c r="K154" i="18" s="1"/>
  <c r="K325" i="18" s="1"/>
  <c r="K154" i="17"/>
  <c r="M9" i="16"/>
  <c r="M169" i="13"/>
  <c r="M9" i="13"/>
  <c r="O210" i="13"/>
  <c r="O50" i="14" s="1"/>
  <c r="O50" i="15" s="1"/>
  <c r="O50" i="13"/>
  <c r="I309" i="13"/>
  <c r="I149" i="14" s="1"/>
  <c r="I149" i="15" s="1"/>
  <c r="I149" i="13"/>
  <c r="M105" i="18"/>
  <c r="M271" i="18" s="1"/>
  <c r="M105" i="15"/>
  <c r="M15" i="18"/>
  <c r="M175" i="18" s="1"/>
  <c r="M15" i="15"/>
  <c r="S133" i="18"/>
  <c r="S300" i="18" s="1"/>
  <c r="S133" i="15"/>
  <c r="G214" i="17"/>
  <c r="G54" i="18" s="1"/>
  <c r="G214" i="18" s="1"/>
  <c r="G54" i="17"/>
  <c r="G50" i="13"/>
  <c r="G210" i="13"/>
  <c r="G50" i="14" s="1"/>
  <c r="G50" i="15" s="1"/>
  <c r="G41" i="13"/>
  <c r="G201" i="13"/>
  <c r="G41" i="14" s="1"/>
  <c r="M314" i="17"/>
  <c r="M154" i="17"/>
  <c r="I154" i="13"/>
  <c r="I314" i="13"/>
  <c r="I154" i="14" s="1"/>
  <c r="Y36" i="18"/>
  <c r="Y196" i="18" s="1"/>
  <c r="Y36" i="15"/>
  <c r="G317" i="13"/>
  <c r="G157" i="14" s="1"/>
  <c r="G157" i="13"/>
  <c r="G127" i="16"/>
  <c r="G223" i="17"/>
  <c r="G63" i="18" s="1"/>
  <c r="G63" i="17"/>
  <c r="K301" i="17"/>
  <c r="K141" i="17"/>
  <c r="L19" i="18"/>
  <c r="L179" i="18" s="1"/>
  <c r="L19" i="15"/>
  <c r="K103" i="16"/>
  <c r="M103" i="17"/>
  <c r="M263" i="17"/>
  <c r="M309" i="13"/>
  <c r="M149" i="14" s="1"/>
  <c r="M149" i="13"/>
  <c r="N268" i="17"/>
  <c r="N108" i="18" s="1"/>
  <c r="N274" i="18" s="1"/>
  <c r="N108" i="17"/>
  <c r="H243" i="17"/>
  <c r="H83" i="17"/>
  <c r="H314" i="17"/>
  <c r="H154" i="18" s="1"/>
  <c r="H325" i="18" s="1"/>
  <c r="H154" i="17"/>
  <c r="M229" i="13"/>
  <c r="M69" i="14" s="1"/>
  <c r="M69" i="13"/>
  <c r="G169" i="12"/>
  <c r="G9" i="16" s="1"/>
  <c r="L289" i="13"/>
  <c r="L129" i="14" s="1"/>
  <c r="L129" i="13"/>
  <c r="L214" i="17"/>
  <c r="L54" i="17"/>
  <c r="I69" i="17"/>
  <c r="I229" i="17"/>
  <c r="G301" i="17"/>
  <c r="G141" i="18" s="1"/>
  <c r="G310" i="18" s="1"/>
  <c r="G141" i="17"/>
  <c r="M18" i="18"/>
  <c r="M178" i="18" s="1"/>
  <c r="P61" i="18"/>
  <c r="P221" i="18" s="1"/>
  <c r="H32" i="18"/>
  <c r="H192" i="18" s="1"/>
  <c r="L157" i="18"/>
  <c r="L328" i="18" s="1"/>
  <c r="I210" i="13"/>
  <c r="I50" i="14" s="1"/>
  <c r="I50" i="13"/>
  <c r="J175" i="13"/>
  <c r="J15" i="14" s="1"/>
  <c r="J15" i="13"/>
  <c r="M179" i="13"/>
  <c r="M19" i="14" s="1"/>
  <c r="M19" i="13"/>
  <c r="I103" i="13"/>
  <c r="I263" i="13"/>
  <c r="I103" i="14" s="1"/>
  <c r="I103" i="15" s="1"/>
  <c r="H268" i="17"/>
  <c r="H108" i="17"/>
  <c r="H309" i="13"/>
  <c r="H149" i="14" s="1"/>
  <c r="H149" i="15" s="1"/>
  <c r="H149" i="13"/>
  <c r="H81" i="17"/>
  <c r="H241" i="17"/>
  <c r="G39" i="13"/>
  <c r="G199" i="13"/>
  <c r="G39" i="14" s="1"/>
  <c r="K120" i="17"/>
  <c r="K280" i="17"/>
  <c r="K149" i="17"/>
  <c r="K309" i="17"/>
  <c r="H201" i="17"/>
  <c r="H41" i="18" s="1"/>
  <c r="H201" i="18" s="1"/>
  <c r="H41" i="17"/>
  <c r="H129" i="15"/>
  <c r="M280" i="13"/>
  <c r="M120" i="14" s="1"/>
  <c r="M120" i="13"/>
  <c r="M154" i="14"/>
  <c r="N61" i="18"/>
  <c r="N221" i="18" s="1"/>
  <c r="N61" i="15"/>
  <c r="P293" i="17"/>
  <c r="P133" i="18" s="1"/>
  <c r="P300" i="18" s="1"/>
  <c r="P133" i="17"/>
  <c r="K301" i="13"/>
  <c r="K141" i="14" s="1"/>
  <c r="K141" i="13"/>
  <c r="I9" i="16"/>
  <c r="I169" i="13"/>
  <c r="I9" i="13"/>
  <c r="M263" i="13"/>
  <c r="M103" i="14" s="1"/>
  <c r="M103" i="15" s="1"/>
  <c r="M103" i="13"/>
  <c r="I141" i="18"/>
  <c r="I310" i="18" s="1"/>
  <c r="I141" i="15"/>
  <c r="V32" i="18"/>
  <c r="V192" i="18" s="1"/>
  <c r="M69" i="16"/>
  <c r="G146" i="15"/>
  <c r="R61" i="18"/>
  <c r="R221" i="18" s="1"/>
  <c r="R61" i="15"/>
  <c r="J99" i="18"/>
  <c r="J263" i="18" s="1"/>
  <c r="J99" i="15"/>
  <c r="L129" i="16"/>
  <c r="N157" i="13"/>
  <c r="N317" i="13"/>
  <c r="N157" i="14" s="1"/>
  <c r="H61" i="18"/>
  <c r="H221" i="18" s="1"/>
  <c r="T32" i="18"/>
  <c r="T192" i="18" s="1"/>
  <c r="L109" i="18"/>
  <c r="L275" i="18" s="1"/>
  <c r="L49" i="15"/>
  <c r="L49" i="18"/>
  <c r="L209" i="18" s="1"/>
  <c r="M317" i="17"/>
  <c r="M157" i="18" s="1"/>
  <c r="M328" i="18" s="1"/>
  <c r="M157" i="17"/>
  <c r="M19" i="16"/>
  <c r="G139" i="13"/>
  <c r="G299" i="13"/>
  <c r="G139" i="14" s="1"/>
  <c r="H268" i="13"/>
  <c r="H108" i="14" s="1"/>
  <c r="H108" i="13"/>
  <c r="H241" i="13"/>
  <c r="H81" i="14" s="1"/>
  <c r="H81" i="13"/>
  <c r="G186" i="17"/>
  <c r="G26" i="17"/>
  <c r="K280" i="13"/>
  <c r="K120" i="14" s="1"/>
  <c r="K120" i="13"/>
  <c r="N19" i="14"/>
  <c r="K309" i="13"/>
  <c r="K149" i="14" s="1"/>
  <c r="K149" i="15" s="1"/>
  <c r="K149" i="13"/>
  <c r="J255" i="17"/>
  <c r="J95" i="18" s="1"/>
  <c r="J259" i="18" s="1"/>
  <c r="J95" i="17"/>
  <c r="L76" i="18"/>
  <c r="L237" i="18" s="1"/>
  <c r="L76" i="15"/>
  <c r="K39" i="18"/>
  <c r="K199" i="18" s="1"/>
  <c r="M210" i="17"/>
  <c r="M50" i="17"/>
  <c r="J229" i="17"/>
  <c r="J69" i="17"/>
  <c r="M280" i="17"/>
  <c r="M120" i="17"/>
  <c r="G47" i="15"/>
  <c r="G47" i="18"/>
  <c r="G207" i="18" s="1"/>
  <c r="I236" i="17"/>
  <c r="I76" i="17"/>
  <c r="L81" i="15"/>
  <c r="H301" i="17"/>
  <c r="H141" i="18" s="1"/>
  <c r="H310" i="18" s="1"/>
  <c r="H141" i="17"/>
  <c r="G83" i="13"/>
  <c r="G243" i="13"/>
  <c r="G83" i="14" s="1"/>
  <c r="N47" i="13"/>
  <c r="J169" i="13"/>
  <c r="J9" i="14" s="1"/>
  <c r="J9" i="13"/>
  <c r="M32" i="18"/>
  <c r="M192" i="18" s="1"/>
  <c r="O309" i="13"/>
  <c r="O149" i="14" s="1"/>
  <c r="O149" i="15" s="1"/>
  <c r="O149" i="13"/>
  <c r="G146" i="17"/>
  <c r="G306" i="17"/>
  <c r="G146" i="18" s="1"/>
  <c r="G315" i="18" s="1"/>
  <c r="R32" i="18"/>
  <c r="R192" i="18" s="1"/>
  <c r="R32" i="15"/>
  <c r="N147" i="17"/>
  <c r="N307" i="17"/>
  <c r="G280" i="13"/>
  <c r="G120" i="14" s="1"/>
  <c r="G120" i="13"/>
  <c r="I140" i="15"/>
  <c r="I140" i="18"/>
  <c r="I308" i="18" s="1"/>
  <c r="G309" i="17"/>
  <c r="G149" i="18" s="1"/>
  <c r="G318" i="18" s="1"/>
  <c r="G149" i="17"/>
  <c r="M201" i="13"/>
  <c r="M41" i="14" s="1"/>
  <c r="M41" i="13"/>
  <c r="I223" i="13"/>
  <c r="I63" i="14" s="1"/>
  <c r="I63" i="13"/>
  <c r="G15" i="13"/>
  <c r="G175" i="13"/>
  <c r="G15" i="14" s="1"/>
  <c r="N157" i="16"/>
  <c r="H76" i="18"/>
  <c r="H237" i="18" s="1"/>
  <c r="H76" i="15"/>
  <c r="G289" i="18"/>
  <c r="K317" i="18"/>
  <c r="Q171" i="18"/>
  <c r="AA171" i="18" s="1"/>
  <c r="AA11" i="18"/>
  <c r="D11" i="20"/>
  <c r="K231" i="18"/>
  <c r="Y198" i="18"/>
  <c r="AA198" i="18" s="1"/>
  <c r="D38" i="20"/>
  <c r="AA38" i="18"/>
  <c r="I192" i="18"/>
  <c r="K311" i="18"/>
  <c r="B60" i="6"/>
  <c r="D60" i="37" s="1"/>
  <c r="A60" i="37" s="1"/>
  <c r="D59" i="6"/>
  <c r="B59" i="20"/>
  <c r="B59" i="10"/>
  <c r="B59" i="11"/>
  <c r="B219" i="13"/>
  <c r="B59" i="15"/>
  <c r="B59" i="16"/>
  <c r="B219" i="17"/>
  <c r="B59" i="17"/>
  <c r="B219" i="12"/>
  <c r="B59" i="13"/>
  <c r="B219" i="18"/>
  <c r="B59" i="12"/>
  <c r="B59" i="14"/>
  <c r="B59" i="9"/>
  <c r="B59" i="18"/>
  <c r="J302" i="18"/>
  <c r="J310" i="18"/>
  <c r="E132" i="1"/>
  <c r="E136" i="1"/>
  <c r="AO136" i="1" s="1"/>
  <c r="C136" i="1" s="1"/>
  <c r="G118" i="18"/>
  <c r="G285" i="18" s="1"/>
  <c r="G118" i="15"/>
  <c r="I165" i="18"/>
  <c r="G239" i="17"/>
  <c r="G79" i="18" s="1"/>
  <c r="G241" i="18" s="1"/>
  <c r="G79" i="17"/>
  <c r="K322" i="18"/>
  <c r="L187" i="18"/>
  <c r="AA187" i="18" s="1"/>
  <c r="D27" i="20"/>
  <c r="AA27" i="18"/>
  <c r="J252" i="18"/>
  <c r="G279" i="18"/>
  <c r="J208" i="18"/>
  <c r="I118" i="18"/>
  <c r="I285" i="18" s="1"/>
  <c r="K118" i="18"/>
  <c r="K285" i="18" s="1"/>
  <c r="K118" i="15"/>
  <c r="K166" i="18"/>
  <c r="AA166" i="18" s="1"/>
  <c r="D6" i="20"/>
  <c r="AA6" i="18"/>
  <c r="K237" i="18"/>
  <c r="G221" i="18"/>
  <c r="G79" i="15"/>
  <c r="J224" i="18"/>
  <c r="AA224" i="18" s="1"/>
  <c r="D64" i="20"/>
  <c r="AA64" i="18"/>
  <c r="H95" i="15"/>
  <c r="H95" i="18"/>
  <c r="H259" i="18" s="1"/>
  <c r="M118" i="18"/>
  <c r="M285" i="18" s="1"/>
  <c r="J269" i="18"/>
  <c r="Q197" i="18"/>
  <c r="I243" i="18"/>
  <c r="J173" i="18"/>
  <c r="I172" i="18"/>
  <c r="K251" i="18"/>
  <c r="H206" i="18"/>
  <c r="AA206" i="18" s="1"/>
  <c r="D46" i="20"/>
  <c r="AA46" i="18"/>
  <c r="J298" i="18"/>
  <c r="H190" i="18"/>
  <c r="J200" i="18"/>
  <c r="AA200" i="18" s="1"/>
  <c r="D40" i="20"/>
  <c r="D51" i="20"/>
  <c r="AA51" i="18"/>
  <c r="G211" i="18"/>
  <c r="AA211" i="18" s="1"/>
  <c r="J222" i="18"/>
  <c r="J229" i="18"/>
  <c r="L329" i="18"/>
  <c r="J234" i="18"/>
  <c r="H169" i="18"/>
  <c r="H315" i="18"/>
  <c r="J281" i="18"/>
  <c r="J286" i="18"/>
  <c r="N240" i="18"/>
  <c r="AA240" i="18" s="1"/>
  <c r="AA78" i="18"/>
  <c r="D78" i="20"/>
  <c r="I207" i="18"/>
  <c r="J233" i="18"/>
  <c r="AA233" i="18" s="1"/>
  <c r="AA72" i="18"/>
  <c r="D72" i="20"/>
  <c r="J189" i="18"/>
  <c r="K184" i="18"/>
  <c r="D24" i="20"/>
  <c r="J245" i="18"/>
  <c r="J181" i="18"/>
  <c r="AA181" i="18" s="1"/>
  <c r="D21" i="20"/>
  <c r="AA21" i="18"/>
  <c r="H185" i="18"/>
  <c r="AA185" i="18" s="1"/>
  <c r="AA25" i="18"/>
  <c r="D25" i="20"/>
  <c r="J202" i="18"/>
  <c r="M170" i="18"/>
  <c r="G194" i="18"/>
  <c r="AA232" i="18"/>
  <c r="D126" i="20"/>
  <c r="G180" i="18"/>
  <c r="AA40" i="18"/>
  <c r="D144" i="20"/>
  <c r="G313" i="18"/>
  <c r="AA313" i="18" s="1"/>
  <c r="AA144" i="18"/>
  <c r="D56" i="20"/>
  <c r="G217" i="18"/>
  <c r="G244" i="18"/>
  <c r="AA143" i="18"/>
  <c r="G261" i="18"/>
  <c r="AA218" i="18"/>
  <c r="J250" i="18"/>
  <c r="J271" i="18"/>
  <c r="G256" i="18"/>
  <c r="G203" i="18"/>
  <c r="D143" i="20"/>
  <c r="G213" i="18"/>
  <c r="AA58" i="18"/>
  <c r="G196" i="18"/>
  <c r="AA312" i="18"/>
  <c r="D75" i="20"/>
  <c r="D58" i="20"/>
  <c r="D17" i="20"/>
  <c r="G177" i="18"/>
  <c r="AA177" i="18" s="1"/>
  <c r="AA17" i="18"/>
  <c r="D71" i="20"/>
  <c r="D113" i="20"/>
  <c r="AA113" i="18"/>
  <c r="G280" i="18"/>
  <c r="AA280" i="18" s="1"/>
  <c r="AA126" i="18"/>
  <c r="G254" i="18"/>
  <c r="G255" i="18"/>
  <c r="G262" i="18"/>
  <c r="D104" i="20"/>
  <c r="G270" i="18"/>
  <c r="AA270" i="18" s="1"/>
  <c r="AA104" i="18"/>
  <c r="AA56" i="18"/>
  <c r="G195" i="18"/>
  <c r="G290" i="18"/>
  <c r="AA71" i="18"/>
  <c r="AA293" i="18"/>
  <c r="G296" i="18"/>
  <c r="J325" i="18"/>
  <c r="G283" i="18"/>
  <c r="I184" i="18"/>
  <c r="AA24" i="18"/>
  <c r="AA216" i="18"/>
  <c r="U66" i="18"/>
  <c r="U226" i="18" s="1"/>
  <c r="U66" i="15"/>
  <c r="L66" i="18"/>
  <c r="L226" i="18" s="1"/>
  <c r="L66" i="15"/>
  <c r="N84" i="15"/>
  <c r="G320" i="18"/>
  <c r="K66" i="18"/>
  <c r="K226" i="18" s="1"/>
  <c r="K66" i="15"/>
  <c r="G323" i="18"/>
  <c r="Q66" i="18"/>
  <c r="Q226" i="18" s="1"/>
  <c r="Q66" i="15"/>
  <c r="T66" i="15"/>
  <c r="G304" i="18"/>
  <c r="H264" i="18"/>
  <c r="R66" i="18"/>
  <c r="R226" i="18" s="1"/>
  <c r="R66" i="15"/>
  <c r="N244" i="17"/>
  <c r="N84" i="18" s="1"/>
  <c r="N246" i="18" s="1"/>
  <c r="N84" i="17"/>
  <c r="H84" i="15"/>
  <c r="G66" i="18"/>
  <c r="G66" i="15"/>
  <c r="V66" i="18"/>
  <c r="V226" i="18" s="1"/>
  <c r="V66" i="15"/>
  <c r="S66" i="18"/>
  <c r="S226" i="18" s="1"/>
  <c r="S66" i="15"/>
  <c r="R237" i="17"/>
  <c r="R77" i="18" s="1"/>
  <c r="R238" i="18" s="1"/>
  <c r="R77" i="17"/>
  <c r="R77" i="15"/>
  <c r="N66" i="15"/>
  <c r="G267" i="18"/>
  <c r="G238" i="18"/>
  <c r="T84" i="18"/>
  <c r="T246" i="18" s="1"/>
  <c r="T84" i="15"/>
  <c r="M66" i="18"/>
  <c r="M226" i="18" s="1"/>
  <c r="M66" i="15"/>
  <c r="O66" i="18"/>
  <c r="O226" i="18" s="1"/>
  <c r="O66" i="15"/>
  <c r="N226" i="17"/>
  <c r="N66" i="18" s="1"/>
  <c r="N226" i="18" s="1"/>
  <c r="N66" i="17"/>
  <c r="G246" i="18"/>
  <c r="W66" i="18"/>
  <c r="W226" i="18" s="1"/>
  <c r="W66" i="15"/>
  <c r="I66" i="18"/>
  <c r="I226" i="18" s="1"/>
  <c r="I66" i="15"/>
  <c r="G248" i="18"/>
  <c r="H66" i="18"/>
  <c r="H226" i="18" s="1"/>
  <c r="H66" i="15"/>
  <c r="L77" i="18"/>
  <c r="L238" i="18" s="1"/>
  <c r="L77" i="15"/>
  <c r="X226" i="17"/>
  <c r="X66" i="18" s="1"/>
  <c r="X226" i="18" s="1"/>
  <c r="X66" i="17"/>
  <c r="X66" i="15"/>
  <c r="H308" i="18"/>
  <c r="H244" i="17"/>
  <c r="H84" i="18" s="1"/>
  <c r="H246" i="18" s="1"/>
  <c r="H84" i="17"/>
  <c r="T226" i="17"/>
  <c r="T66" i="18" s="1"/>
  <c r="T226" i="18" s="1"/>
  <c r="T66" i="17"/>
  <c r="N62" i="15" l="1"/>
  <c r="J69" i="18"/>
  <c r="J230" i="18" s="1"/>
  <c r="I23" i="18"/>
  <c r="I183" i="18" s="1"/>
  <c r="M116" i="15"/>
  <c r="O63" i="18"/>
  <c r="O223" i="18" s="1"/>
  <c r="O63" i="15"/>
  <c r="O97" i="11"/>
  <c r="O136" i="11"/>
  <c r="G103" i="15"/>
  <c r="G67" i="15"/>
  <c r="N98" i="15"/>
  <c r="M119" i="18"/>
  <c r="M286" i="18" s="1"/>
  <c r="O99" i="18"/>
  <c r="O263" i="18" s="1"/>
  <c r="AA236" i="18"/>
  <c r="G227" i="17"/>
  <c r="O53" i="11"/>
  <c r="O234" i="17"/>
  <c r="O74" i="17"/>
  <c r="O315" i="17"/>
  <c r="O155" i="17"/>
  <c r="O299" i="17"/>
  <c r="O139" i="17"/>
  <c r="N294" i="17"/>
  <c r="N134" i="17"/>
  <c r="Y151" i="17"/>
  <c r="Y311" i="17"/>
  <c r="O230" i="17"/>
  <c r="O70" i="17"/>
  <c r="N131" i="17"/>
  <c r="N291" i="17"/>
  <c r="O120" i="15"/>
  <c r="N158" i="17"/>
  <c r="N318" i="17"/>
  <c r="O239" i="17"/>
  <c r="O79" i="17"/>
  <c r="N50" i="15"/>
  <c r="N129" i="17"/>
  <c r="N289" i="17"/>
  <c r="O141" i="17"/>
  <c r="O301" i="17"/>
  <c r="N281" i="17"/>
  <c r="N121" i="17"/>
  <c r="O5" i="11"/>
  <c r="O165" i="12"/>
  <c r="N167" i="12"/>
  <c r="X100" i="15"/>
  <c r="N155" i="15"/>
  <c r="I66" i="37"/>
  <c r="Z66" i="10"/>
  <c r="M20" i="15"/>
  <c r="N249" i="12"/>
  <c r="O134" i="17"/>
  <c r="O294" i="17"/>
  <c r="O156" i="16"/>
  <c r="O156" i="13"/>
  <c r="O316" i="13"/>
  <c r="O156" i="14" s="1"/>
  <c r="N116" i="15"/>
  <c r="M55" i="17"/>
  <c r="M215" i="17"/>
  <c r="X110" i="15"/>
  <c r="N316" i="12"/>
  <c r="N156" i="16" s="1"/>
  <c r="N101" i="17"/>
  <c r="N261" i="17"/>
  <c r="Z151" i="10"/>
  <c r="Z151" i="11" s="1"/>
  <c r="I151" i="37"/>
  <c r="O127" i="17"/>
  <c r="O287" i="17"/>
  <c r="M254" i="13"/>
  <c r="M94" i="14" s="1"/>
  <c r="M94" i="13"/>
  <c r="N152" i="16"/>
  <c r="N312" i="13"/>
  <c r="N152" i="14" s="1"/>
  <c r="N152" i="13"/>
  <c r="N265" i="13"/>
  <c r="N105" i="14" s="1"/>
  <c r="N105" i="13"/>
  <c r="N8" i="15"/>
  <c r="G85" i="37"/>
  <c r="Z85" i="9"/>
  <c r="E85" i="20"/>
  <c r="F103" i="37"/>
  <c r="P103" i="9"/>
  <c r="F54" i="37"/>
  <c r="P54" i="9"/>
  <c r="F138" i="37"/>
  <c r="P138" i="9"/>
  <c r="F69" i="37"/>
  <c r="P69" i="9"/>
  <c r="F10" i="37"/>
  <c r="P10" i="9"/>
  <c r="F79" i="37"/>
  <c r="P79" i="9"/>
  <c r="F53" i="37"/>
  <c r="P53" i="9"/>
  <c r="F155" i="37"/>
  <c r="P155" i="9"/>
  <c r="F30" i="37"/>
  <c r="P30" i="9"/>
  <c r="O62" i="10"/>
  <c r="O62" i="11"/>
  <c r="O95" i="16"/>
  <c r="O255" i="13"/>
  <c r="O95" i="14" s="1"/>
  <c r="O95" i="13"/>
  <c r="Y153" i="10"/>
  <c r="N145" i="15"/>
  <c r="N35" i="16"/>
  <c r="N195" i="13"/>
  <c r="N35" i="13"/>
  <c r="N207" i="13"/>
  <c r="N47" i="14" s="1"/>
  <c r="O103" i="17"/>
  <c r="N269" i="13"/>
  <c r="N109" i="14" s="1"/>
  <c r="J76" i="18"/>
  <c r="J237" i="18" s="1"/>
  <c r="K50" i="18"/>
  <c r="K210" i="18" s="1"/>
  <c r="O125" i="17"/>
  <c r="I291" i="17"/>
  <c r="N123" i="18"/>
  <c r="N290" i="18" s="1"/>
  <c r="N41" i="16"/>
  <c r="N41" i="13"/>
  <c r="N201" i="13"/>
  <c r="N41" i="14" s="1"/>
  <c r="N31" i="16"/>
  <c r="N191" i="13"/>
  <c r="N31" i="14" s="1"/>
  <c r="N31" i="13"/>
  <c r="N277" i="17"/>
  <c r="N117" i="17"/>
  <c r="O101" i="11"/>
  <c r="O261" i="12"/>
  <c r="O101" i="16" s="1"/>
  <c r="O148" i="11"/>
  <c r="O150" i="11"/>
  <c r="O65" i="16"/>
  <c r="O225" i="13"/>
  <c r="O65" i="14" s="1"/>
  <c r="O65" i="13"/>
  <c r="O114" i="11"/>
  <c r="O15" i="16"/>
  <c r="O175" i="13"/>
  <c r="O15" i="14" s="1"/>
  <c r="O15" i="13"/>
  <c r="M73" i="13"/>
  <c r="M233" i="13"/>
  <c r="M73" i="14" s="1"/>
  <c r="M73" i="15" s="1"/>
  <c r="N154" i="16"/>
  <c r="N314" i="13"/>
  <c r="N154" i="14" s="1"/>
  <c r="N154" i="13"/>
  <c r="N296" i="13"/>
  <c r="N136" i="14" s="1"/>
  <c r="N136" i="15" s="1"/>
  <c r="N136" i="13"/>
  <c r="Y262" i="17"/>
  <c r="Y102" i="17"/>
  <c r="X260" i="17"/>
  <c r="X100" i="18" s="1"/>
  <c r="X100" i="17"/>
  <c r="N315" i="17"/>
  <c r="N155" i="18" s="1"/>
  <c r="N326" i="18" s="1"/>
  <c r="N155" i="17"/>
  <c r="X311" i="17"/>
  <c r="X151" i="17"/>
  <c r="M116" i="17"/>
  <c r="M276" i="17"/>
  <c r="M116" i="18" s="1"/>
  <c r="M180" i="17"/>
  <c r="M20" i="18" s="1"/>
  <c r="M20" i="17"/>
  <c r="N275" i="13"/>
  <c r="N115" i="14" s="1"/>
  <c r="N115" i="15" s="1"/>
  <c r="N115" i="13"/>
  <c r="N227" i="12"/>
  <c r="N67" i="16" s="1"/>
  <c r="O294" i="13"/>
  <c r="O134" i="14" s="1"/>
  <c r="O134" i="15" s="1"/>
  <c r="O134" i="13"/>
  <c r="O251" i="12"/>
  <c r="O253" i="12"/>
  <c r="O93" i="16" s="1"/>
  <c r="O203" i="12"/>
  <c r="O214" i="12"/>
  <c r="O54" i="16" s="1"/>
  <c r="M98" i="15"/>
  <c r="M134" i="16"/>
  <c r="M134" i="13"/>
  <c r="M294" i="13"/>
  <c r="M134" i="14" s="1"/>
  <c r="N82" i="15"/>
  <c r="N122" i="16"/>
  <c r="N282" i="13"/>
  <c r="N122" i="14" s="1"/>
  <c r="N122" i="13"/>
  <c r="M55" i="13"/>
  <c r="M215" i="13"/>
  <c r="M55" i="14" s="1"/>
  <c r="M55" i="15" s="1"/>
  <c r="X110" i="17"/>
  <c r="X270" i="17"/>
  <c r="X110" i="18" s="1"/>
  <c r="N127" i="16"/>
  <c r="N127" i="13"/>
  <c r="N287" i="13"/>
  <c r="N127" i="14" s="1"/>
  <c r="N261" i="13"/>
  <c r="N101" i="14" s="1"/>
  <c r="N101" i="15" s="1"/>
  <c r="N101" i="13"/>
  <c r="N95" i="16"/>
  <c r="N95" i="13"/>
  <c r="N255" i="13"/>
  <c r="N95" i="14" s="1"/>
  <c r="N13" i="16"/>
  <c r="N173" i="13"/>
  <c r="N13" i="14" s="1"/>
  <c r="N13" i="13"/>
  <c r="N20" i="15"/>
  <c r="N57" i="17"/>
  <c r="N217" i="17"/>
  <c r="O73" i="10"/>
  <c r="O73" i="11" s="1"/>
  <c r="O121" i="10"/>
  <c r="O121" i="11" s="1"/>
  <c r="O106" i="16"/>
  <c r="O266" i="13"/>
  <c r="O106" i="14" s="1"/>
  <c r="O106" i="13"/>
  <c r="O227" i="17"/>
  <c r="O67" i="17"/>
  <c r="O97" i="16"/>
  <c r="O97" i="13"/>
  <c r="O257" i="13"/>
  <c r="O97" i="14" s="1"/>
  <c r="O136" i="16"/>
  <c r="O136" i="13"/>
  <c r="O296" i="13"/>
  <c r="O287" i="13"/>
  <c r="O127" i="14" s="1"/>
  <c r="O127" i="15" s="1"/>
  <c r="O127" i="13"/>
  <c r="O120" i="17"/>
  <c r="O280" i="17"/>
  <c r="O120" i="18" s="1"/>
  <c r="O287" i="18" s="1"/>
  <c r="O204" i="12"/>
  <c r="N18" i="16"/>
  <c r="N18" i="13"/>
  <c r="N178" i="13"/>
  <c r="N18" i="14" s="1"/>
  <c r="Y84" i="16"/>
  <c r="Y84" i="13"/>
  <c r="Y244" i="13"/>
  <c r="Y84" i="14" s="1"/>
  <c r="M247" i="17"/>
  <c r="M87" i="17"/>
  <c r="N42" i="17"/>
  <c r="N202" i="17"/>
  <c r="N42" i="18" s="1"/>
  <c r="N202" i="18" s="1"/>
  <c r="N209" i="12"/>
  <c r="N30" i="16"/>
  <c r="N30" i="13"/>
  <c r="N190" i="13"/>
  <c r="N30" i="14" s="1"/>
  <c r="N8" i="17"/>
  <c r="N168" i="17"/>
  <c r="N8" i="18" s="1"/>
  <c r="N168" i="18" s="1"/>
  <c r="I102" i="37"/>
  <c r="Z102" i="10"/>
  <c r="M158" i="15"/>
  <c r="M60" i="17"/>
  <c r="M220" i="17"/>
  <c r="F115" i="37"/>
  <c r="P115" i="9"/>
  <c r="F157" i="37"/>
  <c r="P157" i="9"/>
  <c r="F146" i="37"/>
  <c r="P146" i="9"/>
  <c r="F99" i="37"/>
  <c r="P99" i="9"/>
  <c r="F19" i="37"/>
  <c r="P19" i="9"/>
  <c r="F111" i="37"/>
  <c r="P111" i="9"/>
  <c r="F142" i="37"/>
  <c r="P142" i="9"/>
  <c r="F120" i="37"/>
  <c r="P120" i="9"/>
  <c r="F31" i="37"/>
  <c r="P31" i="9"/>
  <c r="F52" i="37"/>
  <c r="P52" i="9"/>
  <c r="F108" i="37"/>
  <c r="P108" i="9"/>
  <c r="F26" i="37"/>
  <c r="P26" i="9"/>
  <c r="F93" i="37"/>
  <c r="P93" i="9"/>
  <c r="F118" i="37"/>
  <c r="P118" i="9"/>
  <c r="F80" i="37"/>
  <c r="P80" i="9"/>
  <c r="F150" i="37"/>
  <c r="P150" i="9"/>
  <c r="F67" i="37"/>
  <c r="P67" i="9"/>
  <c r="F48" i="37"/>
  <c r="P48" i="9"/>
  <c r="F20" i="37"/>
  <c r="P20" i="9"/>
  <c r="F18" i="37"/>
  <c r="P18" i="9"/>
  <c r="F101" i="37"/>
  <c r="P101" i="9"/>
  <c r="F55" i="37"/>
  <c r="P55" i="9"/>
  <c r="F73" i="37"/>
  <c r="P73" i="9"/>
  <c r="F35" i="37"/>
  <c r="P35" i="9"/>
  <c r="P148" i="9"/>
  <c r="F148" i="37"/>
  <c r="F94" i="37"/>
  <c r="P94" i="9"/>
  <c r="S4" i="6"/>
  <c r="R92" i="6"/>
  <c r="Q92" i="9" s="1"/>
  <c r="Q92" i="10" s="1"/>
  <c r="R94" i="6"/>
  <c r="Q94" i="9" s="1"/>
  <c r="Q94" i="10" s="1"/>
  <c r="R57" i="6"/>
  <c r="R55" i="6"/>
  <c r="Q55" i="9" s="1"/>
  <c r="R158" i="6"/>
  <c r="Q158" i="9" s="1"/>
  <c r="Q158" i="10" s="1"/>
  <c r="R35" i="6"/>
  <c r="Q35" i="9" s="1"/>
  <c r="R155" i="6"/>
  <c r="Q155" i="9" s="1"/>
  <c r="Q155" i="10" s="1"/>
  <c r="R86" i="6"/>
  <c r="R14" i="6"/>
  <c r="R60" i="6"/>
  <c r="R16" i="6"/>
  <c r="R101" i="6"/>
  <c r="R148" i="6"/>
  <c r="Q148" i="9" s="1"/>
  <c r="R73" i="6"/>
  <c r="R22" i="6"/>
  <c r="Q22" i="9" s="1"/>
  <c r="Q22" i="10" s="1"/>
  <c r="R87" i="6"/>
  <c r="R29" i="6"/>
  <c r="Q29" i="9" s="1"/>
  <c r="Q29" i="10" s="1"/>
  <c r="R82" i="6"/>
  <c r="Q82" i="9" s="1"/>
  <c r="R116" i="6"/>
  <c r="R98" i="6"/>
  <c r="Q98" i="9" s="1"/>
  <c r="Q98" i="10" s="1"/>
  <c r="R145" i="6"/>
  <c r="Q145" i="9" s="1"/>
  <c r="R20" i="6"/>
  <c r="Q20" i="9" s="1"/>
  <c r="Q20" i="10" s="1"/>
  <c r="R121" i="6"/>
  <c r="R117" i="6"/>
  <c r="Q117" i="9" s="1"/>
  <c r="Q117" i="10" s="1"/>
  <c r="R62" i="6"/>
  <c r="Q62" i="9" s="1"/>
  <c r="R134" i="6"/>
  <c r="Q134" i="9" s="1"/>
  <c r="Q134" i="10" s="1"/>
  <c r="R18" i="6"/>
  <c r="R8" i="6"/>
  <c r="R90" i="6"/>
  <c r="Q90" i="9" s="1"/>
  <c r="Q90" i="10" s="1"/>
  <c r="R42" i="6"/>
  <c r="R106" i="6"/>
  <c r="Q106" i="9" s="1"/>
  <c r="R12" i="6"/>
  <c r="Q12" i="9" s="1"/>
  <c r="Q12" i="10" s="1"/>
  <c r="R80" i="6"/>
  <c r="R43" i="6"/>
  <c r="Q43" i="9" s="1"/>
  <c r="Q43" i="10" s="1"/>
  <c r="R89" i="6"/>
  <c r="R65" i="6"/>
  <c r="Q65" i="9" s="1"/>
  <c r="Q65" i="10" s="1"/>
  <c r="R118" i="6"/>
  <c r="Q118" i="9" s="1"/>
  <c r="R91" i="6"/>
  <c r="Q91" i="9" s="1"/>
  <c r="Q91" i="10" s="1"/>
  <c r="R53" i="6"/>
  <c r="Q53" i="9" s="1"/>
  <c r="Q53" i="10" s="1"/>
  <c r="R48" i="6"/>
  <c r="Q48" i="9" s="1"/>
  <c r="Q48" i="10" s="1"/>
  <c r="R122" i="6"/>
  <c r="Q122" i="9" s="1"/>
  <c r="Q122" i="10" s="1"/>
  <c r="R136" i="6"/>
  <c r="Q136" i="9" s="1"/>
  <c r="Q136" i="10" s="1"/>
  <c r="R124" i="6"/>
  <c r="Q124" i="9" s="1"/>
  <c r="R13" i="6"/>
  <c r="Q13" i="9" s="1"/>
  <c r="R7" i="6"/>
  <c r="Q7" i="9" s="1"/>
  <c r="Q7" i="10" s="1"/>
  <c r="R107" i="6"/>
  <c r="Q107" i="9" s="1"/>
  <c r="R31" i="6"/>
  <c r="R5" i="6"/>
  <c r="R52" i="6"/>
  <c r="Q52" i="9" s="1"/>
  <c r="R97" i="6"/>
  <c r="Q97" i="9" s="1"/>
  <c r="R30" i="6"/>
  <c r="Q30" i="9" s="1"/>
  <c r="R70" i="6"/>
  <c r="Q70" i="9" s="1"/>
  <c r="Q70" i="10" s="1"/>
  <c r="R150" i="6"/>
  <c r="Q150" i="9" s="1"/>
  <c r="Q150" i="10" s="1"/>
  <c r="R23" i="6"/>
  <c r="Q23" i="9" s="1"/>
  <c r="Q23" i="10" s="1"/>
  <c r="R125" i="6"/>
  <c r="R156" i="6"/>
  <c r="Q156" i="9" s="1"/>
  <c r="Q156" i="10" s="1"/>
  <c r="R131" i="6"/>
  <c r="Q131" i="9" s="1"/>
  <c r="R152" i="6"/>
  <c r="Q152" i="9" s="1"/>
  <c r="R138" i="6"/>
  <c r="R146" i="6"/>
  <c r="R142" i="6"/>
  <c r="Q142" i="9" s="1"/>
  <c r="R95" i="6"/>
  <c r="R119" i="6"/>
  <c r="Q119" i="9" s="1"/>
  <c r="Q119" i="10" s="1"/>
  <c r="R130" i="6"/>
  <c r="Q130" i="9" s="1"/>
  <c r="R45" i="6"/>
  <c r="Q45" i="9" s="1"/>
  <c r="Q45" i="10" s="1"/>
  <c r="R93" i="6"/>
  <c r="Q93" i="9" s="1"/>
  <c r="R127" i="6"/>
  <c r="Q127" i="9" s="1"/>
  <c r="Q127" i="10" s="1"/>
  <c r="R26" i="6"/>
  <c r="R50" i="6"/>
  <c r="Q50" i="9" s="1"/>
  <c r="R83" i="6"/>
  <c r="Q83" i="9" s="1"/>
  <c r="Q83" i="10" s="1"/>
  <c r="R47" i="6"/>
  <c r="R67" i="6"/>
  <c r="R76" i="6"/>
  <c r="R74" i="6"/>
  <c r="Q74" i="9" s="1"/>
  <c r="Q74" i="10" s="1"/>
  <c r="R41" i="6"/>
  <c r="R120" i="6"/>
  <c r="Q120" i="9" s="1"/>
  <c r="R9" i="6"/>
  <c r="Q9" i="9" s="1"/>
  <c r="R10" i="6"/>
  <c r="Q10" i="9" s="1"/>
  <c r="Q10" i="10" s="1"/>
  <c r="R69" i="6"/>
  <c r="Q69" i="9" s="1"/>
  <c r="Q69" i="10" s="1"/>
  <c r="R109" i="6"/>
  <c r="Q109" i="9" s="1"/>
  <c r="R19" i="6"/>
  <c r="Q19" i="9" s="1"/>
  <c r="Q19" i="10" s="1"/>
  <c r="R147" i="6"/>
  <c r="Q147" i="9" s="1"/>
  <c r="R108" i="6"/>
  <c r="R44" i="6"/>
  <c r="Q44" i="9" s="1"/>
  <c r="R111" i="6"/>
  <c r="R79" i="6"/>
  <c r="Q79" i="9" s="1"/>
  <c r="Q79" i="10" s="1"/>
  <c r="R114" i="6"/>
  <c r="Q114" i="9" s="1"/>
  <c r="Q114" i="10" s="1"/>
  <c r="R68" i="6"/>
  <c r="R81" i="6"/>
  <c r="R39" i="6"/>
  <c r="R54" i="6"/>
  <c r="Q54" i="9" s="1"/>
  <c r="Q54" i="10" s="1"/>
  <c r="R154" i="6"/>
  <c r="Q154" i="9" s="1"/>
  <c r="R139" i="6"/>
  <c r="R49" i="6"/>
  <c r="Q49" i="9" s="1"/>
  <c r="Q49" i="10" s="1"/>
  <c r="R141" i="6"/>
  <c r="R115" i="6"/>
  <c r="R63" i="6"/>
  <c r="Q63" i="9" s="1"/>
  <c r="Q63" i="10" s="1"/>
  <c r="R149" i="6"/>
  <c r="Q149" i="9" s="1"/>
  <c r="Q149" i="10" s="1"/>
  <c r="R15" i="6"/>
  <c r="Q15" i="9" s="1"/>
  <c r="Q15" i="10" s="1"/>
  <c r="R99" i="6"/>
  <c r="Q99" i="9" s="1"/>
  <c r="R103" i="6"/>
  <c r="Q103" i="9" s="1"/>
  <c r="Q103" i="10" s="1"/>
  <c r="R34" i="6"/>
  <c r="Q34" i="9" s="1"/>
  <c r="Q34" i="10" s="1"/>
  <c r="R129" i="6"/>
  <c r="Q129" i="9" s="1"/>
  <c r="Q129" i="10" s="1"/>
  <c r="R105" i="6"/>
  <c r="Q105" i="9" s="1"/>
  <c r="Q105" i="10" s="1"/>
  <c r="R157" i="6"/>
  <c r="R123" i="6"/>
  <c r="Q123" i="9" s="1"/>
  <c r="Q123" i="10" s="1"/>
  <c r="O117" i="16"/>
  <c r="O277" i="13"/>
  <c r="O117" i="14" s="1"/>
  <c r="O117" i="13"/>
  <c r="O207" i="12"/>
  <c r="O47" i="16" s="1"/>
  <c r="O268" i="13"/>
  <c r="O108" i="14" s="1"/>
  <c r="O108" i="13"/>
  <c r="O146" i="16"/>
  <c r="O306" i="13"/>
  <c r="O146" i="14" s="1"/>
  <c r="O146" i="13"/>
  <c r="X84" i="15"/>
  <c r="M121" i="16"/>
  <c r="M121" i="13"/>
  <c r="M281" i="13"/>
  <c r="M121" i="14" s="1"/>
  <c r="Y110" i="17"/>
  <c r="Y270" i="17"/>
  <c r="M8" i="15"/>
  <c r="I153" i="37"/>
  <c r="Z153" i="10"/>
  <c r="Z153" i="11" s="1"/>
  <c r="N73" i="15"/>
  <c r="O291" i="12"/>
  <c r="X102" i="17"/>
  <c r="X262" i="17"/>
  <c r="N43" i="16"/>
  <c r="N203" i="13"/>
  <c r="N43" i="14" s="1"/>
  <c r="N43" i="13"/>
  <c r="Y102" i="15"/>
  <c r="Y102" i="18"/>
  <c r="Y267" i="18" s="1"/>
  <c r="N94" i="15"/>
  <c r="O87" i="11"/>
  <c r="O247" i="12"/>
  <c r="O212" i="12"/>
  <c r="M277" i="17"/>
  <c r="M117" i="18" s="1"/>
  <c r="M117" i="17"/>
  <c r="Y66" i="16"/>
  <c r="Y226" i="13"/>
  <c r="Y66" i="14" s="1"/>
  <c r="Y66" i="13"/>
  <c r="N183" i="12"/>
  <c r="N23" i="16" s="1"/>
  <c r="M16" i="15"/>
  <c r="O34" i="16"/>
  <c r="O194" i="13"/>
  <c r="O34" i="14" s="1"/>
  <c r="O34" i="13"/>
  <c r="M101" i="16"/>
  <c r="M261" i="13"/>
  <c r="M101" i="14" s="1"/>
  <c r="M101" i="13"/>
  <c r="M202" i="17"/>
  <c r="M42" i="17"/>
  <c r="N103" i="16"/>
  <c r="N263" i="13"/>
  <c r="N103" i="14" s="1"/>
  <c r="N103" i="13"/>
  <c r="M189" i="17"/>
  <c r="M29" i="18" s="1"/>
  <c r="M189" i="18" s="1"/>
  <c r="M29" i="17"/>
  <c r="N119" i="16"/>
  <c r="N119" i="13"/>
  <c r="N279" i="13"/>
  <c r="N119" i="14" s="1"/>
  <c r="F154" i="37"/>
  <c r="P154" i="9"/>
  <c r="F147" i="37"/>
  <c r="P147" i="9"/>
  <c r="F44" i="37"/>
  <c r="P44" i="9"/>
  <c r="F9" i="37"/>
  <c r="P9" i="9"/>
  <c r="P131" i="9"/>
  <c r="F131" i="37"/>
  <c r="F107" i="37"/>
  <c r="P107" i="9"/>
  <c r="P121" i="9"/>
  <c r="F121" i="37"/>
  <c r="F82" i="37"/>
  <c r="P82" i="9"/>
  <c r="F98" i="37"/>
  <c r="P98" i="9"/>
  <c r="O282" i="13"/>
  <c r="O122" i="14" s="1"/>
  <c r="O122" i="13"/>
  <c r="O268" i="17"/>
  <c r="O108" i="17"/>
  <c r="N99" i="16"/>
  <c r="N99" i="13"/>
  <c r="N259" i="13"/>
  <c r="N99" i="14" s="1"/>
  <c r="I84" i="37"/>
  <c r="Z84" i="10"/>
  <c r="N299" i="12"/>
  <c r="O103" i="13"/>
  <c r="N109" i="13"/>
  <c r="N109" i="17"/>
  <c r="T137" i="15"/>
  <c r="M13" i="18"/>
  <c r="N310" i="12"/>
  <c r="N150" i="16" s="1"/>
  <c r="N233" i="17"/>
  <c r="N73" i="18" s="1"/>
  <c r="N234" i="18" s="1"/>
  <c r="N73" i="17"/>
  <c r="O308" i="12"/>
  <c r="O148" i="16" s="1"/>
  <c r="O16" i="10"/>
  <c r="O18" i="11"/>
  <c r="O178" i="12"/>
  <c r="O150" i="16"/>
  <c r="O310" i="13"/>
  <c r="O150" i="13"/>
  <c r="O190" i="12"/>
  <c r="O30" i="16" s="1"/>
  <c r="O173" i="12"/>
  <c r="O13" i="16" s="1"/>
  <c r="O114" i="16"/>
  <c r="O114" i="13"/>
  <c r="O274" i="13"/>
  <c r="N220" i="13"/>
  <c r="N60" i="14" s="1"/>
  <c r="N60" i="15" s="1"/>
  <c r="N60" i="13"/>
  <c r="N254" i="17"/>
  <c r="N94" i="18" s="1"/>
  <c r="N258" i="18" s="1"/>
  <c r="N94" i="17"/>
  <c r="Y85" i="16"/>
  <c r="Y85" i="13"/>
  <c r="Y245" i="13"/>
  <c r="Y85" i="14" s="1"/>
  <c r="Y100" i="16"/>
  <c r="Y100" i="13"/>
  <c r="Y260" i="13"/>
  <c r="Y100" i="14" s="1"/>
  <c r="I100" i="37"/>
  <c r="Z100" i="10"/>
  <c r="M14" i="17"/>
  <c r="M174" i="17"/>
  <c r="O29" i="16"/>
  <c r="O189" i="13"/>
  <c r="O29" i="14" s="1"/>
  <c r="O29" i="13"/>
  <c r="O42" i="10"/>
  <c r="O42" i="11" s="1"/>
  <c r="O8" i="11"/>
  <c r="O168" i="12"/>
  <c r="O230" i="13"/>
  <c r="O70" i="14" s="1"/>
  <c r="O70" i="15" s="1"/>
  <c r="O70" i="13"/>
  <c r="O107" i="16"/>
  <c r="O267" i="13"/>
  <c r="O107" i="14" s="1"/>
  <c r="O107" i="13"/>
  <c r="O115" i="16"/>
  <c r="O275" i="13"/>
  <c r="O115" i="14" s="1"/>
  <c r="O115" i="13"/>
  <c r="M98" i="17"/>
  <c r="M258" i="17"/>
  <c r="M98" i="18" s="1"/>
  <c r="N301" i="12"/>
  <c r="N87" i="15"/>
  <c r="N242" i="17"/>
  <c r="N82" i="18" s="1"/>
  <c r="N244" i="18" s="1"/>
  <c r="N82" i="17"/>
  <c r="N267" i="12"/>
  <c r="M145" i="16"/>
  <c r="M305" i="13"/>
  <c r="M145" i="14" s="1"/>
  <c r="M145" i="13"/>
  <c r="M315" i="17"/>
  <c r="M155" i="18" s="1"/>
  <c r="M155" i="17"/>
  <c r="M176" i="17"/>
  <c r="M16" i="18" s="1"/>
  <c r="M16" i="17"/>
  <c r="N291" i="13"/>
  <c r="N131" i="14" s="1"/>
  <c r="N131" i="15" s="1"/>
  <c r="N131" i="13"/>
  <c r="Y300" i="17"/>
  <c r="Y140" i="17"/>
  <c r="N289" i="13"/>
  <c r="N129" i="14" s="1"/>
  <c r="N129" i="13"/>
  <c r="N180" i="17"/>
  <c r="N20" i="18" s="1"/>
  <c r="N180" i="18" s="1"/>
  <c r="N20" i="17"/>
  <c r="O86" i="10"/>
  <c r="O86" i="11" s="1"/>
  <c r="O227" i="13"/>
  <c r="O67" i="14" s="1"/>
  <c r="O67" i="15" s="1"/>
  <c r="O67" i="13"/>
  <c r="O307" i="17"/>
  <c r="O147" i="17"/>
  <c r="O74" i="13"/>
  <c r="O234" i="13"/>
  <c r="O74" i="14" s="1"/>
  <c r="M82" i="15"/>
  <c r="M86" i="16"/>
  <c r="M246" i="13"/>
  <c r="M86" i="14" s="1"/>
  <c r="M86" i="13"/>
  <c r="N290" i="12"/>
  <c r="N92" i="17"/>
  <c r="N252" i="17"/>
  <c r="N92" i="18" s="1"/>
  <c r="N256" i="18" s="1"/>
  <c r="N106" i="15"/>
  <c r="M106" i="15"/>
  <c r="M35" i="13"/>
  <c r="M195" i="13"/>
  <c r="M35" i="14" s="1"/>
  <c r="M35" i="15" s="1"/>
  <c r="N15" i="16"/>
  <c r="N175" i="13"/>
  <c r="N15" i="14" s="1"/>
  <c r="N15" i="13"/>
  <c r="N124" i="16"/>
  <c r="N284" i="13"/>
  <c r="N124" i="14" s="1"/>
  <c r="N124" i="13"/>
  <c r="O122" i="16"/>
  <c r="X140" i="16"/>
  <c r="X140" i="13"/>
  <c r="X300" i="13"/>
  <c r="X140" i="14" s="1"/>
  <c r="N148" i="17"/>
  <c r="N308" i="17"/>
  <c r="F123" i="37"/>
  <c r="P123" i="9"/>
  <c r="F139" i="37"/>
  <c r="P139" i="9"/>
  <c r="F129" i="37"/>
  <c r="P129" i="9"/>
  <c r="F15" i="37"/>
  <c r="P15" i="9"/>
  <c r="F83" i="37"/>
  <c r="P83" i="9"/>
  <c r="F89" i="37"/>
  <c r="P89" i="9"/>
  <c r="F68" i="37"/>
  <c r="P68" i="9"/>
  <c r="F50" i="37"/>
  <c r="P50" i="9"/>
  <c r="F95" i="37"/>
  <c r="P95" i="9"/>
  <c r="F74" i="37"/>
  <c r="P74" i="9"/>
  <c r="F39" i="37"/>
  <c r="P39" i="9"/>
  <c r="F41" i="37"/>
  <c r="P41" i="9"/>
  <c r="F91" i="37"/>
  <c r="P91" i="9"/>
  <c r="P136" i="9"/>
  <c r="F136" i="37"/>
  <c r="F5" i="37"/>
  <c r="E7" i="38" s="1"/>
  <c r="P5" i="9"/>
  <c r="Q159" i="6"/>
  <c r="F97" i="37"/>
  <c r="P97" i="9"/>
  <c r="F152" i="37"/>
  <c r="P152" i="9"/>
  <c r="F76" i="37"/>
  <c r="P76" i="9"/>
  <c r="F16" i="37"/>
  <c r="P16" i="9"/>
  <c r="P145" i="9"/>
  <c r="F145" i="37"/>
  <c r="F29" i="37"/>
  <c r="P29" i="9"/>
  <c r="F60" i="37"/>
  <c r="P60" i="9"/>
  <c r="P14" i="9"/>
  <c r="F14" i="37"/>
  <c r="F106" i="37"/>
  <c r="P106" i="9"/>
  <c r="F116" i="37"/>
  <c r="P116" i="9"/>
  <c r="F22" i="37"/>
  <c r="P22" i="9"/>
  <c r="O318" i="12"/>
  <c r="O20" i="10"/>
  <c r="O20" i="11" s="1"/>
  <c r="O35" i="10"/>
  <c r="O35" i="11" s="1"/>
  <c r="O239" i="13"/>
  <c r="O79" i="14" s="1"/>
  <c r="O79" i="15" s="1"/>
  <c r="O79" i="13"/>
  <c r="O111" i="16"/>
  <c r="O111" i="13"/>
  <c r="O271" i="13"/>
  <c r="O111" i="14" s="1"/>
  <c r="O26" i="16"/>
  <c r="O186" i="13"/>
  <c r="O26" i="14" s="1"/>
  <c r="O26" i="13"/>
  <c r="O68" i="17"/>
  <c r="O228" i="17"/>
  <c r="O299" i="13"/>
  <c r="O139" i="14" s="1"/>
  <c r="O139" i="15" s="1"/>
  <c r="O139" i="13"/>
  <c r="M90" i="16"/>
  <c r="M250" i="13"/>
  <c r="M90" i="14" s="1"/>
  <c r="M90" i="13"/>
  <c r="X244" i="17"/>
  <c r="X84" i="18" s="1"/>
  <c r="X84" i="17"/>
  <c r="N305" i="17"/>
  <c r="N145" i="18" s="1"/>
  <c r="N314" i="18" s="1"/>
  <c r="N145" i="17"/>
  <c r="N48" i="16"/>
  <c r="N208" i="13"/>
  <c r="N48" i="14" s="1"/>
  <c r="N48" i="13"/>
  <c r="N294" i="13"/>
  <c r="N134" i="14" s="1"/>
  <c r="N134" i="13"/>
  <c r="N271" i="12"/>
  <c r="N97" i="16"/>
  <c r="N257" i="13"/>
  <c r="N97" i="14" s="1"/>
  <c r="N97" i="13"/>
  <c r="M62" i="16"/>
  <c r="M222" i="13"/>
  <c r="M62" i="14" s="1"/>
  <c r="M62" i="13"/>
  <c r="M308" i="13"/>
  <c r="M148" i="14" s="1"/>
  <c r="M148" i="15" s="1"/>
  <c r="M148" i="13"/>
  <c r="N213" i="12"/>
  <c r="N53" i="16" s="1"/>
  <c r="Y151" i="13"/>
  <c r="Y311" i="13"/>
  <c r="Y151" i="14" s="1"/>
  <c r="Y151" i="15" s="1"/>
  <c r="Y297" i="12"/>
  <c r="N29" i="16"/>
  <c r="N29" i="13"/>
  <c r="N189" i="13"/>
  <c r="N29" i="14" s="1"/>
  <c r="O172" i="12"/>
  <c r="O305" i="12"/>
  <c r="O145" i="16" s="1"/>
  <c r="O109" i="16"/>
  <c r="O269" i="13"/>
  <c r="O109" i="13"/>
  <c r="M233" i="17"/>
  <c r="M73" i="18" s="1"/>
  <c r="M73" i="17"/>
  <c r="N220" i="17"/>
  <c r="N60" i="17"/>
  <c r="N52" i="16"/>
  <c r="N212" i="13"/>
  <c r="N52" i="14" s="1"/>
  <c r="N52" i="13"/>
  <c r="N50" i="17"/>
  <c r="N210" i="17"/>
  <c r="N50" i="18" s="1"/>
  <c r="N210" i="18" s="1"/>
  <c r="N182" i="17"/>
  <c r="N22" i="18" s="1"/>
  <c r="N182" i="18" s="1"/>
  <c r="N22" i="17"/>
  <c r="N275" i="17"/>
  <c r="N115" i="18" s="1"/>
  <c r="N282" i="18" s="1"/>
  <c r="N115" i="17"/>
  <c r="O92" i="16"/>
  <c r="O92" i="13"/>
  <c r="O252" i="13"/>
  <c r="O92" i="14" s="1"/>
  <c r="O254" i="12"/>
  <c r="O94" i="16" s="1"/>
  <c r="N250" i="13"/>
  <c r="N90" i="14" s="1"/>
  <c r="N90" i="13"/>
  <c r="M252" i="17"/>
  <c r="M92" i="18" s="1"/>
  <c r="M92" i="17"/>
  <c r="N125" i="16"/>
  <c r="N125" i="13"/>
  <c r="N285" i="13"/>
  <c r="N125" i="14" s="1"/>
  <c r="N57" i="15"/>
  <c r="N57" i="18"/>
  <c r="N217" i="18" s="1"/>
  <c r="O60" i="11"/>
  <c r="O220" i="12"/>
  <c r="O142" i="16"/>
  <c r="O142" i="13"/>
  <c r="O302" i="13"/>
  <c r="O142" i="14" s="1"/>
  <c r="Y77" i="16"/>
  <c r="Y237" i="13"/>
  <c r="Y77" i="14" s="1"/>
  <c r="Y77" i="13"/>
  <c r="N214" i="12"/>
  <c r="N54" i="16"/>
  <c r="M195" i="17"/>
  <c r="M35" i="17"/>
  <c r="N246" i="17"/>
  <c r="N86" i="17"/>
  <c r="M60" i="15"/>
  <c r="M60" i="18"/>
  <c r="F141" i="37"/>
  <c r="P141" i="9"/>
  <c r="F45" i="37"/>
  <c r="P45" i="9"/>
  <c r="F119" i="37"/>
  <c r="P119" i="9"/>
  <c r="F109" i="37"/>
  <c r="P109" i="9"/>
  <c r="F122" i="37"/>
  <c r="P122" i="9"/>
  <c r="F23" i="37"/>
  <c r="P23" i="9"/>
  <c r="F90" i="37"/>
  <c r="P90" i="9"/>
  <c r="F134" i="37"/>
  <c r="P134" i="9"/>
  <c r="F158" i="37"/>
  <c r="P158" i="9"/>
  <c r="O22" i="11"/>
  <c r="O182" i="12"/>
  <c r="O301" i="13"/>
  <c r="O141" i="14" s="1"/>
  <c r="O141" i="15" s="1"/>
  <c r="O141" i="13"/>
  <c r="M148" i="17"/>
  <c r="M308" i="17"/>
  <c r="N309" i="12"/>
  <c r="N149" i="16" s="1"/>
  <c r="N34" i="16"/>
  <c r="N194" i="13"/>
  <c r="N34" i="14" s="1"/>
  <c r="N34" i="13"/>
  <c r="N16" i="16"/>
  <c r="N176" i="13"/>
  <c r="N16" i="14" s="1"/>
  <c r="N16" i="13"/>
  <c r="I137" i="37"/>
  <c r="Z137" i="10"/>
  <c r="O263" i="13"/>
  <c r="O103" i="14" s="1"/>
  <c r="O103" i="18" s="1"/>
  <c r="O269" i="18" s="1"/>
  <c r="N70" i="18"/>
  <c r="N231" i="18" s="1"/>
  <c r="N68" i="16"/>
  <c r="N228" i="13"/>
  <c r="N68" i="14" s="1"/>
  <c r="N68" i="13"/>
  <c r="N148" i="14"/>
  <c r="N117" i="18"/>
  <c r="N284" i="18" s="1"/>
  <c r="N117" i="15"/>
  <c r="O14" i="10"/>
  <c r="O14" i="11" s="1"/>
  <c r="O315" i="13"/>
  <c r="O155" i="14" s="1"/>
  <c r="O155" i="15" s="1"/>
  <c r="O155" i="13"/>
  <c r="O12" i="11"/>
  <c r="O145" i="11"/>
  <c r="O131" i="11"/>
  <c r="O152" i="16"/>
  <c r="O152" i="13"/>
  <c r="O312" i="13"/>
  <c r="O152" i="14" s="1"/>
  <c r="O31" i="16"/>
  <c r="O191" i="13"/>
  <c r="O31" i="14" s="1"/>
  <c r="O31" i="13"/>
  <c r="O109" i="11"/>
  <c r="O109" i="14" s="1"/>
  <c r="O41" i="16"/>
  <c r="O201" i="13"/>
  <c r="O41" i="14" s="1"/>
  <c r="O41" i="13"/>
  <c r="O49" i="16"/>
  <c r="O209" i="13"/>
  <c r="O49" i="14" s="1"/>
  <c r="O49" i="13"/>
  <c r="X77" i="13"/>
  <c r="X77" i="16"/>
  <c r="X237" i="13"/>
  <c r="X77" i="14" s="1"/>
  <c r="X102" i="15"/>
  <c r="X102" i="18"/>
  <c r="B61" i="22"/>
  <c r="D60" i="22"/>
  <c r="N296" i="17"/>
  <c r="N136" i="18" s="1"/>
  <c r="N303" i="18" s="1"/>
  <c r="N136" i="17"/>
  <c r="N7" i="11"/>
  <c r="N276" i="17"/>
  <c r="N116" i="18" s="1"/>
  <c r="N283" i="18" s="1"/>
  <c r="N116" i="17"/>
  <c r="N278" i="12"/>
  <c r="X151" i="15"/>
  <c r="X151" i="18"/>
  <c r="X320" i="18" s="1"/>
  <c r="N22" i="15"/>
  <c r="M14" i="13"/>
  <c r="M174" i="13"/>
  <c r="M14" i="14" s="1"/>
  <c r="N236" i="12"/>
  <c r="N76" i="16" s="1"/>
  <c r="N89" i="11"/>
  <c r="N39" i="16"/>
  <c r="N39" i="13"/>
  <c r="N199" i="13"/>
  <c r="N39" i="14" s="1"/>
  <c r="N240" i="12"/>
  <c r="O57" i="11"/>
  <c r="O217" i="12"/>
  <c r="O57" i="16" s="1"/>
  <c r="O94" i="11"/>
  <c r="O52" i="11"/>
  <c r="O118" i="16"/>
  <c r="O278" i="13"/>
  <c r="O118" i="14" s="1"/>
  <c r="O118" i="13"/>
  <c r="O89" i="16"/>
  <c r="O249" i="13"/>
  <c r="O89" i="14" s="1"/>
  <c r="O89" i="13"/>
  <c r="O179" i="12"/>
  <c r="M117" i="15"/>
  <c r="N79" i="16"/>
  <c r="N79" i="13"/>
  <c r="N239" i="13"/>
  <c r="N79" i="14" s="1"/>
  <c r="N247" i="17"/>
  <c r="N87" i="18" s="1"/>
  <c r="N251" i="18" s="1"/>
  <c r="N87" i="17"/>
  <c r="M22" i="16"/>
  <c r="M22" i="13"/>
  <c r="M182" i="13"/>
  <c r="M22" i="14" s="1"/>
  <c r="N83" i="16"/>
  <c r="N243" i="13"/>
  <c r="N83" i="14" s="1"/>
  <c r="N83" i="13"/>
  <c r="N23" i="11"/>
  <c r="N90" i="16"/>
  <c r="M92" i="15"/>
  <c r="M155" i="15"/>
  <c r="N156" i="11"/>
  <c r="Y300" i="13"/>
  <c r="Y140" i="14" s="1"/>
  <c r="Y140" i="13"/>
  <c r="N63" i="16"/>
  <c r="N223" i="13"/>
  <c r="N63" i="14" s="1"/>
  <c r="N63" i="13"/>
  <c r="N62" i="17"/>
  <c r="N222" i="17"/>
  <c r="N62" i="18" s="1"/>
  <c r="N222" i="18" s="1"/>
  <c r="N98" i="17"/>
  <c r="N258" i="17"/>
  <c r="N98" i="18" s="1"/>
  <c r="N262" i="18" s="1"/>
  <c r="O116" i="11"/>
  <c r="O276" i="12"/>
  <c r="O98" i="11"/>
  <c r="O258" i="12"/>
  <c r="O98" i="16" s="1"/>
  <c r="O82" i="16"/>
  <c r="O242" i="13"/>
  <c r="O82" i="14" s="1"/>
  <c r="O82" i="13"/>
  <c r="O208" i="12"/>
  <c r="O48" i="16" s="1"/>
  <c r="O284" i="12"/>
  <c r="O307" i="13"/>
  <c r="O147" i="14" s="1"/>
  <c r="O147" i="15" s="1"/>
  <c r="O147" i="13"/>
  <c r="O170" i="12"/>
  <c r="O289" i="12"/>
  <c r="M94" i="16"/>
  <c r="M82" i="17"/>
  <c r="M242" i="17"/>
  <c r="M82" i="18" s="1"/>
  <c r="N54" i="11"/>
  <c r="N172" i="12"/>
  <c r="N12" i="16" s="1"/>
  <c r="N158" i="13"/>
  <c r="N318" i="13"/>
  <c r="N158" i="14" s="1"/>
  <c r="N158" i="15" s="1"/>
  <c r="M42" i="15"/>
  <c r="M42" i="18"/>
  <c r="M202" i="18" s="1"/>
  <c r="M87" i="18"/>
  <c r="M87" i="15"/>
  <c r="N266" i="17"/>
  <c r="N106" i="18" s="1"/>
  <c r="N272" i="18" s="1"/>
  <c r="N106" i="17"/>
  <c r="M29" i="15"/>
  <c r="M266" i="17"/>
  <c r="M106" i="18" s="1"/>
  <c r="M106" i="17"/>
  <c r="N105" i="16"/>
  <c r="N86" i="18"/>
  <c r="N250" i="18" s="1"/>
  <c r="N86" i="15"/>
  <c r="Z110" i="10"/>
  <c r="I110" i="37"/>
  <c r="G77" i="37"/>
  <c r="Z77" i="9"/>
  <c r="M318" i="17"/>
  <c r="M158" i="18" s="1"/>
  <c r="M158" i="17"/>
  <c r="N165" i="12"/>
  <c r="F63" i="37"/>
  <c r="P63" i="9"/>
  <c r="F34" i="37"/>
  <c r="P34" i="9"/>
  <c r="F105" i="37"/>
  <c r="P105" i="9"/>
  <c r="F149" i="37"/>
  <c r="P149" i="9"/>
  <c r="F47" i="37"/>
  <c r="P47" i="9"/>
  <c r="P156" i="9"/>
  <c r="F156" i="37"/>
  <c r="F130" i="37"/>
  <c r="P130" i="9"/>
  <c r="F125" i="37"/>
  <c r="P125" i="9"/>
  <c r="F127" i="37"/>
  <c r="P127" i="9"/>
  <c r="F49" i="37"/>
  <c r="P49" i="9"/>
  <c r="F124" i="37"/>
  <c r="P124" i="9"/>
  <c r="F43" i="37"/>
  <c r="P43" i="9"/>
  <c r="F81" i="37"/>
  <c r="P81" i="9"/>
  <c r="F12" i="37"/>
  <c r="P12" i="9"/>
  <c r="F13" i="37"/>
  <c r="P13" i="9"/>
  <c r="F65" i="37"/>
  <c r="P65" i="9"/>
  <c r="F70" i="37"/>
  <c r="P70" i="9"/>
  <c r="F7" i="37"/>
  <c r="P7" i="9"/>
  <c r="F114" i="37"/>
  <c r="P114" i="9"/>
  <c r="P42" i="9"/>
  <c r="F42" i="37"/>
  <c r="F8" i="37"/>
  <c r="E9" i="38" s="1"/>
  <c r="P8" i="9"/>
  <c r="F57" i="37"/>
  <c r="P57" i="9"/>
  <c r="F117" i="37"/>
  <c r="P117" i="9"/>
  <c r="F86" i="37"/>
  <c r="P86" i="9"/>
  <c r="F87" i="37"/>
  <c r="P87" i="9"/>
  <c r="F62" i="37"/>
  <c r="P62" i="9"/>
  <c r="F92" i="37"/>
  <c r="P92" i="9"/>
  <c r="O55" i="16"/>
  <c r="O215" i="13"/>
  <c r="O55" i="14" s="1"/>
  <c r="O55" i="13"/>
  <c r="O90" i="16"/>
  <c r="O90" i="13"/>
  <c r="O250" i="13"/>
  <c r="O90" i="14" s="1"/>
  <c r="O80" i="16"/>
  <c r="O240" i="13"/>
  <c r="O80" i="14" s="1"/>
  <c r="O80" i="13"/>
  <c r="O53" i="16"/>
  <c r="O213" i="13"/>
  <c r="O53" i="14" s="1"/>
  <c r="O53" i="13"/>
  <c r="O228" i="13"/>
  <c r="O68" i="14" s="1"/>
  <c r="O68" i="15" s="1"/>
  <c r="O68" i="13"/>
  <c r="O157" i="16"/>
  <c r="O317" i="13"/>
  <c r="O157" i="14" s="1"/>
  <c r="O157" i="13"/>
  <c r="N251" i="12"/>
  <c r="N91" i="16" s="1"/>
  <c r="N44" i="16"/>
  <c r="N204" i="13"/>
  <c r="N44" i="14" s="1"/>
  <c r="N44" i="13"/>
  <c r="N74" i="16"/>
  <c r="N234" i="13"/>
  <c r="N74" i="14" s="1"/>
  <c r="N74" i="13"/>
  <c r="Y110" i="15"/>
  <c r="Y110" i="18"/>
  <c r="Y276" i="18" s="1"/>
  <c r="N149" i="11"/>
  <c r="N35" i="14"/>
  <c r="M168" i="17"/>
  <c r="M8" i="18" s="1"/>
  <c r="M8" i="17"/>
  <c r="N114" i="16"/>
  <c r="N114" i="13"/>
  <c r="N274" i="13"/>
  <c r="N114" i="14" s="1"/>
  <c r="I140" i="37"/>
  <c r="Z140" i="10"/>
  <c r="N139" i="11"/>
  <c r="N281" i="13"/>
  <c r="N121" i="14" s="1"/>
  <c r="N121" i="13"/>
  <c r="AA128" i="18"/>
  <c r="D128" i="20"/>
  <c r="Z188" i="18"/>
  <c r="AA188" i="18" s="1"/>
  <c r="D28" i="20"/>
  <c r="AA28" i="18"/>
  <c r="AC461" i="1"/>
  <c r="S461" i="1" s="1"/>
  <c r="AC459" i="1"/>
  <c r="S459" i="1" s="1"/>
  <c r="L138" i="18"/>
  <c r="L306" i="18" s="1"/>
  <c r="AC449" i="1"/>
  <c r="S449" i="1" s="1"/>
  <c r="AC458" i="1"/>
  <c r="S458" i="1" s="1"/>
  <c r="AC496" i="1"/>
  <c r="S496" i="1" s="1"/>
  <c r="AC163" i="1"/>
  <c r="S163" i="1" s="1"/>
  <c r="S169" i="1" s="1"/>
  <c r="AC453" i="1"/>
  <c r="S453" i="1" s="1"/>
  <c r="AC438" i="1"/>
  <c r="S438" i="1" s="1"/>
  <c r="AC422" i="1"/>
  <c r="S422" i="1" s="1"/>
  <c r="AC444" i="1"/>
  <c r="S444" i="1" s="1"/>
  <c r="P297" i="17"/>
  <c r="P137" i="18" s="1"/>
  <c r="P304" i="18" s="1"/>
  <c r="P137" i="17"/>
  <c r="P85" i="15"/>
  <c r="P153" i="15"/>
  <c r="P245" i="17"/>
  <c r="P85" i="18" s="1"/>
  <c r="P85" i="17"/>
  <c r="P313" i="17"/>
  <c r="P153" i="18" s="1"/>
  <c r="P323" i="18" s="1"/>
  <c r="P153" i="17"/>
  <c r="P137" i="15"/>
  <c r="AA75" i="18"/>
  <c r="G67" i="18"/>
  <c r="G228" i="18" s="1"/>
  <c r="L54" i="18"/>
  <c r="L214" i="18" s="1"/>
  <c r="N26" i="18"/>
  <c r="N186" i="18" s="1"/>
  <c r="H68" i="15"/>
  <c r="L156" i="17"/>
  <c r="AA252" i="18"/>
  <c r="G26" i="18"/>
  <c r="G186" i="18" s="1"/>
  <c r="O119" i="18"/>
  <c r="O286" i="18" s="1"/>
  <c r="M9" i="14"/>
  <c r="M9" i="15" s="1"/>
  <c r="K67" i="18"/>
  <c r="K228" i="18" s="1"/>
  <c r="G109" i="15"/>
  <c r="L156" i="15"/>
  <c r="I69" i="18"/>
  <c r="I230" i="18" s="1"/>
  <c r="H93" i="18"/>
  <c r="H257" i="18" s="1"/>
  <c r="L111" i="18"/>
  <c r="L278" i="18" s="1"/>
  <c r="AA88" i="18"/>
  <c r="G130" i="17"/>
  <c r="D88" i="20"/>
  <c r="AA299" i="18"/>
  <c r="AA196" i="18"/>
  <c r="J89" i="18"/>
  <c r="J253" i="18" s="1"/>
  <c r="O125" i="18"/>
  <c r="O292" i="18" s="1"/>
  <c r="D36" i="20"/>
  <c r="I9" i="14"/>
  <c r="I9" i="15" s="1"/>
  <c r="G154" i="18"/>
  <c r="G325" i="18" s="1"/>
  <c r="H261" i="18"/>
  <c r="D37" i="20"/>
  <c r="M125" i="18"/>
  <c r="M292" i="18" s="1"/>
  <c r="AA197" i="18"/>
  <c r="D132" i="20"/>
  <c r="AA132" i="18"/>
  <c r="N142" i="18"/>
  <c r="N311" i="18" s="1"/>
  <c r="AA37" i="18"/>
  <c r="AD132" i="1"/>
  <c r="O132" i="1"/>
  <c r="D39" i="31" s="1"/>
  <c r="G191" i="18"/>
  <c r="G108" i="15"/>
  <c r="G269" i="17"/>
  <c r="G109" i="18" s="1"/>
  <c r="G109" i="17"/>
  <c r="G268" i="17"/>
  <c r="G108" i="18" s="1"/>
  <c r="G274" i="18" s="1"/>
  <c r="G108" i="17"/>
  <c r="J45" i="18"/>
  <c r="J205" i="18" s="1"/>
  <c r="U153" i="18"/>
  <c r="U323" i="18" s="1"/>
  <c r="H48" i="15"/>
  <c r="H48" i="18"/>
  <c r="H208" i="18" s="1"/>
  <c r="G68" i="18"/>
  <c r="G229" i="18" s="1"/>
  <c r="N9" i="14"/>
  <c r="N9" i="15" s="1"/>
  <c r="K13" i="15"/>
  <c r="K13" i="18"/>
  <c r="K173" i="18" s="1"/>
  <c r="L169" i="17"/>
  <c r="L9" i="17"/>
  <c r="G19" i="18"/>
  <c r="G179" i="18" s="1"/>
  <c r="N169" i="17"/>
  <c r="N9" i="17"/>
  <c r="H150" i="18"/>
  <c r="H150" i="15"/>
  <c r="L169" i="13"/>
  <c r="L9" i="14" s="1"/>
  <c r="L9" i="15" s="1"/>
  <c r="L9" i="13"/>
  <c r="H5" i="18"/>
  <c r="H165" i="18" s="1"/>
  <c r="P279" i="18"/>
  <c r="AA279" i="18" s="1"/>
  <c r="D112" i="20"/>
  <c r="AA112" i="18"/>
  <c r="M80" i="18"/>
  <c r="M242" i="18" s="1"/>
  <c r="K91" i="18"/>
  <c r="K255" i="18" s="1"/>
  <c r="K91" i="15"/>
  <c r="J70" i="18"/>
  <c r="J231" i="18" s="1"/>
  <c r="AA221" i="18"/>
  <c r="J7" i="18"/>
  <c r="J167" i="18" s="1"/>
  <c r="J107" i="15"/>
  <c r="J107" i="18"/>
  <c r="T153" i="18"/>
  <c r="T323" i="18" s="1"/>
  <c r="V153" i="18"/>
  <c r="V323" i="18" s="1"/>
  <c r="AA135" i="18"/>
  <c r="H83" i="18"/>
  <c r="H245" i="18" s="1"/>
  <c r="I131" i="18"/>
  <c r="I131" i="15"/>
  <c r="L65" i="18"/>
  <c r="L225" i="18" s="1"/>
  <c r="G65" i="18"/>
  <c r="G225" i="18" s="1"/>
  <c r="D135" i="20"/>
  <c r="L156" i="18"/>
  <c r="J80" i="15"/>
  <c r="J80" i="18"/>
  <c r="AA302" i="18"/>
  <c r="AA219" i="18"/>
  <c r="AA61" i="18"/>
  <c r="O105" i="18"/>
  <c r="O271" i="18" s="1"/>
  <c r="N65" i="18"/>
  <c r="N225" i="18" s="1"/>
  <c r="N65" i="15"/>
  <c r="H53" i="15"/>
  <c r="H53" i="18"/>
  <c r="D59" i="20"/>
  <c r="D61" i="20"/>
  <c r="M255" i="18"/>
  <c r="M173" i="18"/>
  <c r="G231" i="18"/>
  <c r="H45" i="18"/>
  <c r="H205" i="18" s="1"/>
  <c r="L70" i="18"/>
  <c r="L231" i="18" s="1"/>
  <c r="L70" i="15"/>
  <c r="I67" i="18"/>
  <c r="Q153" i="15"/>
  <c r="Q153" i="18"/>
  <c r="AC360" i="1"/>
  <c r="S360" i="1" s="1"/>
  <c r="S365" i="1" s="1"/>
  <c r="K124" i="15"/>
  <c r="K124" i="18"/>
  <c r="O45" i="18"/>
  <c r="O205" i="18" s="1"/>
  <c r="N174" i="18"/>
  <c r="K63" i="15"/>
  <c r="K63" i="18"/>
  <c r="K223" i="18" s="1"/>
  <c r="I52" i="15"/>
  <c r="I52" i="18"/>
  <c r="I212" i="18" s="1"/>
  <c r="H15" i="18"/>
  <c r="H175" i="18" s="1"/>
  <c r="O23" i="18"/>
  <c r="O183" i="18" s="1"/>
  <c r="H311" i="18"/>
  <c r="G286" i="18"/>
  <c r="G306" i="18"/>
  <c r="G212" i="18"/>
  <c r="H253" i="18"/>
  <c r="AA59" i="18"/>
  <c r="J10" i="18"/>
  <c r="J170" i="18" s="1"/>
  <c r="J10" i="15"/>
  <c r="N138" i="18"/>
  <c r="N306" i="18" s="1"/>
  <c r="N138" i="15"/>
  <c r="D32" i="20"/>
  <c r="I103" i="18"/>
  <c r="I269" i="18" s="1"/>
  <c r="O130" i="18"/>
  <c r="O297" i="18" s="1"/>
  <c r="O130" i="15"/>
  <c r="X137" i="15"/>
  <c r="X137" i="18"/>
  <c r="H234" i="17"/>
  <c r="H74" i="18" s="1"/>
  <c r="H74" i="17"/>
  <c r="J142" i="18"/>
  <c r="J311" i="18" s="1"/>
  <c r="I138" i="18"/>
  <c r="I306" i="18" s="1"/>
  <c r="K23" i="18"/>
  <c r="K183" i="18" s="1"/>
  <c r="H130" i="18"/>
  <c r="H297" i="18" s="1"/>
  <c r="G23" i="18"/>
  <c r="G23" i="15"/>
  <c r="M45" i="15"/>
  <c r="M45" i="18"/>
  <c r="J147" i="15"/>
  <c r="J147" i="18"/>
  <c r="J316" i="18" s="1"/>
  <c r="AA192" i="18"/>
  <c r="I119" i="18"/>
  <c r="I286" i="18" s="1"/>
  <c r="I119" i="15"/>
  <c r="AA36" i="18"/>
  <c r="O298" i="17"/>
  <c r="O138" i="18" s="1"/>
  <c r="O306" i="18" s="1"/>
  <c r="O138" i="17"/>
  <c r="K138" i="15"/>
  <c r="K138" i="18"/>
  <c r="K306" i="18" s="1"/>
  <c r="G10" i="18"/>
  <c r="G10" i="15"/>
  <c r="N253" i="17"/>
  <c r="N93" i="18" s="1"/>
  <c r="N257" i="18" s="1"/>
  <c r="N93" i="17"/>
  <c r="M183" i="17"/>
  <c r="M23" i="18" s="1"/>
  <c r="M183" i="18" s="1"/>
  <c r="M23" i="17"/>
  <c r="N69" i="18"/>
  <c r="N230" i="18" s="1"/>
  <c r="N69" i="15"/>
  <c r="M23" i="15"/>
  <c r="H50" i="18"/>
  <c r="H210" i="18" s="1"/>
  <c r="M138" i="18"/>
  <c r="M306" i="18" s="1"/>
  <c r="I114" i="15"/>
  <c r="I114" i="18"/>
  <c r="H157" i="18"/>
  <c r="H328" i="18" s="1"/>
  <c r="H157" i="15"/>
  <c r="O83" i="15"/>
  <c r="O83" i="18"/>
  <c r="O245" i="18" s="1"/>
  <c r="G130" i="15"/>
  <c r="G130" i="18"/>
  <c r="O138" i="15"/>
  <c r="N93" i="15"/>
  <c r="J93" i="15"/>
  <c r="J93" i="18"/>
  <c r="H74" i="15"/>
  <c r="N45" i="15"/>
  <c r="N45" i="18"/>
  <c r="N205" i="18" s="1"/>
  <c r="G204" i="18"/>
  <c r="G263" i="18"/>
  <c r="O169" i="17"/>
  <c r="O9" i="17"/>
  <c r="G169" i="17"/>
  <c r="G9" i="17"/>
  <c r="G223" i="18"/>
  <c r="AA32" i="18"/>
  <c r="N157" i="17"/>
  <c r="N317" i="17"/>
  <c r="N157" i="18" s="1"/>
  <c r="N328" i="18" s="1"/>
  <c r="M41" i="18"/>
  <c r="M201" i="18" s="1"/>
  <c r="M41" i="15"/>
  <c r="G120" i="18"/>
  <c r="G120" i="15"/>
  <c r="N19" i="18"/>
  <c r="N179" i="18" s="1"/>
  <c r="N19" i="15"/>
  <c r="N157" i="15"/>
  <c r="M229" i="17"/>
  <c r="M69" i="18" s="1"/>
  <c r="M230" i="18" s="1"/>
  <c r="M69" i="17"/>
  <c r="K141" i="18"/>
  <c r="K141" i="15"/>
  <c r="G39" i="18"/>
  <c r="G39" i="15"/>
  <c r="J15" i="18"/>
  <c r="J175" i="18" s="1"/>
  <c r="J15" i="15"/>
  <c r="I50" i="18"/>
  <c r="I210" i="18" s="1"/>
  <c r="I50" i="15"/>
  <c r="G287" i="17"/>
  <c r="G127" i="18" s="1"/>
  <c r="G127" i="17"/>
  <c r="I19" i="18"/>
  <c r="I19" i="15"/>
  <c r="G50" i="18"/>
  <c r="I149" i="18"/>
  <c r="I318" i="18" s="1"/>
  <c r="G81" i="18"/>
  <c r="G81" i="15"/>
  <c r="N147" i="15"/>
  <c r="N147" i="18"/>
  <c r="N316" i="18" s="1"/>
  <c r="G69" i="15"/>
  <c r="G69" i="18"/>
  <c r="O123" i="18"/>
  <c r="H147" i="18"/>
  <c r="H54" i="18"/>
  <c r="M83" i="18"/>
  <c r="M245" i="18" s="1"/>
  <c r="AA96" i="18"/>
  <c r="G15" i="18"/>
  <c r="G15" i="15"/>
  <c r="H81" i="18"/>
  <c r="H243" i="18" s="1"/>
  <c r="H81" i="15"/>
  <c r="G139" i="18"/>
  <c r="G139" i="15"/>
  <c r="L129" i="15"/>
  <c r="K263" i="17"/>
  <c r="K103" i="18" s="1"/>
  <c r="K103" i="17"/>
  <c r="G41" i="18"/>
  <c r="G41" i="15"/>
  <c r="H149" i="18"/>
  <c r="K169" i="17"/>
  <c r="K9" i="18" s="1"/>
  <c r="K169" i="18" s="1"/>
  <c r="K9" i="17"/>
  <c r="J149" i="18"/>
  <c r="J318" i="18" s="1"/>
  <c r="J149" i="15"/>
  <c r="I193" i="18"/>
  <c r="AA193" i="18" s="1"/>
  <c r="AA33" i="18"/>
  <c r="D33" i="20"/>
  <c r="J108" i="18"/>
  <c r="J274" i="18" s="1"/>
  <c r="J108" i="15"/>
  <c r="I15" i="18"/>
  <c r="I175" i="18" s="1"/>
  <c r="I15" i="15"/>
  <c r="G178" i="18"/>
  <c r="D96" i="20"/>
  <c r="J9" i="18"/>
  <c r="J169" i="18" s="1"/>
  <c r="J9" i="15"/>
  <c r="L289" i="17"/>
  <c r="L129" i="18" s="1"/>
  <c r="L296" i="18" s="1"/>
  <c r="L129" i="17"/>
  <c r="M154" i="18"/>
  <c r="M325" i="18" s="1"/>
  <c r="M154" i="15"/>
  <c r="O103" i="15"/>
  <c r="G157" i="15"/>
  <c r="G157" i="18"/>
  <c r="K300" i="18"/>
  <c r="AA300" i="18" s="1"/>
  <c r="D133" i="20"/>
  <c r="AA133" i="18"/>
  <c r="J54" i="18"/>
  <c r="J214" i="18" s="1"/>
  <c r="J54" i="15"/>
  <c r="K103" i="15"/>
  <c r="I109" i="15"/>
  <c r="I109" i="18"/>
  <c r="I275" i="18" s="1"/>
  <c r="O50" i="18"/>
  <c r="O210" i="18" s="1"/>
  <c r="G105" i="18"/>
  <c r="G105" i="15"/>
  <c r="K9" i="15"/>
  <c r="I157" i="15"/>
  <c r="I157" i="18"/>
  <c r="I328" i="18" s="1"/>
  <c r="O154" i="15"/>
  <c r="O154" i="18"/>
  <c r="O325" i="18" s="1"/>
  <c r="M81" i="18"/>
  <c r="M243" i="18" s="1"/>
  <c r="O149" i="18"/>
  <c r="O318" i="18" s="1"/>
  <c r="O39" i="18"/>
  <c r="O199" i="18" s="1"/>
  <c r="AA260" i="18"/>
  <c r="K120" i="18"/>
  <c r="K287" i="18" s="1"/>
  <c r="K120" i="15"/>
  <c r="M19" i="17"/>
  <c r="M179" i="17"/>
  <c r="M19" i="18" s="1"/>
  <c r="M179" i="18" s="1"/>
  <c r="M69" i="15"/>
  <c r="N109" i="18"/>
  <c r="N275" i="18" s="1"/>
  <c r="N109" i="15"/>
  <c r="M103" i="18"/>
  <c r="M269" i="18" s="1"/>
  <c r="M169" i="17"/>
  <c r="M9" i="17"/>
  <c r="G127" i="15"/>
  <c r="M50" i="18"/>
  <c r="M210" i="18" s="1"/>
  <c r="M50" i="15"/>
  <c r="L69" i="18"/>
  <c r="L230" i="18" s="1"/>
  <c r="I63" i="15"/>
  <c r="I63" i="18"/>
  <c r="I223" i="18" s="1"/>
  <c r="N47" i="18"/>
  <c r="N47" i="15"/>
  <c r="H108" i="18"/>
  <c r="H108" i="15"/>
  <c r="I9" i="17"/>
  <c r="I169" i="17"/>
  <c r="M120" i="18"/>
  <c r="M287" i="18" s="1"/>
  <c r="M120" i="15"/>
  <c r="K149" i="18"/>
  <c r="K318" i="18" s="1"/>
  <c r="G169" i="13"/>
  <c r="G9" i="14" s="1"/>
  <c r="G9" i="13"/>
  <c r="M149" i="15"/>
  <c r="M149" i="18"/>
  <c r="M318" i="18" s="1"/>
  <c r="O69" i="15"/>
  <c r="O69" i="18"/>
  <c r="O230" i="18" s="1"/>
  <c r="O81" i="15"/>
  <c r="O81" i="18"/>
  <c r="O243" i="18" s="1"/>
  <c r="H49" i="18"/>
  <c r="H49" i="15"/>
  <c r="N81" i="18"/>
  <c r="N243" i="18" s="1"/>
  <c r="J81" i="18"/>
  <c r="J243" i="18" s="1"/>
  <c r="J81" i="15"/>
  <c r="K157" i="18"/>
  <c r="K328" i="18" s="1"/>
  <c r="K157" i="15"/>
  <c r="J49" i="18"/>
  <c r="J209" i="18" s="1"/>
  <c r="J49" i="15"/>
  <c r="I76" i="18"/>
  <c r="I76" i="15"/>
  <c r="G275" i="18"/>
  <c r="H109" i="18"/>
  <c r="G83" i="18"/>
  <c r="G83" i="15"/>
  <c r="M19" i="15"/>
  <c r="I154" i="15"/>
  <c r="I154" i="18"/>
  <c r="I325" i="18" s="1"/>
  <c r="K129" i="18"/>
  <c r="K129" i="15"/>
  <c r="O169" i="13"/>
  <c r="O9" i="14" s="1"/>
  <c r="O9" i="15" s="1"/>
  <c r="O9" i="13"/>
  <c r="N146" i="18"/>
  <c r="N146" i="15"/>
  <c r="AA184" i="18"/>
  <c r="AC9" i="1"/>
  <c r="S9" i="1" s="1"/>
  <c r="S14" i="1" s="1"/>
  <c r="T163" i="1"/>
  <c r="R163" i="1"/>
  <c r="E147" i="1"/>
  <c r="E153" i="1"/>
  <c r="AO153" i="1" s="1"/>
  <c r="C153" i="1" s="1"/>
  <c r="D60" i="6"/>
  <c r="B61" i="6"/>
  <c r="D61" i="37" s="1"/>
  <c r="A61" i="37" s="1"/>
  <c r="B60" i="20"/>
  <c r="B60" i="10"/>
  <c r="B60" i="11"/>
  <c r="B220" i="12"/>
  <c r="B60" i="12"/>
  <c r="B220" i="13"/>
  <c r="B60" i="13"/>
  <c r="B60" i="14"/>
  <c r="B220" i="18"/>
  <c r="B60" i="15"/>
  <c r="B60" i="16"/>
  <c r="B220" i="17"/>
  <c r="B60" i="17"/>
  <c r="B60" i="18"/>
  <c r="B60" i="9"/>
  <c r="AF132" i="1"/>
  <c r="AC132" i="1"/>
  <c r="S132" i="1" s="1"/>
  <c r="S136" i="1" s="1"/>
  <c r="AO132" i="1"/>
  <c r="C132" i="1" s="1"/>
  <c r="AE132" i="1"/>
  <c r="P132" i="1"/>
  <c r="G226" i="18"/>
  <c r="O114" i="14" l="1"/>
  <c r="X77" i="15"/>
  <c r="M35" i="18"/>
  <c r="O115" i="15"/>
  <c r="O136" i="14"/>
  <c r="I9" i="18"/>
  <c r="I169" i="18" s="1"/>
  <c r="M9" i="18"/>
  <c r="M169" i="18" s="1"/>
  <c r="N60" i="18"/>
  <c r="N220" i="18" s="1"/>
  <c r="O111" i="15"/>
  <c r="N16" i="15"/>
  <c r="O254" i="17"/>
  <c r="O94" i="17"/>
  <c r="N134" i="18"/>
  <c r="N301" i="18" s="1"/>
  <c r="N134" i="15"/>
  <c r="M244" i="18"/>
  <c r="O208" i="17"/>
  <c r="O48" i="17"/>
  <c r="O98" i="17"/>
  <c r="O258" i="17"/>
  <c r="N213" i="17"/>
  <c r="N53" i="17"/>
  <c r="M329" i="18"/>
  <c r="N236" i="17"/>
  <c r="N76" i="17"/>
  <c r="M262" i="18"/>
  <c r="O190" i="17"/>
  <c r="O30" i="17"/>
  <c r="X276" i="18"/>
  <c r="N121" i="18"/>
  <c r="N288" i="18" s="1"/>
  <c r="N121" i="15"/>
  <c r="M168" i="18"/>
  <c r="O53" i="15"/>
  <c r="M272" i="18"/>
  <c r="O89" i="15"/>
  <c r="X246" i="18"/>
  <c r="M176" i="18"/>
  <c r="O136" i="15"/>
  <c r="M180" i="18"/>
  <c r="X264" i="18"/>
  <c r="N156" i="17"/>
  <c r="N316" i="17"/>
  <c r="N234" i="17"/>
  <c r="N74" i="17"/>
  <c r="O157" i="15"/>
  <c r="O80" i="15"/>
  <c r="O250" i="17"/>
  <c r="O90" i="17"/>
  <c r="O55" i="17"/>
  <c r="O215" i="17"/>
  <c r="L92" i="37"/>
  <c r="M92" i="37"/>
  <c r="J92" i="37"/>
  <c r="K92" i="37"/>
  <c r="N92" i="37"/>
  <c r="K87" i="37"/>
  <c r="J87" i="37"/>
  <c r="N87" i="37"/>
  <c r="L87" i="37"/>
  <c r="M87" i="37"/>
  <c r="P117" i="10"/>
  <c r="H117" i="37"/>
  <c r="H8" i="37"/>
  <c r="F9" i="38" s="1"/>
  <c r="P8" i="10"/>
  <c r="H7" i="37"/>
  <c r="P7" i="10"/>
  <c r="P7" i="11"/>
  <c r="M70" i="37"/>
  <c r="J70" i="37"/>
  <c r="L70" i="37"/>
  <c r="K70" i="37"/>
  <c r="N70" i="37"/>
  <c r="H12" i="37"/>
  <c r="P12" i="10"/>
  <c r="P12" i="11"/>
  <c r="P124" i="10"/>
  <c r="P124" i="11" s="1"/>
  <c r="H124" i="37"/>
  <c r="L49" i="37"/>
  <c r="M49" i="37"/>
  <c r="N49" i="37"/>
  <c r="J49" i="37"/>
  <c r="K49" i="37"/>
  <c r="P125" i="10"/>
  <c r="P125" i="11" s="1"/>
  <c r="H125" i="37"/>
  <c r="K130" i="37"/>
  <c r="J130" i="37"/>
  <c r="M130" i="37"/>
  <c r="N130" i="37"/>
  <c r="L130" i="37"/>
  <c r="P47" i="10"/>
  <c r="H47" i="37"/>
  <c r="N149" i="37"/>
  <c r="J149" i="37"/>
  <c r="M149" i="37"/>
  <c r="L149" i="37"/>
  <c r="K149" i="37"/>
  <c r="H63" i="37"/>
  <c r="P63" i="10"/>
  <c r="P63" i="11" s="1"/>
  <c r="N5" i="13"/>
  <c r="N165" i="13"/>
  <c r="N5" i="14" s="1"/>
  <c r="N12" i="13"/>
  <c r="N172" i="13"/>
  <c r="N12" i="14" s="1"/>
  <c r="N223" i="17"/>
  <c r="N63" i="17"/>
  <c r="M22" i="15"/>
  <c r="M284" i="18"/>
  <c r="O19" i="13"/>
  <c r="O179" i="13"/>
  <c r="O19" i="14" s="1"/>
  <c r="B62" i="22"/>
  <c r="D61" i="22"/>
  <c r="X237" i="17"/>
  <c r="X77" i="18" s="1"/>
  <c r="X77" i="17"/>
  <c r="O209" i="17"/>
  <c r="O49" i="17"/>
  <c r="O109" i="15"/>
  <c r="O152" i="15"/>
  <c r="N148" i="15"/>
  <c r="N148" i="18"/>
  <c r="N317" i="18" s="1"/>
  <c r="Z137" i="11"/>
  <c r="Z297" i="12"/>
  <c r="N16" i="17"/>
  <c r="N176" i="17"/>
  <c r="N16" i="18" s="1"/>
  <c r="O182" i="13"/>
  <c r="O22" i="14" s="1"/>
  <c r="O22" i="13"/>
  <c r="H90" i="37"/>
  <c r="P90" i="10"/>
  <c r="P109" i="10"/>
  <c r="H109" i="37"/>
  <c r="L141" i="37"/>
  <c r="M141" i="37"/>
  <c r="N141" i="37"/>
  <c r="K141" i="37"/>
  <c r="J141" i="37"/>
  <c r="Y77" i="15"/>
  <c r="O302" i="17"/>
  <c r="O142" i="17"/>
  <c r="O252" i="17"/>
  <c r="O92" i="17"/>
  <c r="N52" i="15"/>
  <c r="O269" i="17"/>
  <c r="O109" i="18" s="1"/>
  <c r="O109" i="17"/>
  <c r="O172" i="13"/>
  <c r="O12" i="14" s="1"/>
  <c r="O12" i="13"/>
  <c r="N29" i="17"/>
  <c r="N189" i="17"/>
  <c r="N97" i="15"/>
  <c r="N208" i="17"/>
  <c r="N48" i="17"/>
  <c r="M250" i="17"/>
  <c r="M90" i="17"/>
  <c r="H22" i="37"/>
  <c r="P22" i="10"/>
  <c r="P14" i="10"/>
  <c r="P14" i="11" s="1"/>
  <c r="H14" i="37"/>
  <c r="H29" i="37"/>
  <c r="F11" i="38" s="1"/>
  <c r="P29" i="10"/>
  <c r="H145" i="37"/>
  <c r="P145" i="10"/>
  <c r="L76" i="37"/>
  <c r="M76" i="37"/>
  <c r="J76" i="37"/>
  <c r="N76" i="37"/>
  <c r="K76" i="37"/>
  <c r="P5" i="10"/>
  <c r="H5" i="37"/>
  <c r="F7" i="38" s="1"/>
  <c r="P136" i="10"/>
  <c r="P136" i="11" s="1"/>
  <c r="H136" i="37"/>
  <c r="P41" i="10"/>
  <c r="H41" i="37"/>
  <c r="M95" i="37"/>
  <c r="N95" i="37"/>
  <c r="L95" i="37"/>
  <c r="K95" i="37"/>
  <c r="J95" i="37"/>
  <c r="P68" i="10"/>
  <c r="P68" i="11" s="1"/>
  <c r="H68" i="37"/>
  <c r="H15" i="37"/>
  <c r="P15" i="10"/>
  <c r="P15" i="11" s="1"/>
  <c r="L129" i="37"/>
  <c r="K129" i="37"/>
  <c r="N129" i="37"/>
  <c r="J129" i="37"/>
  <c r="M129" i="37"/>
  <c r="H123" i="37"/>
  <c r="P123" i="10"/>
  <c r="X140" i="15"/>
  <c r="N15" i="15"/>
  <c r="N290" i="13"/>
  <c r="N130" i="14" s="1"/>
  <c r="N130" i="13"/>
  <c r="M145" i="15"/>
  <c r="O168" i="13"/>
  <c r="O8" i="14" s="1"/>
  <c r="O8" i="13"/>
  <c r="Y245" i="17"/>
  <c r="Y85" i="17"/>
  <c r="O274" i="17"/>
  <c r="O114" i="17"/>
  <c r="O310" i="17"/>
  <c r="O150" i="17"/>
  <c r="O176" i="12"/>
  <c r="N99" i="15"/>
  <c r="M98" i="37"/>
  <c r="K98" i="37"/>
  <c r="L98" i="37"/>
  <c r="N98" i="37"/>
  <c r="J98" i="37"/>
  <c r="M121" i="37"/>
  <c r="L121" i="37"/>
  <c r="N121" i="37"/>
  <c r="K121" i="37"/>
  <c r="J121" i="37"/>
  <c r="N107" i="37"/>
  <c r="M107" i="37"/>
  <c r="L107" i="37"/>
  <c r="K107" i="37"/>
  <c r="J107" i="37"/>
  <c r="P44" i="10"/>
  <c r="H44" i="37"/>
  <c r="L147" i="37"/>
  <c r="M147" i="37"/>
  <c r="K147" i="37"/>
  <c r="N147" i="37"/>
  <c r="J147" i="37"/>
  <c r="N119" i="15"/>
  <c r="M261" i="17"/>
  <c r="M101" i="17"/>
  <c r="O97" i="15"/>
  <c r="N23" i="17"/>
  <c r="N183" i="17"/>
  <c r="Y226" i="17"/>
  <c r="Y66" i="17"/>
  <c r="N203" i="17"/>
  <c r="N43" i="17"/>
  <c r="O131" i="16"/>
  <c r="O291" i="13"/>
  <c r="O131" i="13"/>
  <c r="M121" i="17"/>
  <c r="M281" i="17"/>
  <c r="O146" i="15"/>
  <c r="Q123" i="11"/>
  <c r="Q283" i="12"/>
  <c r="Q34" i="11"/>
  <c r="Q194" i="12"/>
  <c r="Q149" i="11"/>
  <c r="Q309" i="12"/>
  <c r="Q49" i="11"/>
  <c r="Q209" i="12"/>
  <c r="Q49" i="16" s="1"/>
  <c r="Q39" i="9"/>
  <c r="Q79" i="11"/>
  <c r="Q239" i="12"/>
  <c r="Q79" i="16" s="1"/>
  <c r="Q147" i="10"/>
  <c r="Q147" i="11" s="1"/>
  <c r="Q10" i="11"/>
  <c r="Q170" i="12"/>
  <c r="Q74" i="11"/>
  <c r="Q234" i="12"/>
  <c r="Q83" i="11"/>
  <c r="Q243" i="12"/>
  <c r="Q93" i="10"/>
  <c r="Q93" i="11" s="1"/>
  <c r="Q95" i="9"/>
  <c r="Q95" i="10" s="1"/>
  <c r="Q152" i="10"/>
  <c r="Q152" i="11" s="1"/>
  <c r="Q23" i="11"/>
  <c r="Q183" i="12"/>
  <c r="Q97" i="10"/>
  <c r="Q257" i="12" s="1"/>
  <c r="Q107" i="10"/>
  <c r="Q267" i="12" s="1"/>
  <c r="Q136" i="11"/>
  <c r="Q296" i="12"/>
  <c r="Q91" i="11"/>
  <c r="Q251" i="12"/>
  <c r="Q43" i="11"/>
  <c r="Q203" i="12"/>
  <c r="Q42" i="9"/>
  <c r="Q134" i="11"/>
  <c r="Q294" i="12"/>
  <c r="Q134" i="16" s="1"/>
  <c r="Q20" i="11"/>
  <c r="Q180" i="12"/>
  <c r="Q82" i="10"/>
  <c r="Q242" i="12" s="1"/>
  <c r="Q73" i="9"/>
  <c r="Q60" i="9"/>
  <c r="Q60" i="10" s="1"/>
  <c r="Q35" i="10"/>
  <c r="Q195" i="12" s="1"/>
  <c r="Q94" i="11"/>
  <c r="Q254" i="12"/>
  <c r="P94" i="10"/>
  <c r="H94" i="37"/>
  <c r="H148" i="37"/>
  <c r="P148" i="10"/>
  <c r="K73" i="37"/>
  <c r="J73" i="37"/>
  <c r="N73" i="37"/>
  <c r="M73" i="37"/>
  <c r="L73" i="37"/>
  <c r="H101" i="37"/>
  <c r="P101" i="10"/>
  <c r="H20" i="37"/>
  <c r="P20" i="10"/>
  <c r="L48" i="37"/>
  <c r="J48" i="37"/>
  <c r="M48" i="37"/>
  <c r="N48" i="37"/>
  <c r="K48" i="37"/>
  <c r="P150" i="10"/>
  <c r="P150" i="11" s="1"/>
  <c r="H150" i="37"/>
  <c r="H93" i="37"/>
  <c r="P93" i="10"/>
  <c r="H108" i="37"/>
  <c r="P108" i="10"/>
  <c r="J52" i="37"/>
  <c r="K52" i="37"/>
  <c r="N52" i="37"/>
  <c r="L52" i="37"/>
  <c r="M52" i="37"/>
  <c r="H120" i="37"/>
  <c r="P120" i="10"/>
  <c r="P120" i="11" s="1"/>
  <c r="N142" i="37"/>
  <c r="M142" i="37"/>
  <c r="J142" i="37"/>
  <c r="L142" i="37"/>
  <c r="K142" i="37"/>
  <c r="P19" i="10"/>
  <c r="H19" i="37"/>
  <c r="M99" i="37"/>
  <c r="K99" i="37"/>
  <c r="J99" i="37"/>
  <c r="N99" i="37"/>
  <c r="L99" i="37"/>
  <c r="J157" i="37"/>
  <c r="L157" i="37"/>
  <c r="K157" i="37"/>
  <c r="M157" i="37"/>
  <c r="N157" i="37"/>
  <c r="N209" i="13"/>
  <c r="N49" i="14" s="1"/>
  <c r="N49" i="13"/>
  <c r="N18" i="15"/>
  <c r="O44" i="13"/>
  <c r="O204" i="13"/>
  <c r="O44" i="14" s="1"/>
  <c r="O67" i="18"/>
  <c r="O228" i="18" s="1"/>
  <c r="N127" i="15"/>
  <c r="N122" i="15"/>
  <c r="O214" i="17"/>
  <c r="O54" i="17"/>
  <c r="O251" i="13"/>
  <c r="O91" i="14" s="1"/>
  <c r="O91" i="13"/>
  <c r="N67" i="17"/>
  <c r="N227" i="17"/>
  <c r="N154" i="15"/>
  <c r="N191" i="17"/>
  <c r="N31" i="17"/>
  <c r="Y313" i="12"/>
  <c r="Y153" i="16" s="1"/>
  <c r="AA153" i="10"/>
  <c r="G153" i="20" s="1"/>
  <c r="K30" i="37"/>
  <c r="J30" i="37"/>
  <c r="N30" i="37"/>
  <c r="L30" i="37"/>
  <c r="M30" i="37"/>
  <c r="H53" i="37"/>
  <c r="P53" i="10"/>
  <c r="H69" i="37"/>
  <c r="P69" i="10"/>
  <c r="K103" i="37"/>
  <c r="L103" i="37"/>
  <c r="J103" i="37"/>
  <c r="M103" i="37"/>
  <c r="N103" i="37"/>
  <c r="M94" i="15"/>
  <c r="O316" i="17"/>
  <c r="O156" i="17"/>
  <c r="Z66" i="11"/>
  <c r="Z226" i="12"/>
  <c r="Z66" i="16" s="1"/>
  <c r="AA66" i="10"/>
  <c r="G66" i="20" s="1"/>
  <c r="N7" i="13"/>
  <c r="N167" i="13"/>
  <c r="N7" i="14" s="1"/>
  <c r="O70" i="18"/>
  <c r="O231" i="18" s="1"/>
  <c r="Z140" i="11"/>
  <c r="Z300" i="12"/>
  <c r="AA140" i="10"/>
  <c r="G140" i="20" s="1"/>
  <c r="N274" i="17"/>
  <c r="N114" i="17"/>
  <c r="N35" i="15"/>
  <c r="N91" i="17"/>
  <c r="N251" i="17"/>
  <c r="O157" i="17"/>
  <c r="O317" i="17"/>
  <c r="O157" i="18" s="1"/>
  <c r="O80" i="17"/>
  <c r="O240" i="17"/>
  <c r="O80" i="18" s="1"/>
  <c r="O242" i="18" s="1"/>
  <c r="H62" i="37"/>
  <c r="P62" i="10"/>
  <c r="P86" i="10"/>
  <c r="H86" i="37"/>
  <c r="J117" i="37"/>
  <c r="K117" i="37"/>
  <c r="M117" i="37"/>
  <c r="N117" i="37"/>
  <c r="L117" i="37"/>
  <c r="P114" i="10"/>
  <c r="H114" i="37"/>
  <c r="P13" i="10"/>
  <c r="H13" i="37"/>
  <c r="H43" i="37"/>
  <c r="P43" i="10"/>
  <c r="L124" i="37"/>
  <c r="K124" i="37"/>
  <c r="M124" i="37"/>
  <c r="J124" i="37"/>
  <c r="N124" i="37"/>
  <c r="J125" i="37"/>
  <c r="K125" i="37"/>
  <c r="N125" i="37"/>
  <c r="M125" i="37"/>
  <c r="L125" i="37"/>
  <c r="L47" i="37"/>
  <c r="J47" i="37"/>
  <c r="N47" i="37"/>
  <c r="K47" i="37"/>
  <c r="M47" i="37"/>
  <c r="H34" i="37"/>
  <c r="P34" i="10"/>
  <c r="J63" i="37"/>
  <c r="N63" i="37"/>
  <c r="L63" i="37"/>
  <c r="M63" i="37"/>
  <c r="K63" i="37"/>
  <c r="N265" i="17"/>
  <c r="N105" i="18" s="1"/>
  <c r="N271" i="18" s="1"/>
  <c r="N105" i="17"/>
  <c r="M251" i="18"/>
  <c r="M254" i="17"/>
  <c r="M94" i="18" s="1"/>
  <c r="M94" i="17"/>
  <c r="O10" i="16"/>
  <c r="O170" i="13"/>
  <c r="O10" i="14" s="1"/>
  <c r="O10" i="13"/>
  <c r="O124" i="16"/>
  <c r="O284" i="13"/>
  <c r="O124" i="14" s="1"/>
  <c r="O124" i="13"/>
  <c r="O82" i="15"/>
  <c r="O258" i="13"/>
  <c r="O98" i="14" s="1"/>
  <c r="O98" i="15" s="1"/>
  <c r="O98" i="13"/>
  <c r="N79" i="15"/>
  <c r="O118" i="15"/>
  <c r="O217" i="17"/>
  <c r="O57" i="17"/>
  <c r="N199" i="17"/>
  <c r="N39" i="17"/>
  <c r="N76" i="13"/>
  <c r="N236" i="13"/>
  <c r="N76" i="14" s="1"/>
  <c r="N76" i="15" s="1"/>
  <c r="N118" i="16"/>
  <c r="N278" i="13"/>
  <c r="N118" i="14" s="1"/>
  <c r="N118" i="13"/>
  <c r="X267" i="18"/>
  <c r="O174" i="12"/>
  <c r="O14" i="16" s="1"/>
  <c r="N149" i="17"/>
  <c r="N309" i="17"/>
  <c r="H134" i="37"/>
  <c r="P134" i="10"/>
  <c r="L90" i="37"/>
  <c r="J90" i="37"/>
  <c r="N90" i="37"/>
  <c r="K90" i="37"/>
  <c r="M90" i="37"/>
  <c r="P122" i="10"/>
  <c r="P122" i="11" s="1"/>
  <c r="H122" i="37"/>
  <c r="M109" i="37"/>
  <c r="J109" i="37"/>
  <c r="N109" i="37"/>
  <c r="L109" i="37"/>
  <c r="K109" i="37"/>
  <c r="H45" i="37"/>
  <c r="P45" i="10"/>
  <c r="M220" i="18"/>
  <c r="N214" i="17"/>
  <c r="N54" i="17"/>
  <c r="Y237" i="17"/>
  <c r="Y77" i="18" s="1"/>
  <c r="Y238" i="18" s="1"/>
  <c r="Y77" i="17"/>
  <c r="O60" i="16"/>
  <c r="O220" i="13"/>
  <c r="O60" i="14" s="1"/>
  <c r="O60" i="13"/>
  <c r="N125" i="15"/>
  <c r="O254" i="13"/>
  <c r="O94" i="14" s="1"/>
  <c r="O94" i="13"/>
  <c r="N52" i="17"/>
  <c r="N212" i="17"/>
  <c r="N52" i="18" s="1"/>
  <c r="M234" i="18"/>
  <c r="O145" i="17"/>
  <c r="O305" i="17"/>
  <c r="N213" i="13"/>
  <c r="N53" i="14" s="1"/>
  <c r="N53" i="13"/>
  <c r="M62" i="15"/>
  <c r="N257" i="17"/>
  <c r="N97" i="18" s="1"/>
  <c r="N97" i="17"/>
  <c r="O180" i="12"/>
  <c r="P106" i="10"/>
  <c r="H106" i="37"/>
  <c r="P60" i="10"/>
  <c r="H60" i="37"/>
  <c r="E11" i="38"/>
  <c r="K29" i="37"/>
  <c r="I11" i="38" s="1"/>
  <c r="N29" i="37"/>
  <c r="L11" i="38" s="1"/>
  <c r="J29" i="37"/>
  <c r="H11" i="38" s="1"/>
  <c r="L29" i="37"/>
  <c r="J11" i="38" s="1"/>
  <c r="M29" i="37"/>
  <c r="K11" i="38" s="1"/>
  <c r="P16" i="10"/>
  <c r="H16" i="37"/>
  <c r="H97" i="37"/>
  <c r="P97" i="10"/>
  <c r="P97" i="11" s="1"/>
  <c r="K41" i="37"/>
  <c r="N41" i="37"/>
  <c r="J41" i="37"/>
  <c r="L41" i="37"/>
  <c r="M41" i="37"/>
  <c r="P74" i="10"/>
  <c r="P74" i="11" s="1"/>
  <c r="H74" i="37"/>
  <c r="M68" i="37"/>
  <c r="J68" i="37"/>
  <c r="N68" i="37"/>
  <c r="L68" i="37"/>
  <c r="K68" i="37"/>
  <c r="H83" i="37"/>
  <c r="P83" i="10"/>
  <c r="P83" i="11" s="1"/>
  <c r="P139" i="10"/>
  <c r="H139" i="37"/>
  <c r="M123" i="37"/>
  <c r="L123" i="37"/>
  <c r="N123" i="37"/>
  <c r="K123" i="37"/>
  <c r="J123" i="37"/>
  <c r="N124" i="15"/>
  <c r="N175" i="17"/>
  <c r="N15" i="18" s="1"/>
  <c r="N15" i="17"/>
  <c r="O147" i="18"/>
  <c r="O316" i="18" s="1"/>
  <c r="O246" i="12"/>
  <c r="M305" i="17"/>
  <c r="M145" i="18" s="1"/>
  <c r="M145" i="17"/>
  <c r="O29" i="15"/>
  <c r="Z100" i="11"/>
  <c r="Z260" i="12"/>
  <c r="AA100" i="10"/>
  <c r="G100" i="20" s="1"/>
  <c r="Y260" i="17"/>
  <c r="Y100" i="17"/>
  <c r="O30" i="13"/>
  <c r="O190" i="13"/>
  <c r="O30" i="14" s="1"/>
  <c r="O30" i="15" s="1"/>
  <c r="O18" i="16"/>
  <c r="O18" i="13"/>
  <c r="O178" i="13"/>
  <c r="O18" i="14" s="1"/>
  <c r="O148" i="17"/>
  <c r="O308" i="17"/>
  <c r="N139" i="16"/>
  <c r="N139" i="13"/>
  <c r="N299" i="13"/>
  <c r="N139" i="14" s="1"/>
  <c r="H121" i="37"/>
  <c r="P121" i="10"/>
  <c r="P121" i="11" s="1"/>
  <c r="P9" i="10"/>
  <c r="H9" i="37"/>
  <c r="M44" i="37"/>
  <c r="K44" i="37"/>
  <c r="J44" i="37"/>
  <c r="N44" i="37"/>
  <c r="L44" i="37"/>
  <c r="N183" i="13"/>
  <c r="N23" i="14" s="1"/>
  <c r="N23" i="15" s="1"/>
  <c r="N23" i="13"/>
  <c r="O212" i="13"/>
  <c r="O52" i="14" s="1"/>
  <c r="O52" i="13"/>
  <c r="Z313" i="12"/>
  <c r="Z153" i="16" s="1"/>
  <c r="O146" i="17"/>
  <c r="O306" i="17"/>
  <c r="O146" i="18" s="1"/>
  <c r="O207" i="17"/>
  <c r="O47" i="17"/>
  <c r="Q157" i="9"/>
  <c r="Q157" i="10" s="1"/>
  <c r="Q103" i="11"/>
  <c r="Q263" i="12"/>
  <c r="Q63" i="11"/>
  <c r="Q223" i="12"/>
  <c r="Q139" i="9"/>
  <c r="Q139" i="10" s="1"/>
  <c r="Q81" i="9"/>
  <c r="Q81" i="10" s="1"/>
  <c r="Q111" i="9"/>
  <c r="Q111" i="10" s="1"/>
  <c r="Q19" i="11"/>
  <c r="Q179" i="12"/>
  <c r="Q9" i="10"/>
  <c r="Q9" i="11" s="1"/>
  <c r="Q76" i="9"/>
  <c r="Q50" i="10"/>
  <c r="Q50" i="11" s="1"/>
  <c r="Q45" i="11"/>
  <c r="Q205" i="12"/>
  <c r="Q142" i="10"/>
  <c r="Q142" i="11" s="1"/>
  <c r="Q131" i="10"/>
  <c r="Q131" i="11" s="1"/>
  <c r="Q150" i="11"/>
  <c r="Q310" i="12"/>
  <c r="Q52" i="10"/>
  <c r="Q212" i="12" s="1"/>
  <c r="Q7" i="11"/>
  <c r="Q167" i="12"/>
  <c r="Q122" i="11"/>
  <c r="Q282" i="12"/>
  <c r="Q118" i="10"/>
  <c r="Q278" i="12" s="1"/>
  <c r="Q80" i="9"/>
  <c r="Q80" i="10" s="1"/>
  <c r="Q90" i="11"/>
  <c r="Q250" i="12"/>
  <c r="Q62" i="10"/>
  <c r="Q222" i="12" s="1"/>
  <c r="Q62" i="11"/>
  <c r="Q145" i="10"/>
  <c r="Q145" i="11" s="1"/>
  <c r="Q29" i="11"/>
  <c r="Q189" i="12"/>
  <c r="Q148" i="10"/>
  <c r="Q308" i="12" s="1"/>
  <c r="Q14" i="9"/>
  <c r="Q158" i="11"/>
  <c r="Q318" i="12"/>
  <c r="Q92" i="11"/>
  <c r="Q252" i="12"/>
  <c r="N94" i="37"/>
  <c r="M94" i="37"/>
  <c r="L94" i="37"/>
  <c r="K94" i="37"/>
  <c r="J94" i="37"/>
  <c r="P35" i="10"/>
  <c r="H35" i="37"/>
  <c r="K101" i="37"/>
  <c r="M101" i="37"/>
  <c r="J101" i="37"/>
  <c r="N101" i="37"/>
  <c r="L101" i="37"/>
  <c r="H67" i="37"/>
  <c r="P67" i="10"/>
  <c r="L150" i="37"/>
  <c r="J150" i="37"/>
  <c r="K150" i="37"/>
  <c r="N150" i="37"/>
  <c r="M150" i="37"/>
  <c r="P118" i="10"/>
  <c r="P118" i="11" s="1"/>
  <c r="H118" i="37"/>
  <c r="M93" i="37"/>
  <c r="N93" i="37"/>
  <c r="J93" i="37"/>
  <c r="K93" i="37"/>
  <c r="L93" i="37"/>
  <c r="L108" i="37"/>
  <c r="M108" i="37"/>
  <c r="N108" i="37"/>
  <c r="J108" i="37"/>
  <c r="K108" i="37"/>
  <c r="P31" i="10"/>
  <c r="P31" i="11" s="1"/>
  <c r="H31" i="37"/>
  <c r="L120" i="37"/>
  <c r="K120" i="37"/>
  <c r="J120" i="37"/>
  <c r="N120" i="37"/>
  <c r="M120" i="37"/>
  <c r="H111" i="37"/>
  <c r="P111" i="10"/>
  <c r="P111" i="11" s="1"/>
  <c r="P146" i="10"/>
  <c r="H146" i="37"/>
  <c r="P115" i="10"/>
  <c r="P115" i="11" s="1"/>
  <c r="H115" i="37"/>
  <c r="N190" i="17"/>
  <c r="N30" i="18" s="1"/>
  <c r="N30" i="17"/>
  <c r="Y84" i="15"/>
  <c r="O281" i="12"/>
  <c r="N13" i="15"/>
  <c r="N95" i="17"/>
  <c r="N255" i="17"/>
  <c r="N122" i="17"/>
  <c r="N282" i="17"/>
  <c r="N122" i="18" s="1"/>
  <c r="M294" i="17"/>
  <c r="M134" i="17"/>
  <c r="O54" i="13"/>
  <c r="O214" i="13"/>
  <c r="O54" i="14" s="1"/>
  <c r="O54" i="15" s="1"/>
  <c r="O93" i="17"/>
  <c r="O253" i="17"/>
  <c r="N227" i="13"/>
  <c r="N67" i="14" s="1"/>
  <c r="N67" i="13"/>
  <c r="N314" i="17"/>
  <c r="N154" i="18" s="1"/>
  <c r="N154" i="17"/>
  <c r="O15" i="15"/>
  <c r="O65" i="15"/>
  <c r="O261" i="17"/>
  <c r="O101" i="17"/>
  <c r="N41" i="15"/>
  <c r="O222" i="12"/>
  <c r="L53" i="37"/>
  <c r="M53" i="37"/>
  <c r="N53" i="37"/>
  <c r="J53" i="37"/>
  <c r="K53" i="37"/>
  <c r="H10" i="37"/>
  <c r="P10" i="10"/>
  <c r="M69" i="37"/>
  <c r="J69" i="37"/>
  <c r="N69" i="37"/>
  <c r="K69" i="37"/>
  <c r="L69" i="37"/>
  <c r="H54" i="37"/>
  <c r="P54" i="10"/>
  <c r="N152" i="15"/>
  <c r="O127" i="18"/>
  <c r="O294" i="18" s="1"/>
  <c r="O134" i="18"/>
  <c r="O301" i="18" s="1"/>
  <c r="N249" i="13"/>
  <c r="N89" i="14" s="1"/>
  <c r="N89" i="13"/>
  <c r="O5" i="16"/>
  <c r="O5" i="13"/>
  <c r="O165" i="13"/>
  <c r="O5" i="14" s="1"/>
  <c r="O141" i="18"/>
  <c r="O310" i="18" s="1"/>
  <c r="N158" i="18"/>
  <c r="N329" i="18" s="1"/>
  <c r="N131" i="18"/>
  <c r="N298" i="18" s="1"/>
  <c r="N44" i="15"/>
  <c r="N91" i="13"/>
  <c r="N251" i="13"/>
  <c r="N91" i="14" s="1"/>
  <c r="N91" i="15" s="1"/>
  <c r="O213" i="17"/>
  <c r="O53" i="18" s="1"/>
  <c r="O213" i="18" s="1"/>
  <c r="O53" i="17"/>
  <c r="O90" i="15"/>
  <c r="O90" i="18"/>
  <c r="O254" i="18" s="1"/>
  <c r="J62" i="37"/>
  <c r="L62" i="37"/>
  <c r="N62" i="37"/>
  <c r="K62" i="37"/>
  <c r="M62" i="37"/>
  <c r="L86" i="37"/>
  <c r="N86" i="37"/>
  <c r="M86" i="37"/>
  <c r="J86" i="37"/>
  <c r="K86" i="37"/>
  <c r="P57" i="10"/>
  <c r="H57" i="37"/>
  <c r="J42" i="37"/>
  <c r="K42" i="37"/>
  <c r="M42" i="37"/>
  <c r="N42" i="37"/>
  <c r="L42" i="37"/>
  <c r="K114" i="37"/>
  <c r="N114" i="37"/>
  <c r="J114" i="37"/>
  <c r="L114" i="37"/>
  <c r="M114" i="37"/>
  <c r="H65" i="37"/>
  <c r="P65" i="10"/>
  <c r="H81" i="37"/>
  <c r="P81" i="10"/>
  <c r="J43" i="37"/>
  <c r="L43" i="37"/>
  <c r="N43" i="37"/>
  <c r="M43" i="37"/>
  <c r="K43" i="37"/>
  <c r="H127" i="37"/>
  <c r="P127" i="10"/>
  <c r="M156" i="37"/>
  <c r="K156" i="37"/>
  <c r="J156" i="37"/>
  <c r="N156" i="37"/>
  <c r="L156" i="37"/>
  <c r="P105" i="10"/>
  <c r="P105" i="11" s="1"/>
  <c r="H105" i="37"/>
  <c r="L34" i="37"/>
  <c r="J34" i="37"/>
  <c r="K34" i="37"/>
  <c r="N34" i="37"/>
  <c r="M34" i="37"/>
  <c r="Z110" i="11"/>
  <c r="Z270" i="12"/>
  <c r="AA110" i="10"/>
  <c r="G110" i="20" s="1"/>
  <c r="O242" i="17"/>
  <c r="O82" i="18" s="1"/>
  <c r="O82" i="17"/>
  <c r="Y140" i="18"/>
  <c r="Y308" i="18" s="1"/>
  <c r="Y140" i="15"/>
  <c r="M256" i="18"/>
  <c r="N83" i="15"/>
  <c r="M182" i="17"/>
  <c r="M22" i="18" s="1"/>
  <c r="M22" i="17"/>
  <c r="O118" i="17"/>
  <c r="O278" i="17"/>
  <c r="O118" i="18" s="1"/>
  <c r="O285" i="18" s="1"/>
  <c r="O217" i="13"/>
  <c r="O57" i="14" s="1"/>
  <c r="O57" i="15" s="1"/>
  <c r="O57" i="13"/>
  <c r="N80" i="16"/>
  <c r="N80" i="13"/>
  <c r="N240" i="13"/>
  <c r="N80" i="14" s="1"/>
  <c r="M14" i="15"/>
  <c r="M14" i="18"/>
  <c r="O41" i="15"/>
  <c r="O31" i="15"/>
  <c r="O152" i="17"/>
  <c r="O312" i="17"/>
  <c r="O152" i="18" s="1"/>
  <c r="O322" i="18" s="1"/>
  <c r="N68" i="15"/>
  <c r="N34" i="15"/>
  <c r="N149" i="13"/>
  <c r="N309" i="13"/>
  <c r="N149" i="14" s="1"/>
  <c r="H158" i="37"/>
  <c r="P158" i="10"/>
  <c r="K134" i="37"/>
  <c r="M134" i="37"/>
  <c r="N134" i="37"/>
  <c r="J134" i="37"/>
  <c r="L134" i="37"/>
  <c r="N122" i="37"/>
  <c r="M122" i="37"/>
  <c r="L122" i="37"/>
  <c r="K122" i="37"/>
  <c r="J122" i="37"/>
  <c r="H119" i="37"/>
  <c r="P119" i="10"/>
  <c r="K45" i="37"/>
  <c r="J45" i="37"/>
  <c r="M45" i="37"/>
  <c r="N45" i="37"/>
  <c r="L45" i="37"/>
  <c r="N54" i="13"/>
  <c r="N214" i="13"/>
  <c r="N54" i="14" s="1"/>
  <c r="N54" i="15" s="1"/>
  <c r="O142" i="15"/>
  <c r="O142" i="18"/>
  <c r="O311" i="18" s="1"/>
  <c r="O92" i="18"/>
  <c r="O256" i="18" s="1"/>
  <c r="O92" i="15"/>
  <c r="O145" i="13"/>
  <c r="O305" i="13"/>
  <c r="O145" i="14" s="1"/>
  <c r="N29" i="15"/>
  <c r="N29" i="18"/>
  <c r="AA137" i="10"/>
  <c r="G137" i="20" s="1"/>
  <c r="M222" i="17"/>
  <c r="M62" i="18" s="1"/>
  <c r="M62" i="17"/>
  <c r="O26" i="15"/>
  <c r="O271" i="17"/>
  <c r="O111" i="18" s="1"/>
  <c r="O278" i="18" s="1"/>
  <c r="O111" i="17"/>
  <c r="P116" i="10"/>
  <c r="P116" i="11" s="1"/>
  <c r="H116" i="37"/>
  <c r="K106" i="37"/>
  <c r="J106" i="37"/>
  <c r="L106" i="37"/>
  <c r="N106" i="37"/>
  <c r="M106" i="37"/>
  <c r="K60" i="37"/>
  <c r="N60" i="37"/>
  <c r="L60" i="37"/>
  <c r="J60" i="37"/>
  <c r="M60" i="37"/>
  <c r="H152" i="37"/>
  <c r="P152" i="10"/>
  <c r="N97" i="37"/>
  <c r="K97" i="37"/>
  <c r="M97" i="37"/>
  <c r="J97" i="37"/>
  <c r="L97" i="37"/>
  <c r="P91" i="10"/>
  <c r="P91" i="11" s="1"/>
  <c r="H91" i="37"/>
  <c r="H39" i="37"/>
  <c r="P39" i="10"/>
  <c r="L74" i="37"/>
  <c r="M74" i="37"/>
  <c r="K74" i="37"/>
  <c r="J74" i="37"/>
  <c r="N74" i="37"/>
  <c r="H50" i="37"/>
  <c r="P50" i="10"/>
  <c r="H89" i="37"/>
  <c r="P89" i="10"/>
  <c r="P89" i="11" s="1"/>
  <c r="N83" i="37"/>
  <c r="J83" i="37"/>
  <c r="K83" i="37"/>
  <c r="M83" i="37"/>
  <c r="L83" i="37"/>
  <c r="M139" i="37"/>
  <c r="L139" i="37"/>
  <c r="K139" i="37"/>
  <c r="J139" i="37"/>
  <c r="N139" i="37"/>
  <c r="X300" i="17"/>
  <c r="X140" i="18" s="1"/>
  <c r="X140" i="17"/>
  <c r="N284" i="17"/>
  <c r="N124" i="18" s="1"/>
  <c r="N124" i="17"/>
  <c r="M86" i="15"/>
  <c r="O74" i="18"/>
  <c r="O235" i="18" s="1"/>
  <c r="O74" i="15"/>
  <c r="N129" i="15"/>
  <c r="N129" i="18"/>
  <c r="N296" i="18" s="1"/>
  <c r="M326" i="18"/>
  <c r="N141" i="16"/>
  <c r="N301" i="13"/>
  <c r="N141" i="14" s="1"/>
  <c r="N141" i="13"/>
  <c r="O107" i="15"/>
  <c r="O29" i="17"/>
  <c r="O189" i="17"/>
  <c r="O29" i="18" s="1"/>
  <c r="O189" i="18" s="1"/>
  <c r="Y85" i="18"/>
  <c r="Y248" i="18" s="1"/>
  <c r="Y85" i="15"/>
  <c r="O114" i="15"/>
  <c r="O114" i="18"/>
  <c r="O281" i="18" s="1"/>
  <c r="O173" i="17"/>
  <c r="O13" i="17"/>
  <c r="O148" i="13"/>
  <c r="O308" i="13"/>
  <c r="O148" i="14" s="1"/>
  <c r="O148" i="15" s="1"/>
  <c r="N310" i="17"/>
  <c r="N150" i="17"/>
  <c r="Z84" i="11"/>
  <c r="Z244" i="12"/>
  <c r="AA84" i="10"/>
  <c r="G84" i="20" s="1"/>
  <c r="N259" i="17"/>
  <c r="N99" i="18" s="1"/>
  <c r="N99" i="17"/>
  <c r="O122" i="15"/>
  <c r="H82" i="37"/>
  <c r="P82" i="10"/>
  <c r="L131" i="37"/>
  <c r="N131" i="37"/>
  <c r="J131" i="37"/>
  <c r="K131" i="37"/>
  <c r="M131" i="37"/>
  <c r="H154" i="37"/>
  <c r="P154" i="10"/>
  <c r="N279" i="17"/>
  <c r="N119" i="18" s="1"/>
  <c r="N119" i="17"/>
  <c r="N103" i="15"/>
  <c r="O34" i="15"/>
  <c r="M121" i="15"/>
  <c r="M121" i="18"/>
  <c r="O47" i="13"/>
  <c r="O207" i="13"/>
  <c r="O47" i="14" s="1"/>
  <c r="O47" i="15" s="1"/>
  <c r="O117" i="15"/>
  <c r="Q105" i="11"/>
  <c r="Q265" i="12"/>
  <c r="Q105" i="16" s="1"/>
  <c r="Q99" i="10"/>
  <c r="Q99" i="11" s="1"/>
  <c r="Q115" i="9"/>
  <c r="Q115" i="10" s="1"/>
  <c r="Q154" i="10"/>
  <c r="Q154" i="11" s="1"/>
  <c r="Q68" i="9"/>
  <c r="Q68" i="10" s="1"/>
  <c r="Q44" i="10"/>
  <c r="Q44" i="11" s="1"/>
  <c r="Q109" i="10"/>
  <c r="Q269" i="12" s="1"/>
  <c r="Q120" i="10"/>
  <c r="Q280" i="12" s="1"/>
  <c r="Q67" i="9"/>
  <c r="Q26" i="9"/>
  <c r="Q130" i="10"/>
  <c r="Q290" i="12" s="1"/>
  <c r="Q146" i="9"/>
  <c r="Q146" i="10" s="1"/>
  <c r="Q156" i="11"/>
  <c r="Q316" i="12"/>
  <c r="Q70" i="11"/>
  <c r="Q230" i="12"/>
  <c r="Q5" i="9"/>
  <c r="Q5" i="10" s="1"/>
  <c r="R159" i="6"/>
  <c r="Q13" i="10"/>
  <c r="Q13" i="11" s="1"/>
  <c r="Q48" i="11"/>
  <c r="Q208" i="12"/>
  <c r="Q65" i="11"/>
  <c r="Q225" i="12"/>
  <c r="Q65" i="16" s="1"/>
  <c r="Q12" i="11"/>
  <c r="Q172" i="12"/>
  <c r="Q8" i="9"/>
  <c r="Q117" i="11"/>
  <c r="Q277" i="12"/>
  <c r="Q98" i="11"/>
  <c r="Q258" i="12"/>
  <c r="Q87" i="9"/>
  <c r="Q87" i="10" s="1"/>
  <c r="Q101" i="9"/>
  <c r="Q86" i="9"/>
  <c r="Q55" i="10"/>
  <c r="Q55" i="11" s="1"/>
  <c r="T4" i="6"/>
  <c r="S98" i="6"/>
  <c r="S57" i="6"/>
  <c r="R57" i="9" s="1"/>
  <c r="R57" i="10" s="1"/>
  <c r="S101" i="6"/>
  <c r="R101" i="9" s="1"/>
  <c r="S148" i="6"/>
  <c r="R148" i="9" s="1"/>
  <c r="S94" i="6"/>
  <c r="R94" i="9" s="1"/>
  <c r="S116" i="6"/>
  <c r="R116" i="9" s="1"/>
  <c r="S73" i="6"/>
  <c r="R73" i="9" s="1"/>
  <c r="S117" i="6"/>
  <c r="S87" i="6"/>
  <c r="R87" i="9" s="1"/>
  <c r="R87" i="10" s="1"/>
  <c r="S55" i="6"/>
  <c r="R55" i="9" s="1"/>
  <c r="S62" i="6"/>
  <c r="S92" i="6"/>
  <c r="S42" i="6"/>
  <c r="R42" i="9" s="1"/>
  <c r="S158" i="6"/>
  <c r="R158" i="9" s="1"/>
  <c r="R158" i="10" s="1"/>
  <c r="S106" i="6"/>
  <c r="S35" i="6"/>
  <c r="S155" i="6"/>
  <c r="R155" i="9" s="1"/>
  <c r="R155" i="10" s="1"/>
  <c r="S86" i="6"/>
  <c r="R86" i="9" s="1"/>
  <c r="R86" i="10" s="1"/>
  <c r="S29" i="6"/>
  <c r="S14" i="6"/>
  <c r="R14" i="9" s="1"/>
  <c r="S145" i="6"/>
  <c r="S82" i="6"/>
  <c r="S22" i="6"/>
  <c r="S20" i="6"/>
  <c r="S8" i="6"/>
  <c r="R8" i="9" s="1"/>
  <c r="R8" i="10" s="1"/>
  <c r="S90" i="6"/>
  <c r="S16" i="6"/>
  <c r="R16" i="9" s="1"/>
  <c r="S18" i="6"/>
  <c r="R18" i="9" s="1"/>
  <c r="R18" i="10" s="1"/>
  <c r="S121" i="6"/>
  <c r="R121" i="9" s="1"/>
  <c r="S60" i="6"/>
  <c r="R60" i="9" s="1"/>
  <c r="S134" i="6"/>
  <c r="S13" i="6"/>
  <c r="S125" i="6"/>
  <c r="R125" i="9" s="1"/>
  <c r="S12" i="6"/>
  <c r="S30" i="6"/>
  <c r="R30" i="9" s="1"/>
  <c r="R30" i="10" s="1"/>
  <c r="S70" i="6"/>
  <c r="S7" i="6"/>
  <c r="S53" i="6"/>
  <c r="R53" i="9" s="1"/>
  <c r="R53" i="10" s="1"/>
  <c r="S150" i="6"/>
  <c r="R150" i="9" s="1"/>
  <c r="R150" i="10" s="1"/>
  <c r="S136" i="6"/>
  <c r="S97" i="6"/>
  <c r="S107" i="6"/>
  <c r="S48" i="6"/>
  <c r="R48" i="9" s="1"/>
  <c r="S89" i="6"/>
  <c r="R89" i="9" s="1"/>
  <c r="S91" i="6"/>
  <c r="S122" i="6"/>
  <c r="R122" i="9" s="1"/>
  <c r="S152" i="6"/>
  <c r="S65" i="6"/>
  <c r="S142" i="6"/>
  <c r="R142" i="9" s="1"/>
  <c r="S124" i="6"/>
  <c r="S115" i="6"/>
  <c r="R115" i="9" s="1"/>
  <c r="R115" i="10" s="1"/>
  <c r="S118" i="6"/>
  <c r="R118" i="9" s="1"/>
  <c r="R118" i="10" s="1"/>
  <c r="S131" i="6"/>
  <c r="S80" i="6"/>
  <c r="R80" i="9" s="1"/>
  <c r="S67" i="6"/>
  <c r="R67" i="9" s="1"/>
  <c r="S5" i="6"/>
  <c r="S111" i="6"/>
  <c r="R111" i="9" s="1"/>
  <c r="S95" i="6"/>
  <c r="R95" i="9" s="1"/>
  <c r="R95" i="10" s="1"/>
  <c r="S79" i="6"/>
  <c r="S114" i="6"/>
  <c r="S10" i="6"/>
  <c r="R10" i="9" s="1"/>
  <c r="S50" i="6"/>
  <c r="S120" i="6"/>
  <c r="R120" i="9" s="1"/>
  <c r="S19" i="6"/>
  <c r="R19" i="9" s="1"/>
  <c r="S147" i="6"/>
  <c r="S49" i="6"/>
  <c r="S52" i="6"/>
  <c r="R52" i="9" s="1"/>
  <c r="R52" i="10" s="1"/>
  <c r="S68" i="6"/>
  <c r="R68" i="9" s="1"/>
  <c r="S109" i="6"/>
  <c r="S108" i="6"/>
  <c r="R108" i="9" s="1"/>
  <c r="S123" i="6"/>
  <c r="S47" i="6"/>
  <c r="R47" i="9" s="1"/>
  <c r="R47" i="10" s="1"/>
  <c r="S44" i="6"/>
  <c r="S156" i="6"/>
  <c r="S138" i="6"/>
  <c r="R138" i="9" s="1"/>
  <c r="S74" i="6"/>
  <c r="S130" i="6"/>
  <c r="S45" i="6"/>
  <c r="S83" i="6"/>
  <c r="S39" i="6"/>
  <c r="R39" i="9" s="1"/>
  <c r="R39" i="10" s="1"/>
  <c r="S93" i="6"/>
  <c r="R93" i="9" s="1"/>
  <c r="S76" i="6"/>
  <c r="R76" i="9" s="1"/>
  <c r="S31" i="6"/>
  <c r="R31" i="9" s="1"/>
  <c r="S119" i="6"/>
  <c r="S43" i="6"/>
  <c r="S23" i="6"/>
  <c r="S69" i="6"/>
  <c r="R69" i="9" s="1"/>
  <c r="R69" i="10" s="1"/>
  <c r="S81" i="6"/>
  <c r="R81" i="9" s="1"/>
  <c r="S41" i="6"/>
  <c r="R41" i="9" s="1"/>
  <c r="R41" i="10" s="1"/>
  <c r="S127" i="6"/>
  <c r="S26" i="6"/>
  <c r="R26" i="9" s="1"/>
  <c r="R26" i="10" s="1"/>
  <c r="S103" i="6"/>
  <c r="S63" i="6"/>
  <c r="S9" i="6"/>
  <c r="S54" i="6"/>
  <c r="R54" i="9" s="1"/>
  <c r="S141" i="6"/>
  <c r="R141" i="9" s="1"/>
  <c r="S99" i="6"/>
  <c r="R99" i="9" s="1"/>
  <c r="R99" i="10" s="1"/>
  <c r="S149" i="6"/>
  <c r="S129" i="6"/>
  <c r="S146" i="6"/>
  <c r="R146" i="9" s="1"/>
  <c r="S105" i="6"/>
  <c r="S139" i="6"/>
  <c r="R139" i="9" s="1"/>
  <c r="S154" i="6"/>
  <c r="S34" i="6"/>
  <c r="S15" i="6"/>
  <c r="S157" i="6"/>
  <c r="R157" i="9" s="1"/>
  <c r="R157" i="10" s="1"/>
  <c r="J35" i="37"/>
  <c r="L35" i="37"/>
  <c r="M35" i="37"/>
  <c r="K35" i="37"/>
  <c r="N35" i="37"/>
  <c r="H55" i="37"/>
  <c r="P55" i="10"/>
  <c r="P18" i="10"/>
  <c r="P18" i="11" s="1"/>
  <c r="H18" i="37"/>
  <c r="J67" i="37"/>
  <c r="M67" i="37"/>
  <c r="L67" i="37"/>
  <c r="N67" i="37"/>
  <c r="K67" i="37"/>
  <c r="P80" i="10"/>
  <c r="H80" i="37"/>
  <c r="N118" i="37"/>
  <c r="K118" i="37"/>
  <c r="J118" i="37"/>
  <c r="M118" i="37"/>
  <c r="L118" i="37"/>
  <c r="P26" i="10"/>
  <c r="H26" i="37"/>
  <c r="M31" i="37"/>
  <c r="N31" i="37"/>
  <c r="J31" i="37"/>
  <c r="L31" i="37"/>
  <c r="K31" i="37"/>
  <c r="N111" i="37"/>
  <c r="K111" i="37"/>
  <c r="J111" i="37"/>
  <c r="M111" i="37"/>
  <c r="L111" i="37"/>
  <c r="N146" i="37"/>
  <c r="L146" i="37"/>
  <c r="M146" i="37"/>
  <c r="K146" i="37"/>
  <c r="J146" i="37"/>
  <c r="L115" i="37"/>
  <c r="K115" i="37"/>
  <c r="J115" i="37"/>
  <c r="N115" i="37"/>
  <c r="M115" i="37"/>
  <c r="N178" i="17"/>
  <c r="N18" i="18" s="1"/>
  <c r="N18" i="17"/>
  <c r="O257" i="17"/>
  <c r="O97" i="18" s="1"/>
  <c r="O261" i="18" s="1"/>
  <c r="O97" i="17"/>
  <c r="O106" i="15"/>
  <c r="N173" i="17"/>
  <c r="N13" i="18" s="1"/>
  <c r="N13" i="17"/>
  <c r="N287" i="17"/>
  <c r="N127" i="18" s="1"/>
  <c r="N127" i="17"/>
  <c r="O253" i="13"/>
  <c r="O93" i="14" s="1"/>
  <c r="O93" i="15" s="1"/>
  <c r="O93" i="13"/>
  <c r="M283" i="18"/>
  <c r="O175" i="17"/>
  <c r="O15" i="18" s="1"/>
  <c r="O175" i="18" s="1"/>
  <c r="O15" i="17"/>
  <c r="O65" i="17"/>
  <c r="O225" i="17"/>
  <c r="O65" i="18" s="1"/>
  <c r="O261" i="13"/>
  <c r="O101" i="14" s="1"/>
  <c r="O101" i="15" s="1"/>
  <c r="O101" i="13"/>
  <c r="O95" i="15"/>
  <c r="P155" i="10"/>
  <c r="H155" i="37"/>
  <c r="H79" i="37"/>
  <c r="P79" i="10"/>
  <c r="P79" i="11" s="1"/>
  <c r="H138" i="37"/>
  <c r="P138" i="10"/>
  <c r="N54" i="37"/>
  <c r="M54" i="37"/>
  <c r="L54" i="37"/>
  <c r="K54" i="37"/>
  <c r="J54" i="37"/>
  <c r="I85" i="37"/>
  <c r="Z85" i="10"/>
  <c r="Z85" i="11"/>
  <c r="N312" i="17"/>
  <c r="N152" i="18" s="1"/>
  <c r="N152" i="17"/>
  <c r="Z311" i="12"/>
  <c r="Z151" i="16"/>
  <c r="AA151" i="10"/>
  <c r="G151" i="20" s="1"/>
  <c r="M55" i="18"/>
  <c r="O156" i="15"/>
  <c r="O156" i="18"/>
  <c r="O327" i="18" s="1"/>
  <c r="O79" i="18"/>
  <c r="O241" i="18" s="1"/>
  <c r="Y151" i="18"/>
  <c r="N114" i="15"/>
  <c r="N114" i="18"/>
  <c r="N281" i="18" s="1"/>
  <c r="N74" i="18"/>
  <c r="N235" i="18" s="1"/>
  <c r="N74" i="15"/>
  <c r="N204" i="17"/>
  <c r="N44" i="18" s="1"/>
  <c r="N44" i="17"/>
  <c r="O55" i="18"/>
  <c r="O215" i="18" s="1"/>
  <c r="O55" i="15"/>
  <c r="H92" i="37"/>
  <c r="P92" i="10"/>
  <c r="H87" i="37"/>
  <c r="P87" i="10"/>
  <c r="K57" i="37"/>
  <c r="M57" i="37"/>
  <c r="J57" i="37"/>
  <c r="L57" i="37"/>
  <c r="N57" i="37"/>
  <c r="H42" i="37"/>
  <c r="P42" i="10"/>
  <c r="H70" i="37"/>
  <c r="P70" i="10"/>
  <c r="M65" i="37"/>
  <c r="L65" i="37"/>
  <c r="K65" i="37"/>
  <c r="J65" i="37"/>
  <c r="N65" i="37"/>
  <c r="K81" i="37"/>
  <c r="N81" i="37"/>
  <c r="J81" i="37"/>
  <c r="M81" i="37"/>
  <c r="L81" i="37"/>
  <c r="P49" i="10"/>
  <c r="H49" i="37"/>
  <c r="N127" i="37"/>
  <c r="L127" i="37"/>
  <c r="K127" i="37"/>
  <c r="J127" i="37"/>
  <c r="M127" i="37"/>
  <c r="P130" i="10"/>
  <c r="P130" i="11" s="1"/>
  <c r="H130" i="37"/>
  <c r="H156" i="37"/>
  <c r="P156" i="10"/>
  <c r="P149" i="10"/>
  <c r="H149" i="37"/>
  <c r="L105" i="37"/>
  <c r="K105" i="37"/>
  <c r="J105" i="37"/>
  <c r="N105" i="37"/>
  <c r="M105" i="37"/>
  <c r="N5" i="16"/>
  <c r="I77" i="37"/>
  <c r="Z77" i="10"/>
  <c r="Z77" i="11" s="1"/>
  <c r="N172" i="17"/>
  <c r="N12" i="17"/>
  <c r="O129" i="16"/>
  <c r="O129" i="13"/>
  <c r="O289" i="13"/>
  <c r="O129" i="14" s="1"/>
  <c r="O208" i="13"/>
  <c r="O48" i="14" s="1"/>
  <c r="O48" i="13"/>
  <c r="O116" i="16"/>
  <c r="O276" i="13"/>
  <c r="O116" i="14" s="1"/>
  <c r="O116" i="13"/>
  <c r="N63" i="15"/>
  <c r="N63" i="18"/>
  <c r="N223" i="18" s="1"/>
  <c r="N250" i="17"/>
  <c r="N90" i="18" s="1"/>
  <c r="N254" i="18" s="1"/>
  <c r="N90" i="17"/>
  <c r="N243" i="17"/>
  <c r="N83" i="18" s="1"/>
  <c r="N83" i="17"/>
  <c r="N239" i="17"/>
  <c r="N79" i="18" s="1"/>
  <c r="N79" i="17"/>
  <c r="O19" i="16"/>
  <c r="O249" i="17"/>
  <c r="O89" i="18" s="1"/>
  <c r="O253" i="18" s="1"/>
  <c r="O89" i="17"/>
  <c r="N39" i="15"/>
  <c r="N39" i="18"/>
  <c r="N199" i="18" s="1"/>
  <c r="O49" i="18"/>
  <c r="O209" i="18" s="1"/>
  <c r="O49" i="15"/>
  <c r="O201" i="17"/>
  <c r="O41" i="18" s="1"/>
  <c r="O201" i="18" s="1"/>
  <c r="O41" i="17"/>
  <c r="O191" i="17"/>
  <c r="O31" i="18" s="1"/>
  <c r="O31" i="17"/>
  <c r="O131" i="14"/>
  <c r="N68" i="17"/>
  <c r="N228" i="17"/>
  <c r="N68" i="18" s="1"/>
  <c r="N194" i="17"/>
  <c r="N34" i="18" s="1"/>
  <c r="N34" i="17"/>
  <c r="M148" i="18"/>
  <c r="O22" i="16"/>
  <c r="K158" i="37"/>
  <c r="L158" i="37"/>
  <c r="M158" i="37"/>
  <c r="N158" i="37"/>
  <c r="J158" i="37"/>
  <c r="P23" i="10"/>
  <c r="H23" i="37"/>
  <c r="N119" i="37"/>
  <c r="L119" i="37"/>
  <c r="K119" i="37"/>
  <c r="J119" i="37"/>
  <c r="M119" i="37"/>
  <c r="H141" i="37"/>
  <c r="P141" i="10"/>
  <c r="M195" i="18"/>
  <c r="N285" i="17"/>
  <c r="N125" i="18" s="1"/>
  <c r="N125" i="17"/>
  <c r="N90" i="15"/>
  <c r="O12" i="16"/>
  <c r="Y137" i="16"/>
  <c r="Y137" i="13"/>
  <c r="Y297" i="13"/>
  <c r="Y137" i="14" s="1"/>
  <c r="N111" i="16"/>
  <c r="N111" i="13"/>
  <c r="N271" i="13"/>
  <c r="N111" i="14" s="1"/>
  <c r="N48" i="15"/>
  <c r="N48" i="18"/>
  <c r="N208" i="18" s="1"/>
  <c r="M90" i="15"/>
  <c r="M90" i="18"/>
  <c r="O68" i="18"/>
  <c r="O229" i="18" s="1"/>
  <c r="O186" i="17"/>
  <c r="O26" i="18" s="1"/>
  <c r="O26" i="17"/>
  <c r="O195" i="12"/>
  <c r="O158" i="16"/>
  <c r="O318" i="13"/>
  <c r="O158" i="14" s="1"/>
  <c r="O158" i="13"/>
  <c r="L116" i="37"/>
  <c r="M116" i="37"/>
  <c r="K116" i="37"/>
  <c r="J116" i="37"/>
  <c r="N116" i="37"/>
  <c r="M145" i="37"/>
  <c r="K145" i="37"/>
  <c r="J145" i="37"/>
  <c r="L145" i="37"/>
  <c r="N145" i="37"/>
  <c r="H76" i="37"/>
  <c r="P76" i="10"/>
  <c r="J152" i="37"/>
  <c r="K152" i="37"/>
  <c r="N152" i="37"/>
  <c r="L152" i="37"/>
  <c r="M152" i="37"/>
  <c r="N136" i="37"/>
  <c r="M136" i="37"/>
  <c r="J136" i="37"/>
  <c r="L136" i="37"/>
  <c r="K136" i="37"/>
  <c r="N91" i="37"/>
  <c r="M91" i="37"/>
  <c r="L91" i="37"/>
  <c r="K91" i="37"/>
  <c r="J91" i="37"/>
  <c r="K39" i="37"/>
  <c r="L39" i="37"/>
  <c r="J39" i="37"/>
  <c r="N39" i="37"/>
  <c r="M39" i="37"/>
  <c r="H95" i="37"/>
  <c r="P95" i="10"/>
  <c r="K50" i="37"/>
  <c r="L50" i="37"/>
  <c r="N50" i="37"/>
  <c r="J50" i="37"/>
  <c r="M50" i="37"/>
  <c r="M89" i="37"/>
  <c r="N89" i="37"/>
  <c r="L89" i="37"/>
  <c r="K89" i="37"/>
  <c r="J89" i="37"/>
  <c r="P129" i="10"/>
  <c r="H129" i="37"/>
  <c r="O122" i="17"/>
  <c r="O282" i="17"/>
  <c r="O122" i="18" s="1"/>
  <c r="O289" i="18" s="1"/>
  <c r="N130" i="16"/>
  <c r="M86" i="17"/>
  <c r="M246" i="17"/>
  <c r="M86" i="18" s="1"/>
  <c r="N107" i="16"/>
  <c r="N267" i="13"/>
  <c r="N107" i="14" s="1"/>
  <c r="N107" i="13"/>
  <c r="O115" i="17"/>
  <c r="O275" i="17"/>
  <c r="O115" i="18" s="1"/>
  <c r="O282" i="18" s="1"/>
  <c r="O107" i="17"/>
  <c r="O267" i="17"/>
  <c r="O107" i="18" s="1"/>
  <c r="O273" i="18" s="1"/>
  <c r="O8" i="16"/>
  <c r="O202" i="12"/>
  <c r="Y100" i="18"/>
  <c r="Y264" i="18" s="1"/>
  <c r="Y100" i="15"/>
  <c r="O173" i="13"/>
  <c r="O13" i="14" s="1"/>
  <c r="O13" i="15" s="1"/>
  <c r="O13" i="13"/>
  <c r="O16" i="11"/>
  <c r="N150" i="13"/>
  <c r="N310" i="13"/>
  <c r="N150" i="14" s="1"/>
  <c r="N150" i="15" s="1"/>
  <c r="H98" i="37"/>
  <c r="P98" i="10"/>
  <c r="N82" i="37"/>
  <c r="K82" i="37"/>
  <c r="J82" i="37"/>
  <c r="M82" i="37"/>
  <c r="L82" i="37"/>
  <c r="H107" i="37"/>
  <c r="P107" i="10"/>
  <c r="P107" i="11" s="1"/>
  <c r="H131" i="37"/>
  <c r="P131" i="10"/>
  <c r="P131" i="11" s="1"/>
  <c r="H147" i="37"/>
  <c r="P147" i="10"/>
  <c r="N154" i="37"/>
  <c r="J154" i="37"/>
  <c r="K154" i="37"/>
  <c r="L154" i="37"/>
  <c r="M154" i="37"/>
  <c r="N263" i="17"/>
  <c r="N103" i="18" s="1"/>
  <c r="N103" i="17"/>
  <c r="M101" i="18"/>
  <c r="M101" i="15"/>
  <c r="O34" i="17"/>
  <c r="O194" i="17"/>
  <c r="O34" i="18" s="1"/>
  <c r="O194" i="18" s="1"/>
  <c r="Y66" i="18"/>
  <c r="Y66" i="15"/>
  <c r="O52" i="16"/>
  <c r="O87" i="16"/>
  <c r="O247" i="13"/>
  <c r="O87" i="14" s="1"/>
  <c r="O87" i="13"/>
  <c r="N43" i="15"/>
  <c r="N43" i="18"/>
  <c r="N203" i="18" s="1"/>
  <c r="O108" i="18"/>
  <c r="O274" i="18" s="1"/>
  <c r="O108" i="15"/>
  <c r="O277" i="17"/>
  <c r="O117" i="18" s="1"/>
  <c r="O117" i="17"/>
  <c r="Q129" i="11"/>
  <c r="Q289" i="12"/>
  <c r="Q15" i="11"/>
  <c r="Q175" i="12"/>
  <c r="Q15" i="16" s="1"/>
  <c r="Q141" i="9"/>
  <c r="Q141" i="10" s="1"/>
  <c r="Q54" i="11"/>
  <c r="Q214" i="12"/>
  <c r="Q54" i="16" s="1"/>
  <c r="Q114" i="11"/>
  <c r="Q274" i="12"/>
  <c r="Q108" i="9"/>
  <c r="Q69" i="11"/>
  <c r="Q229" i="12"/>
  <c r="Q41" i="9"/>
  <c r="Q47" i="9"/>
  <c r="Q47" i="10" s="1"/>
  <c r="Q127" i="11"/>
  <c r="Q287" i="12"/>
  <c r="Q119" i="11"/>
  <c r="Q279" i="12"/>
  <c r="Q138" i="9"/>
  <c r="Q125" i="9"/>
  <c r="Q30" i="10"/>
  <c r="Q30" i="11" s="1"/>
  <c r="Q31" i="9"/>
  <c r="Q31" i="10" s="1"/>
  <c r="Q124" i="10"/>
  <c r="Q284" i="12" s="1"/>
  <c r="Q53" i="11"/>
  <c r="Q213" i="12"/>
  <c r="Q53" i="16" s="1"/>
  <c r="Q89" i="9"/>
  <c r="Q89" i="10" s="1"/>
  <c r="Q106" i="10"/>
  <c r="Q106" i="11" s="1"/>
  <c r="Q18" i="9"/>
  <c r="Q121" i="9"/>
  <c r="Q116" i="9"/>
  <c r="Q116" i="10" s="1"/>
  <c r="Q22" i="11"/>
  <c r="Q182" i="12"/>
  <c r="Q16" i="9"/>
  <c r="Q16" i="10" s="1"/>
  <c r="Q155" i="11"/>
  <c r="Q315" i="12"/>
  <c r="Q57" i="9"/>
  <c r="L148" i="37"/>
  <c r="K148" i="37"/>
  <c r="M148" i="37"/>
  <c r="J148" i="37"/>
  <c r="N148" i="37"/>
  <c r="H73" i="37"/>
  <c r="P73" i="10"/>
  <c r="L55" i="37"/>
  <c r="K55" i="37"/>
  <c r="J55" i="37"/>
  <c r="M55" i="37"/>
  <c r="N55" i="37"/>
  <c r="P48" i="10"/>
  <c r="H48" i="37"/>
  <c r="J80" i="37"/>
  <c r="M80" i="37"/>
  <c r="L80" i="37"/>
  <c r="N80" i="37"/>
  <c r="K80" i="37"/>
  <c r="H52" i="37"/>
  <c r="P52" i="10"/>
  <c r="H142" i="37"/>
  <c r="P142" i="10"/>
  <c r="H99" i="37"/>
  <c r="P99" i="10"/>
  <c r="H157" i="37"/>
  <c r="P157" i="10"/>
  <c r="Z102" i="11"/>
  <c r="Z262" i="12"/>
  <c r="AA102" i="10"/>
  <c r="G102" i="20" s="1"/>
  <c r="N30" i="15"/>
  <c r="N49" i="16"/>
  <c r="Y244" i="17"/>
  <c r="Y84" i="18" s="1"/>
  <c r="Y84" i="17"/>
  <c r="O44" i="16"/>
  <c r="O136" i="17"/>
  <c r="O296" i="17"/>
  <c r="O136" i="18" s="1"/>
  <c r="O266" i="17"/>
  <c r="O106" i="18" s="1"/>
  <c r="O106" i="17"/>
  <c r="O233" i="12"/>
  <c r="N95" i="18"/>
  <c r="N95" i="15"/>
  <c r="M134" i="15"/>
  <c r="M134" i="18"/>
  <c r="O43" i="16"/>
  <c r="O43" i="13"/>
  <c r="O203" i="13"/>
  <c r="O43" i="14" s="1"/>
  <c r="O91" i="16"/>
  <c r="O150" i="14"/>
  <c r="N31" i="18"/>
  <c r="N191" i="18" s="1"/>
  <c r="N31" i="15"/>
  <c r="N201" i="17"/>
  <c r="N41" i="18" s="1"/>
  <c r="N41" i="17"/>
  <c r="N195" i="17"/>
  <c r="N35" i="18" s="1"/>
  <c r="N35" i="17"/>
  <c r="Y153" i="11"/>
  <c r="O255" i="17"/>
  <c r="O95" i="18" s="1"/>
  <c r="O259" i="18" s="1"/>
  <c r="O95" i="17"/>
  <c r="H30" i="37"/>
  <c r="P30" i="10"/>
  <c r="N155" i="37"/>
  <c r="M155" i="37"/>
  <c r="L155" i="37"/>
  <c r="K155" i="37"/>
  <c r="J155" i="37"/>
  <c r="K79" i="37"/>
  <c r="J79" i="37"/>
  <c r="N79" i="37"/>
  <c r="M79" i="37"/>
  <c r="L79" i="37"/>
  <c r="K138" i="37"/>
  <c r="L138" i="37"/>
  <c r="N138" i="37"/>
  <c r="J138" i="37"/>
  <c r="M138" i="37"/>
  <c r="H103" i="37"/>
  <c r="P103" i="10"/>
  <c r="N105" i="15"/>
  <c r="N101" i="18"/>
  <c r="N266" i="18" s="1"/>
  <c r="N156" i="13"/>
  <c r="N316" i="13"/>
  <c r="N156" i="14" s="1"/>
  <c r="N89" i="16"/>
  <c r="N7" i="16"/>
  <c r="O139" i="18"/>
  <c r="O307" i="18" s="1"/>
  <c r="O155" i="18"/>
  <c r="O326" i="18" s="1"/>
  <c r="T496" i="1"/>
  <c r="R496" i="1"/>
  <c r="E157" i="31" s="1"/>
  <c r="AC362" i="1"/>
  <c r="S362" i="1" s="1"/>
  <c r="S367" i="1" s="1"/>
  <c r="AC7" i="1"/>
  <c r="S7" i="1" s="1"/>
  <c r="S12" i="1" s="1"/>
  <c r="AC63" i="1"/>
  <c r="T63" i="1" s="1"/>
  <c r="AC462" i="1"/>
  <c r="S462" i="1" s="1"/>
  <c r="AC39" i="1"/>
  <c r="S39" i="1" s="1"/>
  <c r="S43" i="1" s="1"/>
  <c r="P248" i="18"/>
  <c r="E48" i="31"/>
  <c r="Q48" i="31" s="1"/>
  <c r="AA163" i="1"/>
  <c r="AB163" i="1" s="1"/>
  <c r="O48" i="31" s="1"/>
  <c r="AD147" i="1"/>
  <c r="O147" i="1"/>
  <c r="D44" i="31" s="1"/>
  <c r="R9" i="1"/>
  <c r="N9" i="18"/>
  <c r="N169" i="18" s="1"/>
  <c r="H319" i="18"/>
  <c r="L327" i="18"/>
  <c r="L9" i="18"/>
  <c r="L169" i="18" s="1"/>
  <c r="J273" i="18"/>
  <c r="I298" i="18"/>
  <c r="H213" i="18"/>
  <c r="J242" i="18"/>
  <c r="I228" i="18"/>
  <c r="Q323" i="18"/>
  <c r="K291" i="18"/>
  <c r="T360" i="1"/>
  <c r="R360" i="1"/>
  <c r="T9" i="1"/>
  <c r="G183" i="18"/>
  <c r="X304" i="18"/>
  <c r="H235" i="18"/>
  <c r="G297" i="18"/>
  <c r="I281" i="18"/>
  <c r="M205" i="18"/>
  <c r="G170" i="18"/>
  <c r="J257" i="18"/>
  <c r="K269" i="18"/>
  <c r="G245" i="18"/>
  <c r="I237" i="18"/>
  <c r="G328" i="18"/>
  <c r="H214" i="18"/>
  <c r="K296" i="18"/>
  <c r="H318" i="18"/>
  <c r="G307" i="18"/>
  <c r="H316" i="18"/>
  <c r="H209" i="18"/>
  <c r="G9" i="18"/>
  <c r="G9" i="15"/>
  <c r="H274" i="18"/>
  <c r="N207" i="18"/>
  <c r="O290" i="18"/>
  <c r="G210" i="18"/>
  <c r="K310" i="18"/>
  <c r="N315" i="18"/>
  <c r="G271" i="18"/>
  <c r="H275" i="18"/>
  <c r="I179" i="18"/>
  <c r="G199" i="18"/>
  <c r="G294" i="18"/>
  <c r="G201" i="18"/>
  <c r="G175" i="18"/>
  <c r="G230" i="18"/>
  <c r="G243" i="18"/>
  <c r="G287" i="18"/>
  <c r="O9" i="18"/>
  <c r="O169" i="18" s="1"/>
  <c r="B62" i="6"/>
  <c r="D62" i="37" s="1"/>
  <c r="A62" i="37" s="1"/>
  <c r="D61" i="6"/>
  <c r="B61" i="20"/>
  <c r="B61" i="10"/>
  <c r="B61" i="15"/>
  <c r="B61" i="16"/>
  <c r="B221" i="17"/>
  <c r="B61" i="17"/>
  <c r="B61" i="11"/>
  <c r="B221" i="13"/>
  <c r="B221" i="12"/>
  <c r="B61" i="13"/>
  <c r="B221" i="18"/>
  <c r="B61" i="9"/>
  <c r="B61" i="12"/>
  <c r="B61" i="18"/>
  <c r="B61" i="14"/>
  <c r="AF147" i="1"/>
  <c r="AO147" i="1"/>
  <c r="C147" i="1" s="1"/>
  <c r="AC147" i="1"/>
  <c r="S147" i="1" s="1"/>
  <c r="S153" i="1" s="1"/>
  <c r="AE147" i="1"/>
  <c r="P147" i="1"/>
  <c r="T132" i="1"/>
  <c r="R132" i="1"/>
  <c r="E74" i="1"/>
  <c r="E78" i="1"/>
  <c r="C12" i="1"/>
  <c r="T362" i="1" l="1"/>
  <c r="Q124" i="11"/>
  <c r="Q35" i="11"/>
  <c r="T39" i="1"/>
  <c r="T7" i="1"/>
  <c r="R63" i="1"/>
  <c r="R39" i="1"/>
  <c r="Q52" i="11"/>
  <c r="R362" i="1"/>
  <c r="AA362" i="1" s="1"/>
  <c r="AB362" i="1" s="1"/>
  <c r="O98" i="31" s="1"/>
  <c r="Q97" i="11"/>
  <c r="N201" i="18"/>
  <c r="O303" i="18"/>
  <c r="Y246" i="18"/>
  <c r="O284" i="18"/>
  <c r="N269" i="18"/>
  <c r="X308" i="18"/>
  <c r="M222" i="18"/>
  <c r="O145" i="18"/>
  <c r="O314" i="18" s="1"/>
  <c r="O145" i="15"/>
  <c r="N325" i="18"/>
  <c r="O315" i="18"/>
  <c r="N7" i="15"/>
  <c r="Y313" i="17"/>
  <c r="Y153" i="17"/>
  <c r="Q294" i="17"/>
  <c r="Q134" i="17"/>
  <c r="N194" i="18"/>
  <c r="N241" i="18"/>
  <c r="N322" i="18"/>
  <c r="N173" i="18"/>
  <c r="Q105" i="17"/>
  <c r="Q265" i="17"/>
  <c r="M182" i="18"/>
  <c r="N289" i="18"/>
  <c r="O94" i="15"/>
  <c r="O94" i="18"/>
  <c r="O258" i="18" s="1"/>
  <c r="O328" i="18"/>
  <c r="N176" i="18"/>
  <c r="N292" i="18"/>
  <c r="N229" i="18"/>
  <c r="O191" i="18"/>
  <c r="N178" i="18"/>
  <c r="N291" i="18"/>
  <c r="Z313" i="17"/>
  <c r="Z153" i="17"/>
  <c r="M314" i="18"/>
  <c r="N175" i="18"/>
  <c r="N212" i="18"/>
  <c r="O174" i="17"/>
  <c r="O14" i="17"/>
  <c r="M258" i="18"/>
  <c r="Q209" i="17"/>
  <c r="Q49" i="17"/>
  <c r="N195" i="18"/>
  <c r="O272" i="18"/>
  <c r="Q175" i="17"/>
  <c r="Q15" i="17"/>
  <c r="M250" i="18"/>
  <c r="O186" i="18"/>
  <c r="N245" i="18"/>
  <c r="N204" i="18"/>
  <c r="O225" i="18"/>
  <c r="N294" i="18"/>
  <c r="N286" i="18"/>
  <c r="N263" i="18"/>
  <c r="N149" i="15"/>
  <c r="N149" i="18"/>
  <c r="O244" i="18"/>
  <c r="N261" i="18"/>
  <c r="Q79" i="17"/>
  <c r="Q239" i="17"/>
  <c r="O275" i="18"/>
  <c r="N249" i="17"/>
  <c r="N89" i="18" s="1"/>
  <c r="N89" i="17"/>
  <c r="O43" i="15"/>
  <c r="O73" i="16"/>
  <c r="O233" i="13"/>
  <c r="O73" i="14" s="1"/>
  <c r="O73" i="13"/>
  <c r="N209" i="17"/>
  <c r="N49" i="18" s="1"/>
  <c r="N49" i="17"/>
  <c r="Z102" i="16"/>
  <c r="Z262" i="13"/>
  <c r="Z102" i="14" s="1"/>
  <c r="Z102" i="13"/>
  <c r="P99" i="11"/>
  <c r="P259" i="12"/>
  <c r="D99" i="16"/>
  <c r="F99" i="20" s="1"/>
  <c r="P48" i="11"/>
  <c r="P208" i="12"/>
  <c r="P48" i="16" s="1"/>
  <c r="D48" i="16"/>
  <c r="F48" i="20" s="1"/>
  <c r="Q155" i="16"/>
  <c r="Q155" i="13"/>
  <c r="Q315" i="13"/>
  <c r="Q155" i="14" s="1"/>
  <c r="Q22" i="16"/>
  <c r="Q182" i="13"/>
  <c r="Q22" i="14" s="1"/>
  <c r="Q22" i="13"/>
  <c r="Q53" i="17"/>
  <c r="Q213" i="17"/>
  <c r="Q124" i="16"/>
  <c r="Q124" i="13"/>
  <c r="Q284" i="13"/>
  <c r="Q190" i="12"/>
  <c r="Q30" i="16" s="1"/>
  <c r="Q138" i="10"/>
  <c r="Q298" i="12" s="1"/>
  <c r="Q41" i="10"/>
  <c r="Q201" i="12" s="1"/>
  <c r="Q108" i="10"/>
  <c r="Q268" i="12" s="1"/>
  <c r="Q214" i="13"/>
  <c r="Q54" i="14" s="1"/>
  <c r="Q54" i="15" s="1"/>
  <c r="Q54" i="13"/>
  <c r="O87" i="15"/>
  <c r="Y226" i="18"/>
  <c r="M266" i="18"/>
  <c r="P147" i="11"/>
  <c r="D147" i="16"/>
  <c r="F147" i="20" s="1"/>
  <c r="P307" i="12"/>
  <c r="P147" i="16" s="1"/>
  <c r="O168" i="17"/>
  <c r="O8" i="18" s="1"/>
  <c r="O8" i="17"/>
  <c r="O158" i="15"/>
  <c r="Y297" i="17"/>
  <c r="Y137" i="17"/>
  <c r="P141" i="11"/>
  <c r="P301" i="12"/>
  <c r="P141" i="16" s="1"/>
  <c r="D141" i="16"/>
  <c r="F141" i="20" s="1"/>
  <c r="P23" i="11"/>
  <c r="P183" i="12"/>
  <c r="P23" i="16" s="1"/>
  <c r="D23" i="16"/>
  <c r="F23" i="20" s="1"/>
  <c r="AF457" i="1" s="1"/>
  <c r="O131" i="15"/>
  <c r="O289" i="17"/>
  <c r="O129" i="17"/>
  <c r="Z237" i="12"/>
  <c r="AA77" i="10"/>
  <c r="G77" i="20" s="1"/>
  <c r="P70" i="11"/>
  <c r="P230" i="12"/>
  <c r="D70" i="16"/>
  <c r="F70" i="20" s="1"/>
  <c r="Z311" i="13"/>
  <c r="Z151" i="14" s="1"/>
  <c r="Z151" i="15" s="1"/>
  <c r="Z151" i="13"/>
  <c r="Z245" i="12"/>
  <c r="Z85" i="16" s="1"/>
  <c r="AA85" i="10"/>
  <c r="G85" i="20" s="1"/>
  <c r="R15" i="9"/>
  <c r="R15" i="10" s="1"/>
  <c r="R105" i="9"/>
  <c r="R105" i="10" s="1"/>
  <c r="R99" i="11"/>
  <c r="R259" i="12"/>
  <c r="R99" i="16" s="1"/>
  <c r="R63" i="9"/>
  <c r="R41" i="11"/>
  <c r="R201" i="12"/>
  <c r="R43" i="9"/>
  <c r="R43" i="10" s="1"/>
  <c r="R93" i="10"/>
  <c r="R93" i="11" s="1"/>
  <c r="R130" i="9"/>
  <c r="R130" i="10" s="1"/>
  <c r="R44" i="9"/>
  <c r="R109" i="9"/>
  <c r="R147" i="9"/>
  <c r="R147" i="10" s="1"/>
  <c r="R10" i="10"/>
  <c r="R10" i="11" s="1"/>
  <c r="R111" i="10"/>
  <c r="R271" i="12" s="1"/>
  <c r="R131" i="9"/>
  <c r="R131" i="10" s="1"/>
  <c r="R142" i="10"/>
  <c r="R142" i="11" s="1"/>
  <c r="R91" i="9"/>
  <c r="R91" i="10" s="1"/>
  <c r="R97" i="9"/>
  <c r="R97" i="10" s="1"/>
  <c r="R7" i="9"/>
  <c r="R125" i="10"/>
  <c r="R125" i="11"/>
  <c r="R121" i="10"/>
  <c r="R281" i="12" s="1"/>
  <c r="R8" i="11"/>
  <c r="R168" i="12"/>
  <c r="R145" i="9"/>
  <c r="R145" i="10" s="1"/>
  <c r="R155" i="11"/>
  <c r="R315" i="12"/>
  <c r="R42" i="10"/>
  <c r="R202" i="12" s="1"/>
  <c r="R87" i="11"/>
  <c r="R247" i="12"/>
  <c r="R87" i="16" s="1"/>
  <c r="R94" i="10"/>
  <c r="R254" i="12" s="1"/>
  <c r="R98" i="9"/>
  <c r="R98" i="10" s="1"/>
  <c r="Q117" i="16"/>
  <c r="Q117" i="13"/>
  <c r="Q277" i="13"/>
  <c r="Q117" i="14" s="1"/>
  <c r="Q12" i="16"/>
  <c r="Q12" i="13"/>
  <c r="Q172" i="13"/>
  <c r="Q12" i="14" s="1"/>
  <c r="Q173" i="12"/>
  <c r="Q13" i="16" s="1"/>
  <c r="Q70" i="16"/>
  <c r="Q230" i="13"/>
  <c r="Q70" i="14" s="1"/>
  <c r="Q70" i="13"/>
  <c r="Q120" i="11"/>
  <c r="P82" i="11"/>
  <c r="P242" i="12"/>
  <c r="P82" i="16" s="1"/>
  <c r="D82" i="16"/>
  <c r="F82" i="20" s="1"/>
  <c r="N301" i="17"/>
  <c r="N141" i="17"/>
  <c r="P152" i="11"/>
  <c r="D152" i="16"/>
  <c r="F152" i="20" s="1"/>
  <c r="P312" i="12"/>
  <c r="P152" i="16" s="1"/>
  <c r="Z110" i="16"/>
  <c r="Z270" i="13"/>
  <c r="Z110" i="14" s="1"/>
  <c r="Z110" i="13"/>
  <c r="P65" i="11"/>
  <c r="D65" i="16"/>
  <c r="F65" i="20" s="1"/>
  <c r="P225" i="12"/>
  <c r="P65" i="16" s="1"/>
  <c r="O165" i="17"/>
  <c r="O5" i="17"/>
  <c r="O93" i="18"/>
  <c r="D115" i="16"/>
  <c r="F115" i="20" s="1"/>
  <c r="P275" i="12"/>
  <c r="P115" i="16" s="1"/>
  <c r="P271" i="12"/>
  <c r="P111" i="16" s="1"/>
  <c r="D111" i="16"/>
  <c r="F111" i="20" s="1"/>
  <c r="P67" i="11"/>
  <c r="P227" i="12"/>
  <c r="D67" i="16"/>
  <c r="F67" i="20" s="1"/>
  <c r="Q14" i="10"/>
  <c r="Q14" i="11" s="1"/>
  <c r="Q62" i="16"/>
  <c r="Q62" i="13"/>
  <c r="Q222" i="13"/>
  <c r="Q80" i="11"/>
  <c r="Q240" i="12"/>
  <c r="Q80" i="16" s="1"/>
  <c r="Q52" i="16"/>
  <c r="Q52" i="13"/>
  <c r="Q212" i="13"/>
  <c r="Q52" i="14" s="1"/>
  <c r="Q291" i="12"/>
  <c r="Q131" i="16" s="1"/>
  <c r="Q76" i="10"/>
  <c r="Q76" i="11"/>
  <c r="Q81" i="11"/>
  <c r="Q241" i="12"/>
  <c r="Q157" i="11"/>
  <c r="Q317" i="12"/>
  <c r="O52" i="15"/>
  <c r="O148" i="18"/>
  <c r="O317" i="18" s="1"/>
  <c r="O178" i="17"/>
  <c r="O18" i="17"/>
  <c r="P234" i="12"/>
  <c r="P74" i="16" s="1"/>
  <c r="D74" i="16"/>
  <c r="F74" i="20" s="1"/>
  <c r="P106" i="11"/>
  <c r="D106" i="16"/>
  <c r="F106" i="20" s="1"/>
  <c r="P266" i="12"/>
  <c r="N53" i="18"/>
  <c r="N53" i="15"/>
  <c r="O12" i="15"/>
  <c r="O57" i="18"/>
  <c r="P34" i="11"/>
  <c r="P194" i="12"/>
  <c r="D34" i="16"/>
  <c r="F34" i="20" s="1"/>
  <c r="AF291" i="1" s="1"/>
  <c r="P13" i="11"/>
  <c r="P173" i="12"/>
  <c r="D13" i="16"/>
  <c r="F13" i="20" s="1"/>
  <c r="AF446" i="1" s="1"/>
  <c r="N91" i="18"/>
  <c r="Z66" i="17"/>
  <c r="Z226" i="17"/>
  <c r="P53" i="11"/>
  <c r="D53" i="16"/>
  <c r="F53" i="20" s="1"/>
  <c r="AF495" i="1" s="1"/>
  <c r="P213" i="12"/>
  <c r="O91" i="15"/>
  <c r="O44" i="15"/>
  <c r="D120" i="16"/>
  <c r="F120" i="20" s="1"/>
  <c r="P280" i="12"/>
  <c r="P120" i="16" s="1"/>
  <c r="P20" i="11"/>
  <c r="P180" i="12"/>
  <c r="D20" i="16"/>
  <c r="F20" i="20" s="1"/>
  <c r="AF452" i="1" s="1"/>
  <c r="P254" i="12"/>
  <c r="D94" i="16"/>
  <c r="F94" i="20" s="1"/>
  <c r="Q20" i="16"/>
  <c r="Q20" i="13"/>
  <c r="Q180" i="13"/>
  <c r="Q20" i="14" s="1"/>
  <c r="Q97" i="16"/>
  <c r="Q257" i="13"/>
  <c r="Q97" i="14" s="1"/>
  <c r="Q97" i="13"/>
  <c r="Q312" i="12"/>
  <c r="Q152" i="16" s="1"/>
  <c r="Q253" i="12"/>
  <c r="Q93" i="16" s="1"/>
  <c r="Q307" i="12"/>
  <c r="Q147" i="16" s="1"/>
  <c r="O16" i="16"/>
  <c r="O16" i="13"/>
  <c r="O176" i="13"/>
  <c r="O16" i="14" s="1"/>
  <c r="O8" i="15"/>
  <c r="N130" i="15"/>
  <c r="P41" i="11"/>
  <c r="D41" i="16"/>
  <c r="F41" i="20" s="1"/>
  <c r="AF411" i="1" s="1"/>
  <c r="P201" i="12"/>
  <c r="N12" i="15"/>
  <c r="N12" i="18"/>
  <c r="P117" i="11"/>
  <c r="D117" i="16"/>
  <c r="F117" i="20" s="1"/>
  <c r="P277" i="12"/>
  <c r="P117" i="16" s="1"/>
  <c r="P103" i="11"/>
  <c r="P263" i="12"/>
  <c r="D103" i="16"/>
  <c r="F103" i="20" s="1"/>
  <c r="O44" i="17"/>
  <c r="O204" i="17"/>
  <c r="O44" i="18" s="1"/>
  <c r="O204" i="18" s="1"/>
  <c r="N190" i="18"/>
  <c r="Q121" i="10"/>
  <c r="Q121" i="11" s="1"/>
  <c r="Q266" i="12"/>
  <c r="Q106" i="16" s="1"/>
  <c r="Q213" i="13"/>
  <c r="Q53" i="14" s="1"/>
  <c r="Q53" i="15" s="1"/>
  <c r="Q53" i="13"/>
  <c r="Q119" i="16"/>
  <c r="Q279" i="13"/>
  <c r="Q119" i="14" s="1"/>
  <c r="Q119" i="13"/>
  <c r="Q69" i="16"/>
  <c r="Q229" i="13"/>
  <c r="Q69" i="14" s="1"/>
  <c r="Q69" i="13"/>
  <c r="Q114" i="16"/>
  <c r="Q114" i="13"/>
  <c r="Q274" i="13"/>
  <c r="Q114" i="14" s="1"/>
  <c r="Q175" i="13"/>
  <c r="Q15" i="14" s="1"/>
  <c r="Q15" i="15" s="1"/>
  <c r="Q15" i="13"/>
  <c r="O247" i="17"/>
  <c r="O87" i="18" s="1"/>
  <c r="O87" i="17"/>
  <c r="P98" i="11"/>
  <c r="D98" i="16"/>
  <c r="F98" i="20" s="1"/>
  <c r="P258" i="12"/>
  <c r="P95" i="11"/>
  <c r="D95" i="16"/>
  <c r="F95" i="20" s="1"/>
  <c r="P255" i="12"/>
  <c r="P95" i="16" s="1"/>
  <c r="O318" i="17"/>
  <c r="O158" i="18" s="1"/>
  <c r="O158" i="17"/>
  <c r="N271" i="17"/>
  <c r="N111" i="17"/>
  <c r="O172" i="17"/>
  <c r="O12" i="18" s="1"/>
  <c r="O172" i="18" s="1"/>
  <c r="O12" i="17"/>
  <c r="O48" i="15"/>
  <c r="O48" i="18"/>
  <c r="P149" i="11"/>
  <c r="P309" i="12"/>
  <c r="P149" i="16" s="1"/>
  <c r="D149" i="16"/>
  <c r="F149" i="20" s="1"/>
  <c r="P49" i="11"/>
  <c r="P209" i="12"/>
  <c r="D49" i="16"/>
  <c r="F49" i="20" s="1"/>
  <c r="AF192" i="1" s="1"/>
  <c r="P87" i="11"/>
  <c r="P247" i="12"/>
  <c r="D87" i="16"/>
  <c r="F87" i="20" s="1"/>
  <c r="Y320" i="18"/>
  <c r="M215" i="18"/>
  <c r="P155" i="11"/>
  <c r="D155" i="16"/>
  <c r="F155" i="20" s="1"/>
  <c r="P315" i="12"/>
  <c r="P155" i="16" s="1"/>
  <c r="P80" i="11"/>
  <c r="D80" i="16"/>
  <c r="F80" i="20" s="1"/>
  <c r="P240" i="12"/>
  <c r="R34" i="9"/>
  <c r="R34" i="10" s="1"/>
  <c r="R146" i="10"/>
  <c r="R306" i="12" s="1"/>
  <c r="R141" i="10"/>
  <c r="R301" i="12" s="1"/>
  <c r="R103" i="9"/>
  <c r="R81" i="10"/>
  <c r="R81" i="11" s="1"/>
  <c r="R119" i="9"/>
  <c r="R119" i="10" s="1"/>
  <c r="R39" i="11"/>
  <c r="R199" i="12"/>
  <c r="R74" i="9"/>
  <c r="R74" i="10" s="1"/>
  <c r="R47" i="11"/>
  <c r="R207" i="12"/>
  <c r="R68" i="10"/>
  <c r="R228" i="12" s="1"/>
  <c r="R19" i="10"/>
  <c r="R19" i="11" s="1"/>
  <c r="R114" i="9"/>
  <c r="R114" i="10" s="1"/>
  <c r="R5" i="9"/>
  <c r="S159" i="6"/>
  <c r="R118" i="11"/>
  <c r="R278" i="12"/>
  <c r="R118" i="16" s="1"/>
  <c r="R65" i="9"/>
  <c r="R89" i="10"/>
  <c r="R89" i="11" s="1"/>
  <c r="R136" i="9"/>
  <c r="R136" i="10" s="1"/>
  <c r="R70" i="9"/>
  <c r="R70" i="10" s="1"/>
  <c r="R13" i="9"/>
  <c r="R13" i="10" s="1"/>
  <c r="R18" i="11"/>
  <c r="R178" i="12"/>
  <c r="R20" i="9"/>
  <c r="R20" i="10" s="1"/>
  <c r="R14" i="10"/>
  <c r="R174" i="12" s="1"/>
  <c r="R35" i="9"/>
  <c r="R35" i="10" s="1"/>
  <c r="R92" i="9"/>
  <c r="R92" i="10" s="1"/>
  <c r="R117" i="9"/>
  <c r="R117" i="10" s="1"/>
  <c r="R148" i="10"/>
  <c r="R148" i="11" s="1"/>
  <c r="T14" i="6"/>
  <c r="S14" i="9" s="1"/>
  <c r="U4" i="6"/>
  <c r="T73" i="6"/>
  <c r="S73" i="9" s="1"/>
  <c r="T42" i="6"/>
  <c r="S42" i="9" s="1"/>
  <c r="S42" i="10" s="1"/>
  <c r="T117" i="6"/>
  <c r="S117" i="9" s="1"/>
  <c r="S117" i="10" s="1"/>
  <c r="T55" i="6"/>
  <c r="S55" i="9" s="1"/>
  <c r="T158" i="6"/>
  <c r="S158" i="9" s="1"/>
  <c r="S158" i="10" s="1"/>
  <c r="T106" i="6"/>
  <c r="S106" i="9" s="1"/>
  <c r="S106" i="10" s="1"/>
  <c r="T57" i="6"/>
  <c r="T62" i="6"/>
  <c r="S62" i="9" s="1"/>
  <c r="T86" i="6"/>
  <c r="S86" i="9" s="1"/>
  <c r="T92" i="6"/>
  <c r="S92" i="9" s="1"/>
  <c r="T16" i="6"/>
  <c r="T145" i="6"/>
  <c r="S145" i="9" s="1"/>
  <c r="S145" i="10" s="1"/>
  <c r="T116" i="6"/>
  <c r="T98" i="6"/>
  <c r="S98" i="9" s="1"/>
  <c r="S98" i="10" s="1"/>
  <c r="T35" i="6"/>
  <c r="S35" i="9" s="1"/>
  <c r="S35" i="10" s="1"/>
  <c r="T101" i="6"/>
  <c r="S101" i="9" s="1"/>
  <c r="T134" i="6"/>
  <c r="S134" i="9" s="1"/>
  <c r="S134" i="10" s="1"/>
  <c r="T94" i="6"/>
  <c r="T60" i="6"/>
  <c r="S60" i="9" s="1"/>
  <c r="S60" i="10" s="1"/>
  <c r="T155" i="6"/>
  <c r="S155" i="9" s="1"/>
  <c r="T148" i="6"/>
  <c r="T18" i="6"/>
  <c r="T121" i="6"/>
  <c r="T29" i="6"/>
  <c r="S29" i="9" s="1"/>
  <c r="T82" i="6"/>
  <c r="S82" i="9" s="1"/>
  <c r="S82" i="10" s="1"/>
  <c r="T8" i="6"/>
  <c r="T22" i="6"/>
  <c r="S22" i="9" s="1"/>
  <c r="S22" i="10" s="1"/>
  <c r="T87" i="6"/>
  <c r="S87" i="9" s="1"/>
  <c r="S87" i="10" s="1"/>
  <c r="T20" i="6"/>
  <c r="S20" i="9" s="1"/>
  <c r="S20" i="10" s="1"/>
  <c r="T90" i="6"/>
  <c r="S90" i="9" s="1"/>
  <c r="T23" i="6"/>
  <c r="S23" i="9" s="1"/>
  <c r="S23" i="10" s="1"/>
  <c r="T136" i="6"/>
  <c r="S136" i="9" s="1"/>
  <c r="T89" i="6"/>
  <c r="T30" i="6"/>
  <c r="T118" i="6"/>
  <c r="S118" i="9" s="1"/>
  <c r="T115" i="6"/>
  <c r="S115" i="9" s="1"/>
  <c r="T12" i="6"/>
  <c r="S12" i="9" s="1"/>
  <c r="S12" i="10" s="1"/>
  <c r="T53" i="6"/>
  <c r="S53" i="9" s="1"/>
  <c r="S53" i="10" s="1"/>
  <c r="T122" i="6"/>
  <c r="S122" i="9" s="1"/>
  <c r="S122" i="10" s="1"/>
  <c r="T152" i="6"/>
  <c r="S152" i="9" s="1"/>
  <c r="T70" i="6"/>
  <c r="S70" i="9" s="1"/>
  <c r="S70" i="10" s="1"/>
  <c r="T97" i="6"/>
  <c r="S97" i="9" s="1"/>
  <c r="T65" i="6"/>
  <c r="S65" i="9" s="1"/>
  <c r="T48" i="6"/>
  <c r="T131" i="6"/>
  <c r="S131" i="9" s="1"/>
  <c r="T91" i="6"/>
  <c r="S91" i="9" s="1"/>
  <c r="T13" i="6"/>
  <c r="S13" i="9" s="1"/>
  <c r="T7" i="6"/>
  <c r="S7" i="9" s="1"/>
  <c r="S7" i="10" s="1"/>
  <c r="T79" i="6"/>
  <c r="S79" i="9" s="1"/>
  <c r="S79" i="10" s="1"/>
  <c r="T146" i="6"/>
  <c r="S146" i="9" s="1"/>
  <c r="S146" i="10" s="1"/>
  <c r="T5" i="6"/>
  <c r="T80" i="6"/>
  <c r="S80" i="9" s="1"/>
  <c r="S80" i="10" s="1"/>
  <c r="T142" i="6"/>
  <c r="T124" i="6"/>
  <c r="S124" i="9" s="1"/>
  <c r="T150" i="6"/>
  <c r="T107" i="6"/>
  <c r="S107" i="9" s="1"/>
  <c r="T125" i="6"/>
  <c r="T127" i="6"/>
  <c r="S127" i="9" s="1"/>
  <c r="S127" i="10" s="1"/>
  <c r="T83" i="6"/>
  <c r="S83" i="9" s="1"/>
  <c r="T47" i="6"/>
  <c r="T156" i="6"/>
  <c r="S156" i="9" s="1"/>
  <c r="T95" i="6"/>
  <c r="S95" i="9" s="1"/>
  <c r="S95" i="10" s="1"/>
  <c r="T130" i="6"/>
  <c r="S130" i="9" s="1"/>
  <c r="T114" i="6"/>
  <c r="S114" i="9" s="1"/>
  <c r="S114" i="10" s="1"/>
  <c r="T74" i="6"/>
  <c r="S74" i="9" s="1"/>
  <c r="S74" i="10" s="1"/>
  <c r="T45" i="6"/>
  <c r="S45" i="9" s="1"/>
  <c r="S45" i="10" s="1"/>
  <c r="T81" i="6"/>
  <c r="S81" i="9" s="1"/>
  <c r="S81" i="10" s="1"/>
  <c r="T26" i="6"/>
  <c r="S26" i="9" s="1"/>
  <c r="S26" i="10" s="1"/>
  <c r="T19" i="6"/>
  <c r="T49" i="6"/>
  <c r="S49" i="9" s="1"/>
  <c r="T67" i="6"/>
  <c r="S67" i="9" s="1"/>
  <c r="T93" i="6"/>
  <c r="T43" i="6"/>
  <c r="S43" i="9" s="1"/>
  <c r="S43" i="10" s="1"/>
  <c r="T31" i="6"/>
  <c r="T52" i="6"/>
  <c r="S52" i="9" s="1"/>
  <c r="T10" i="6"/>
  <c r="S10" i="9" s="1"/>
  <c r="T68" i="6"/>
  <c r="S68" i="9" s="1"/>
  <c r="T69" i="6"/>
  <c r="T41" i="6"/>
  <c r="T109" i="6"/>
  <c r="S109" i="9" s="1"/>
  <c r="S109" i="10" s="1"/>
  <c r="T147" i="6"/>
  <c r="S147" i="9" s="1"/>
  <c r="S147" i="10" s="1"/>
  <c r="T39" i="6"/>
  <c r="S39" i="9" s="1"/>
  <c r="S39" i="10" s="1"/>
  <c r="T108" i="6"/>
  <c r="T111" i="6"/>
  <c r="S111" i="9" s="1"/>
  <c r="T76" i="6"/>
  <c r="S76" i="9" s="1"/>
  <c r="S76" i="10" s="1"/>
  <c r="T138" i="6"/>
  <c r="T119" i="6"/>
  <c r="S119" i="9" s="1"/>
  <c r="S119" i="10" s="1"/>
  <c r="T50" i="6"/>
  <c r="S50" i="9" s="1"/>
  <c r="T120" i="6"/>
  <c r="T44" i="6"/>
  <c r="S44" i="9" s="1"/>
  <c r="S44" i="10" s="1"/>
  <c r="T9" i="6"/>
  <c r="S9" i="9" s="1"/>
  <c r="S9" i="10" s="1"/>
  <c r="T63" i="6"/>
  <c r="S63" i="9" s="1"/>
  <c r="T149" i="6"/>
  <c r="S149" i="9" s="1"/>
  <c r="T141" i="6"/>
  <c r="T139" i="6"/>
  <c r="S139" i="9" s="1"/>
  <c r="S139" i="10" s="1"/>
  <c r="T157" i="6"/>
  <c r="S157" i="9" s="1"/>
  <c r="S157" i="10" s="1"/>
  <c r="T34" i="6"/>
  <c r="S34" i="9" s="1"/>
  <c r="S34" i="10" s="1"/>
  <c r="T103" i="6"/>
  <c r="S103" i="9" s="1"/>
  <c r="S103" i="10" s="1"/>
  <c r="T123" i="6"/>
  <c r="S123" i="9" s="1"/>
  <c r="T15" i="6"/>
  <c r="S15" i="9" s="1"/>
  <c r="T105" i="6"/>
  <c r="S105" i="9" s="1"/>
  <c r="S105" i="10" s="1"/>
  <c r="T54" i="6"/>
  <c r="S54" i="9" s="1"/>
  <c r="S54" i="10" s="1"/>
  <c r="T154" i="6"/>
  <c r="S154" i="9" s="1"/>
  <c r="S154" i="10" s="1"/>
  <c r="T129" i="6"/>
  <c r="S129" i="9" s="1"/>
  <c r="S129" i="10" s="1"/>
  <c r="T99" i="6"/>
  <c r="Q86" i="10"/>
  <c r="Q86" i="11" s="1"/>
  <c r="Q87" i="11"/>
  <c r="Q247" i="12"/>
  <c r="Q48" i="16"/>
  <c r="Q208" i="13"/>
  <c r="Q48" i="14" s="1"/>
  <c r="Q48" i="13"/>
  <c r="Q146" i="11"/>
  <c r="Q306" i="12"/>
  <c r="Q146" i="16" s="1"/>
  <c r="Q26" i="10"/>
  <c r="Q26" i="11" s="1"/>
  <c r="Q120" i="16"/>
  <c r="Q280" i="13"/>
  <c r="Q120" i="14" s="1"/>
  <c r="Q120" i="13"/>
  <c r="Q204" i="12"/>
  <c r="Q44" i="16" s="1"/>
  <c r="Q314" i="12"/>
  <c r="Q154" i="16" s="1"/>
  <c r="Q259" i="12"/>
  <c r="Q99" i="16" s="1"/>
  <c r="M288" i="18"/>
  <c r="P154" i="11"/>
  <c r="P314" i="12"/>
  <c r="P154" i="16" s="1"/>
  <c r="D154" i="16"/>
  <c r="F154" i="20" s="1"/>
  <c r="N150" i="18"/>
  <c r="O13" i="18"/>
  <c r="O173" i="18" s="1"/>
  <c r="D89" i="16"/>
  <c r="F89" i="20" s="1"/>
  <c r="P249" i="12"/>
  <c r="P89" i="16" s="1"/>
  <c r="P119" i="11"/>
  <c r="D119" i="16"/>
  <c r="F119" i="20" s="1"/>
  <c r="P279" i="12"/>
  <c r="P119" i="16" s="1"/>
  <c r="P158" i="11"/>
  <c r="P318" i="12"/>
  <c r="P158" i="16" s="1"/>
  <c r="D158" i="16"/>
  <c r="F158" i="20" s="1"/>
  <c r="N80" i="15"/>
  <c r="D105" i="16"/>
  <c r="F105" i="20" s="1"/>
  <c r="P265" i="12"/>
  <c r="P105" i="16" s="1"/>
  <c r="P57" i="11"/>
  <c r="D57" i="16"/>
  <c r="F57" i="20" s="1"/>
  <c r="AF250" i="1" s="1"/>
  <c r="P217" i="12"/>
  <c r="O121" i="16"/>
  <c r="O121" i="13"/>
  <c r="O281" i="13"/>
  <c r="O121" i="14" s="1"/>
  <c r="D31" i="16"/>
  <c r="F31" i="20" s="1"/>
  <c r="AF104" i="1" s="1"/>
  <c r="P191" i="12"/>
  <c r="P31" i="16" s="1"/>
  <c r="P35" i="11"/>
  <c r="D35" i="16"/>
  <c r="F35" i="20" s="1"/>
  <c r="AF50" i="1" s="1"/>
  <c r="P195" i="12"/>
  <c r="Q158" i="16"/>
  <c r="Q318" i="13"/>
  <c r="Q158" i="14" s="1"/>
  <c r="Q158" i="13"/>
  <c r="Q148" i="11"/>
  <c r="Q90" i="16"/>
  <c r="Q250" i="13"/>
  <c r="Q90" i="14" s="1"/>
  <c r="Q90" i="13"/>
  <c r="Q118" i="11"/>
  <c r="Q7" i="16"/>
  <c r="Q167" i="13"/>
  <c r="Q7" i="14" s="1"/>
  <c r="Q7" i="13"/>
  <c r="Q150" i="16"/>
  <c r="Q310" i="13"/>
  <c r="Q150" i="14" s="1"/>
  <c r="Q150" i="13"/>
  <c r="Q103" i="16"/>
  <c r="Q263" i="13"/>
  <c r="Q103" i="14" s="1"/>
  <c r="Q103" i="13"/>
  <c r="P9" i="11"/>
  <c r="D9" i="16"/>
  <c r="F9" i="20" s="1"/>
  <c r="AF423" i="1" s="1"/>
  <c r="P169" i="12"/>
  <c r="P9" i="16" s="1"/>
  <c r="N139" i="15"/>
  <c r="O86" i="16"/>
  <c r="O86" i="13"/>
  <c r="O246" i="13"/>
  <c r="O86" i="14" s="1"/>
  <c r="P139" i="11"/>
  <c r="D139" i="16"/>
  <c r="F139" i="20" s="1"/>
  <c r="P299" i="12"/>
  <c r="P139" i="16" s="1"/>
  <c r="O60" i="15"/>
  <c r="P134" i="11"/>
  <c r="D134" i="16"/>
  <c r="F134" i="20" s="1"/>
  <c r="P294" i="12"/>
  <c r="P134" i="16" s="1"/>
  <c r="N118" i="15"/>
  <c r="O10" i="15"/>
  <c r="P43" i="11"/>
  <c r="P203" i="12"/>
  <c r="D43" i="16"/>
  <c r="F43" i="20" s="1"/>
  <c r="AF38" i="1" s="1"/>
  <c r="P86" i="11"/>
  <c r="P246" i="12"/>
  <c r="D86" i="16"/>
  <c r="F86" i="20" s="1"/>
  <c r="Z226" i="13"/>
  <c r="Z66" i="14" s="1"/>
  <c r="Z66" i="15" s="1"/>
  <c r="Z66" i="13"/>
  <c r="P69" i="11"/>
  <c r="P229" i="12"/>
  <c r="D69" i="16"/>
  <c r="F69" i="20" s="1"/>
  <c r="N49" i="15"/>
  <c r="P19" i="11"/>
  <c r="P179" i="12"/>
  <c r="D19" i="16"/>
  <c r="F19" i="20" s="1"/>
  <c r="AF451" i="1" s="1"/>
  <c r="P93" i="11"/>
  <c r="D93" i="16"/>
  <c r="F93" i="20" s="1"/>
  <c r="P253" i="12"/>
  <c r="P93" i="16" s="1"/>
  <c r="P148" i="11"/>
  <c r="P308" i="12"/>
  <c r="D148" i="16"/>
  <c r="F148" i="20" s="1"/>
  <c r="P148" i="16"/>
  <c r="P94" i="11"/>
  <c r="Q35" i="16"/>
  <c r="Q35" i="13"/>
  <c r="Q195" i="13"/>
  <c r="Q35" i="14" s="1"/>
  <c r="Q73" i="10"/>
  <c r="Q73" i="11" s="1"/>
  <c r="Q91" i="16"/>
  <c r="Q251" i="13"/>
  <c r="Q91" i="14" s="1"/>
  <c r="Q91" i="13"/>
  <c r="Q107" i="11"/>
  <c r="Q23" i="16"/>
  <c r="Q23" i="13"/>
  <c r="Q183" i="13"/>
  <c r="Q23" i="14" s="1"/>
  <c r="Q83" i="16"/>
  <c r="Q243" i="13"/>
  <c r="Q83" i="14" s="1"/>
  <c r="Q83" i="13"/>
  <c r="Q10" i="16"/>
  <c r="Q10" i="13"/>
  <c r="Q170" i="13"/>
  <c r="Q10" i="14" s="1"/>
  <c r="Q39" i="10"/>
  <c r="Q39" i="11" s="1"/>
  <c r="Q149" i="16"/>
  <c r="Q309" i="13"/>
  <c r="Q149" i="14" s="1"/>
  <c r="Q149" i="13"/>
  <c r="Q123" i="16"/>
  <c r="Q283" i="13"/>
  <c r="Q123" i="14" s="1"/>
  <c r="Q123" i="13"/>
  <c r="P44" i="11"/>
  <c r="P204" i="12"/>
  <c r="P44" i="16" s="1"/>
  <c r="D44" i="16"/>
  <c r="F44" i="20" s="1"/>
  <c r="AF178" i="1" s="1"/>
  <c r="P123" i="11"/>
  <c r="P283" i="12"/>
  <c r="P123" i="16" s="1"/>
  <c r="D123" i="16"/>
  <c r="F123" i="20" s="1"/>
  <c r="P175" i="12"/>
  <c r="P15" i="16" s="1"/>
  <c r="D15" i="16"/>
  <c r="F15" i="20" s="1"/>
  <c r="AF430" i="1" s="1"/>
  <c r="AF432" i="1" s="1"/>
  <c r="P228" i="12"/>
  <c r="P68" i="16" s="1"/>
  <c r="D68" i="16"/>
  <c r="F68" i="20" s="1"/>
  <c r="P5" i="11"/>
  <c r="P165" i="12"/>
  <c r="P5" i="16" s="1"/>
  <c r="D5" i="16"/>
  <c r="F5" i="20" s="1"/>
  <c r="AF437" i="1" s="1"/>
  <c r="P29" i="11"/>
  <c r="P189" i="12"/>
  <c r="P29" i="16" s="1"/>
  <c r="D29" i="16"/>
  <c r="F29" i="20" s="1"/>
  <c r="AF322" i="1" s="1"/>
  <c r="P174" i="12"/>
  <c r="P14" i="16" s="1"/>
  <c r="D14" i="16"/>
  <c r="F14" i="20" s="1"/>
  <c r="AF447" i="1" s="1"/>
  <c r="Z137" i="16"/>
  <c r="Z137" i="13"/>
  <c r="Z297" i="13"/>
  <c r="Z137" i="14" s="1"/>
  <c r="X238" i="18"/>
  <c r="P223" i="12"/>
  <c r="D63" i="16"/>
  <c r="F63" i="20" s="1"/>
  <c r="P47" i="11"/>
  <c r="D47" i="16"/>
  <c r="F47" i="20" s="1"/>
  <c r="AF24" i="1" s="1"/>
  <c r="P207" i="12"/>
  <c r="P47" i="16" s="1"/>
  <c r="D125" i="16"/>
  <c r="F125" i="20" s="1"/>
  <c r="P285" i="12"/>
  <c r="P125" i="16" s="1"/>
  <c r="D124" i="16"/>
  <c r="F124" i="20" s="1"/>
  <c r="P284" i="12"/>
  <c r="P124" i="16" s="1"/>
  <c r="P8" i="11"/>
  <c r="P168" i="12"/>
  <c r="D8" i="16"/>
  <c r="F8" i="20" s="1"/>
  <c r="AF441" i="1" s="1"/>
  <c r="O150" i="18"/>
  <c r="O319" i="18" s="1"/>
  <c r="O150" i="15"/>
  <c r="O203" i="17"/>
  <c r="O43" i="18" s="1"/>
  <c r="O43" i="17"/>
  <c r="N259" i="18"/>
  <c r="P157" i="11"/>
  <c r="P317" i="12"/>
  <c r="P157" i="16" s="1"/>
  <c r="D157" i="16"/>
  <c r="F157" i="20" s="1"/>
  <c r="P52" i="11"/>
  <c r="D52" i="16"/>
  <c r="F52" i="20" s="1"/>
  <c r="AF223" i="1" s="1"/>
  <c r="P212" i="12"/>
  <c r="P52" i="16" s="1"/>
  <c r="P73" i="11"/>
  <c r="P233" i="12"/>
  <c r="P73" i="16" s="1"/>
  <c r="D73" i="16"/>
  <c r="F73" i="20" s="1"/>
  <c r="Q31" i="11"/>
  <c r="Q191" i="12"/>
  <c r="Q31" i="16" s="1"/>
  <c r="Q125" i="10"/>
  <c r="Q125" i="11" s="1"/>
  <c r="Q47" i="11"/>
  <c r="Q207" i="12"/>
  <c r="Q47" i="16" s="1"/>
  <c r="O52" i="17"/>
  <c r="O212" i="17"/>
  <c r="O52" i="18" s="1"/>
  <c r="O212" i="18" s="1"/>
  <c r="P267" i="12"/>
  <c r="P107" i="16" s="1"/>
  <c r="D107" i="16"/>
  <c r="F107" i="20" s="1"/>
  <c r="N107" i="15"/>
  <c r="N130" i="17"/>
  <c r="N290" i="17"/>
  <c r="N130" i="18" s="1"/>
  <c r="P129" i="11"/>
  <c r="D129" i="16"/>
  <c r="F129" i="20" s="1"/>
  <c r="P289" i="12"/>
  <c r="P129" i="16" s="1"/>
  <c r="Y137" i="15"/>
  <c r="Y137" i="18"/>
  <c r="O182" i="17"/>
  <c r="O22" i="17"/>
  <c r="N156" i="18"/>
  <c r="N156" i="15"/>
  <c r="O116" i="15"/>
  <c r="O129" i="15"/>
  <c r="O129" i="18"/>
  <c r="N165" i="17"/>
  <c r="N5" i="17"/>
  <c r="P156" i="11"/>
  <c r="D156" i="16"/>
  <c r="F156" i="20" s="1"/>
  <c r="P316" i="12"/>
  <c r="P156" i="16" s="1"/>
  <c r="D130" i="16"/>
  <c r="F130" i="20" s="1"/>
  <c r="P290" i="12"/>
  <c r="P130" i="16" s="1"/>
  <c r="P42" i="11"/>
  <c r="P202" i="12"/>
  <c r="D42" i="16"/>
  <c r="F42" i="20" s="1"/>
  <c r="P239" i="12"/>
  <c r="P79" i="16" s="1"/>
  <c r="D79" i="16"/>
  <c r="F79" i="20" s="1"/>
  <c r="P26" i="11"/>
  <c r="P186" i="12"/>
  <c r="D26" i="16"/>
  <c r="F26" i="20" s="1"/>
  <c r="AF460" i="1" s="1"/>
  <c r="D18" i="16"/>
  <c r="F18" i="20" s="1"/>
  <c r="AF450" i="1" s="1"/>
  <c r="P178" i="12"/>
  <c r="R154" i="9"/>
  <c r="R154" i="10" s="1"/>
  <c r="R129" i="9"/>
  <c r="R129" i="10" s="1"/>
  <c r="R54" i="10"/>
  <c r="R54" i="11" s="1"/>
  <c r="R26" i="11"/>
  <c r="R186" i="12"/>
  <c r="R26" i="16" s="1"/>
  <c r="R69" i="11"/>
  <c r="R229" i="12"/>
  <c r="R31" i="10"/>
  <c r="R191" i="12" s="1"/>
  <c r="R83" i="9"/>
  <c r="R138" i="10"/>
  <c r="R138" i="11" s="1"/>
  <c r="R123" i="9"/>
  <c r="R52" i="11"/>
  <c r="R212" i="12"/>
  <c r="R120" i="10"/>
  <c r="R280" i="12" s="1"/>
  <c r="R79" i="9"/>
  <c r="R67" i="10"/>
  <c r="R227" i="12" s="1"/>
  <c r="R115" i="11"/>
  <c r="R275" i="12"/>
  <c r="R152" i="9"/>
  <c r="R48" i="10"/>
  <c r="R208" i="12" s="1"/>
  <c r="R150" i="11"/>
  <c r="R310" i="12"/>
  <c r="R150" i="16" s="1"/>
  <c r="R30" i="11"/>
  <c r="R190" i="12"/>
  <c r="R30" i="16" s="1"/>
  <c r="R134" i="9"/>
  <c r="R16" i="10"/>
  <c r="R176" i="12" s="1"/>
  <c r="R22" i="9"/>
  <c r="R22" i="10" s="1"/>
  <c r="R29" i="9"/>
  <c r="R106" i="9"/>
  <c r="R62" i="9"/>
  <c r="R73" i="10"/>
  <c r="R73" i="11" s="1"/>
  <c r="R101" i="10"/>
  <c r="R101" i="11" s="1"/>
  <c r="Q98" i="16"/>
  <c r="Q258" i="13"/>
  <c r="Q98" i="14" s="1"/>
  <c r="Q98" i="13"/>
  <c r="Q225" i="17"/>
  <c r="Q65" i="17"/>
  <c r="Q156" i="16"/>
  <c r="Q316" i="13"/>
  <c r="Q156" i="14" s="1"/>
  <c r="Q156" i="13"/>
  <c r="Q130" i="11"/>
  <c r="Q109" i="11"/>
  <c r="Z84" i="16"/>
  <c r="Z244" i="13"/>
  <c r="Z84" i="14" s="1"/>
  <c r="Z84" i="13"/>
  <c r="P39" i="11"/>
  <c r="D39" i="16"/>
  <c r="F39" i="20" s="1"/>
  <c r="AF486" i="1" s="1"/>
  <c r="P199" i="12"/>
  <c r="D91" i="16"/>
  <c r="F91" i="20" s="1"/>
  <c r="P251" i="12"/>
  <c r="P91" i="16" s="1"/>
  <c r="D116" i="16"/>
  <c r="F116" i="20" s="1"/>
  <c r="P276" i="12"/>
  <c r="P116" i="16" s="1"/>
  <c r="N189" i="18"/>
  <c r="P81" i="11"/>
  <c r="D81" i="16"/>
  <c r="F81" i="20" s="1"/>
  <c r="P241" i="12"/>
  <c r="O5" i="15"/>
  <c r="O5" i="18"/>
  <c r="O165" i="18" s="1"/>
  <c r="N89" i="15"/>
  <c r="P10" i="11"/>
  <c r="P170" i="12"/>
  <c r="D10" i="16"/>
  <c r="F10" i="20" s="1"/>
  <c r="AF442" i="1" s="1"/>
  <c r="P146" i="11"/>
  <c r="D146" i="16"/>
  <c r="F146" i="20" s="1"/>
  <c r="P306" i="12"/>
  <c r="P146" i="16" s="1"/>
  <c r="P278" i="12"/>
  <c r="P118" i="16" s="1"/>
  <c r="D118" i="16"/>
  <c r="F118" i="20" s="1"/>
  <c r="Q148" i="16"/>
  <c r="Q308" i="13"/>
  <c r="Q148" i="13"/>
  <c r="Q305" i="12"/>
  <c r="Q145" i="16" s="1"/>
  <c r="Q118" i="16"/>
  <c r="Q278" i="13"/>
  <c r="Q118" i="14" s="1"/>
  <c r="Q118" i="13"/>
  <c r="Q302" i="12"/>
  <c r="Q142" i="16" s="1"/>
  <c r="Q210" i="12"/>
  <c r="Q50" i="16" s="1"/>
  <c r="Q169" i="12"/>
  <c r="Q9" i="16" s="1"/>
  <c r="Q111" i="11"/>
  <c r="Q271" i="12"/>
  <c r="Q139" i="11"/>
  <c r="Q299" i="12"/>
  <c r="O47" i="18"/>
  <c r="Z313" i="13"/>
  <c r="Z153" i="14" s="1"/>
  <c r="Z153" i="13"/>
  <c r="O18" i="18"/>
  <c r="O178" i="18" s="1"/>
  <c r="O18" i="15"/>
  <c r="Z100" i="16"/>
  <c r="Z260" i="13"/>
  <c r="Z100" i="14" s="1"/>
  <c r="Z100" i="13"/>
  <c r="D97" i="16"/>
  <c r="F97" i="20" s="1"/>
  <c r="P257" i="12"/>
  <c r="P97" i="16" s="1"/>
  <c r="P16" i="11"/>
  <c r="P176" i="12"/>
  <c r="D16" i="16"/>
  <c r="F16" i="20" s="1"/>
  <c r="AF448" i="1" s="1"/>
  <c r="P60" i="11"/>
  <c r="D60" i="16"/>
  <c r="F60" i="20" s="1"/>
  <c r="AF74" i="1" s="1"/>
  <c r="P220" i="12"/>
  <c r="P60" i="16" s="1"/>
  <c r="O20" i="16"/>
  <c r="O20" i="13"/>
  <c r="O180" i="13"/>
  <c r="O20" i="14" s="1"/>
  <c r="O220" i="17"/>
  <c r="O60" i="18" s="1"/>
  <c r="O60" i="17"/>
  <c r="N54" i="18"/>
  <c r="P45" i="11"/>
  <c r="D45" i="16"/>
  <c r="F45" i="20" s="1"/>
  <c r="P205" i="12"/>
  <c r="P45" i="16" s="1"/>
  <c r="D122" i="16"/>
  <c r="F122" i="20" s="1"/>
  <c r="P282" i="12"/>
  <c r="N278" i="17"/>
  <c r="N118" i="18" s="1"/>
  <c r="N118" i="17"/>
  <c r="O124" i="15"/>
  <c r="O10" i="17"/>
  <c r="O170" i="17"/>
  <c r="O10" i="18" s="1"/>
  <c r="P114" i="11"/>
  <c r="D114" i="16"/>
  <c r="F114" i="20" s="1"/>
  <c r="P274" i="12"/>
  <c r="P62" i="11"/>
  <c r="P222" i="12"/>
  <c r="P62" i="16" s="1"/>
  <c r="D62" i="16"/>
  <c r="F62" i="20" s="1"/>
  <c r="Y153" i="13"/>
  <c r="Y313" i="13"/>
  <c r="Y153" i="14" s="1"/>
  <c r="O54" i="18"/>
  <c r="O214" i="18" s="1"/>
  <c r="D150" i="16"/>
  <c r="F150" i="20" s="1"/>
  <c r="P310" i="12"/>
  <c r="P150" i="16" s="1"/>
  <c r="P101" i="11"/>
  <c r="P261" i="12"/>
  <c r="P101" i="16" s="1"/>
  <c r="D101" i="16"/>
  <c r="F101" i="20" s="1"/>
  <c r="Q94" i="16"/>
  <c r="Q254" i="13"/>
  <c r="Q94" i="14" s="1"/>
  <c r="Q94" i="13"/>
  <c r="Q82" i="11"/>
  <c r="Q42" i="10"/>
  <c r="Q42" i="11" s="1"/>
  <c r="Q107" i="16"/>
  <c r="Q107" i="13"/>
  <c r="Q267" i="13"/>
  <c r="Q107" i="14" s="1"/>
  <c r="Q95" i="11"/>
  <c r="Q255" i="12"/>
  <c r="Q95" i="16" s="1"/>
  <c r="Q239" i="13"/>
  <c r="Q79" i="14" s="1"/>
  <c r="Q79" i="13"/>
  <c r="O291" i="17"/>
  <c r="O131" i="18" s="1"/>
  <c r="O131" i="17"/>
  <c r="P22" i="11"/>
  <c r="D22" i="16"/>
  <c r="F22" i="20" s="1"/>
  <c r="AF456" i="1" s="1"/>
  <c r="P182" i="12"/>
  <c r="P22" i="16" s="1"/>
  <c r="P109" i="11"/>
  <c r="P269" i="12"/>
  <c r="D109" i="16"/>
  <c r="F109" i="20" s="1"/>
  <c r="O22" i="15"/>
  <c r="O22" i="18"/>
  <c r="O182" i="18" s="1"/>
  <c r="O19" i="15"/>
  <c r="N5" i="15"/>
  <c r="N5" i="18"/>
  <c r="O30" i="18"/>
  <c r="O190" i="18" s="1"/>
  <c r="O98" i="18"/>
  <c r="N7" i="17"/>
  <c r="N167" i="17"/>
  <c r="N7" i="18" s="1"/>
  <c r="P30" i="11"/>
  <c r="D30" i="16"/>
  <c r="F30" i="20" s="1"/>
  <c r="P190" i="12"/>
  <c r="O91" i="17"/>
  <c r="O251" i="17"/>
  <c r="O91" i="18" s="1"/>
  <c r="O255" i="18" s="1"/>
  <c r="M301" i="18"/>
  <c r="P142" i="11"/>
  <c r="P302" i="12"/>
  <c r="D142" i="16"/>
  <c r="F142" i="20" s="1"/>
  <c r="Q57" i="10"/>
  <c r="Q57" i="11" s="1"/>
  <c r="Q16" i="11"/>
  <c r="Q176" i="12"/>
  <c r="Q116" i="11"/>
  <c r="Q276" i="12"/>
  <c r="Q116" i="16" s="1"/>
  <c r="Q18" i="10"/>
  <c r="Q18" i="11" s="1"/>
  <c r="Q89" i="11"/>
  <c r="Q249" i="12"/>
  <c r="Q124" i="14"/>
  <c r="Q124" i="15" s="1"/>
  <c r="Q127" i="16"/>
  <c r="Q127" i="13"/>
  <c r="Q287" i="13"/>
  <c r="Q127" i="14" s="1"/>
  <c r="Q214" i="17"/>
  <c r="Q54" i="18" s="1"/>
  <c r="Q214" i="18" s="1"/>
  <c r="Q54" i="17"/>
  <c r="Q141" i="11"/>
  <c r="Q301" i="12"/>
  <c r="Q129" i="16"/>
  <c r="Q129" i="13"/>
  <c r="Q289" i="13"/>
  <c r="Q129" i="14" s="1"/>
  <c r="D131" i="16"/>
  <c r="F131" i="20" s="1"/>
  <c r="P291" i="12"/>
  <c r="P131" i="16" s="1"/>
  <c r="O42" i="16"/>
  <c r="O42" i="13"/>
  <c r="O202" i="13"/>
  <c r="O42" i="14" s="1"/>
  <c r="N107" i="17"/>
  <c r="N267" i="17"/>
  <c r="N107" i="18" s="1"/>
  <c r="P76" i="11"/>
  <c r="P236" i="12"/>
  <c r="P76" i="16" s="1"/>
  <c r="D76" i="16"/>
  <c r="F76" i="20" s="1"/>
  <c r="O35" i="16"/>
  <c r="O195" i="13"/>
  <c r="O35" i="14" s="1"/>
  <c r="O35" i="13"/>
  <c r="M254" i="18"/>
  <c r="N111" i="15"/>
  <c r="N111" i="18"/>
  <c r="M317" i="18"/>
  <c r="O19" i="17"/>
  <c r="O179" i="17"/>
  <c r="O19" i="18" s="1"/>
  <c r="O276" i="17"/>
  <c r="O116" i="18" s="1"/>
  <c r="O116" i="17"/>
  <c r="P92" i="11"/>
  <c r="D92" i="16"/>
  <c r="F92" i="20" s="1"/>
  <c r="P252" i="12"/>
  <c r="Z311" i="17"/>
  <c r="Z151" i="18" s="1"/>
  <c r="Z320" i="18" s="1"/>
  <c r="AA320" i="18" s="1"/>
  <c r="Z151" i="17"/>
  <c r="P138" i="11"/>
  <c r="D138" i="16"/>
  <c r="F138" i="20" s="1"/>
  <c r="P298" i="12"/>
  <c r="P55" i="11"/>
  <c r="D55" i="16"/>
  <c r="F55" i="20" s="1"/>
  <c r="AF290" i="1" s="1"/>
  <c r="P215" i="12"/>
  <c r="R157" i="11"/>
  <c r="R317" i="12"/>
  <c r="R139" i="10"/>
  <c r="R149" i="9"/>
  <c r="R149" i="10" s="1"/>
  <c r="R9" i="9"/>
  <c r="R9" i="10" s="1"/>
  <c r="R127" i="9"/>
  <c r="R127" i="10" s="1"/>
  <c r="R23" i="9"/>
  <c r="R23" i="10" s="1"/>
  <c r="R76" i="10"/>
  <c r="R45" i="9"/>
  <c r="R156" i="9"/>
  <c r="R108" i="10"/>
  <c r="R108" i="11" s="1"/>
  <c r="R49" i="9"/>
  <c r="R49" i="10" s="1"/>
  <c r="R50" i="9"/>
  <c r="R50" i="10" s="1"/>
  <c r="R95" i="11"/>
  <c r="R255" i="12"/>
  <c r="R80" i="10"/>
  <c r="R240" i="12" s="1"/>
  <c r="R124" i="9"/>
  <c r="R124" i="10" s="1"/>
  <c r="R122" i="10"/>
  <c r="R122" i="11" s="1"/>
  <c r="R107" i="9"/>
  <c r="R107" i="10" s="1"/>
  <c r="R53" i="11"/>
  <c r="R213" i="12"/>
  <c r="R12" i="9"/>
  <c r="R60" i="10"/>
  <c r="R60" i="11" s="1"/>
  <c r="R90" i="9"/>
  <c r="R82" i="9"/>
  <c r="R86" i="11"/>
  <c r="R246" i="12"/>
  <c r="R158" i="11"/>
  <c r="R318" i="12"/>
  <c r="R55" i="10"/>
  <c r="R55" i="11" s="1"/>
  <c r="R116" i="10"/>
  <c r="R276" i="12" s="1"/>
  <c r="R57" i="11"/>
  <c r="R217" i="12"/>
  <c r="R57" i="16" s="1"/>
  <c r="Q215" i="12"/>
  <c r="Q55" i="16" s="1"/>
  <c r="Q101" i="10"/>
  <c r="Q261" i="12" s="1"/>
  <c r="Q8" i="10"/>
  <c r="Q168" i="12" s="1"/>
  <c r="Q225" i="13"/>
  <c r="Q65" i="14" s="1"/>
  <c r="Q65" i="15" s="1"/>
  <c r="Q65" i="13"/>
  <c r="Q5" i="11"/>
  <c r="Q165" i="12"/>
  <c r="Q130" i="16"/>
  <c r="Q130" i="13"/>
  <c r="Q290" i="13"/>
  <c r="Q67" i="10"/>
  <c r="Q67" i="11" s="1"/>
  <c r="Q109" i="16"/>
  <c r="Q269" i="13"/>
  <c r="Q109" i="13"/>
  <c r="Q68" i="11"/>
  <c r="Q228" i="12"/>
  <c r="Q115" i="11"/>
  <c r="Q275" i="12"/>
  <c r="Q265" i="13"/>
  <c r="Q105" i="14" s="1"/>
  <c r="Q105" i="15" s="1"/>
  <c r="Q105" i="13"/>
  <c r="N141" i="15"/>
  <c r="N141" i="18"/>
  <c r="P50" i="11"/>
  <c r="P210" i="12"/>
  <c r="P50" i="16" s="1"/>
  <c r="D50" i="16"/>
  <c r="F50" i="20" s="1"/>
  <c r="AF25" i="1" s="1"/>
  <c r="M174" i="18"/>
  <c r="N240" i="17"/>
  <c r="N80" i="18" s="1"/>
  <c r="N80" i="17"/>
  <c r="P127" i="11"/>
  <c r="P287" i="12"/>
  <c r="D127" i="16"/>
  <c r="F127" i="20" s="1"/>
  <c r="P54" i="11"/>
  <c r="D54" i="16"/>
  <c r="F54" i="20" s="1"/>
  <c r="AF37" i="1" s="1"/>
  <c r="P214" i="12"/>
  <c r="O62" i="16"/>
  <c r="O222" i="13"/>
  <c r="O62" i="14" s="1"/>
  <c r="O62" i="13"/>
  <c r="O101" i="18"/>
  <c r="O266" i="18" s="1"/>
  <c r="N67" i="15"/>
  <c r="N67" i="18"/>
  <c r="Q92" i="16"/>
  <c r="Q252" i="13"/>
  <c r="Q92" i="14" s="1"/>
  <c r="Q92" i="13"/>
  <c r="Q29" i="16"/>
  <c r="Q29" i="13"/>
  <c r="Q189" i="13"/>
  <c r="Q29" i="14" s="1"/>
  <c r="Q62" i="14"/>
  <c r="Q122" i="16"/>
  <c r="Q282" i="13"/>
  <c r="Q122" i="14" s="1"/>
  <c r="Q122" i="13"/>
  <c r="Q45" i="16"/>
  <c r="Q45" i="13"/>
  <c r="Q205" i="13"/>
  <c r="Q45" i="14" s="1"/>
  <c r="Q19" i="16"/>
  <c r="Q19" i="13"/>
  <c r="Q179" i="13"/>
  <c r="Q19" i="14" s="1"/>
  <c r="Q63" i="16"/>
  <c r="Q223" i="13"/>
  <c r="Q63" i="14" s="1"/>
  <c r="Q63" i="13"/>
  <c r="P281" i="12"/>
  <c r="P121" i="16" s="1"/>
  <c r="D121" i="16"/>
  <c r="F121" i="20" s="1"/>
  <c r="N299" i="17"/>
  <c r="N139" i="18" s="1"/>
  <c r="N139" i="17"/>
  <c r="P243" i="12"/>
  <c r="P83" i="16" s="1"/>
  <c r="D83" i="16"/>
  <c r="F83" i="20" s="1"/>
  <c r="O14" i="13"/>
  <c r="O174" i="13"/>
  <c r="O14" i="14" s="1"/>
  <c r="O14" i="15" s="1"/>
  <c r="O124" i="17"/>
  <c r="O284" i="17"/>
  <c r="O124" i="18" s="1"/>
  <c r="Z140" i="16"/>
  <c r="Z300" i="13"/>
  <c r="Z140" i="14" s="1"/>
  <c r="Z140" i="13"/>
  <c r="P108" i="11"/>
  <c r="P268" i="12"/>
  <c r="D108" i="16"/>
  <c r="F108" i="20" s="1"/>
  <c r="Q60" i="11"/>
  <c r="Q220" i="12"/>
  <c r="Q60" i="16" s="1"/>
  <c r="Q82" i="16"/>
  <c r="Q82" i="13"/>
  <c r="Q242" i="13"/>
  <c r="Q294" i="13"/>
  <c r="Q134" i="14" s="1"/>
  <c r="Q134" i="15" s="1"/>
  <c r="Q134" i="13"/>
  <c r="Q43" i="16"/>
  <c r="Q43" i="13"/>
  <c r="Q203" i="13"/>
  <c r="Q43" i="14" s="1"/>
  <c r="Q136" i="16"/>
  <c r="Q296" i="13"/>
  <c r="Q136" i="14" s="1"/>
  <c r="Q136" i="13"/>
  <c r="Q74" i="16"/>
  <c r="Q74" i="13"/>
  <c r="Q234" i="13"/>
  <c r="Q74" i="14" s="1"/>
  <c r="Q49" i="13"/>
  <c r="Q209" i="13"/>
  <c r="Q49" i="14" s="1"/>
  <c r="Q49" i="15" s="1"/>
  <c r="Q34" i="16"/>
  <c r="Q194" i="13"/>
  <c r="Q34" i="14" s="1"/>
  <c r="Q34" i="13"/>
  <c r="N23" i="18"/>
  <c r="D136" i="16"/>
  <c r="F136" i="20" s="1"/>
  <c r="P296" i="12"/>
  <c r="P136" i="16" s="1"/>
  <c r="P145" i="11"/>
  <c r="P305" i="12"/>
  <c r="P145" i="16" s="1"/>
  <c r="D145" i="16"/>
  <c r="F145" i="20" s="1"/>
  <c r="P90" i="11"/>
  <c r="D90" i="16"/>
  <c r="F90" i="20" s="1"/>
  <c r="P250" i="12"/>
  <c r="B63" i="22"/>
  <c r="D62" i="22"/>
  <c r="D12" i="16"/>
  <c r="F12" i="20" s="1"/>
  <c r="AF445" i="1" s="1"/>
  <c r="P172" i="12"/>
  <c r="P12" i="16" s="1"/>
  <c r="D7" i="16"/>
  <c r="F7" i="20" s="1"/>
  <c r="AF439" i="1" s="1"/>
  <c r="P167" i="12"/>
  <c r="P7" i="16" s="1"/>
  <c r="N76" i="18"/>
  <c r="R7" i="1"/>
  <c r="E7" i="31" s="1"/>
  <c r="AA496" i="1"/>
  <c r="AB496" i="1" s="1"/>
  <c r="O157" i="31" s="1"/>
  <c r="S63" i="1"/>
  <c r="S66" i="1" s="1"/>
  <c r="Q157" i="31"/>
  <c r="E59" i="30" s="1"/>
  <c r="F59" i="30" s="1"/>
  <c r="G59" i="30" s="1"/>
  <c r="E216" i="31"/>
  <c r="R216" i="31" s="1"/>
  <c r="S157" i="31"/>
  <c r="E17" i="31"/>
  <c r="Q17" i="31" s="1"/>
  <c r="AA39" i="1"/>
  <c r="AB39" i="1" s="1"/>
  <c r="O17" i="31" s="1"/>
  <c r="E98" i="31"/>
  <c r="Q98" i="31" s="1"/>
  <c r="E39" i="31"/>
  <c r="Q39" i="31" s="1"/>
  <c r="AA132" i="1"/>
  <c r="AB132" i="1" s="1"/>
  <c r="O39" i="31" s="1"/>
  <c r="AA9" i="1"/>
  <c r="AB9" i="1" s="1"/>
  <c r="O9" i="31" s="1"/>
  <c r="E21" i="31"/>
  <c r="E96" i="31"/>
  <c r="AA360" i="1"/>
  <c r="AB360" i="1" s="1"/>
  <c r="O96" i="31" s="1"/>
  <c r="E9" i="31"/>
  <c r="Q9" i="31" s="1"/>
  <c r="O74" i="1"/>
  <c r="D23" i="31" s="1"/>
  <c r="P82" i="1"/>
  <c r="N82" i="1"/>
  <c r="G169" i="18"/>
  <c r="D62" i="6"/>
  <c r="B63" i="6"/>
  <c r="D63" i="37" s="1"/>
  <c r="A63" i="37" s="1"/>
  <c r="B62" i="20"/>
  <c r="B62" i="10"/>
  <c r="B62" i="11"/>
  <c r="B222" i="12"/>
  <c r="B62" i="12"/>
  <c r="B222" i="13"/>
  <c r="B62" i="13"/>
  <c r="B62" i="14"/>
  <c r="B222" i="18"/>
  <c r="B62" i="15"/>
  <c r="B62" i="16"/>
  <c r="B222" i="17"/>
  <c r="B62" i="17"/>
  <c r="B62" i="18"/>
  <c r="B62" i="9"/>
  <c r="AO74" i="1"/>
  <c r="C74" i="1" s="1"/>
  <c r="P74" i="1"/>
  <c r="T147" i="1"/>
  <c r="R147" i="1"/>
  <c r="E164" i="1"/>
  <c r="E170" i="1"/>
  <c r="AO170" i="1" s="1"/>
  <c r="C170" i="1" s="1"/>
  <c r="AO78" i="1"/>
  <c r="C78" i="1" s="1"/>
  <c r="C14" i="1"/>
  <c r="AA63" i="1" l="1"/>
  <c r="AB63" i="1" s="1"/>
  <c r="O21" i="31" s="1"/>
  <c r="AA7" i="1"/>
  <c r="AB7" i="1" s="1"/>
  <c r="O7" i="31" s="1"/>
  <c r="Q12" i="15"/>
  <c r="R111" i="11"/>
  <c r="AF40" i="1"/>
  <c r="Q130" i="14"/>
  <c r="Q101" i="11"/>
  <c r="R120" i="11"/>
  <c r="R141" i="11"/>
  <c r="R42" i="11"/>
  <c r="Q108" i="11"/>
  <c r="R14" i="11"/>
  <c r="R121" i="11"/>
  <c r="Q138" i="11"/>
  <c r="P281" i="17"/>
  <c r="P121" i="17"/>
  <c r="N167" i="18"/>
  <c r="P182" i="17"/>
  <c r="P22" i="17"/>
  <c r="O298" i="18"/>
  <c r="Q9" i="17"/>
  <c r="Q169" i="17"/>
  <c r="P278" i="17"/>
  <c r="P118" i="17"/>
  <c r="P251" i="17"/>
  <c r="P91" i="17"/>
  <c r="R310" i="17"/>
  <c r="R150" i="17"/>
  <c r="P316" i="17"/>
  <c r="P156" i="17"/>
  <c r="P14" i="17"/>
  <c r="P174" i="17"/>
  <c r="Q314" i="17"/>
  <c r="Q154" i="17"/>
  <c r="Q312" i="17"/>
  <c r="Q152" i="17"/>
  <c r="P280" i="17"/>
  <c r="P120" i="17"/>
  <c r="P111" i="17"/>
  <c r="P271" i="17"/>
  <c r="Q173" i="17"/>
  <c r="Q13" i="17"/>
  <c r="P307" i="17"/>
  <c r="P147" i="17"/>
  <c r="P76" i="17"/>
  <c r="P236" i="17"/>
  <c r="P222" i="17"/>
  <c r="P62" i="17"/>
  <c r="P306" i="17"/>
  <c r="P146" i="17"/>
  <c r="Q207" i="17"/>
  <c r="Q47" i="17"/>
  <c r="P233" i="17"/>
  <c r="P73" i="17"/>
  <c r="P191" i="17"/>
  <c r="P31" i="17"/>
  <c r="P89" i="17"/>
  <c r="P249" i="17"/>
  <c r="Q307" i="17"/>
  <c r="Q147" i="17"/>
  <c r="P234" i="17"/>
  <c r="P74" i="17"/>
  <c r="Z245" i="17"/>
  <c r="Z85" i="17"/>
  <c r="P23" i="17"/>
  <c r="P183" i="17"/>
  <c r="Q30" i="17"/>
  <c r="Q190" i="17"/>
  <c r="Q220" i="17"/>
  <c r="Q60" i="17"/>
  <c r="O291" i="18"/>
  <c r="N307" i="18"/>
  <c r="Q215" i="17"/>
  <c r="Q55" i="17"/>
  <c r="O283" i="18"/>
  <c r="Q276" i="17"/>
  <c r="Q116" i="17"/>
  <c r="Y153" i="15"/>
  <c r="Y153" i="18"/>
  <c r="O170" i="18"/>
  <c r="N285" i="18"/>
  <c r="P97" i="17"/>
  <c r="P257" i="17"/>
  <c r="P116" i="17"/>
  <c r="P276" i="17"/>
  <c r="R190" i="17"/>
  <c r="R30" i="17"/>
  <c r="R186" i="17"/>
  <c r="R26" i="17"/>
  <c r="P239" i="17"/>
  <c r="P79" i="17"/>
  <c r="P290" i="17"/>
  <c r="P130" i="17"/>
  <c r="P107" i="17"/>
  <c r="P267" i="17"/>
  <c r="P189" i="17"/>
  <c r="P29" i="17"/>
  <c r="P9" i="17"/>
  <c r="P169" i="17"/>
  <c r="O329" i="18"/>
  <c r="P48" i="17"/>
  <c r="P208" i="17"/>
  <c r="N242" i="18"/>
  <c r="N273" i="18"/>
  <c r="Q255" i="17"/>
  <c r="Q95" i="17"/>
  <c r="O220" i="18"/>
  <c r="Q142" i="17"/>
  <c r="Q302" i="17"/>
  <c r="Q305" i="17"/>
  <c r="Q145" i="17"/>
  <c r="P44" i="17"/>
  <c r="P204" i="17"/>
  <c r="Q306" i="17"/>
  <c r="Q146" i="17"/>
  <c r="O251" i="18"/>
  <c r="P167" i="17"/>
  <c r="P7" i="17"/>
  <c r="P12" i="17"/>
  <c r="P172" i="17"/>
  <c r="B64" i="22"/>
  <c r="D63" i="22"/>
  <c r="N183" i="18"/>
  <c r="Q74" i="17"/>
  <c r="Q234" i="17"/>
  <c r="Q74" i="18" s="1"/>
  <c r="Q235" i="18" s="1"/>
  <c r="Q296" i="17"/>
  <c r="Q136" i="17"/>
  <c r="Q242" i="17"/>
  <c r="Q82" i="17"/>
  <c r="Z300" i="17"/>
  <c r="Z140" i="17"/>
  <c r="Q19" i="15"/>
  <c r="Q45" i="15"/>
  <c r="Q122" i="15"/>
  <c r="Q29" i="15"/>
  <c r="N228" i="18"/>
  <c r="O62" i="15"/>
  <c r="P127" i="16"/>
  <c r="P287" i="13"/>
  <c r="P127" i="14" s="1"/>
  <c r="P127" i="13"/>
  <c r="Q290" i="17"/>
  <c r="Q130" i="17"/>
  <c r="Q101" i="16"/>
  <c r="Q261" i="13"/>
  <c r="Q101" i="13"/>
  <c r="R217" i="13"/>
  <c r="R57" i="14" s="1"/>
  <c r="R57" i="15" s="1"/>
  <c r="R57" i="13"/>
  <c r="R86" i="16"/>
  <c r="R246" i="13"/>
  <c r="R86" i="14" s="1"/>
  <c r="R86" i="13"/>
  <c r="R95" i="16"/>
  <c r="R255" i="13"/>
  <c r="R95" i="14" s="1"/>
  <c r="R95" i="13"/>
  <c r="R76" i="11"/>
  <c r="R157" i="16"/>
  <c r="R157" i="13"/>
  <c r="R317" i="13"/>
  <c r="R157" i="14" s="1"/>
  <c r="N278" i="18"/>
  <c r="P291" i="13"/>
  <c r="P131" i="14" s="1"/>
  <c r="P131" i="15" s="1"/>
  <c r="P131" i="13"/>
  <c r="Q289" i="17"/>
  <c r="Q129" i="17"/>
  <c r="Q178" i="12"/>
  <c r="Q18" i="16" s="1"/>
  <c r="Q16" i="16"/>
  <c r="Q16" i="13"/>
  <c r="Q176" i="13"/>
  <c r="Q16" i="14" s="1"/>
  <c r="AF10" i="39"/>
  <c r="AF117" i="1"/>
  <c r="Q82" i="14"/>
  <c r="Q254" i="17"/>
  <c r="Q94" i="17"/>
  <c r="P261" i="13"/>
  <c r="P101" i="14" s="1"/>
  <c r="P101" i="15" s="1"/>
  <c r="P101" i="13"/>
  <c r="P310" i="13"/>
  <c r="P150" i="14" s="1"/>
  <c r="P150" i="13"/>
  <c r="P122" i="16"/>
  <c r="P282" i="13"/>
  <c r="P122" i="14" s="1"/>
  <c r="P122" i="13"/>
  <c r="P205" i="13"/>
  <c r="P45" i="14" s="1"/>
  <c r="P45" i="15" s="1"/>
  <c r="P45" i="13"/>
  <c r="O180" i="17"/>
  <c r="O20" i="17"/>
  <c r="O207" i="18"/>
  <c r="Q50" i="13"/>
  <c r="Q210" i="13"/>
  <c r="Q50" i="14" s="1"/>
  <c r="Q50" i="15" s="1"/>
  <c r="Q118" i="15"/>
  <c r="P81" i="16"/>
  <c r="P81" i="13"/>
  <c r="P241" i="13"/>
  <c r="P81" i="14" s="1"/>
  <c r="Q65" i="18"/>
  <c r="Q225" i="18" s="1"/>
  <c r="R48" i="11"/>
  <c r="R115" i="16"/>
  <c r="R115" i="13"/>
  <c r="R275" i="13"/>
  <c r="R115" i="14" s="1"/>
  <c r="R52" i="16"/>
  <c r="R52" i="13"/>
  <c r="R212" i="13"/>
  <c r="R52" i="14" s="1"/>
  <c r="R31" i="11"/>
  <c r="R214" i="12"/>
  <c r="R54" i="16" s="1"/>
  <c r="R154" i="11"/>
  <c r="R314" i="12"/>
  <c r="AF9" i="39"/>
  <c r="AF76" i="1"/>
  <c r="Y304" i="18"/>
  <c r="P289" i="13"/>
  <c r="P129" i="14" s="1"/>
  <c r="P129" i="13"/>
  <c r="P8" i="16"/>
  <c r="P168" i="13"/>
  <c r="P8" i="14" s="1"/>
  <c r="P8" i="13"/>
  <c r="P284" i="13"/>
  <c r="P124" i="14" s="1"/>
  <c r="P124" i="15" s="1"/>
  <c r="P124" i="13"/>
  <c r="P285" i="13"/>
  <c r="P125" i="14" s="1"/>
  <c r="P125" i="15" s="1"/>
  <c r="P125" i="13"/>
  <c r="P207" i="13"/>
  <c r="P47" i="14" s="1"/>
  <c r="P47" i="15" s="1"/>
  <c r="P47" i="13"/>
  <c r="Z297" i="17"/>
  <c r="Z137" i="17"/>
  <c r="P165" i="13"/>
  <c r="P5" i="14" s="1"/>
  <c r="P5" i="15" s="1"/>
  <c r="P5" i="13"/>
  <c r="Q149" i="15"/>
  <c r="Q10" i="15"/>
  <c r="Q83" i="15"/>
  <c r="Q91" i="15"/>
  <c r="Q233" i="12"/>
  <c r="P308" i="13"/>
  <c r="P148" i="14" s="1"/>
  <c r="P148" i="15" s="1"/>
  <c r="P148" i="13"/>
  <c r="P93" i="13"/>
  <c r="P253" i="13"/>
  <c r="P93" i="14" s="1"/>
  <c r="P93" i="15" s="1"/>
  <c r="P299" i="13"/>
  <c r="P139" i="14" s="1"/>
  <c r="P139" i="15" s="1"/>
  <c r="P139" i="13"/>
  <c r="Q310" i="17"/>
  <c r="Q150" i="18" s="1"/>
  <c r="Q319" i="18" s="1"/>
  <c r="Q150" i="17"/>
  <c r="Q148" i="14"/>
  <c r="P35" i="16"/>
  <c r="P35" i="13"/>
  <c r="P195" i="13"/>
  <c r="P35" i="14" s="1"/>
  <c r="P57" i="16"/>
  <c r="P57" i="13"/>
  <c r="P217" i="13"/>
  <c r="P57" i="14" s="1"/>
  <c r="AF7" i="39"/>
  <c r="Q259" i="13"/>
  <c r="Q99" i="14" s="1"/>
  <c r="Q99" i="15" s="1"/>
  <c r="Q99" i="13"/>
  <c r="Q204" i="13"/>
  <c r="Q44" i="14" s="1"/>
  <c r="Q44" i="15" s="1"/>
  <c r="Q44" i="13"/>
  <c r="Q48" i="17"/>
  <c r="Q208" i="17"/>
  <c r="Q246" i="12"/>
  <c r="Q86" i="16" s="1"/>
  <c r="S54" i="11"/>
  <c r="S214" i="12"/>
  <c r="S54" i="16" s="1"/>
  <c r="S103" i="11"/>
  <c r="S263" i="12"/>
  <c r="S141" i="9"/>
  <c r="S141" i="10" s="1"/>
  <c r="S44" i="11"/>
  <c r="S204" i="12"/>
  <c r="S138" i="9"/>
  <c r="S39" i="11"/>
  <c r="S199" i="12"/>
  <c r="S69" i="9"/>
  <c r="S31" i="9"/>
  <c r="S31" i="10" s="1"/>
  <c r="S49" i="10"/>
  <c r="S209" i="12" s="1"/>
  <c r="S45" i="11"/>
  <c r="S205" i="12"/>
  <c r="S45" i="16"/>
  <c r="S95" i="11"/>
  <c r="S255" i="12"/>
  <c r="S127" i="11"/>
  <c r="S287" i="12"/>
  <c r="S124" i="10"/>
  <c r="S284" i="12" s="1"/>
  <c r="S146" i="11"/>
  <c r="S306" i="12"/>
  <c r="S91" i="10"/>
  <c r="S91" i="11" s="1"/>
  <c r="S97" i="10"/>
  <c r="S97" i="11" s="1"/>
  <c r="S53" i="11"/>
  <c r="S213" i="12"/>
  <c r="S30" i="9"/>
  <c r="S90" i="10"/>
  <c r="S250" i="12" s="1"/>
  <c r="S8" i="9"/>
  <c r="S8" i="10" s="1"/>
  <c r="S18" i="9"/>
  <c r="S18" i="10" s="1"/>
  <c r="S94" i="9"/>
  <c r="S98" i="11"/>
  <c r="S258" i="12"/>
  <c r="S92" i="10"/>
  <c r="S92" i="11" s="1"/>
  <c r="S106" i="11"/>
  <c r="S266" i="12"/>
  <c r="S42" i="11"/>
  <c r="S202" i="12"/>
  <c r="R18" i="16"/>
  <c r="R178" i="13"/>
  <c r="R18" i="14" s="1"/>
  <c r="R18" i="13"/>
  <c r="R278" i="17"/>
  <c r="R118" i="17"/>
  <c r="R5" i="10"/>
  <c r="R5" i="11" s="1"/>
  <c r="R179" i="12"/>
  <c r="R19" i="16" s="1"/>
  <c r="R241" i="12"/>
  <c r="R81" i="16" s="1"/>
  <c r="R141" i="16"/>
  <c r="R141" i="13"/>
  <c r="R301" i="13"/>
  <c r="R34" i="11"/>
  <c r="R194" i="12"/>
  <c r="P155" i="13"/>
  <c r="P315" i="13"/>
  <c r="P155" i="14" s="1"/>
  <c r="P155" i="15" s="1"/>
  <c r="P309" i="13"/>
  <c r="P149" i="14" s="1"/>
  <c r="P149" i="15" s="1"/>
  <c r="P149" i="13"/>
  <c r="P255" i="13"/>
  <c r="P95" i="14" s="1"/>
  <c r="P95" i="15" s="1"/>
  <c r="P95" i="13"/>
  <c r="P98" i="16"/>
  <c r="P98" i="13"/>
  <c r="P258" i="13"/>
  <c r="P98" i="14" s="1"/>
  <c r="Q229" i="17"/>
  <c r="Q69" i="17"/>
  <c r="O16" i="17"/>
  <c r="O176" i="17"/>
  <c r="O16" i="18" s="1"/>
  <c r="Q253" i="17"/>
  <c r="Q93" i="17"/>
  <c r="N255" i="18"/>
  <c r="P34" i="13"/>
  <c r="P194" i="13"/>
  <c r="P34" i="14" s="1"/>
  <c r="Q157" i="16"/>
  <c r="Q317" i="13"/>
  <c r="Q157" i="14" s="1"/>
  <c r="Q157" i="13"/>
  <c r="Q52" i="15"/>
  <c r="Q240" i="13"/>
  <c r="Q80" i="14" s="1"/>
  <c r="Q80" i="15" s="1"/>
  <c r="Q80" i="13"/>
  <c r="Q62" i="17"/>
  <c r="Q222" i="17"/>
  <c r="P115" i="13"/>
  <c r="P275" i="13"/>
  <c r="P115" i="14" s="1"/>
  <c r="P115" i="15" s="1"/>
  <c r="P225" i="13"/>
  <c r="P65" i="14" s="1"/>
  <c r="P65" i="15" s="1"/>
  <c r="P65" i="13"/>
  <c r="Z110" i="15"/>
  <c r="P312" i="17"/>
  <c r="P152" i="17"/>
  <c r="Q230" i="17"/>
  <c r="Q70" i="17"/>
  <c r="Q277" i="17"/>
  <c r="Q117" i="17"/>
  <c r="R98" i="11"/>
  <c r="R258" i="12"/>
  <c r="R98" i="16" s="1"/>
  <c r="R247" i="13"/>
  <c r="R87" i="14" s="1"/>
  <c r="R87" i="15" s="1"/>
  <c r="R87" i="13"/>
  <c r="R155" i="16"/>
  <c r="R315" i="13"/>
  <c r="R155" i="14" s="1"/>
  <c r="R155" i="13"/>
  <c r="R8" i="16"/>
  <c r="R168" i="13"/>
  <c r="R8" i="14" s="1"/>
  <c r="R8" i="13"/>
  <c r="R41" i="16"/>
  <c r="R41" i="13"/>
  <c r="R201" i="13"/>
  <c r="R41" i="14" s="1"/>
  <c r="R99" i="17"/>
  <c r="R259" i="17"/>
  <c r="R105" i="11"/>
  <c r="R265" i="12"/>
  <c r="R105" i="16" s="1"/>
  <c r="P230" i="13"/>
  <c r="P70" i="14" s="1"/>
  <c r="P70" i="13"/>
  <c r="P301" i="13"/>
  <c r="P141" i="14" s="1"/>
  <c r="P141" i="13"/>
  <c r="Q108" i="16"/>
  <c r="Q268" i="13"/>
  <c r="Q108" i="14" s="1"/>
  <c r="Q108" i="13"/>
  <c r="Q138" i="16"/>
  <c r="Q138" i="13"/>
  <c r="Q298" i="13"/>
  <c r="Q138" i="14" s="1"/>
  <c r="Q155" i="15"/>
  <c r="N209" i="18"/>
  <c r="Q15" i="18"/>
  <c r="Q175" i="18" s="1"/>
  <c r="Q49" i="18"/>
  <c r="Q209" i="18" s="1"/>
  <c r="N237" i="18"/>
  <c r="P7" i="13"/>
  <c r="P167" i="13"/>
  <c r="P7" i="14" s="1"/>
  <c r="P7" i="15" s="1"/>
  <c r="P12" i="13"/>
  <c r="P172" i="13"/>
  <c r="P12" i="14" s="1"/>
  <c r="P12" i="15" s="1"/>
  <c r="P305" i="13"/>
  <c r="P145" i="14" s="1"/>
  <c r="P145" i="15" s="1"/>
  <c r="P145" i="13"/>
  <c r="P296" i="13"/>
  <c r="P136" i="14" s="1"/>
  <c r="P136" i="15" s="1"/>
  <c r="P136" i="13"/>
  <c r="Q43" i="15"/>
  <c r="P83" i="13"/>
  <c r="P243" i="13"/>
  <c r="P83" i="14" s="1"/>
  <c r="P83" i="15" s="1"/>
  <c r="Q63" i="15"/>
  <c r="Q122" i="17"/>
  <c r="Q282" i="17"/>
  <c r="Q122" i="18" s="1"/>
  <c r="Q289" i="18" s="1"/>
  <c r="Q92" i="15"/>
  <c r="O222" i="17"/>
  <c r="O62" i="18" s="1"/>
  <c r="O62" i="17"/>
  <c r="N310" i="18"/>
  <c r="Q115" i="16"/>
  <c r="Q275" i="13"/>
  <c r="Q115" i="14" s="1"/>
  <c r="Q115" i="13"/>
  <c r="Q227" i="12"/>
  <c r="Q67" i="16" s="1"/>
  <c r="Q5" i="16"/>
  <c r="Q165" i="13"/>
  <c r="Q5" i="14" s="1"/>
  <c r="Q5" i="13"/>
  <c r="Q8" i="11"/>
  <c r="R215" i="12"/>
  <c r="R55" i="16" s="1"/>
  <c r="R90" i="10"/>
  <c r="R90" i="11" s="1"/>
  <c r="R12" i="10"/>
  <c r="R12" i="11" s="1"/>
  <c r="R107" i="11"/>
  <c r="R267" i="12"/>
  <c r="R124" i="11"/>
  <c r="R284" i="12"/>
  <c r="R49" i="11"/>
  <c r="R209" i="12"/>
  <c r="R156" i="10"/>
  <c r="R156" i="11" s="1"/>
  <c r="R236" i="12"/>
  <c r="R76" i="16" s="1"/>
  <c r="R127" i="11"/>
  <c r="R287" i="12"/>
  <c r="R149" i="11"/>
  <c r="R309" i="12"/>
  <c r="P92" i="16"/>
  <c r="P252" i="13"/>
  <c r="P92" i="14" s="1"/>
  <c r="P92" i="13"/>
  <c r="O202" i="17"/>
  <c r="O42" i="17"/>
  <c r="Q141" i="16"/>
  <c r="Q301" i="13"/>
  <c r="Q141" i="14" s="1"/>
  <c r="Q141" i="13"/>
  <c r="Q127" i="15"/>
  <c r="Q89" i="16"/>
  <c r="Q89" i="13"/>
  <c r="Q249" i="13"/>
  <c r="Q89" i="14" s="1"/>
  <c r="O262" i="18"/>
  <c r="N165" i="18"/>
  <c r="P109" i="16"/>
  <c r="P269" i="13"/>
  <c r="P109" i="14" s="1"/>
  <c r="P109" i="13"/>
  <c r="P182" i="13"/>
  <c r="P22" i="14" s="1"/>
  <c r="P22" i="15" s="1"/>
  <c r="P22" i="13"/>
  <c r="Q255" i="13"/>
  <c r="Q95" i="14" s="1"/>
  <c r="Q95" i="15" s="1"/>
  <c r="Q95" i="13"/>
  <c r="Q267" i="17"/>
  <c r="Q107" i="18" s="1"/>
  <c r="Q273" i="18" s="1"/>
  <c r="Q107" i="17"/>
  <c r="Q139" i="16"/>
  <c r="Q139" i="13"/>
  <c r="Q299" i="13"/>
  <c r="Q139" i="14" s="1"/>
  <c r="Q278" i="17"/>
  <c r="Q118" i="18" s="1"/>
  <c r="Q285" i="18" s="1"/>
  <c r="Q118" i="17"/>
  <c r="P146" i="13"/>
  <c r="P306" i="13"/>
  <c r="P146" i="14" s="1"/>
  <c r="P146" i="15" s="1"/>
  <c r="P116" i="13"/>
  <c r="P276" i="13"/>
  <c r="P116" i="14" s="1"/>
  <c r="P116" i="15" s="1"/>
  <c r="P251" i="13"/>
  <c r="P91" i="14" s="1"/>
  <c r="P91" i="15" s="1"/>
  <c r="P91" i="13"/>
  <c r="Z84" i="15"/>
  <c r="Q109" i="14"/>
  <c r="Q156" i="15"/>
  <c r="R233" i="12"/>
  <c r="R73" i="16" s="1"/>
  <c r="R106" i="10"/>
  <c r="R106" i="11" s="1"/>
  <c r="R22" i="11"/>
  <c r="R182" i="12"/>
  <c r="R134" i="10"/>
  <c r="R134" i="11" s="1"/>
  <c r="R48" i="16"/>
  <c r="R208" i="13"/>
  <c r="R48" i="13"/>
  <c r="R79" i="10"/>
  <c r="R79" i="11" s="1"/>
  <c r="R298" i="12"/>
  <c r="R138" i="16" s="1"/>
  <c r="R31" i="16"/>
  <c r="R31" i="13"/>
  <c r="R191" i="13"/>
  <c r="R31" i="14" s="1"/>
  <c r="R186" i="13"/>
  <c r="R26" i="14" s="1"/>
  <c r="R26" i="15" s="1"/>
  <c r="R26" i="13"/>
  <c r="P42" i="16"/>
  <c r="P202" i="13"/>
  <c r="P42" i="14" s="1"/>
  <c r="P42" i="13"/>
  <c r="P130" i="13"/>
  <c r="P290" i="13"/>
  <c r="P130" i="14" s="1"/>
  <c r="P130" i="15" s="1"/>
  <c r="P316" i="13"/>
  <c r="P156" i="14" s="1"/>
  <c r="P156" i="15" s="1"/>
  <c r="P156" i="13"/>
  <c r="Q285" i="12"/>
  <c r="Q125" i="16" s="1"/>
  <c r="P317" i="13"/>
  <c r="P157" i="14" s="1"/>
  <c r="P157" i="15" s="1"/>
  <c r="P157" i="13"/>
  <c r="P68" i="13"/>
  <c r="P228" i="13"/>
  <c r="P68" i="14" s="1"/>
  <c r="P68" i="15" s="1"/>
  <c r="P15" i="13"/>
  <c r="P175" i="13"/>
  <c r="P15" i="14" s="1"/>
  <c r="P15" i="15" s="1"/>
  <c r="P123" i="13"/>
  <c r="P283" i="13"/>
  <c r="P123" i="14" s="1"/>
  <c r="P123" i="15" s="1"/>
  <c r="Q123" i="15"/>
  <c r="Q309" i="17"/>
  <c r="Q149" i="18" s="1"/>
  <c r="Q318" i="18" s="1"/>
  <c r="Q149" i="17"/>
  <c r="Q83" i="17"/>
  <c r="Q243" i="17"/>
  <c r="Q83" i="18" s="1"/>
  <c r="Q245" i="18" s="1"/>
  <c r="Q183" i="17"/>
  <c r="Q23" i="17"/>
  <c r="Q91" i="17"/>
  <c r="Q251" i="17"/>
  <c r="Q91" i="18" s="1"/>
  <c r="Q255" i="18" s="1"/>
  <c r="Q35" i="15"/>
  <c r="P19" i="16"/>
  <c r="P19" i="13"/>
  <c r="P179" i="13"/>
  <c r="P19" i="14" s="1"/>
  <c r="O246" i="17"/>
  <c r="O86" i="17"/>
  <c r="P191" i="13"/>
  <c r="P31" i="14" s="1"/>
  <c r="P31" i="15" s="1"/>
  <c r="P31" i="13"/>
  <c r="O121" i="17"/>
  <c r="O281" i="17"/>
  <c r="P265" i="13"/>
  <c r="P105" i="14" s="1"/>
  <c r="P105" i="13"/>
  <c r="P318" i="13"/>
  <c r="P158" i="14" s="1"/>
  <c r="P158" i="15" s="1"/>
  <c r="P158" i="13"/>
  <c r="P119" i="13"/>
  <c r="P279" i="13"/>
  <c r="P119" i="14" s="1"/>
  <c r="P119" i="15" s="1"/>
  <c r="P154" i="13"/>
  <c r="P314" i="13"/>
  <c r="P154" i="14" s="1"/>
  <c r="P154" i="15" s="1"/>
  <c r="Q186" i="12"/>
  <c r="Q26" i="16" s="1"/>
  <c r="Q87" i="16"/>
  <c r="Q87" i="13"/>
  <c r="Q247" i="13"/>
  <c r="Q87" i="14" s="1"/>
  <c r="S99" i="9"/>
  <c r="S105" i="11"/>
  <c r="S265" i="12"/>
  <c r="S34" i="11"/>
  <c r="S194" i="12"/>
  <c r="S149" i="10"/>
  <c r="S309" i="12" s="1"/>
  <c r="S120" i="9"/>
  <c r="S76" i="11"/>
  <c r="S236" i="12"/>
  <c r="S147" i="11"/>
  <c r="S307" i="12"/>
  <c r="S147" i="16" s="1"/>
  <c r="S68" i="10"/>
  <c r="S68" i="11" s="1"/>
  <c r="S43" i="11"/>
  <c r="S203" i="12"/>
  <c r="S19" i="9"/>
  <c r="S19" i="10" s="1"/>
  <c r="S74" i="11"/>
  <c r="S234" i="12"/>
  <c r="S156" i="10"/>
  <c r="S316" i="12" s="1"/>
  <c r="S125" i="9"/>
  <c r="S142" i="9"/>
  <c r="S142" i="10" s="1"/>
  <c r="S79" i="11"/>
  <c r="S239" i="12"/>
  <c r="S79" i="16" s="1"/>
  <c r="S131" i="10"/>
  <c r="S131" i="11" s="1"/>
  <c r="S70" i="11"/>
  <c r="S230" i="12"/>
  <c r="S12" i="11"/>
  <c r="S172" i="12"/>
  <c r="S12" i="16" s="1"/>
  <c r="S89" i="9"/>
  <c r="S20" i="11"/>
  <c r="S180" i="12"/>
  <c r="S82" i="11"/>
  <c r="S242" i="12"/>
  <c r="S148" i="9"/>
  <c r="S134" i="11"/>
  <c r="S294" i="12"/>
  <c r="S134" i="16" s="1"/>
  <c r="S116" i="9"/>
  <c r="S116" i="10" s="1"/>
  <c r="S86" i="10"/>
  <c r="S86" i="11" s="1"/>
  <c r="S158" i="11"/>
  <c r="S318" i="12"/>
  <c r="S73" i="10"/>
  <c r="S233" i="12" s="1"/>
  <c r="R308" i="12"/>
  <c r="R148" i="16" s="1"/>
  <c r="R92" i="11"/>
  <c r="R252" i="12"/>
  <c r="R14" i="16"/>
  <c r="R174" i="13"/>
  <c r="R14" i="14" s="1"/>
  <c r="R14" i="13"/>
  <c r="R70" i="11"/>
  <c r="R230" i="12"/>
  <c r="R249" i="12"/>
  <c r="R89" i="16" s="1"/>
  <c r="R118" i="13"/>
  <c r="R278" i="13"/>
  <c r="R118" i="14" s="1"/>
  <c r="R68" i="11"/>
  <c r="R146" i="11"/>
  <c r="Q114" i="17"/>
  <c r="Q274" i="17"/>
  <c r="Q281" i="12"/>
  <c r="P41" i="16"/>
  <c r="P201" i="13"/>
  <c r="P41" i="14" s="1"/>
  <c r="P41" i="13"/>
  <c r="Q93" i="13"/>
  <c r="Q253" i="13"/>
  <c r="Q93" i="14" s="1"/>
  <c r="Q93" i="15" s="1"/>
  <c r="Q97" i="15"/>
  <c r="Q180" i="17"/>
  <c r="Q20" i="18" s="1"/>
  <c r="Q180" i="18" s="1"/>
  <c r="Q20" i="17"/>
  <c r="P94" i="16"/>
  <c r="P94" i="13"/>
  <c r="P254" i="13"/>
  <c r="P94" i="14" s="1"/>
  <c r="P34" i="16"/>
  <c r="P106" i="16"/>
  <c r="P266" i="13"/>
  <c r="P106" i="14" s="1"/>
  <c r="P106" i="13"/>
  <c r="Q236" i="12"/>
  <c r="Q76" i="16" s="1"/>
  <c r="P67" i="16"/>
  <c r="P227" i="13"/>
  <c r="P67" i="14" s="1"/>
  <c r="P67" i="13"/>
  <c r="Z110" i="17"/>
  <c r="Z270" i="17"/>
  <c r="Z110" i="18" s="1"/>
  <c r="P152" i="13"/>
  <c r="P312" i="13"/>
  <c r="P152" i="14" s="1"/>
  <c r="P152" i="15" s="1"/>
  <c r="P242" i="13"/>
  <c r="P82" i="14" s="1"/>
  <c r="P82" i="15" s="1"/>
  <c r="P82" i="13"/>
  <c r="Q12" i="17"/>
  <c r="Q172" i="17"/>
  <c r="Q12" i="18" s="1"/>
  <c r="Q172" i="18" s="1"/>
  <c r="R94" i="11"/>
  <c r="R285" i="12"/>
  <c r="R125" i="16" s="1"/>
  <c r="R97" i="11"/>
  <c r="R257" i="12"/>
  <c r="R302" i="12"/>
  <c r="R142" i="16" s="1"/>
  <c r="R111" i="16"/>
  <c r="R271" i="13"/>
  <c r="R111" i="14" s="1"/>
  <c r="R111" i="13"/>
  <c r="R147" i="11"/>
  <c r="R307" i="12"/>
  <c r="R44" i="10"/>
  <c r="R44" i="11" s="1"/>
  <c r="R253" i="12"/>
  <c r="R93" i="16" s="1"/>
  <c r="R259" i="13"/>
  <c r="R99" i="14" s="1"/>
  <c r="R99" i="15" s="1"/>
  <c r="R99" i="13"/>
  <c r="P70" i="16"/>
  <c r="Q41" i="11"/>
  <c r="Q284" i="17"/>
  <c r="Q124" i="18" s="1"/>
  <c r="Q291" i="18" s="1"/>
  <c r="Q124" i="17"/>
  <c r="AF12" i="39"/>
  <c r="AF119" i="1"/>
  <c r="Z102" i="15"/>
  <c r="N318" i="18"/>
  <c r="O14" i="18"/>
  <c r="P90" i="16"/>
  <c r="P250" i="13"/>
  <c r="P90" i="14" s="1"/>
  <c r="P90" i="13"/>
  <c r="Q34" i="15"/>
  <c r="Q74" i="15"/>
  <c r="Q220" i="13"/>
  <c r="Q60" i="14" s="1"/>
  <c r="Q60" i="15" s="1"/>
  <c r="Q60" i="13"/>
  <c r="P83" i="17"/>
  <c r="P243" i="17"/>
  <c r="P121" i="13"/>
  <c r="P281" i="13"/>
  <c r="P121" i="14" s="1"/>
  <c r="Q63" i="17"/>
  <c r="Q223" i="17"/>
  <c r="Q63" i="18" s="1"/>
  <c r="Q223" i="18" s="1"/>
  <c r="Q179" i="17"/>
  <c r="Q19" i="18" s="1"/>
  <c r="Q179" i="18" s="1"/>
  <c r="Q19" i="17"/>
  <c r="Q205" i="17"/>
  <c r="Q45" i="18" s="1"/>
  <c r="Q205" i="18" s="1"/>
  <c r="Q45" i="17"/>
  <c r="Q29" i="17"/>
  <c r="Q189" i="17"/>
  <c r="Q29" i="18" s="1"/>
  <c r="Q189" i="18" s="1"/>
  <c r="Q252" i="17"/>
  <c r="Q92" i="18" s="1"/>
  <c r="Q256" i="18" s="1"/>
  <c r="Q92" i="17"/>
  <c r="P50" i="13"/>
  <c r="P210" i="13"/>
  <c r="P50" i="14" s="1"/>
  <c r="P50" i="15" s="1"/>
  <c r="Q130" i="15"/>
  <c r="Q8" i="16"/>
  <c r="Q8" i="13"/>
  <c r="Q168" i="13"/>
  <c r="Q8" i="14" s="1"/>
  <c r="Q215" i="13"/>
  <c r="Q55" i="14" s="1"/>
  <c r="Q55" i="13"/>
  <c r="R116" i="11"/>
  <c r="R158" i="16"/>
  <c r="R318" i="13"/>
  <c r="R158" i="14" s="1"/>
  <c r="R158" i="13"/>
  <c r="R53" i="16"/>
  <c r="R53" i="13"/>
  <c r="R213" i="13"/>
  <c r="R53" i="14" s="1"/>
  <c r="R80" i="11"/>
  <c r="R139" i="11"/>
  <c r="O179" i="18"/>
  <c r="O35" i="15"/>
  <c r="Q129" i="15"/>
  <c r="Q129" i="18"/>
  <c r="Q296" i="18" s="1"/>
  <c r="Q276" i="13"/>
  <c r="Q116" i="14" s="1"/>
  <c r="Q116" i="15" s="1"/>
  <c r="Q116" i="13"/>
  <c r="P142" i="16"/>
  <c r="P142" i="13"/>
  <c r="P302" i="13"/>
  <c r="P142" i="14" s="1"/>
  <c r="P261" i="17"/>
  <c r="P101" i="17"/>
  <c r="P114" i="16"/>
  <c r="P274" i="13"/>
  <c r="P114" i="14" s="1"/>
  <c r="P114" i="13"/>
  <c r="P205" i="17"/>
  <c r="P45" i="18" s="1"/>
  <c r="P45" i="17"/>
  <c r="O20" i="18"/>
  <c r="O20" i="15"/>
  <c r="P220" i="17"/>
  <c r="P60" i="17"/>
  <c r="Z100" i="15"/>
  <c r="Q9" i="13"/>
  <c r="Q169" i="13"/>
  <c r="Q9" i="14" s="1"/>
  <c r="Q9" i="15" s="1"/>
  <c r="Q302" i="13"/>
  <c r="Q142" i="14" s="1"/>
  <c r="Q142" i="13"/>
  <c r="Q148" i="17"/>
  <c r="Q308" i="17"/>
  <c r="P278" i="13"/>
  <c r="P118" i="14" s="1"/>
  <c r="P118" i="15" s="1"/>
  <c r="P118" i="13"/>
  <c r="P10" i="16"/>
  <c r="P170" i="13"/>
  <c r="P10" i="14" s="1"/>
  <c r="P10" i="13"/>
  <c r="Z84" i="17"/>
  <c r="Z244" i="17"/>
  <c r="Z84" i="18" s="1"/>
  <c r="Q316" i="17"/>
  <c r="Q156" i="18" s="1"/>
  <c r="Q327" i="18" s="1"/>
  <c r="Q156" i="17"/>
  <c r="Q98" i="15"/>
  <c r="R16" i="11"/>
  <c r="R310" i="13"/>
  <c r="R150" i="14" s="1"/>
  <c r="R150" i="15" s="1"/>
  <c r="R150" i="13"/>
  <c r="R67" i="11"/>
  <c r="R69" i="16"/>
  <c r="R69" i="13"/>
  <c r="R229" i="13"/>
  <c r="R69" i="14" s="1"/>
  <c r="R129" i="11"/>
  <c r="R289" i="12"/>
  <c r="P18" i="16"/>
  <c r="P18" i="13"/>
  <c r="P178" i="13"/>
  <c r="P18" i="14" s="1"/>
  <c r="P26" i="16"/>
  <c r="P186" i="13"/>
  <c r="P26" i="14" s="1"/>
  <c r="P26" i="13"/>
  <c r="O296" i="18"/>
  <c r="P107" i="13"/>
  <c r="P267" i="13"/>
  <c r="P107" i="14" s="1"/>
  <c r="P107" i="15" s="1"/>
  <c r="Q207" i="13"/>
  <c r="Q47" i="14" s="1"/>
  <c r="Q47" i="15" s="1"/>
  <c r="Q47" i="13"/>
  <c r="Q31" i="17"/>
  <c r="Q191" i="17"/>
  <c r="P212" i="17"/>
  <c r="P52" i="17"/>
  <c r="P317" i="17"/>
  <c r="P157" i="17"/>
  <c r="P125" i="17"/>
  <c r="P285" i="17"/>
  <c r="P125" i="18" s="1"/>
  <c r="P63" i="13"/>
  <c r="P223" i="13"/>
  <c r="P63" i="14" s="1"/>
  <c r="Z137" i="15"/>
  <c r="Z137" i="18"/>
  <c r="Z304" i="18" s="1"/>
  <c r="P165" i="17"/>
  <c r="P5" i="18" s="1"/>
  <c r="P165" i="18" s="1"/>
  <c r="P5" i="17"/>
  <c r="P228" i="17"/>
  <c r="P68" i="18" s="1"/>
  <c r="P68" i="17"/>
  <c r="P283" i="17"/>
  <c r="P123" i="18" s="1"/>
  <c r="P123" i="17"/>
  <c r="P204" i="13"/>
  <c r="P44" i="14" s="1"/>
  <c r="P44" i="15" s="1"/>
  <c r="P44" i="13"/>
  <c r="Q283" i="17"/>
  <c r="Q123" i="18" s="1"/>
  <c r="Q290" i="18" s="1"/>
  <c r="Q123" i="17"/>
  <c r="Q170" i="17"/>
  <c r="Q10" i="18" s="1"/>
  <c r="Q170" i="18" s="1"/>
  <c r="Q10" i="17"/>
  <c r="P308" i="17"/>
  <c r="P148" i="18" s="1"/>
  <c r="P148" i="17"/>
  <c r="P69" i="16"/>
  <c r="P69" i="13"/>
  <c r="P229" i="13"/>
  <c r="P69" i="14" s="1"/>
  <c r="P294" i="17"/>
  <c r="P134" i="17"/>
  <c r="P169" i="13"/>
  <c r="P9" i="14" s="1"/>
  <c r="P9" i="15" s="1"/>
  <c r="P9" i="13"/>
  <c r="Q103" i="15"/>
  <c r="Q7" i="15"/>
  <c r="Q90" i="15"/>
  <c r="Q158" i="15"/>
  <c r="P249" i="13"/>
  <c r="P89" i="14" s="1"/>
  <c r="P89" i="15" s="1"/>
  <c r="P89" i="13"/>
  <c r="N319" i="18"/>
  <c r="Q314" i="13"/>
  <c r="Q154" i="14" s="1"/>
  <c r="Q154" i="15" s="1"/>
  <c r="Q154" i="13"/>
  <c r="Q120" i="15"/>
  <c r="S129" i="11"/>
  <c r="S289" i="12"/>
  <c r="S15" i="10"/>
  <c r="S15" i="11" s="1"/>
  <c r="S157" i="11"/>
  <c r="S317" i="12"/>
  <c r="S63" i="10"/>
  <c r="S63" i="11" s="1"/>
  <c r="S50" i="10"/>
  <c r="S50" i="11" s="1"/>
  <c r="S111" i="10"/>
  <c r="S111" i="11" s="1"/>
  <c r="S109" i="11"/>
  <c r="S269" i="12"/>
  <c r="S10" i="10"/>
  <c r="S10" i="11" s="1"/>
  <c r="S93" i="9"/>
  <c r="S93" i="10" s="1"/>
  <c r="S26" i="11"/>
  <c r="S186" i="12"/>
  <c r="S114" i="11"/>
  <c r="S274" i="12"/>
  <c r="S47" i="9"/>
  <c r="S47" i="10" s="1"/>
  <c r="S107" i="10"/>
  <c r="S107" i="11" s="1"/>
  <c r="S80" i="11"/>
  <c r="S240" i="12"/>
  <c r="S7" i="11"/>
  <c r="S167" i="12"/>
  <c r="S48" i="9"/>
  <c r="S152" i="10"/>
  <c r="S152" i="11" s="1"/>
  <c r="S115" i="10"/>
  <c r="S115" i="11" s="1"/>
  <c r="S136" i="10"/>
  <c r="S136" i="11" s="1"/>
  <c r="S87" i="11"/>
  <c r="S247" i="12"/>
  <c r="S29" i="10"/>
  <c r="S29" i="11"/>
  <c r="S155" i="10"/>
  <c r="S155" i="11" s="1"/>
  <c r="S101" i="10"/>
  <c r="S101" i="11" s="1"/>
  <c r="S145" i="11"/>
  <c r="S305" i="12"/>
  <c r="S145" i="16" s="1"/>
  <c r="S62" i="10"/>
  <c r="S222" i="12" s="1"/>
  <c r="S55" i="10"/>
  <c r="S55" i="11" s="1"/>
  <c r="V4" i="6"/>
  <c r="U98" i="6"/>
  <c r="T98" i="9" s="1"/>
  <c r="T98" i="10" s="1"/>
  <c r="U116" i="6"/>
  <c r="T116" i="9" s="1"/>
  <c r="U60" i="6"/>
  <c r="U87" i="6"/>
  <c r="T87" i="9" s="1"/>
  <c r="T87" i="10" s="1"/>
  <c r="U55" i="6"/>
  <c r="T55" i="9" s="1"/>
  <c r="U134" i="6"/>
  <c r="U22" i="6"/>
  <c r="U90" i="6"/>
  <c r="U73" i="6"/>
  <c r="T73" i="9" s="1"/>
  <c r="U82" i="6"/>
  <c r="U35" i="6"/>
  <c r="T35" i="9" s="1"/>
  <c r="T35" i="10" s="1"/>
  <c r="U106" i="6"/>
  <c r="U158" i="6"/>
  <c r="T158" i="9" s="1"/>
  <c r="T158" i="10" s="1"/>
  <c r="U62" i="6"/>
  <c r="U29" i="6"/>
  <c r="U42" i="6"/>
  <c r="U57" i="6"/>
  <c r="T57" i="9" s="1"/>
  <c r="T57" i="10" s="1"/>
  <c r="U86" i="6"/>
  <c r="T86" i="9" s="1"/>
  <c r="T86" i="10" s="1"/>
  <c r="U101" i="6"/>
  <c r="U148" i="6"/>
  <c r="T148" i="9" s="1"/>
  <c r="U20" i="6"/>
  <c r="U92" i="6"/>
  <c r="T92" i="9" s="1"/>
  <c r="T92" i="10" s="1"/>
  <c r="U117" i="6"/>
  <c r="T117" i="9" s="1"/>
  <c r="T117" i="10" s="1"/>
  <c r="U8" i="6"/>
  <c r="T8" i="9" s="1"/>
  <c r="T8" i="10" s="1"/>
  <c r="U94" i="6"/>
  <c r="T94" i="9" s="1"/>
  <c r="U145" i="6"/>
  <c r="T145" i="9" s="1"/>
  <c r="T145" i="10" s="1"/>
  <c r="U155" i="6"/>
  <c r="T155" i="9" s="1"/>
  <c r="T155" i="10" s="1"/>
  <c r="U14" i="6"/>
  <c r="U18" i="6"/>
  <c r="T18" i="9" s="1"/>
  <c r="T18" i="10" s="1"/>
  <c r="U121" i="6"/>
  <c r="T121" i="9" s="1"/>
  <c r="T121" i="10" s="1"/>
  <c r="U150" i="6"/>
  <c r="T150" i="9" s="1"/>
  <c r="T150" i="10" s="1"/>
  <c r="U16" i="6"/>
  <c r="T16" i="9" s="1"/>
  <c r="T16" i="10" s="1"/>
  <c r="U30" i="6"/>
  <c r="T30" i="9" s="1"/>
  <c r="T30" i="10" s="1"/>
  <c r="U118" i="6"/>
  <c r="U31" i="6"/>
  <c r="T31" i="9" s="1"/>
  <c r="U131" i="6"/>
  <c r="T131" i="9" s="1"/>
  <c r="T131" i="10" s="1"/>
  <c r="U48" i="6"/>
  <c r="T48" i="9" s="1"/>
  <c r="T48" i="10" s="1"/>
  <c r="U5" i="6"/>
  <c r="U80" i="6"/>
  <c r="U89" i="6"/>
  <c r="T89" i="9" s="1"/>
  <c r="U136" i="6"/>
  <c r="T136" i="9" s="1"/>
  <c r="T136" i="10" s="1"/>
  <c r="U97" i="6"/>
  <c r="T97" i="9" s="1"/>
  <c r="T97" i="10" s="1"/>
  <c r="U12" i="6"/>
  <c r="U115" i="6"/>
  <c r="U13" i="6"/>
  <c r="T13" i="9" s="1"/>
  <c r="T13" i="10" s="1"/>
  <c r="U152" i="6"/>
  <c r="U70" i="6"/>
  <c r="T70" i="9" s="1"/>
  <c r="T70" i="10" s="1"/>
  <c r="U91" i="6"/>
  <c r="T91" i="9" s="1"/>
  <c r="T91" i="10" s="1"/>
  <c r="U23" i="6"/>
  <c r="U53" i="6"/>
  <c r="T53" i="9" s="1"/>
  <c r="U65" i="6"/>
  <c r="T65" i="9" s="1"/>
  <c r="U125" i="6"/>
  <c r="T125" i="9" s="1"/>
  <c r="U122" i="6"/>
  <c r="T122" i="9" s="1"/>
  <c r="T122" i="10" s="1"/>
  <c r="U138" i="6"/>
  <c r="T138" i="9" s="1"/>
  <c r="U156" i="6"/>
  <c r="U124" i="6"/>
  <c r="U67" i="6"/>
  <c r="U107" i="6"/>
  <c r="U7" i="6"/>
  <c r="T7" i="9" s="1"/>
  <c r="U52" i="6"/>
  <c r="T52" i="9" s="1"/>
  <c r="T52" i="10" s="1"/>
  <c r="U146" i="6"/>
  <c r="T146" i="9" s="1"/>
  <c r="U74" i="6"/>
  <c r="T74" i="9" s="1"/>
  <c r="T74" i="10" s="1"/>
  <c r="U130" i="6"/>
  <c r="T130" i="9" s="1"/>
  <c r="T130" i="10" s="1"/>
  <c r="U119" i="6"/>
  <c r="T119" i="9" s="1"/>
  <c r="U10" i="6"/>
  <c r="U81" i="6"/>
  <c r="U41" i="6"/>
  <c r="T41" i="9" s="1"/>
  <c r="T41" i="10" s="1"/>
  <c r="U44" i="6"/>
  <c r="T44" i="9" s="1"/>
  <c r="T44" i="10" s="1"/>
  <c r="U49" i="6"/>
  <c r="U9" i="6"/>
  <c r="U142" i="6"/>
  <c r="T142" i="9" s="1"/>
  <c r="T142" i="10" s="1"/>
  <c r="U95" i="6"/>
  <c r="U93" i="6"/>
  <c r="T93" i="9" s="1"/>
  <c r="U127" i="6"/>
  <c r="U109" i="6"/>
  <c r="T109" i="9" s="1"/>
  <c r="T109" i="10" s="1"/>
  <c r="U19" i="6"/>
  <c r="T19" i="9" s="1"/>
  <c r="T19" i="10" s="1"/>
  <c r="U147" i="6"/>
  <c r="T147" i="9" s="1"/>
  <c r="T147" i="10" s="1"/>
  <c r="U108" i="6"/>
  <c r="T108" i="9" s="1"/>
  <c r="T108" i="10" s="1"/>
  <c r="U111" i="6"/>
  <c r="T111" i="9" s="1"/>
  <c r="T111" i="10" s="1"/>
  <c r="U79" i="6"/>
  <c r="U68" i="6"/>
  <c r="U69" i="6"/>
  <c r="T69" i="9" s="1"/>
  <c r="T69" i="10" s="1"/>
  <c r="U26" i="6"/>
  <c r="T26" i="9" s="1"/>
  <c r="T26" i="10" s="1"/>
  <c r="U83" i="6"/>
  <c r="U120" i="6"/>
  <c r="T120" i="9" s="1"/>
  <c r="T120" i="10" s="1"/>
  <c r="U43" i="6"/>
  <c r="T43" i="9" s="1"/>
  <c r="T43" i="10" s="1"/>
  <c r="U114" i="6"/>
  <c r="T114" i="9" s="1"/>
  <c r="T114" i="10" s="1"/>
  <c r="U45" i="6"/>
  <c r="U50" i="6"/>
  <c r="U39" i="6"/>
  <c r="T39" i="9" s="1"/>
  <c r="U47" i="6"/>
  <c r="T47" i="9" s="1"/>
  <c r="T47" i="10" s="1"/>
  <c r="U123" i="6"/>
  <c r="U15" i="6"/>
  <c r="T15" i="9" s="1"/>
  <c r="U54" i="6"/>
  <c r="T54" i="9" s="1"/>
  <c r="U103" i="6"/>
  <c r="T103" i="9" s="1"/>
  <c r="T103" i="10" s="1"/>
  <c r="U76" i="6"/>
  <c r="U63" i="6"/>
  <c r="T63" i="9" s="1"/>
  <c r="U34" i="6"/>
  <c r="T34" i="9" s="1"/>
  <c r="T34" i="10" s="1"/>
  <c r="U99" i="6"/>
  <c r="T99" i="9" s="1"/>
  <c r="T99" i="10" s="1"/>
  <c r="U154" i="6"/>
  <c r="U149" i="6"/>
  <c r="U129" i="6"/>
  <c r="U141" i="6"/>
  <c r="T141" i="9" s="1"/>
  <c r="U105" i="6"/>
  <c r="T105" i="9" s="1"/>
  <c r="U139" i="6"/>
  <c r="T139" i="9" s="1"/>
  <c r="T139" i="10" s="1"/>
  <c r="U157" i="6"/>
  <c r="R114" i="11"/>
  <c r="R274" i="12"/>
  <c r="R114" i="16" s="1"/>
  <c r="R68" i="16"/>
  <c r="R228" i="13"/>
  <c r="R68" i="13"/>
  <c r="R74" i="11"/>
  <c r="R234" i="12"/>
  <c r="R119" i="11"/>
  <c r="R279" i="12"/>
  <c r="R103" i="10"/>
  <c r="R103" i="11" s="1"/>
  <c r="R146" i="16"/>
  <c r="R306" i="13"/>
  <c r="R146" i="13"/>
  <c r="P80" i="16"/>
  <c r="P240" i="13"/>
  <c r="P80" i="14" s="1"/>
  <c r="P80" i="13"/>
  <c r="AA151" i="18"/>
  <c r="P309" i="17"/>
  <c r="P149" i="18" s="1"/>
  <c r="P318" i="18" s="1"/>
  <c r="P149" i="17"/>
  <c r="O208" i="18"/>
  <c r="Q119" i="15"/>
  <c r="Q266" i="17"/>
  <c r="Q106" i="17"/>
  <c r="P263" i="13"/>
  <c r="P103" i="14" s="1"/>
  <c r="P103" i="13"/>
  <c r="P277" i="17"/>
  <c r="P117" i="17"/>
  <c r="N172" i="18"/>
  <c r="O16" i="15"/>
  <c r="Q257" i="17"/>
  <c r="Q97" i="18" s="1"/>
  <c r="Q261" i="18" s="1"/>
  <c r="Q97" i="17"/>
  <c r="P280" i="13"/>
  <c r="P120" i="14" s="1"/>
  <c r="P120" i="15" s="1"/>
  <c r="P120" i="13"/>
  <c r="P53" i="16"/>
  <c r="P213" i="13"/>
  <c r="P53" i="14" s="1"/>
  <c r="P53" i="13"/>
  <c r="Z66" i="18"/>
  <c r="Q81" i="16"/>
  <c r="Q81" i="13"/>
  <c r="Q241" i="13"/>
  <c r="Q81" i="14" s="1"/>
  <c r="Q291" i="17"/>
  <c r="Q131" i="17"/>
  <c r="Q52" i="17"/>
  <c r="Q212" i="17"/>
  <c r="Q52" i="18" s="1"/>
  <c r="Q212" i="18" s="1"/>
  <c r="Q174" i="12"/>
  <c r="Q14" i="16" s="1"/>
  <c r="P111" i="13"/>
  <c r="P271" i="13"/>
  <c r="P111" i="14" s="1"/>
  <c r="P111" i="15" s="1"/>
  <c r="Q173" i="13"/>
  <c r="Q13" i="14" s="1"/>
  <c r="Q13" i="15" s="1"/>
  <c r="Q13" i="13"/>
  <c r="Q117" i="15"/>
  <c r="Q117" i="18"/>
  <c r="Q284" i="18" s="1"/>
  <c r="R94" i="16"/>
  <c r="R94" i="13"/>
  <c r="R254" i="13"/>
  <c r="R15" i="11"/>
  <c r="R175" i="12"/>
  <c r="Z245" i="13"/>
  <c r="Z85" i="14" s="1"/>
  <c r="Z85" i="15" s="1"/>
  <c r="Z85" i="13"/>
  <c r="P141" i="17"/>
  <c r="P301" i="17"/>
  <c r="P307" i="13"/>
  <c r="P147" i="14" s="1"/>
  <c r="P147" i="15" s="1"/>
  <c r="P147" i="13"/>
  <c r="Q41" i="16"/>
  <c r="Q201" i="13"/>
  <c r="Q41" i="13"/>
  <c r="Q30" i="13"/>
  <c r="Q190" i="13"/>
  <c r="Q30" i="14" s="1"/>
  <c r="Q30" i="15" s="1"/>
  <c r="Q53" i="18"/>
  <c r="Q213" i="18" s="1"/>
  <c r="Q22" i="15"/>
  <c r="Q315" i="17"/>
  <c r="Q155" i="18" s="1"/>
  <c r="Q326" i="18" s="1"/>
  <c r="Q155" i="17"/>
  <c r="P208" i="13"/>
  <c r="P48" i="14" s="1"/>
  <c r="P48" i="15" s="1"/>
  <c r="P48" i="13"/>
  <c r="P99" i="16"/>
  <c r="P99" i="13"/>
  <c r="P259" i="13"/>
  <c r="P99" i="14" s="1"/>
  <c r="Z262" i="17"/>
  <c r="Z102" i="18" s="1"/>
  <c r="Z102" i="17"/>
  <c r="O73" i="15"/>
  <c r="N253" i="18"/>
  <c r="Q105" i="18"/>
  <c r="Q271" i="18" s="1"/>
  <c r="Q134" i="18"/>
  <c r="Q301" i="18" s="1"/>
  <c r="P305" i="17"/>
  <c r="P145" i="18" s="1"/>
  <c r="P145" i="17"/>
  <c r="P296" i="17"/>
  <c r="P136" i="18" s="1"/>
  <c r="P136" i="17"/>
  <c r="Q194" i="17"/>
  <c r="Q34" i="18" s="1"/>
  <c r="Q194" i="18" s="1"/>
  <c r="Q34" i="17"/>
  <c r="Q136" i="18"/>
  <c r="Q303" i="18" s="1"/>
  <c r="Q136" i="15"/>
  <c r="Q203" i="17"/>
  <c r="Q43" i="18" s="1"/>
  <c r="Q203" i="18" s="1"/>
  <c r="Q43" i="17"/>
  <c r="P108" i="16"/>
  <c r="P108" i="13"/>
  <c r="P268" i="13"/>
  <c r="P108" i="14" s="1"/>
  <c r="Z140" i="15"/>
  <c r="Z140" i="18"/>
  <c r="Q62" i="18"/>
  <c r="Q222" i="18" s="1"/>
  <c r="Q62" i="15"/>
  <c r="P54" i="16"/>
  <c r="P214" i="13"/>
  <c r="P54" i="14" s="1"/>
  <c r="P54" i="13"/>
  <c r="P210" i="17"/>
  <c r="P50" i="17"/>
  <c r="Q68" i="16"/>
  <c r="Q68" i="13"/>
  <c r="Q228" i="13"/>
  <c r="Q68" i="14" s="1"/>
  <c r="Q269" i="17"/>
  <c r="Q109" i="17"/>
  <c r="Q101" i="14"/>
  <c r="R217" i="17"/>
  <c r="R57" i="18" s="1"/>
  <c r="R217" i="18" s="1"/>
  <c r="R57" i="17"/>
  <c r="R116" i="16"/>
  <c r="R276" i="13"/>
  <c r="R116" i="13"/>
  <c r="R82" i="10"/>
  <c r="R82" i="11" s="1"/>
  <c r="R220" i="12"/>
  <c r="R60" i="16" s="1"/>
  <c r="R282" i="12"/>
  <c r="R122" i="16" s="1"/>
  <c r="R80" i="16"/>
  <c r="R80" i="13"/>
  <c r="R240" i="13"/>
  <c r="R50" i="11"/>
  <c r="R210" i="12"/>
  <c r="R50" i="16" s="1"/>
  <c r="R268" i="12"/>
  <c r="R108" i="16" s="1"/>
  <c r="R45" i="10"/>
  <c r="R45" i="11" s="1"/>
  <c r="R23" i="11"/>
  <c r="R183" i="12"/>
  <c r="R9" i="11"/>
  <c r="R169" i="12"/>
  <c r="R299" i="12"/>
  <c r="R139" i="16" s="1"/>
  <c r="P55" i="16"/>
  <c r="P215" i="13"/>
  <c r="P55" i="14" s="1"/>
  <c r="P55" i="13"/>
  <c r="P138" i="16"/>
  <c r="P298" i="13"/>
  <c r="P138" i="14" s="1"/>
  <c r="P138" i="13"/>
  <c r="O195" i="17"/>
  <c r="O35" i="18" s="1"/>
  <c r="O35" i="17"/>
  <c r="P76" i="13"/>
  <c r="P236" i="13"/>
  <c r="P76" i="14" s="1"/>
  <c r="P76" i="15" s="1"/>
  <c r="O42" i="15"/>
  <c r="O42" i="18"/>
  <c r="P291" i="17"/>
  <c r="P131" i="18" s="1"/>
  <c r="P298" i="18" s="1"/>
  <c r="P131" i="17"/>
  <c r="Q287" i="17"/>
  <c r="Q127" i="18" s="1"/>
  <c r="Q294" i="18" s="1"/>
  <c r="Q127" i="17"/>
  <c r="Q217" i="12"/>
  <c r="Q57" i="16" s="1"/>
  <c r="P30" i="16"/>
  <c r="P190" i="13"/>
  <c r="P30" i="14" s="1"/>
  <c r="P30" i="13"/>
  <c r="Q79" i="18"/>
  <c r="Q241" i="18" s="1"/>
  <c r="Q79" i="15"/>
  <c r="Q107" i="15"/>
  <c r="Q202" i="12"/>
  <c r="Q94" i="15"/>
  <c r="Q94" i="18"/>
  <c r="Q258" i="18" s="1"/>
  <c r="P310" i="17"/>
  <c r="P150" i="17"/>
  <c r="P222" i="13"/>
  <c r="P62" i="14" s="1"/>
  <c r="P62" i="15" s="1"/>
  <c r="P62" i="13"/>
  <c r="N214" i="18"/>
  <c r="P60" i="13"/>
  <c r="P220" i="13"/>
  <c r="P60" i="14" s="1"/>
  <c r="P60" i="15" s="1"/>
  <c r="P16" i="16"/>
  <c r="P16" i="13"/>
  <c r="P176" i="13"/>
  <c r="P16" i="14" s="1"/>
  <c r="P97" i="13"/>
  <c r="P257" i="13"/>
  <c r="P97" i="14" s="1"/>
  <c r="P97" i="15" s="1"/>
  <c r="Z100" i="17"/>
  <c r="Z260" i="17"/>
  <c r="Z100" i="18" s="1"/>
  <c r="Z153" i="15"/>
  <c r="Z153" i="18"/>
  <c r="Z323" i="18" s="1"/>
  <c r="Q111" i="16"/>
  <c r="Q271" i="13"/>
  <c r="Q111" i="14" s="1"/>
  <c r="Q111" i="13"/>
  <c r="Q210" i="17"/>
  <c r="Q50" i="18" s="1"/>
  <c r="Q210" i="18" s="1"/>
  <c r="Q50" i="17"/>
  <c r="Q145" i="13"/>
  <c r="Q305" i="13"/>
  <c r="Q145" i="14" s="1"/>
  <c r="Q145" i="15" s="1"/>
  <c r="P39" i="16"/>
  <c r="P39" i="13"/>
  <c r="P199" i="13"/>
  <c r="P39" i="14" s="1"/>
  <c r="Q258" i="17"/>
  <c r="Q98" i="18" s="1"/>
  <c r="Q262" i="18" s="1"/>
  <c r="Q98" i="17"/>
  <c r="R261" i="12"/>
  <c r="R101" i="16" s="1"/>
  <c r="R62" i="10"/>
  <c r="R62" i="11" s="1"/>
  <c r="R29" i="10"/>
  <c r="R29" i="11" s="1"/>
  <c r="R16" i="16"/>
  <c r="R16" i="13"/>
  <c r="R176" i="13"/>
  <c r="R16" i="14" s="1"/>
  <c r="R30" i="13"/>
  <c r="R190" i="13"/>
  <c r="R30" i="14" s="1"/>
  <c r="R30" i="15" s="1"/>
  <c r="R152" i="10"/>
  <c r="R152" i="11" s="1"/>
  <c r="R67" i="16"/>
  <c r="R227" i="13"/>
  <c r="R67" i="14" s="1"/>
  <c r="R67" i="13"/>
  <c r="R120" i="16"/>
  <c r="R280" i="13"/>
  <c r="R120" i="14" s="1"/>
  <c r="R120" i="13"/>
  <c r="R123" i="10"/>
  <c r="R123" i="11" s="1"/>
  <c r="R83" i="10"/>
  <c r="R83" i="11" s="1"/>
  <c r="P79" i="13"/>
  <c r="P239" i="13"/>
  <c r="P79" i="14" s="1"/>
  <c r="P79" i="15" s="1"/>
  <c r="N327" i="18"/>
  <c r="P129" i="15"/>
  <c r="P129" i="17"/>
  <c r="P289" i="17"/>
  <c r="P129" i="18" s="1"/>
  <c r="P296" i="18" s="1"/>
  <c r="N297" i="18"/>
  <c r="Q191" i="13"/>
  <c r="Q31" i="14" s="1"/>
  <c r="Q31" i="15" s="1"/>
  <c r="Q31" i="13"/>
  <c r="P233" i="13"/>
  <c r="P73" i="14" s="1"/>
  <c r="P73" i="15" s="1"/>
  <c r="P73" i="13"/>
  <c r="P212" i="13"/>
  <c r="P52" i="14" s="1"/>
  <c r="P52" i="15" s="1"/>
  <c r="P52" i="13"/>
  <c r="O203" i="18"/>
  <c r="P124" i="17"/>
  <c r="P284" i="17"/>
  <c r="P124" i="18" s="1"/>
  <c r="P291" i="18" s="1"/>
  <c r="P47" i="17"/>
  <c r="P207" i="17"/>
  <c r="P47" i="18" s="1"/>
  <c r="P207" i="18" s="1"/>
  <c r="P63" i="16"/>
  <c r="P174" i="13"/>
  <c r="P14" i="14" s="1"/>
  <c r="P14" i="15" s="1"/>
  <c r="P14" i="13"/>
  <c r="P189" i="13"/>
  <c r="P29" i="14" s="1"/>
  <c r="P29" i="15" s="1"/>
  <c r="P29" i="13"/>
  <c r="P175" i="17"/>
  <c r="P15" i="18" s="1"/>
  <c r="P15" i="17"/>
  <c r="Q199" i="12"/>
  <c r="Q39" i="16" s="1"/>
  <c r="Q23" i="15"/>
  <c r="Q23" i="18"/>
  <c r="Q183" i="18" s="1"/>
  <c r="Q195" i="17"/>
  <c r="Q35" i="18" s="1"/>
  <c r="Q195" i="18" s="1"/>
  <c r="Q35" i="17"/>
  <c r="P253" i="17"/>
  <c r="P93" i="18" s="1"/>
  <c r="P257" i="18" s="1"/>
  <c r="P93" i="17"/>
  <c r="P86" i="16"/>
  <c r="P86" i="13"/>
  <c r="P246" i="13"/>
  <c r="P86" i="14" s="1"/>
  <c r="P43" i="16"/>
  <c r="P203" i="13"/>
  <c r="P43" i="14" s="1"/>
  <c r="P43" i="13"/>
  <c r="P134" i="13"/>
  <c r="P294" i="13"/>
  <c r="P134" i="14" s="1"/>
  <c r="P134" i="15" s="1"/>
  <c r="P139" i="17"/>
  <c r="P299" i="17"/>
  <c r="P139" i="18" s="1"/>
  <c r="P307" i="18" s="1"/>
  <c r="O86" i="18"/>
  <c r="O86" i="15"/>
  <c r="Q103" i="17"/>
  <c r="Q263" i="17"/>
  <c r="Q103" i="18" s="1"/>
  <c r="Q269" i="18" s="1"/>
  <c r="Q150" i="15"/>
  <c r="Q167" i="17"/>
  <c r="Q7" i="18" s="1"/>
  <c r="Q167" i="18" s="1"/>
  <c r="Q7" i="17"/>
  <c r="Q250" i="17"/>
  <c r="Q90" i="18" s="1"/>
  <c r="Q254" i="18" s="1"/>
  <c r="Q90" i="17"/>
  <c r="Q158" i="17"/>
  <c r="Q318" i="17"/>
  <c r="Q158" i="18" s="1"/>
  <c r="Q329" i="18" s="1"/>
  <c r="O121" i="15"/>
  <c r="O121" i="18"/>
  <c r="P105" i="17"/>
  <c r="P265" i="17"/>
  <c r="P318" i="17"/>
  <c r="P158" i="18" s="1"/>
  <c r="P329" i="18" s="1"/>
  <c r="P158" i="17"/>
  <c r="P119" i="17"/>
  <c r="P279" i="17"/>
  <c r="P119" i="18" s="1"/>
  <c r="P314" i="17"/>
  <c r="P154" i="18" s="1"/>
  <c r="P154" i="17"/>
  <c r="Q99" i="17"/>
  <c r="Q259" i="17"/>
  <c r="Q99" i="18" s="1"/>
  <c r="Q263" i="18" s="1"/>
  <c r="Q204" i="17"/>
  <c r="Q44" i="17"/>
  <c r="Q280" i="17"/>
  <c r="Q120" i="18" s="1"/>
  <c r="Q287" i="18" s="1"/>
  <c r="Q120" i="17"/>
  <c r="Q306" i="13"/>
  <c r="Q146" i="14" s="1"/>
  <c r="Q146" i="15" s="1"/>
  <c r="Q146" i="13"/>
  <c r="Q48" i="18"/>
  <c r="Q208" i="18" s="1"/>
  <c r="Q48" i="15"/>
  <c r="S154" i="11"/>
  <c r="S314" i="12"/>
  <c r="S123" i="10"/>
  <c r="S283" i="12" s="1"/>
  <c r="S139" i="11"/>
  <c r="S299" i="12"/>
  <c r="S9" i="11"/>
  <c r="S169" i="12"/>
  <c r="S9" i="16" s="1"/>
  <c r="S119" i="11"/>
  <c r="S279" i="12"/>
  <c r="S108" i="9"/>
  <c r="S41" i="9"/>
  <c r="S41" i="10" s="1"/>
  <c r="S52" i="10"/>
  <c r="S52" i="11" s="1"/>
  <c r="S67" i="10"/>
  <c r="S67" i="11" s="1"/>
  <c r="S81" i="11"/>
  <c r="S241" i="12"/>
  <c r="S130" i="10"/>
  <c r="S130" i="11" s="1"/>
  <c r="S83" i="10"/>
  <c r="S243" i="12" s="1"/>
  <c r="S150" i="9"/>
  <c r="S5" i="9"/>
  <c r="S5" i="10" s="1"/>
  <c r="T159" i="6"/>
  <c r="S13" i="10"/>
  <c r="S13" i="11" s="1"/>
  <c r="S65" i="10"/>
  <c r="S225" i="12" s="1"/>
  <c r="S65" i="11"/>
  <c r="S122" i="11"/>
  <c r="S282" i="12"/>
  <c r="S122" i="16" s="1"/>
  <c r="S118" i="10"/>
  <c r="S118" i="11" s="1"/>
  <c r="S23" i="11"/>
  <c r="S183" i="12"/>
  <c r="S22" i="11"/>
  <c r="S182" i="12"/>
  <c r="S22" i="16" s="1"/>
  <c r="S121" i="9"/>
  <c r="S121" i="10" s="1"/>
  <c r="S60" i="11"/>
  <c r="S220" i="12"/>
  <c r="S60" i="16" s="1"/>
  <c r="S35" i="11"/>
  <c r="S195" i="12"/>
  <c r="S16" i="9"/>
  <c r="S16" i="10" s="1"/>
  <c r="S57" i="9"/>
  <c r="S117" i="11"/>
  <c r="S277" i="12"/>
  <c r="S14" i="10"/>
  <c r="S174" i="12" s="1"/>
  <c r="R117" i="11"/>
  <c r="R277" i="12"/>
  <c r="R117" i="16" s="1"/>
  <c r="R35" i="11"/>
  <c r="R195" i="12"/>
  <c r="R20" i="11"/>
  <c r="R180" i="12"/>
  <c r="R20" i="16" s="1"/>
  <c r="R13" i="11"/>
  <c r="R173" i="12"/>
  <c r="R136" i="11"/>
  <c r="R296" i="12"/>
  <c r="R136" i="16" s="1"/>
  <c r="R65" i="10"/>
  <c r="R65" i="11" s="1"/>
  <c r="R47" i="16"/>
  <c r="R47" i="13"/>
  <c r="R207" i="13"/>
  <c r="R47" i="14" s="1"/>
  <c r="R39" i="16"/>
  <c r="R199" i="13"/>
  <c r="R39" i="14" s="1"/>
  <c r="R39" i="13"/>
  <c r="R141" i="14"/>
  <c r="P315" i="17"/>
  <c r="P155" i="18" s="1"/>
  <c r="P155" i="17"/>
  <c r="D151" i="20"/>
  <c r="P87" i="16"/>
  <c r="P87" i="13"/>
  <c r="P247" i="13"/>
  <c r="P87" i="14" s="1"/>
  <c r="P49" i="16"/>
  <c r="P209" i="13"/>
  <c r="P49" i="14" s="1"/>
  <c r="P49" i="13"/>
  <c r="P255" i="17"/>
  <c r="P95" i="17"/>
  <c r="Q114" i="15"/>
  <c r="Q114" i="18"/>
  <c r="Q281" i="18" s="1"/>
  <c r="Q69" i="15"/>
  <c r="Q69" i="18"/>
  <c r="Q230" i="18" s="1"/>
  <c r="Q119" i="17"/>
  <c r="Q279" i="17"/>
  <c r="Q119" i="18" s="1"/>
  <c r="Q286" i="18" s="1"/>
  <c r="Q266" i="13"/>
  <c r="Q106" i="14" s="1"/>
  <c r="Q106" i="15" s="1"/>
  <c r="Q106" i="13"/>
  <c r="P103" i="16"/>
  <c r="P117" i="13"/>
  <c r="P277" i="13"/>
  <c r="P117" i="14" s="1"/>
  <c r="P117" i="15" s="1"/>
  <c r="Q147" i="13"/>
  <c r="Q307" i="13"/>
  <c r="Q147" i="14" s="1"/>
  <c r="Q147" i="15" s="1"/>
  <c r="Q312" i="13"/>
  <c r="Q152" i="14" s="1"/>
  <c r="Q152" i="13"/>
  <c r="Q20" i="15"/>
  <c r="P20" i="16"/>
  <c r="P20" i="13"/>
  <c r="P180" i="13"/>
  <c r="P20" i="14" s="1"/>
  <c r="P13" i="16"/>
  <c r="P173" i="13"/>
  <c r="P13" i="14" s="1"/>
  <c r="P13" i="13"/>
  <c r="O217" i="18"/>
  <c r="N213" i="18"/>
  <c r="P234" i="13"/>
  <c r="P74" i="14" s="1"/>
  <c r="P74" i="15" s="1"/>
  <c r="P74" i="13"/>
  <c r="Q291" i="13"/>
  <c r="Q131" i="14" s="1"/>
  <c r="Q131" i="15" s="1"/>
  <c r="Q131" i="13"/>
  <c r="Q240" i="17"/>
  <c r="Q80" i="18" s="1"/>
  <c r="Q242" i="18" s="1"/>
  <c r="Q80" i="17"/>
  <c r="P275" i="17"/>
  <c r="P115" i="18" s="1"/>
  <c r="P115" i="17"/>
  <c r="O257" i="18"/>
  <c r="P225" i="17"/>
  <c r="P65" i="17"/>
  <c r="P82" i="17"/>
  <c r="P242" i="17"/>
  <c r="P82" i="18" s="1"/>
  <c r="Q70" i="18"/>
  <c r="Q231" i="18" s="1"/>
  <c r="Q70" i="15"/>
  <c r="R247" i="17"/>
  <c r="R87" i="18" s="1"/>
  <c r="R251" i="18" s="1"/>
  <c r="R87" i="17"/>
  <c r="R42" i="16"/>
  <c r="R42" i="13"/>
  <c r="R202" i="13"/>
  <c r="R42" i="14" s="1"/>
  <c r="R145" i="11"/>
  <c r="R305" i="12"/>
  <c r="R145" i="16" s="1"/>
  <c r="R121" i="16"/>
  <c r="R281" i="13"/>
  <c r="R121" i="14" s="1"/>
  <c r="R121" i="13"/>
  <c r="R7" i="10"/>
  <c r="R7" i="11" s="1"/>
  <c r="R91" i="11"/>
  <c r="R251" i="12"/>
  <c r="R91" i="16" s="1"/>
  <c r="R131" i="11"/>
  <c r="R291" i="12"/>
  <c r="R170" i="12"/>
  <c r="R10" i="16" s="1"/>
  <c r="R109" i="10"/>
  <c r="R109" i="11" s="1"/>
  <c r="R130" i="11"/>
  <c r="R290" i="12"/>
  <c r="R43" i="11"/>
  <c r="R203" i="12"/>
  <c r="R63" i="10"/>
  <c r="R63" i="11" s="1"/>
  <c r="Z77" i="16"/>
  <c r="Z237" i="13"/>
  <c r="Z77" i="14" s="1"/>
  <c r="Z77" i="13"/>
  <c r="P23" i="13"/>
  <c r="P183" i="13"/>
  <c r="P23" i="14" s="1"/>
  <c r="P23" i="15" s="1"/>
  <c r="O168" i="18"/>
  <c r="Q182" i="17"/>
  <c r="Q22" i="18" s="1"/>
  <c r="Q182" i="18" s="1"/>
  <c r="Q22" i="17"/>
  <c r="O73" i="17"/>
  <c r="O233" i="17"/>
  <c r="O73" i="18" s="1"/>
  <c r="E412" i="1"/>
  <c r="AO412" i="1" s="1"/>
  <c r="C412" i="1" s="1"/>
  <c r="Z496" i="1"/>
  <c r="H157" i="31" s="1"/>
  <c r="H216" i="31" s="1"/>
  <c r="U216" i="31" s="1"/>
  <c r="Q96" i="31"/>
  <c r="Q7" i="31"/>
  <c r="Q21" i="31"/>
  <c r="E44" i="31"/>
  <c r="Q44" i="31" s="1"/>
  <c r="AA147" i="1"/>
  <c r="AB147" i="1" s="1"/>
  <c r="O44" i="31" s="1"/>
  <c r="AD164" i="1"/>
  <c r="O164" i="1"/>
  <c r="D49" i="31" s="1"/>
  <c r="AF164" i="1"/>
  <c r="AC164" i="1"/>
  <c r="S164" i="1" s="1"/>
  <c r="S170" i="1" s="1"/>
  <c r="AO164" i="1"/>
  <c r="C164" i="1" s="1"/>
  <c r="AE164" i="1"/>
  <c r="P164" i="1"/>
  <c r="B64" i="6"/>
  <c r="D64" i="37" s="1"/>
  <c r="A64" i="37" s="1"/>
  <c r="D63" i="6"/>
  <c r="B63" i="20"/>
  <c r="B63" i="10"/>
  <c r="B63" i="12"/>
  <c r="B63" i="14"/>
  <c r="B63" i="15"/>
  <c r="B63" i="16"/>
  <c r="B223" i="17"/>
  <c r="B63" i="17"/>
  <c r="B63" i="11"/>
  <c r="B223" i="13"/>
  <c r="B223" i="18"/>
  <c r="B223" i="12"/>
  <c r="B63" i="13"/>
  <c r="B63" i="9"/>
  <c r="B63" i="18"/>
  <c r="R80" i="14" l="1"/>
  <c r="S123" i="11"/>
  <c r="Q130" i="18"/>
  <c r="Q297" i="18" s="1"/>
  <c r="S156" i="11"/>
  <c r="P50" i="18"/>
  <c r="P210" i="18" s="1"/>
  <c r="P157" i="18"/>
  <c r="P328" i="18" s="1"/>
  <c r="P101" i="18"/>
  <c r="P266" i="18" s="1"/>
  <c r="P83" i="18"/>
  <c r="P65" i="18"/>
  <c r="P225" i="18" s="1"/>
  <c r="P95" i="18"/>
  <c r="P259" i="18" s="1"/>
  <c r="Q44" i="18"/>
  <c r="Q204" i="18" s="1"/>
  <c r="R94" i="14"/>
  <c r="R94" i="15" s="1"/>
  <c r="R146" i="14"/>
  <c r="S62" i="11"/>
  <c r="R145" i="17"/>
  <c r="R305" i="17"/>
  <c r="R120" i="15"/>
  <c r="R268" i="17"/>
  <c r="R108" i="17"/>
  <c r="R93" i="17"/>
  <c r="R253" i="17"/>
  <c r="Z276" i="18"/>
  <c r="AA276" i="18" s="1"/>
  <c r="AA110" i="18"/>
  <c r="D110" i="20"/>
  <c r="S294" i="17"/>
  <c r="S134" i="17"/>
  <c r="S172" i="17"/>
  <c r="S12" i="17"/>
  <c r="O222" i="18"/>
  <c r="O234" i="18"/>
  <c r="R91" i="17"/>
  <c r="R251" i="17"/>
  <c r="S182" i="17"/>
  <c r="S22" i="17"/>
  <c r="S9" i="17"/>
  <c r="S169" i="17"/>
  <c r="R139" i="17"/>
  <c r="R299" i="17"/>
  <c r="Z267" i="18"/>
  <c r="AA267" i="18" s="1"/>
  <c r="AA102" i="18"/>
  <c r="D102" i="20"/>
  <c r="R233" i="17"/>
  <c r="R73" i="17"/>
  <c r="R215" i="17"/>
  <c r="R55" i="17"/>
  <c r="Q246" i="17"/>
  <c r="Q86" i="17"/>
  <c r="R10" i="17"/>
  <c r="R170" i="17"/>
  <c r="R42" i="15"/>
  <c r="O195" i="18"/>
  <c r="R274" i="17"/>
  <c r="R114" i="17"/>
  <c r="S305" i="17"/>
  <c r="S145" i="17"/>
  <c r="R14" i="15"/>
  <c r="R148" i="17"/>
  <c r="R308" i="17"/>
  <c r="S239" i="17"/>
  <c r="S79" i="17"/>
  <c r="Q285" i="17"/>
  <c r="Q125" i="17"/>
  <c r="Q67" i="17"/>
  <c r="Q227" i="17"/>
  <c r="R180" i="17"/>
  <c r="R20" i="17"/>
  <c r="Z264" i="18"/>
  <c r="AA264" i="18" s="1"/>
  <c r="AA100" i="18"/>
  <c r="D100" i="20"/>
  <c r="R282" i="17"/>
  <c r="R122" i="17"/>
  <c r="Z246" i="18"/>
  <c r="AA246" i="18" s="1"/>
  <c r="AA84" i="18"/>
  <c r="D84" i="20"/>
  <c r="P94" i="15"/>
  <c r="S307" i="17"/>
  <c r="S147" i="17"/>
  <c r="R138" i="17"/>
  <c r="R298" i="17"/>
  <c r="R236" i="17"/>
  <c r="R76" i="17"/>
  <c r="R258" i="17"/>
  <c r="R98" i="17"/>
  <c r="R241" i="17"/>
  <c r="R81" i="17"/>
  <c r="S54" i="17"/>
  <c r="S214" i="17"/>
  <c r="AF412" i="1"/>
  <c r="Z237" i="17"/>
  <c r="Z77" i="17"/>
  <c r="R130" i="16"/>
  <c r="R290" i="13"/>
  <c r="R130" i="14" s="1"/>
  <c r="R130" i="13"/>
  <c r="R167" i="12"/>
  <c r="R7" i="16" s="1"/>
  <c r="P263" i="17"/>
  <c r="P103" i="18" s="1"/>
  <c r="P103" i="17"/>
  <c r="P87" i="15"/>
  <c r="R47" i="15"/>
  <c r="R35" i="16"/>
  <c r="R35" i="13"/>
  <c r="R195" i="13"/>
  <c r="R35" i="14" s="1"/>
  <c r="S16" i="11"/>
  <c r="S176" i="12"/>
  <c r="S220" i="13"/>
  <c r="S60" i="14" s="1"/>
  <c r="S60" i="15" s="1"/>
  <c r="S60" i="13"/>
  <c r="S282" i="13"/>
  <c r="S122" i="14" s="1"/>
  <c r="S122" i="15" s="1"/>
  <c r="S122" i="13"/>
  <c r="S119" i="16"/>
  <c r="S119" i="13"/>
  <c r="S279" i="13"/>
  <c r="S119" i="14" s="1"/>
  <c r="S123" i="16"/>
  <c r="S283" i="13"/>
  <c r="S123" i="13"/>
  <c r="P286" i="18"/>
  <c r="P43" i="17"/>
  <c r="P203" i="17"/>
  <c r="Q199" i="13"/>
  <c r="Q39" i="14" s="1"/>
  <c r="Q39" i="15" s="1"/>
  <c r="Q39" i="13"/>
  <c r="P223" i="17"/>
  <c r="P63" i="18" s="1"/>
  <c r="P63" i="17"/>
  <c r="R283" i="12"/>
  <c r="R123" i="16" s="1"/>
  <c r="R312" i="12"/>
  <c r="P199" i="17"/>
  <c r="P39" i="17"/>
  <c r="Q271" i="17"/>
  <c r="Q111" i="17"/>
  <c r="Q57" i="13"/>
  <c r="Q217" i="13"/>
  <c r="Q57" i="14" s="1"/>
  <c r="P55" i="15"/>
  <c r="R9" i="16"/>
  <c r="R169" i="13"/>
  <c r="R9" i="14" s="1"/>
  <c r="R9" i="13"/>
  <c r="R50" i="17"/>
  <c r="R210" i="17"/>
  <c r="R60" i="17"/>
  <c r="R220" i="17"/>
  <c r="Q68" i="15"/>
  <c r="P108" i="15"/>
  <c r="P314" i="18"/>
  <c r="R15" i="16"/>
  <c r="R15" i="13"/>
  <c r="R175" i="13"/>
  <c r="R15" i="14" s="1"/>
  <c r="Q174" i="13"/>
  <c r="Q14" i="14" s="1"/>
  <c r="Q14" i="15" s="1"/>
  <c r="Q14" i="13"/>
  <c r="Q131" i="18"/>
  <c r="Q298" i="18" s="1"/>
  <c r="P53" i="17"/>
  <c r="P213" i="17"/>
  <c r="P117" i="18"/>
  <c r="P80" i="15"/>
  <c r="R306" i="17"/>
  <c r="R146" i="17"/>
  <c r="T105" i="10"/>
  <c r="T105" i="11" s="1"/>
  <c r="T154" i="9"/>
  <c r="T76" i="9"/>
  <c r="T76" i="10" s="1"/>
  <c r="T123" i="9"/>
  <c r="T123" i="10" s="1"/>
  <c r="T45" i="9"/>
  <c r="T45" i="10" s="1"/>
  <c r="T83" i="9"/>
  <c r="T79" i="9"/>
  <c r="T79" i="10" s="1"/>
  <c r="T19" i="11"/>
  <c r="T179" i="12"/>
  <c r="T95" i="9"/>
  <c r="T95" i="10" s="1"/>
  <c r="T44" i="11"/>
  <c r="T204" i="12"/>
  <c r="T119" i="10"/>
  <c r="T119" i="11" s="1"/>
  <c r="T52" i="11"/>
  <c r="T212" i="12"/>
  <c r="T124" i="9"/>
  <c r="T124" i="10" s="1"/>
  <c r="T125" i="10"/>
  <c r="T125" i="11" s="1"/>
  <c r="T91" i="11"/>
  <c r="T251" i="12"/>
  <c r="T91" i="16" s="1"/>
  <c r="T115" i="9"/>
  <c r="T115" i="10" s="1"/>
  <c r="T89" i="10"/>
  <c r="T89" i="11" s="1"/>
  <c r="T131" i="11"/>
  <c r="T291" i="12"/>
  <c r="T131" i="16" s="1"/>
  <c r="T16" i="11"/>
  <c r="T176" i="12"/>
  <c r="T14" i="9"/>
  <c r="T8" i="11"/>
  <c r="T168" i="12"/>
  <c r="T148" i="10"/>
  <c r="T308" i="12" s="1"/>
  <c r="T42" i="9"/>
  <c r="T106" i="9"/>
  <c r="T106" i="10" s="1"/>
  <c r="T90" i="9"/>
  <c r="T87" i="11"/>
  <c r="T247" i="12"/>
  <c r="W4" i="6"/>
  <c r="V116" i="6"/>
  <c r="U116" i="9" s="1"/>
  <c r="U116" i="10" s="1"/>
  <c r="V117" i="6"/>
  <c r="U117" i="9" s="1"/>
  <c r="U117" i="10" s="1"/>
  <c r="V87" i="6"/>
  <c r="U87" i="9" s="1"/>
  <c r="U87" i="10" s="1"/>
  <c r="V62" i="6"/>
  <c r="U62" i="9" s="1"/>
  <c r="V155" i="6"/>
  <c r="U155" i="9" s="1"/>
  <c r="U155" i="10" s="1"/>
  <c r="V14" i="6"/>
  <c r="U14" i="9" s="1"/>
  <c r="V98" i="6"/>
  <c r="U98" i="9" s="1"/>
  <c r="U98" i="10" s="1"/>
  <c r="V12" i="6"/>
  <c r="U12" i="9" s="1"/>
  <c r="U12" i="10" s="1"/>
  <c r="V158" i="6"/>
  <c r="U158" i="9" s="1"/>
  <c r="V106" i="6"/>
  <c r="U106" i="9" s="1"/>
  <c r="U106" i="10" s="1"/>
  <c r="V35" i="6"/>
  <c r="U35" i="9" s="1"/>
  <c r="V86" i="6"/>
  <c r="U86" i="9" s="1"/>
  <c r="V29" i="6"/>
  <c r="U29" i="9" s="1"/>
  <c r="V145" i="6"/>
  <c r="U145" i="9" s="1"/>
  <c r="V82" i="6"/>
  <c r="U82" i="9" s="1"/>
  <c r="V8" i="6"/>
  <c r="U8" i="9" s="1"/>
  <c r="U8" i="10" s="1"/>
  <c r="V22" i="6"/>
  <c r="U22" i="9" s="1"/>
  <c r="U22" i="10" s="1"/>
  <c r="V94" i="6"/>
  <c r="U94" i="9" s="1"/>
  <c r="V60" i="6"/>
  <c r="U60" i="9" s="1"/>
  <c r="U60" i="10" s="1"/>
  <c r="V16" i="6"/>
  <c r="V134" i="6"/>
  <c r="U134" i="9" s="1"/>
  <c r="U134" i="10" s="1"/>
  <c r="V20" i="6"/>
  <c r="U20" i="9" s="1"/>
  <c r="V150" i="6"/>
  <c r="V92" i="6"/>
  <c r="U92" i="9" s="1"/>
  <c r="U92" i="10" s="1"/>
  <c r="V57" i="6"/>
  <c r="V148" i="6"/>
  <c r="U148" i="9" s="1"/>
  <c r="V18" i="6"/>
  <c r="U18" i="9" s="1"/>
  <c r="V90" i="6"/>
  <c r="U90" i="9" s="1"/>
  <c r="V121" i="6"/>
  <c r="V42" i="6"/>
  <c r="U42" i="9" s="1"/>
  <c r="U42" i="10" s="1"/>
  <c r="V73" i="6"/>
  <c r="U73" i="9" s="1"/>
  <c r="V55" i="6"/>
  <c r="U55" i="9" s="1"/>
  <c r="U55" i="10" s="1"/>
  <c r="V101" i="6"/>
  <c r="U101" i="9" s="1"/>
  <c r="U101" i="10" s="1"/>
  <c r="V118" i="6"/>
  <c r="U118" i="9" s="1"/>
  <c r="V23" i="6"/>
  <c r="U23" i="9" s="1"/>
  <c r="U23" i="10" s="1"/>
  <c r="V97" i="6"/>
  <c r="U97" i="9" s="1"/>
  <c r="U97" i="10" s="1"/>
  <c r="V13" i="6"/>
  <c r="V31" i="6"/>
  <c r="U31" i="9" s="1"/>
  <c r="U31" i="10" s="1"/>
  <c r="V67" i="6"/>
  <c r="U67" i="9" s="1"/>
  <c r="V7" i="6"/>
  <c r="V65" i="6"/>
  <c r="V89" i="6"/>
  <c r="U89" i="9" s="1"/>
  <c r="U89" i="10" s="1"/>
  <c r="V131" i="6"/>
  <c r="V80" i="6"/>
  <c r="U80" i="9" s="1"/>
  <c r="V107" i="6"/>
  <c r="U107" i="9" s="1"/>
  <c r="U107" i="10" s="1"/>
  <c r="V142" i="6"/>
  <c r="U142" i="9" s="1"/>
  <c r="V5" i="6"/>
  <c r="V152" i="6"/>
  <c r="U152" i="9" s="1"/>
  <c r="V70" i="6"/>
  <c r="U70" i="9" s="1"/>
  <c r="U70" i="10" s="1"/>
  <c r="V156" i="6"/>
  <c r="U156" i="9" s="1"/>
  <c r="U156" i="10" s="1"/>
  <c r="V30" i="6"/>
  <c r="U30" i="9" s="1"/>
  <c r="V136" i="6"/>
  <c r="V91" i="6"/>
  <c r="V53" i="6"/>
  <c r="U53" i="9" s="1"/>
  <c r="U53" i="10" s="1"/>
  <c r="V48" i="6"/>
  <c r="U48" i="9" s="1"/>
  <c r="U48" i="10" s="1"/>
  <c r="V122" i="6"/>
  <c r="U122" i="9" s="1"/>
  <c r="V125" i="6"/>
  <c r="U125" i="9" s="1"/>
  <c r="U125" i="10" s="1"/>
  <c r="V93" i="6"/>
  <c r="U93" i="9" s="1"/>
  <c r="U93" i="10" s="1"/>
  <c r="V76" i="6"/>
  <c r="U76" i="9" s="1"/>
  <c r="V95" i="6"/>
  <c r="U95" i="9" s="1"/>
  <c r="U95" i="10" s="1"/>
  <c r="V43" i="6"/>
  <c r="V79" i="6"/>
  <c r="U79" i="9" s="1"/>
  <c r="V74" i="6"/>
  <c r="U74" i="9" s="1"/>
  <c r="U74" i="10" s="1"/>
  <c r="V81" i="6"/>
  <c r="U81" i="9" s="1"/>
  <c r="U81" i="10" s="1"/>
  <c r="V109" i="6"/>
  <c r="V19" i="6"/>
  <c r="U19" i="9" s="1"/>
  <c r="V146" i="6"/>
  <c r="U146" i="9" s="1"/>
  <c r="V119" i="6"/>
  <c r="U119" i="9" s="1"/>
  <c r="V130" i="6"/>
  <c r="V45" i="6"/>
  <c r="U45" i="9" s="1"/>
  <c r="V69" i="6"/>
  <c r="U69" i="9" s="1"/>
  <c r="U69" i="10" s="1"/>
  <c r="V127" i="6"/>
  <c r="U127" i="9" s="1"/>
  <c r="U127" i="10" s="1"/>
  <c r="V26" i="6"/>
  <c r="U26" i="9" s="1"/>
  <c r="U26" i="10" s="1"/>
  <c r="V83" i="6"/>
  <c r="U83" i="9" s="1"/>
  <c r="U83" i="10" s="1"/>
  <c r="V120" i="6"/>
  <c r="U120" i="9" s="1"/>
  <c r="V108" i="6"/>
  <c r="V114" i="6"/>
  <c r="U114" i="9" s="1"/>
  <c r="U114" i="10" s="1"/>
  <c r="V111" i="6"/>
  <c r="U111" i="9" s="1"/>
  <c r="U111" i="10" s="1"/>
  <c r="V50" i="6"/>
  <c r="U50" i="9" s="1"/>
  <c r="V39" i="6"/>
  <c r="U39" i="9" s="1"/>
  <c r="V47" i="6"/>
  <c r="U47" i="9" s="1"/>
  <c r="U47" i="10" s="1"/>
  <c r="V124" i="6"/>
  <c r="U124" i="9" s="1"/>
  <c r="V138" i="6"/>
  <c r="U138" i="9" s="1"/>
  <c r="U138" i="10" s="1"/>
  <c r="V52" i="6"/>
  <c r="U52" i="9" s="1"/>
  <c r="U52" i="10" s="1"/>
  <c r="V115" i="6"/>
  <c r="U115" i="9" s="1"/>
  <c r="V10" i="6"/>
  <c r="U10" i="9" s="1"/>
  <c r="U10" i="10" s="1"/>
  <c r="V68" i="6"/>
  <c r="U68" i="9" s="1"/>
  <c r="V41" i="6"/>
  <c r="V147" i="6"/>
  <c r="U147" i="9" s="1"/>
  <c r="V44" i="6"/>
  <c r="U44" i="9" s="1"/>
  <c r="V9" i="6"/>
  <c r="U9" i="9" s="1"/>
  <c r="U9" i="10" s="1"/>
  <c r="V123" i="6"/>
  <c r="U123" i="9" s="1"/>
  <c r="U123" i="10" s="1"/>
  <c r="V63" i="6"/>
  <c r="V34" i="6"/>
  <c r="V129" i="6"/>
  <c r="U129" i="9" s="1"/>
  <c r="U129" i="10" s="1"/>
  <c r="V141" i="6"/>
  <c r="U141" i="9" s="1"/>
  <c r="U141" i="10" s="1"/>
  <c r="V15" i="6"/>
  <c r="U15" i="9" s="1"/>
  <c r="U15" i="10" s="1"/>
  <c r="V157" i="6"/>
  <c r="U157" i="9" s="1"/>
  <c r="U157" i="10" s="1"/>
  <c r="V154" i="6"/>
  <c r="U154" i="9" s="1"/>
  <c r="V105" i="6"/>
  <c r="V49" i="6"/>
  <c r="U49" i="9" s="1"/>
  <c r="V139" i="6"/>
  <c r="U139" i="9" s="1"/>
  <c r="U139" i="10" s="1"/>
  <c r="V54" i="6"/>
  <c r="U54" i="9" s="1"/>
  <c r="U54" i="10" s="1"/>
  <c r="V103" i="6"/>
  <c r="U103" i="9" s="1"/>
  <c r="V149" i="6"/>
  <c r="U149" i="9" s="1"/>
  <c r="U149" i="10" s="1"/>
  <c r="V99" i="6"/>
  <c r="U99" i="9" s="1"/>
  <c r="U99" i="10" s="1"/>
  <c r="S62" i="16"/>
  <c r="S62" i="13"/>
  <c r="S222" i="13"/>
  <c r="S7" i="16"/>
  <c r="S167" i="13"/>
  <c r="S7" i="14" s="1"/>
  <c r="S7" i="13"/>
  <c r="S114" i="16"/>
  <c r="S274" i="13"/>
  <c r="S114" i="14" s="1"/>
  <c r="S114" i="13"/>
  <c r="S109" i="16"/>
  <c r="S109" i="13"/>
  <c r="S269" i="13"/>
  <c r="S109" i="14" s="1"/>
  <c r="S157" i="16"/>
  <c r="S317" i="13"/>
  <c r="S157" i="14" s="1"/>
  <c r="S157" i="13"/>
  <c r="S129" i="16"/>
  <c r="S289" i="13"/>
  <c r="S129" i="14" s="1"/>
  <c r="S129" i="13"/>
  <c r="P69" i="15"/>
  <c r="P317" i="18"/>
  <c r="P290" i="18"/>
  <c r="P52" i="18"/>
  <c r="P26" i="17"/>
  <c r="P186" i="17"/>
  <c r="P26" i="18" s="1"/>
  <c r="R129" i="16"/>
  <c r="R289" i="13"/>
  <c r="R129" i="14" s="1"/>
  <c r="R129" i="13"/>
  <c r="R69" i="17"/>
  <c r="R229" i="17"/>
  <c r="Q142" i="15"/>
  <c r="Q142" i="18"/>
  <c r="Q311" i="18" s="1"/>
  <c r="O180" i="18"/>
  <c r="P114" i="15"/>
  <c r="P142" i="15"/>
  <c r="R318" i="17"/>
  <c r="R158" i="18" s="1"/>
  <c r="R329" i="18" s="1"/>
  <c r="R158" i="17"/>
  <c r="Q8" i="15"/>
  <c r="P245" i="18"/>
  <c r="R142" i="13"/>
  <c r="R302" i="13"/>
  <c r="R142" i="14" s="1"/>
  <c r="R142" i="15" s="1"/>
  <c r="R285" i="13"/>
  <c r="R125" i="14" s="1"/>
  <c r="R125" i="13"/>
  <c r="Q236" i="13"/>
  <c r="Q76" i="14" s="1"/>
  <c r="Q76" i="13"/>
  <c r="P194" i="17"/>
  <c r="P34" i="18" s="1"/>
  <c r="P34" i="17"/>
  <c r="R249" i="13"/>
  <c r="R89" i="14" s="1"/>
  <c r="R89" i="15" s="1"/>
  <c r="R89" i="13"/>
  <c r="S158" i="16"/>
  <c r="S318" i="13"/>
  <c r="S158" i="14" s="1"/>
  <c r="S158" i="13"/>
  <c r="S89" i="10"/>
  <c r="S89" i="11" s="1"/>
  <c r="S70" i="16"/>
  <c r="S230" i="13"/>
  <c r="S70" i="14" s="1"/>
  <c r="S70" i="13"/>
  <c r="S142" i="11"/>
  <c r="S302" i="12"/>
  <c r="S156" i="16"/>
  <c r="S156" i="13"/>
  <c r="S316" i="13"/>
  <c r="S19" i="11"/>
  <c r="S179" i="12"/>
  <c r="S228" i="12"/>
  <c r="S76" i="16"/>
  <c r="S236" i="13"/>
  <c r="S76" i="14" s="1"/>
  <c r="S76" i="13"/>
  <c r="S149" i="11"/>
  <c r="S105" i="16"/>
  <c r="S265" i="13"/>
  <c r="S105" i="14" s="1"/>
  <c r="S105" i="13"/>
  <c r="Q87" i="15"/>
  <c r="Q186" i="13"/>
  <c r="Q26" i="14" s="1"/>
  <c r="Q26" i="15" s="1"/>
  <c r="Q26" i="13"/>
  <c r="P105" i="18"/>
  <c r="P105" i="15"/>
  <c r="P19" i="15"/>
  <c r="R191" i="17"/>
  <c r="R31" i="18" s="1"/>
  <c r="R191" i="18" s="1"/>
  <c r="R31" i="17"/>
  <c r="R239" i="12"/>
  <c r="Q301" i="17"/>
  <c r="Q141" i="18" s="1"/>
  <c r="Q310" i="18" s="1"/>
  <c r="Q141" i="17"/>
  <c r="P92" i="15"/>
  <c r="R127" i="16"/>
  <c r="R127" i="13"/>
  <c r="R287" i="13"/>
  <c r="R127" i="14" s="1"/>
  <c r="R124" i="16"/>
  <c r="R284" i="13"/>
  <c r="R124" i="14" s="1"/>
  <c r="R124" i="13"/>
  <c r="Q5" i="15"/>
  <c r="P141" i="15"/>
  <c r="P141" i="18"/>
  <c r="R265" i="13"/>
  <c r="R105" i="14" s="1"/>
  <c r="R105" i="15" s="1"/>
  <c r="R105" i="13"/>
  <c r="R41" i="15"/>
  <c r="R34" i="16"/>
  <c r="R194" i="13"/>
  <c r="R34" i="14" s="1"/>
  <c r="R34" i="13"/>
  <c r="R301" i="17"/>
  <c r="R141" i="18" s="1"/>
  <c r="R310" i="18" s="1"/>
  <c r="R141" i="17"/>
  <c r="R179" i="13"/>
  <c r="R19" i="14" s="1"/>
  <c r="R19" i="15" s="1"/>
  <c r="R19" i="13"/>
  <c r="R178" i="17"/>
  <c r="R18" i="18" s="1"/>
  <c r="R178" i="18" s="1"/>
  <c r="R18" i="17"/>
  <c r="S252" i="12"/>
  <c r="S92" i="16" s="1"/>
  <c r="S94" i="10"/>
  <c r="S94" i="11" s="1"/>
  <c r="S8" i="11"/>
  <c r="S168" i="12"/>
  <c r="S30" i="10"/>
  <c r="S30" i="11" s="1"/>
  <c r="S257" i="12"/>
  <c r="S97" i="16" s="1"/>
  <c r="S205" i="13"/>
  <c r="S45" i="14" s="1"/>
  <c r="S45" i="15" s="1"/>
  <c r="S45" i="13"/>
  <c r="S39" i="16"/>
  <c r="S199" i="13"/>
  <c r="S39" i="14" s="1"/>
  <c r="S39" i="13"/>
  <c r="S44" i="16"/>
  <c r="S204" i="13"/>
  <c r="S44" i="14" s="1"/>
  <c r="S44" i="13"/>
  <c r="S103" i="16"/>
  <c r="S103" i="13"/>
  <c r="S263" i="13"/>
  <c r="S103" i="14" s="1"/>
  <c r="P35" i="17"/>
  <c r="P195" i="17"/>
  <c r="P35" i="18" s="1"/>
  <c r="P195" i="18" s="1"/>
  <c r="AA304" i="18"/>
  <c r="R54" i="13"/>
  <c r="R214" i="13"/>
  <c r="R54" i="14" s="1"/>
  <c r="R52" i="17"/>
  <c r="R212" i="17"/>
  <c r="R48" i="14"/>
  <c r="P241" i="17"/>
  <c r="P81" i="17"/>
  <c r="P150" i="18"/>
  <c r="P150" i="15"/>
  <c r="Q16" i="15"/>
  <c r="Q178" i="13"/>
  <c r="Q18" i="14" s="1"/>
  <c r="Q18" i="13"/>
  <c r="Q101" i="17"/>
  <c r="Q261" i="17"/>
  <c r="Q101" i="18" s="1"/>
  <c r="P127" i="15"/>
  <c r="P12" i="18"/>
  <c r="P9" i="18"/>
  <c r="P107" i="18"/>
  <c r="P146" i="18"/>
  <c r="P147" i="18"/>
  <c r="Q154" i="18"/>
  <c r="Q325" i="18" s="1"/>
  <c r="P156" i="18"/>
  <c r="P91" i="18"/>
  <c r="R223" i="12"/>
  <c r="R63" i="16" s="1"/>
  <c r="R170" i="13"/>
  <c r="R10" i="14" s="1"/>
  <c r="R10" i="13"/>
  <c r="R251" i="13"/>
  <c r="R91" i="14" s="1"/>
  <c r="R91" i="15" s="1"/>
  <c r="R91" i="13"/>
  <c r="R305" i="13"/>
  <c r="R145" i="14" s="1"/>
  <c r="R145" i="15" s="1"/>
  <c r="R145" i="13"/>
  <c r="R42" i="17"/>
  <c r="R202" i="17"/>
  <c r="R42" i="18" s="1"/>
  <c r="R202" i="18" s="1"/>
  <c r="P20" i="15"/>
  <c r="P326" i="18"/>
  <c r="R225" i="12"/>
  <c r="R65" i="16" s="1"/>
  <c r="R13" i="16"/>
  <c r="R13" i="13"/>
  <c r="R173" i="13"/>
  <c r="R13" i="14" s="1"/>
  <c r="R180" i="13"/>
  <c r="R20" i="14" s="1"/>
  <c r="R20" i="15" s="1"/>
  <c r="R20" i="13"/>
  <c r="S14" i="11"/>
  <c r="S35" i="16"/>
  <c r="S195" i="13"/>
  <c r="S35" i="14" s="1"/>
  <c r="S35" i="13"/>
  <c r="S182" i="13"/>
  <c r="S22" i="14" s="1"/>
  <c r="S22" i="15" s="1"/>
  <c r="S22" i="13"/>
  <c r="S173" i="12"/>
  <c r="S13" i="16" s="1"/>
  <c r="S150" i="10"/>
  <c r="S150" i="11" s="1"/>
  <c r="S290" i="12"/>
  <c r="S130" i="16" s="1"/>
  <c r="S227" i="12"/>
  <c r="S41" i="11"/>
  <c r="S201" i="12"/>
  <c r="S139" i="16"/>
  <c r="S299" i="13"/>
  <c r="S139" i="14" s="1"/>
  <c r="S139" i="13"/>
  <c r="S154" i="16"/>
  <c r="S154" i="13"/>
  <c r="S314" i="13"/>
  <c r="S154" i="14" s="1"/>
  <c r="O250" i="18"/>
  <c r="P86" i="15"/>
  <c r="R67" i="15"/>
  <c r="R176" i="17"/>
  <c r="R16" i="17"/>
  <c r="R222" i="12"/>
  <c r="P16" i="17"/>
  <c r="P176" i="17"/>
  <c r="P30" i="15"/>
  <c r="P138" i="15"/>
  <c r="P215" i="17"/>
  <c r="P55" i="18" s="1"/>
  <c r="P55" i="17"/>
  <c r="R205" i="12"/>
  <c r="R45" i="16" s="1"/>
  <c r="R210" i="13"/>
  <c r="R50" i="14" s="1"/>
  <c r="R50" i="15" s="1"/>
  <c r="R50" i="13"/>
  <c r="R240" i="17"/>
  <c r="R80" i="17"/>
  <c r="R60" i="13"/>
  <c r="R220" i="13"/>
  <c r="R60" i="14" s="1"/>
  <c r="Q101" i="15"/>
  <c r="P99" i="15"/>
  <c r="Q81" i="15"/>
  <c r="Z226" i="18"/>
  <c r="AA226" i="18" s="1"/>
  <c r="D66" i="20"/>
  <c r="AA66" i="18"/>
  <c r="Q106" i="18"/>
  <c r="Q272" i="18" s="1"/>
  <c r="P80" i="17"/>
  <c r="P240" i="17"/>
  <c r="P80" i="18" s="1"/>
  <c r="R74" i="16"/>
  <c r="R234" i="13"/>
  <c r="R74" i="14" s="1"/>
  <c r="R74" i="13"/>
  <c r="R228" i="17"/>
  <c r="R68" i="17"/>
  <c r="T141" i="10"/>
  <c r="T141" i="11" s="1"/>
  <c r="T99" i="11"/>
  <c r="T259" i="12"/>
  <c r="T103" i="11"/>
  <c r="T263" i="12"/>
  <c r="T47" i="11"/>
  <c r="T207" i="12"/>
  <c r="T114" i="11"/>
  <c r="T274" i="12"/>
  <c r="T26" i="11"/>
  <c r="T186" i="12"/>
  <c r="T111" i="11"/>
  <c r="T271" i="12"/>
  <c r="T109" i="11"/>
  <c r="T269" i="12"/>
  <c r="T142" i="11"/>
  <c r="T302" i="12"/>
  <c r="T41" i="11"/>
  <c r="T201" i="12"/>
  <c r="T130" i="11"/>
  <c r="T290" i="12"/>
  <c r="T7" i="10"/>
  <c r="T7" i="11" s="1"/>
  <c r="T156" i="9"/>
  <c r="T156" i="10" s="1"/>
  <c r="T65" i="10"/>
  <c r="T225" i="12" s="1"/>
  <c r="T70" i="11"/>
  <c r="T230" i="12"/>
  <c r="T70" i="16" s="1"/>
  <c r="T12" i="9"/>
  <c r="T12" i="10" s="1"/>
  <c r="T80" i="9"/>
  <c r="T80" i="10" s="1"/>
  <c r="T31" i="10"/>
  <c r="T150" i="11"/>
  <c r="T310" i="12"/>
  <c r="T150" i="16" s="1"/>
  <c r="T155" i="11"/>
  <c r="T315" i="12"/>
  <c r="T117" i="11"/>
  <c r="T277" i="12"/>
  <c r="T101" i="9"/>
  <c r="T101" i="10" s="1"/>
  <c r="T29" i="9"/>
  <c r="T35" i="11"/>
  <c r="T195" i="12"/>
  <c r="T35" i="16" s="1"/>
  <c r="T22" i="9"/>
  <c r="T22" i="10" s="1"/>
  <c r="T60" i="9"/>
  <c r="S261" i="12"/>
  <c r="S189" i="12"/>
  <c r="S29" i="16" s="1"/>
  <c r="S296" i="12"/>
  <c r="S312" i="12"/>
  <c r="S152" i="16" s="1"/>
  <c r="S267" i="12"/>
  <c r="S93" i="11"/>
  <c r="S253" i="12"/>
  <c r="S93" i="16" s="1"/>
  <c r="S210" i="12"/>
  <c r="S50" i="16" s="1"/>
  <c r="P292" i="18"/>
  <c r="Q31" i="18"/>
  <c r="Q191" i="18" s="1"/>
  <c r="P18" i="15"/>
  <c r="P10" i="15"/>
  <c r="P114" i="17"/>
  <c r="P274" i="17"/>
  <c r="P114" i="18" s="1"/>
  <c r="R213" i="17"/>
  <c r="R53" i="18" s="1"/>
  <c r="R213" i="18" s="1"/>
  <c r="R53" i="17"/>
  <c r="R116" i="14"/>
  <c r="P90" i="15"/>
  <c r="R204" i="12"/>
  <c r="R111" i="15"/>
  <c r="R97" i="16"/>
  <c r="R97" i="13"/>
  <c r="R257" i="13"/>
  <c r="R97" i="14" s="1"/>
  <c r="P67" i="15"/>
  <c r="P254" i="17"/>
  <c r="P94" i="18" s="1"/>
  <c r="P94" i="17"/>
  <c r="Q121" i="16"/>
  <c r="Q281" i="13"/>
  <c r="Q121" i="14" s="1"/>
  <c r="Q121" i="13"/>
  <c r="R118" i="15"/>
  <c r="R118" i="18"/>
  <c r="R285" i="18" s="1"/>
  <c r="R70" i="16"/>
  <c r="R230" i="13"/>
  <c r="R70" i="14" s="1"/>
  <c r="R70" i="13"/>
  <c r="R14" i="17"/>
  <c r="R174" i="17"/>
  <c r="R14" i="18" s="1"/>
  <c r="R174" i="18" s="1"/>
  <c r="R148" i="13"/>
  <c r="R308" i="13"/>
  <c r="R148" i="14" s="1"/>
  <c r="S116" i="11"/>
  <c r="S276" i="12"/>
  <c r="S20" i="16"/>
  <c r="S20" i="13"/>
  <c r="S180" i="13"/>
  <c r="S20" i="14" s="1"/>
  <c r="S239" i="13"/>
  <c r="S79" i="14" s="1"/>
  <c r="S79" i="15" s="1"/>
  <c r="S79" i="13"/>
  <c r="S74" i="16"/>
  <c r="S234" i="13"/>
  <c r="S74" i="14" s="1"/>
  <c r="S74" i="13"/>
  <c r="S43" i="16"/>
  <c r="S43" i="13"/>
  <c r="S203" i="13"/>
  <c r="S43" i="14" s="1"/>
  <c r="S149" i="16"/>
  <c r="S309" i="13"/>
  <c r="S149" i="13"/>
  <c r="Q285" i="13"/>
  <c r="Q125" i="14" s="1"/>
  <c r="Q125" i="13"/>
  <c r="P42" i="15"/>
  <c r="R294" i="12"/>
  <c r="R266" i="12"/>
  <c r="Q139" i="15"/>
  <c r="P109" i="15"/>
  <c r="Q89" i="15"/>
  <c r="P252" i="17"/>
  <c r="P92" i="18" s="1"/>
  <c r="P92" i="17"/>
  <c r="R316" i="12"/>
  <c r="R172" i="12"/>
  <c r="R12" i="16" s="1"/>
  <c r="R215" i="13"/>
  <c r="R55" i="14" s="1"/>
  <c r="R55" i="13"/>
  <c r="Q165" i="17"/>
  <c r="Q5" i="18" s="1"/>
  <c r="Q5" i="17"/>
  <c r="Q115" i="15"/>
  <c r="Q138" i="15"/>
  <c r="Q108" i="15"/>
  <c r="R155" i="15"/>
  <c r="Q157" i="15"/>
  <c r="Q93" i="18"/>
  <c r="P258" i="17"/>
  <c r="P98" i="18" s="1"/>
  <c r="P98" i="17"/>
  <c r="S106" i="16"/>
  <c r="S106" i="13"/>
  <c r="S266" i="13"/>
  <c r="S106" i="14" s="1"/>
  <c r="S98" i="16"/>
  <c r="S98" i="13"/>
  <c r="S258" i="13"/>
  <c r="S98" i="14" s="1"/>
  <c r="S90" i="11"/>
  <c r="S53" i="16"/>
  <c r="S213" i="13"/>
  <c r="S53" i="14" s="1"/>
  <c r="S53" i="13"/>
  <c r="S124" i="11"/>
  <c r="S95" i="16"/>
  <c r="S255" i="13"/>
  <c r="S95" i="14" s="1"/>
  <c r="S95" i="13"/>
  <c r="S31" i="11"/>
  <c r="S191" i="12"/>
  <c r="S31" i="16" s="1"/>
  <c r="P217" i="17"/>
  <c r="P57" i="17"/>
  <c r="Q148" i="18"/>
  <c r="Q317" i="18" s="1"/>
  <c r="Q148" i="15"/>
  <c r="Q73" i="16"/>
  <c r="Q233" i="13"/>
  <c r="Q73" i="14" s="1"/>
  <c r="Q73" i="13"/>
  <c r="P8" i="15"/>
  <c r="R154" i="16"/>
  <c r="R154" i="13"/>
  <c r="R314" i="13"/>
  <c r="R154" i="14" s="1"/>
  <c r="R115" i="15"/>
  <c r="P122" i="15"/>
  <c r="Q82" i="15"/>
  <c r="Q82" i="18"/>
  <c r="Q244" i="18" s="1"/>
  <c r="R157" i="15"/>
  <c r="R86" i="15"/>
  <c r="P127" i="17"/>
  <c r="P287" i="17"/>
  <c r="P127" i="18" s="1"/>
  <c r="P48" i="18"/>
  <c r="P79" i="18"/>
  <c r="R30" i="18"/>
  <c r="R190" i="18" s="1"/>
  <c r="P97" i="18"/>
  <c r="Y323" i="18"/>
  <c r="AA323" i="18" s="1"/>
  <c r="D153" i="20"/>
  <c r="AA153" i="18"/>
  <c r="Q116" i="18"/>
  <c r="Q283" i="18" s="1"/>
  <c r="Q30" i="18"/>
  <c r="Q190" i="18" s="1"/>
  <c r="P74" i="18"/>
  <c r="P31" i="18"/>
  <c r="Q47" i="18"/>
  <c r="Q207" i="18" s="1"/>
  <c r="P14" i="18"/>
  <c r="P174" i="18" s="1"/>
  <c r="P22" i="18"/>
  <c r="R43" i="16"/>
  <c r="R43" i="13"/>
  <c r="R203" i="13"/>
  <c r="R43" i="14" s="1"/>
  <c r="R131" i="16"/>
  <c r="R131" i="13"/>
  <c r="R291" i="13"/>
  <c r="R131" i="14" s="1"/>
  <c r="R121" i="15"/>
  <c r="P13" i="15"/>
  <c r="P49" i="15"/>
  <c r="P247" i="17"/>
  <c r="P87" i="18" s="1"/>
  <c r="P87" i="17"/>
  <c r="R39" i="15"/>
  <c r="R47" i="17"/>
  <c r="R207" i="17"/>
  <c r="R47" i="18" s="1"/>
  <c r="R136" i="17"/>
  <c r="R296" i="17"/>
  <c r="R277" i="17"/>
  <c r="R117" i="17"/>
  <c r="S14" i="16"/>
  <c r="S14" i="13"/>
  <c r="S174" i="13"/>
  <c r="S57" i="10"/>
  <c r="S57" i="11" s="1"/>
  <c r="S278" i="12"/>
  <c r="S83" i="11"/>
  <c r="S81" i="16"/>
  <c r="S81" i="13"/>
  <c r="S241" i="13"/>
  <c r="S81" i="14" s="1"/>
  <c r="P175" i="18"/>
  <c r="R243" i="12"/>
  <c r="R227" i="17"/>
  <c r="R67" i="18" s="1"/>
  <c r="R228" i="18" s="1"/>
  <c r="R67" i="17"/>
  <c r="R261" i="17"/>
  <c r="R101" i="17"/>
  <c r="P39" i="15"/>
  <c r="P39" i="18"/>
  <c r="P30" i="17"/>
  <c r="P190" i="17"/>
  <c r="P30" i="18" s="1"/>
  <c r="O202" i="18"/>
  <c r="P298" i="17"/>
  <c r="P138" i="18" s="1"/>
  <c r="P138" i="17"/>
  <c r="R23" i="16"/>
  <c r="R23" i="13"/>
  <c r="R183" i="13"/>
  <c r="R23" i="14" s="1"/>
  <c r="R276" i="17"/>
  <c r="R116" i="17"/>
  <c r="Q228" i="17"/>
  <c r="Q68" i="18" s="1"/>
  <c r="Q68" i="17"/>
  <c r="P54" i="15"/>
  <c r="Z308" i="18"/>
  <c r="AA308" i="18" s="1"/>
  <c r="AA140" i="18"/>
  <c r="D140" i="20"/>
  <c r="P108" i="17"/>
  <c r="P268" i="17"/>
  <c r="P108" i="18" s="1"/>
  <c r="P303" i="18"/>
  <c r="R254" i="17"/>
  <c r="R94" i="18" s="1"/>
  <c r="R258" i="18" s="1"/>
  <c r="R94" i="17"/>
  <c r="P103" i="15"/>
  <c r="R263" i="12"/>
  <c r="T157" i="9"/>
  <c r="T129" i="9"/>
  <c r="T129" i="10" s="1"/>
  <c r="T34" i="11"/>
  <c r="T194" i="12"/>
  <c r="T34" i="16" s="1"/>
  <c r="T54" i="10"/>
  <c r="T39" i="10"/>
  <c r="T39" i="11" s="1"/>
  <c r="T43" i="11"/>
  <c r="T203" i="12"/>
  <c r="T43" i="16" s="1"/>
  <c r="T69" i="11"/>
  <c r="T229" i="12"/>
  <c r="T108" i="11"/>
  <c r="T268" i="12"/>
  <c r="T127" i="9"/>
  <c r="T127" i="10" s="1"/>
  <c r="T9" i="9"/>
  <c r="T81" i="9"/>
  <c r="T81" i="10" s="1"/>
  <c r="T74" i="11"/>
  <c r="T234" i="12"/>
  <c r="T107" i="9"/>
  <c r="T107" i="10" s="1"/>
  <c r="T138" i="10"/>
  <c r="T138" i="11" s="1"/>
  <c r="T53" i="10"/>
  <c r="T152" i="9"/>
  <c r="T97" i="11"/>
  <c r="T257" i="12"/>
  <c r="T97" i="16" s="1"/>
  <c r="T5" i="9"/>
  <c r="U159" i="6"/>
  <c r="T118" i="9"/>
  <c r="T118" i="10" s="1"/>
  <c r="T121" i="11"/>
  <c r="T281" i="12"/>
  <c r="T145" i="11"/>
  <c r="T305" i="12"/>
  <c r="T145" i="16" s="1"/>
  <c r="T92" i="11"/>
  <c r="T252" i="12"/>
  <c r="T92" i="16" s="1"/>
  <c r="T86" i="11"/>
  <c r="T246" i="12"/>
  <c r="T62" i="9"/>
  <c r="T62" i="10" s="1"/>
  <c r="T82" i="9"/>
  <c r="T134" i="9"/>
  <c r="T116" i="10"/>
  <c r="T116" i="11" s="1"/>
  <c r="S215" i="12"/>
  <c r="S55" i="16" s="1"/>
  <c r="S305" i="13"/>
  <c r="S145" i="14" s="1"/>
  <c r="S145" i="15" s="1"/>
  <c r="S145" i="13"/>
  <c r="S87" i="16"/>
  <c r="S87" i="13"/>
  <c r="S247" i="13"/>
  <c r="S87" i="14" s="1"/>
  <c r="S80" i="16"/>
  <c r="S80" i="13"/>
  <c r="S240" i="13"/>
  <c r="S80" i="14" s="1"/>
  <c r="S26" i="16"/>
  <c r="S186" i="13"/>
  <c r="S26" i="14" s="1"/>
  <c r="S26" i="13"/>
  <c r="P229" i="17"/>
  <c r="P69" i="18" s="1"/>
  <c r="P69" i="17"/>
  <c r="P229" i="18"/>
  <c r="R69" i="15"/>
  <c r="R69" i="18"/>
  <c r="R230" i="18" s="1"/>
  <c r="P170" i="17"/>
  <c r="P10" i="18" s="1"/>
  <c r="P10" i="17"/>
  <c r="P60" i="18"/>
  <c r="P205" i="18"/>
  <c r="P302" i="17"/>
  <c r="P142" i="18" s="1"/>
  <c r="P142" i="17"/>
  <c r="Q8" i="17"/>
  <c r="Q168" i="17"/>
  <c r="Q8" i="18" s="1"/>
  <c r="Q168" i="18" s="1"/>
  <c r="P121" i="18"/>
  <c r="P288" i="18" s="1"/>
  <c r="P121" i="15"/>
  <c r="P250" i="17"/>
  <c r="P90" i="18" s="1"/>
  <c r="P90" i="17"/>
  <c r="P230" i="17"/>
  <c r="P70" i="18" s="1"/>
  <c r="P70" i="17"/>
  <c r="R147" i="16"/>
  <c r="R307" i="13"/>
  <c r="R147" i="14" s="1"/>
  <c r="R147" i="13"/>
  <c r="R271" i="17"/>
  <c r="R111" i="18" s="1"/>
  <c r="R278" i="18" s="1"/>
  <c r="R111" i="17"/>
  <c r="P67" i="17"/>
  <c r="P227" i="17"/>
  <c r="P67" i="18" s="1"/>
  <c r="P106" i="15"/>
  <c r="P41" i="15"/>
  <c r="R92" i="16"/>
  <c r="R92" i="13"/>
  <c r="R252" i="13"/>
  <c r="R92" i="14" s="1"/>
  <c r="S73" i="11"/>
  <c r="S148" i="10"/>
  <c r="S148" i="11" s="1"/>
  <c r="S172" i="13"/>
  <c r="S12" i="14" s="1"/>
  <c r="S12" i="15" s="1"/>
  <c r="S12" i="13"/>
  <c r="S125" i="10"/>
  <c r="S125" i="11" s="1"/>
  <c r="S147" i="13"/>
  <c r="S307" i="13"/>
  <c r="S147" i="14" s="1"/>
  <c r="S34" i="16"/>
  <c r="S34" i="13"/>
  <c r="S194" i="13"/>
  <c r="S34" i="14" s="1"/>
  <c r="Q247" i="17"/>
  <c r="Q87" i="18" s="1"/>
  <c r="Q251" i="18" s="1"/>
  <c r="Q87" i="17"/>
  <c r="P179" i="17"/>
  <c r="P19" i="18" s="1"/>
  <c r="P19" i="17"/>
  <c r="P202" i="17"/>
  <c r="P42" i="18" s="1"/>
  <c r="P202" i="18" s="1"/>
  <c r="P42" i="17"/>
  <c r="R31" i="15"/>
  <c r="R298" i="13"/>
  <c r="R138" i="14" s="1"/>
  <c r="R138" i="13"/>
  <c r="R22" i="16"/>
  <c r="R22" i="13"/>
  <c r="R182" i="13"/>
  <c r="R22" i="14" s="1"/>
  <c r="Q109" i="15"/>
  <c r="Q109" i="18"/>
  <c r="Q275" i="18" s="1"/>
  <c r="P269" i="17"/>
  <c r="P109" i="18" s="1"/>
  <c r="P109" i="17"/>
  <c r="R149" i="16"/>
  <c r="R309" i="13"/>
  <c r="R149" i="14" s="1"/>
  <c r="R149" i="13"/>
  <c r="R49" i="16"/>
  <c r="R209" i="13"/>
  <c r="R49" i="14" s="1"/>
  <c r="R49" i="13"/>
  <c r="R107" i="16"/>
  <c r="R267" i="13"/>
  <c r="R107" i="14" s="1"/>
  <c r="R107" i="13"/>
  <c r="Q275" i="17"/>
  <c r="Q115" i="18" s="1"/>
  <c r="Q115" i="17"/>
  <c r="Q268" i="17"/>
  <c r="Q108" i="18" s="1"/>
  <c r="Q274" i="18" s="1"/>
  <c r="Q108" i="17"/>
  <c r="P70" i="15"/>
  <c r="R99" i="18"/>
  <c r="R263" i="18" s="1"/>
  <c r="R201" i="17"/>
  <c r="R41" i="18" s="1"/>
  <c r="R201" i="18" s="1"/>
  <c r="R41" i="17"/>
  <c r="R8" i="15"/>
  <c r="R315" i="17"/>
  <c r="R155" i="18" s="1"/>
  <c r="R155" i="17"/>
  <c r="R258" i="13"/>
  <c r="R98" i="14" s="1"/>
  <c r="R98" i="15" s="1"/>
  <c r="R98" i="13"/>
  <c r="P152" i="18"/>
  <c r="Q157" i="17"/>
  <c r="Q317" i="17"/>
  <c r="Q157" i="18" s="1"/>
  <c r="R241" i="13"/>
  <c r="R81" i="14" s="1"/>
  <c r="R81" i="15" s="1"/>
  <c r="R81" i="13"/>
  <c r="R165" i="12"/>
  <c r="R5" i="16" s="1"/>
  <c r="S18" i="11"/>
  <c r="S178" i="12"/>
  <c r="S90" i="16"/>
  <c r="S250" i="13"/>
  <c r="S90" i="13"/>
  <c r="S251" i="12"/>
  <c r="S91" i="16" s="1"/>
  <c r="S124" i="16"/>
  <c r="S284" i="13"/>
  <c r="S124" i="13"/>
  <c r="S49" i="11"/>
  <c r="P35" i="15"/>
  <c r="P168" i="17"/>
  <c r="P8" i="18" s="1"/>
  <c r="P8" i="17"/>
  <c r="D137" i="20"/>
  <c r="R52" i="15"/>
  <c r="R52" i="18"/>
  <c r="R212" i="18" s="1"/>
  <c r="P81" i="18"/>
  <c r="P81" i="15"/>
  <c r="P282" i="17"/>
  <c r="P122" i="18" s="1"/>
  <c r="P122" i="17"/>
  <c r="Q176" i="17"/>
  <c r="Q16" i="18" s="1"/>
  <c r="Q16" i="17"/>
  <c r="R95" i="15"/>
  <c r="R246" i="17"/>
  <c r="R86" i="18" s="1"/>
  <c r="R250" i="18" s="1"/>
  <c r="R86" i="17"/>
  <c r="Q146" i="18"/>
  <c r="Q315" i="18" s="1"/>
  <c r="Q95" i="18"/>
  <c r="Q259" i="18" s="1"/>
  <c r="Z85" i="18"/>
  <c r="P89" i="18"/>
  <c r="P62" i="18"/>
  <c r="P222" i="18" s="1"/>
  <c r="Q13" i="18"/>
  <c r="Q173" i="18" s="1"/>
  <c r="P120" i="18"/>
  <c r="R150" i="18"/>
  <c r="R319" i="18" s="1"/>
  <c r="P118" i="18"/>
  <c r="Z77" i="18"/>
  <c r="Z77" i="15"/>
  <c r="R269" i="12"/>
  <c r="R109" i="16" s="1"/>
  <c r="R281" i="17"/>
  <c r="R121" i="18" s="1"/>
  <c r="R288" i="18" s="1"/>
  <c r="R121" i="17"/>
  <c r="P244" i="18"/>
  <c r="P282" i="18"/>
  <c r="P173" i="17"/>
  <c r="P13" i="18" s="1"/>
  <c r="P13" i="17"/>
  <c r="P20" i="17"/>
  <c r="P180" i="17"/>
  <c r="P20" i="18" s="1"/>
  <c r="Q152" i="18"/>
  <c r="Q322" i="18" s="1"/>
  <c r="Q152" i="15"/>
  <c r="P209" i="17"/>
  <c r="P49" i="18" s="1"/>
  <c r="P49" i="17"/>
  <c r="R141" i="15"/>
  <c r="R199" i="17"/>
  <c r="R39" i="18" s="1"/>
  <c r="R199" i="18" s="1"/>
  <c r="R39" i="17"/>
  <c r="R296" i="13"/>
  <c r="R136" i="14" s="1"/>
  <c r="R136" i="15" s="1"/>
  <c r="R136" i="13"/>
  <c r="R277" i="13"/>
  <c r="R117" i="14" s="1"/>
  <c r="R117" i="15" s="1"/>
  <c r="R117" i="13"/>
  <c r="S117" i="16"/>
  <c r="S277" i="13"/>
  <c r="S117" i="14" s="1"/>
  <c r="S117" i="13"/>
  <c r="S60" i="17"/>
  <c r="S220" i="17"/>
  <c r="S60" i="18" s="1"/>
  <c r="S220" i="18" s="1"/>
  <c r="S121" i="11"/>
  <c r="S281" i="12"/>
  <c r="S121" i="16" s="1"/>
  <c r="S23" i="16"/>
  <c r="S23" i="13"/>
  <c r="S183" i="13"/>
  <c r="S23" i="14" s="1"/>
  <c r="S282" i="17"/>
  <c r="S122" i="18" s="1"/>
  <c r="S289" i="18" s="1"/>
  <c r="S122" i="17"/>
  <c r="S65" i="16"/>
  <c r="S225" i="13"/>
  <c r="S65" i="14" s="1"/>
  <c r="S65" i="13"/>
  <c r="S5" i="11"/>
  <c r="S165" i="12"/>
  <c r="S83" i="16"/>
  <c r="S243" i="13"/>
  <c r="S83" i="14" s="1"/>
  <c r="S83" i="13"/>
  <c r="S212" i="12"/>
  <c r="S52" i="16" s="1"/>
  <c r="S108" i="10"/>
  <c r="S108" i="11" s="1"/>
  <c r="S9" i="13"/>
  <c r="S169" i="13"/>
  <c r="S9" i="14" s="1"/>
  <c r="S9" i="15" s="1"/>
  <c r="S123" i="14"/>
  <c r="P325" i="18"/>
  <c r="O288" i="18"/>
  <c r="P43" i="18"/>
  <c r="P43" i="15"/>
  <c r="P86" i="17"/>
  <c r="P246" i="17"/>
  <c r="P86" i="18" s="1"/>
  <c r="Q199" i="17"/>
  <c r="Q39" i="17"/>
  <c r="R280" i="17"/>
  <c r="R120" i="18" s="1"/>
  <c r="R287" i="18" s="1"/>
  <c r="R120" i="17"/>
  <c r="R16" i="18"/>
  <c r="R176" i="18" s="1"/>
  <c r="R16" i="15"/>
  <c r="R189" i="12"/>
  <c r="R101" i="13"/>
  <c r="R261" i="13"/>
  <c r="R101" i="14" s="1"/>
  <c r="Q111" i="15"/>
  <c r="Q111" i="18"/>
  <c r="Q278" i="18" s="1"/>
  <c r="P16" i="18"/>
  <c r="P176" i="18" s="1"/>
  <c r="P16" i="15"/>
  <c r="Q42" i="16"/>
  <c r="Q42" i="13"/>
  <c r="Q202" i="13"/>
  <c r="Q42" i="14" s="1"/>
  <c r="Q217" i="17"/>
  <c r="Q57" i="17"/>
  <c r="R299" i="13"/>
  <c r="R139" i="14" s="1"/>
  <c r="R139" i="15" s="1"/>
  <c r="R139" i="13"/>
  <c r="R268" i="13"/>
  <c r="R108" i="14" s="1"/>
  <c r="R108" i="13"/>
  <c r="R80" i="15"/>
  <c r="R80" i="18"/>
  <c r="R242" i="18" s="1"/>
  <c r="R282" i="13"/>
  <c r="R122" i="14" s="1"/>
  <c r="R122" i="13"/>
  <c r="R242" i="12"/>
  <c r="R82" i="16" s="1"/>
  <c r="P54" i="17"/>
  <c r="P214" i="17"/>
  <c r="P54" i="18" s="1"/>
  <c r="P259" i="17"/>
  <c r="P99" i="18" s="1"/>
  <c r="P99" i="17"/>
  <c r="Q41" i="17"/>
  <c r="Q201" i="17"/>
  <c r="Q174" i="17"/>
  <c r="Q14" i="17"/>
  <c r="Q241" i="17"/>
  <c r="Q81" i="18" s="1"/>
  <c r="Q243" i="18" s="1"/>
  <c r="Q81" i="17"/>
  <c r="P53" i="15"/>
  <c r="P53" i="18"/>
  <c r="O176" i="18"/>
  <c r="R146" i="18"/>
  <c r="R315" i="18" s="1"/>
  <c r="R146" i="15"/>
  <c r="R119" i="16"/>
  <c r="R279" i="13"/>
  <c r="R119" i="14" s="1"/>
  <c r="R119" i="13"/>
  <c r="R274" i="13"/>
  <c r="R114" i="14" s="1"/>
  <c r="R114" i="15" s="1"/>
  <c r="R114" i="13"/>
  <c r="T139" i="11"/>
  <c r="T299" i="12"/>
  <c r="T149" i="9"/>
  <c r="T149" i="10" s="1"/>
  <c r="T63" i="10"/>
  <c r="T63" i="11" s="1"/>
  <c r="T15" i="10"/>
  <c r="T15" i="11" s="1"/>
  <c r="T50" i="9"/>
  <c r="T50" i="10" s="1"/>
  <c r="T120" i="11"/>
  <c r="T280" i="12"/>
  <c r="T68" i="9"/>
  <c r="T68" i="10" s="1"/>
  <c r="T147" i="11"/>
  <c r="T307" i="12"/>
  <c r="T93" i="10"/>
  <c r="T49" i="9"/>
  <c r="T10" i="9"/>
  <c r="T146" i="10"/>
  <c r="T146" i="11" s="1"/>
  <c r="T67" i="9"/>
  <c r="T122" i="11"/>
  <c r="T282" i="12"/>
  <c r="T23" i="9"/>
  <c r="T13" i="11"/>
  <c r="T173" i="12"/>
  <c r="T13" i="16" s="1"/>
  <c r="T136" i="11"/>
  <c r="T296" i="12"/>
  <c r="T48" i="11"/>
  <c r="T208" i="12"/>
  <c r="T30" i="11"/>
  <c r="T190" i="12"/>
  <c r="T18" i="11"/>
  <c r="T178" i="12"/>
  <c r="T94" i="10"/>
  <c r="T254" i="12" s="1"/>
  <c r="T20" i="9"/>
  <c r="T20" i="10" s="1"/>
  <c r="T57" i="11"/>
  <c r="T217" i="12"/>
  <c r="T57" i="16" s="1"/>
  <c r="T158" i="11"/>
  <c r="T318" i="12"/>
  <c r="T73" i="10"/>
  <c r="T73" i="11" s="1"/>
  <c r="T55" i="10"/>
  <c r="T55" i="11" s="1"/>
  <c r="T98" i="11"/>
  <c r="T258" i="12"/>
  <c r="S315" i="12"/>
  <c r="S275" i="12"/>
  <c r="S115" i="16" s="1"/>
  <c r="S48" i="10"/>
  <c r="S47" i="11"/>
  <c r="S207" i="12"/>
  <c r="S170" i="12"/>
  <c r="S10" i="16" s="1"/>
  <c r="S271" i="12"/>
  <c r="S111" i="16" s="1"/>
  <c r="S223" i="12"/>
  <c r="S63" i="16" s="1"/>
  <c r="S175" i="12"/>
  <c r="S15" i="16" s="1"/>
  <c r="P134" i="18"/>
  <c r="P63" i="15"/>
  <c r="P26" i="15"/>
  <c r="P18" i="17"/>
  <c r="P178" i="17"/>
  <c r="P18" i="18" s="1"/>
  <c r="R53" i="15"/>
  <c r="R158" i="15"/>
  <c r="Q55" i="18"/>
  <c r="Q215" i="18" s="1"/>
  <c r="Q55" i="15"/>
  <c r="O174" i="18"/>
  <c r="Q41" i="14"/>
  <c r="R253" i="13"/>
  <c r="R93" i="14" s="1"/>
  <c r="R93" i="13"/>
  <c r="R142" i="17"/>
  <c r="R302" i="17"/>
  <c r="R285" i="17"/>
  <c r="R125" i="17"/>
  <c r="Q236" i="17"/>
  <c r="Q76" i="17"/>
  <c r="P106" i="17"/>
  <c r="P266" i="17"/>
  <c r="P106" i="18" s="1"/>
  <c r="P201" i="17"/>
  <c r="P41" i="18" s="1"/>
  <c r="P41" i="17"/>
  <c r="R68" i="14"/>
  <c r="R89" i="17"/>
  <c r="R249" i="17"/>
  <c r="S73" i="16"/>
  <c r="S73" i="13"/>
  <c r="S233" i="13"/>
  <c r="S246" i="12"/>
  <c r="S86" i="16" s="1"/>
  <c r="S134" i="13"/>
  <c r="S294" i="13"/>
  <c r="S134" i="14" s="1"/>
  <c r="S134" i="15" s="1"/>
  <c r="S82" i="16"/>
  <c r="S82" i="13"/>
  <c r="S242" i="13"/>
  <c r="S82" i="14" s="1"/>
  <c r="S291" i="12"/>
  <c r="S131" i="16" s="1"/>
  <c r="S156" i="14"/>
  <c r="S120" i="10"/>
  <c r="S99" i="10"/>
  <c r="S99" i="11" s="1"/>
  <c r="Q26" i="17"/>
  <c r="Q186" i="17"/>
  <c r="Q26" i="18" s="1"/>
  <c r="Q186" i="18" s="1"/>
  <c r="R208" i="17"/>
  <c r="R48" i="17"/>
  <c r="R233" i="13"/>
  <c r="R73" i="14" s="1"/>
  <c r="R73" i="13"/>
  <c r="Q139" i="17"/>
  <c r="Q299" i="17"/>
  <c r="Q139" i="18" s="1"/>
  <c r="Q89" i="17"/>
  <c r="Q249" i="17"/>
  <c r="Q89" i="18" s="1"/>
  <c r="Q253" i="18" s="1"/>
  <c r="Q141" i="15"/>
  <c r="R236" i="13"/>
  <c r="R76" i="14" s="1"/>
  <c r="R76" i="13"/>
  <c r="R250" i="12"/>
  <c r="Q67" i="13"/>
  <c r="Q227" i="13"/>
  <c r="Q67" i="14" s="1"/>
  <c r="Q67" i="15" s="1"/>
  <c r="Q138" i="17"/>
  <c r="Q298" i="17"/>
  <c r="Q138" i="18" s="1"/>
  <c r="Q306" i="18" s="1"/>
  <c r="R105" i="17"/>
  <c r="R265" i="17"/>
  <c r="R105" i="18" s="1"/>
  <c r="R271" i="18" s="1"/>
  <c r="R8" i="17"/>
  <c r="R168" i="17"/>
  <c r="R8" i="18" s="1"/>
  <c r="R168" i="18" s="1"/>
  <c r="P34" i="15"/>
  <c r="P98" i="15"/>
  <c r="R19" i="17"/>
  <c r="R179" i="17"/>
  <c r="R18" i="15"/>
  <c r="S42" i="16"/>
  <c r="S42" i="13"/>
  <c r="S202" i="13"/>
  <c r="S42" i="14" s="1"/>
  <c r="S146" i="16"/>
  <c r="S306" i="13"/>
  <c r="S146" i="14" s="1"/>
  <c r="S146" i="13"/>
  <c r="S127" i="16"/>
  <c r="S287" i="13"/>
  <c r="S127" i="14" s="1"/>
  <c r="S127" i="13"/>
  <c r="S205" i="17"/>
  <c r="S45" i="18" s="1"/>
  <c r="S205" i="18" s="1"/>
  <c r="S45" i="17"/>
  <c r="S49" i="16"/>
  <c r="S49" i="13"/>
  <c r="S209" i="13"/>
  <c r="S69" i="10"/>
  <c r="S69" i="11" s="1"/>
  <c r="S138" i="10"/>
  <c r="S141" i="11"/>
  <c r="S301" i="12"/>
  <c r="S214" i="13"/>
  <c r="S54" i="14" s="1"/>
  <c r="S54" i="15" s="1"/>
  <c r="S54" i="13"/>
  <c r="Q86" i="13"/>
  <c r="Q246" i="13"/>
  <c r="Q86" i="14" s="1"/>
  <c r="Q86" i="15" s="1"/>
  <c r="P57" i="18"/>
  <c r="P57" i="15"/>
  <c r="AA137" i="18"/>
  <c r="R214" i="17"/>
  <c r="R54" i="17"/>
  <c r="R275" i="17"/>
  <c r="R115" i="18" s="1"/>
  <c r="R282" i="18" s="1"/>
  <c r="R115" i="17"/>
  <c r="Q18" i="17"/>
  <c r="Q178" i="17"/>
  <c r="R317" i="17"/>
  <c r="R157" i="18" s="1"/>
  <c r="R328" i="18" s="1"/>
  <c r="R157" i="17"/>
  <c r="R95" i="17"/>
  <c r="R255" i="17"/>
  <c r="R95" i="18" s="1"/>
  <c r="R259" i="18" s="1"/>
  <c r="B65" i="22"/>
  <c r="D64" i="22"/>
  <c r="P7" i="18"/>
  <c r="P44" i="18"/>
  <c r="Q145" i="18"/>
  <c r="Q314" i="18" s="1"/>
  <c r="P29" i="18"/>
  <c r="P130" i="18"/>
  <c r="R26" i="18"/>
  <c r="R186" i="18" s="1"/>
  <c r="P116" i="18"/>
  <c r="Q60" i="18"/>
  <c r="Q220" i="18" s="1"/>
  <c r="P23" i="18"/>
  <c r="Q147" i="18"/>
  <c r="Q316" i="18" s="1"/>
  <c r="P73" i="18"/>
  <c r="P234" i="18" s="1"/>
  <c r="P76" i="18"/>
  <c r="P111" i="18"/>
  <c r="Q9" i="18"/>
  <c r="Q169" i="18" s="1"/>
  <c r="E440" i="1"/>
  <c r="D64" i="6"/>
  <c r="B65" i="6"/>
  <c r="D65" i="37" s="1"/>
  <c r="A65" i="37" s="1"/>
  <c r="B64" i="20"/>
  <c r="B64" i="10"/>
  <c r="B64" i="11"/>
  <c r="B224" i="12"/>
  <c r="B64" i="12"/>
  <c r="B224" i="13"/>
  <c r="B64" i="13"/>
  <c r="B64" i="14"/>
  <c r="B224" i="18"/>
  <c r="B64" i="15"/>
  <c r="B64" i="16"/>
  <c r="B224" i="17"/>
  <c r="B64" i="17"/>
  <c r="B64" i="18"/>
  <c r="B64" i="9"/>
  <c r="T164" i="1"/>
  <c r="R164" i="1"/>
  <c r="R142" i="18" l="1"/>
  <c r="R311" i="18" s="1"/>
  <c r="R19" i="18"/>
  <c r="R179" i="18" s="1"/>
  <c r="S62" i="14"/>
  <c r="Q14" i="18"/>
  <c r="Q174" i="18" s="1"/>
  <c r="S124" i="14"/>
  <c r="Q39" i="18"/>
  <c r="Q199" i="18" s="1"/>
  <c r="S114" i="15"/>
  <c r="S90" i="14"/>
  <c r="T65" i="11"/>
  <c r="R89" i="18"/>
  <c r="R253" i="18" s="1"/>
  <c r="R117" i="18"/>
  <c r="R284" i="18" s="1"/>
  <c r="S291" i="17"/>
  <c r="S131" i="17"/>
  <c r="P250" i="18"/>
  <c r="Q328" i="18"/>
  <c r="Q282" i="18"/>
  <c r="T257" i="17"/>
  <c r="T97" i="17"/>
  <c r="T43" i="17"/>
  <c r="T203" i="17"/>
  <c r="T194" i="17"/>
  <c r="T34" i="17"/>
  <c r="P306" i="18"/>
  <c r="S189" i="17"/>
  <c r="S29" i="17"/>
  <c r="T195" i="17"/>
  <c r="T35" i="17"/>
  <c r="P242" i="18"/>
  <c r="S13" i="17"/>
  <c r="S173" i="17"/>
  <c r="R223" i="17"/>
  <c r="R63" i="17"/>
  <c r="R7" i="17"/>
  <c r="R167" i="17"/>
  <c r="R76" i="15"/>
  <c r="R76" i="18"/>
  <c r="R237" i="18" s="1"/>
  <c r="Q307" i="18"/>
  <c r="P178" i="18"/>
  <c r="R242" i="17"/>
  <c r="R82" i="17"/>
  <c r="P180" i="18"/>
  <c r="R109" i="17"/>
  <c r="R269" i="17"/>
  <c r="Q176" i="18"/>
  <c r="P274" i="18"/>
  <c r="Q229" i="18"/>
  <c r="R207" i="18"/>
  <c r="P251" i="18"/>
  <c r="R12" i="17"/>
  <c r="R172" i="17"/>
  <c r="S210" i="17"/>
  <c r="S50" i="17"/>
  <c r="P215" i="18"/>
  <c r="S130" i="17"/>
  <c r="S290" i="17"/>
  <c r="S86" i="17"/>
  <c r="S246" i="17"/>
  <c r="P201" i="18"/>
  <c r="S271" i="17"/>
  <c r="S111" i="17"/>
  <c r="P263" i="18"/>
  <c r="P209" i="18"/>
  <c r="P168" i="18"/>
  <c r="R326" i="18"/>
  <c r="P190" i="18"/>
  <c r="Q165" i="18"/>
  <c r="S312" i="17"/>
  <c r="S152" i="17"/>
  <c r="T230" i="17"/>
  <c r="T70" i="17"/>
  <c r="Q266" i="18"/>
  <c r="S97" i="17"/>
  <c r="S257" i="17"/>
  <c r="P272" i="18"/>
  <c r="S15" i="17"/>
  <c r="S175" i="17"/>
  <c r="S10" i="17"/>
  <c r="S170" i="17"/>
  <c r="S275" i="17"/>
  <c r="S115" i="17"/>
  <c r="P275" i="18"/>
  <c r="P179" i="18"/>
  <c r="P228" i="18"/>
  <c r="P311" i="18"/>
  <c r="P170" i="18"/>
  <c r="P294" i="18"/>
  <c r="P258" i="18"/>
  <c r="P281" i="18"/>
  <c r="R205" i="17"/>
  <c r="R45" i="17"/>
  <c r="S252" i="17"/>
  <c r="S92" i="17"/>
  <c r="T131" i="17"/>
  <c r="T291" i="17"/>
  <c r="T251" i="17"/>
  <c r="T91" i="17"/>
  <c r="S298" i="12"/>
  <c r="S138" i="16" s="1"/>
  <c r="S146" i="15"/>
  <c r="S63" i="17"/>
  <c r="S223" i="17"/>
  <c r="S208" i="12"/>
  <c r="S48" i="16" s="1"/>
  <c r="T258" i="13"/>
  <c r="T98" i="14" s="1"/>
  <c r="T98" i="13"/>
  <c r="T48" i="16"/>
  <c r="T48" i="13"/>
  <c r="T208" i="13"/>
  <c r="T48" i="14" s="1"/>
  <c r="T67" i="10"/>
  <c r="T67" i="11" s="1"/>
  <c r="T50" i="11"/>
  <c r="T210" i="12"/>
  <c r="R119" i="15"/>
  <c r="R189" i="13"/>
  <c r="R29" i="14" s="1"/>
  <c r="R29" i="13"/>
  <c r="S251" i="17"/>
  <c r="S91" i="17"/>
  <c r="R165" i="17"/>
  <c r="R5" i="17"/>
  <c r="T213" i="12"/>
  <c r="T53" i="16" s="1"/>
  <c r="T127" i="11"/>
  <c r="T287" i="12"/>
  <c r="R23" i="15"/>
  <c r="P173" i="18"/>
  <c r="P235" i="18"/>
  <c r="S106" i="15"/>
  <c r="R106" i="16"/>
  <c r="R266" i="13"/>
  <c r="R106" i="14" s="1"/>
  <c r="R106" i="13"/>
  <c r="R148" i="18"/>
  <c r="R148" i="15"/>
  <c r="P254" i="18"/>
  <c r="S267" i="13"/>
  <c r="S107" i="14" s="1"/>
  <c r="S107" i="13"/>
  <c r="S261" i="13"/>
  <c r="S101" i="14" s="1"/>
  <c r="S101" i="13"/>
  <c r="T117" i="16"/>
  <c r="T277" i="13"/>
  <c r="T117" i="14" s="1"/>
  <c r="T117" i="13"/>
  <c r="T191" i="12"/>
  <c r="T109" i="16"/>
  <c r="T269" i="13"/>
  <c r="T109" i="14" s="1"/>
  <c r="T109" i="13"/>
  <c r="T103" i="16"/>
  <c r="T103" i="13"/>
  <c r="T263" i="13"/>
  <c r="T103" i="14" s="1"/>
  <c r="S227" i="13"/>
  <c r="S67" i="14" s="1"/>
  <c r="S67" i="13"/>
  <c r="R10" i="15"/>
  <c r="R10" i="18"/>
  <c r="R170" i="18" s="1"/>
  <c r="P316" i="18"/>
  <c r="P297" i="18"/>
  <c r="P204" i="18"/>
  <c r="D65" i="22"/>
  <c r="B66" i="22"/>
  <c r="S141" i="16"/>
  <c r="S141" i="13"/>
  <c r="S301" i="13"/>
  <c r="S141" i="14" s="1"/>
  <c r="S209" i="17"/>
  <c r="S49" i="17"/>
  <c r="S127" i="15"/>
  <c r="S146" i="17"/>
  <c r="S306" i="17"/>
  <c r="S146" i="18" s="1"/>
  <c r="P262" i="18"/>
  <c r="S82" i="15"/>
  <c r="R68" i="18"/>
  <c r="R229" i="18" s="1"/>
  <c r="R68" i="15"/>
  <c r="R93" i="15"/>
  <c r="R93" i="18"/>
  <c r="R257" i="18" s="1"/>
  <c r="P186" i="18"/>
  <c r="S223" i="13"/>
  <c r="S63" i="14" s="1"/>
  <c r="S63" i="13"/>
  <c r="S47" i="16"/>
  <c r="S207" i="13"/>
  <c r="S47" i="14" s="1"/>
  <c r="S47" i="13"/>
  <c r="S155" i="16"/>
  <c r="S315" i="13"/>
  <c r="S155" i="14" s="1"/>
  <c r="S155" i="13"/>
  <c r="T233" i="12"/>
  <c r="T73" i="16" s="1"/>
  <c r="T217" i="17"/>
  <c r="T57" i="17"/>
  <c r="T20" i="11"/>
  <c r="T180" i="12"/>
  <c r="T173" i="13"/>
  <c r="T13" i="14" s="1"/>
  <c r="T13" i="15" s="1"/>
  <c r="T13" i="13"/>
  <c r="T122" i="16"/>
  <c r="T122" i="13"/>
  <c r="T282" i="13"/>
  <c r="T122" i="14" s="1"/>
  <c r="T147" i="16"/>
  <c r="T307" i="13"/>
  <c r="T147" i="14" s="1"/>
  <c r="T147" i="13"/>
  <c r="T120" i="16"/>
  <c r="T280" i="13"/>
  <c r="T120" i="14" s="1"/>
  <c r="T120" i="13"/>
  <c r="R119" i="17"/>
  <c r="R279" i="17"/>
  <c r="R119" i="18" s="1"/>
  <c r="Q42" i="15"/>
  <c r="S212" i="17"/>
  <c r="S52" i="17"/>
  <c r="S83" i="17"/>
  <c r="S243" i="17"/>
  <c r="S83" i="18" s="1"/>
  <c r="S245" i="18" s="1"/>
  <c r="S65" i="15"/>
  <c r="S23" i="15"/>
  <c r="S121" i="13"/>
  <c r="S281" i="13"/>
  <c r="S121" i="14" s="1"/>
  <c r="S121" i="15" s="1"/>
  <c r="Z238" i="18"/>
  <c r="AA238" i="18" s="1"/>
  <c r="AA77" i="18"/>
  <c r="D77" i="20"/>
  <c r="P287" i="18"/>
  <c r="P253" i="18"/>
  <c r="P243" i="18"/>
  <c r="S91" i="13"/>
  <c r="S251" i="13"/>
  <c r="S91" i="14" s="1"/>
  <c r="S91" i="15" s="1"/>
  <c r="S18" i="16"/>
  <c r="S178" i="13"/>
  <c r="S18" i="14" s="1"/>
  <c r="S18" i="13"/>
  <c r="R165" i="13"/>
  <c r="R5" i="14" s="1"/>
  <c r="R5" i="13"/>
  <c r="R149" i="15"/>
  <c r="R182" i="17"/>
  <c r="R22" i="17"/>
  <c r="S285" i="12"/>
  <c r="S125" i="16" s="1"/>
  <c r="R147" i="15"/>
  <c r="P220" i="18"/>
  <c r="S186" i="17"/>
  <c r="S26" i="17"/>
  <c r="S80" i="17"/>
  <c r="S240" i="17"/>
  <c r="S80" i="18" s="1"/>
  <c r="S242" i="18" s="1"/>
  <c r="S247" i="17"/>
  <c r="S87" i="17"/>
  <c r="S215" i="17"/>
  <c r="S55" i="17"/>
  <c r="T252" i="17"/>
  <c r="T92" i="17"/>
  <c r="T305" i="17"/>
  <c r="T145" i="17"/>
  <c r="T5" i="10"/>
  <c r="T5" i="11" s="1"/>
  <c r="T74" i="16"/>
  <c r="T74" i="13"/>
  <c r="T234" i="13"/>
  <c r="T74" i="14" s="1"/>
  <c r="T108" i="16"/>
  <c r="T268" i="13"/>
  <c r="T108" i="14" s="1"/>
  <c r="T108" i="13"/>
  <c r="T129" i="11"/>
  <c r="T289" i="12"/>
  <c r="R103" i="16"/>
  <c r="R263" i="13"/>
  <c r="R103" i="14" s="1"/>
  <c r="R103" i="13"/>
  <c r="S118" i="16"/>
  <c r="S118" i="13"/>
  <c r="S278" i="13"/>
  <c r="S118" i="14" s="1"/>
  <c r="R136" i="18"/>
  <c r="R291" i="17"/>
  <c r="R131" i="17"/>
  <c r="R43" i="17"/>
  <c r="R203" i="17"/>
  <c r="P261" i="18"/>
  <c r="P208" i="18"/>
  <c r="R154" i="15"/>
  <c r="Q233" i="17"/>
  <c r="Q73" i="18" s="1"/>
  <c r="Q234" i="18" s="1"/>
  <c r="Q73" i="17"/>
  <c r="S191" i="17"/>
  <c r="S31" i="17"/>
  <c r="S95" i="15"/>
  <c r="S53" i="15"/>
  <c r="S98" i="15"/>
  <c r="S309" i="17"/>
  <c r="S149" i="17"/>
  <c r="S20" i="17"/>
  <c r="S180" i="17"/>
  <c r="R70" i="15"/>
  <c r="R116" i="18"/>
  <c r="R283" i="18" s="1"/>
  <c r="R116" i="15"/>
  <c r="S253" i="13"/>
  <c r="S93" i="14" s="1"/>
  <c r="S93" i="15" s="1"/>
  <c r="S93" i="13"/>
  <c r="T29" i="10"/>
  <c r="T29" i="11" s="1"/>
  <c r="T310" i="13"/>
  <c r="T150" i="14" s="1"/>
  <c r="T150" i="15" s="1"/>
  <c r="T150" i="13"/>
  <c r="T65" i="16"/>
  <c r="T65" i="13"/>
  <c r="T225" i="13"/>
  <c r="T65" i="14" s="1"/>
  <c r="T167" i="12"/>
  <c r="T7" i="16" s="1"/>
  <c r="T26" i="16"/>
  <c r="T186" i="13"/>
  <c r="T26" i="14" s="1"/>
  <c r="T26" i="13"/>
  <c r="T301" i="12"/>
  <c r="R74" i="15"/>
  <c r="R62" i="16"/>
  <c r="R62" i="13"/>
  <c r="R222" i="13"/>
  <c r="R62" i="14" s="1"/>
  <c r="S41" i="16"/>
  <c r="S41" i="13"/>
  <c r="S201" i="13"/>
  <c r="S41" i="14" s="1"/>
  <c r="S310" i="12"/>
  <c r="S14" i="14"/>
  <c r="R65" i="13"/>
  <c r="R225" i="13"/>
  <c r="R65" i="14" s="1"/>
  <c r="R65" i="15" s="1"/>
  <c r="P255" i="18"/>
  <c r="P315" i="18"/>
  <c r="R54" i="15"/>
  <c r="R54" i="18"/>
  <c r="R214" i="18" s="1"/>
  <c r="S204" i="17"/>
  <c r="S44" i="18" s="1"/>
  <c r="S204" i="18" s="1"/>
  <c r="S44" i="17"/>
  <c r="S8" i="16"/>
  <c r="S168" i="13"/>
  <c r="S8" i="14" s="1"/>
  <c r="S8" i="13"/>
  <c r="P310" i="18"/>
  <c r="S68" i="16"/>
  <c r="S228" i="13"/>
  <c r="S68" i="14" s="1"/>
  <c r="S68" i="13"/>
  <c r="S142" i="16"/>
  <c r="S302" i="13"/>
  <c r="S142" i="14" s="1"/>
  <c r="S142" i="13"/>
  <c r="S230" i="17"/>
  <c r="S70" i="18" s="1"/>
  <c r="S231" i="18" s="1"/>
  <c r="S70" i="17"/>
  <c r="R129" i="15"/>
  <c r="S157" i="15"/>
  <c r="S7" i="15"/>
  <c r="U149" i="11"/>
  <c r="U309" i="12"/>
  <c r="U49" i="10"/>
  <c r="U209" i="12" s="1"/>
  <c r="U15" i="11"/>
  <c r="U175" i="12"/>
  <c r="U15" i="16"/>
  <c r="U63" i="9"/>
  <c r="U63" i="10" s="1"/>
  <c r="U147" i="10"/>
  <c r="U307" i="12" s="1"/>
  <c r="U115" i="10"/>
  <c r="U115" i="11"/>
  <c r="U47" i="11"/>
  <c r="U207" i="12"/>
  <c r="U47" i="16" s="1"/>
  <c r="U114" i="11"/>
  <c r="U274" i="12"/>
  <c r="U26" i="11"/>
  <c r="U186" i="12"/>
  <c r="U26" i="16" s="1"/>
  <c r="U130" i="9"/>
  <c r="U130" i="10" s="1"/>
  <c r="U109" i="9"/>
  <c r="U109" i="10" s="1"/>
  <c r="U43" i="9"/>
  <c r="U125" i="11"/>
  <c r="U285" i="12"/>
  <c r="U91" i="9"/>
  <c r="U70" i="11"/>
  <c r="U230" i="12"/>
  <c r="U107" i="11"/>
  <c r="U267" i="12"/>
  <c r="U65" i="9"/>
  <c r="U65" i="10" s="1"/>
  <c r="U13" i="9"/>
  <c r="U101" i="11"/>
  <c r="U261" i="12"/>
  <c r="U121" i="9"/>
  <c r="U121" i="10" s="1"/>
  <c r="U57" i="9"/>
  <c r="U134" i="11"/>
  <c r="U294" i="12"/>
  <c r="U134" i="16" s="1"/>
  <c r="U22" i="11"/>
  <c r="U182" i="12"/>
  <c r="U22" i="16" s="1"/>
  <c r="U29" i="10"/>
  <c r="U189" i="12" s="1"/>
  <c r="U158" i="10"/>
  <c r="U158" i="11" s="1"/>
  <c r="U155" i="11"/>
  <c r="U315" i="12"/>
  <c r="U155" i="16" s="1"/>
  <c r="U116" i="11"/>
  <c r="U276" i="12"/>
  <c r="U116" i="16" s="1"/>
  <c r="T8" i="16"/>
  <c r="T168" i="13"/>
  <c r="T8" i="14" s="1"/>
  <c r="T8" i="13"/>
  <c r="T16" i="16"/>
  <c r="T16" i="13"/>
  <c r="T176" i="13"/>
  <c r="T16" i="14" s="1"/>
  <c r="T115" i="11"/>
  <c r="T275" i="12"/>
  <c r="T115" i="16" s="1"/>
  <c r="T52" i="16"/>
  <c r="T52" i="13"/>
  <c r="T212" i="13"/>
  <c r="T52" i="14" s="1"/>
  <c r="T44" i="16"/>
  <c r="T204" i="13"/>
  <c r="T44" i="14" s="1"/>
  <c r="T44" i="13"/>
  <c r="T19" i="16"/>
  <c r="T19" i="13"/>
  <c r="T179" i="13"/>
  <c r="T19" i="14" s="1"/>
  <c r="P284" i="18"/>
  <c r="R15" i="15"/>
  <c r="R50" i="18"/>
  <c r="R9" i="15"/>
  <c r="Q57" i="18"/>
  <c r="Q217" i="18" s="1"/>
  <c r="Q57" i="15"/>
  <c r="P223" i="18"/>
  <c r="P269" i="18"/>
  <c r="S54" i="18"/>
  <c r="S214" i="18" s="1"/>
  <c r="Q67" i="18"/>
  <c r="Q228" i="18" s="1"/>
  <c r="R139" i="18"/>
  <c r="R307" i="18" s="1"/>
  <c r="S134" i="18"/>
  <c r="S301" i="18" s="1"/>
  <c r="P237" i="18"/>
  <c r="S280" i="12"/>
  <c r="S120" i="16" s="1"/>
  <c r="P301" i="18"/>
  <c r="T13" i="17"/>
  <c r="T173" i="17"/>
  <c r="T13" i="18" s="1"/>
  <c r="T173" i="18" s="1"/>
  <c r="T10" i="10"/>
  <c r="T10" i="11" s="1"/>
  <c r="T253" i="12"/>
  <c r="T93" i="16" s="1"/>
  <c r="R108" i="15"/>
  <c r="R108" i="18"/>
  <c r="R274" i="18" s="1"/>
  <c r="R101" i="18"/>
  <c r="R266" i="18" s="1"/>
  <c r="R101" i="15"/>
  <c r="P203" i="18"/>
  <c r="S34" i="17"/>
  <c r="S194" i="17"/>
  <c r="R92" i="15"/>
  <c r="P231" i="18"/>
  <c r="T82" i="10"/>
  <c r="T82" i="11" s="1"/>
  <c r="T107" i="11"/>
  <c r="T267" i="12"/>
  <c r="T214" i="12"/>
  <c r="T54" i="16" s="1"/>
  <c r="P289" i="18"/>
  <c r="Q73" i="15"/>
  <c r="R156" i="16"/>
  <c r="R156" i="13"/>
  <c r="R316" i="13"/>
  <c r="R156" i="14" s="1"/>
  <c r="S43" i="17"/>
  <c r="S203" i="17"/>
  <c r="S43" i="18" s="1"/>
  <c r="S203" i="18" s="1"/>
  <c r="S253" i="17"/>
  <c r="S93" i="17"/>
  <c r="S136" i="16"/>
  <c r="S136" i="13"/>
  <c r="S296" i="13"/>
  <c r="S136" i="14" s="1"/>
  <c r="T12" i="11"/>
  <c r="T172" i="12"/>
  <c r="T114" i="16"/>
  <c r="T114" i="13"/>
  <c r="T274" i="13"/>
  <c r="T114" i="14" s="1"/>
  <c r="S314" i="17"/>
  <c r="S154" i="18" s="1"/>
  <c r="S325" i="18" s="1"/>
  <c r="S154" i="17"/>
  <c r="S195" i="17"/>
  <c r="S35" i="17"/>
  <c r="R225" i="17"/>
  <c r="R65" i="18" s="1"/>
  <c r="R65" i="17"/>
  <c r="P172" i="18"/>
  <c r="P189" i="18"/>
  <c r="S229" i="12"/>
  <c r="S127" i="17"/>
  <c r="S287" i="17"/>
  <c r="S127" i="18" s="1"/>
  <c r="S294" i="18" s="1"/>
  <c r="S42" i="15"/>
  <c r="R73" i="15"/>
  <c r="R73" i="18"/>
  <c r="R234" i="18" s="1"/>
  <c r="S259" i="12"/>
  <c r="S99" i="16" s="1"/>
  <c r="S73" i="17"/>
  <c r="S233" i="17"/>
  <c r="S62" i="15"/>
  <c r="T217" i="13"/>
  <c r="T57" i="14" s="1"/>
  <c r="T57" i="15" s="1"/>
  <c r="T57" i="13"/>
  <c r="T94" i="11"/>
  <c r="T30" i="16"/>
  <c r="T190" i="13"/>
  <c r="T30" i="14" s="1"/>
  <c r="T30" i="13"/>
  <c r="T136" i="16"/>
  <c r="T296" i="13"/>
  <c r="T136" i="14" s="1"/>
  <c r="T136" i="13"/>
  <c r="T306" i="12"/>
  <c r="T49" i="10"/>
  <c r="T49" i="11" s="1"/>
  <c r="T175" i="12"/>
  <c r="T15" i="16" s="1"/>
  <c r="T149" i="11"/>
  <c r="T309" i="12"/>
  <c r="R242" i="13"/>
  <c r="R82" i="14" s="1"/>
  <c r="R82" i="15" s="1"/>
  <c r="R82" i="13"/>
  <c r="S212" i="13"/>
  <c r="S52" i="14" s="1"/>
  <c r="S52" i="15" s="1"/>
  <c r="S52" i="13"/>
  <c r="S5" i="16"/>
  <c r="S165" i="13"/>
  <c r="S5" i="14" s="1"/>
  <c r="S5" i="13"/>
  <c r="S65" i="17"/>
  <c r="S225" i="17"/>
  <c r="S65" i="18" s="1"/>
  <c r="S225" i="18" s="1"/>
  <c r="S117" i="15"/>
  <c r="Z248" i="18"/>
  <c r="AA248" i="18" s="1"/>
  <c r="AA85" i="18"/>
  <c r="D85" i="20"/>
  <c r="S284" i="17"/>
  <c r="S124" i="17"/>
  <c r="P322" i="18"/>
  <c r="R49" i="15"/>
  <c r="R149" i="17"/>
  <c r="R309" i="17"/>
  <c r="R149" i="18" s="1"/>
  <c r="S34" i="15"/>
  <c r="S34" i="18"/>
  <c r="S194" i="18" s="1"/>
  <c r="S147" i="18"/>
  <c r="S316" i="18" s="1"/>
  <c r="S147" i="15"/>
  <c r="S308" i="12"/>
  <c r="R92" i="17"/>
  <c r="R252" i="17"/>
  <c r="R92" i="18" s="1"/>
  <c r="R307" i="17"/>
  <c r="R147" i="18" s="1"/>
  <c r="R147" i="17"/>
  <c r="S215" i="13"/>
  <c r="S55" i="14" s="1"/>
  <c r="S55" i="13"/>
  <c r="T134" i="10"/>
  <c r="T134" i="11" s="1"/>
  <c r="T62" i="11"/>
  <c r="T222" i="12"/>
  <c r="T252" i="13"/>
  <c r="T92" i="14" s="1"/>
  <c r="T92" i="15" s="1"/>
  <c r="T92" i="13"/>
  <c r="T305" i="13"/>
  <c r="T145" i="14" s="1"/>
  <c r="T145" i="15" s="1"/>
  <c r="T145" i="13"/>
  <c r="T152" i="10"/>
  <c r="T152" i="11" s="1"/>
  <c r="T298" i="12"/>
  <c r="T138" i="16" s="1"/>
  <c r="T9" i="10"/>
  <c r="T9" i="11" s="1"/>
  <c r="T199" i="12"/>
  <c r="T39" i="16" s="1"/>
  <c r="T194" i="13"/>
  <c r="T34" i="14" s="1"/>
  <c r="T34" i="15" s="1"/>
  <c r="T34" i="13"/>
  <c r="R23" i="17"/>
  <c r="R183" i="17"/>
  <c r="R23" i="18" s="1"/>
  <c r="S241" i="17"/>
  <c r="S81" i="17"/>
  <c r="S174" i="17"/>
  <c r="S14" i="17"/>
  <c r="P182" i="18"/>
  <c r="S31" i="13"/>
  <c r="S191" i="13"/>
  <c r="S31" i="14" s="1"/>
  <c r="S31" i="15" s="1"/>
  <c r="S255" i="17"/>
  <c r="S95" i="18" s="1"/>
  <c r="S95" i="17"/>
  <c r="S213" i="17"/>
  <c r="S53" i="18" s="1"/>
  <c r="S53" i="17"/>
  <c r="S266" i="17"/>
  <c r="S106" i="18" s="1"/>
  <c r="S272" i="18" s="1"/>
  <c r="S106" i="17"/>
  <c r="Q257" i="18"/>
  <c r="R12" i="13"/>
  <c r="R172" i="13"/>
  <c r="R12" i="14" s="1"/>
  <c r="R12" i="15" s="1"/>
  <c r="R134" i="16"/>
  <c r="R294" i="13"/>
  <c r="R134" i="14" s="1"/>
  <c r="R134" i="13"/>
  <c r="Q125" i="15"/>
  <c r="Q125" i="18"/>
  <c r="S43" i="15"/>
  <c r="S74" i="15"/>
  <c r="S116" i="16"/>
  <c r="S276" i="13"/>
  <c r="S116" i="14" s="1"/>
  <c r="S116" i="13"/>
  <c r="R70" i="17"/>
  <c r="R230" i="17"/>
  <c r="R70" i="18" s="1"/>
  <c r="Q121" i="15"/>
  <c r="R257" i="17"/>
  <c r="R97" i="17"/>
  <c r="R44" i="16"/>
  <c r="R204" i="13"/>
  <c r="R44" i="14" s="1"/>
  <c r="R44" i="13"/>
  <c r="S210" i="13"/>
  <c r="S50" i="14" s="1"/>
  <c r="S50" i="15" s="1"/>
  <c r="S50" i="13"/>
  <c r="S152" i="13"/>
  <c r="S312" i="13"/>
  <c r="S152" i="14" s="1"/>
  <c r="S189" i="13"/>
  <c r="S29" i="14" s="1"/>
  <c r="S29" i="15" s="1"/>
  <c r="S29" i="13"/>
  <c r="T60" i="10"/>
  <c r="T220" i="12" s="1"/>
  <c r="T195" i="13"/>
  <c r="T35" i="14" s="1"/>
  <c r="T35" i="15" s="1"/>
  <c r="T35" i="13"/>
  <c r="T155" i="16"/>
  <c r="T315" i="13"/>
  <c r="T155" i="14" s="1"/>
  <c r="T155" i="13"/>
  <c r="T80" i="11"/>
  <c r="T240" i="12"/>
  <c r="T230" i="13"/>
  <c r="T70" i="14" s="1"/>
  <c r="T70" i="15" s="1"/>
  <c r="T70" i="13"/>
  <c r="T130" i="16"/>
  <c r="T130" i="13"/>
  <c r="T290" i="13"/>
  <c r="T130" i="14" s="1"/>
  <c r="T142" i="16"/>
  <c r="T142" i="13"/>
  <c r="T302" i="13"/>
  <c r="T142" i="14" s="1"/>
  <c r="T111" i="16"/>
  <c r="T271" i="13"/>
  <c r="T111" i="14" s="1"/>
  <c r="T111" i="13"/>
  <c r="T47" i="16"/>
  <c r="T47" i="13"/>
  <c r="T207" i="13"/>
  <c r="T47" i="14" s="1"/>
  <c r="T99" i="16"/>
  <c r="T259" i="13"/>
  <c r="T99" i="14" s="1"/>
  <c r="T99" i="13"/>
  <c r="R234" i="17"/>
  <c r="R74" i="18" s="1"/>
  <c r="R74" i="17"/>
  <c r="S154" i="15"/>
  <c r="S139" i="15"/>
  <c r="R173" i="17"/>
  <c r="R13" i="17"/>
  <c r="P327" i="18"/>
  <c r="R48" i="18"/>
  <c r="R208" i="18" s="1"/>
  <c r="R48" i="15"/>
  <c r="S263" i="17"/>
  <c r="S103" i="18" s="1"/>
  <c r="S269" i="18" s="1"/>
  <c r="S103" i="17"/>
  <c r="S257" i="13"/>
  <c r="S97" i="14" s="1"/>
  <c r="S97" i="15" s="1"/>
  <c r="S97" i="13"/>
  <c r="R124" i="15"/>
  <c r="R287" i="17"/>
  <c r="R127" i="17"/>
  <c r="R79" i="16"/>
  <c r="R79" i="13"/>
  <c r="R239" i="13"/>
  <c r="R79" i="14" s="1"/>
  <c r="S105" i="15"/>
  <c r="S76" i="15"/>
  <c r="S158" i="15"/>
  <c r="Q76" i="15"/>
  <c r="Q76" i="18"/>
  <c r="Q237" i="18" s="1"/>
  <c r="R129" i="17"/>
  <c r="R289" i="17"/>
  <c r="R129" i="18" s="1"/>
  <c r="S129" i="15"/>
  <c r="S157" i="17"/>
  <c r="S317" i="17"/>
  <c r="S157" i="18" s="1"/>
  <c r="S269" i="17"/>
  <c r="S109" i="17"/>
  <c r="S114" i="17"/>
  <c r="S274" i="17"/>
  <c r="S114" i="18" s="1"/>
  <c r="S281" i="18" s="1"/>
  <c r="S167" i="17"/>
  <c r="S7" i="18" s="1"/>
  <c r="S167" i="18" s="1"/>
  <c r="S7" i="17"/>
  <c r="U103" i="10"/>
  <c r="U103" i="11" s="1"/>
  <c r="U105" i="9"/>
  <c r="U141" i="11"/>
  <c r="U301" i="12"/>
  <c r="U141" i="16" s="1"/>
  <c r="U123" i="11"/>
  <c r="U283" i="12"/>
  <c r="U41" i="9"/>
  <c r="U41" i="10" s="1"/>
  <c r="U52" i="11"/>
  <c r="U212" i="12"/>
  <c r="U52" i="16" s="1"/>
  <c r="U39" i="10"/>
  <c r="U39" i="11" s="1"/>
  <c r="U108" i="9"/>
  <c r="U108" i="10" s="1"/>
  <c r="U127" i="11"/>
  <c r="U287" i="12"/>
  <c r="U119" i="10"/>
  <c r="U119" i="11" s="1"/>
  <c r="U81" i="11"/>
  <c r="U241" i="12"/>
  <c r="U81" i="16" s="1"/>
  <c r="U95" i="11"/>
  <c r="U255" i="12"/>
  <c r="U122" i="10"/>
  <c r="U122" i="11" s="1"/>
  <c r="U136" i="9"/>
  <c r="U152" i="10"/>
  <c r="U152" i="11" s="1"/>
  <c r="U80" i="10"/>
  <c r="U80" i="11" s="1"/>
  <c r="U7" i="9"/>
  <c r="U97" i="11"/>
  <c r="U257" i="12"/>
  <c r="U55" i="11"/>
  <c r="U215" i="12"/>
  <c r="U90" i="10"/>
  <c r="U250" i="12" s="1"/>
  <c r="U92" i="11"/>
  <c r="U252" i="12"/>
  <c r="U92" i="16" s="1"/>
  <c r="U16" i="9"/>
  <c r="U16" i="10" s="1"/>
  <c r="U8" i="11"/>
  <c r="U168" i="12"/>
  <c r="U86" i="10"/>
  <c r="U86" i="11" s="1"/>
  <c r="U12" i="11"/>
  <c r="U172" i="12"/>
  <c r="U12" i="16" s="1"/>
  <c r="U62" i="10"/>
  <c r="U62" i="11" s="1"/>
  <c r="X4" i="6"/>
  <c r="W73" i="6"/>
  <c r="V73" i="9" s="1"/>
  <c r="W117" i="6"/>
  <c r="V117" i="9" s="1"/>
  <c r="V117" i="10" s="1"/>
  <c r="W35" i="6"/>
  <c r="V35" i="9" s="1"/>
  <c r="W86" i="6"/>
  <c r="V86" i="9" s="1"/>
  <c r="W29" i="6"/>
  <c r="V29" i="9" s="1"/>
  <c r="V29" i="10" s="1"/>
  <c r="W145" i="6"/>
  <c r="V145" i="9" s="1"/>
  <c r="V145" i="10" s="1"/>
  <c r="W116" i="6"/>
  <c r="V116" i="9" s="1"/>
  <c r="W22" i="6"/>
  <c r="V22" i="9" s="1"/>
  <c r="V22" i="10" s="1"/>
  <c r="W98" i="6"/>
  <c r="V98" i="9" s="1"/>
  <c r="V98" i="10" s="1"/>
  <c r="W55" i="6"/>
  <c r="V55" i="9" s="1"/>
  <c r="W16" i="6"/>
  <c r="V16" i="9" s="1"/>
  <c r="V16" i="10" s="1"/>
  <c r="W101" i="6"/>
  <c r="V101" i="9" s="1"/>
  <c r="W134" i="6"/>
  <c r="V134" i="9" s="1"/>
  <c r="W82" i="6"/>
  <c r="V82" i="9" s="1"/>
  <c r="W92" i="6"/>
  <c r="V92" i="9" s="1"/>
  <c r="V92" i="10" s="1"/>
  <c r="W42" i="6"/>
  <c r="V42" i="9" s="1"/>
  <c r="W94" i="6"/>
  <c r="V94" i="9" s="1"/>
  <c r="V94" i="10" s="1"/>
  <c r="W155" i="6"/>
  <c r="V155" i="9" s="1"/>
  <c r="V155" i="10" s="1"/>
  <c r="W87" i="6"/>
  <c r="V87" i="9" s="1"/>
  <c r="V87" i="10" s="1"/>
  <c r="W57" i="6"/>
  <c r="V57" i="9" s="1"/>
  <c r="V57" i="10" s="1"/>
  <c r="W148" i="6"/>
  <c r="V148" i="9" s="1"/>
  <c r="W90" i="6"/>
  <c r="V90" i="9" s="1"/>
  <c r="W121" i="6"/>
  <c r="V121" i="9" s="1"/>
  <c r="V121" i="10" s="1"/>
  <c r="W62" i="6"/>
  <c r="V62" i="9" s="1"/>
  <c r="V62" i="10" s="1"/>
  <c r="W14" i="6"/>
  <c r="V14" i="9" s="1"/>
  <c r="W106" i="6"/>
  <c r="V106" i="9" s="1"/>
  <c r="V106" i="10" s="1"/>
  <c r="W20" i="6"/>
  <c r="V20" i="9" s="1"/>
  <c r="W8" i="6"/>
  <c r="V8" i="9" s="1"/>
  <c r="V8" i="10" s="1"/>
  <c r="W60" i="6"/>
  <c r="V60" i="9" s="1"/>
  <c r="W158" i="6"/>
  <c r="V158" i="9" s="1"/>
  <c r="V158" i="10" s="1"/>
  <c r="W18" i="6"/>
  <c r="V18" i="9" s="1"/>
  <c r="W107" i="6"/>
  <c r="W150" i="6"/>
  <c r="V150" i="9" s="1"/>
  <c r="V150" i="10" s="1"/>
  <c r="W53" i="6"/>
  <c r="V53" i="9" s="1"/>
  <c r="W131" i="6"/>
  <c r="V131" i="9" s="1"/>
  <c r="V131" i="10" s="1"/>
  <c r="W115" i="6"/>
  <c r="V115" i="9" s="1"/>
  <c r="V115" i="10" s="1"/>
  <c r="W7" i="6"/>
  <c r="V7" i="9" s="1"/>
  <c r="W156" i="6"/>
  <c r="V156" i="9" s="1"/>
  <c r="W5" i="6"/>
  <c r="W125" i="6"/>
  <c r="V125" i="9" s="1"/>
  <c r="V125" i="10" s="1"/>
  <c r="W122" i="6"/>
  <c r="V122" i="9" s="1"/>
  <c r="W152" i="6"/>
  <c r="W70" i="6"/>
  <c r="V70" i="9" s="1"/>
  <c r="W30" i="6"/>
  <c r="V30" i="9" s="1"/>
  <c r="W118" i="6"/>
  <c r="V118" i="9" s="1"/>
  <c r="W13" i="6"/>
  <c r="V13" i="9" s="1"/>
  <c r="W12" i="6"/>
  <c r="W23" i="6"/>
  <c r="W67" i="6"/>
  <c r="V67" i="9" s="1"/>
  <c r="V67" i="10" s="1"/>
  <c r="W65" i="6"/>
  <c r="V65" i="9" s="1"/>
  <c r="W80" i="6"/>
  <c r="V80" i="9" s="1"/>
  <c r="V80" i="10" s="1"/>
  <c r="W48" i="6"/>
  <c r="V48" i="9" s="1"/>
  <c r="V48" i="10" s="1"/>
  <c r="W136" i="6"/>
  <c r="V136" i="9" s="1"/>
  <c r="V136" i="10" s="1"/>
  <c r="W91" i="6"/>
  <c r="V91" i="9" s="1"/>
  <c r="V91" i="10" s="1"/>
  <c r="W97" i="6"/>
  <c r="V97" i="9" s="1"/>
  <c r="V97" i="10" s="1"/>
  <c r="W111" i="6"/>
  <c r="V111" i="9" s="1"/>
  <c r="W45" i="6"/>
  <c r="V45" i="9" s="1"/>
  <c r="V45" i="10" s="1"/>
  <c r="W142" i="6"/>
  <c r="V142" i="9" s="1"/>
  <c r="W68" i="6"/>
  <c r="V68" i="9" s="1"/>
  <c r="W69" i="6"/>
  <c r="V69" i="9" s="1"/>
  <c r="V69" i="10" s="1"/>
  <c r="W127" i="6"/>
  <c r="W26" i="6"/>
  <c r="V26" i="9" s="1"/>
  <c r="W109" i="6"/>
  <c r="V109" i="9" s="1"/>
  <c r="W120" i="6"/>
  <c r="V120" i="9" s="1"/>
  <c r="V120" i="10" s="1"/>
  <c r="W19" i="6"/>
  <c r="V19" i="9" s="1"/>
  <c r="V19" i="10" s="1"/>
  <c r="W108" i="6"/>
  <c r="V108" i="9" s="1"/>
  <c r="V108" i="10" s="1"/>
  <c r="W124" i="6"/>
  <c r="V124" i="9" s="1"/>
  <c r="V124" i="10" s="1"/>
  <c r="W10" i="6"/>
  <c r="V10" i="9" s="1"/>
  <c r="W52" i="6"/>
  <c r="V52" i="9" s="1"/>
  <c r="V52" i="10" s="1"/>
  <c r="W147" i="6"/>
  <c r="V147" i="9" s="1"/>
  <c r="W39" i="6"/>
  <c r="V39" i="9" s="1"/>
  <c r="W49" i="6"/>
  <c r="W9" i="6"/>
  <c r="V9" i="9" s="1"/>
  <c r="V9" i="10" s="1"/>
  <c r="W95" i="6"/>
  <c r="V95" i="9" s="1"/>
  <c r="V95" i="10" s="1"/>
  <c r="W146" i="6"/>
  <c r="V146" i="9" s="1"/>
  <c r="V146" i="10" s="1"/>
  <c r="W31" i="6"/>
  <c r="V31" i="9" s="1"/>
  <c r="V31" i="10" s="1"/>
  <c r="W89" i="6"/>
  <c r="V89" i="9" s="1"/>
  <c r="W114" i="6"/>
  <c r="V114" i="9" s="1"/>
  <c r="V114" i="10" s="1"/>
  <c r="W81" i="6"/>
  <c r="V81" i="9" s="1"/>
  <c r="V81" i="10" s="1"/>
  <c r="W41" i="6"/>
  <c r="V41" i="9" s="1"/>
  <c r="W44" i="6"/>
  <c r="V44" i="9" s="1"/>
  <c r="V44" i="10" s="1"/>
  <c r="W93" i="6"/>
  <c r="V93" i="9" s="1"/>
  <c r="W138" i="6"/>
  <c r="V138" i="9" s="1"/>
  <c r="W76" i="6"/>
  <c r="V76" i="9" s="1"/>
  <c r="V76" i="10" s="1"/>
  <c r="W79" i="6"/>
  <c r="V79" i="9" s="1"/>
  <c r="V79" i="10" s="1"/>
  <c r="W119" i="6"/>
  <c r="V119" i="9" s="1"/>
  <c r="V119" i="10" s="1"/>
  <c r="W74" i="6"/>
  <c r="V74" i="9" s="1"/>
  <c r="V74" i="10" s="1"/>
  <c r="W130" i="6"/>
  <c r="V130" i="9" s="1"/>
  <c r="V130" i="10" s="1"/>
  <c r="W123" i="6"/>
  <c r="V123" i="9" s="1"/>
  <c r="V123" i="10" s="1"/>
  <c r="W43" i="6"/>
  <c r="V43" i="9" s="1"/>
  <c r="V43" i="10" s="1"/>
  <c r="W50" i="6"/>
  <c r="W83" i="6"/>
  <c r="V83" i="9" s="1"/>
  <c r="V83" i="10" s="1"/>
  <c r="W47" i="6"/>
  <c r="V47" i="9" s="1"/>
  <c r="V47" i="10" s="1"/>
  <c r="W99" i="6"/>
  <c r="V99" i="9" s="1"/>
  <c r="V99" i="10" s="1"/>
  <c r="W105" i="6"/>
  <c r="V105" i="9" s="1"/>
  <c r="W103" i="6"/>
  <c r="V103" i="9" s="1"/>
  <c r="W63" i="6"/>
  <c r="V63" i="9" s="1"/>
  <c r="V63" i="10" s="1"/>
  <c r="W15" i="6"/>
  <c r="V15" i="9" s="1"/>
  <c r="W34" i="6"/>
  <c r="V34" i="9" s="1"/>
  <c r="V34" i="10" s="1"/>
  <c r="W157" i="6"/>
  <c r="V157" i="9" s="1"/>
  <c r="W54" i="6"/>
  <c r="V54" i="9" s="1"/>
  <c r="V54" i="10" s="1"/>
  <c r="W154" i="6"/>
  <c r="V154" i="9" s="1"/>
  <c r="V154" i="10" s="1"/>
  <c r="W149" i="6"/>
  <c r="W129" i="6"/>
  <c r="W141" i="6"/>
  <c r="V141" i="9" s="1"/>
  <c r="W139" i="6"/>
  <c r="V139" i="9" s="1"/>
  <c r="T90" i="10"/>
  <c r="T90" i="11" s="1"/>
  <c r="T42" i="10"/>
  <c r="T42" i="11" s="1"/>
  <c r="T285" i="12"/>
  <c r="T125" i="16" s="1"/>
  <c r="T83" i="10"/>
  <c r="T83" i="11" s="1"/>
  <c r="T123" i="11"/>
  <c r="T283" i="12"/>
  <c r="T123" i="16"/>
  <c r="T154" i="10"/>
  <c r="T154" i="11" s="1"/>
  <c r="R169" i="17"/>
  <c r="R9" i="18" s="1"/>
  <c r="R9" i="17"/>
  <c r="R283" i="17"/>
  <c r="R123" i="17"/>
  <c r="S279" i="17"/>
  <c r="S119" i="17"/>
  <c r="R35" i="15"/>
  <c r="R130" i="15"/>
  <c r="R98" i="18"/>
  <c r="R262" i="18" s="1"/>
  <c r="R20" i="18"/>
  <c r="R180" i="18" s="1"/>
  <c r="S79" i="18"/>
  <c r="S241" i="18" s="1"/>
  <c r="S145" i="18"/>
  <c r="S314" i="18" s="1"/>
  <c r="S22" i="18"/>
  <c r="S182" i="18" s="1"/>
  <c r="S202" i="17"/>
  <c r="S42" i="18" s="1"/>
  <c r="S202" i="18" s="1"/>
  <c r="S42" i="17"/>
  <c r="P278" i="18"/>
  <c r="P283" i="18"/>
  <c r="P167" i="18"/>
  <c r="P217" i="18"/>
  <c r="S138" i="11"/>
  <c r="R90" i="16"/>
  <c r="R90" i="13"/>
  <c r="R250" i="13"/>
  <c r="R90" i="14" s="1"/>
  <c r="S120" i="11"/>
  <c r="S156" i="15"/>
  <c r="S131" i="13"/>
  <c r="S291" i="13"/>
  <c r="S131" i="14" s="1"/>
  <c r="S242" i="17"/>
  <c r="S82" i="18" s="1"/>
  <c r="S244" i="18" s="1"/>
  <c r="S82" i="17"/>
  <c r="S86" i="13"/>
  <c r="S246" i="13"/>
  <c r="S86" i="14" s="1"/>
  <c r="S86" i="15" s="1"/>
  <c r="Q41" i="18"/>
  <c r="Q201" i="18" s="1"/>
  <c r="Q41" i="15"/>
  <c r="S175" i="13"/>
  <c r="S15" i="14" s="1"/>
  <c r="S15" i="15" s="1"/>
  <c r="S15" i="13"/>
  <c r="S170" i="13"/>
  <c r="S10" i="14" s="1"/>
  <c r="S10" i="15" s="1"/>
  <c r="S10" i="13"/>
  <c r="S48" i="11"/>
  <c r="S275" i="13"/>
  <c r="S115" i="14" s="1"/>
  <c r="S115" i="15" s="1"/>
  <c r="S115" i="13"/>
  <c r="T98" i="16"/>
  <c r="T215" i="12"/>
  <c r="T55" i="16" s="1"/>
  <c r="T158" i="16"/>
  <c r="T158" i="13"/>
  <c r="T318" i="13"/>
  <c r="T158" i="14" s="1"/>
  <c r="T94" i="16"/>
  <c r="T254" i="13"/>
  <c r="T94" i="13"/>
  <c r="T93" i="11"/>
  <c r="T139" i="16"/>
  <c r="T299" i="13"/>
  <c r="T139" i="14" s="1"/>
  <c r="T139" i="13"/>
  <c r="Q202" i="17"/>
  <c r="Q42" i="18" s="1"/>
  <c r="Q42" i="17"/>
  <c r="R29" i="16"/>
  <c r="S123" i="15"/>
  <c r="S268" i="12"/>
  <c r="S108" i="16" s="1"/>
  <c r="S23" i="17"/>
  <c r="S183" i="17"/>
  <c r="S23" i="18" s="1"/>
  <c r="S183" i="18" s="1"/>
  <c r="S117" i="17"/>
  <c r="S277" i="17"/>
  <c r="S117" i="18" s="1"/>
  <c r="R269" i="13"/>
  <c r="R109" i="14" s="1"/>
  <c r="R109" i="13"/>
  <c r="P285" i="18"/>
  <c r="S49" i="14"/>
  <c r="S90" i="15"/>
  <c r="R107" i="15"/>
  <c r="R209" i="17"/>
  <c r="R49" i="18" s="1"/>
  <c r="R49" i="17"/>
  <c r="R22" i="18"/>
  <c r="R182" i="18" s="1"/>
  <c r="R22" i="15"/>
  <c r="R138" i="18"/>
  <c r="R306" i="18" s="1"/>
  <c r="R138" i="15"/>
  <c r="S73" i="14"/>
  <c r="S80" i="15"/>
  <c r="S87" i="15"/>
  <c r="S87" i="18"/>
  <c r="S251" i="18" s="1"/>
  <c r="T86" i="16"/>
  <c r="T246" i="13"/>
  <c r="T86" i="14" s="1"/>
  <c r="T86" i="13"/>
  <c r="T118" i="11"/>
  <c r="T278" i="12"/>
  <c r="T257" i="13"/>
  <c r="T97" i="14" s="1"/>
  <c r="T97" i="15" s="1"/>
  <c r="T97" i="13"/>
  <c r="T53" i="11"/>
  <c r="T69" i="16"/>
  <c r="T229" i="13"/>
  <c r="T69" i="14" s="1"/>
  <c r="T69" i="13"/>
  <c r="T203" i="13"/>
  <c r="T43" i="14" s="1"/>
  <c r="T43" i="15" s="1"/>
  <c r="T43" i="13"/>
  <c r="T54" i="11"/>
  <c r="T157" i="10"/>
  <c r="T157" i="11" s="1"/>
  <c r="P214" i="18"/>
  <c r="P199" i="18"/>
  <c r="R83" i="16"/>
  <c r="R243" i="13"/>
  <c r="R83" i="14" s="1"/>
  <c r="R83" i="13"/>
  <c r="S217" i="12"/>
  <c r="S57" i="16" s="1"/>
  <c r="R131" i="18"/>
  <c r="R131" i="15"/>
  <c r="R43" i="18"/>
  <c r="R203" i="18" s="1"/>
  <c r="R43" i="15"/>
  <c r="P191" i="18"/>
  <c r="P241" i="18"/>
  <c r="R314" i="17"/>
  <c r="R154" i="18" s="1"/>
  <c r="R154" i="17"/>
  <c r="S124" i="18"/>
  <c r="S291" i="18" s="1"/>
  <c r="S124" i="15"/>
  <c r="S258" i="17"/>
  <c r="S98" i="18" s="1"/>
  <c r="S262" i="18" s="1"/>
  <c r="S98" i="17"/>
  <c r="R55" i="15"/>
  <c r="R55" i="18"/>
  <c r="R215" i="18" s="1"/>
  <c r="S234" i="17"/>
  <c r="S74" i="18" s="1"/>
  <c r="S235" i="18" s="1"/>
  <c r="S74" i="17"/>
  <c r="S20" i="15"/>
  <c r="S20" i="18"/>
  <c r="S180" i="18" s="1"/>
  <c r="Q281" i="17"/>
  <c r="Q121" i="18" s="1"/>
  <c r="Q121" i="17"/>
  <c r="S107" i="16"/>
  <c r="S101" i="16"/>
  <c r="T101" i="11"/>
  <c r="T261" i="12"/>
  <c r="T31" i="11"/>
  <c r="T156" i="11"/>
  <c r="T316" i="12"/>
  <c r="R60" i="15"/>
  <c r="R60" i="18"/>
  <c r="R220" i="18" s="1"/>
  <c r="R45" i="13"/>
  <c r="R205" i="13"/>
  <c r="R45" i="14" s="1"/>
  <c r="R45" i="15" s="1"/>
  <c r="S299" i="17"/>
  <c r="S139" i="18" s="1"/>
  <c r="S307" i="18" s="1"/>
  <c r="S139" i="17"/>
  <c r="S67" i="16"/>
  <c r="S130" i="13"/>
  <c r="S290" i="13"/>
  <c r="S130" i="14" s="1"/>
  <c r="S173" i="13"/>
  <c r="S13" i="14" s="1"/>
  <c r="S13" i="15" s="1"/>
  <c r="S13" i="13"/>
  <c r="S35" i="15"/>
  <c r="S35" i="18"/>
  <c r="S195" i="18" s="1"/>
  <c r="R223" i="13"/>
  <c r="R63" i="14" s="1"/>
  <c r="R63" i="13"/>
  <c r="P273" i="18"/>
  <c r="Q18" i="15"/>
  <c r="Q18" i="18"/>
  <c r="Q178" i="18" s="1"/>
  <c r="P319" i="18"/>
  <c r="S39" i="15"/>
  <c r="S252" i="13"/>
  <c r="S92" i="14" s="1"/>
  <c r="S92" i="15" s="1"/>
  <c r="S92" i="13"/>
  <c r="R34" i="15"/>
  <c r="R284" i="17"/>
  <c r="R124" i="18" s="1"/>
  <c r="R124" i="17"/>
  <c r="S265" i="17"/>
  <c r="S105" i="18" s="1"/>
  <c r="S105" i="17"/>
  <c r="S236" i="17"/>
  <c r="S76" i="18" s="1"/>
  <c r="S237" i="18" s="1"/>
  <c r="S76" i="17"/>
  <c r="S19" i="16"/>
  <c r="S179" i="13"/>
  <c r="S19" i="14" s="1"/>
  <c r="S19" i="13"/>
  <c r="S156" i="17"/>
  <c r="S316" i="17"/>
  <c r="S156" i="18" s="1"/>
  <c r="S327" i="18" s="1"/>
  <c r="S249" i="12"/>
  <c r="S158" i="17"/>
  <c r="S318" i="17"/>
  <c r="S158" i="18" s="1"/>
  <c r="P212" i="18"/>
  <c r="S129" i="17"/>
  <c r="S289" i="17"/>
  <c r="S129" i="18" s="1"/>
  <c r="S296" i="18" s="1"/>
  <c r="S222" i="17"/>
  <c r="S62" i="18" s="1"/>
  <c r="S222" i="18" s="1"/>
  <c r="S62" i="17"/>
  <c r="U54" i="11"/>
  <c r="U214" i="12"/>
  <c r="U154" i="10"/>
  <c r="U154" i="11" s="1"/>
  <c r="U129" i="11"/>
  <c r="U289" i="12"/>
  <c r="U9" i="11"/>
  <c r="U169" i="12"/>
  <c r="U68" i="10"/>
  <c r="U228" i="12" s="1"/>
  <c r="U138" i="11"/>
  <c r="U298" i="12"/>
  <c r="U50" i="10"/>
  <c r="U50" i="11" s="1"/>
  <c r="U120" i="10"/>
  <c r="U120" i="11"/>
  <c r="U69" i="11"/>
  <c r="U229" i="12"/>
  <c r="U146" i="10"/>
  <c r="U146" i="11"/>
  <c r="U74" i="11"/>
  <c r="U234" i="12"/>
  <c r="U74" i="16" s="1"/>
  <c r="U76" i="10"/>
  <c r="U236" i="12" s="1"/>
  <c r="U48" i="11"/>
  <c r="U208" i="12"/>
  <c r="U30" i="10"/>
  <c r="U30" i="11" s="1"/>
  <c r="U5" i="9"/>
  <c r="V159" i="6"/>
  <c r="U131" i="9"/>
  <c r="U67" i="10"/>
  <c r="U67" i="11" s="1"/>
  <c r="U23" i="11"/>
  <c r="U183" i="12"/>
  <c r="U73" i="10"/>
  <c r="U73" i="11" s="1"/>
  <c r="U18" i="10"/>
  <c r="U18" i="11" s="1"/>
  <c r="U150" i="9"/>
  <c r="U60" i="11"/>
  <c r="U220" i="12"/>
  <c r="U82" i="10"/>
  <c r="U242" i="12" s="1"/>
  <c r="U35" i="10"/>
  <c r="U35" i="11" s="1"/>
  <c r="U98" i="11"/>
  <c r="U258" i="12"/>
  <c r="U87" i="11"/>
  <c r="U247" i="12"/>
  <c r="T87" i="16"/>
  <c r="T247" i="13"/>
  <c r="T87" i="14" s="1"/>
  <c r="T87" i="13"/>
  <c r="T148" i="11"/>
  <c r="T249" i="12"/>
  <c r="T89" i="16" s="1"/>
  <c r="T91" i="13"/>
  <c r="T251" i="13"/>
  <c r="T91" i="14" s="1"/>
  <c r="T91" i="15" s="1"/>
  <c r="R175" i="17"/>
  <c r="R15" i="18" s="1"/>
  <c r="R15" i="17"/>
  <c r="R283" i="13"/>
  <c r="R123" i="14" s="1"/>
  <c r="R123" i="13"/>
  <c r="S123" i="17"/>
  <c r="S283" i="17"/>
  <c r="S123" i="18" s="1"/>
  <c r="S290" i="18" s="1"/>
  <c r="R290" i="17"/>
  <c r="R130" i="18" s="1"/>
  <c r="R130" i="17"/>
  <c r="Q86" i="18"/>
  <c r="Q250" i="18" s="1"/>
  <c r="S9" i="18"/>
  <c r="S169" i="18" s="1"/>
  <c r="S12" i="18"/>
  <c r="S172" i="18" s="1"/>
  <c r="R145" i="18"/>
  <c r="R314" i="18" s="1"/>
  <c r="P183" i="18"/>
  <c r="S271" i="13"/>
  <c r="S111" i="14" s="1"/>
  <c r="S111" i="13"/>
  <c r="T18" i="16"/>
  <c r="T18" i="13"/>
  <c r="T178" i="13"/>
  <c r="T18" i="14" s="1"/>
  <c r="T23" i="10"/>
  <c r="T23" i="11" s="1"/>
  <c r="T68" i="11"/>
  <c r="T228" i="12"/>
  <c r="T223" i="12"/>
  <c r="T63" i="16" s="1"/>
  <c r="P213" i="18"/>
  <c r="R122" i="15"/>
  <c r="R122" i="18"/>
  <c r="R289" i="18" s="1"/>
  <c r="S83" i="15"/>
  <c r="S281" i="17"/>
  <c r="S121" i="17"/>
  <c r="S250" i="17"/>
  <c r="S90" i="18" s="1"/>
  <c r="S254" i="18" s="1"/>
  <c r="S90" i="17"/>
  <c r="R107" i="17"/>
  <c r="R267" i="17"/>
  <c r="R107" i="18" s="1"/>
  <c r="S26" i="18"/>
  <c r="S186" i="18" s="1"/>
  <c r="S26" i="15"/>
  <c r="T276" i="12"/>
  <c r="T121" i="16"/>
  <c r="T121" i="13"/>
  <c r="T281" i="13"/>
  <c r="T121" i="14" s="1"/>
  <c r="T81" i="11"/>
  <c r="T241" i="12"/>
  <c r="T81" i="16" s="1"/>
  <c r="S81" i="15"/>
  <c r="S81" i="18"/>
  <c r="S243" i="18" s="1"/>
  <c r="R97" i="18"/>
  <c r="R261" i="18" s="1"/>
  <c r="R97" i="15"/>
  <c r="T22" i="11"/>
  <c r="T182" i="12"/>
  <c r="T150" i="17"/>
  <c r="T310" i="17"/>
  <c r="T150" i="18" s="1"/>
  <c r="T319" i="18" s="1"/>
  <c r="T41" i="16"/>
  <c r="T41" i="13"/>
  <c r="T201" i="13"/>
  <c r="T41" i="14" s="1"/>
  <c r="R13" i="15"/>
  <c r="R13" i="18"/>
  <c r="R173" i="18" s="1"/>
  <c r="P169" i="18"/>
  <c r="S103" i="15"/>
  <c r="S44" i="15"/>
  <c r="S199" i="17"/>
  <c r="S39" i="18" s="1"/>
  <c r="S39" i="17"/>
  <c r="S190" i="12"/>
  <c r="S254" i="12"/>
  <c r="S94" i="16" s="1"/>
  <c r="R194" i="17"/>
  <c r="R34" i="18" s="1"/>
  <c r="R34" i="17"/>
  <c r="R127" i="15"/>
  <c r="R127" i="18"/>
  <c r="R294" i="18" s="1"/>
  <c r="P256" i="18"/>
  <c r="P271" i="18"/>
  <c r="S149" i="14"/>
  <c r="S70" i="15"/>
  <c r="P194" i="18"/>
  <c r="R125" i="15"/>
  <c r="R125" i="18"/>
  <c r="R292" i="18" s="1"/>
  <c r="P230" i="18"/>
  <c r="S109" i="15"/>
  <c r="S109" i="18"/>
  <c r="S275" i="18" s="1"/>
  <c r="U99" i="11"/>
  <c r="U259" i="12"/>
  <c r="U139" i="11"/>
  <c r="U299" i="12"/>
  <c r="U157" i="11"/>
  <c r="U317" i="12"/>
  <c r="U34" i="9"/>
  <c r="U34" i="10" s="1"/>
  <c r="U44" i="10"/>
  <c r="U44" i="11" s="1"/>
  <c r="U10" i="11"/>
  <c r="U170" i="12"/>
  <c r="U124" i="10"/>
  <c r="U284" i="12" s="1"/>
  <c r="U111" i="11"/>
  <c r="U271" i="12"/>
  <c r="U83" i="11"/>
  <c r="U243" i="12"/>
  <c r="U45" i="10"/>
  <c r="U45" i="11" s="1"/>
  <c r="U19" i="10"/>
  <c r="U19" i="11" s="1"/>
  <c r="U79" i="10"/>
  <c r="U79" i="11" s="1"/>
  <c r="U93" i="11"/>
  <c r="U253" i="12"/>
  <c r="U93" i="16" s="1"/>
  <c r="U53" i="11"/>
  <c r="U213" i="12"/>
  <c r="U156" i="11"/>
  <c r="U316" i="12"/>
  <c r="U142" i="10"/>
  <c r="U142" i="11" s="1"/>
  <c r="U89" i="11"/>
  <c r="U249" i="12"/>
  <c r="U31" i="11"/>
  <c r="U191" i="12"/>
  <c r="U31" i="16" s="1"/>
  <c r="U118" i="10"/>
  <c r="U118" i="11" s="1"/>
  <c r="U42" i="11"/>
  <c r="U202" i="12"/>
  <c r="U148" i="10"/>
  <c r="U308" i="12" s="1"/>
  <c r="U20" i="10"/>
  <c r="U180" i="12" s="1"/>
  <c r="U94" i="10"/>
  <c r="U94" i="11" s="1"/>
  <c r="U145" i="10"/>
  <c r="U305" i="12" s="1"/>
  <c r="U106" i="11"/>
  <c r="U266" i="12"/>
  <c r="U14" i="10"/>
  <c r="U174" i="12" s="1"/>
  <c r="U117" i="11"/>
  <c r="U277" i="12"/>
  <c r="T106" i="11"/>
  <c r="T266" i="12"/>
  <c r="T148" i="16"/>
  <c r="T148" i="13"/>
  <c r="T308" i="13"/>
  <c r="T14" i="10"/>
  <c r="T14" i="11" s="1"/>
  <c r="T291" i="13"/>
  <c r="T131" i="14" s="1"/>
  <c r="T131" i="15" s="1"/>
  <c r="T131" i="13"/>
  <c r="T124" i="11"/>
  <c r="T284" i="12"/>
  <c r="T124" i="16" s="1"/>
  <c r="T279" i="12"/>
  <c r="T95" i="11"/>
  <c r="T255" i="12"/>
  <c r="T79" i="11"/>
  <c r="T239" i="12"/>
  <c r="T45" i="11"/>
  <c r="T205" i="12"/>
  <c r="T76" i="11"/>
  <c r="T236" i="12"/>
  <c r="T265" i="12"/>
  <c r="T105" i="16" s="1"/>
  <c r="R152" i="16"/>
  <c r="R312" i="13"/>
  <c r="R152" i="14" s="1"/>
  <c r="R152" i="13"/>
  <c r="S119" i="15"/>
  <c r="S119" i="18"/>
  <c r="S286" i="18" s="1"/>
  <c r="S16" i="16"/>
  <c r="S176" i="13"/>
  <c r="S16" i="14" s="1"/>
  <c r="S16" i="13"/>
  <c r="R35" i="17"/>
  <c r="R195" i="17"/>
  <c r="R35" i="18" s="1"/>
  <c r="R7" i="13"/>
  <c r="R167" i="13"/>
  <c r="R7" i="14" s="1"/>
  <c r="R81" i="18"/>
  <c r="R243" i="18" s="1"/>
  <c r="R114" i="18"/>
  <c r="R281" i="18" s="1"/>
  <c r="R91" i="18"/>
  <c r="R255" i="18" s="1"/>
  <c r="AO440" i="1"/>
  <c r="C440" i="1" s="1"/>
  <c r="AF440" i="1"/>
  <c r="E121" i="30"/>
  <c r="F121" i="30" s="1"/>
  <c r="G121" i="30" s="1"/>
  <c r="E49" i="31"/>
  <c r="Q49" i="31" s="1"/>
  <c r="AA164" i="1"/>
  <c r="AB164" i="1" s="1"/>
  <c r="O49" i="31" s="1"/>
  <c r="E89" i="1"/>
  <c r="O89" i="1" s="1"/>
  <c r="D28" i="31" s="1"/>
  <c r="E93" i="1"/>
  <c r="AO93" i="1" s="1"/>
  <c r="C93" i="1" s="1"/>
  <c r="B66" i="6"/>
  <c r="D66" i="37" s="1"/>
  <c r="A66" i="37" s="1"/>
  <c r="D65" i="6"/>
  <c r="B65" i="20"/>
  <c r="B65" i="10"/>
  <c r="B65" i="15"/>
  <c r="B65" i="16"/>
  <c r="B225" i="17"/>
  <c r="B65" i="17"/>
  <c r="B65" i="12"/>
  <c r="B65" i="14"/>
  <c r="B65" i="11"/>
  <c r="B225" i="13"/>
  <c r="B225" i="18"/>
  <c r="B225" i="12"/>
  <c r="B65" i="13"/>
  <c r="B65" i="9"/>
  <c r="B65" i="18"/>
  <c r="S93" i="18" l="1"/>
  <c r="S257" i="18" s="1"/>
  <c r="U68" i="11"/>
  <c r="T94" i="14"/>
  <c r="U14" i="11"/>
  <c r="U145" i="11"/>
  <c r="U20" i="11"/>
  <c r="U90" i="11"/>
  <c r="U148" i="11"/>
  <c r="U124" i="11"/>
  <c r="S121" i="18"/>
  <c r="S288" i="18" s="1"/>
  <c r="T60" i="11"/>
  <c r="U147" i="11"/>
  <c r="S329" i="18"/>
  <c r="R209" i="18"/>
  <c r="Q202" i="18"/>
  <c r="R169" i="18"/>
  <c r="U212" i="17"/>
  <c r="U52" i="17"/>
  <c r="S328" i="18"/>
  <c r="R231" i="18"/>
  <c r="R256" i="18"/>
  <c r="T15" i="17"/>
  <c r="T175" i="17"/>
  <c r="T93" i="17"/>
  <c r="T253" i="17"/>
  <c r="U182" i="17"/>
  <c r="U22" i="17"/>
  <c r="R286" i="18"/>
  <c r="R273" i="18"/>
  <c r="R291" i="18"/>
  <c r="R325" i="18"/>
  <c r="R235" i="18"/>
  <c r="S259" i="18"/>
  <c r="R183" i="18"/>
  <c r="T199" i="17"/>
  <c r="T39" i="17"/>
  <c r="S280" i="17"/>
  <c r="S120" i="17"/>
  <c r="U276" i="17"/>
  <c r="U116" i="17"/>
  <c r="T233" i="17"/>
  <c r="T73" i="17"/>
  <c r="S315" i="18"/>
  <c r="S208" i="17"/>
  <c r="S48" i="17"/>
  <c r="T265" i="17"/>
  <c r="T105" i="17"/>
  <c r="T81" i="17"/>
  <c r="T241" i="17"/>
  <c r="U93" i="17"/>
  <c r="U253" i="17"/>
  <c r="S199" i="18"/>
  <c r="U252" i="17"/>
  <c r="U92" i="17"/>
  <c r="T214" i="17"/>
  <c r="T54" i="17"/>
  <c r="U47" i="17"/>
  <c r="U207" i="17"/>
  <c r="R194" i="18"/>
  <c r="R297" i="18"/>
  <c r="U74" i="17"/>
  <c r="U234" i="17"/>
  <c r="Q288" i="18"/>
  <c r="R195" i="18"/>
  <c r="R175" i="18"/>
  <c r="S271" i="18"/>
  <c r="S284" i="18"/>
  <c r="T215" i="17"/>
  <c r="T55" i="17"/>
  <c r="T285" i="17"/>
  <c r="T125" i="17"/>
  <c r="R296" i="18"/>
  <c r="S213" i="18"/>
  <c r="T138" i="17"/>
  <c r="T298" i="17"/>
  <c r="R316" i="18"/>
  <c r="R318" i="18"/>
  <c r="T167" i="17"/>
  <c r="T7" i="17"/>
  <c r="R7" i="15"/>
  <c r="R7" i="18"/>
  <c r="T95" i="16"/>
  <c r="T95" i="13"/>
  <c r="T255" i="13"/>
  <c r="T95" i="14" s="1"/>
  <c r="U14" i="16"/>
  <c r="U174" i="13"/>
  <c r="U14" i="13"/>
  <c r="U145" i="16"/>
  <c r="U305" i="13"/>
  <c r="U145" i="13"/>
  <c r="U20" i="16"/>
  <c r="U180" i="13"/>
  <c r="U20" i="13"/>
  <c r="U191" i="13"/>
  <c r="U31" i="14" s="1"/>
  <c r="U31" i="15" s="1"/>
  <c r="U31" i="13"/>
  <c r="U53" i="16"/>
  <c r="U213" i="13"/>
  <c r="U53" i="14" s="1"/>
  <c r="U53" i="13"/>
  <c r="U179" i="12"/>
  <c r="U124" i="16"/>
  <c r="U284" i="13"/>
  <c r="U124" i="14" s="1"/>
  <c r="U124" i="13"/>
  <c r="U204" i="12"/>
  <c r="U44" i="16" s="1"/>
  <c r="S30" i="16"/>
  <c r="S190" i="13"/>
  <c r="S30" i="14" s="1"/>
  <c r="S30" i="13"/>
  <c r="T223" i="13"/>
  <c r="T63" i="14" s="1"/>
  <c r="T63" i="15" s="1"/>
  <c r="T63" i="13"/>
  <c r="T183" i="12"/>
  <c r="T23" i="16" s="1"/>
  <c r="T249" i="13"/>
  <c r="T89" i="14" s="1"/>
  <c r="T89" i="13"/>
  <c r="T247" i="17"/>
  <c r="T87" i="17"/>
  <c r="U98" i="16"/>
  <c r="U258" i="13"/>
  <c r="U98" i="14" s="1"/>
  <c r="U98" i="13"/>
  <c r="U82" i="11"/>
  <c r="U48" i="16"/>
  <c r="U48" i="13"/>
  <c r="U208" i="13"/>
  <c r="U48" i="14" s="1"/>
  <c r="U306" i="12"/>
  <c r="U146" i="16" s="1"/>
  <c r="U280" i="12"/>
  <c r="U120" i="16" s="1"/>
  <c r="U314" i="12"/>
  <c r="U154" i="16" s="1"/>
  <c r="S89" i="16"/>
  <c r="S89" i="13"/>
  <c r="S249" i="13"/>
  <c r="S89" i="14" s="1"/>
  <c r="S19" i="15"/>
  <c r="S130" i="15"/>
  <c r="S130" i="18"/>
  <c r="S297" i="18" s="1"/>
  <c r="S267" i="17"/>
  <c r="S107" i="18" s="1"/>
  <c r="S273" i="18" s="1"/>
  <c r="S107" i="17"/>
  <c r="T69" i="15"/>
  <c r="T86" i="15"/>
  <c r="T98" i="17"/>
  <c r="T258" i="17"/>
  <c r="T98" i="18" s="1"/>
  <c r="T262" i="18" s="1"/>
  <c r="R90" i="15"/>
  <c r="T314" i="12"/>
  <c r="T154" i="16" s="1"/>
  <c r="V139" i="10"/>
  <c r="V139" i="11" s="1"/>
  <c r="V154" i="11"/>
  <c r="V314" i="12"/>
  <c r="V15" i="10"/>
  <c r="V15" i="11" s="1"/>
  <c r="V99" i="11"/>
  <c r="V259" i="12"/>
  <c r="V43" i="11"/>
  <c r="V203" i="12"/>
  <c r="V119" i="11"/>
  <c r="V279" i="12"/>
  <c r="V119" i="16" s="1"/>
  <c r="V93" i="10"/>
  <c r="V93" i="11" s="1"/>
  <c r="V114" i="11"/>
  <c r="V274" i="12"/>
  <c r="V95" i="11"/>
  <c r="V255" i="12"/>
  <c r="V147" i="10"/>
  <c r="V307" i="12" s="1"/>
  <c r="V108" i="11"/>
  <c r="V268" i="12"/>
  <c r="V26" i="10"/>
  <c r="V26" i="11" s="1"/>
  <c r="V142" i="10"/>
  <c r="V142" i="11" s="1"/>
  <c r="V91" i="11"/>
  <c r="V251" i="12"/>
  <c r="V65" i="10"/>
  <c r="V65" i="11" s="1"/>
  <c r="V13" i="10"/>
  <c r="V173" i="12" s="1"/>
  <c r="V152" i="9"/>
  <c r="V156" i="10"/>
  <c r="V156" i="11" s="1"/>
  <c r="V53" i="10"/>
  <c r="V53" i="11" s="1"/>
  <c r="V158" i="11"/>
  <c r="V318" i="12"/>
  <c r="V106" i="11"/>
  <c r="V266" i="12"/>
  <c r="V90" i="10"/>
  <c r="V90" i="11" s="1"/>
  <c r="V155" i="11"/>
  <c r="V315" i="12"/>
  <c r="V82" i="10"/>
  <c r="V242" i="12" s="1"/>
  <c r="V55" i="10"/>
  <c r="V55" i="11" s="1"/>
  <c r="V145" i="11"/>
  <c r="V305" i="12"/>
  <c r="V145" i="16" s="1"/>
  <c r="V117" i="11"/>
  <c r="V277" i="12"/>
  <c r="V117" i="16" s="1"/>
  <c r="U222" i="12"/>
  <c r="U7" i="10"/>
  <c r="U7" i="11" s="1"/>
  <c r="U312" i="12"/>
  <c r="U152" i="16" s="1"/>
  <c r="U282" i="12"/>
  <c r="U122" i="16" s="1"/>
  <c r="U241" i="13"/>
  <c r="U81" i="14" s="1"/>
  <c r="U81" i="15" s="1"/>
  <c r="U81" i="13"/>
  <c r="U127" i="16"/>
  <c r="U287" i="13"/>
  <c r="U127" i="14" s="1"/>
  <c r="U127" i="13"/>
  <c r="R239" i="17"/>
  <c r="R79" i="18" s="1"/>
  <c r="R79" i="17"/>
  <c r="T99" i="15"/>
  <c r="T207" i="17"/>
  <c r="T47" i="18" s="1"/>
  <c r="T207" i="18" s="1"/>
  <c r="T47" i="17"/>
  <c r="T142" i="15"/>
  <c r="S276" i="17"/>
  <c r="S116" i="17"/>
  <c r="R134" i="15"/>
  <c r="T296" i="17"/>
  <c r="T136" i="17"/>
  <c r="T114" i="15"/>
  <c r="T275" i="13"/>
  <c r="T115" i="14" s="1"/>
  <c r="T115" i="15" s="1"/>
  <c r="T115" i="13"/>
  <c r="T176" i="17"/>
  <c r="T16" i="18" s="1"/>
  <c r="T176" i="18" s="1"/>
  <c r="T16" i="17"/>
  <c r="U315" i="13"/>
  <c r="U155" i="14" s="1"/>
  <c r="U155" i="15" s="1"/>
  <c r="U155" i="13"/>
  <c r="U29" i="11"/>
  <c r="U101" i="16"/>
  <c r="U261" i="13"/>
  <c r="U101" i="14" s="1"/>
  <c r="U101" i="13"/>
  <c r="U91" i="10"/>
  <c r="U43" i="10"/>
  <c r="U43" i="11" s="1"/>
  <c r="U130" i="11"/>
  <c r="U290" i="12"/>
  <c r="U114" i="16"/>
  <c r="U274" i="13"/>
  <c r="U114" i="14" s="1"/>
  <c r="U114" i="13"/>
  <c r="U147" i="16"/>
  <c r="U307" i="13"/>
  <c r="U147" i="13"/>
  <c r="U175" i="13"/>
  <c r="U15" i="14" s="1"/>
  <c r="U15" i="15" s="1"/>
  <c r="U15" i="13"/>
  <c r="U149" i="16"/>
  <c r="U149" i="13"/>
  <c r="U309" i="13"/>
  <c r="U149" i="14" s="1"/>
  <c r="S142" i="15"/>
  <c r="S228" i="17"/>
  <c r="S68" i="18" s="1"/>
  <c r="S229" i="18" s="1"/>
  <c r="S68" i="17"/>
  <c r="S41" i="15"/>
  <c r="R62" i="15"/>
  <c r="T26" i="15"/>
  <c r="T65" i="15"/>
  <c r="S31" i="18"/>
  <c r="S118" i="15"/>
  <c r="T129" i="16"/>
  <c r="T289" i="13"/>
  <c r="T129" i="14" s="1"/>
  <c r="T129" i="13"/>
  <c r="T268" i="17"/>
  <c r="T108" i="17"/>
  <c r="T145" i="18"/>
  <c r="T314" i="18" s="1"/>
  <c r="S125" i="13"/>
  <c r="S285" i="13"/>
  <c r="S125" i="14" s="1"/>
  <c r="S18" i="15"/>
  <c r="T120" i="15"/>
  <c r="T307" i="17"/>
  <c r="T147" i="17"/>
  <c r="T282" i="17"/>
  <c r="T122" i="17"/>
  <c r="T20" i="16"/>
  <c r="T20" i="13"/>
  <c r="T180" i="13"/>
  <c r="T20" i="14" s="1"/>
  <c r="S315" i="17"/>
  <c r="S155" i="17"/>
  <c r="B68" i="22"/>
  <c r="D66" i="22"/>
  <c r="S67" i="15"/>
  <c r="T277" i="17"/>
  <c r="T117" i="17"/>
  <c r="S107" i="15"/>
  <c r="R266" i="17"/>
  <c r="R106" i="18" s="1"/>
  <c r="R106" i="17"/>
  <c r="T50" i="16"/>
  <c r="T210" i="13"/>
  <c r="T50" i="14" s="1"/>
  <c r="T50" i="13"/>
  <c r="T48" i="15"/>
  <c r="T98" i="15"/>
  <c r="S13" i="18"/>
  <c r="S173" i="18" s="1"/>
  <c r="S29" i="18"/>
  <c r="S189" i="18" s="1"/>
  <c r="T79" i="16"/>
  <c r="T239" i="13"/>
  <c r="T79" i="14" s="1"/>
  <c r="T79" i="13"/>
  <c r="T284" i="17"/>
  <c r="T124" i="17"/>
  <c r="U117" i="16"/>
  <c r="U117" i="13"/>
  <c r="U277" i="13"/>
  <c r="U117" i="14" s="1"/>
  <c r="U302" i="12"/>
  <c r="U142" i="16" s="1"/>
  <c r="U111" i="16"/>
  <c r="U111" i="13"/>
  <c r="U271" i="13"/>
  <c r="U111" i="14" s="1"/>
  <c r="U10" i="16"/>
  <c r="U170" i="13"/>
  <c r="U10" i="14" s="1"/>
  <c r="U10" i="13"/>
  <c r="U139" i="16"/>
  <c r="U299" i="13"/>
  <c r="U139" i="14" s="1"/>
  <c r="U139" i="13"/>
  <c r="S149" i="18"/>
  <c r="S318" i="18" s="1"/>
  <c r="S149" i="15"/>
  <c r="S254" i="17"/>
  <c r="S94" i="17"/>
  <c r="T41" i="15"/>
  <c r="T121" i="15"/>
  <c r="T116" i="16"/>
  <c r="T276" i="13"/>
  <c r="T116" i="14" s="1"/>
  <c r="T116" i="13"/>
  <c r="T68" i="16"/>
  <c r="T228" i="13"/>
  <c r="T68" i="14" s="1"/>
  <c r="T68" i="13"/>
  <c r="T18" i="15"/>
  <c r="T148" i="14"/>
  <c r="U87" i="16"/>
  <c r="U247" i="13"/>
  <c r="U87" i="14" s="1"/>
  <c r="U87" i="13"/>
  <c r="U82" i="16"/>
  <c r="U242" i="13"/>
  <c r="U82" i="13"/>
  <c r="U150" i="10"/>
  <c r="U233" i="12"/>
  <c r="U227" i="12"/>
  <c r="U5" i="10"/>
  <c r="U5" i="11"/>
  <c r="U74" i="13"/>
  <c r="U234" i="13"/>
  <c r="U74" i="14" s="1"/>
  <c r="U74" i="15" s="1"/>
  <c r="U69" i="16"/>
  <c r="U69" i="13"/>
  <c r="U229" i="13"/>
  <c r="U69" i="14" s="1"/>
  <c r="U129" i="16"/>
  <c r="U129" i="13"/>
  <c r="U289" i="13"/>
  <c r="U129" i="14" s="1"/>
  <c r="U54" i="16"/>
  <c r="U214" i="13"/>
  <c r="U54" i="14" s="1"/>
  <c r="U54" i="13"/>
  <c r="S179" i="17"/>
  <c r="S19" i="18" s="1"/>
  <c r="S19" i="17"/>
  <c r="T101" i="16"/>
  <c r="T261" i="13"/>
  <c r="T101" i="14" s="1"/>
  <c r="T101" i="13"/>
  <c r="S57" i="17"/>
  <c r="S217" i="17"/>
  <c r="R83" i="15"/>
  <c r="T229" i="17"/>
  <c r="T69" i="18" s="1"/>
  <c r="T230" i="18" s="1"/>
  <c r="T69" i="17"/>
  <c r="T118" i="16"/>
  <c r="T278" i="13"/>
  <c r="T118" i="14" s="1"/>
  <c r="T118" i="13"/>
  <c r="T246" i="17"/>
  <c r="T86" i="18" s="1"/>
  <c r="T250" i="18" s="1"/>
  <c r="T86" i="17"/>
  <c r="S49" i="15"/>
  <c r="S49" i="18"/>
  <c r="S209" i="18" s="1"/>
  <c r="S268" i="17"/>
  <c r="S108" i="17"/>
  <c r="R189" i="17"/>
  <c r="R29" i="17"/>
  <c r="T139" i="15"/>
  <c r="T94" i="15"/>
  <c r="T158" i="17"/>
  <c r="T318" i="17"/>
  <c r="T283" i="17"/>
  <c r="T123" i="17"/>
  <c r="T243" i="12"/>
  <c r="T202" i="12"/>
  <c r="T42" i="16" s="1"/>
  <c r="V141" i="10"/>
  <c r="V141" i="11" s="1"/>
  <c r="V54" i="11"/>
  <c r="V214" i="12"/>
  <c r="V63" i="11"/>
  <c r="V223" i="12"/>
  <c r="V47" i="11"/>
  <c r="V207" i="12"/>
  <c r="V123" i="11"/>
  <c r="V283" i="12"/>
  <c r="V79" i="11"/>
  <c r="V239" i="12"/>
  <c r="V44" i="11"/>
  <c r="V204" i="12"/>
  <c r="V89" i="10"/>
  <c r="V89" i="11" s="1"/>
  <c r="V9" i="11"/>
  <c r="V169" i="12"/>
  <c r="V52" i="11"/>
  <c r="V212" i="12"/>
  <c r="V19" i="11"/>
  <c r="V179" i="12"/>
  <c r="V127" i="9"/>
  <c r="V127" i="10" s="1"/>
  <c r="V45" i="11"/>
  <c r="V205" i="12"/>
  <c r="V136" i="11"/>
  <c r="V296" i="12"/>
  <c r="V136" i="16" s="1"/>
  <c r="V67" i="11"/>
  <c r="V227" i="12"/>
  <c r="V118" i="10"/>
  <c r="V278" i="12" s="1"/>
  <c r="V122" i="10"/>
  <c r="V122" i="11" s="1"/>
  <c r="V7" i="10"/>
  <c r="V167" i="12" s="1"/>
  <c r="V150" i="11"/>
  <c r="V310" i="12"/>
  <c r="V60" i="10"/>
  <c r="V220" i="12" s="1"/>
  <c r="V14" i="10"/>
  <c r="V14" i="11" s="1"/>
  <c r="V148" i="10"/>
  <c r="V308" i="12" s="1"/>
  <c r="V94" i="11"/>
  <c r="V254" i="12"/>
  <c r="V134" i="10"/>
  <c r="V294" i="12" s="1"/>
  <c r="V98" i="11"/>
  <c r="V258" i="12"/>
  <c r="V29" i="11"/>
  <c r="V189" i="12"/>
  <c r="V73" i="10"/>
  <c r="V233" i="12" s="1"/>
  <c r="U172" i="17"/>
  <c r="U12" i="17"/>
  <c r="U246" i="12"/>
  <c r="U86" i="16" s="1"/>
  <c r="U16" i="11"/>
  <c r="U176" i="12"/>
  <c r="U16" i="16" s="1"/>
  <c r="U97" i="16"/>
  <c r="U97" i="13"/>
  <c r="U257" i="13"/>
  <c r="U97" i="14" s="1"/>
  <c r="U95" i="16"/>
  <c r="U95" i="13"/>
  <c r="U255" i="13"/>
  <c r="U95" i="14" s="1"/>
  <c r="U199" i="12"/>
  <c r="U39" i="16" s="1"/>
  <c r="U301" i="17"/>
  <c r="U141" i="17"/>
  <c r="U105" i="10"/>
  <c r="U105" i="11" s="1"/>
  <c r="T259" i="17"/>
  <c r="T99" i="18" s="1"/>
  <c r="T263" i="18" s="1"/>
  <c r="T99" i="17"/>
  <c r="T290" i="17"/>
  <c r="T130" i="17"/>
  <c r="T155" i="15"/>
  <c r="S152" i="18"/>
  <c r="S322" i="18" s="1"/>
  <c r="S152" i="15"/>
  <c r="Q292" i="18"/>
  <c r="R294" i="17"/>
  <c r="R134" i="18" s="1"/>
  <c r="R134" i="17"/>
  <c r="T169" i="12"/>
  <c r="T312" i="12"/>
  <c r="T152" i="16" s="1"/>
  <c r="T294" i="12"/>
  <c r="T15" i="13"/>
  <c r="T175" i="13"/>
  <c r="T15" i="14" s="1"/>
  <c r="T15" i="15" s="1"/>
  <c r="T146" i="16"/>
  <c r="T306" i="13"/>
  <c r="T146" i="14" s="1"/>
  <c r="T146" i="13"/>
  <c r="S99" i="17"/>
  <c r="S259" i="17"/>
  <c r="S136" i="15"/>
  <c r="R156" i="15"/>
  <c r="T214" i="13"/>
  <c r="T54" i="14" s="1"/>
  <c r="T54" i="13"/>
  <c r="T170" i="12"/>
  <c r="T10" i="16" s="1"/>
  <c r="S280" i="13"/>
  <c r="S120" i="14" s="1"/>
  <c r="S120" i="13"/>
  <c r="T19" i="15"/>
  <c r="T44" i="15"/>
  <c r="T212" i="17"/>
  <c r="T52" i="18" s="1"/>
  <c r="T212" i="18" s="1"/>
  <c r="T52" i="17"/>
  <c r="U276" i="13"/>
  <c r="U116" i="14" s="1"/>
  <c r="U116" i="15" s="1"/>
  <c r="U116" i="13"/>
  <c r="U29" i="16"/>
  <c r="U189" i="13"/>
  <c r="U29" i="13"/>
  <c r="U294" i="17"/>
  <c r="U134" i="17"/>
  <c r="U57" i="10"/>
  <c r="U57" i="11" s="1"/>
  <c r="U65" i="11"/>
  <c r="U225" i="12"/>
  <c r="U65" i="16" s="1"/>
  <c r="U70" i="16"/>
  <c r="U230" i="13"/>
  <c r="U70" i="14" s="1"/>
  <c r="U70" i="13"/>
  <c r="U125" i="16"/>
  <c r="U125" i="13"/>
  <c r="U285" i="13"/>
  <c r="U125" i="14" s="1"/>
  <c r="U186" i="17"/>
  <c r="U26" i="17"/>
  <c r="S142" i="17"/>
  <c r="S302" i="17"/>
  <c r="S142" i="18" s="1"/>
  <c r="S8" i="15"/>
  <c r="S14" i="18"/>
  <c r="S14" i="15"/>
  <c r="T186" i="17"/>
  <c r="T26" i="18" s="1"/>
  <c r="T26" i="17"/>
  <c r="R103" i="15"/>
  <c r="T74" i="15"/>
  <c r="S178" i="17"/>
  <c r="S18" i="18" s="1"/>
  <c r="S18" i="17"/>
  <c r="T280" i="17"/>
  <c r="T120" i="18" s="1"/>
  <c r="T287" i="18" s="1"/>
  <c r="T120" i="17"/>
  <c r="T73" i="13"/>
  <c r="T233" i="13"/>
  <c r="T73" i="14" s="1"/>
  <c r="S63" i="15"/>
  <c r="S63" i="18"/>
  <c r="S223" i="18" s="1"/>
  <c r="S141" i="15"/>
  <c r="T103" i="15"/>
  <c r="T109" i="15"/>
  <c r="T31" i="16"/>
  <c r="T191" i="13"/>
  <c r="T31" i="14" s="1"/>
  <c r="T31" i="13"/>
  <c r="R317" i="18"/>
  <c r="T53" i="17"/>
  <c r="T213" i="17"/>
  <c r="R29" i="15"/>
  <c r="R29" i="18"/>
  <c r="S138" i="17"/>
  <c r="S298" i="17"/>
  <c r="T91" i="18"/>
  <c r="T255" i="18" s="1"/>
  <c r="S92" i="18"/>
  <c r="S256" i="18" s="1"/>
  <c r="S15" i="18"/>
  <c r="S175" i="18" s="1"/>
  <c r="T70" i="18"/>
  <c r="T231" i="18" s="1"/>
  <c r="T34" i="18"/>
  <c r="T194" i="18" s="1"/>
  <c r="T97" i="18"/>
  <c r="T261" i="18" s="1"/>
  <c r="S16" i="15"/>
  <c r="T76" i="16"/>
  <c r="T236" i="13"/>
  <c r="T76" i="14" s="1"/>
  <c r="T76" i="13"/>
  <c r="U106" i="16"/>
  <c r="U266" i="13"/>
  <c r="U106" i="14" s="1"/>
  <c r="U106" i="13"/>
  <c r="S176" i="17"/>
  <c r="S16" i="18" s="1"/>
  <c r="S16" i="17"/>
  <c r="R152" i="15"/>
  <c r="T124" i="13"/>
  <c r="T284" i="13"/>
  <c r="T124" i="14" s="1"/>
  <c r="T124" i="15" s="1"/>
  <c r="T308" i="17"/>
  <c r="T148" i="17"/>
  <c r="U254" i="12"/>
  <c r="U94" i="16" s="1"/>
  <c r="U148" i="16"/>
  <c r="U308" i="13"/>
  <c r="U148" i="13"/>
  <c r="U278" i="12"/>
  <c r="U89" i="16"/>
  <c r="U249" i="13"/>
  <c r="U89" i="14" s="1"/>
  <c r="U89" i="13"/>
  <c r="U156" i="16"/>
  <c r="U156" i="13"/>
  <c r="U316" i="13"/>
  <c r="U156" i="14" s="1"/>
  <c r="U239" i="12"/>
  <c r="U205" i="12"/>
  <c r="U45" i="16" s="1"/>
  <c r="U34" i="11"/>
  <c r="U194" i="12"/>
  <c r="S254" i="13"/>
  <c r="S94" i="14" s="1"/>
  <c r="S94" i="15" s="1"/>
  <c r="S94" i="13"/>
  <c r="S111" i="15"/>
  <c r="S111" i="18"/>
  <c r="U60" i="16"/>
  <c r="U60" i="13"/>
  <c r="U220" i="13"/>
  <c r="U60" i="14" s="1"/>
  <c r="U23" i="16"/>
  <c r="U183" i="13"/>
  <c r="U23" i="14" s="1"/>
  <c r="U23" i="13"/>
  <c r="U76" i="11"/>
  <c r="U210" i="12"/>
  <c r="U50" i="16" s="1"/>
  <c r="U68" i="16"/>
  <c r="U68" i="13"/>
  <c r="U228" i="13"/>
  <c r="U68" i="14" s="1"/>
  <c r="S67" i="17"/>
  <c r="S227" i="17"/>
  <c r="S67" i="18" s="1"/>
  <c r="S228" i="18" s="1"/>
  <c r="T156" i="16"/>
  <c r="T316" i="13"/>
  <c r="T156" i="14" s="1"/>
  <c r="T156" i="13"/>
  <c r="S57" i="13"/>
  <c r="S217" i="13"/>
  <c r="S57" i="14" s="1"/>
  <c r="S57" i="15" s="1"/>
  <c r="R243" i="17"/>
  <c r="R83" i="18" s="1"/>
  <c r="R83" i="17"/>
  <c r="S73" i="18"/>
  <c r="S73" i="15"/>
  <c r="S268" i="13"/>
  <c r="S108" i="14" s="1"/>
  <c r="S108" i="13"/>
  <c r="T299" i="17"/>
  <c r="T139" i="18" s="1"/>
  <c r="T139" i="17"/>
  <c r="T254" i="17"/>
  <c r="T94" i="18" s="1"/>
  <c r="T258" i="18" s="1"/>
  <c r="T94" i="17"/>
  <c r="R250" i="17"/>
  <c r="R90" i="18" s="1"/>
  <c r="R90" i="17"/>
  <c r="T283" i="13"/>
  <c r="T123" i="14" s="1"/>
  <c r="T123" i="15" s="1"/>
  <c r="T123" i="13"/>
  <c r="V129" i="9"/>
  <c r="V129" i="10" s="1"/>
  <c r="V157" i="10"/>
  <c r="V103" i="10"/>
  <c r="V103" i="11" s="1"/>
  <c r="V83" i="11"/>
  <c r="V243" i="12"/>
  <c r="V130" i="11"/>
  <c r="V290" i="12"/>
  <c r="V76" i="11"/>
  <c r="V236" i="12"/>
  <c r="V41" i="10"/>
  <c r="V201" i="12" s="1"/>
  <c r="V31" i="11"/>
  <c r="V191" i="12"/>
  <c r="V49" i="9"/>
  <c r="V10" i="10"/>
  <c r="V10" i="11" s="1"/>
  <c r="V120" i="11"/>
  <c r="V280" i="12"/>
  <c r="V120" i="16" s="1"/>
  <c r="V69" i="11"/>
  <c r="V229" i="12"/>
  <c r="V111" i="10"/>
  <c r="V271" i="12" s="1"/>
  <c r="V48" i="11"/>
  <c r="V208" i="12"/>
  <c r="V23" i="9"/>
  <c r="V23" i="10" s="1"/>
  <c r="V30" i="10"/>
  <c r="V30" i="11" s="1"/>
  <c r="V125" i="11"/>
  <c r="V285" i="12"/>
  <c r="V115" i="11"/>
  <c r="V275" i="12"/>
  <c r="V107" i="9"/>
  <c r="V107" i="10" s="1"/>
  <c r="V8" i="11"/>
  <c r="V168" i="12"/>
  <c r="V62" i="11"/>
  <c r="V222" i="12"/>
  <c r="V62" i="16" s="1"/>
  <c r="V57" i="11"/>
  <c r="V217" i="12"/>
  <c r="V42" i="10"/>
  <c r="V202" i="12" s="1"/>
  <c r="V101" i="10"/>
  <c r="V22" i="11"/>
  <c r="V182" i="12"/>
  <c r="V86" i="10"/>
  <c r="Y4" i="6"/>
  <c r="X73" i="6"/>
  <c r="W73" i="9" s="1"/>
  <c r="X57" i="6"/>
  <c r="W57" i="9" s="1"/>
  <c r="X106" i="6"/>
  <c r="W106" i="9" s="1"/>
  <c r="W106" i="10" s="1"/>
  <c r="X35" i="6"/>
  <c r="W35" i="9" s="1"/>
  <c r="W35" i="10" s="1"/>
  <c r="X148" i="6"/>
  <c r="W148" i="9" s="1"/>
  <c r="W148" i="10" s="1"/>
  <c r="X82" i="6"/>
  <c r="W82" i="9" s="1"/>
  <c r="W82" i="10" s="1"/>
  <c r="X14" i="6"/>
  <c r="W14" i="9" s="1"/>
  <c r="X87" i="6"/>
  <c r="W87" i="9" s="1"/>
  <c r="X92" i="6"/>
  <c r="W92" i="9" s="1"/>
  <c r="X116" i="6"/>
  <c r="W116" i="9" s="1"/>
  <c r="W116" i="10" s="1"/>
  <c r="X98" i="6"/>
  <c r="W98" i="9" s="1"/>
  <c r="X62" i="6"/>
  <c r="W62" i="9" s="1"/>
  <c r="X145" i="6"/>
  <c r="W145" i="9" s="1"/>
  <c r="X60" i="6"/>
  <c r="W60" i="9" s="1"/>
  <c r="W60" i="10" s="1"/>
  <c r="X18" i="6"/>
  <c r="W18" i="9" s="1"/>
  <c r="W18" i="10" s="1"/>
  <c r="X101" i="6"/>
  <c r="W101" i="9" s="1"/>
  <c r="X22" i="6"/>
  <c r="W22" i="9" s="1"/>
  <c r="X42" i="6"/>
  <c r="W42" i="9" s="1"/>
  <c r="W42" i="10" s="1"/>
  <c r="X16" i="6"/>
  <c r="W16" i="9" s="1"/>
  <c r="W16" i="10" s="1"/>
  <c r="X55" i="6"/>
  <c r="W55" i="9" s="1"/>
  <c r="X86" i="6"/>
  <c r="W86" i="9" s="1"/>
  <c r="X97" i="6"/>
  <c r="W97" i="9" s="1"/>
  <c r="W97" i="10" s="1"/>
  <c r="X8" i="6"/>
  <c r="W8" i="9" s="1"/>
  <c r="W8" i="10" s="1"/>
  <c r="X94" i="6"/>
  <c r="W94" i="9" s="1"/>
  <c r="X158" i="6"/>
  <c r="W158" i="9" s="1"/>
  <c r="W158" i="10" s="1"/>
  <c r="X90" i="6"/>
  <c r="W90" i="9" s="1"/>
  <c r="W90" i="10" s="1"/>
  <c r="X134" i="6"/>
  <c r="W134" i="9" s="1"/>
  <c r="X155" i="6"/>
  <c r="W155" i="9" s="1"/>
  <c r="W155" i="10" s="1"/>
  <c r="X20" i="6"/>
  <c r="W20" i="9" s="1"/>
  <c r="X29" i="6"/>
  <c r="W29" i="9" s="1"/>
  <c r="X117" i="6"/>
  <c r="W117" i="9" s="1"/>
  <c r="W117" i="10" s="1"/>
  <c r="X121" i="6"/>
  <c r="W121" i="9" s="1"/>
  <c r="X23" i="6"/>
  <c r="W23" i="9" s="1"/>
  <c r="X152" i="6"/>
  <c r="W152" i="9" s="1"/>
  <c r="X91" i="6"/>
  <c r="W91" i="9" s="1"/>
  <c r="X136" i="6"/>
  <c r="W136" i="9" s="1"/>
  <c r="W136" i="10" s="1"/>
  <c r="X30" i="6"/>
  <c r="W30" i="9" s="1"/>
  <c r="X150" i="6"/>
  <c r="W150" i="9" s="1"/>
  <c r="W150" i="10" s="1"/>
  <c r="X53" i="6"/>
  <c r="W53" i="9" s="1"/>
  <c r="W53" i="10" s="1"/>
  <c r="X131" i="6"/>
  <c r="W131" i="9" s="1"/>
  <c r="X107" i="6"/>
  <c r="W107" i="9" s="1"/>
  <c r="W107" i="10" s="1"/>
  <c r="X67" i="6"/>
  <c r="W67" i="9" s="1"/>
  <c r="X48" i="6"/>
  <c r="W48" i="9" s="1"/>
  <c r="X89" i="6"/>
  <c r="W89" i="9" s="1"/>
  <c r="W89" i="10" s="1"/>
  <c r="X79" i="6"/>
  <c r="W79" i="9" s="1"/>
  <c r="W79" i="10" s="1"/>
  <c r="X122" i="6"/>
  <c r="W122" i="9" s="1"/>
  <c r="X13" i="6"/>
  <c r="W13" i="9" s="1"/>
  <c r="X118" i="6"/>
  <c r="W118" i="9" s="1"/>
  <c r="W118" i="10" s="1"/>
  <c r="X80" i="6"/>
  <c r="W80" i="9" s="1"/>
  <c r="X7" i="6"/>
  <c r="W7" i="9" s="1"/>
  <c r="W7" i="10" s="1"/>
  <c r="X125" i="6"/>
  <c r="W125" i="9" s="1"/>
  <c r="X70" i="6"/>
  <c r="W70" i="9" s="1"/>
  <c r="W70" i="10" s="1"/>
  <c r="X146" i="6"/>
  <c r="W146" i="9" s="1"/>
  <c r="W146" i="10" s="1"/>
  <c r="X124" i="6"/>
  <c r="W124" i="9" s="1"/>
  <c r="X12" i="6"/>
  <c r="W12" i="9" s="1"/>
  <c r="X65" i="6"/>
  <c r="W65" i="9" s="1"/>
  <c r="W65" i="10" s="1"/>
  <c r="X5" i="6"/>
  <c r="X142" i="6"/>
  <c r="W142" i="9" s="1"/>
  <c r="W142" i="10" s="1"/>
  <c r="X95" i="6"/>
  <c r="W95" i="9" s="1"/>
  <c r="X138" i="6"/>
  <c r="W138" i="9" s="1"/>
  <c r="W138" i="10" s="1"/>
  <c r="X76" i="6"/>
  <c r="W76" i="9" s="1"/>
  <c r="W76" i="10" s="1"/>
  <c r="X68" i="6"/>
  <c r="W68" i="9" s="1"/>
  <c r="W68" i="10" s="1"/>
  <c r="X114" i="6"/>
  <c r="W114" i="9" s="1"/>
  <c r="W114" i="10" s="1"/>
  <c r="X123" i="6"/>
  <c r="W123" i="9" s="1"/>
  <c r="W123" i="10" s="1"/>
  <c r="X69" i="6"/>
  <c r="W69" i="9" s="1"/>
  <c r="X109" i="6"/>
  <c r="W109" i="9" s="1"/>
  <c r="W109" i="10" s="1"/>
  <c r="X147" i="6"/>
  <c r="W147" i="9" s="1"/>
  <c r="X49" i="6"/>
  <c r="W49" i="9" s="1"/>
  <c r="W49" i="10" s="1"/>
  <c r="X111" i="6"/>
  <c r="W111" i="9" s="1"/>
  <c r="X93" i="6"/>
  <c r="W93" i="9" s="1"/>
  <c r="W93" i="10" s="1"/>
  <c r="X43" i="6"/>
  <c r="W43" i="9" s="1"/>
  <c r="W43" i="10" s="1"/>
  <c r="X31" i="6"/>
  <c r="W31" i="9" s="1"/>
  <c r="W31" i="10" s="1"/>
  <c r="X81" i="6"/>
  <c r="W81" i="9" s="1"/>
  <c r="X50" i="6"/>
  <c r="W50" i="9" s="1"/>
  <c r="W50" i="10" s="1"/>
  <c r="X39" i="6"/>
  <c r="W39" i="9" s="1"/>
  <c r="W39" i="10" s="1"/>
  <c r="X47" i="6"/>
  <c r="W47" i="9" s="1"/>
  <c r="W47" i="10" s="1"/>
  <c r="X52" i="6"/>
  <c r="W52" i="9" s="1"/>
  <c r="X119" i="6"/>
  <c r="W119" i="9" s="1"/>
  <c r="X130" i="6"/>
  <c r="W130" i="9" s="1"/>
  <c r="X156" i="6"/>
  <c r="W156" i="9" s="1"/>
  <c r="X41" i="6"/>
  <c r="W41" i="9" s="1"/>
  <c r="X127" i="6"/>
  <c r="W127" i="9" s="1"/>
  <c r="W127" i="10" s="1"/>
  <c r="X19" i="6"/>
  <c r="W19" i="9" s="1"/>
  <c r="W19" i="10" s="1"/>
  <c r="X44" i="6"/>
  <c r="W44" i="9" s="1"/>
  <c r="X74" i="6"/>
  <c r="W74" i="9" s="1"/>
  <c r="W74" i="10" s="1"/>
  <c r="X45" i="6"/>
  <c r="W45" i="9" s="1"/>
  <c r="X10" i="6"/>
  <c r="W10" i="9" s="1"/>
  <c r="W10" i="10" s="1"/>
  <c r="X26" i="6"/>
  <c r="W26" i="9" s="1"/>
  <c r="X83" i="6"/>
  <c r="W83" i="9" s="1"/>
  <c r="W83" i="10" s="1"/>
  <c r="X120" i="6"/>
  <c r="W120" i="9" s="1"/>
  <c r="W120" i="10" s="1"/>
  <c r="X108" i="6"/>
  <c r="W108" i="9" s="1"/>
  <c r="W108" i="10" s="1"/>
  <c r="X54" i="6"/>
  <c r="W54" i="9" s="1"/>
  <c r="X34" i="6"/>
  <c r="W34" i="9" s="1"/>
  <c r="W34" i="10" s="1"/>
  <c r="X129" i="6"/>
  <c r="W129" i="9" s="1"/>
  <c r="X15" i="6"/>
  <c r="W15" i="9" s="1"/>
  <c r="X99" i="6"/>
  <c r="W99" i="9" s="1"/>
  <c r="W99" i="10" s="1"/>
  <c r="X103" i="6"/>
  <c r="W103" i="9" s="1"/>
  <c r="X154" i="6"/>
  <c r="W154" i="9" s="1"/>
  <c r="W154" i="10" s="1"/>
  <c r="X63" i="6"/>
  <c r="W63" i="9" s="1"/>
  <c r="X149" i="6"/>
  <c r="W149" i="9" s="1"/>
  <c r="W149" i="10" s="1"/>
  <c r="X141" i="6"/>
  <c r="W141" i="9" s="1"/>
  <c r="W141" i="10" s="1"/>
  <c r="X139" i="6"/>
  <c r="W139" i="9" s="1"/>
  <c r="W139" i="10" s="1"/>
  <c r="X157" i="6"/>
  <c r="W157" i="9" s="1"/>
  <c r="W157" i="10" s="1"/>
  <c r="X9" i="6"/>
  <c r="W9" i="9" s="1"/>
  <c r="X115" i="6"/>
  <c r="W115" i="9" s="1"/>
  <c r="X105" i="6"/>
  <c r="W105" i="9" s="1"/>
  <c r="U172" i="13"/>
  <c r="U12" i="14" s="1"/>
  <c r="U12" i="15" s="1"/>
  <c r="U12" i="13"/>
  <c r="U8" i="16"/>
  <c r="U8" i="13"/>
  <c r="U168" i="13"/>
  <c r="U8" i="14" s="1"/>
  <c r="U90" i="16"/>
  <c r="U250" i="13"/>
  <c r="U90" i="14" s="1"/>
  <c r="U90" i="13"/>
  <c r="U240" i="12"/>
  <c r="U80" i="16" s="1"/>
  <c r="U136" i="10"/>
  <c r="U136" i="11" s="1"/>
  <c r="U41" i="11"/>
  <c r="U201" i="12"/>
  <c r="U301" i="13"/>
  <c r="U141" i="14" s="1"/>
  <c r="U141" i="15" s="1"/>
  <c r="U141" i="13"/>
  <c r="R79" i="15"/>
  <c r="T47" i="15"/>
  <c r="T111" i="15"/>
  <c r="T142" i="17"/>
  <c r="T302" i="17"/>
  <c r="T142" i="18" s="1"/>
  <c r="T311" i="18" s="1"/>
  <c r="T80" i="16"/>
  <c r="T80" i="13"/>
  <c r="T240" i="13"/>
  <c r="T80" i="14" s="1"/>
  <c r="T155" i="17"/>
  <c r="T315" i="17"/>
  <c r="T155" i="18" s="1"/>
  <c r="T326" i="18" s="1"/>
  <c r="T60" i="16"/>
  <c r="T60" i="13"/>
  <c r="T220" i="13"/>
  <c r="T60" i="14" s="1"/>
  <c r="R44" i="15"/>
  <c r="T62" i="16"/>
  <c r="T222" i="13"/>
  <c r="T62" i="14" s="1"/>
  <c r="T62" i="13"/>
  <c r="S148" i="16"/>
  <c r="S308" i="13"/>
  <c r="S148" i="14" s="1"/>
  <c r="S148" i="13"/>
  <c r="S5" i="15"/>
  <c r="T149" i="16"/>
  <c r="T149" i="13"/>
  <c r="T309" i="13"/>
  <c r="T149" i="14" s="1"/>
  <c r="T30" i="15"/>
  <c r="S99" i="13"/>
  <c r="S259" i="13"/>
  <c r="S99" i="14" s="1"/>
  <c r="S99" i="15" s="1"/>
  <c r="S69" i="16"/>
  <c r="S69" i="13"/>
  <c r="S229" i="13"/>
  <c r="S69" i="14" s="1"/>
  <c r="R225" i="18"/>
  <c r="T274" i="17"/>
  <c r="T114" i="18" s="1"/>
  <c r="T114" i="17"/>
  <c r="T242" i="12"/>
  <c r="T82" i="16" s="1"/>
  <c r="T44" i="17"/>
  <c r="T204" i="17"/>
  <c r="T44" i="18" s="1"/>
  <c r="T204" i="18" s="1"/>
  <c r="T16" i="15"/>
  <c r="T8" i="15"/>
  <c r="U134" i="13"/>
  <c r="U294" i="13"/>
  <c r="U134" i="14" s="1"/>
  <c r="U134" i="15" s="1"/>
  <c r="U107" i="16"/>
  <c r="U267" i="13"/>
  <c r="U107" i="14" s="1"/>
  <c r="U107" i="13"/>
  <c r="U109" i="11"/>
  <c r="U269" i="12"/>
  <c r="U186" i="13"/>
  <c r="U26" i="14" s="1"/>
  <c r="U26" i="15" s="1"/>
  <c r="U26" i="13"/>
  <c r="U275" i="12"/>
  <c r="U63" i="11"/>
  <c r="U223" i="12"/>
  <c r="U49" i="11"/>
  <c r="S168" i="17"/>
  <c r="S8" i="18" s="1"/>
  <c r="S8" i="17"/>
  <c r="S201" i="17"/>
  <c r="S41" i="18" s="1"/>
  <c r="S41" i="17"/>
  <c r="R222" i="17"/>
  <c r="R62" i="18" s="1"/>
  <c r="R62" i="17"/>
  <c r="T141" i="16"/>
  <c r="T301" i="13"/>
  <c r="T141" i="14" s="1"/>
  <c r="T141" i="13"/>
  <c r="T225" i="17"/>
  <c r="T65" i="18" s="1"/>
  <c r="T65" i="17"/>
  <c r="T189" i="12"/>
  <c r="T29" i="16" s="1"/>
  <c r="S278" i="17"/>
  <c r="S118" i="18" s="1"/>
  <c r="S118" i="17"/>
  <c r="R263" i="17"/>
  <c r="R103" i="18" s="1"/>
  <c r="R103" i="17"/>
  <c r="T165" i="12"/>
  <c r="T5" i="16" s="1"/>
  <c r="T92" i="18"/>
  <c r="T256" i="18" s="1"/>
  <c r="R5" i="15"/>
  <c r="R5" i="18"/>
  <c r="S52" i="18"/>
  <c r="T122" i="15"/>
  <c r="T122" i="18"/>
  <c r="T289" i="18" s="1"/>
  <c r="S47" i="15"/>
  <c r="T269" i="17"/>
  <c r="T109" i="18" s="1"/>
  <c r="T275" i="18" s="1"/>
  <c r="T109" i="17"/>
  <c r="S101" i="15"/>
  <c r="T127" i="16"/>
  <c r="T287" i="13"/>
  <c r="T127" i="14" s="1"/>
  <c r="T127" i="13"/>
  <c r="T53" i="13"/>
  <c r="T213" i="13"/>
  <c r="T53" i="14" s="1"/>
  <c r="T53" i="15" s="1"/>
  <c r="T208" i="17"/>
  <c r="T48" i="18" s="1"/>
  <c r="T208" i="18" s="1"/>
  <c r="T48" i="17"/>
  <c r="S138" i="13"/>
  <c r="S298" i="13"/>
  <c r="S138" i="14" s="1"/>
  <c r="S138" i="15" s="1"/>
  <c r="T131" i="18"/>
  <c r="T298" i="18" s="1"/>
  <c r="S115" i="18"/>
  <c r="S50" i="18"/>
  <c r="S210" i="18" s="1"/>
  <c r="R82" i="18"/>
  <c r="T35" i="18"/>
  <c r="T195" i="18" s="1"/>
  <c r="T43" i="18"/>
  <c r="T203" i="18" s="1"/>
  <c r="R312" i="17"/>
  <c r="R152" i="18" s="1"/>
  <c r="R152" i="17"/>
  <c r="T105" i="13"/>
  <c r="T265" i="13"/>
  <c r="T105" i="14" s="1"/>
  <c r="T105" i="15" s="1"/>
  <c r="T45" i="16"/>
  <c r="T205" i="13"/>
  <c r="T45" i="14" s="1"/>
  <c r="T45" i="13"/>
  <c r="T119" i="16"/>
  <c r="T119" i="13"/>
  <c r="T279" i="13"/>
  <c r="T119" i="14" s="1"/>
  <c r="T174" i="12"/>
  <c r="T106" i="16"/>
  <c r="T266" i="13"/>
  <c r="T106" i="14" s="1"/>
  <c r="T106" i="13"/>
  <c r="U42" i="16"/>
  <c r="U202" i="13"/>
  <c r="U42" i="14" s="1"/>
  <c r="U42" i="13"/>
  <c r="U191" i="17"/>
  <c r="U31" i="17"/>
  <c r="U253" i="13"/>
  <c r="U93" i="14" s="1"/>
  <c r="U93" i="15" s="1"/>
  <c r="U93" i="13"/>
  <c r="U83" i="16"/>
  <c r="U83" i="13"/>
  <c r="U243" i="13"/>
  <c r="U83" i="14" s="1"/>
  <c r="U157" i="16"/>
  <c r="U317" i="13"/>
  <c r="U157" i="14" s="1"/>
  <c r="U157" i="13"/>
  <c r="U99" i="16"/>
  <c r="U259" i="13"/>
  <c r="U99" i="14" s="1"/>
  <c r="U99" i="13"/>
  <c r="T41" i="17"/>
  <c r="T201" i="17"/>
  <c r="T41" i="18" s="1"/>
  <c r="T201" i="18" s="1"/>
  <c r="T22" i="16"/>
  <c r="T22" i="13"/>
  <c r="T182" i="13"/>
  <c r="T22" i="14" s="1"/>
  <c r="T81" i="13"/>
  <c r="T241" i="13"/>
  <c r="T81" i="14" s="1"/>
  <c r="T81" i="15" s="1"/>
  <c r="T121" i="17"/>
  <c r="T281" i="17"/>
  <c r="T121" i="18" s="1"/>
  <c r="T63" i="17"/>
  <c r="T223" i="17"/>
  <c r="T63" i="18" s="1"/>
  <c r="T223" i="18" s="1"/>
  <c r="T18" i="17"/>
  <c r="T178" i="17"/>
  <c r="T18" i="18" s="1"/>
  <c r="T178" i="18" s="1"/>
  <c r="R123" i="15"/>
  <c r="R123" i="18"/>
  <c r="T249" i="17"/>
  <c r="T89" i="17"/>
  <c r="T87" i="18"/>
  <c r="T251" i="18" s="1"/>
  <c r="T87" i="15"/>
  <c r="U195" i="12"/>
  <c r="U178" i="12"/>
  <c r="U131" i="10"/>
  <c r="U131" i="11" s="1"/>
  <c r="U190" i="12"/>
  <c r="U76" i="16"/>
  <c r="U236" i="13"/>
  <c r="U76" i="13"/>
  <c r="U138" i="16"/>
  <c r="U138" i="13"/>
  <c r="U298" i="13"/>
  <c r="U138" i="14" s="1"/>
  <c r="U9" i="16"/>
  <c r="U169" i="13"/>
  <c r="U9" i="14" s="1"/>
  <c r="U9" i="13"/>
  <c r="R63" i="15"/>
  <c r="R63" i="18"/>
  <c r="S101" i="17"/>
  <c r="S261" i="17"/>
  <c r="S101" i="18" s="1"/>
  <c r="S266" i="18" s="1"/>
  <c r="R298" i="18"/>
  <c r="T317" i="12"/>
  <c r="T157" i="16" s="1"/>
  <c r="R109" i="15"/>
  <c r="R109" i="18"/>
  <c r="T158" i="18"/>
  <c r="T329" i="18" s="1"/>
  <c r="T158" i="15"/>
  <c r="T215" i="13"/>
  <c r="T55" i="14" s="1"/>
  <c r="T55" i="13"/>
  <c r="S131" i="15"/>
  <c r="S131" i="18"/>
  <c r="S298" i="18" s="1"/>
  <c r="T285" i="13"/>
  <c r="T125" i="14" s="1"/>
  <c r="T125" i="13"/>
  <c r="T250" i="12"/>
  <c r="V149" i="9"/>
  <c r="V149" i="10" s="1"/>
  <c r="V34" i="11"/>
  <c r="V194" i="12"/>
  <c r="V105" i="10"/>
  <c r="V105" i="11" s="1"/>
  <c r="V50" i="9"/>
  <c r="V50" i="10" s="1"/>
  <c r="V74" i="11"/>
  <c r="V234" i="12"/>
  <c r="V74" i="16" s="1"/>
  <c r="V138" i="10"/>
  <c r="V138" i="11" s="1"/>
  <c r="V81" i="11"/>
  <c r="V241" i="12"/>
  <c r="V146" i="11"/>
  <c r="V306" i="12"/>
  <c r="V39" i="10"/>
  <c r="V199" i="12" s="1"/>
  <c r="V124" i="11"/>
  <c r="V284" i="12"/>
  <c r="V124" i="16" s="1"/>
  <c r="V109" i="10"/>
  <c r="V68" i="10"/>
  <c r="V228" i="12" s="1"/>
  <c r="V97" i="11"/>
  <c r="V257" i="12"/>
  <c r="V97" i="16" s="1"/>
  <c r="V80" i="11"/>
  <c r="V240" i="12"/>
  <c r="V12" i="9"/>
  <c r="V70" i="10"/>
  <c r="V5" i="9"/>
  <c r="V5" i="10" s="1"/>
  <c r="W159" i="6"/>
  <c r="V131" i="11"/>
  <c r="V291" i="12"/>
  <c r="V131" i="16" s="1"/>
  <c r="V18" i="10"/>
  <c r="V178" i="12" s="1"/>
  <c r="V20" i="10"/>
  <c r="V180" i="12" s="1"/>
  <c r="V121" i="11"/>
  <c r="V281" i="12"/>
  <c r="V87" i="11"/>
  <c r="V247" i="12"/>
  <c r="V92" i="11"/>
  <c r="V252" i="12"/>
  <c r="V16" i="11"/>
  <c r="V176" i="12"/>
  <c r="V116" i="10"/>
  <c r="V276" i="12" s="1"/>
  <c r="V35" i="10"/>
  <c r="V35" i="11" s="1"/>
  <c r="U252" i="13"/>
  <c r="U92" i="14" s="1"/>
  <c r="U92" i="15" s="1"/>
  <c r="U92" i="13"/>
  <c r="U55" i="16"/>
  <c r="U215" i="13"/>
  <c r="U55" i="14" s="1"/>
  <c r="U55" i="13"/>
  <c r="U81" i="17"/>
  <c r="U241" i="17"/>
  <c r="U81" i="18" s="1"/>
  <c r="U243" i="18" s="1"/>
  <c r="U279" i="12"/>
  <c r="U119" i="16"/>
  <c r="U108" i="11"/>
  <c r="U268" i="12"/>
  <c r="U52" i="13"/>
  <c r="U212" i="13"/>
  <c r="U52" i="14" s="1"/>
  <c r="U52" i="15" s="1"/>
  <c r="U123" i="16"/>
  <c r="U123" i="13"/>
  <c r="U283" i="13"/>
  <c r="U123" i="14" s="1"/>
  <c r="U263" i="12"/>
  <c r="U103" i="16" s="1"/>
  <c r="T271" i="17"/>
  <c r="T111" i="18" s="1"/>
  <c r="T278" i="18" s="1"/>
  <c r="T111" i="17"/>
  <c r="T130" i="15"/>
  <c r="T130" i="18"/>
  <c r="T297" i="18" s="1"/>
  <c r="R204" i="17"/>
  <c r="R44" i="18" s="1"/>
  <c r="R44" i="17"/>
  <c r="S116" i="18"/>
  <c r="S116" i="15"/>
  <c r="T199" i="13"/>
  <c r="T39" i="14" s="1"/>
  <c r="T39" i="15" s="1"/>
  <c r="T39" i="13"/>
  <c r="T298" i="13"/>
  <c r="T138" i="14" s="1"/>
  <c r="T138" i="15" s="1"/>
  <c r="T138" i="13"/>
  <c r="S55" i="15"/>
  <c r="S55" i="18"/>
  <c r="S215" i="18" s="1"/>
  <c r="S5" i="17"/>
  <c r="S165" i="17"/>
  <c r="S5" i="18" s="1"/>
  <c r="S165" i="18" s="1"/>
  <c r="T209" i="12"/>
  <c r="T136" i="15"/>
  <c r="T136" i="18"/>
  <c r="T303" i="18" s="1"/>
  <c r="T190" i="17"/>
  <c r="T30" i="18" s="1"/>
  <c r="T190" i="18" s="1"/>
  <c r="T30" i="17"/>
  <c r="T12" i="16"/>
  <c r="T12" i="13"/>
  <c r="T172" i="13"/>
  <c r="T12" i="14" s="1"/>
  <c r="S136" i="17"/>
  <c r="S296" i="17"/>
  <c r="S136" i="18" s="1"/>
  <c r="R156" i="17"/>
  <c r="R316" i="17"/>
  <c r="R156" i="18" s="1"/>
  <c r="T107" i="16"/>
  <c r="T107" i="13"/>
  <c r="T267" i="13"/>
  <c r="T107" i="14" s="1"/>
  <c r="T93" i="13"/>
  <c r="T253" i="13"/>
  <c r="T93" i="14" s="1"/>
  <c r="T93" i="15" s="1"/>
  <c r="R210" i="18"/>
  <c r="T179" i="17"/>
  <c r="T19" i="18" s="1"/>
  <c r="T179" i="18" s="1"/>
  <c r="T19" i="17"/>
  <c r="T52" i="15"/>
  <c r="T275" i="17"/>
  <c r="T115" i="18" s="1"/>
  <c r="T282" i="18" s="1"/>
  <c r="T115" i="17"/>
  <c r="T168" i="17"/>
  <c r="T8" i="18" s="1"/>
  <c r="T168" i="18" s="1"/>
  <c r="T8" i="17"/>
  <c r="U155" i="17"/>
  <c r="U315" i="17"/>
  <c r="U155" i="18" s="1"/>
  <c r="U326" i="18" s="1"/>
  <c r="U318" i="12"/>
  <c r="U158" i="16" s="1"/>
  <c r="U182" i="13"/>
  <c r="U22" i="14" s="1"/>
  <c r="U22" i="15" s="1"/>
  <c r="U22" i="13"/>
  <c r="U121" i="11"/>
  <c r="U281" i="12"/>
  <c r="U121" i="16" s="1"/>
  <c r="U13" i="10"/>
  <c r="U13" i="11" s="1"/>
  <c r="U207" i="13"/>
  <c r="U47" i="14" s="1"/>
  <c r="U47" i="13"/>
  <c r="U175" i="17"/>
  <c r="U15" i="18" s="1"/>
  <c r="U175" i="18" s="1"/>
  <c r="U15" i="17"/>
  <c r="U49" i="16"/>
  <c r="U209" i="13"/>
  <c r="U49" i="13"/>
  <c r="S68" i="15"/>
  <c r="S150" i="16"/>
  <c r="S310" i="13"/>
  <c r="S150" i="14" s="1"/>
  <c r="S150" i="13"/>
  <c r="T7" i="13"/>
  <c r="T167" i="13"/>
  <c r="T7" i="14" s="1"/>
  <c r="R303" i="18"/>
  <c r="T108" i="15"/>
  <c r="T108" i="18"/>
  <c r="T274" i="18" s="1"/>
  <c r="T234" i="17"/>
  <c r="T74" i="18" s="1"/>
  <c r="T74" i="17"/>
  <c r="S285" i="17"/>
  <c r="S125" i="17"/>
  <c r="T147" i="15"/>
  <c r="T147" i="18"/>
  <c r="T316" i="18" s="1"/>
  <c r="T57" i="18"/>
  <c r="T217" i="18" s="1"/>
  <c r="S155" i="18"/>
  <c r="S155" i="15"/>
  <c r="S207" i="17"/>
  <c r="S47" i="18" s="1"/>
  <c r="S47" i="17"/>
  <c r="S301" i="17"/>
  <c r="S141" i="18" s="1"/>
  <c r="S141" i="17"/>
  <c r="T263" i="17"/>
  <c r="T103" i="18" s="1"/>
  <c r="T269" i="18" s="1"/>
  <c r="T103" i="17"/>
  <c r="T117" i="18"/>
  <c r="T284" i="18" s="1"/>
  <c r="T117" i="15"/>
  <c r="R106" i="15"/>
  <c r="S91" i="18"/>
  <c r="S255" i="18" s="1"/>
  <c r="T227" i="12"/>
  <c r="S208" i="13"/>
  <c r="S48" i="14" s="1"/>
  <c r="S48" i="13"/>
  <c r="R45" i="18"/>
  <c r="S10" i="18"/>
  <c r="S170" i="18" s="1"/>
  <c r="S97" i="18"/>
  <c r="S261" i="18" s="1"/>
  <c r="S86" i="18"/>
  <c r="S250" i="18" s="1"/>
  <c r="R12" i="18"/>
  <c r="Z39" i="1"/>
  <c r="H17" i="31" s="1"/>
  <c r="AD89" i="1"/>
  <c r="AC89" i="1"/>
  <c r="S89" i="1" s="1"/>
  <c r="S93" i="1" s="1"/>
  <c r="AO89" i="1"/>
  <c r="C89" i="1" s="1"/>
  <c r="AF89" i="1"/>
  <c r="AE89" i="1"/>
  <c r="P89" i="1"/>
  <c r="E193" i="1"/>
  <c r="E199" i="1"/>
  <c r="AO199" i="1" s="1"/>
  <c r="C199" i="1" s="1"/>
  <c r="D66" i="6"/>
  <c r="B67" i="6"/>
  <c r="D67" i="37" s="1"/>
  <c r="A67" i="37" s="1"/>
  <c r="B66" i="20"/>
  <c r="B66" i="10"/>
  <c r="B66" i="11"/>
  <c r="B226" i="12"/>
  <c r="B66" i="12"/>
  <c r="B226" i="13"/>
  <c r="B66" i="13"/>
  <c r="B66" i="14"/>
  <c r="B226" i="18"/>
  <c r="B66" i="15"/>
  <c r="B66" i="16"/>
  <c r="B226" i="17"/>
  <c r="B66" i="17"/>
  <c r="B66" i="18"/>
  <c r="B66" i="9"/>
  <c r="T119" i="15" l="1"/>
  <c r="U148" i="14"/>
  <c r="U147" i="14"/>
  <c r="U14" i="14"/>
  <c r="V82" i="11"/>
  <c r="U20" i="14"/>
  <c r="U31" i="18"/>
  <c r="U191" i="18" s="1"/>
  <c r="U145" i="14"/>
  <c r="U99" i="15"/>
  <c r="V73" i="11"/>
  <c r="V20" i="11"/>
  <c r="U82" i="14"/>
  <c r="V13" i="11"/>
  <c r="V147" i="11"/>
  <c r="V42" i="11"/>
  <c r="S48" i="15"/>
  <c r="S48" i="18"/>
  <c r="S207" i="18"/>
  <c r="T225" i="18"/>
  <c r="T82" i="17"/>
  <c r="T242" i="17"/>
  <c r="V120" i="17"/>
  <c r="V280" i="17"/>
  <c r="R254" i="18"/>
  <c r="T307" i="18"/>
  <c r="U205" i="17"/>
  <c r="U45" i="17"/>
  <c r="U254" i="17"/>
  <c r="U94" i="17"/>
  <c r="V136" i="17"/>
  <c r="V296" i="17"/>
  <c r="T235" i="18"/>
  <c r="U281" i="17"/>
  <c r="U121" i="17"/>
  <c r="S303" i="18"/>
  <c r="V284" i="17"/>
  <c r="V124" i="17"/>
  <c r="T157" i="17"/>
  <c r="T317" i="17"/>
  <c r="T5" i="17"/>
  <c r="T165" i="17"/>
  <c r="S285" i="18"/>
  <c r="R222" i="18"/>
  <c r="S168" i="18"/>
  <c r="T60" i="15"/>
  <c r="S178" i="18"/>
  <c r="T186" i="18"/>
  <c r="S311" i="18"/>
  <c r="R301" i="18"/>
  <c r="U39" i="17"/>
  <c r="U199" i="17"/>
  <c r="T314" i="17"/>
  <c r="T154" i="17"/>
  <c r="U120" i="17"/>
  <c r="U280" i="17"/>
  <c r="U204" i="17"/>
  <c r="U44" i="17"/>
  <c r="S310" i="18"/>
  <c r="R204" i="18"/>
  <c r="V234" i="17"/>
  <c r="V74" i="17"/>
  <c r="T288" i="18"/>
  <c r="T29" i="17"/>
  <c r="T189" i="17"/>
  <c r="T281" i="18"/>
  <c r="R245" i="18"/>
  <c r="T312" i="17"/>
  <c r="T152" i="17"/>
  <c r="R327" i="18"/>
  <c r="R322" i="18"/>
  <c r="R269" i="18"/>
  <c r="S201" i="18"/>
  <c r="S176" i="18"/>
  <c r="U225" i="17"/>
  <c r="U65" i="17"/>
  <c r="T54" i="15"/>
  <c r="T54" i="18"/>
  <c r="T202" i="17"/>
  <c r="T42" i="17"/>
  <c r="S179" i="18"/>
  <c r="T183" i="17"/>
  <c r="T23" i="17"/>
  <c r="R205" i="18"/>
  <c r="T7" i="15"/>
  <c r="T7" i="18"/>
  <c r="T167" i="18" s="1"/>
  <c r="T227" i="13"/>
  <c r="T67" i="14" s="1"/>
  <c r="T67" i="13"/>
  <c r="T267" i="17"/>
  <c r="T107" i="17"/>
  <c r="T209" i="13"/>
  <c r="T49" i="14" s="1"/>
  <c r="T49" i="13"/>
  <c r="S283" i="18"/>
  <c r="U108" i="16"/>
  <c r="U268" i="13"/>
  <c r="U108" i="14" s="1"/>
  <c r="U108" i="13"/>
  <c r="V116" i="16"/>
  <c r="V116" i="13"/>
  <c r="V276" i="13"/>
  <c r="V92" i="16"/>
  <c r="V252" i="13"/>
  <c r="V92" i="14" s="1"/>
  <c r="V92" i="13"/>
  <c r="V121" i="16"/>
  <c r="V281" i="13"/>
  <c r="V121" i="14" s="1"/>
  <c r="V121" i="13"/>
  <c r="V18" i="11"/>
  <c r="V230" i="12"/>
  <c r="V269" i="12"/>
  <c r="V109" i="16" s="1"/>
  <c r="V39" i="11"/>
  <c r="V81" i="16"/>
  <c r="V241" i="13"/>
  <c r="V81" i="14" s="1"/>
  <c r="V81" i="13"/>
  <c r="V50" i="11"/>
  <c r="V210" i="12"/>
  <c r="T90" i="16"/>
  <c r="T250" i="13"/>
  <c r="T90" i="14" s="1"/>
  <c r="T90" i="13"/>
  <c r="U30" i="13"/>
  <c r="U190" i="13"/>
  <c r="U30" i="14" s="1"/>
  <c r="U18" i="16"/>
  <c r="U178" i="13"/>
  <c r="U18" i="14" s="1"/>
  <c r="U18" i="13"/>
  <c r="U83" i="15"/>
  <c r="U42" i="15"/>
  <c r="U14" i="15"/>
  <c r="T119" i="17"/>
  <c r="T279" i="17"/>
  <c r="T119" i="18" s="1"/>
  <c r="R244" i="18"/>
  <c r="T127" i="15"/>
  <c r="S212" i="18"/>
  <c r="U49" i="14"/>
  <c r="U115" i="16"/>
  <c r="U275" i="13"/>
  <c r="U115" i="14" s="1"/>
  <c r="U115" i="13"/>
  <c r="U109" i="16"/>
  <c r="U269" i="13"/>
  <c r="U109" i="14" s="1"/>
  <c r="U109" i="13"/>
  <c r="U267" i="17"/>
  <c r="U107" i="17"/>
  <c r="S69" i="15"/>
  <c r="T62" i="15"/>
  <c r="T60" i="17"/>
  <c r="T220" i="17"/>
  <c r="T60" i="18" s="1"/>
  <c r="W105" i="10"/>
  <c r="W139" i="11"/>
  <c r="W299" i="12"/>
  <c r="W139" i="16" s="1"/>
  <c r="W154" i="11"/>
  <c r="W314" i="12"/>
  <c r="W129" i="10"/>
  <c r="W289" i="12" s="1"/>
  <c r="W120" i="11"/>
  <c r="W280" i="12"/>
  <c r="W120" i="16" s="1"/>
  <c r="W45" i="10"/>
  <c r="W127" i="11"/>
  <c r="W287" i="12"/>
  <c r="W119" i="10"/>
  <c r="W279" i="12" s="1"/>
  <c r="W50" i="11"/>
  <c r="W210" i="12"/>
  <c r="W93" i="11"/>
  <c r="W253" i="12"/>
  <c r="W109" i="11"/>
  <c r="W269" i="12"/>
  <c r="W68" i="11"/>
  <c r="W228" i="12"/>
  <c r="W142" i="11"/>
  <c r="W302" i="12"/>
  <c r="W124" i="10"/>
  <c r="W7" i="11"/>
  <c r="W167" i="12"/>
  <c r="W122" i="10"/>
  <c r="W67" i="10"/>
  <c r="W67" i="11" s="1"/>
  <c r="W150" i="11"/>
  <c r="W310" i="12"/>
  <c r="W152" i="10"/>
  <c r="W312" i="12" s="1"/>
  <c r="W29" i="10"/>
  <c r="W90" i="11"/>
  <c r="W250" i="12"/>
  <c r="W97" i="11"/>
  <c r="W257" i="12"/>
  <c r="W42" i="11"/>
  <c r="W202" i="12"/>
  <c r="W60" i="11"/>
  <c r="W220" i="12"/>
  <c r="W60" i="16" s="1"/>
  <c r="W116" i="11"/>
  <c r="W276" i="12"/>
  <c r="W82" i="11"/>
  <c r="W242" i="12"/>
  <c r="W57" i="10"/>
  <c r="V246" i="12"/>
  <c r="V86" i="16" s="1"/>
  <c r="V261" i="12"/>
  <c r="V217" i="13"/>
  <c r="V57" i="14" s="1"/>
  <c r="V57" i="13"/>
  <c r="V125" i="16"/>
  <c r="V125" i="13"/>
  <c r="V285" i="13"/>
  <c r="V125" i="14" s="1"/>
  <c r="V111" i="11"/>
  <c r="V170" i="12"/>
  <c r="V317" i="12"/>
  <c r="V157" i="16" s="1"/>
  <c r="S234" i="18"/>
  <c r="U76" i="14"/>
  <c r="U60" i="15"/>
  <c r="U79" i="16"/>
  <c r="U79" i="13"/>
  <c r="U239" i="13"/>
  <c r="U79" i="14" s="1"/>
  <c r="U118" i="16"/>
  <c r="U278" i="13"/>
  <c r="U118" i="14" s="1"/>
  <c r="U118" i="13"/>
  <c r="U266" i="17"/>
  <c r="U106" i="17"/>
  <c r="T191" i="17"/>
  <c r="T31" i="17"/>
  <c r="U26" i="18"/>
  <c r="U186" i="18" s="1"/>
  <c r="U217" i="12"/>
  <c r="U57" i="16" s="1"/>
  <c r="T146" i="15"/>
  <c r="U95" i="17"/>
  <c r="U255" i="17"/>
  <c r="U95" i="18" s="1"/>
  <c r="U259" i="18" s="1"/>
  <c r="U257" i="17"/>
  <c r="U97" i="17"/>
  <c r="V29" i="16"/>
  <c r="V29" i="13"/>
  <c r="V189" i="13"/>
  <c r="V29" i="14" s="1"/>
  <c r="V134" i="11"/>
  <c r="V148" i="11"/>
  <c r="V60" i="11"/>
  <c r="V7" i="11"/>
  <c r="V118" i="11"/>
  <c r="V9" i="16"/>
  <c r="V169" i="13"/>
  <c r="V9" i="14" s="1"/>
  <c r="V9" i="13"/>
  <c r="V44" i="16"/>
  <c r="V204" i="13"/>
  <c r="V44" i="14" s="1"/>
  <c r="V44" i="13"/>
  <c r="V123" i="16"/>
  <c r="V123" i="13"/>
  <c r="V283" i="13"/>
  <c r="V123" i="14" s="1"/>
  <c r="T243" i="13"/>
  <c r="T83" i="14" s="1"/>
  <c r="T83" i="13"/>
  <c r="T118" i="15"/>
  <c r="S57" i="18"/>
  <c r="T261" i="17"/>
  <c r="T101" i="17"/>
  <c r="U129" i="15"/>
  <c r="U69" i="15"/>
  <c r="U227" i="13"/>
  <c r="U67" i="14" s="1"/>
  <c r="U67" i="13"/>
  <c r="U310" i="12"/>
  <c r="T68" i="15"/>
  <c r="T276" i="17"/>
  <c r="T116" i="17"/>
  <c r="U139" i="15"/>
  <c r="U10" i="17"/>
  <c r="U170" i="17"/>
  <c r="T239" i="17"/>
  <c r="T79" i="17"/>
  <c r="T50" i="15"/>
  <c r="T20" i="15"/>
  <c r="T129" i="15"/>
  <c r="U114" i="15"/>
  <c r="U251" i="12"/>
  <c r="U91" i="16"/>
  <c r="U29" i="14"/>
  <c r="U282" i="13"/>
  <c r="U122" i="14" s="1"/>
  <c r="U122" i="15" s="1"/>
  <c r="U122" i="13"/>
  <c r="U167" i="12"/>
  <c r="V277" i="13"/>
  <c r="V117" i="14" s="1"/>
  <c r="V117" i="15" s="1"/>
  <c r="V117" i="13"/>
  <c r="V82" i="16"/>
  <c r="V82" i="13"/>
  <c r="V242" i="13"/>
  <c r="V213" i="12"/>
  <c r="V152" i="10"/>
  <c r="V152" i="11" s="1"/>
  <c r="V225" i="12"/>
  <c r="V65" i="16" s="1"/>
  <c r="V302" i="12"/>
  <c r="V142" i="16" s="1"/>
  <c r="U48" i="15"/>
  <c r="U124" i="15"/>
  <c r="U19" i="13"/>
  <c r="U179" i="13"/>
  <c r="U19" i="14" s="1"/>
  <c r="U20" i="17"/>
  <c r="U180" i="17"/>
  <c r="T81" i="18"/>
  <c r="T93" i="18"/>
  <c r="R272" i="18"/>
  <c r="S150" i="15"/>
  <c r="U49" i="17"/>
  <c r="U209" i="17"/>
  <c r="U47" i="18"/>
  <c r="U207" i="18" s="1"/>
  <c r="U47" i="15"/>
  <c r="U281" i="13"/>
  <c r="U121" i="14" s="1"/>
  <c r="U121" i="15" s="1"/>
  <c r="U121" i="13"/>
  <c r="T172" i="17"/>
  <c r="T12" i="17"/>
  <c r="U263" i="17"/>
  <c r="U103" i="17"/>
  <c r="U283" i="17"/>
  <c r="U123" i="17"/>
  <c r="U55" i="15"/>
  <c r="V16" i="16"/>
  <c r="V176" i="13"/>
  <c r="V16" i="14" s="1"/>
  <c r="V16" i="13"/>
  <c r="V18" i="16"/>
  <c r="V178" i="13"/>
  <c r="V18" i="13"/>
  <c r="V68" i="11"/>
  <c r="V39" i="16"/>
  <c r="V39" i="13"/>
  <c r="V199" i="13"/>
  <c r="V39" i="14" s="1"/>
  <c r="V74" i="13"/>
  <c r="V234" i="13"/>
  <c r="V74" i="14" s="1"/>
  <c r="V74" i="15" s="1"/>
  <c r="S120" i="18"/>
  <c r="S120" i="15"/>
  <c r="R275" i="18"/>
  <c r="T317" i="13"/>
  <c r="T157" i="14" s="1"/>
  <c r="T157" i="15" s="1"/>
  <c r="T157" i="13"/>
  <c r="R223" i="18"/>
  <c r="U9" i="15"/>
  <c r="U138" i="17"/>
  <c r="U298" i="17"/>
  <c r="T182" i="17"/>
  <c r="T22" i="17"/>
  <c r="U157" i="15"/>
  <c r="U42" i="17"/>
  <c r="U202" i="17"/>
  <c r="U42" i="18" s="1"/>
  <c r="U202" i="18" s="1"/>
  <c r="T14" i="16"/>
  <c r="T14" i="13"/>
  <c r="T174" i="13"/>
  <c r="T14" i="14" s="1"/>
  <c r="T127" i="17"/>
  <c r="T287" i="17"/>
  <c r="T127" i="18" s="1"/>
  <c r="T5" i="13"/>
  <c r="T165" i="13"/>
  <c r="T5" i="14" s="1"/>
  <c r="U63" i="16"/>
  <c r="U223" i="13"/>
  <c r="U63" i="14" s="1"/>
  <c r="U63" i="13"/>
  <c r="T82" i="13"/>
  <c r="T242" i="13"/>
  <c r="T82" i="14" s="1"/>
  <c r="T82" i="15" s="1"/>
  <c r="T149" i="17"/>
  <c r="T309" i="17"/>
  <c r="S148" i="15"/>
  <c r="T222" i="17"/>
  <c r="T62" i="18" s="1"/>
  <c r="T62" i="17"/>
  <c r="T240" i="17"/>
  <c r="T80" i="18" s="1"/>
  <c r="T80" i="17"/>
  <c r="U296" i="12"/>
  <c r="U90" i="15"/>
  <c r="U168" i="17"/>
  <c r="U8" i="18" s="1"/>
  <c r="U168" i="18" s="1"/>
  <c r="U8" i="17"/>
  <c r="W115" i="10"/>
  <c r="W141" i="11"/>
  <c r="W301" i="12"/>
  <c r="W141" i="16" s="1"/>
  <c r="W103" i="10"/>
  <c r="W103" i="11" s="1"/>
  <c r="W34" i="11"/>
  <c r="W194" i="12"/>
  <c r="W83" i="11"/>
  <c r="W243" i="12"/>
  <c r="W74" i="11"/>
  <c r="W234" i="12"/>
  <c r="W41" i="10"/>
  <c r="W41" i="11" s="1"/>
  <c r="W52" i="10"/>
  <c r="W52" i="11" s="1"/>
  <c r="W81" i="10"/>
  <c r="W81" i="11" s="1"/>
  <c r="W111" i="10"/>
  <c r="W271" i="12" s="1"/>
  <c r="W69" i="10"/>
  <c r="W69" i="11" s="1"/>
  <c r="W76" i="11"/>
  <c r="W236" i="12"/>
  <c r="W5" i="9"/>
  <c r="X159" i="6"/>
  <c r="W146" i="11"/>
  <c r="W306" i="12"/>
  <c r="W146" i="16"/>
  <c r="W80" i="10"/>
  <c r="W240" i="12" s="1"/>
  <c r="W79" i="11"/>
  <c r="W239" i="12"/>
  <c r="W107" i="11"/>
  <c r="W267" i="12"/>
  <c r="W30" i="10"/>
  <c r="W30" i="11" s="1"/>
  <c r="W23" i="10"/>
  <c r="W183" i="12" s="1"/>
  <c r="W20" i="10"/>
  <c r="W20" i="11" s="1"/>
  <c r="W158" i="11"/>
  <c r="W318" i="12"/>
  <c r="W86" i="10"/>
  <c r="W86" i="11" s="1"/>
  <c r="W22" i="10"/>
  <c r="W145" i="10"/>
  <c r="W305" i="12" s="1"/>
  <c r="W92" i="10"/>
  <c r="W148" i="11"/>
  <c r="W308" i="12"/>
  <c r="W148" i="16" s="1"/>
  <c r="W73" i="10"/>
  <c r="W73" i="11" s="1"/>
  <c r="V22" i="16"/>
  <c r="V182" i="13"/>
  <c r="V22" i="14" s="1"/>
  <c r="V22" i="13"/>
  <c r="V107" i="11"/>
  <c r="V267" i="12"/>
  <c r="V23" i="11"/>
  <c r="V183" i="12"/>
  <c r="V111" i="16"/>
  <c r="V271" i="13"/>
  <c r="V111" i="13"/>
  <c r="V280" i="13"/>
  <c r="V120" i="14" s="1"/>
  <c r="V120" i="15" s="1"/>
  <c r="V120" i="13"/>
  <c r="V41" i="11"/>
  <c r="V130" i="16"/>
  <c r="V290" i="13"/>
  <c r="V130" i="14" s="1"/>
  <c r="V130" i="13"/>
  <c r="U68" i="17"/>
  <c r="U228" i="17"/>
  <c r="U156" i="15"/>
  <c r="U89" i="15"/>
  <c r="U254" i="13"/>
  <c r="U94" i="14" s="1"/>
  <c r="U94" i="13"/>
  <c r="S138" i="18"/>
  <c r="T53" i="18"/>
  <c r="S174" i="18"/>
  <c r="U125" i="15"/>
  <c r="U70" i="15"/>
  <c r="U225" i="13"/>
  <c r="U65" i="14" s="1"/>
  <c r="U65" i="15" s="1"/>
  <c r="U65" i="13"/>
  <c r="U189" i="17"/>
  <c r="U29" i="17"/>
  <c r="S99" i="18"/>
  <c r="T306" i="17"/>
  <c r="T146" i="18" s="1"/>
  <c r="T146" i="17"/>
  <c r="T152" i="13"/>
  <c r="T312" i="13"/>
  <c r="T152" i="14" s="1"/>
  <c r="U265" i="12"/>
  <c r="U199" i="13"/>
  <c r="U39" i="14" s="1"/>
  <c r="U39" i="13"/>
  <c r="U12" i="18"/>
  <c r="U172" i="18" s="1"/>
  <c r="V134" i="16"/>
  <c r="V294" i="13"/>
  <c r="V134" i="13"/>
  <c r="V148" i="16"/>
  <c r="V308" i="13"/>
  <c r="V148" i="13"/>
  <c r="V60" i="16"/>
  <c r="V60" i="13"/>
  <c r="V220" i="13"/>
  <c r="V7" i="16"/>
  <c r="V7" i="13"/>
  <c r="V167" i="13"/>
  <c r="V7" i="14" s="1"/>
  <c r="V118" i="16"/>
  <c r="V118" i="13"/>
  <c r="V278" i="13"/>
  <c r="V136" i="13"/>
  <c r="V296" i="13"/>
  <c r="V136" i="14" s="1"/>
  <c r="V136" i="15" s="1"/>
  <c r="V63" i="16"/>
  <c r="V63" i="13"/>
  <c r="V223" i="13"/>
  <c r="V63" i="14" s="1"/>
  <c r="T42" i="13"/>
  <c r="T202" i="13"/>
  <c r="T42" i="14" s="1"/>
  <c r="T118" i="17"/>
  <c r="T278" i="17"/>
  <c r="T118" i="18" s="1"/>
  <c r="U87" i="15"/>
  <c r="T68" i="17"/>
  <c r="T228" i="17"/>
  <c r="T68" i="18" s="1"/>
  <c r="T229" i="18" s="1"/>
  <c r="U299" i="17"/>
  <c r="U139" i="18" s="1"/>
  <c r="U307" i="18" s="1"/>
  <c r="U139" i="17"/>
  <c r="U111" i="15"/>
  <c r="U117" i="15"/>
  <c r="T124" i="18"/>
  <c r="T210" i="17"/>
  <c r="T50" i="18" s="1"/>
  <c r="T50" i="17"/>
  <c r="S125" i="15"/>
  <c r="S125" i="18"/>
  <c r="T129" i="17"/>
  <c r="T289" i="17"/>
  <c r="T129" i="18" s="1"/>
  <c r="S191" i="18"/>
  <c r="U149" i="17"/>
  <c r="U309" i="17"/>
  <c r="U147" i="15"/>
  <c r="U274" i="17"/>
  <c r="U114" i="18" s="1"/>
  <c r="U114" i="17"/>
  <c r="U152" i="17"/>
  <c r="U312" i="17"/>
  <c r="V250" i="12"/>
  <c r="V90" i="16" s="1"/>
  <c r="V158" i="16"/>
  <c r="V318" i="13"/>
  <c r="V158" i="14" s="1"/>
  <c r="V158" i="13"/>
  <c r="V91" i="16"/>
  <c r="V251" i="13"/>
  <c r="V91" i="14" s="1"/>
  <c r="V91" i="13"/>
  <c r="V253" i="12"/>
  <c r="V93" i="16" s="1"/>
  <c r="V43" i="16"/>
  <c r="V43" i="13"/>
  <c r="V203" i="13"/>
  <c r="V43" i="14" s="1"/>
  <c r="T314" i="13"/>
  <c r="T154" i="14" s="1"/>
  <c r="T154" i="13"/>
  <c r="S249" i="17"/>
  <c r="S89" i="18" s="1"/>
  <c r="S89" i="17"/>
  <c r="U280" i="13"/>
  <c r="U120" i="14" s="1"/>
  <c r="U120" i="13"/>
  <c r="U98" i="15"/>
  <c r="T23" i="13"/>
  <c r="T183" i="13"/>
  <c r="T23" i="14" s="1"/>
  <c r="S30" i="15"/>
  <c r="U124" i="17"/>
  <c r="U284" i="17"/>
  <c r="U124" i="18" s="1"/>
  <c r="U291" i="18" s="1"/>
  <c r="T95" i="17"/>
  <c r="T255" i="17"/>
  <c r="T138" i="18"/>
  <c r="T306" i="18" s="1"/>
  <c r="U93" i="18"/>
  <c r="U257" i="18" s="1"/>
  <c r="U116" i="18"/>
  <c r="U283" i="18" s="1"/>
  <c r="U318" i="17"/>
  <c r="U158" i="17"/>
  <c r="U263" i="13"/>
  <c r="U103" i="14" s="1"/>
  <c r="U103" i="15" s="1"/>
  <c r="U103" i="13"/>
  <c r="U279" i="17"/>
  <c r="U119" i="17"/>
  <c r="U55" i="17"/>
  <c r="U215" i="17"/>
  <c r="U55" i="18" s="1"/>
  <c r="U215" i="18" s="1"/>
  <c r="V195" i="12"/>
  <c r="V87" i="16"/>
  <c r="V247" i="13"/>
  <c r="V87" i="14" s="1"/>
  <c r="V87" i="13"/>
  <c r="V131" i="17"/>
  <c r="V291" i="17"/>
  <c r="V5" i="11"/>
  <c r="V165" i="12"/>
  <c r="V12" i="10"/>
  <c r="V12" i="11" s="1"/>
  <c r="V97" i="17"/>
  <c r="V257" i="17"/>
  <c r="V68" i="16"/>
  <c r="V228" i="13"/>
  <c r="V68" i="13"/>
  <c r="V284" i="13"/>
  <c r="V124" i="14" s="1"/>
  <c r="V124" i="15" s="1"/>
  <c r="V124" i="13"/>
  <c r="V146" i="16"/>
  <c r="V306" i="13"/>
  <c r="V146" i="14" s="1"/>
  <c r="V146" i="13"/>
  <c r="V265" i="12"/>
  <c r="V105" i="16" s="1"/>
  <c r="V149" i="11"/>
  <c r="V309" i="12"/>
  <c r="T125" i="15"/>
  <c r="T125" i="18"/>
  <c r="T292" i="18" s="1"/>
  <c r="T55" i="15"/>
  <c r="T55" i="18"/>
  <c r="U169" i="17"/>
  <c r="U9" i="18" s="1"/>
  <c r="U169" i="18" s="1"/>
  <c r="U9" i="17"/>
  <c r="U76" i="17"/>
  <c r="U236" i="17"/>
  <c r="U291" i="12"/>
  <c r="U35" i="16"/>
  <c r="U195" i="13"/>
  <c r="U35" i="14" s="1"/>
  <c r="U35" i="13"/>
  <c r="U157" i="17"/>
  <c r="U317" i="17"/>
  <c r="U157" i="18" s="1"/>
  <c r="U328" i="18" s="1"/>
  <c r="U83" i="17"/>
  <c r="U243" i="17"/>
  <c r="U83" i="18" s="1"/>
  <c r="U245" i="18" s="1"/>
  <c r="U20" i="15"/>
  <c r="U20" i="18"/>
  <c r="U180" i="18" s="1"/>
  <c r="T106" i="15"/>
  <c r="T45" i="15"/>
  <c r="R165" i="18"/>
  <c r="T189" i="13"/>
  <c r="T29" i="14" s="1"/>
  <c r="T29" i="15" s="1"/>
  <c r="T29" i="13"/>
  <c r="T141" i="15"/>
  <c r="S69" i="17"/>
  <c r="S229" i="17"/>
  <c r="S69" i="18" s="1"/>
  <c r="S308" i="17"/>
  <c r="S148" i="18" s="1"/>
  <c r="S148" i="17"/>
  <c r="R241" i="18"/>
  <c r="U41" i="16"/>
  <c r="U201" i="13"/>
  <c r="U41" i="14" s="1"/>
  <c r="U41" i="13"/>
  <c r="U80" i="17"/>
  <c r="U240" i="17"/>
  <c r="U90" i="17"/>
  <c r="U250" i="17"/>
  <c r="U90" i="18" s="1"/>
  <c r="U254" i="18" s="1"/>
  <c r="W9" i="10"/>
  <c r="W9" i="11" s="1"/>
  <c r="W149" i="11"/>
  <c r="W309" i="12"/>
  <c r="W99" i="11"/>
  <c r="W259" i="12"/>
  <c r="W54" i="10"/>
  <c r="W54" i="11" s="1"/>
  <c r="W26" i="10"/>
  <c r="W26" i="11" s="1"/>
  <c r="W44" i="10"/>
  <c r="W44" i="11" s="1"/>
  <c r="W156" i="10"/>
  <c r="W316" i="12" s="1"/>
  <c r="W47" i="11"/>
  <c r="W207" i="12"/>
  <c r="W47" i="16" s="1"/>
  <c r="W31" i="11"/>
  <c r="W191" i="12"/>
  <c r="W31" i="16" s="1"/>
  <c r="W49" i="11"/>
  <c r="W209" i="12"/>
  <c r="W123" i="11"/>
  <c r="W283" i="12"/>
  <c r="W138" i="11"/>
  <c r="W298" i="12"/>
  <c r="W65" i="11"/>
  <c r="W225" i="12"/>
  <c r="W65" i="16" s="1"/>
  <c r="W70" i="11"/>
  <c r="W230" i="12"/>
  <c r="W118" i="11"/>
  <c r="W278" i="12"/>
  <c r="W89" i="11"/>
  <c r="W249" i="12"/>
  <c r="W131" i="10"/>
  <c r="W291" i="12" s="1"/>
  <c r="W131" i="11"/>
  <c r="W136" i="11"/>
  <c r="W296" i="12"/>
  <c r="W121" i="10"/>
  <c r="W121" i="11" s="1"/>
  <c r="W155" i="11"/>
  <c r="W315" i="12"/>
  <c r="W155" i="16" s="1"/>
  <c r="W94" i="10"/>
  <c r="W55" i="10"/>
  <c r="W55" i="11"/>
  <c r="W101" i="10"/>
  <c r="W62" i="10"/>
  <c r="W62" i="11" s="1"/>
  <c r="W87" i="10"/>
  <c r="W35" i="11"/>
  <c r="W195" i="12"/>
  <c r="Z4" i="6"/>
  <c r="Y60" i="6"/>
  <c r="X60" i="9" s="1"/>
  <c r="Y16" i="6"/>
  <c r="X16" i="9" s="1"/>
  <c r="Y145" i="6"/>
  <c r="X145" i="9" s="1"/>
  <c r="Y92" i="6"/>
  <c r="X92" i="9" s="1"/>
  <c r="Y116" i="6"/>
  <c r="X116" i="9" s="1"/>
  <c r="Y94" i="6"/>
  <c r="X94" i="9" s="1"/>
  <c r="X94" i="10" s="1"/>
  <c r="Y87" i="6"/>
  <c r="X87" i="9" s="1"/>
  <c r="X87" i="10" s="1"/>
  <c r="Y57" i="6"/>
  <c r="X57" i="9" s="1"/>
  <c r="X57" i="10" s="1"/>
  <c r="Y29" i="6"/>
  <c r="X29" i="9" s="1"/>
  <c r="X29" i="10" s="1"/>
  <c r="Y82" i="6"/>
  <c r="X82" i="9" s="1"/>
  <c r="Y73" i="6"/>
  <c r="X73" i="9" s="1"/>
  <c r="Y22" i="6"/>
  <c r="X22" i="9" s="1"/>
  <c r="Y55" i="6"/>
  <c r="X55" i="9" s="1"/>
  <c r="Y106" i="6"/>
  <c r="X106" i="9" s="1"/>
  <c r="X106" i="10" s="1"/>
  <c r="Y35" i="6"/>
  <c r="X35" i="9" s="1"/>
  <c r="X35" i="10" s="1"/>
  <c r="Y18" i="6"/>
  <c r="X18" i="9" s="1"/>
  <c r="Y155" i="6"/>
  <c r="X155" i="9" s="1"/>
  <c r="X155" i="10" s="1"/>
  <c r="Y8" i="6"/>
  <c r="X8" i="9" s="1"/>
  <c r="X8" i="10" s="1"/>
  <c r="Y117" i="6"/>
  <c r="X117" i="9" s="1"/>
  <c r="X117" i="10" s="1"/>
  <c r="Y134" i="6"/>
  <c r="X134" i="9" s="1"/>
  <c r="Y121" i="6"/>
  <c r="X121" i="9" s="1"/>
  <c r="X121" i="10" s="1"/>
  <c r="Y148" i="6"/>
  <c r="X148" i="9" s="1"/>
  <c r="Y90" i="6"/>
  <c r="X90" i="9" s="1"/>
  <c r="Y158" i="6"/>
  <c r="X158" i="9" s="1"/>
  <c r="X158" i="10" s="1"/>
  <c r="Y98" i="6"/>
  <c r="X98" i="9" s="1"/>
  <c r="X98" i="10" s="1"/>
  <c r="Y14" i="6"/>
  <c r="X14" i="9" s="1"/>
  <c r="Y20" i="6"/>
  <c r="X20" i="9" s="1"/>
  <c r="X20" i="10" s="1"/>
  <c r="Y101" i="6"/>
  <c r="X101" i="9" s="1"/>
  <c r="X101" i="10" s="1"/>
  <c r="Y86" i="6"/>
  <c r="X86" i="9" s="1"/>
  <c r="X86" i="10" s="1"/>
  <c r="Y62" i="6"/>
  <c r="X62" i="9" s="1"/>
  <c r="X62" i="10" s="1"/>
  <c r="Y42" i="6"/>
  <c r="X42" i="9" s="1"/>
  <c r="Y131" i="6"/>
  <c r="X131" i="9" s="1"/>
  <c r="X131" i="10" s="1"/>
  <c r="Y53" i="6"/>
  <c r="X53" i="9" s="1"/>
  <c r="Y118" i="6"/>
  <c r="X118" i="9" s="1"/>
  <c r="X118" i="10" s="1"/>
  <c r="Y125" i="6"/>
  <c r="X125" i="9" s="1"/>
  <c r="X125" i="10" s="1"/>
  <c r="Y89" i="6"/>
  <c r="X89" i="9" s="1"/>
  <c r="Y48" i="6"/>
  <c r="X48" i="9" s="1"/>
  <c r="X48" i="10" s="1"/>
  <c r="Y136" i="6"/>
  <c r="X136" i="9" s="1"/>
  <c r="X136" i="10" s="1"/>
  <c r="Y80" i="6"/>
  <c r="X80" i="9" s="1"/>
  <c r="X80" i="10" s="1"/>
  <c r="Y12" i="6"/>
  <c r="X12" i="9" s="1"/>
  <c r="Y68" i="6"/>
  <c r="X68" i="9" s="1"/>
  <c r="X68" i="10" s="1"/>
  <c r="Y141" i="6"/>
  <c r="X141" i="9" s="1"/>
  <c r="X141" i="10" s="1"/>
  <c r="Y79" i="6"/>
  <c r="X79" i="9" s="1"/>
  <c r="X79" i="10" s="1"/>
  <c r="Y30" i="6"/>
  <c r="X30" i="9" s="1"/>
  <c r="X30" i="10" s="1"/>
  <c r="Y150" i="6"/>
  <c r="X150" i="9" s="1"/>
  <c r="Y67" i="6"/>
  <c r="X67" i="9" s="1"/>
  <c r="Y152" i="6"/>
  <c r="X152" i="9" s="1"/>
  <c r="Y70" i="6"/>
  <c r="X70" i="9" s="1"/>
  <c r="X70" i="10" s="1"/>
  <c r="Y13" i="6"/>
  <c r="X13" i="9" s="1"/>
  <c r="X13" i="10" s="1"/>
  <c r="Y107" i="6"/>
  <c r="X107" i="9" s="1"/>
  <c r="Y5" i="6"/>
  <c r="Y108" i="6"/>
  <c r="X108" i="9" s="1"/>
  <c r="Y91" i="6"/>
  <c r="X91" i="9" s="1"/>
  <c r="X91" i="10" s="1"/>
  <c r="Y97" i="6"/>
  <c r="X97" i="9" s="1"/>
  <c r="X97" i="10" s="1"/>
  <c r="Y7" i="6"/>
  <c r="X7" i="9" s="1"/>
  <c r="Y65" i="6"/>
  <c r="X65" i="9" s="1"/>
  <c r="Y95" i="6"/>
  <c r="X95" i="9" s="1"/>
  <c r="X95" i="10" s="1"/>
  <c r="Y122" i="6"/>
  <c r="X122" i="9" s="1"/>
  <c r="Y138" i="6"/>
  <c r="X138" i="9" s="1"/>
  <c r="Y124" i="6"/>
  <c r="X124" i="9" s="1"/>
  <c r="Y52" i="6"/>
  <c r="X52" i="9" s="1"/>
  <c r="X52" i="10" s="1"/>
  <c r="Y31" i="6"/>
  <c r="X31" i="9" s="1"/>
  <c r="X31" i="10" s="1"/>
  <c r="Y74" i="6"/>
  <c r="X74" i="9" s="1"/>
  <c r="Y130" i="6"/>
  <c r="X130" i="9" s="1"/>
  <c r="X130" i="10" s="1"/>
  <c r="Y23" i="6"/>
  <c r="X23" i="9" s="1"/>
  <c r="Y123" i="6"/>
  <c r="X123" i="9" s="1"/>
  <c r="X123" i="10" s="1"/>
  <c r="Y45" i="6"/>
  <c r="X45" i="9" s="1"/>
  <c r="Y81" i="6"/>
  <c r="X81" i="9" s="1"/>
  <c r="X81" i="10" s="1"/>
  <c r="Y41" i="6"/>
  <c r="X41" i="9" s="1"/>
  <c r="X41" i="10" s="1"/>
  <c r="Y39" i="6"/>
  <c r="X39" i="9" s="1"/>
  <c r="X39" i="10" s="1"/>
  <c r="Y44" i="6"/>
  <c r="X44" i="9" s="1"/>
  <c r="X44" i="10" s="1"/>
  <c r="Y76" i="6"/>
  <c r="X76" i="9" s="1"/>
  <c r="Y10" i="6"/>
  <c r="X10" i="9" s="1"/>
  <c r="Y69" i="6"/>
  <c r="X69" i="9" s="1"/>
  <c r="X69" i="10" s="1"/>
  <c r="Y50" i="6"/>
  <c r="X50" i="9" s="1"/>
  <c r="X50" i="10" s="1"/>
  <c r="Y19" i="6"/>
  <c r="X19" i="9" s="1"/>
  <c r="X19" i="10" s="1"/>
  <c r="Y142" i="6"/>
  <c r="X142" i="9" s="1"/>
  <c r="Y111" i="6"/>
  <c r="X111" i="9" s="1"/>
  <c r="X111" i="10" s="1"/>
  <c r="Y115" i="6"/>
  <c r="X115" i="9" s="1"/>
  <c r="Y114" i="6"/>
  <c r="X114" i="9" s="1"/>
  <c r="X114" i="10" s="1"/>
  <c r="Y9" i="6"/>
  <c r="X9" i="9" s="1"/>
  <c r="Y26" i="6"/>
  <c r="X26" i="9" s="1"/>
  <c r="X26" i="10" s="1"/>
  <c r="Y83" i="6"/>
  <c r="X83" i="9" s="1"/>
  <c r="X83" i="10" s="1"/>
  <c r="Y47" i="6"/>
  <c r="X47" i="9" s="1"/>
  <c r="X47" i="10" s="1"/>
  <c r="Y43" i="6"/>
  <c r="X43" i="9" s="1"/>
  <c r="Y119" i="6"/>
  <c r="X119" i="9" s="1"/>
  <c r="X119" i="10" s="1"/>
  <c r="Y156" i="6"/>
  <c r="X156" i="9" s="1"/>
  <c r="X156" i="10" s="1"/>
  <c r="Y93" i="6"/>
  <c r="X93" i="9" s="1"/>
  <c r="Y127" i="6"/>
  <c r="X127" i="9" s="1"/>
  <c r="X127" i="10" s="1"/>
  <c r="Y109" i="6"/>
  <c r="X109" i="9" s="1"/>
  <c r="X109" i="10" s="1"/>
  <c r="Y120" i="6"/>
  <c r="X120" i="9" s="1"/>
  <c r="X120" i="10" s="1"/>
  <c r="Y147" i="6"/>
  <c r="X147" i="9" s="1"/>
  <c r="Y149" i="6"/>
  <c r="X149" i="9" s="1"/>
  <c r="X149" i="10" s="1"/>
  <c r="Y146" i="6"/>
  <c r="X146" i="9" s="1"/>
  <c r="X146" i="10" s="1"/>
  <c r="Y15" i="6"/>
  <c r="X15" i="9" s="1"/>
  <c r="X15" i="10" s="1"/>
  <c r="Y49" i="6"/>
  <c r="X49" i="9" s="1"/>
  <c r="X49" i="10" s="1"/>
  <c r="Y54" i="6"/>
  <c r="X54" i="9" s="1"/>
  <c r="X54" i="10" s="1"/>
  <c r="Y103" i="6"/>
  <c r="X103" i="9" s="1"/>
  <c r="Y154" i="6"/>
  <c r="X154" i="9" s="1"/>
  <c r="X154" i="10" s="1"/>
  <c r="Y34" i="6"/>
  <c r="X34" i="9" s="1"/>
  <c r="X34" i="10" s="1"/>
  <c r="Y129" i="6"/>
  <c r="X129" i="9" s="1"/>
  <c r="X129" i="10" s="1"/>
  <c r="Y105" i="6"/>
  <c r="X105" i="9" s="1"/>
  <c r="Y139" i="6"/>
  <c r="X139" i="9" s="1"/>
  <c r="X139" i="10" s="1"/>
  <c r="Y157" i="6"/>
  <c r="X157" i="9" s="1"/>
  <c r="X157" i="10" s="1"/>
  <c r="Y63" i="6"/>
  <c r="X63" i="9" s="1"/>
  <c r="X63" i="10" s="1"/>
  <c r="Y99" i="6"/>
  <c r="X99" i="9" s="1"/>
  <c r="X99" i="10" s="1"/>
  <c r="V42" i="16"/>
  <c r="V202" i="13"/>
  <c r="V42" i="14" s="1"/>
  <c r="V42" i="13"/>
  <c r="V62" i="17"/>
  <c r="V222" i="17"/>
  <c r="V8" i="16"/>
  <c r="V168" i="13"/>
  <c r="V8" i="14" s="1"/>
  <c r="V8" i="13"/>
  <c r="V115" i="16"/>
  <c r="V115" i="13"/>
  <c r="V275" i="13"/>
  <c r="V115" i="14" s="1"/>
  <c r="V48" i="16"/>
  <c r="V208" i="13"/>
  <c r="V48" i="14" s="1"/>
  <c r="V48" i="13"/>
  <c r="V69" i="16"/>
  <c r="V229" i="13"/>
  <c r="V69" i="14" s="1"/>
  <c r="V69" i="13"/>
  <c r="V49" i="10"/>
  <c r="V49" i="11" s="1"/>
  <c r="V41" i="16"/>
  <c r="V41" i="13"/>
  <c r="V201" i="13"/>
  <c r="V263" i="12"/>
  <c r="V103" i="16" s="1"/>
  <c r="V129" i="11"/>
  <c r="V289" i="12"/>
  <c r="S108" i="15"/>
  <c r="S108" i="18"/>
  <c r="T156" i="15"/>
  <c r="U50" i="17"/>
  <c r="U210" i="17"/>
  <c r="U23" i="15"/>
  <c r="U60" i="17"/>
  <c r="U220" i="17"/>
  <c r="U60" i="18" s="1"/>
  <c r="U220" i="18" s="1"/>
  <c r="U34" i="16"/>
  <c r="U194" i="13"/>
  <c r="U34" i="14" s="1"/>
  <c r="U34" i="13"/>
  <c r="U45" i="13"/>
  <c r="U205" i="13"/>
  <c r="U45" i="14" s="1"/>
  <c r="U45" i="15" s="1"/>
  <c r="U89" i="17"/>
  <c r="U249" i="17"/>
  <c r="U89" i="18" s="1"/>
  <c r="U253" i="18" s="1"/>
  <c r="U148" i="15"/>
  <c r="T76" i="15"/>
  <c r="T73" i="15"/>
  <c r="T73" i="18"/>
  <c r="T234" i="18" s="1"/>
  <c r="U230" i="17"/>
  <c r="U70" i="18" s="1"/>
  <c r="U70" i="17"/>
  <c r="U134" i="18"/>
  <c r="U301" i="18" s="1"/>
  <c r="T10" i="17"/>
  <c r="T170" i="17"/>
  <c r="T134" i="16"/>
  <c r="T134" i="13"/>
  <c r="T294" i="13"/>
  <c r="T134" i="14" s="1"/>
  <c r="U95" i="15"/>
  <c r="U97" i="18"/>
  <c r="U261" i="18" s="1"/>
  <c r="U97" i="15"/>
  <c r="U176" i="17"/>
  <c r="U16" i="17"/>
  <c r="U246" i="17"/>
  <c r="U86" i="17"/>
  <c r="V98" i="16"/>
  <c r="V98" i="13"/>
  <c r="V258" i="13"/>
  <c r="V98" i="14" s="1"/>
  <c r="V94" i="16"/>
  <c r="V94" i="13"/>
  <c r="V254" i="13"/>
  <c r="V94" i="14" s="1"/>
  <c r="V150" i="16"/>
  <c r="V150" i="13"/>
  <c r="V310" i="13"/>
  <c r="V150" i="14" s="1"/>
  <c r="V67" i="16"/>
  <c r="V227" i="13"/>
  <c r="V67" i="14" s="1"/>
  <c r="V67" i="13"/>
  <c r="V127" i="11"/>
  <c r="V287" i="12"/>
  <c r="V52" i="16"/>
  <c r="V212" i="13"/>
  <c r="V52" i="14" s="1"/>
  <c r="V52" i="13"/>
  <c r="V79" i="16"/>
  <c r="V79" i="13"/>
  <c r="V239" i="13"/>
  <c r="V79" i="14" s="1"/>
  <c r="V301" i="12"/>
  <c r="T123" i="18"/>
  <c r="T290" i="18" s="1"/>
  <c r="U54" i="15"/>
  <c r="U289" i="17"/>
  <c r="U129" i="18" s="1"/>
  <c r="U296" i="18" s="1"/>
  <c r="U129" i="17"/>
  <c r="U69" i="17"/>
  <c r="U229" i="17"/>
  <c r="U69" i="18" s="1"/>
  <c r="U230" i="18" s="1"/>
  <c r="U165" i="12"/>
  <c r="U5" i="16" s="1"/>
  <c r="U73" i="16"/>
  <c r="U73" i="13"/>
  <c r="U233" i="13"/>
  <c r="U73" i="14" s="1"/>
  <c r="U82" i="15"/>
  <c r="U247" i="17"/>
  <c r="U87" i="18" s="1"/>
  <c r="U251" i="18" s="1"/>
  <c r="U87" i="17"/>
  <c r="U302" i="17"/>
  <c r="U142" i="17"/>
  <c r="T180" i="17"/>
  <c r="T20" i="18" s="1"/>
  <c r="T20" i="17"/>
  <c r="U147" i="17"/>
  <c r="U307" i="17"/>
  <c r="U147" i="18" s="1"/>
  <c r="U203" i="12"/>
  <c r="U43" i="16" s="1"/>
  <c r="U101" i="15"/>
  <c r="U127" i="15"/>
  <c r="U312" i="13"/>
  <c r="U152" i="14" s="1"/>
  <c r="U152" i="13"/>
  <c r="U62" i="16"/>
  <c r="U222" i="13"/>
  <c r="U62" i="14" s="1"/>
  <c r="U62" i="13"/>
  <c r="V305" i="17"/>
  <c r="V145" i="17"/>
  <c r="V215" i="12"/>
  <c r="V155" i="16"/>
  <c r="V155" i="13"/>
  <c r="V315" i="13"/>
  <c r="V155" i="14" s="1"/>
  <c r="V316" i="12"/>
  <c r="V156" i="16" s="1"/>
  <c r="V13" i="16"/>
  <c r="V173" i="13"/>
  <c r="V13" i="14" s="1"/>
  <c r="V13" i="13"/>
  <c r="V186" i="12"/>
  <c r="V26" i="16" s="1"/>
  <c r="V147" i="16"/>
  <c r="V307" i="13"/>
  <c r="V147" i="14" s="1"/>
  <c r="V147" i="13"/>
  <c r="V114" i="16"/>
  <c r="V114" i="13"/>
  <c r="V274" i="13"/>
  <c r="V114" i="14" s="1"/>
  <c r="V119" i="17"/>
  <c r="V279" i="17"/>
  <c r="V175" i="12"/>
  <c r="V15" i="16" s="1"/>
  <c r="V299" i="12"/>
  <c r="V139" i="16" s="1"/>
  <c r="U154" i="17"/>
  <c r="U314" i="17"/>
  <c r="U306" i="17"/>
  <c r="U146" i="17"/>
  <c r="U208" i="17"/>
  <c r="U48" i="18" s="1"/>
  <c r="U208" i="18" s="1"/>
  <c r="U48" i="17"/>
  <c r="U258" i="17"/>
  <c r="U98" i="18" s="1"/>
  <c r="U98" i="17"/>
  <c r="T89" i="18"/>
  <c r="T253" i="18" s="1"/>
  <c r="T89" i="15"/>
  <c r="S190" i="17"/>
  <c r="S30" i="18" s="1"/>
  <c r="S30" i="17"/>
  <c r="U204" i="13"/>
  <c r="U44" i="14" s="1"/>
  <c r="U44" i="15" s="1"/>
  <c r="U44" i="13"/>
  <c r="U53" i="15"/>
  <c r="U174" i="17"/>
  <c r="U14" i="18" s="1"/>
  <c r="U174" i="18" s="1"/>
  <c r="U14" i="17"/>
  <c r="R167" i="18"/>
  <c r="U74" i="18"/>
  <c r="U235" i="18" s="1"/>
  <c r="U92" i="18"/>
  <c r="U256" i="18" s="1"/>
  <c r="T15" i="18"/>
  <c r="T175" i="18" s="1"/>
  <c r="R172" i="18"/>
  <c r="S310" i="17"/>
  <c r="S150" i="18" s="1"/>
  <c r="S150" i="17"/>
  <c r="T107" i="15"/>
  <c r="T107" i="18"/>
  <c r="T273" i="18" s="1"/>
  <c r="T67" i="16"/>
  <c r="S326" i="18"/>
  <c r="U173" i="12"/>
  <c r="U318" i="13"/>
  <c r="U158" i="14" s="1"/>
  <c r="U158" i="13"/>
  <c r="T12" i="15"/>
  <c r="T12" i="18"/>
  <c r="T172" i="18" s="1"/>
  <c r="T49" i="16"/>
  <c r="U123" i="15"/>
  <c r="U123" i="18"/>
  <c r="U290" i="18" s="1"/>
  <c r="U119" i="13"/>
  <c r="U279" i="13"/>
  <c r="U119" i="14" s="1"/>
  <c r="V116" i="11"/>
  <c r="V116" i="14" s="1"/>
  <c r="V20" i="16"/>
  <c r="V20" i="13"/>
  <c r="V180" i="13"/>
  <c r="V20" i="14" s="1"/>
  <c r="V291" i="13"/>
  <c r="V131" i="14" s="1"/>
  <c r="V131" i="15" s="1"/>
  <c r="V131" i="13"/>
  <c r="V70" i="11"/>
  <c r="V80" i="16"/>
  <c r="V240" i="13"/>
  <c r="V80" i="14" s="1"/>
  <c r="V80" i="13"/>
  <c r="V257" i="13"/>
  <c r="V97" i="14" s="1"/>
  <c r="V97" i="15" s="1"/>
  <c r="V97" i="13"/>
  <c r="V109" i="11"/>
  <c r="V298" i="12"/>
  <c r="V138" i="16" s="1"/>
  <c r="V34" i="16"/>
  <c r="V194" i="13"/>
  <c r="V34" i="14" s="1"/>
  <c r="V34" i="13"/>
  <c r="U138" i="15"/>
  <c r="U138" i="18"/>
  <c r="U306" i="18" s="1"/>
  <c r="U30" i="16"/>
  <c r="R290" i="18"/>
  <c r="T22" i="18"/>
  <c r="T22" i="15"/>
  <c r="U259" i="17"/>
  <c r="U99" i="18" s="1"/>
  <c r="U263" i="18" s="1"/>
  <c r="U99" i="17"/>
  <c r="U145" i="15"/>
  <c r="T266" i="17"/>
  <c r="T106" i="18" s="1"/>
  <c r="T106" i="17"/>
  <c r="T45" i="17"/>
  <c r="T205" i="17"/>
  <c r="T45" i="18" s="1"/>
  <c r="S282" i="18"/>
  <c r="T141" i="17"/>
  <c r="T301" i="17"/>
  <c r="T141" i="18" s="1"/>
  <c r="U107" i="18"/>
  <c r="U273" i="18" s="1"/>
  <c r="U107" i="15"/>
  <c r="T149" i="18"/>
  <c r="T318" i="18" s="1"/>
  <c r="T149" i="15"/>
  <c r="T80" i="15"/>
  <c r="U80" i="13"/>
  <c r="U240" i="13"/>
  <c r="U80" i="14" s="1"/>
  <c r="U80" i="15" s="1"/>
  <c r="U8" i="15"/>
  <c r="W157" i="11"/>
  <c r="W317" i="12"/>
  <c r="W63" i="10"/>
  <c r="W63" i="11" s="1"/>
  <c r="W15" i="10"/>
  <c r="W15" i="11" s="1"/>
  <c r="W108" i="11"/>
  <c r="W268" i="12"/>
  <c r="W10" i="11"/>
  <c r="W170" i="12"/>
  <c r="W10" i="16" s="1"/>
  <c r="W19" i="11"/>
  <c r="W179" i="12"/>
  <c r="W130" i="10"/>
  <c r="W130" i="11" s="1"/>
  <c r="W39" i="11"/>
  <c r="W199" i="12"/>
  <c r="W43" i="11"/>
  <c r="W203" i="12"/>
  <c r="W147" i="10"/>
  <c r="W307" i="12" s="1"/>
  <c r="W114" i="11"/>
  <c r="W274" i="12"/>
  <c r="W95" i="10"/>
  <c r="W95" i="11" s="1"/>
  <c r="W12" i="10"/>
  <c r="W172" i="12" s="1"/>
  <c r="W125" i="10"/>
  <c r="W125" i="11" s="1"/>
  <c r="W13" i="10"/>
  <c r="W13" i="11" s="1"/>
  <c r="W48" i="10"/>
  <c r="W48" i="11" s="1"/>
  <c r="W53" i="11"/>
  <c r="W213" i="12"/>
  <c r="W91" i="10"/>
  <c r="W251" i="12" s="1"/>
  <c r="W117" i="11"/>
  <c r="W277" i="12"/>
  <c r="W134" i="10"/>
  <c r="W134" i="11" s="1"/>
  <c r="W8" i="11"/>
  <c r="W168" i="12"/>
  <c r="W16" i="11"/>
  <c r="W176" i="12"/>
  <c r="W18" i="11"/>
  <c r="W178" i="12"/>
  <c r="W98" i="10"/>
  <c r="W258" i="12" s="1"/>
  <c r="W14" i="10"/>
  <c r="W174" i="12" s="1"/>
  <c r="W106" i="11"/>
  <c r="W266" i="12"/>
  <c r="W106" i="16" s="1"/>
  <c r="V86" i="11"/>
  <c r="V101" i="11"/>
  <c r="V57" i="16"/>
  <c r="V222" i="13"/>
  <c r="V62" i="14" s="1"/>
  <c r="V62" i="15" s="1"/>
  <c r="V62" i="13"/>
  <c r="V190" i="12"/>
  <c r="V30" i="16" s="1"/>
  <c r="V31" i="16"/>
  <c r="V31" i="13"/>
  <c r="V191" i="13"/>
  <c r="V31" i="14" s="1"/>
  <c r="V76" i="16"/>
  <c r="V236" i="13"/>
  <c r="V76" i="14" s="1"/>
  <c r="V76" i="13"/>
  <c r="V83" i="16"/>
  <c r="V83" i="13"/>
  <c r="V243" i="13"/>
  <c r="V83" i="14" s="1"/>
  <c r="V157" i="11"/>
  <c r="T156" i="17"/>
  <c r="T316" i="17"/>
  <c r="T156" i="18" s="1"/>
  <c r="U68" i="15"/>
  <c r="U68" i="18"/>
  <c r="U229" i="18" s="1"/>
  <c r="U210" i="13"/>
  <c r="U50" i="14" s="1"/>
  <c r="U50" i="15" s="1"/>
  <c r="U50" i="13"/>
  <c r="U23" i="17"/>
  <c r="U183" i="17"/>
  <c r="U23" i="18" s="1"/>
  <c r="U183" i="18" s="1"/>
  <c r="S278" i="18"/>
  <c r="U316" i="17"/>
  <c r="U156" i="18" s="1"/>
  <c r="U327" i="18" s="1"/>
  <c r="U156" i="17"/>
  <c r="U308" i="17"/>
  <c r="U148" i="18" s="1"/>
  <c r="U317" i="18" s="1"/>
  <c r="U148" i="17"/>
  <c r="U106" i="15"/>
  <c r="U106" i="18"/>
  <c r="U272" i="18" s="1"/>
  <c r="T76" i="17"/>
  <c r="T236" i="17"/>
  <c r="T76" i="18" s="1"/>
  <c r="R189" i="18"/>
  <c r="T31" i="18"/>
  <c r="T191" i="18" s="1"/>
  <c r="T31" i="15"/>
  <c r="U285" i="17"/>
  <c r="U125" i="18" s="1"/>
  <c r="U292" i="18" s="1"/>
  <c r="U125" i="17"/>
  <c r="T10" i="13"/>
  <c r="T170" i="13"/>
  <c r="T10" i="14" s="1"/>
  <c r="T9" i="16"/>
  <c r="T169" i="13"/>
  <c r="T9" i="14" s="1"/>
  <c r="T9" i="13"/>
  <c r="U141" i="18"/>
  <c r="U310" i="18" s="1"/>
  <c r="U176" i="13"/>
  <c r="U16" i="14" s="1"/>
  <c r="U16" i="13"/>
  <c r="U86" i="13"/>
  <c r="U246" i="13"/>
  <c r="U86" i="14" s="1"/>
  <c r="V73" i="16"/>
  <c r="V233" i="13"/>
  <c r="V73" i="14" s="1"/>
  <c r="V73" i="13"/>
  <c r="V174" i="12"/>
  <c r="V14" i="16" s="1"/>
  <c r="V282" i="12"/>
  <c r="V122" i="16"/>
  <c r="V45" i="16"/>
  <c r="V205" i="13"/>
  <c r="V45" i="14" s="1"/>
  <c r="V45" i="13"/>
  <c r="V19" i="16"/>
  <c r="V19" i="13"/>
  <c r="V179" i="13"/>
  <c r="V19" i="14" s="1"/>
  <c r="V249" i="12"/>
  <c r="V47" i="16"/>
  <c r="V207" i="13"/>
  <c r="V47" i="14" s="1"/>
  <c r="V47" i="13"/>
  <c r="V54" i="16"/>
  <c r="V214" i="13"/>
  <c r="V54" i="14" s="1"/>
  <c r="V54" i="13"/>
  <c r="T83" i="16"/>
  <c r="T101" i="18"/>
  <c r="T101" i="15"/>
  <c r="U54" i="17"/>
  <c r="U214" i="17"/>
  <c r="U54" i="18" s="1"/>
  <c r="U214" i="18" s="1"/>
  <c r="U67" i="16"/>
  <c r="U150" i="11"/>
  <c r="U242" i="17"/>
  <c r="U82" i="18" s="1"/>
  <c r="U244" i="18" s="1"/>
  <c r="U82" i="17"/>
  <c r="T148" i="18"/>
  <c r="T317" i="18" s="1"/>
  <c r="T148" i="15"/>
  <c r="T116" i="18"/>
  <c r="T283" i="18" s="1"/>
  <c r="T116" i="15"/>
  <c r="S94" i="18"/>
  <c r="U10" i="15"/>
  <c r="U10" i="18"/>
  <c r="U170" i="18" s="1"/>
  <c r="U271" i="17"/>
  <c r="U111" i="18" s="1"/>
  <c r="U111" i="17"/>
  <c r="U302" i="13"/>
  <c r="U142" i="14" s="1"/>
  <c r="U142" i="15" s="1"/>
  <c r="U142" i="13"/>
  <c r="U277" i="17"/>
  <c r="U117" i="18" s="1"/>
  <c r="U284" i="18" s="1"/>
  <c r="U117" i="17"/>
  <c r="T79" i="15"/>
  <c r="T79" i="18"/>
  <c r="T241" i="18" s="1"/>
  <c r="D68" i="22"/>
  <c r="B69" i="22"/>
  <c r="U149" i="15"/>
  <c r="U149" i="18"/>
  <c r="U318" i="18" s="1"/>
  <c r="U130" i="16"/>
  <c r="U290" i="13"/>
  <c r="U130" i="14" s="1"/>
  <c r="U130" i="13"/>
  <c r="U91" i="11"/>
  <c r="U261" i="17"/>
  <c r="U101" i="18" s="1"/>
  <c r="U266" i="18" s="1"/>
  <c r="U101" i="17"/>
  <c r="U127" i="17"/>
  <c r="U287" i="17"/>
  <c r="U127" i="18" s="1"/>
  <c r="U294" i="18" s="1"/>
  <c r="U282" i="17"/>
  <c r="U122" i="18" s="1"/>
  <c r="U122" i="17"/>
  <c r="V277" i="17"/>
  <c r="V117" i="18" s="1"/>
  <c r="V284" i="18" s="1"/>
  <c r="V117" i="17"/>
  <c r="V145" i="13"/>
  <c r="V305" i="13"/>
  <c r="V145" i="14" s="1"/>
  <c r="V145" i="15" s="1"/>
  <c r="V82" i="14"/>
  <c r="V106" i="16"/>
  <c r="V266" i="13"/>
  <c r="V106" i="14" s="1"/>
  <c r="V106" i="13"/>
  <c r="V108" i="16"/>
  <c r="V108" i="13"/>
  <c r="V268" i="13"/>
  <c r="V108" i="14" s="1"/>
  <c r="V95" i="16"/>
  <c r="V255" i="13"/>
  <c r="V95" i="14" s="1"/>
  <c r="V95" i="13"/>
  <c r="V119" i="13"/>
  <c r="V279" i="13"/>
  <c r="V119" i="14" s="1"/>
  <c r="V119" i="15" s="1"/>
  <c r="V99" i="16"/>
  <c r="V99" i="13"/>
  <c r="V259" i="13"/>
  <c r="V99" i="14" s="1"/>
  <c r="V154" i="16"/>
  <c r="V154" i="13"/>
  <c r="V314" i="13"/>
  <c r="V154" i="14" s="1"/>
  <c r="S89" i="15"/>
  <c r="U314" i="13"/>
  <c r="U154" i="14" s="1"/>
  <c r="U154" i="13"/>
  <c r="U146" i="13"/>
  <c r="U306" i="13"/>
  <c r="U146" i="14" s="1"/>
  <c r="U19" i="16"/>
  <c r="U213" i="17"/>
  <c r="U53" i="18" s="1"/>
  <c r="U213" i="18" s="1"/>
  <c r="U53" i="17"/>
  <c r="U305" i="17"/>
  <c r="U145" i="18" s="1"/>
  <c r="U145" i="17"/>
  <c r="T95" i="15"/>
  <c r="T95" i="18"/>
  <c r="T105" i="18"/>
  <c r="T39" i="18"/>
  <c r="U22" i="18"/>
  <c r="U182" i="18" s="1"/>
  <c r="U52" i="18"/>
  <c r="U212" i="18" s="1"/>
  <c r="Z43" i="1"/>
  <c r="N17" i="31" s="1"/>
  <c r="O193" i="1"/>
  <c r="D55" i="31" s="1"/>
  <c r="E401" i="1"/>
  <c r="E397" i="1"/>
  <c r="B68" i="6"/>
  <c r="D68" i="37" s="1"/>
  <c r="A68" i="37" s="1"/>
  <c r="D67" i="6"/>
  <c r="B67" i="20"/>
  <c r="B67" i="10"/>
  <c r="B227" i="12"/>
  <c r="B67" i="13"/>
  <c r="B67" i="15"/>
  <c r="B67" i="16"/>
  <c r="B227" i="17"/>
  <c r="B67" i="17"/>
  <c r="B228" i="18"/>
  <c r="B67" i="12"/>
  <c r="B67" i="14"/>
  <c r="B67" i="11"/>
  <c r="B227" i="13"/>
  <c r="B67" i="9"/>
  <c r="B67" i="18"/>
  <c r="AF193" i="1"/>
  <c r="AO193" i="1"/>
  <c r="C193" i="1" s="1"/>
  <c r="P193" i="1"/>
  <c r="T89" i="1"/>
  <c r="R89" i="1"/>
  <c r="W12" i="11" l="1"/>
  <c r="V111" i="14"/>
  <c r="V118" i="14"/>
  <c r="V18" i="14"/>
  <c r="W129" i="11"/>
  <c r="W147" i="11"/>
  <c r="W156" i="11"/>
  <c r="W152" i="11"/>
  <c r="W145" i="11"/>
  <c r="T272" i="18"/>
  <c r="V175" i="17"/>
  <c r="V15" i="17"/>
  <c r="U43" i="17"/>
  <c r="U203" i="17"/>
  <c r="T180" i="18"/>
  <c r="S317" i="18"/>
  <c r="T296" i="18"/>
  <c r="W308" i="17"/>
  <c r="W148" i="17"/>
  <c r="T294" i="18"/>
  <c r="T220" i="18"/>
  <c r="U314" i="18"/>
  <c r="V73" i="15"/>
  <c r="T327" i="18"/>
  <c r="V190" i="17"/>
  <c r="V30" i="17"/>
  <c r="T205" i="18"/>
  <c r="U316" i="18"/>
  <c r="U231" i="18"/>
  <c r="S230" i="18"/>
  <c r="T210" i="18"/>
  <c r="T315" i="18"/>
  <c r="T222" i="18"/>
  <c r="U278" i="18"/>
  <c r="T237" i="18"/>
  <c r="T310" i="18"/>
  <c r="V316" i="17"/>
  <c r="V156" i="17"/>
  <c r="T285" i="18"/>
  <c r="V302" i="17"/>
  <c r="V142" i="17"/>
  <c r="S319" i="18"/>
  <c r="S190" i="18"/>
  <c r="U262" i="18"/>
  <c r="V250" i="17"/>
  <c r="V90" i="17"/>
  <c r="U281" i="18"/>
  <c r="W301" i="17"/>
  <c r="W141" i="17"/>
  <c r="U57" i="17"/>
  <c r="U217" i="17"/>
  <c r="V99" i="15"/>
  <c r="V108" i="15"/>
  <c r="V82" i="15"/>
  <c r="U130" i="15"/>
  <c r="B70" i="22"/>
  <c r="D69" i="22"/>
  <c r="V47" i="15"/>
  <c r="V19" i="15"/>
  <c r="V45" i="15"/>
  <c r="V14" i="17"/>
  <c r="V174" i="17"/>
  <c r="V233" i="17"/>
  <c r="V73" i="18" s="1"/>
  <c r="V234" i="18" s="1"/>
  <c r="V73" i="17"/>
  <c r="U16" i="18"/>
  <c r="U176" i="18" s="1"/>
  <c r="U16" i="15"/>
  <c r="T9" i="17"/>
  <c r="T169" i="17"/>
  <c r="V243" i="17"/>
  <c r="V83" i="17"/>
  <c r="V31" i="15"/>
  <c r="W266" i="17"/>
  <c r="W106" i="17"/>
  <c r="W14" i="16"/>
  <c r="W174" i="13"/>
  <c r="W14" i="13"/>
  <c r="W213" i="13"/>
  <c r="W53" i="14" s="1"/>
  <c r="W53" i="13"/>
  <c r="W114" i="16"/>
  <c r="W274" i="13"/>
  <c r="W114" i="14" s="1"/>
  <c r="W114" i="13"/>
  <c r="W43" i="16"/>
  <c r="W43" i="13"/>
  <c r="W203" i="13"/>
  <c r="W43" i="14" s="1"/>
  <c r="W170" i="17"/>
  <c r="W10" i="17"/>
  <c r="W108" i="16"/>
  <c r="W108" i="13"/>
  <c r="W268" i="13"/>
  <c r="W108" i="14" s="1"/>
  <c r="V194" i="17"/>
  <c r="V34" i="17"/>
  <c r="V80" i="15"/>
  <c r="V116" i="15"/>
  <c r="U13" i="13"/>
  <c r="U173" i="13"/>
  <c r="U13" i="14" s="1"/>
  <c r="V26" i="17"/>
  <c r="V186" i="17"/>
  <c r="V173" i="17"/>
  <c r="V13" i="17"/>
  <c r="V215" i="13"/>
  <c r="V55" i="14" s="1"/>
  <c r="V55" i="13"/>
  <c r="U62" i="15"/>
  <c r="V52" i="15"/>
  <c r="V127" i="13"/>
  <c r="V287" i="13"/>
  <c r="V127" i="14" s="1"/>
  <c r="V67" i="17"/>
  <c r="V227" i="17"/>
  <c r="V310" i="17"/>
  <c r="V150" i="17"/>
  <c r="V254" i="17"/>
  <c r="V94" i="17"/>
  <c r="T294" i="17"/>
  <c r="T134" i="17"/>
  <c r="U50" i="18"/>
  <c r="U210" i="18" s="1"/>
  <c r="S274" i="18"/>
  <c r="V48" i="15"/>
  <c r="V168" i="17"/>
  <c r="V8" i="17"/>
  <c r="V42" i="15"/>
  <c r="X157" i="11"/>
  <c r="X317" i="12"/>
  <c r="X34" i="11"/>
  <c r="X194" i="12"/>
  <c r="X49" i="11"/>
  <c r="X209" i="12"/>
  <c r="X147" i="10"/>
  <c r="X307" i="12" s="1"/>
  <c r="X93" i="10"/>
  <c r="X93" i="11" s="1"/>
  <c r="X47" i="11"/>
  <c r="X207" i="12"/>
  <c r="X114" i="11"/>
  <c r="X274" i="12"/>
  <c r="X19" i="11"/>
  <c r="X179" i="12"/>
  <c r="X76" i="10"/>
  <c r="X76" i="11" s="1"/>
  <c r="X81" i="11"/>
  <c r="X241" i="12"/>
  <c r="X130" i="11"/>
  <c r="X290" i="12"/>
  <c r="X124" i="10"/>
  <c r="X284" i="12" s="1"/>
  <c r="X65" i="10"/>
  <c r="X65" i="11" s="1"/>
  <c r="X108" i="10"/>
  <c r="X108" i="11" s="1"/>
  <c r="X70" i="11"/>
  <c r="X230" i="12"/>
  <c r="X30" i="11"/>
  <c r="X190" i="12"/>
  <c r="X30" i="16" s="1"/>
  <c r="X12" i="10"/>
  <c r="X12" i="11" s="1"/>
  <c r="X89" i="10"/>
  <c r="X89" i="11" s="1"/>
  <c r="X131" i="11"/>
  <c r="X291" i="12"/>
  <c r="X101" i="11"/>
  <c r="X261" i="12"/>
  <c r="X101" i="16" s="1"/>
  <c r="X158" i="11"/>
  <c r="X318" i="12"/>
  <c r="X134" i="10"/>
  <c r="X294" i="12" s="1"/>
  <c r="X18" i="10"/>
  <c r="X178" i="12" s="1"/>
  <c r="X22" i="10"/>
  <c r="X182" i="12" s="1"/>
  <c r="X22" i="11"/>
  <c r="X57" i="11"/>
  <c r="X217" i="12"/>
  <c r="X57" i="16" s="1"/>
  <c r="X92" i="10"/>
  <c r="X92" i="11" s="1"/>
  <c r="AA4" i="6"/>
  <c r="Z92" i="6"/>
  <c r="Y92" i="9" s="1"/>
  <c r="Y92" i="10" s="1"/>
  <c r="Z116" i="6"/>
  <c r="Y116" i="9" s="1"/>
  <c r="Y116" i="10" s="1"/>
  <c r="Z86" i="6"/>
  <c r="Y86" i="9" s="1"/>
  <c r="Z29" i="6"/>
  <c r="Y29" i="9" s="1"/>
  <c r="Z158" i="6"/>
  <c r="Y158" i="9" s="1"/>
  <c r="Y158" i="10" s="1"/>
  <c r="Z117" i="6"/>
  <c r="Y117" i="9" s="1"/>
  <c r="Y117" i="10" s="1"/>
  <c r="Z55" i="6"/>
  <c r="Y55" i="9" s="1"/>
  <c r="Z60" i="6"/>
  <c r="Y60" i="9" s="1"/>
  <c r="Y60" i="10" s="1"/>
  <c r="Z94" i="6"/>
  <c r="Y94" i="9" s="1"/>
  <c r="Z57" i="6"/>
  <c r="Y57" i="9" s="1"/>
  <c r="Z16" i="6"/>
  <c r="Y16" i="9" s="1"/>
  <c r="Z106" i="6"/>
  <c r="Y106" i="9" s="1"/>
  <c r="Y106" i="10" s="1"/>
  <c r="Z101" i="6"/>
  <c r="Y101" i="9" s="1"/>
  <c r="Z42" i="6"/>
  <c r="Y42" i="9" s="1"/>
  <c r="Y42" i="10" s="1"/>
  <c r="Z73" i="6"/>
  <c r="Y73" i="9" s="1"/>
  <c r="Z114" i="6"/>
  <c r="Y114" i="9" s="1"/>
  <c r="Z121" i="6"/>
  <c r="Y121" i="9" s="1"/>
  <c r="Y121" i="10" s="1"/>
  <c r="Z14" i="6"/>
  <c r="Y14" i="9" s="1"/>
  <c r="Z90" i="6"/>
  <c r="Y90" i="9" s="1"/>
  <c r="Z98" i="6"/>
  <c r="Y98" i="9" s="1"/>
  <c r="Y98" i="10" s="1"/>
  <c r="Z8" i="6"/>
  <c r="Y8" i="9" s="1"/>
  <c r="Y8" i="10" s="1"/>
  <c r="Z22" i="6"/>
  <c r="Y22" i="9" s="1"/>
  <c r="Y22" i="10" s="1"/>
  <c r="Z87" i="6"/>
  <c r="Y87" i="9" s="1"/>
  <c r="Y87" i="10" s="1"/>
  <c r="Z20" i="6"/>
  <c r="Y20" i="9" s="1"/>
  <c r="Z82" i="6"/>
  <c r="Y82" i="9" s="1"/>
  <c r="Z35" i="6"/>
  <c r="Y35" i="9" s="1"/>
  <c r="Z134" i="6"/>
  <c r="Y134" i="9" s="1"/>
  <c r="Y134" i="10" s="1"/>
  <c r="Z155" i="6"/>
  <c r="Y155" i="9" s="1"/>
  <c r="Y155" i="10" s="1"/>
  <c r="Z145" i="6"/>
  <c r="Y145" i="9" s="1"/>
  <c r="Z18" i="6"/>
  <c r="Y18" i="9" s="1"/>
  <c r="Y18" i="10" s="1"/>
  <c r="Z148" i="6"/>
  <c r="Y148" i="9" s="1"/>
  <c r="Y148" i="10" s="1"/>
  <c r="Z62" i="6"/>
  <c r="Y62" i="9" s="1"/>
  <c r="Z7" i="6"/>
  <c r="Y7" i="9" s="1"/>
  <c r="Z53" i="6"/>
  <c r="Y53" i="9" s="1"/>
  <c r="Y53" i="10" s="1"/>
  <c r="Z9" i="6"/>
  <c r="Y9" i="9" s="1"/>
  <c r="Y9" i="10" s="1"/>
  <c r="Z89" i="6"/>
  <c r="Y89" i="9" s="1"/>
  <c r="Y89" i="10" s="1"/>
  <c r="Z131" i="6"/>
  <c r="Y131" i="9" s="1"/>
  <c r="Z5" i="6"/>
  <c r="Z30" i="6"/>
  <c r="Y30" i="9" s="1"/>
  <c r="Z150" i="6"/>
  <c r="Y150" i="9" s="1"/>
  <c r="Z79" i="6"/>
  <c r="Y79" i="9" s="1"/>
  <c r="Y79" i="10" s="1"/>
  <c r="Z48" i="6"/>
  <c r="Y48" i="9" s="1"/>
  <c r="Z107" i="6"/>
  <c r="Y107" i="9" s="1"/>
  <c r="Y107" i="10" s="1"/>
  <c r="Z23" i="6"/>
  <c r="Y23" i="9" s="1"/>
  <c r="Y23" i="10" s="1"/>
  <c r="Z156" i="6"/>
  <c r="Y156" i="9" s="1"/>
  <c r="Y156" i="10" s="1"/>
  <c r="Z65" i="6"/>
  <c r="Y65" i="9" s="1"/>
  <c r="Y65" i="10" s="1"/>
  <c r="Z91" i="6"/>
  <c r="Y91" i="9" s="1"/>
  <c r="Z13" i="6"/>
  <c r="Y13" i="9" s="1"/>
  <c r="Y13" i="10" s="1"/>
  <c r="Z136" i="6"/>
  <c r="Y136" i="9" s="1"/>
  <c r="Z70" i="6"/>
  <c r="Y70" i="9" s="1"/>
  <c r="Y70" i="10" s="1"/>
  <c r="Z97" i="6"/>
  <c r="Y97" i="9" s="1"/>
  <c r="Z67" i="6"/>
  <c r="Y67" i="9" s="1"/>
  <c r="Z125" i="6"/>
  <c r="Y125" i="9" s="1"/>
  <c r="Z124" i="6"/>
  <c r="Y124" i="9" s="1"/>
  <c r="Z80" i="6"/>
  <c r="Y80" i="9" s="1"/>
  <c r="Z118" i="6"/>
  <c r="Y118" i="9" s="1"/>
  <c r="Z52" i="6"/>
  <c r="Y52" i="9" s="1"/>
  <c r="Z12" i="6"/>
  <c r="Y12" i="9" s="1"/>
  <c r="Y12" i="10" s="1"/>
  <c r="Z122" i="6"/>
  <c r="Y122" i="9" s="1"/>
  <c r="Y122" i="10" s="1"/>
  <c r="Z152" i="6"/>
  <c r="Y152" i="9" s="1"/>
  <c r="Y152" i="10" s="1"/>
  <c r="Z76" i="6"/>
  <c r="Y76" i="9" s="1"/>
  <c r="Y76" i="10" s="1"/>
  <c r="Z138" i="6"/>
  <c r="Y138" i="9" s="1"/>
  <c r="Y138" i="10" s="1"/>
  <c r="Z68" i="6"/>
  <c r="Y68" i="9" s="1"/>
  <c r="Y68" i="10" s="1"/>
  <c r="Z120" i="6"/>
  <c r="Y120" i="9" s="1"/>
  <c r="Z19" i="6"/>
  <c r="Y19" i="9" s="1"/>
  <c r="Z111" i="6"/>
  <c r="Y111" i="9" s="1"/>
  <c r="Z115" i="6"/>
  <c r="Y115" i="9" s="1"/>
  <c r="Z31" i="6"/>
  <c r="Y31" i="9" s="1"/>
  <c r="Y31" i="10" s="1"/>
  <c r="Z43" i="6"/>
  <c r="Y43" i="9" s="1"/>
  <c r="Y43" i="10" s="1"/>
  <c r="Z123" i="6"/>
  <c r="Y123" i="9" s="1"/>
  <c r="Y123" i="10" s="1"/>
  <c r="Z10" i="6"/>
  <c r="Y10" i="9" s="1"/>
  <c r="Y10" i="10" s="1"/>
  <c r="Z41" i="6"/>
  <c r="Y41" i="9" s="1"/>
  <c r="Y41" i="10" s="1"/>
  <c r="Z26" i="6"/>
  <c r="Y26" i="9" s="1"/>
  <c r="Z50" i="6"/>
  <c r="Y50" i="9" s="1"/>
  <c r="Y50" i="10" s="1"/>
  <c r="Z83" i="6"/>
  <c r="Y83" i="9" s="1"/>
  <c r="Z147" i="6"/>
  <c r="Y147" i="9" s="1"/>
  <c r="Z47" i="6"/>
  <c r="Y47" i="9" s="1"/>
  <c r="Y47" i="10" s="1"/>
  <c r="Z93" i="6"/>
  <c r="Y93" i="9" s="1"/>
  <c r="Z119" i="6"/>
  <c r="Y119" i="9" s="1"/>
  <c r="Z130" i="6"/>
  <c r="Y130" i="9" s="1"/>
  <c r="Y130" i="10" s="1"/>
  <c r="Z69" i="6"/>
  <c r="Y69" i="9" s="1"/>
  <c r="Z44" i="6"/>
  <c r="Y44" i="9" s="1"/>
  <c r="Z146" i="6"/>
  <c r="Y146" i="9" s="1"/>
  <c r="Z142" i="6"/>
  <c r="Y142" i="9" s="1"/>
  <c r="Y142" i="10" s="1"/>
  <c r="Z95" i="6"/>
  <c r="Y95" i="9" s="1"/>
  <c r="Z45" i="6"/>
  <c r="Y45" i="9" s="1"/>
  <c r="Z74" i="6"/>
  <c r="Y74" i="9" s="1"/>
  <c r="Y74" i="10" s="1"/>
  <c r="Z54" i="6"/>
  <c r="Y54" i="9" s="1"/>
  <c r="Y54" i="10" s="1"/>
  <c r="Z81" i="6"/>
  <c r="Y81" i="9" s="1"/>
  <c r="Y81" i="10" s="1"/>
  <c r="Z127" i="6"/>
  <c r="Y127" i="9" s="1"/>
  <c r="Y127" i="10" s="1"/>
  <c r="Z109" i="6"/>
  <c r="Y109" i="9" s="1"/>
  <c r="Z39" i="6"/>
  <c r="Y39" i="9" s="1"/>
  <c r="Z108" i="6"/>
  <c r="Y108" i="9" s="1"/>
  <c r="Y108" i="10" s="1"/>
  <c r="Z49" i="6"/>
  <c r="Y49" i="9" s="1"/>
  <c r="Y49" i="10" s="1"/>
  <c r="Z103" i="6"/>
  <c r="Y103" i="9" s="1"/>
  <c r="Z99" i="6"/>
  <c r="Y99" i="9" s="1"/>
  <c r="Y99" i="10" s="1"/>
  <c r="Z154" i="6"/>
  <c r="Y154" i="9" s="1"/>
  <c r="Y154" i="10" s="1"/>
  <c r="Z149" i="6"/>
  <c r="Y149" i="9" s="1"/>
  <c r="Z34" i="6"/>
  <c r="Y34" i="9" s="1"/>
  <c r="Z105" i="6"/>
  <c r="Y105" i="9" s="1"/>
  <c r="Y105" i="10" s="1"/>
  <c r="Z139" i="6"/>
  <c r="Y139" i="9" s="1"/>
  <c r="Y139" i="10" s="1"/>
  <c r="Z129" i="6"/>
  <c r="Y129" i="9" s="1"/>
  <c r="Y129" i="10" s="1"/>
  <c r="Z141" i="6"/>
  <c r="Y141" i="9" s="1"/>
  <c r="Y141" i="10" s="1"/>
  <c r="Z157" i="6"/>
  <c r="Y157" i="9" s="1"/>
  <c r="Y157" i="10" s="1"/>
  <c r="Z63" i="6"/>
  <c r="Y63" i="9" s="1"/>
  <c r="Z15" i="6"/>
  <c r="Y15" i="9" s="1"/>
  <c r="W247" i="12"/>
  <c r="W87" i="16"/>
  <c r="W261" i="12"/>
  <c r="W101" i="16" s="1"/>
  <c r="W254" i="12"/>
  <c r="W94" i="16" s="1"/>
  <c r="W118" i="16"/>
  <c r="W278" i="13"/>
  <c r="W118" i="14" s="1"/>
  <c r="W118" i="15" s="1"/>
  <c r="W118" i="13"/>
  <c r="W225" i="17"/>
  <c r="W65" i="17"/>
  <c r="W49" i="13"/>
  <c r="W209" i="13"/>
  <c r="W49" i="14" s="1"/>
  <c r="W99" i="16"/>
  <c r="W99" i="13"/>
  <c r="W259" i="13"/>
  <c r="W99" i="14" s="1"/>
  <c r="U80" i="18"/>
  <c r="U242" i="18" s="1"/>
  <c r="U201" i="17"/>
  <c r="U41" i="17"/>
  <c r="U35" i="15"/>
  <c r="U131" i="13"/>
  <c r="U291" i="13"/>
  <c r="U131" i="14" s="1"/>
  <c r="V97" i="18"/>
  <c r="V261" i="18" s="1"/>
  <c r="V5" i="16"/>
  <c r="V165" i="13"/>
  <c r="V5" i="14" s="1"/>
  <c r="V5" i="13"/>
  <c r="V195" i="13"/>
  <c r="V35" i="14" s="1"/>
  <c r="V35" i="13"/>
  <c r="V203" i="17"/>
  <c r="V43" i="17"/>
  <c r="T42" i="15"/>
  <c r="T42" i="18"/>
  <c r="V118" i="15"/>
  <c r="V220" i="17"/>
  <c r="V60" i="17"/>
  <c r="U265" i="13"/>
  <c r="U105" i="14" s="1"/>
  <c r="U105" i="13"/>
  <c r="V41" i="14"/>
  <c r="V111" i="15"/>
  <c r="V22" i="15"/>
  <c r="W252" i="12"/>
  <c r="W182" i="12"/>
  <c r="W22" i="16" s="1"/>
  <c r="W23" i="16"/>
  <c r="W23" i="13"/>
  <c r="W183" i="13"/>
  <c r="W267" i="13"/>
  <c r="W107" i="14" s="1"/>
  <c r="W107" i="13"/>
  <c r="W80" i="11"/>
  <c r="W236" i="13"/>
  <c r="W76" i="14" s="1"/>
  <c r="W76" i="13"/>
  <c r="W111" i="11"/>
  <c r="W74" i="16"/>
  <c r="W234" i="13"/>
  <c r="W74" i="14" s="1"/>
  <c r="W74" i="13"/>
  <c r="W34" i="16"/>
  <c r="W194" i="13"/>
  <c r="W34" i="14" s="1"/>
  <c r="W34" i="13"/>
  <c r="W275" i="12"/>
  <c r="W115" i="16" s="1"/>
  <c r="T242" i="18"/>
  <c r="T5" i="15"/>
  <c r="T5" i="18"/>
  <c r="V199" i="17"/>
  <c r="V39" i="17"/>
  <c r="V18" i="17"/>
  <c r="V178" i="17"/>
  <c r="V213" i="13"/>
  <c r="V53" i="14" s="1"/>
  <c r="V53" i="13"/>
  <c r="U7" i="13"/>
  <c r="U167" i="13"/>
  <c r="U7" i="14" s="1"/>
  <c r="V204" i="17"/>
  <c r="V44" i="17"/>
  <c r="V134" i="14"/>
  <c r="U79" i="15"/>
  <c r="V170" i="13"/>
  <c r="V10" i="14" s="1"/>
  <c r="V10" i="13"/>
  <c r="V125" i="17"/>
  <c r="V285" i="17"/>
  <c r="V261" i="13"/>
  <c r="V101" i="13"/>
  <c r="W217" i="12"/>
  <c r="W57" i="16" s="1"/>
  <c r="W116" i="13"/>
  <c r="W276" i="13"/>
  <c r="W116" i="14" s="1"/>
  <c r="W189" i="12"/>
  <c r="W282" i="12"/>
  <c r="W122" i="16" s="1"/>
  <c r="W284" i="12"/>
  <c r="W119" i="16"/>
  <c r="W119" i="13"/>
  <c r="W279" i="13"/>
  <c r="W205" i="12"/>
  <c r="W299" i="17"/>
  <c r="W139" i="17"/>
  <c r="W265" i="12"/>
  <c r="W105" i="16" s="1"/>
  <c r="U30" i="15"/>
  <c r="T90" i="15"/>
  <c r="V269" i="17"/>
  <c r="V109" i="17"/>
  <c r="V230" i="13"/>
  <c r="V70" i="13"/>
  <c r="V281" i="17"/>
  <c r="V121" i="17"/>
  <c r="U108" i="15"/>
  <c r="T67" i="15"/>
  <c r="U65" i="18"/>
  <c r="T157" i="18"/>
  <c r="V124" i="18"/>
  <c r="V291" i="18" s="1"/>
  <c r="U45" i="18"/>
  <c r="U205" i="18" s="1"/>
  <c r="S208" i="18"/>
  <c r="T199" i="18"/>
  <c r="U179" i="17"/>
  <c r="U19" i="18" s="1"/>
  <c r="U19" i="17"/>
  <c r="U154" i="15"/>
  <c r="U154" i="18"/>
  <c r="U325" i="18" s="1"/>
  <c r="V154" i="15"/>
  <c r="U130" i="17"/>
  <c r="U290" i="17"/>
  <c r="U130" i="18" s="1"/>
  <c r="S258" i="18"/>
  <c r="U227" i="17"/>
  <c r="U67" i="17"/>
  <c r="T266" i="18"/>
  <c r="V54" i="15"/>
  <c r="V207" i="17"/>
  <c r="V47" i="18" s="1"/>
  <c r="V207" i="18" s="1"/>
  <c r="V47" i="17"/>
  <c r="V205" i="17"/>
  <c r="V45" i="18" s="1"/>
  <c r="V205" i="18" s="1"/>
  <c r="V45" i="17"/>
  <c r="V174" i="13"/>
  <c r="V14" i="14" s="1"/>
  <c r="V14" i="15" s="1"/>
  <c r="V14" i="13"/>
  <c r="U86" i="18"/>
  <c r="U250" i="18" s="1"/>
  <c r="U86" i="15"/>
  <c r="T10" i="15"/>
  <c r="T10" i="18"/>
  <c r="V57" i="17"/>
  <c r="V217" i="17"/>
  <c r="V57" i="18" s="1"/>
  <c r="V217" i="18" s="1"/>
  <c r="W106" i="13"/>
  <c r="W266" i="13"/>
  <c r="W106" i="14" s="1"/>
  <c r="W106" i="15" s="1"/>
  <c r="W98" i="11"/>
  <c r="W16" i="16"/>
  <c r="W16" i="13"/>
  <c r="W176" i="13"/>
  <c r="W16" i="14" s="1"/>
  <c r="W91" i="11"/>
  <c r="W173" i="12"/>
  <c r="W13" i="16" s="1"/>
  <c r="W12" i="16"/>
  <c r="W12" i="13"/>
  <c r="W172" i="13"/>
  <c r="W12" i="14" s="1"/>
  <c r="W290" i="12"/>
  <c r="W130" i="16" s="1"/>
  <c r="W170" i="13"/>
  <c r="W10" i="14" s="1"/>
  <c r="W10" i="15" s="1"/>
  <c r="W10" i="13"/>
  <c r="W223" i="12"/>
  <c r="V240" i="17"/>
  <c r="V80" i="18" s="1"/>
  <c r="V80" i="17"/>
  <c r="V20" i="15"/>
  <c r="U119" i="15"/>
  <c r="U119" i="18"/>
  <c r="U286" i="18" s="1"/>
  <c r="T209" i="17"/>
  <c r="T49" i="18" s="1"/>
  <c r="T49" i="17"/>
  <c r="T227" i="17"/>
  <c r="T67" i="18" s="1"/>
  <c r="T67" i="17"/>
  <c r="V114" i="15"/>
  <c r="V147" i="15"/>
  <c r="V186" i="13"/>
  <c r="V26" i="14" s="1"/>
  <c r="V26" i="15" s="1"/>
  <c r="V26" i="13"/>
  <c r="V155" i="17"/>
  <c r="V315" i="17"/>
  <c r="U222" i="17"/>
  <c r="U62" i="18" s="1"/>
  <c r="U222" i="18" s="1"/>
  <c r="U62" i="17"/>
  <c r="U233" i="17"/>
  <c r="U73" i="17"/>
  <c r="V141" i="16"/>
  <c r="V301" i="13"/>
  <c r="V141" i="14" s="1"/>
  <c r="V141" i="13"/>
  <c r="V239" i="17"/>
  <c r="V79" i="17"/>
  <c r="V52" i="17"/>
  <c r="V212" i="17"/>
  <c r="V52" i="18" s="1"/>
  <c r="V212" i="18" s="1"/>
  <c r="V98" i="15"/>
  <c r="V103" i="17"/>
  <c r="V263" i="17"/>
  <c r="V201" i="17"/>
  <c r="V41" i="17"/>
  <c r="V69" i="15"/>
  <c r="V208" i="17"/>
  <c r="V48" i="18" s="1"/>
  <c r="V48" i="17"/>
  <c r="V275" i="17"/>
  <c r="V115" i="17"/>
  <c r="V62" i="18"/>
  <c r="V222" i="18" s="1"/>
  <c r="V202" i="17"/>
  <c r="V42" i="18" s="1"/>
  <c r="V202" i="18" s="1"/>
  <c r="V42" i="17"/>
  <c r="X139" i="11"/>
  <c r="X299" i="12"/>
  <c r="X139" i="16" s="1"/>
  <c r="X154" i="11"/>
  <c r="X314" i="12"/>
  <c r="X154" i="16" s="1"/>
  <c r="X15" i="11"/>
  <c r="X175" i="12"/>
  <c r="X120" i="11"/>
  <c r="X280" i="12"/>
  <c r="X120" i="16" s="1"/>
  <c r="X156" i="11"/>
  <c r="X316" i="12"/>
  <c r="X83" i="11"/>
  <c r="X243" i="12"/>
  <c r="X115" i="10"/>
  <c r="X115" i="11"/>
  <c r="X50" i="11"/>
  <c r="X210" i="12"/>
  <c r="X44" i="11"/>
  <c r="X204" i="12"/>
  <c r="X45" i="10"/>
  <c r="X45" i="11" s="1"/>
  <c r="X74" i="10"/>
  <c r="X234" i="12" s="1"/>
  <c r="X138" i="10"/>
  <c r="X138" i="11" s="1"/>
  <c r="X7" i="10"/>
  <c r="X7" i="11"/>
  <c r="X5" i="9"/>
  <c r="X5" i="10" s="1"/>
  <c r="Y159" i="6"/>
  <c r="X152" i="10"/>
  <c r="X152" i="11"/>
  <c r="X79" i="11"/>
  <c r="X239" i="12"/>
  <c r="X79" i="16" s="1"/>
  <c r="X80" i="11"/>
  <c r="X240" i="12"/>
  <c r="X125" i="11"/>
  <c r="X285" i="12"/>
  <c r="X42" i="10"/>
  <c r="X202" i="12" s="1"/>
  <c r="X20" i="11"/>
  <c r="X180" i="12"/>
  <c r="X90" i="10"/>
  <c r="X90" i="11" s="1"/>
  <c r="X117" i="11"/>
  <c r="X277" i="12"/>
  <c r="X117" i="16" s="1"/>
  <c r="X35" i="11"/>
  <c r="X195" i="12"/>
  <c r="X35" i="16" s="1"/>
  <c r="X73" i="10"/>
  <c r="X73" i="11" s="1"/>
  <c r="X87" i="11"/>
  <c r="X247" i="12"/>
  <c r="X145" i="10"/>
  <c r="X305" i="12" s="1"/>
  <c r="W35" i="16"/>
  <c r="W195" i="13"/>
  <c r="W35" i="14" s="1"/>
  <c r="W35" i="13"/>
  <c r="W315" i="17"/>
  <c r="W155" i="17"/>
  <c r="W281" i="12"/>
  <c r="W121" i="16" s="1"/>
  <c r="W131" i="16"/>
  <c r="W131" i="13"/>
  <c r="W291" i="13"/>
  <c r="W131" i="14" s="1"/>
  <c r="W225" i="13"/>
  <c r="W65" i="14" s="1"/>
  <c r="W65" i="13"/>
  <c r="W123" i="16"/>
  <c r="W283" i="13"/>
  <c r="W123" i="14" s="1"/>
  <c r="W123" i="13"/>
  <c r="W207" i="17"/>
  <c r="W47" i="17"/>
  <c r="W156" i="16"/>
  <c r="W156" i="13"/>
  <c r="W316" i="13"/>
  <c r="W156" i="14" s="1"/>
  <c r="W186" i="12"/>
  <c r="W26" i="16" s="1"/>
  <c r="W169" i="12"/>
  <c r="W9" i="16" s="1"/>
  <c r="U35" i="17"/>
  <c r="U195" i="17"/>
  <c r="U35" i="18" s="1"/>
  <c r="U195" i="18" s="1"/>
  <c r="V265" i="17"/>
  <c r="V105" i="17"/>
  <c r="V146" i="15"/>
  <c r="V87" i="15"/>
  <c r="V250" i="13"/>
  <c r="V90" i="14" s="1"/>
  <c r="V90" i="15" s="1"/>
  <c r="V90" i="13"/>
  <c r="S292" i="18"/>
  <c r="V223" i="17"/>
  <c r="V63" i="17"/>
  <c r="V167" i="17"/>
  <c r="V7" i="17"/>
  <c r="U39" i="15"/>
  <c r="U39" i="18"/>
  <c r="U199" i="18" s="1"/>
  <c r="T152" i="15"/>
  <c r="T152" i="18"/>
  <c r="S263" i="18"/>
  <c r="U94" i="15"/>
  <c r="U94" i="18"/>
  <c r="U258" i="18" s="1"/>
  <c r="V271" i="17"/>
  <c r="V111" i="18" s="1"/>
  <c r="V111" i="17"/>
  <c r="V107" i="16"/>
  <c r="V267" i="13"/>
  <c r="V107" i="14" s="1"/>
  <c r="V107" i="13"/>
  <c r="V182" i="17"/>
  <c r="V22" i="18" s="1"/>
  <c r="V182" i="18" s="1"/>
  <c r="V22" i="17"/>
  <c r="W308" i="13"/>
  <c r="W148" i="14" s="1"/>
  <c r="W148" i="13"/>
  <c r="W80" i="16"/>
  <c r="W240" i="13"/>
  <c r="W80" i="14" s="1"/>
  <c r="W80" i="13"/>
  <c r="W111" i="16"/>
  <c r="W111" i="13"/>
  <c r="W271" i="13"/>
  <c r="W111" i="14" s="1"/>
  <c r="W212" i="12"/>
  <c r="W141" i="13"/>
  <c r="W301" i="13"/>
  <c r="W141" i="14" s="1"/>
  <c r="W141" i="15" s="1"/>
  <c r="T14" i="15"/>
  <c r="V68" i="14"/>
  <c r="U103" i="18"/>
  <c r="T257" i="18"/>
  <c r="V302" i="13"/>
  <c r="V142" i="14" s="1"/>
  <c r="V142" i="15" s="1"/>
  <c r="V142" i="13"/>
  <c r="V312" i="12"/>
  <c r="V152" i="16"/>
  <c r="U251" i="17"/>
  <c r="U91" i="17"/>
  <c r="U150" i="16"/>
  <c r="U310" i="13"/>
  <c r="U150" i="14" s="1"/>
  <c r="U150" i="13"/>
  <c r="V283" i="17"/>
  <c r="V123" i="17"/>
  <c r="V29" i="15"/>
  <c r="U57" i="13"/>
  <c r="U217" i="13"/>
  <c r="U57" i="14" s="1"/>
  <c r="U57" i="15" s="1"/>
  <c r="U76" i="15"/>
  <c r="U76" i="18"/>
  <c r="U237" i="18" s="1"/>
  <c r="V317" i="17"/>
  <c r="V157" i="17"/>
  <c r="V86" i="17"/>
  <c r="V246" i="17"/>
  <c r="W82" i="16"/>
  <c r="W242" i="13"/>
  <c r="W82" i="14" s="1"/>
  <c r="W82" i="13"/>
  <c r="W42" i="16"/>
  <c r="W202" i="13"/>
  <c r="W42" i="14" s="1"/>
  <c r="W42" i="13"/>
  <c r="W90" i="16"/>
  <c r="W250" i="13"/>
  <c r="W90" i="14" s="1"/>
  <c r="W90" i="13"/>
  <c r="W7" i="16"/>
  <c r="W167" i="13"/>
  <c r="W7" i="14" s="1"/>
  <c r="W7" i="13"/>
  <c r="W142" i="16"/>
  <c r="W302" i="13"/>
  <c r="W142" i="14" s="1"/>
  <c r="W142" i="13"/>
  <c r="W109" i="16"/>
  <c r="W269" i="13"/>
  <c r="W109" i="14" s="1"/>
  <c r="W109" i="13"/>
  <c r="W50" i="16"/>
  <c r="W50" i="13"/>
  <c r="W210" i="13"/>
  <c r="W50" i="14" s="1"/>
  <c r="W127" i="16"/>
  <c r="W287" i="13"/>
  <c r="W127" i="14" s="1"/>
  <c r="W127" i="13"/>
  <c r="W120" i="17"/>
  <c r="W280" i="17"/>
  <c r="W129" i="16"/>
  <c r="W289" i="13"/>
  <c r="W129" i="14" s="1"/>
  <c r="W129" i="13"/>
  <c r="W139" i="13"/>
  <c r="W299" i="13"/>
  <c r="W139" i="14" s="1"/>
  <c r="W139" i="15" s="1"/>
  <c r="U115" i="15"/>
  <c r="T286" i="18"/>
  <c r="T250" i="17"/>
  <c r="T90" i="18" s="1"/>
  <c r="T90" i="17"/>
  <c r="V81" i="15"/>
  <c r="V109" i="13"/>
  <c r="V269" i="13"/>
  <c r="V109" i="14" s="1"/>
  <c r="V109" i="15" s="1"/>
  <c r="U108" i="17"/>
  <c r="U268" i="17"/>
  <c r="U108" i="18" s="1"/>
  <c r="T214" i="18"/>
  <c r="T29" i="18"/>
  <c r="U44" i="18"/>
  <c r="T271" i="18"/>
  <c r="U146" i="18"/>
  <c r="U315" i="18" s="1"/>
  <c r="U146" i="15"/>
  <c r="S253" i="18"/>
  <c r="V99" i="17"/>
  <c r="V259" i="17"/>
  <c r="V99" i="18" s="1"/>
  <c r="V263" i="18" s="1"/>
  <c r="V95" i="15"/>
  <c r="V108" i="17"/>
  <c r="V268" i="17"/>
  <c r="V108" i="18" s="1"/>
  <c r="V274" i="18" s="1"/>
  <c r="V106" i="15"/>
  <c r="T243" i="17"/>
  <c r="T83" i="17"/>
  <c r="V214" i="17"/>
  <c r="V54" i="18" s="1"/>
  <c r="V54" i="17"/>
  <c r="V179" i="17"/>
  <c r="V19" i="18" s="1"/>
  <c r="V179" i="18" s="1"/>
  <c r="V19" i="17"/>
  <c r="V282" i="17"/>
  <c r="V122" i="17"/>
  <c r="V83" i="15"/>
  <c r="V83" i="18"/>
  <c r="V245" i="18" s="1"/>
  <c r="V76" i="15"/>
  <c r="V191" i="17"/>
  <c r="V31" i="18" s="1"/>
  <c r="V31" i="17"/>
  <c r="V30" i="13"/>
  <c r="V190" i="13"/>
  <c r="V30" i="14" s="1"/>
  <c r="V30" i="15" s="1"/>
  <c r="V101" i="14"/>
  <c r="W98" i="16"/>
  <c r="W258" i="13"/>
  <c r="W98" i="13"/>
  <c r="W294" i="12"/>
  <c r="W91" i="16"/>
  <c r="W251" i="13"/>
  <c r="W91" i="13"/>
  <c r="W39" i="16"/>
  <c r="W199" i="13"/>
  <c r="W39" i="14" s="1"/>
  <c r="W39" i="13"/>
  <c r="W19" i="16"/>
  <c r="W179" i="13"/>
  <c r="W19" i="14" s="1"/>
  <c r="W19" i="13"/>
  <c r="W157" i="16"/>
  <c r="W157" i="13"/>
  <c r="W317" i="13"/>
  <c r="W157" i="14" s="1"/>
  <c r="T182" i="18"/>
  <c r="U190" i="17"/>
  <c r="U30" i="18" s="1"/>
  <c r="U30" i="17"/>
  <c r="V298" i="17"/>
  <c r="V138" i="17"/>
  <c r="V70" i="14"/>
  <c r="U158" i="15"/>
  <c r="U158" i="18"/>
  <c r="U329" i="18" s="1"/>
  <c r="V139" i="17"/>
  <c r="V299" i="17"/>
  <c r="V175" i="13"/>
  <c r="V15" i="14" s="1"/>
  <c r="V15" i="15" s="1"/>
  <c r="V15" i="13"/>
  <c r="V307" i="17"/>
  <c r="V147" i="18" s="1"/>
  <c r="V147" i="17"/>
  <c r="V316" i="13"/>
  <c r="V156" i="14" s="1"/>
  <c r="V156" i="15" s="1"/>
  <c r="V156" i="13"/>
  <c r="V145" i="18"/>
  <c r="V314" i="18" s="1"/>
  <c r="U203" i="13"/>
  <c r="U43" i="14" s="1"/>
  <c r="U43" i="13"/>
  <c r="U142" i="18"/>
  <c r="U165" i="17"/>
  <c r="U5" i="17"/>
  <c r="V150" i="18"/>
  <c r="V319" i="18" s="1"/>
  <c r="V150" i="15"/>
  <c r="V94" i="18"/>
  <c r="V258" i="18" s="1"/>
  <c r="V94" i="15"/>
  <c r="T134" i="15"/>
  <c r="T134" i="18"/>
  <c r="U34" i="15"/>
  <c r="V263" i="13"/>
  <c r="V103" i="14" s="1"/>
  <c r="V103" i="13"/>
  <c r="V69" i="17"/>
  <c r="V229" i="17"/>
  <c r="V69" i="18" s="1"/>
  <c r="X99" i="11"/>
  <c r="X259" i="12"/>
  <c r="X105" i="10"/>
  <c r="X105" i="11" s="1"/>
  <c r="X103" i="10"/>
  <c r="X103" i="11" s="1"/>
  <c r="X146" i="11"/>
  <c r="X306" i="12"/>
  <c r="X109" i="11"/>
  <c r="X269" i="12"/>
  <c r="X119" i="11"/>
  <c r="X279" i="12"/>
  <c r="X119" i="16" s="1"/>
  <c r="X26" i="11"/>
  <c r="X186" i="12"/>
  <c r="X111" i="11"/>
  <c r="X271" i="12"/>
  <c r="X69" i="11"/>
  <c r="X229" i="12"/>
  <c r="X39" i="11"/>
  <c r="X199" i="12"/>
  <c r="X123" i="11"/>
  <c r="X283" i="12"/>
  <c r="X31" i="11"/>
  <c r="X191" i="12"/>
  <c r="X122" i="10"/>
  <c r="X122" i="11" s="1"/>
  <c r="X97" i="11"/>
  <c r="X257" i="12"/>
  <c r="X97" i="16" s="1"/>
  <c r="X107" i="10"/>
  <c r="X267" i="12" s="1"/>
  <c r="X67" i="10"/>
  <c r="X227" i="12" s="1"/>
  <c r="X141" i="11"/>
  <c r="X301" i="12"/>
  <c r="X136" i="11"/>
  <c r="X296" i="12"/>
  <c r="X118" i="11"/>
  <c r="X278" i="12"/>
  <c r="X118" i="16" s="1"/>
  <c r="X62" i="11"/>
  <c r="X222" i="12"/>
  <c r="X62" i="16" s="1"/>
  <c r="X14" i="10"/>
  <c r="X14" i="11" s="1"/>
  <c r="X148" i="10"/>
  <c r="X308" i="12" s="1"/>
  <c r="X8" i="11"/>
  <c r="X168" i="12"/>
  <c r="X106" i="11"/>
  <c r="X266" i="12"/>
  <c r="X82" i="10"/>
  <c r="X82" i="11" s="1"/>
  <c r="X94" i="11"/>
  <c r="X254" i="12"/>
  <c r="X16" i="10"/>
  <c r="X16" i="11" s="1"/>
  <c r="W222" i="12"/>
  <c r="W215" i="12"/>
  <c r="W55" i="16" s="1"/>
  <c r="W315" i="13"/>
  <c r="W155" i="14" s="1"/>
  <c r="W155" i="15" s="1"/>
  <c r="W155" i="13"/>
  <c r="W136" i="16"/>
  <c r="W296" i="13"/>
  <c r="W136" i="14" s="1"/>
  <c r="W136" i="13"/>
  <c r="W89" i="16"/>
  <c r="W249" i="13"/>
  <c r="W89" i="14" s="1"/>
  <c r="W89" i="13"/>
  <c r="W70" i="16"/>
  <c r="W230" i="13"/>
  <c r="W70" i="14" s="1"/>
  <c r="W70" i="13"/>
  <c r="W191" i="17"/>
  <c r="W31" i="17"/>
  <c r="W47" i="13"/>
  <c r="W207" i="13"/>
  <c r="W47" i="14" s="1"/>
  <c r="W47" i="15" s="1"/>
  <c r="W149" i="16"/>
  <c r="W309" i="13"/>
  <c r="W149" i="14" s="1"/>
  <c r="W149" i="13"/>
  <c r="T215" i="18"/>
  <c r="V265" i="13"/>
  <c r="V105" i="14" s="1"/>
  <c r="V105" i="13"/>
  <c r="V146" i="17"/>
  <c r="V306" i="17"/>
  <c r="V146" i="18" s="1"/>
  <c r="V315" i="18" s="1"/>
  <c r="V131" i="18"/>
  <c r="V298" i="18" s="1"/>
  <c r="V87" i="17"/>
  <c r="V247" i="17"/>
  <c r="V87" i="18" s="1"/>
  <c r="V251" i="18" s="1"/>
  <c r="T23" i="15"/>
  <c r="T23" i="18"/>
  <c r="V43" i="15"/>
  <c r="V43" i="18"/>
  <c r="V203" i="18" s="1"/>
  <c r="V93" i="17"/>
  <c r="V253" i="17"/>
  <c r="V91" i="15"/>
  <c r="V158" i="15"/>
  <c r="T291" i="18"/>
  <c r="V278" i="17"/>
  <c r="V118" i="18" s="1"/>
  <c r="V285" i="18" s="1"/>
  <c r="V118" i="17"/>
  <c r="V134" i="17"/>
  <c r="V294" i="17"/>
  <c r="T213" i="18"/>
  <c r="V130" i="15"/>
  <c r="V23" i="16"/>
  <c r="V183" i="13"/>
  <c r="V23" i="14" s="1"/>
  <c r="V23" i="13"/>
  <c r="W145" i="16"/>
  <c r="W305" i="13"/>
  <c r="W145" i="14" s="1"/>
  <c r="W145" i="13"/>
  <c r="W246" i="12"/>
  <c r="W86" i="16" s="1"/>
  <c r="W180" i="12"/>
  <c r="W190" i="12"/>
  <c r="W30" i="16" s="1"/>
  <c r="W79" i="16"/>
  <c r="W239" i="13"/>
  <c r="W79" i="14" s="1"/>
  <c r="W79" i="13"/>
  <c r="W306" i="17"/>
  <c r="W146" i="17"/>
  <c r="W5" i="10"/>
  <c r="W5" i="11" s="1"/>
  <c r="W83" i="16"/>
  <c r="W83" i="13"/>
  <c r="W243" i="13"/>
  <c r="W83" i="14" s="1"/>
  <c r="U136" i="16"/>
  <c r="U296" i="13"/>
  <c r="U136" i="14" s="1"/>
  <c r="U136" i="13"/>
  <c r="U63" i="15"/>
  <c r="V39" i="15"/>
  <c r="V39" i="18"/>
  <c r="V199" i="18" s="1"/>
  <c r="V16" i="15"/>
  <c r="U19" i="15"/>
  <c r="V225" i="17"/>
  <c r="V65" i="17"/>
  <c r="U251" i="13"/>
  <c r="U91" i="14" s="1"/>
  <c r="U91" i="13"/>
  <c r="S217" i="18"/>
  <c r="T83" i="18"/>
  <c r="T83" i="15"/>
  <c r="V9" i="15"/>
  <c r="V60" i="14"/>
  <c r="U118" i="15"/>
  <c r="U239" i="17"/>
  <c r="U79" i="18" s="1"/>
  <c r="U79" i="17"/>
  <c r="V317" i="13"/>
  <c r="V157" i="14" s="1"/>
  <c r="V157" i="15" s="1"/>
  <c r="V157" i="13"/>
  <c r="V125" i="15"/>
  <c r="V125" i="18"/>
  <c r="V292" i="18" s="1"/>
  <c r="V57" i="15"/>
  <c r="V246" i="13"/>
  <c r="V86" i="14" s="1"/>
  <c r="V86" i="15" s="1"/>
  <c r="V86" i="13"/>
  <c r="W220" i="17"/>
  <c r="W60" i="17"/>
  <c r="W152" i="16"/>
  <c r="W152" i="13"/>
  <c r="W312" i="13"/>
  <c r="W152" i="14" s="1"/>
  <c r="W227" i="12"/>
  <c r="W67" i="16" s="1"/>
  <c r="W280" i="13"/>
  <c r="W120" i="14" s="1"/>
  <c r="W120" i="15" s="1"/>
  <c r="W120" i="13"/>
  <c r="W154" i="16"/>
  <c r="W314" i="13"/>
  <c r="W154" i="14" s="1"/>
  <c r="W154" i="13"/>
  <c r="U109" i="15"/>
  <c r="U275" i="17"/>
  <c r="U115" i="18" s="1"/>
  <c r="U115" i="17"/>
  <c r="U18" i="15"/>
  <c r="V50" i="16"/>
  <c r="V50" i="13"/>
  <c r="V210" i="13"/>
  <c r="V50" i="14" s="1"/>
  <c r="V241" i="17"/>
  <c r="V81" i="18" s="1"/>
  <c r="V81" i="17"/>
  <c r="V92" i="15"/>
  <c r="V276" i="17"/>
  <c r="V116" i="18" s="1"/>
  <c r="V283" i="18" s="1"/>
  <c r="V116" i="17"/>
  <c r="T49" i="15"/>
  <c r="U121" i="18"/>
  <c r="V136" i="18"/>
  <c r="V303" i="18" s="1"/>
  <c r="T82" i="18"/>
  <c r="T259" i="18"/>
  <c r="V314" i="17"/>
  <c r="V154" i="18" s="1"/>
  <c r="V325" i="18" s="1"/>
  <c r="V154" i="17"/>
  <c r="V255" i="17"/>
  <c r="V95" i="18" s="1"/>
  <c r="V259" i="18" s="1"/>
  <c r="V95" i="17"/>
  <c r="V266" i="17"/>
  <c r="V106" i="18" s="1"/>
  <c r="V272" i="18" s="1"/>
  <c r="V106" i="17"/>
  <c r="U289" i="18"/>
  <c r="V89" i="16"/>
  <c r="V89" i="13"/>
  <c r="V249" i="13"/>
  <c r="V89" i="14" s="1"/>
  <c r="V282" i="13"/>
  <c r="V122" i="14" s="1"/>
  <c r="V122" i="13"/>
  <c r="T9" i="15"/>
  <c r="T9" i="18"/>
  <c r="V236" i="17"/>
  <c r="V76" i="18" s="1"/>
  <c r="V237" i="18" s="1"/>
  <c r="V76" i="17"/>
  <c r="W14" i="11"/>
  <c r="W14" i="14" s="1"/>
  <c r="W18" i="16"/>
  <c r="W178" i="13"/>
  <c r="W18" i="14" s="1"/>
  <c r="W18" i="13"/>
  <c r="W8" i="16"/>
  <c r="W168" i="13"/>
  <c r="W8" i="14" s="1"/>
  <c r="W8" i="13"/>
  <c r="W117" i="16"/>
  <c r="W117" i="13"/>
  <c r="W277" i="13"/>
  <c r="W117" i="14" s="1"/>
  <c r="W117" i="15" s="1"/>
  <c r="W53" i="16"/>
  <c r="W208" i="12"/>
  <c r="W48" i="16"/>
  <c r="W285" i="12"/>
  <c r="W125" i="16" s="1"/>
  <c r="W255" i="12"/>
  <c r="W95" i="16" s="1"/>
  <c r="W147" i="16"/>
  <c r="W307" i="13"/>
  <c r="W147" i="14" s="1"/>
  <c r="W147" i="13"/>
  <c r="W175" i="12"/>
  <c r="W15" i="16" s="1"/>
  <c r="V34" i="18"/>
  <c r="V194" i="18" s="1"/>
  <c r="V34" i="15"/>
  <c r="V138" i="13"/>
  <c r="V298" i="13"/>
  <c r="V138" i="14" s="1"/>
  <c r="V138" i="15" s="1"/>
  <c r="V20" i="17"/>
  <c r="V180" i="17"/>
  <c r="V20" i="18" s="1"/>
  <c r="V180" i="18" s="1"/>
  <c r="U13" i="16"/>
  <c r="V139" i="13"/>
  <c r="V299" i="13"/>
  <c r="V139" i="14" s="1"/>
  <c r="V139" i="15" s="1"/>
  <c r="V119" i="18"/>
  <c r="V286" i="18" s="1"/>
  <c r="V114" i="17"/>
  <c r="V274" i="17"/>
  <c r="V114" i="18" s="1"/>
  <c r="V13" i="15"/>
  <c r="V13" i="18"/>
  <c r="V173" i="18" s="1"/>
  <c r="V155" i="18"/>
  <c r="V326" i="18" s="1"/>
  <c r="V155" i="15"/>
  <c r="V55" i="16"/>
  <c r="U152" i="15"/>
  <c r="U152" i="18"/>
  <c r="U322" i="18" s="1"/>
  <c r="U73" i="18"/>
  <c r="U234" i="18" s="1"/>
  <c r="U73" i="15"/>
  <c r="U165" i="13"/>
  <c r="U5" i="14" s="1"/>
  <c r="U5" i="15" s="1"/>
  <c r="U5" i="13"/>
  <c r="V79" i="18"/>
  <c r="V241" i="18" s="1"/>
  <c r="V79" i="15"/>
  <c r="V127" i="16"/>
  <c r="V67" i="15"/>
  <c r="V67" i="18"/>
  <c r="V228" i="18" s="1"/>
  <c r="V258" i="17"/>
  <c r="V98" i="18" s="1"/>
  <c r="V262" i="18" s="1"/>
  <c r="V98" i="17"/>
  <c r="U194" i="17"/>
  <c r="U34" i="18" s="1"/>
  <c r="U34" i="17"/>
  <c r="V129" i="16"/>
  <c r="V129" i="13"/>
  <c r="V289" i="13"/>
  <c r="V129" i="14" s="1"/>
  <c r="V209" i="12"/>
  <c r="V49" i="16" s="1"/>
  <c r="V115" i="15"/>
  <c r="V115" i="18"/>
  <c r="V282" i="18" s="1"/>
  <c r="V8" i="15"/>
  <c r="V8" i="18"/>
  <c r="V168" i="18" s="1"/>
  <c r="X63" i="11"/>
  <c r="X223" i="12"/>
  <c r="X129" i="11"/>
  <c r="X289" i="12"/>
  <c r="X54" i="11"/>
  <c r="X214" i="12"/>
  <c r="X149" i="11"/>
  <c r="X309" i="12"/>
  <c r="X127" i="11"/>
  <c r="X287" i="12"/>
  <c r="X43" i="10"/>
  <c r="X43" i="11" s="1"/>
  <c r="X9" i="10"/>
  <c r="X169" i="12" s="1"/>
  <c r="X142" i="10"/>
  <c r="X142" i="11" s="1"/>
  <c r="X10" i="10"/>
  <c r="X10" i="11" s="1"/>
  <c r="X41" i="11"/>
  <c r="X201" i="12"/>
  <c r="X41" i="16" s="1"/>
  <c r="X23" i="10"/>
  <c r="X23" i="11" s="1"/>
  <c r="X52" i="11"/>
  <c r="X212" i="12"/>
  <c r="X95" i="11"/>
  <c r="X255" i="12"/>
  <c r="X95" i="16" s="1"/>
  <c r="X91" i="11"/>
  <c r="X251" i="12"/>
  <c r="X91" i="16" s="1"/>
  <c r="X13" i="11"/>
  <c r="X173" i="12"/>
  <c r="X150" i="10"/>
  <c r="X150" i="11" s="1"/>
  <c r="X68" i="11"/>
  <c r="X228" i="12"/>
  <c r="X48" i="11"/>
  <c r="X208" i="12"/>
  <c r="X53" i="10"/>
  <c r="X53" i="11" s="1"/>
  <c r="X86" i="11"/>
  <c r="X246" i="12"/>
  <c r="X86" i="16" s="1"/>
  <c r="X98" i="11"/>
  <c r="X258" i="12"/>
  <c r="X98" i="16" s="1"/>
  <c r="X121" i="11"/>
  <c r="X281" i="12"/>
  <c r="X155" i="11"/>
  <c r="X315" i="12"/>
  <c r="X55" i="10"/>
  <c r="X55" i="11" s="1"/>
  <c r="X29" i="11"/>
  <c r="X189" i="12"/>
  <c r="X116" i="10"/>
  <c r="X276" i="12" s="1"/>
  <c r="X60" i="10"/>
  <c r="X60" i="11" s="1"/>
  <c r="W87" i="11"/>
  <c r="W101" i="11"/>
  <c r="W94" i="11"/>
  <c r="W138" i="16"/>
  <c r="W298" i="13"/>
  <c r="W138" i="14" s="1"/>
  <c r="W138" i="13"/>
  <c r="W49" i="16"/>
  <c r="W31" i="13"/>
  <c r="W191" i="13"/>
  <c r="W31" i="14" s="1"/>
  <c r="W31" i="15" s="1"/>
  <c r="W204" i="12"/>
  <c r="W44" i="16" s="1"/>
  <c r="W214" i="12"/>
  <c r="W54" i="16" s="1"/>
  <c r="U41" i="15"/>
  <c r="U41" i="18"/>
  <c r="U131" i="16"/>
  <c r="V149" i="16"/>
  <c r="V309" i="13"/>
  <c r="V149" i="14" s="1"/>
  <c r="V149" i="13"/>
  <c r="V228" i="17"/>
  <c r="V68" i="17"/>
  <c r="V172" i="12"/>
  <c r="V12" i="16" s="1"/>
  <c r="V35" i="16"/>
  <c r="U120" i="15"/>
  <c r="U120" i="18"/>
  <c r="U287" i="18" s="1"/>
  <c r="T154" i="15"/>
  <c r="T154" i="18"/>
  <c r="V253" i="13"/>
  <c r="V93" i="14" s="1"/>
  <c r="V93" i="13"/>
  <c r="V91" i="17"/>
  <c r="V251" i="17"/>
  <c r="V91" i="18" s="1"/>
  <c r="V255" i="18" s="1"/>
  <c r="V318" i="17"/>
  <c r="V158" i="18" s="1"/>
  <c r="V329" i="18" s="1"/>
  <c r="V158" i="17"/>
  <c r="V63" i="18"/>
  <c r="V223" i="18" s="1"/>
  <c r="V63" i="15"/>
  <c r="V7" i="18"/>
  <c r="V167" i="18" s="1"/>
  <c r="V7" i="15"/>
  <c r="V308" i="17"/>
  <c r="V148" i="17"/>
  <c r="U105" i="16"/>
  <c r="S306" i="18"/>
  <c r="V290" i="17"/>
  <c r="V130" i="18" s="1"/>
  <c r="V297" i="18" s="1"/>
  <c r="V130" i="17"/>
  <c r="W233" i="12"/>
  <c r="W73" i="16" s="1"/>
  <c r="W92" i="11"/>
  <c r="W22" i="11"/>
  <c r="W158" i="16"/>
  <c r="W158" i="13"/>
  <c r="W318" i="13"/>
  <c r="W158" i="14" s="1"/>
  <c r="W23" i="11"/>
  <c r="W107" i="16"/>
  <c r="W306" i="13"/>
  <c r="W146" i="14" s="1"/>
  <c r="W146" i="15" s="1"/>
  <c r="W146" i="13"/>
  <c r="W76" i="16"/>
  <c r="W229" i="12"/>
  <c r="W69" i="16" s="1"/>
  <c r="W241" i="12"/>
  <c r="W81" i="16" s="1"/>
  <c r="W201" i="12"/>
  <c r="W263" i="12"/>
  <c r="W103" i="16" s="1"/>
  <c r="W115" i="11"/>
  <c r="U63" i="17"/>
  <c r="U223" i="17"/>
  <c r="U63" i="18" s="1"/>
  <c r="T174" i="17"/>
  <c r="T14" i="18" s="1"/>
  <c r="T14" i="17"/>
  <c r="S287" i="18"/>
  <c r="V18" i="15"/>
  <c r="V18" i="18"/>
  <c r="V178" i="18" s="1"/>
  <c r="V16" i="17"/>
  <c r="V176" i="17"/>
  <c r="V16" i="18" s="1"/>
  <c r="V176" i="18" s="1"/>
  <c r="T243" i="18"/>
  <c r="V65" i="13"/>
  <c r="V225" i="13"/>
  <c r="V65" i="14" s="1"/>
  <c r="V53" i="16"/>
  <c r="V82" i="17"/>
  <c r="V242" i="17"/>
  <c r="V82" i="18" s="1"/>
  <c r="V244" i="18" s="1"/>
  <c r="U7" i="16"/>
  <c r="U29" i="18"/>
  <c r="U189" i="18" s="1"/>
  <c r="U29" i="15"/>
  <c r="U67" i="18"/>
  <c r="U228" i="18" s="1"/>
  <c r="U67" i="15"/>
  <c r="V123" i="15"/>
  <c r="V123" i="18"/>
  <c r="V44" i="15"/>
  <c r="V44" i="18"/>
  <c r="V204" i="18" s="1"/>
  <c r="V9" i="17"/>
  <c r="V169" i="17"/>
  <c r="V9" i="18" s="1"/>
  <c r="V169" i="18" s="1"/>
  <c r="V148" i="14"/>
  <c r="V189" i="17"/>
  <c r="V29" i="18" s="1"/>
  <c r="V189" i="18" s="1"/>
  <c r="V29" i="17"/>
  <c r="U118" i="17"/>
  <c r="U278" i="17"/>
  <c r="U118" i="18" s="1"/>
  <c r="V10" i="16"/>
  <c r="V101" i="16"/>
  <c r="W57" i="11"/>
  <c r="W116" i="16"/>
  <c r="W220" i="13"/>
  <c r="W60" i="14" s="1"/>
  <c r="W60" i="15" s="1"/>
  <c r="W60" i="13"/>
  <c r="W97" i="16"/>
  <c r="W257" i="13"/>
  <c r="W97" i="14" s="1"/>
  <c r="W97" i="13"/>
  <c r="W29" i="11"/>
  <c r="W150" i="16"/>
  <c r="W310" i="13"/>
  <c r="W150" i="14" s="1"/>
  <c r="W150" i="13"/>
  <c r="W122" i="11"/>
  <c r="W124" i="11"/>
  <c r="W68" i="16"/>
  <c r="W228" i="13"/>
  <c r="W68" i="14" s="1"/>
  <c r="W68" i="13"/>
  <c r="W93" i="16"/>
  <c r="W253" i="13"/>
  <c r="W93" i="14" s="1"/>
  <c r="W93" i="13"/>
  <c r="W119" i="11"/>
  <c r="W45" i="11"/>
  <c r="W105" i="11"/>
  <c r="U269" i="17"/>
  <c r="U109" i="18" s="1"/>
  <c r="U109" i="17"/>
  <c r="U49" i="15"/>
  <c r="U49" i="18"/>
  <c r="U209" i="18" s="1"/>
  <c r="U18" i="17"/>
  <c r="U178" i="17"/>
  <c r="U18" i="18" s="1"/>
  <c r="U178" i="18" s="1"/>
  <c r="V70" i="16"/>
  <c r="V121" i="15"/>
  <c r="V121" i="18"/>
  <c r="V288" i="18" s="1"/>
  <c r="V252" i="17"/>
  <c r="V92" i="18" s="1"/>
  <c r="V256" i="18" s="1"/>
  <c r="V92" i="17"/>
  <c r="V74" i="18"/>
  <c r="V235" i="18" s="1"/>
  <c r="V120" i="18"/>
  <c r="V287" i="18" s="1"/>
  <c r="AA89" i="1"/>
  <c r="AB89" i="1" s="1"/>
  <c r="O28" i="31" s="1"/>
  <c r="E28" i="31"/>
  <c r="Q28" i="31" s="1"/>
  <c r="AD397" i="1"/>
  <c r="O397" i="1"/>
  <c r="D104" i="31" s="1"/>
  <c r="P405" i="1"/>
  <c r="N405" i="1"/>
  <c r="P397" i="1"/>
  <c r="AO397" i="1"/>
  <c r="C397" i="1" s="1"/>
  <c r="AE397" i="1"/>
  <c r="AF397" i="1"/>
  <c r="AC397" i="1"/>
  <c r="S397" i="1" s="1"/>
  <c r="S401" i="1" s="1"/>
  <c r="AO401" i="1"/>
  <c r="C401" i="1" s="1"/>
  <c r="E327" i="1"/>
  <c r="AO327" i="1" s="1"/>
  <c r="C327" i="1" s="1"/>
  <c r="E321" i="1"/>
  <c r="D68" i="6"/>
  <c r="B69" i="6"/>
  <c r="D69" i="37" s="1"/>
  <c r="A69" i="37" s="1"/>
  <c r="B68" i="20"/>
  <c r="B68" i="10"/>
  <c r="B68" i="11"/>
  <c r="B228" i="12"/>
  <c r="B68" i="12"/>
  <c r="B228" i="13"/>
  <c r="B68" i="13"/>
  <c r="B68" i="14"/>
  <c r="B68" i="15"/>
  <c r="B68" i="16"/>
  <c r="B228" i="17"/>
  <c r="B68" i="17"/>
  <c r="B229" i="18"/>
  <c r="B68" i="18"/>
  <c r="B68" i="9"/>
  <c r="X116" i="11" l="1"/>
  <c r="X74" i="11"/>
  <c r="X134" i="11"/>
  <c r="X18" i="11"/>
  <c r="W91" i="14"/>
  <c r="X124" i="11"/>
  <c r="X147" i="11"/>
  <c r="U285" i="18"/>
  <c r="X86" i="17"/>
  <c r="X246" i="17"/>
  <c r="U275" i="18"/>
  <c r="W233" i="17"/>
  <c r="W73" i="17"/>
  <c r="W214" i="17"/>
  <c r="W54" i="17"/>
  <c r="U282" i="18"/>
  <c r="X257" i="17"/>
  <c r="X97" i="17"/>
  <c r="V191" i="18"/>
  <c r="W186" i="17"/>
  <c r="W26" i="17"/>
  <c r="W103" i="17"/>
  <c r="W263" i="17"/>
  <c r="X255" i="17"/>
  <c r="X95" i="17"/>
  <c r="V281" i="18"/>
  <c r="W175" i="17"/>
  <c r="W15" i="17"/>
  <c r="W255" i="17"/>
  <c r="W95" i="17"/>
  <c r="W152" i="15"/>
  <c r="W246" i="17"/>
  <c r="W86" i="17"/>
  <c r="W55" i="17"/>
  <c r="W215" i="17"/>
  <c r="X222" i="17"/>
  <c r="X62" i="17"/>
  <c r="V214" i="18"/>
  <c r="U274" i="18"/>
  <c r="W129" i="15"/>
  <c r="X35" i="17"/>
  <c r="X195" i="17"/>
  <c r="X299" i="17"/>
  <c r="X139" i="17"/>
  <c r="V208" i="18"/>
  <c r="V242" i="18"/>
  <c r="X57" i="17"/>
  <c r="X217" i="17"/>
  <c r="V243" i="18"/>
  <c r="U241" i="18"/>
  <c r="U91" i="15"/>
  <c r="U91" i="18"/>
  <c r="U190" i="18"/>
  <c r="V278" i="18"/>
  <c r="X79" i="17"/>
  <c r="X239" i="17"/>
  <c r="X280" i="17"/>
  <c r="X120" i="17"/>
  <c r="T228" i="18"/>
  <c r="W173" i="17"/>
  <c r="W13" i="17"/>
  <c r="X190" i="17"/>
  <c r="X30" i="17"/>
  <c r="T174" i="18"/>
  <c r="W229" i="17"/>
  <c r="W69" i="17"/>
  <c r="W204" i="17"/>
  <c r="W44" i="17"/>
  <c r="U223" i="18"/>
  <c r="U194" i="18"/>
  <c r="W30" i="17"/>
  <c r="W190" i="17"/>
  <c r="V230" i="18"/>
  <c r="V316" i="18"/>
  <c r="T254" i="18"/>
  <c r="W9" i="17"/>
  <c r="W169" i="17"/>
  <c r="W131" i="15"/>
  <c r="W12" i="15"/>
  <c r="U297" i="18"/>
  <c r="W275" i="17"/>
  <c r="W115" i="17"/>
  <c r="W182" i="17"/>
  <c r="W22" i="17"/>
  <c r="W93" i="15"/>
  <c r="W68" i="17"/>
  <c r="W228" i="17"/>
  <c r="W150" i="15"/>
  <c r="W97" i="15"/>
  <c r="W276" i="17"/>
  <c r="W116" i="18" s="1"/>
  <c r="W283" i="18" s="1"/>
  <c r="W116" i="17"/>
  <c r="V213" i="17"/>
  <c r="V53" i="18" s="1"/>
  <c r="V53" i="17"/>
  <c r="T325" i="18"/>
  <c r="V172" i="13"/>
  <c r="V12" i="14" s="1"/>
  <c r="V12" i="13"/>
  <c r="V149" i="15"/>
  <c r="W138" i="15"/>
  <c r="X116" i="16"/>
  <c r="X276" i="13"/>
  <c r="X116" i="13"/>
  <c r="X215" i="12"/>
  <c r="X55" i="16" s="1"/>
  <c r="X213" i="12"/>
  <c r="X201" i="13"/>
  <c r="X41" i="14" s="1"/>
  <c r="X41" i="15" s="1"/>
  <c r="X41" i="13"/>
  <c r="X149" i="16"/>
  <c r="X149" i="13"/>
  <c r="X309" i="13"/>
  <c r="X149" i="14" s="1"/>
  <c r="X129" i="16"/>
  <c r="X129" i="13"/>
  <c r="X289" i="13"/>
  <c r="X129" i="14" s="1"/>
  <c r="V287" i="17"/>
  <c r="V127" i="18" s="1"/>
  <c r="V127" i="17"/>
  <c r="W125" i="13"/>
  <c r="W285" i="13"/>
  <c r="W125" i="14" s="1"/>
  <c r="W8" i="15"/>
  <c r="W178" i="17"/>
  <c r="W18" i="17"/>
  <c r="T169" i="18"/>
  <c r="V89" i="15"/>
  <c r="W227" i="13"/>
  <c r="W67" i="14" s="1"/>
  <c r="W67" i="13"/>
  <c r="U136" i="15"/>
  <c r="W146" i="18"/>
  <c r="W315" i="18" s="1"/>
  <c r="W305" i="17"/>
  <c r="W145" i="17"/>
  <c r="V23" i="17"/>
  <c r="V183" i="17"/>
  <c r="W31" i="18"/>
  <c r="W191" i="18" s="1"/>
  <c r="W136" i="15"/>
  <c r="X8" i="16"/>
  <c r="X168" i="13"/>
  <c r="X8" i="14" s="1"/>
  <c r="X8" i="13"/>
  <c r="X136" i="16"/>
  <c r="X136" i="13"/>
  <c r="X296" i="13"/>
  <c r="X136" i="14" s="1"/>
  <c r="X67" i="11"/>
  <c r="X282" i="12"/>
  <c r="X122" i="16" s="1"/>
  <c r="X109" i="16"/>
  <c r="X109" i="13"/>
  <c r="X269" i="13"/>
  <c r="X109" i="14" s="1"/>
  <c r="X99" i="16"/>
  <c r="X259" i="13"/>
  <c r="X99" i="14" s="1"/>
  <c r="X99" i="13"/>
  <c r="U5" i="18"/>
  <c r="U165" i="18" s="1"/>
  <c r="V70" i="15"/>
  <c r="W157" i="15"/>
  <c r="W39" i="15"/>
  <c r="W98" i="17"/>
  <c r="W258" i="17"/>
  <c r="U204" i="18"/>
  <c r="W269" i="17"/>
  <c r="W109" i="17"/>
  <c r="W82" i="15"/>
  <c r="U310" i="17"/>
  <c r="U150" i="17"/>
  <c r="U269" i="18"/>
  <c r="W52" i="16"/>
  <c r="W212" i="13"/>
  <c r="W52" i="14" s="1"/>
  <c r="W52" i="13"/>
  <c r="W156" i="15"/>
  <c r="W47" i="18"/>
  <c r="W207" i="18" s="1"/>
  <c r="W291" i="17"/>
  <c r="W131" i="18" s="1"/>
  <c r="W298" i="18" s="1"/>
  <c r="W131" i="17"/>
  <c r="W155" i="18"/>
  <c r="W326" i="18" s="1"/>
  <c r="W35" i="15"/>
  <c r="X87" i="16"/>
  <c r="X87" i="13"/>
  <c r="X247" i="13"/>
  <c r="X87" i="14" s="1"/>
  <c r="X277" i="13"/>
  <c r="X117" i="14" s="1"/>
  <c r="X117" i="15" s="1"/>
  <c r="X117" i="13"/>
  <c r="X20" i="16"/>
  <c r="X180" i="13"/>
  <c r="X20" i="14" s="1"/>
  <c r="X20" i="13"/>
  <c r="X125" i="16"/>
  <c r="X285" i="13"/>
  <c r="X125" i="14" s="1"/>
  <c r="X125" i="13"/>
  <c r="X312" i="12"/>
  <c r="X152" i="16" s="1"/>
  <c r="X167" i="12"/>
  <c r="X7" i="16" s="1"/>
  <c r="X74" i="16"/>
  <c r="X234" i="13"/>
  <c r="X74" i="13"/>
  <c r="X275" i="12"/>
  <c r="X154" i="13"/>
  <c r="X314" i="13"/>
  <c r="X154" i="14" s="1"/>
  <c r="X154" i="15" s="1"/>
  <c r="W290" i="13"/>
  <c r="W130" i="14" s="1"/>
  <c r="W130" i="13"/>
  <c r="W139" i="18"/>
  <c r="W307" i="18" s="1"/>
  <c r="W119" i="14"/>
  <c r="W124" i="16"/>
  <c r="W284" i="13"/>
  <c r="W124" i="14" s="1"/>
  <c r="W124" i="13"/>
  <c r="W29" i="16"/>
  <c r="W29" i="13"/>
  <c r="W189" i="13"/>
  <c r="W57" i="13"/>
  <c r="W217" i="13"/>
  <c r="V53" i="15"/>
  <c r="W194" i="17"/>
  <c r="W34" i="17"/>
  <c r="W23" i="17"/>
  <c r="W183" i="17"/>
  <c r="U105" i="15"/>
  <c r="U131" i="15"/>
  <c r="W99" i="15"/>
  <c r="W49" i="15"/>
  <c r="W261" i="13"/>
  <c r="W101" i="13"/>
  <c r="Y63" i="10"/>
  <c r="Y63" i="11" s="1"/>
  <c r="Y139" i="11"/>
  <c r="Y299" i="12"/>
  <c r="Y154" i="11"/>
  <c r="Y314" i="12"/>
  <c r="Y108" i="11"/>
  <c r="Y268" i="12"/>
  <c r="Y81" i="11"/>
  <c r="Y241" i="12"/>
  <c r="Y95" i="10"/>
  <c r="Y69" i="10"/>
  <c r="Y69" i="11" s="1"/>
  <c r="Y47" i="11"/>
  <c r="Y207" i="12"/>
  <c r="Y47" i="16" s="1"/>
  <c r="Y26" i="10"/>
  <c r="Y26" i="11" s="1"/>
  <c r="Y43" i="11"/>
  <c r="Y203" i="12"/>
  <c r="Y43" i="16" s="1"/>
  <c r="Y19" i="10"/>
  <c r="Y76" i="11"/>
  <c r="Y236" i="12"/>
  <c r="Y76" i="16" s="1"/>
  <c r="Y52" i="10"/>
  <c r="Y212" i="12" s="1"/>
  <c r="Y125" i="10"/>
  <c r="Y125" i="11" s="1"/>
  <c r="Y136" i="10"/>
  <c r="Y296" i="12" s="1"/>
  <c r="Y156" i="11"/>
  <c r="Y316" i="12"/>
  <c r="Y79" i="11"/>
  <c r="Y239" i="12"/>
  <c r="Y131" i="10"/>
  <c r="Y291" i="12" s="1"/>
  <c r="Y7" i="10"/>
  <c r="Y7" i="11" s="1"/>
  <c r="Y145" i="10"/>
  <c r="Y145" i="11" s="1"/>
  <c r="Y82" i="10"/>
  <c r="Y242" i="12" s="1"/>
  <c r="Y8" i="11"/>
  <c r="Y168" i="12"/>
  <c r="Y121" i="11"/>
  <c r="Y281" i="12"/>
  <c r="Y121" i="16" s="1"/>
  <c r="Y101" i="10"/>
  <c r="Y261" i="12" s="1"/>
  <c r="Y94" i="10"/>
  <c r="Y94" i="11" s="1"/>
  <c r="Y158" i="11"/>
  <c r="Y318" i="12"/>
  <c r="Y92" i="11"/>
  <c r="Y252" i="12"/>
  <c r="X22" i="16"/>
  <c r="X182" i="13"/>
  <c r="X22" i="14" s="1"/>
  <c r="X22" i="13"/>
  <c r="X134" i="16"/>
  <c r="X294" i="13"/>
  <c r="X134" i="13"/>
  <c r="X261" i="13"/>
  <c r="X101" i="14" s="1"/>
  <c r="X101" i="15" s="1"/>
  <c r="X101" i="13"/>
  <c r="X225" i="12"/>
  <c r="X236" i="12"/>
  <c r="X76" i="16" s="1"/>
  <c r="X253" i="12"/>
  <c r="X157" i="16"/>
  <c r="X157" i="13"/>
  <c r="X317" i="13"/>
  <c r="X157" i="14" s="1"/>
  <c r="V127" i="15"/>
  <c r="B71" i="22"/>
  <c r="D70" i="22"/>
  <c r="U57" i="18"/>
  <c r="V90" i="18"/>
  <c r="V254" i="18" s="1"/>
  <c r="V70" i="17"/>
  <c r="V230" i="17"/>
  <c r="V70" i="18" s="1"/>
  <c r="W253" i="17"/>
  <c r="W93" i="18" s="1"/>
  <c r="W257" i="18" s="1"/>
  <c r="W93" i="17"/>
  <c r="W310" i="17"/>
  <c r="W150" i="18" s="1"/>
  <c r="W319" i="18" s="1"/>
  <c r="W150" i="17"/>
  <c r="W257" i="17"/>
  <c r="W97" i="18" s="1"/>
  <c r="W261" i="18" s="1"/>
  <c r="W97" i="17"/>
  <c r="W57" i="14"/>
  <c r="U167" i="17"/>
  <c r="U7" i="18" s="1"/>
  <c r="U7" i="17"/>
  <c r="V65" i="15"/>
  <c r="V65" i="18"/>
  <c r="V225" i="18" s="1"/>
  <c r="W263" i="13"/>
  <c r="W103" i="14" s="1"/>
  <c r="W103" i="15" s="1"/>
  <c r="W103" i="13"/>
  <c r="W241" i="17"/>
  <c r="W81" i="17"/>
  <c r="W229" i="13"/>
  <c r="W69" i="14" s="1"/>
  <c r="W69" i="15" s="1"/>
  <c r="W69" i="13"/>
  <c r="W267" i="17"/>
  <c r="W107" i="18" s="1"/>
  <c r="W273" i="18" s="1"/>
  <c r="W107" i="17"/>
  <c r="W158" i="17"/>
  <c r="W318" i="17"/>
  <c r="W233" i="13"/>
  <c r="W73" i="14" s="1"/>
  <c r="W73" i="13"/>
  <c r="V195" i="17"/>
  <c r="V35" i="18" s="1"/>
  <c r="V195" i="18" s="1"/>
  <c r="V35" i="17"/>
  <c r="V149" i="17"/>
  <c r="V309" i="17"/>
  <c r="V149" i="18" s="1"/>
  <c r="U201" i="18"/>
  <c r="W214" i="13"/>
  <c r="W54" i="14" s="1"/>
  <c r="W54" i="13"/>
  <c r="W298" i="17"/>
  <c r="W138" i="18" s="1"/>
  <c r="W306" i="18" s="1"/>
  <c r="W138" i="17"/>
  <c r="X29" i="16"/>
  <c r="X189" i="13"/>
  <c r="X29" i="14" s="1"/>
  <c r="X29" i="13"/>
  <c r="X155" i="16"/>
  <c r="X315" i="13"/>
  <c r="X155" i="14" s="1"/>
  <c r="X155" i="13"/>
  <c r="X258" i="17"/>
  <c r="X98" i="17"/>
  <c r="X246" i="13"/>
  <c r="X86" i="14" s="1"/>
  <c r="X86" i="15" s="1"/>
  <c r="X86" i="13"/>
  <c r="X48" i="16"/>
  <c r="X208" i="13"/>
  <c r="X48" i="14" s="1"/>
  <c r="X48" i="13"/>
  <c r="X251" i="17"/>
  <c r="X91" i="17"/>
  <c r="X255" i="13"/>
  <c r="X95" i="14" s="1"/>
  <c r="X95" i="15" s="1"/>
  <c r="X95" i="13"/>
  <c r="X302" i="12"/>
  <c r="X142" i="16" s="1"/>
  <c r="X203" i="12"/>
  <c r="X43" i="16"/>
  <c r="V49" i="17"/>
  <c r="V209" i="17"/>
  <c r="V129" i="17"/>
  <c r="V289" i="17"/>
  <c r="V215" i="17"/>
  <c r="V55" i="17"/>
  <c r="W147" i="15"/>
  <c r="W255" i="13"/>
  <c r="W95" i="14" s="1"/>
  <c r="W95" i="13"/>
  <c r="W48" i="17"/>
  <c r="W208" i="17"/>
  <c r="W168" i="17"/>
  <c r="W8" i="18" s="1"/>
  <c r="W168" i="18" s="1"/>
  <c r="W8" i="17"/>
  <c r="W14" i="15"/>
  <c r="U288" i="18"/>
  <c r="V210" i="17"/>
  <c r="V50" i="17"/>
  <c r="W60" i="18"/>
  <c r="W220" i="18" s="1"/>
  <c r="U296" i="17"/>
  <c r="U136" i="18" s="1"/>
  <c r="U136" i="17"/>
  <c r="W243" i="17"/>
  <c r="W83" i="17"/>
  <c r="W190" i="13"/>
  <c r="W30" i="14" s="1"/>
  <c r="W30" i="13"/>
  <c r="W246" i="13"/>
  <c r="W86" i="14" s="1"/>
  <c r="W86" i="13"/>
  <c r="W89" i="15"/>
  <c r="W296" i="17"/>
  <c r="W136" i="18" s="1"/>
  <c r="W303" i="18" s="1"/>
  <c r="W136" i="17"/>
  <c r="W215" i="13"/>
  <c r="W55" i="14" s="1"/>
  <c r="W55" i="15" s="1"/>
  <c r="W55" i="13"/>
  <c r="X176" i="12"/>
  <c r="X16" i="16" s="1"/>
  <c r="X242" i="12"/>
  <c r="X82" i="16" s="1"/>
  <c r="X174" i="12"/>
  <c r="X118" i="17"/>
  <c r="X278" i="17"/>
  <c r="X67" i="16"/>
  <c r="X67" i="13"/>
  <c r="X227" i="13"/>
  <c r="X257" i="13"/>
  <c r="X97" i="14" s="1"/>
  <c r="X97" i="15" s="1"/>
  <c r="X97" i="13"/>
  <c r="X31" i="16"/>
  <c r="X191" i="13"/>
  <c r="X31" i="14" s="1"/>
  <c r="X31" i="13"/>
  <c r="X39" i="16"/>
  <c r="X39" i="13"/>
  <c r="X199" i="13"/>
  <c r="X39" i="14" s="1"/>
  <c r="X111" i="16"/>
  <c r="X271" i="13"/>
  <c r="X111" i="14" s="1"/>
  <c r="X111" i="13"/>
  <c r="X119" i="17"/>
  <c r="X279" i="17"/>
  <c r="X263" i="12"/>
  <c r="T301" i="18"/>
  <c r="U311" i="18"/>
  <c r="W19" i="15"/>
  <c r="W199" i="17"/>
  <c r="W39" i="18" s="1"/>
  <c r="W39" i="17"/>
  <c r="W134" i="16"/>
  <c r="W294" i="13"/>
  <c r="W134" i="14" s="1"/>
  <c r="W134" i="13"/>
  <c r="V101" i="15"/>
  <c r="W129" i="17"/>
  <c r="W289" i="17"/>
  <c r="W129" i="18" s="1"/>
  <c r="W296" i="18" s="1"/>
  <c r="W127" i="15"/>
  <c r="W50" i="17"/>
  <c r="W210" i="17"/>
  <c r="W7" i="15"/>
  <c r="W42" i="15"/>
  <c r="W242" i="17"/>
  <c r="W82" i="18" s="1"/>
  <c r="W244" i="18" s="1"/>
  <c r="W82" i="17"/>
  <c r="V157" i="18"/>
  <c r="V328" i="18" s="1"/>
  <c r="V312" i="17"/>
  <c r="V152" i="17"/>
  <c r="V68" i="15"/>
  <c r="V68" i="18"/>
  <c r="V229" i="18" s="1"/>
  <c r="W111" i="15"/>
  <c r="W80" i="15"/>
  <c r="W9" i="13"/>
  <c r="W169" i="13"/>
  <c r="W9" i="14" s="1"/>
  <c r="W65" i="15"/>
  <c r="W65" i="18"/>
  <c r="W225" i="18" s="1"/>
  <c r="W281" i="17"/>
  <c r="W121" i="17"/>
  <c r="W35" i="17"/>
  <c r="W195" i="17"/>
  <c r="W35" i="18" s="1"/>
  <c r="W195" i="18" s="1"/>
  <c r="X35" i="13"/>
  <c r="X195" i="13"/>
  <c r="X35" i="14" s="1"/>
  <c r="X239" i="13"/>
  <c r="X79" i="14" s="1"/>
  <c r="X79" i="15" s="1"/>
  <c r="X79" i="13"/>
  <c r="X50" i="16"/>
  <c r="X50" i="13"/>
  <c r="X210" i="13"/>
  <c r="X50" i="14" s="1"/>
  <c r="X83" i="16"/>
  <c r="X83" i="13"/>
  <c r="X243" i="13"/>
  <c r="X83" i="14" s="1"/>
  <c r="X15" i="16"/>
  <c r="X15" i="13"/>
  <c r="X175" i="13"/>
  <c r="X15" i="14" s="1"/>
  <c r="V141" i="15"/>
  <c r="W13" i="13"/>
  <c r="W173" i="13"/>
  <c r="W13" i="14" s="1"/>
  <c r="W13" i="15" s="1"/>
  <c r="W16" i="17"/>
  <c r="W176" i="17"/>
  <c r="U179" i="18"/>
  <c r="U225" i="18"/>
  <c r="W265" i="17"/>
  <c r="W105" i="17"/>
  <c r="W122" i="17"/>
  <c r="W282" i="17"/>
  <c r="W116" i="15"/>
  <c r="V134" i="15"/>
  <c r="V134" i="18"/>
  <c r="V301" i="18" s="1"/>
  <c r="U7" i="15"/>
  <c r="W275" i="13"/>
  <c r="W115" i="14" s="1"/>
  <c r="W115" i="15" s="1"/>
  <c r="W115" i="13"/>
  <c r="W107" i="15"/>
  <c r="W92" i="16"/>
  <c r="W252" i="13"/>
  <c r="W92" i="14" s="1"/>
  <c r="W92" i="13"/>
  <c r="T202" i="18"/>
  <c r="V5" i="15"/>
  <c r="W254" i="17"/>
  <c r="W94" i="17"/>
  <c r="W87" i="17"/>
  <c r="W247" i="17"/>
  <c r="Y157" i="11"/>
  <c r="Y317" i="12"/>
  <c r="Y105" i="11"/>
  <c r="Y265" i="12"/>
  <c r="Y99" i="11"/>
  <c r="Y259" i="12"/>
  <c r="Y39" i="10"/>
  <c r="Y54" i="11"/>
  <c r="Y214" i="12"/>
  <c r="Y54" i="16" s="1"/>
  <c r="Y142" i="11"/>
  <c r="Y302" i="12"/>
  <c r="Y142" i="16" s="1"/>
  <c r="Y130" i="11"/>
  <c r="Y290" i="12"/>
  <c r="Y130" i="16" s="1"/>
  <c r="Y147" i="10"/>
  <c r="Y147" i="11" s="1"/>
  <c r="Y41" i="11"/>
  <c r="Y201" i="12"/>
  <c r="Y31" i="11"/>
  <c r="Y191" i="12"/>
  <c r="Y120" i="10"/>
  <c r="Y280" i="12" s="1"/>
  <c r="Y152" i="11"/>
  <c r="Y312" i="12"/>
  <c r="Y118" i="10"/>
  <c r="Y278" i="12" s="1"/>
  <c r="Y67" i="10"/>
  <c r="Y13" i="11"/>
  <c r="Y173" i="12"/>
  <c r="Y23" i="11"/>
  <c r="Y183" i="12"/>
  <c r="Y150" i="10"/>
  <c r="Y310" i="12" s="1"/>
  <c r="Y89" i="11"/>
  <c r="Y249" i="12"/>
  <c r="Y62" i="10"/>
  <c r="Y62" i="11" s="1"/>
  <c r="Y155" i="11"/>
  <c r="Y315" i="12"/>
  <c r="Y20" i="10"/>
  <c r="Y180" i="12" s="1"/>
  <c r="Y98" i="11"/>
  <c r="Y258" i="12"/>
  <c r="Y114" i="10"/>
  <c r="Y114" i="11" s="1"/>
  <c r="Y106" i="11"/>
  <c r="Y266" i="12"/>
  <c r="Y60" i="11"/>
  <c r="Y220" i="12"/>
  <c r="Y60" i="16" s="1"/>
  <c r="Y29" i="10"/>
  <c r="Y189" i="12" s="1"/>
  <c r="G4" i="37"/>
  <c r="AA116" i="6"/>
  <c r="AA29" i="6"/>
  <c r="AA145" i="6"/>
  <c r="AA87" i="6"/>
  <c r="AA90" i="6"/>
  <c r="AA117" i="6"/>
  <c r="AA8" i="6"/>
  <c r="AA20" i="6"/>
  <c r="AA80" i="6"/>
  <c r="AA82" i="6"/>
  <c r="AA35" i="6"/>
  <c r="AA134" i="6"/>
  <c r="AA106" i="6"/>
  <c r="AA158" i="6"/>
  <c r="AA121" i="6"/>
  <c r="AA55" i="6"/>
  <c r="AA92" i="6"/>
  <c r="AA148" i="6"/>
  <c r="AA155" i="6"/>
  <c r="AA101" i="6"/>
  <c r="AA42" i="6"/>
  <c r="AA62" i="6"/>
  <c r="AA57" i="6"/>
  <c r="AA13" i="6"/>
  <c r="AA98" i="6"/>
  <c r="AA18" i="6"/>
  <c r="AA14" i="6"/>
  <c r="AA16" i="6"/>
  <c r="AA60" i="6"/>
  <c r="AA22" i="6"/>
  <c r="AA86" i="6"/>
  <c r="AA73" i="6"/>
  <c r="AA94" i="6"/>
  <c r="AA44" i="6"/>
  <c r="AA19" i="6"/>
  <c r="AA154" i="6"/>
  <c r="AA99" i="6"/>
  <c r="AA65" i="6"/>
  <c r="AA157" i="6"/>
  <c r="AA139" i="6"/>
  <c r="AA63" i="6"/>
  <c r="AA39" i="6"/>
  <c r="AA43" i="6"/>
  <c r="AA10" i="6"/>
  <c r="AA103" i="6"/>
  <c r="AA67" i="6"/>
  <c r="AA125" i="6"/>
  <c r="AA149" i="6"/>
  <c r="AA130" i="6"/>
  <c r="AA34" i="6"/>
  <c r="AA156" i="6"/>
  <c r="AA136" i="6"/>
  <c r="AA70" i="6"/>
  <c r="AA91" i="6"/>
  <c r="AA118" i="6"/>
  <c r="AA31" i="6"/>
  <c r="AA23" i="6"/>
  <c r="AA122" i="6"/>
  <c r="AA131" i="6"/>
  <c r="AA52" i="6"/>
  <c r="AA89" i="6"/>
  <c r="AA97" i="6"/>
  <c r="AA142" i="6"/>
  <c r="AA48" i="6"/>
  <c r="AA53" i="6"/>
  <c r="AA152" i="6"/>
  <c r="AA30" i="6"/>
  <c r="AA150" i="6"/>
  <c r="AA12" i="6"/>
  <c r="AA107" i="6"/>
  <c r="AA7" i="6"/>
  <c r="AA5" i="6"/>
  <c r="AA115" i="6"/>
  <c r="AA141" i="6"/>
  <c r="AA127" i="6"/>
  <c r="AA50" i="6"/>
  <c r="AA108" i="6"/>
  <c r="AA138" i="6"/>
  <c r="AA93" i="6"/>
  <c r="AA119" i="6"/>
  <c r="AA68" i="6"/>
  <c r="AA114" i="6"/>
  <c r="AA105" i="6"/>
  <c r="AA69" i="6"/>
  <c r="AA124" i="6"/>
  <c r="AA111" i="6"/>
  <c r="AA45" i="6"/>
  <c r="AA76" i="6"/>
  <c r="AA79" i="6"/>
  <c r="AA120" i="6"/>
  <c r="AA74" i="6"/>
  <c r="AA54" i="6"/>
  <c r="AA123" i="6"/>
  <c r="AA81" i="6"/>
  <c r="AA41" i="6"/>
  <c r="AA26" i="6"/>
  <c r="AA147" i="6"/>
  <c r="AA95" i="6"/>
  <c r="AA146" i="6"/>
  <c r="AA9" i="6"/>
  <c r="AA109" i="6"/>
  <c r="AA129" i="6"/>
  <c r="AA83" i="6"/>
  <c r="AA15" i="6"/>
  <c r="AA49" i="6"/>
  <c r="AA47" i="6"/>
  <c r="X217" i="13"/>
  <c r="X57" i="14" s="1"/>
  <c r="X57" i="15" s="1"/>
  <c r="X57" i="13"/>
  <c r="X158" i="16"/>
  <c r="X318" i="13"/>
  <c r="X158" i="14" s="1"/>
  <c r="X158" i="13"/>
  <c r="X249" i="12"/>
  <c r="X190" i="13"/>
  <c r="X30" i="14" s="1"/>
  <c r="X30" i="15" s="1"/>
  <c r="X30" i="13"/>
  <c r="X81" i="16"/>
  <c r="X241" i="13"/>
  <c r="X81" i="14" s="1"/>
  <c r="X81" i="13"/>
  <c r="X19" i="16"/>
  <c r="X179" i="13"/>
  <c r="X19" i="14" s="1"/>
  <c r="X19" i="13"/>
  <c r="X47" i="16"/>
  <c r="X207" i="13"/>
  <c r="X47" i="14" s="1"/>
  <c r="X47" i="13"/>
  <c r="X34" i="16"/>
  <c r="X34" i="13"/>
  <c r="X194" i="13"/>
  <c r="X34" i="14" s="1"/>
  <c r="U13" i="15"/>
  <c r="W268" i="17"/>
  <c r="W108" i="17"/>
  <c r="W43" i="15"/>
  <c r="W114" i="15"/>
  <c r="W174" i="17"/>
  <c r="W14" i="18" s="1"/>
  <c r="W174" i="18" s="1"/>
  <c r="W14" i="17"/>
  <c r="V142" i="18"/>
  <c r="V311" i="18" s="1"/>
  <c r="V15" i="18"/>
  <c r="V175" i="18" s="1"/>
  <c r="W29" i="14"/>
  <c r="V101" i="17"/>
  <c r="V261" i="17"/>
  <c r="V101" i="18" s="1"/>
  <c r="V266" i="18" s="1"/>
  <c r="V148" i="18"/>
  <c r="V148" i="15"/>
  <c r="W81" i="13"/>
  <c r="W241" i="13"/>
  <c r="W81" i="14" s="1"/>
  <c r="W76" i="17"/>
  <c r="W236" i="17"/>
  <c r="W76" i="18" s="1"/>
  <c r="W237" i="18" s="1"/>
  <c r="U291" i="17"/>
  <c r="U131" i="18" s="1"/>
  <c r="U131" i="17"/>
  <c r="W209" i="17"/>
  <c r="W49" i="18" s="1"/>
  <c r="W209" i="18" s="1"/>
  <c r="W49" i="17"/>
  <c r="X220" i="12"/>
  <c r="X60" i="16" s="1"/>
  <c r="X98" i="13"/>
  <c r="X258" i="13"/>
  <c r="X98" i="14" s="1"/>
  <c r="X98" i="15" s="1"/>
  <c r="X310" i="12"/>
  <c r="X251" i="13"/>
  <c r="X91" i="14" s="1"/>
  <c r="X91" i="15" s="1"/>
  <c r="X91" i="13"/>
  <c r="X183" i="12"/>
  <c r="X23" i="16" s="1"/>
  <c r="X9" i="11"/>
  <c r="X127" i="16"/>
  <c r="X287" i="13"/>
  <c r="X127" i="14" s="1"/>
  <c r="X127" i="13"/>
  <c r="X54" i="16"/>
  <c r="X54" i="13"/>
  <c r="X214" i="13"/>
  <c r="X54" i="14" s="1"/>
  <c r="X63" i="16"/>
  <c r="X223" i="13"/>
  <c r="X63" i="14" s="1"/>
  <c r="X63" i="13"/>
  <c r="V209" i="13"/>
  <c r="V49" i="14" s="1"/>
  <c r="V49" i="15" s="1"/>
  <c r="V49" i="13"/>
  <c r="U13" i="17"/>
  <c r="U173" i="17"/>
  <c r="U13" i="18" s="1"/>
  <c r="W147" i="17"/>
  <c r="W307" i="17"/>
  <c r="W147" i="18" s="1"/>
  <c r="W316" i="18" s="1"/>
  <c r="W208" i="13"/>
  <c r="W48" i="14" s="1"/>
  <c r="W48" i="13"/>
  <c r="W117" i="17"/>
  <c r="W277" i="17"/>
  <c r="W117" i="18" s="1"/>
  <c r="W284" i="18" s="1"/>
  <c r="V249" i="17"/>
  <c r="V89" i="18" s="1"/>
  <c r="V89" i="17"/>
  <c r="W154" i="15"/>
  <c r="V60" i="18"/>
  <c r="V220" i="18" s="1"/>
  <c r="V60" i="15"/>
  <c r="T245" i="18"/>
  <c r="W165" i="12"/>
  <c r="W79" i="15"/>
  <c r="T183" i="18"/>
  <c r="W149" i="15"/>
  <c r="W70" i="15"/>
  <c r="W249" i="17"/>
  <c r="W89" i="18" s="1"/>
  <c r="W253" i="18" s="1"/>
  <c r="W89" i="17"/>
  <c r="X94" i="16"/>
  <c r="X94" i="13"/>
  <c r="X254" i="13"/>
  <c r="X94" i="14" s="1"/>
  <c r="X106" i="16"/>
  <c r="X106" i="13"/>
  <c r="X266" i="13"/>
  <c r="X106" i="14" s="1"/>
  <c r="X148" i="11"/>
  <c r="X118" i="13"/>
  <c r="X278" i="13"/>
  <c r="X118" i="14" s="1"/>
  <c r="X118" i="15" s="1"/>
  <c r="X141" i="16"/>
  <c r="X301" i="13"/>
  <c r="X141" i="14" s="1"/>
  <c r="X141" i="13"/>
  <c r="X107" i="11"/>
  <c r="X279" i="13"/>
  <c r="X119" i="14" s="1"/>
  <c r="X119" i="15" s="1"/>
  <c r="X119" i="13"/>
  <c r="X146" i="16"/>
  <c r="X146" i="13"/>
  <c r="X306" i="13"/>
  <c r="X146" i="14" s="1"/>
  <c r="V103" i="15"/>
  <c r="V103" i="18"/>
  <c r="V269" i="18" s="1"/>
  <c r="V138" i="18"/>
  <c r="W157" i="17"/>
  <c r="W317" i="17"/>
  <c r="W157" i="18" s="1"/>
  <c r="W328" i="18" s="1"/>
  <c r="W19" i="17"/>
  <c r="W179" i="17"/>
  <c r="W19" i="18" s="1"/>
  <c r="W91" i="15"/>
  <c r="T189" i="18"/>
  <c r="W120" i="18"/>
  <c r="W127" i="17"/>
  <c r="W287" i="17"/>
  <c r="W127" i="18" s="1"/>
  <c r="W294" i="18" s="1"/>
  <c r="W142" i="15"/>
  <c r="W167" i="17"/>
  <c r="W7" i="18" s="1"/>
  <c r="W167" i="18" s="1"/>
  <c r="W7" i="17"/>
  <c r="W90" i="15"/>
  <c r="W202" i="17"/>
  <c r="W42" i="18" s="1"/>
  <c r="W42" i="17"/>
  <c r="V86" i="18"/>
  <c r="V250" i="18" s="1"/>
  <c r="V152" i="13"/>
  <c r="V312" i="13"/>
  <c r="V152" i="14" s="1"/>
  <c r="W240" i="17"/>
  <c r="W80" i="18" s="1"/>
  <c r="W242" i="18" s="1"/>
  <c r="W80" i="17"/>
  <c r="W148" i="18"/>
  <c r="W317" i="18" s="1"/>
  <c r="W148" i="15"/>
  <c r="V107" i="15"/>
  <c r="W316" i="17"/>
  <c r="W156" i="18" s="1"/>
  <c r="W327" i="18" s="1"/>
  <c r="W156" i="17"/>
  <c r="W123" i="15"/>
  <c r="W281" i="13"/>
  <c r="W121" i="14" s="1"/>
  <c r="W121" i="15" s="1"/>
  <c r="W121" i="13"/>
  <c r="X145" i="11"/>
  <c r="X42" i="11"/>
  <c r="X80" i="16"/>
  <c r="X80" i="13"/>
  <c r="X240" i="13"/>
  <c r="X80" i="14" s="1"/>
  <c r="X5" i="11"/>
  <c r="X165" i="12"/>
  <c r="X298" i="12"/>
  <c r="X138" i="16" s="1"/>
  <c r="X205" i="12"/>
  <c r="X45" i="16" s="1"/>
  <c r="V301" i="17"/>
  <c r="V141" i="18" s="1"/>
  <c r="V141" i="17"/>
  <c r="T209" i="18"/>
  <c r="W98" i="14"/>
  <c r="W265" i="13"/>
  <c r="W105" i="14" s="1"/>
  <c r="W105" i="13"/>
  <c r="W119" i="17"/>
  <c r="W279" i="17"/>
  <c r="W122" i="13"/>
  <c r="W282" i="13"/>
  <c r="W122" i="14" s="1"/>
  <c r="V10" i="15"/>
  <c r="T165" i="18"/>
  <c r="W74" i="15"/>
  <c r="W76" i="15"/>
  <c r="W23" i="14"/>
  <c r="V41" i="18"/>
  <c r="V201" i="18" s="1"/>
  <c r="V41" i="15"/>
  <c r="V165" i="17"/>
  <c r="V5" i="18" s="1"/>
  <c r="V165" i="18" s="1"/>
  <c r="V5" i="17"/>
  <c r="W259" i="17"/>
  <c r="W99" i="18" s="1"/>
  <c r="W99" i="17"/>
  <c r="W278" i="17"/>
  <c r="W118" i="18" s="1"/>
  <c r="W285" i="18" s="1"/>
  <c r="W118" i="17"/>
  <c r="W94" i="13"/>
  <c r="W254" i="13"/>
  <c r="W94" i="14" s="1"/>
  <c r="W87" i="13"/>
  <c r="W247" i="13"/>
  <c r="W87" i="14" s="1"/>
  <c r="W87" i="15" s="1"/>
  <c r="Y141" i="11"/>
  <c r="Y301" i="12"/>
  <c r="Y34" i="10"/>
  <c r="Y103" i="10"/>
  <c r="Y103" i="11" s="1"/>
  <c r="Y109" i="10"/>
  <c r="Y269" i="12" s="1"/>
  <c r="Y74" i="11"/>
  <c r="Y234" i="12"/>
  <c r="Y146" i="10"/>
  <c r="Y119" i="10"/>
  <c r="Y119" i="11" s="1"/>
  <c r="Y83" i="10"/>
  <c r="Y10" i="11"/>
  <c r="Y170" i="12"/>
  <c r="Y115" i="10"/>
  <c r="Y68" i="11"/>
  <c r="Y228" i="12"/>
  <c r="Y68" i="16" s="1"/>
  <c r="Y122" i="11"/>
  <c r="Y282" i="12"/>
  <c r="Y80" i="10"/>
  <c r="Y240" i="12" s="1"/>
  <c r="Y97" i="10"/>
  <c r="Y257" i="12" s="1"/>
  <c r="Y91" i="10"/>
  <c r="Y91" i="11" s="1"/>
  <c r="Y107" i="11"/>
  <c r="Y267" i="12"/>
  <c r="Y107" i="16" s="1"/>
  <c r="Y30" i="10"/>
  <c r="Y9" i="11"/>
  <c r="Y169" i="12"/>
  <c r="Y148" i="11"/>
  <c r="Y308" i="12"/>
  <c r="Y148" i="16" s="1"/>
  <c r="Y134" i="11"/>
  <c r="Y294" i="12"/>
  <c r="Y87" i="11"/>
  <c r="Y247" i="12"/>
  <c r="Y87" i="16" s="1"/>
  <c r="Y90" i="10"/>
  <c r="Y250" i="12" s="1"/>
  <c r="Y73" i="10"/>
  <c r="Y233" i="12" s="1"/>
  <c r="Y16" i="10"/>
  <c r="Y55" i="10"/>
  <c r="Y55" i="11" s="1"/>
  <c r="Y86" i="10"/>
  <c r="Y246" i="12" s="1"/>
  <c r="X18" i="16"/>
  <c r="X18" i="13"/>
  <c r="X178" i="13"/>
  <c r="X18" i="14" s="1"/>
  <c r="X131" i="16"/>
  <c r="X291" i="13"/>
  <c r="X131" i="14" s="1"/>
  <c r="X131" i="13"/>
  <c r="X268" i="12"/>
  <c r="X124" i="16"/>
  <c r="X124" i="13"/>
  <c r="X284" i="13"/>
  <c r="X124" i="14" s="1"/>
  <c r="X147" i="16"/>
  <c r="X147" i="13"/>
  <c r="X307" i="13"/>
  <c r="X147" i="14" s="1"/>
  <c r="V26" i="18"/>
  <c r="V186" i="18" s="1"/>
  <c r="W274" i="17"/>
  <c r="W114" i="18" s="1"/>
  <c r="W281" i="18" s="1"/>
  <c r="W114" i="17"/>
  <c r="W53" i="15"/>
  <c r="V156" i="18"/>
  <c r="W68" i="18"/>
  <c r="W229" i="18" s="1"/>
  <c r="W68" i="15"/>
  <c r="V170" i="17"/>
  <c r="V10" i="18" s="1"/>
  <c r="V170" i="18" s="1"/>
  <c r="V10" i="17"/>
  <c r="V290" i="18"/>
  <c r="W41" i="16"/>
  <c r="W41" i="13"/>
  <c r="W201" i="13"/>
  <c r="W41" i="14" s="1"/>
  <c r="W158" i="15"/>
  <c r="W158" i="18"/>
  <c r="W329" i="18" s="1"/>
  <c r="U105" i="17"/>
  <c r="U265" i="17"/>
  <c r="U105" i="18" s="1"/>
  <c r="V93" i="18"/>
  <c r="V93" i="15"/>
  <c r="V172" i="17"/>
  <c r="V12" i="17"/>
  <c r="W204" i="13"/>
  <c r="W44" i="14" s="1"/>
  <c r="W44" i="15" s="1"/>
  <c r="W44" i="13"/>
  <c r="W101" i="14"/>
  <c r="X116" i="14"/>
  <c r="X121" i="16"/>
  <c r="X121" i="13"/>
  <c r="X281" i="13"/>
  <c r="X121" i="14" s="1"/>
  <c r="X68" i="16"/>
  <c r="X228" i="13"/>
  <c r="X68" i="14" s="1"/>
  <c r="X68" i="13"/>
  <c r="X13" i="16"/>
  <c r="X13" i="13"/>
  <c r="X173" i="13"/>
  <c r="X13" i="14" s="1"/>
  <c r="X52" i="16"/>
  <c r="X52" i="13"/>
  <c r="X212" i="13"/>
  <c r="X52" i="14" s="1"/>
  <c r="X201" i="17"/>
  <c r="X41" i="18" s="1"/>
  <c r="X201" i="18" s="1"/>
  <c r="X41" i="17"/>
  <c r="X170" i="12"/>
  <c r="X10" i="16" s="1"/>
  <c r="X9" i="16"/>
  <c r="X169" i="13"/>
  <c r="X9" i="14" s="1"/>
  <c r="X9" i="13"/>
  <c r="V129" i="18"/>
  <c r="V129" i="15"/>
  <c r="W175" i="13"/>
  <c r="W15" i="14" s="1"/>
  <c r="W15" i="13"/>
  <c r="W285" i="17"/>
  <c r="W125" i="17"/>
  <c r="W213" i="17"/>
  <c r="W53" i="18" s="1"/>
  <c r="W213" i="18" s="1"/>
  <c r="W53" i="17"/>
  <c r="W18" i="15"/>
  <c r="W18" i="18"/>
  <c r="W178" i="18" s="1"/>
  <c r="V122" i="15"/>
  <c r="V122" i="18"/>
  <c r="T244" i="18"/>
  <c r="V50" i="18"/>
  <c r="V210" i="18" s="1"/>
  <c r="V50" i="15"/>
  <c r="W314" i="17"/>
  <c r="W154" i="18" s="1"/>
  <c r="W154" i="17"/>
  <c r="W67" i="17"/>
  <c r="W227" i="17"/>
  <c r="W312" i="17"/>
  <c r="W152" i="18" s="1"/>
  <c r="W322" i="18" s="1"/>
  <c r="W152" i="17"/>
  <c r="W83" i="15"/>
  <c r="W83" i="18"/>
  <c r="W245" i="18" s="1"/>
  <c r="W79" i="17"/>
  <c r="W239" i="17"/>
  <c r="W79" i="18" s="1"/>
  <c r="W241" i="18" s="1"/>
  <c r="W20" i="16"/>
  <c r="W20" i="13"/>
  <c r="W180" i="13"/>
  <c r="W20" i="14" s="1"/>
  <c r="W145" i="18"/>
  <c r="W314" i="18" s="1"/>
  <c r="W145" i="15"/>
  <c r="V23" i="15"/>
  <c r="V23" i="18"/>
  <c r="V183" i="18" s="1"/>
  <c r="V105" i="15"/>
  <c r="V105" i="18"/>
  <c r="V271" i="18" s="1"/>
  <c r="W309" i="17"/>
  <c r="W149" i="18" s="1"/>
  <c r="W318" i="18" s="1"/>
  <c r="W149" i="17"/>
  <c r="W230" i="17"/>
  <c r="W70" i="18" s="1"/>
  <c r="W231" i="18" s="1"/>
  <c r="W70" i="17"/>
  <c r="W62" i="16"/>
  <c r="W62" i="13"/>
  <c r="W222" i="13"/>
  <c r="W62" i="14" s="1"/>
  <c r="X148" i="16"/>
  <c r="X308" i="13"/>
  <c r="X148" i="13"/>
  <c r="X222" i="13"/>
  <c r="X62" i="14" s="1"/>
  <c r="X62" i="15" s="1"/>
  <c r="X62" i="13"/>
  <c r="X107" i="16"/>
  <c r="X107" i="13"/>
  <c r="X267" i="13"/>
  <c r="X123" i="16"/>
  <c r="X283" i="13"/>
  <c r="X123" i="14" s="1"/>
  <c r="X123" i="13"/>
  <c r="X69" i="16"/>
  <c r="X69" i="13"/>
  <c r="X229" i="13"/>
  <c r="X69" i="14" s="1"/>
  <c r="X26" i="16"/>
  <c r="X186" i="13"/>
  <c r="X26" i="14" s="1"/>
  <c r="X26" i="13"/>
  <c r="X265" i="12"/>
  <c r="X105" i="16" s="1"/>
  <c r="U43" i="18"/>
  <c r="U43" i="15"/>
  <c r="V139" i="18"/>
  <c r="V307" i="18" s="1"/>
  <c r="W251" i="17"/>
  <c r="W91" i="18" s="1"/>
  <c r="W255" i="18" s="1"/>
  <c r="W91" i="17"/>
  <c r="W50" i="18"/>
  <c r="W210" i="18" s="1"/>
  <c r="W50" i="15"/>
  <c r="W109" i="15"/>
  <c r="W109" i="18"/>
  <c r="W275" i="18" s="1"/>
  <c r="W302" i="17"/>
  <c r="W142" i="18" s="1"/>
  <c r="W311" i="18" s="1"/>
  <c r="W142" i="17"/>
  <c r="W250" i="17"/>
  <c r="W90" i="18" s="1"/>
  <c r="W254" i="18" s="1"/>
  <c r="W90" i="17"/>
  <c r="U150" i="15"/>
  <c r="U150" i="18"/>
  <c r="W271" i="17"/>
  <c r="W111" i="18" s="1"/>
  <c r="W278" i="18" s="1"/>
  <c r="W111" i="17"/>
  <c r="V267" i="17"/>
  <c r="V107" i="18" s="1"/>
  <c r="V273" i="18" s="1"/>
  <c r="V107" i="17"/>
  <c r="T322" i="18"/>
  <c r="W26" i="13"/>
  <c r="W186" i="13"/>
  <c r="W26" i="14" s="1"/>
  <c r="W283" i="17"/>
  <c r="W123" i="18" s="1"/>
  <c r="W123" i="17"/>
  <c r="X145" i="16"/>
  <c r="X305" i="13"/>
  <c r="X145" i="13"/>
  <c r="X233" i="12"/>
  <c r="X73" i="16" s="1"/>
  <c r="X117" i="17"/>
  <c r="X277" i="17"/>
  <c r="X117" i="18" s="1"/>
  <c r="X284" i="18" s="1"/>
  <c r="X250" i="12"/>
  <c r="X42" i="16"/>
  <c r="X42" i="13"/>
  <c r="X202" i="13"/>
  <c r="X42" i="14" s="1"/>
  <c r="X44" i="16"/>
  <c r="X204" i="13"/>
  <c r="X44" i="14" s="1"/>
  <c r="X44" i="15" s="1"/>
  <c r="X44" i="13"/>
  <c r="X156" i="16"/>
  <c r="X156" i="13"/>
  <c r="X316" i="13"/>
  <c r="X156" i="14" s="1"/>
  <c r="X280" i="13"/>
  <c r="X120" i="14" s="1"/>
  <c r="X120" i="15" s="1"/>
  <c r="X120" i="13"/>
  <c r="X314" i="17"/>
  <c r="X154" i="18" s="1"/>
  <c r="X325" i="18" s="1"/>
  <c r="X154" i="17"/>
  <c r="X139" i="13"/>
  <c r="X299" i="13"/>
  <c r="X139" i="14" s="1"/>
  <c r="X139" i="15" s="1"/>
  <c r="W63" i="16"/>
  <c r="W223" i="13"/>
  <c r="W63" i="14" s="1"/>
  <c r="W63" i="13"/>
  <c r="W290" i="17"/>
  <c r="W130" i="17"/>
  <c r="W12" i="17"/>
  <c r="W172" i="17"/>
  <c r="W12" i="18" s="1"/>
  <c r="W172" i="18" s="1"/>
  <c r="W16" i="18"/>
  <c r="W176" i="18" s="1"/>
  <c r="W16" i="15"/>
  <c r="T170" i="18"/>
  <c r="T328" i="18"/>
  <c r="V109" i="18"/>
  <c r="V275" i="18" s="1"/>
  <c r="W45" i="16"/>
  <c r="W45" i="13"/>
  <c r="W205" i="13"/>
  <c r="W45" i="14" s="1"/>
  <c r="W217" i="17"/>
  <c r="W57" i="17"/>
  <c r="W34" i="15"/>
  <c r="W34" i="18"/>
  <c r="W194" i="18" s="1"/>
  <c r="W234" i="17"/>
  <c r="W74" i="18" s="1"/>
  <c r="W74" i="17"/>
  <c r="W182" i="13"/>
  <c r="W22" i="14" s="1"/>
  <c r="W22" i="15" s="1"/>
  <c r="W22" i="13"/>
  <c r="V35" i="15"/>
  <c r="W261" i="17"/>
  <c r="W101" i="17"/>
  <c r="Y15" i="10"/>
  <c r="Y175" i="12" s="1"/>
  <c r="Y129" i="11"/>
  <c r="Y289" i="12"/>
  <c r="Y149" i="10"/>
  <c r="Y309" i="12" s="1"/>
  <c r="Y49" i="11"/>
  <c r="Y209" i="12"/>
  <c r="Y127" i="11"/>
  <c r="Y287" i="12"/>
  <c r="Y45" i="10"/>
  <c r="Y205" i="12" s="1"/>
  <c r="Y44" i="10"/>
  <c r="Y44" i="11" s="1"/>
  <c r="Y93" i="10"/>
  <c r="Y253" i="12" s="1"/>
  <c r="Y50" i="11"/>
  <c r="Y210" i="12"/>
  <c r="Y123" i="11"/>
  <c r="Y283" i="12"/>
  <c r="Y111" i="10"/>
  <c r="Y111" i="11" s="1"/>
  <c r="Y138" i="11"/>
  <c r="Y298" i="12"/>
  <c r="Y12" i="11"/>
  <c r="Y172" i="12"/>
  <c r="Y124" i="10"/>
  <c r="Y284" i="12" s="1"/>
  <c r="Y70" i="11"/>
  <c r="Y230" i="12"/>
  <c r="Y70" i="16" s="1"/>
  <c r="Y65" i="11"/>
  <c r="Y225" i="12"/>
  <c r="Y48" i="10"/>
  <c r="Y48" i="11" s="1"/>
  <c r="Y5" i="9"/>
  <c r="Z159" i="6"/>
  <c r="Y53" i="11"/>
  <c r="Y213" i="12"/>
  <c r="Y18" i="11"/>
  <c r="Y178" i="12"/>
  <c r="Y35" i="10"/>
  <c r="Y195" i="12" s="1"/>
  <c r="Y22" i="11"/>
  <c r="Y182" i="12"/>
  <c r="Y14" i="10"/>
  <c r="Y14" i="11" s="1"/>
  <c r="Y42" i="11"/>
  <c r="Y202" i="12"/>
  <c r="Y42" i="16" s="1"/>
  <c r="Y57" i="10"/>
  <c r="Y57" i="11" s="1"/>
  <c r="Y117" i="11"/>
  <c r="Y277" i="12"/>
  <c r="Y116" i="11"/>
  <c r="Y276" i="12"/>
  <c r="X252" i="12"/>
  <c r="X92" i="16" s="1"/>
  <c r="X134" i="14"/>
  <c r="X261" i="17"/>
  <c r="X101" i="18" s="1"/>
  <c r="X266" i="18" s="1"/>
  <c r="X101" i="17"/>
  <c r="X172" i="12"/>
  <c r="X12" i="16" s="1"/>
  <c r="X70" i="16"/>
  <c r="X70" i="13"/>
  <c r="X230" i="13"/>
  <c r="X70" i="14" s="1"/>
  <c r="X130" i="16"/>
  <c r="X290" i="13"/>
  <c r="X130" i="14" s="1"/>
  <c r="X130" i="13"/>
  <c r="X114" i="16"/>
  <c r="X274" i="13"/>
  <c r="X114" i="14" s="1"/>
  <c r="X114" i="13"/>
  <c r="X49" i="16"/>
  <c r="X49" i="13"/>
  <c r="X209" i="13"/>
  <c r="X49" i="14" s="1"/>
  <c r="V55" i="18"/>
  <c r="V55" i="15"/>
  <c r="W108" i="15"/>
  <c r="W108" i="18"/>
  <c r="W274" i="18" s="1"/>
  <c r="W10" i="18"/>
  <c r="W170" i="18" s="1"/>
  <c r="W43" i="17"/>
  <c r="W203" i="17"/>
  <c r="W43" i="18" s="1"/>
  <c r="W203" i="18" s="1"/>
  <c r="W106" i="18"/>
  <c r="W272" i="18" s="1"/>
  <c r="V14" i="18"/>
  <c r="V174" i="18" s="1"/>
  <c r="W141" i="18"/>
  <c r="W310" i="18" s="1"/>
  <c r="V30" i="18"/>
  <c r="V190" i="18" s="1"/>
  <c r="O321" i="1"/>
  <c r="D88" i="31" s="1"/>
  <c r="T397" i="1"/>
  <c r="R397" i="1"/>
  <c r="AF321" i="1"/>
  <c r="AO321" i="1"/>
  <c r="C321" i="1" s="1"/>
  <c r="P321" i="1"/>
  <c r="B70" i="6"/>
  <c r="D70" i="37" s="1"/>
  <c r="A70" i="37" s="1"/>
  <c r="D69" i="6"/>
  <c r="B69" i="20"/>
  <c r="B69" i="10"/>
  <c r="B69" i="15"/>
  <c r="B69" i="16"/>
  <c r="B229" i="17"/>
  <c r="B69" i="17"/>
  <c r="B230" i="18"/>
  <c r="B229" i="12"/>
  <c r="B69" i="13"/>
  <c r="B69" i="12"/>
  <c r="B69" i="14"/>
  <c r="B69" i="9"/>
  <c r="B69" i="11"/>
  <c r="B69" i="18"/>
  <c r="B229" i="13"/>
  <c r="E215" i="1"/>
  <c r="AO215" i="1" s="1"/>
  <c r="C215" i="1" s="1"/>
  <c r="E211" i="1"/>
  <c r="Y35" i="11" l="1"/>
  <c r="Y29" i="11"/>
  <c r="Y97" i="11"/>
  <c r="X74" i="14"/>
  <c r="X145" i="14"/>
  <c r="Y20" i="11"/>
  <c r="Y150" i="11"/>
  <c r="Y93" i="11"/>
  <c r="Y45" i="11"/>
  <c r="X69" i="15"/>
  <c r="Y80" i="11"/>
  <c r="Y118" i="11"/>
  <c r="Y120" i="11"/>
  <c r="U271" i="18"/>
  <c r="W94" i="15"/>
  <c r="W94" i="18"/>
  <c r="W105" i="15"/>
  <c r="W105" i="18"/>
  <c r="W271" i="18" s="1"/>
  <c r="V310" i="18"/>
  <c r="W202" i="18"/>
  <c r="U298" i="18"/>
  <c r="Y220" i="17"/>
  <c r="Y60" i="17"/>
  <c r="X7" i="17"/>
  <c r="X167" i="17"/>
  <c r="W325" i="18"/>
  <c r="X147" i="15"/>
  <c r="Y267" i="17"/>
  <c r="Y107" i="17"/>
  <c r="W263" i="18"/>
  <c r="X205" i="17"/>
  <c r="X45" i="17"/>
  <c r="U303" i="18"/>
  <c r="V231" i="18"/>
  <c r="Y47" i="17"/>
  <c r="Y207" i="17"/>
  <c r="X312" i="17"/>
  <c r="X152" i="17"/>
  <c r="X282" i="17"/>
  <c r="X122" i="17"/>
  <c r="X215" i="17"/>
  <c r="X55" i="17"/>
  <c r="Y202" i="17"/>
  <c r="Y42" i="17"/>
  <c r="W235" i="18"/>
  <c r="W290" i="18"/>
  <c r="X298" i="17"/>
  <c r="X138" i="17"/>
  <c r="W179" i="18"/>
  <c r="Y290" i="17"/>
  <c r="Y130" i="17"/>
  <c r="W199" i="18"/>
  <c r="X82" i="17"/>
  <c r="X242" i="17"/>
  <c r="V318" i="18"/>
  <c r="Y76" i="17"/>
  <c r="Y236" i="17"/>
  <c r="X172" i="17"/>
  <c r="X12" i="17"/>
  <c r="X18" i="15"/>
  <c r="Y247" i="17"/>
  <c r="Y87" i="17"/>
  <c r="W122" i="15"/>
  <c r="W122" i="18"/>
  <c r="W289" i="18" s="1"/>
  <c r="V253" i="18"/>
  <c r="Y214" i="17"/>
  <c r="Y54" i="17"/>
  <c r="V215" i="18"/>
  <c r="X209" i="17"/>
  <c r="X49" i="18" s="1"/>
  <c r="X209" i="18" s="1"/>
  <c r="X49" i="17"/>
  <c r="X274" i="17"/>
  <c r="X114" i="17"/>
  <c r="X134" i="15"/>
  <c r="Y276" i="13"/>
  <c r="Y116" i="14" s="1"/>
  <c r="Y116" i="13"/>
  <c r="Y5" i="10"/>
  <c r="Y5" i="11" s="1"/>
  <c r="Y124" i="11"/>
  <c r="Y138" i="16"/>
  <c r="Y138" i="13"/>
  <c r="Y298" i="13"/>
  <c r="Y138" i="14" s="1"/>
  <c r="Y123" i="16"/>
  <c r="Y123" i="13"/>
  <c r="Y283" i="13"/>
  <c r="Y123" i="14" s="1"/>
  <c r="Y149" i="16"/>
  <c r="Y309" i="13"/>
  <c r="Y149" i="13"/>
  <c r="Y15" i="16"/>
  <c r="Y175" i="13"/>
  <c r="Y15" i="13"/>
  <c r="X233" i="17"/>
  <c r="X73" i="17"/>
  <c r="X305" i="17"/>
  <c r="X145" i="18" s="1"/>
  <c r="X314" i="18" s="1"/>
  <c r="X145" i="17"/>
  <c r="X105" i="17"/>
  <c r="X265" i="17"/>
  <c r="X186" i="17"/>
  <c r="X26" i="18" s="1"/>
  <c r="X186" i="18" s="1"/>
  <c r="X26" i="17"/>
  <c r="W62" i="15"/>
  <c r="W15" i="15"/>
  <c r="W15" i="18"/>
  <c r="W175" i="18" s="1"/>
  <c r="X9" i="15"/>
  <c r="X212" i="17"/>
  <c r="X52" i="17"/>
  <c r="W101" i="15"/>
  <c r="W101" i="18"/>
  <c r="W266" i="18" s="1"/>
  <c r="X124" i="15"/>
  <c r="X268" i="13"/>
  <c r="X108" i="14" s="1"/>
  <c r="X108" i="13"/>
  <c r="Y86" i="16"/>
  <c r="Y246" i="13"/>
  <c r="Y86" i="13"/>
  <c r="Y176" i="12"/>
  <c r="Y16" i="16" s="1"/>
  <c r="Y90" i="16"/>
  <c r="Y250" i="13"/>
  <c r="Y90" i="13"/>
  <c r="Y134" i="16"/>
  <c r="Y134" i="13"/>
  <c r="Y294" i="13"/>
  <c r="Y134" i="14" s="1"/>
  <c r="Y190" i="12"/>
  <c r="Y30" i="16" s="1"/>
  <c r="Y228" i="17"/>
  <c r="Y68" i="17"/>
  <c r="Y275" i="12"/>
  <c r="Y115" i="16" s="1"/>
  <c r="Y243" i="12"/>
  <c r="Y306" i="12"/>
  <c r="Y146" i="16" s="1"/>
  <c r="Y109" i="16"/>
  <c r="Y109" i="13"/>
  <c r="Y269" i="13"/>
  <c r="Y194" i="12"/>
  <c r="X80" i="15"/>
  <c r="X141" i="15"/>
  <c r="X148" i="14"/>
  <c r="X94" i="15"/>
  <c r="W165" i="13"/>
  <c r="W5" i="14" s="1"/>
  <c r="W5" i="13"/>
  <c r="U173" i="18"/>
  <c r="X287" i="17"/>
  <c r="X127" i="17"/>
  <c r="W81" i="15"/>
  <c r="W81" i="18"/>
  <c r="V317" i="18"/>
  <c r="X194" i="17"/>
  <c r="X34" i="17"/>
  <c r="X207" i="17"/>
  <c r="X47" i="18" s="1"/>
  <c r="X207" i="18" s="1"/>
  <c r="X47" i="17"/>
  <c r="X249" i="13"/>
  <c r="X89" i="14" s="1"/>
  <c r="X89" i="13"/>
  <c r="G49" i="37"/>
  <c r="Z49" i="9"/>
  <c r="E49" i="20"/>
  <c r="AE192" i="1" s="1"/>
  <c r="G109" i="37"/>
  <c r="Z109" i="9"/>
  <c r="E109" i="20"/>
  <c r="G147" i="37"/>
  <c r="Z147" i="9"/>
  <c r="E147" i="20"/>
  <c r="G123" i="37"/>
  <c r="Z123" i="9"/>
  <c r="E123" i="20"/>
  <c r="G79" i="37"/>
  <c r="Z79" i="9"/>
  <c r="E79" i="20"/>
  <c r="G124" i="37"/>
  <c r="Z124" i="9"/>
  <c r="E124" i="20"/>
  <c r="G68" i="37"/>
  <c r="Z68" i="9"/>
  <c r="E68" i="20"/>
  <c r="G108" i="37"/>
  <c r="Z108" i="9"/>
  <c r="E108" i="20"/>
  <c r="G115" i="37"/>
  <c r="Z115" i="9"/>
  <c r="E115" i="20"/>
  <c r="G12" i="37"/>
  <c r="Z12" i="9"/>
  <c r="E12" i="20"/>
  <c r="AE445" i="1" s="1"/>
  <c r="G53" i="37"/>
  <c r="Z53" i="9"/>
  <c r="E53" i="20"/>
  <c r="AE495" i="1" s="1"/>
  <c r="G89" i="37"/>
  <c r="Z89" i="9"/>
  <c r="E89" i="20"/>
  <c r="G23" i="37"/>
  <c r="Z23" i="9"/>
  <c r="E23" i="20"/>
  <c r="AE457" i="1" s="1"/>
  <c r="G70" i="37"/>
  <c r="Z70" i="9"/>
  <c r="E70" i="20"/>
  <c r="G130" i="37"/>
  <c r="Z130" i="9"/>
  <c r="E130" i="20"/>
  <c r="G103" i="37"/>
  <c r="Z103" i="9"/>
  <c r="E103" i="20"/>
  <c r="G63" i="37"/>
  <c r="Z63" i="9"/>
  <c r="E63" i="20"/>
  <c r="AE440" i="1" s="1"/>
  <c r="G99" i="37"/>
  <c r="Z99" i="9"/>
  <c r="E99" i="20"/>
  <c r="G94" i="37"/>
  <c r="Z94" i="9"/>
  <c r="E94" i="20"/>
  <c r="G60" i="37"/>
  <c r="Z60" i="9"/>
  <c r="E60" i="20"/>
  <c r="G98" i="37"/>
  <c r="Z98" i="9"/>
  <c r="E98" i="20"/>
  <c r="G42" i="37"/>
  <c r="Z42" i="9"/>
  <c r="E42" i="20"/>
  <c r="G92" i="37"/>
  <c r="Z92" i="9"/>
  <c r="E92" i="20"/>
  <c r="G106" i="37"/>
  <c r="Z106" i="9"/>
  <c r="E106" i="20"/>
  <c r="G80" i="37"/>
  <c r="Z80" i="9"/>
  <c r="E80" i="20"/>
  <c r="G90" i="37"/>
  <c r="Z90" i="9"/>
  <c r="E90" i="20"/>
  <c r="G116" i="37"/>
  <c r="Z116" i="9"/>
  <c r="E116" i="20"/>
  <c r="Y227" i="12"/>
  <c r="Y67" i="16" s="1"/>
  <c r="Y191" i="13"/>
  <c r="Y31" i="14" s="1"/>
  <c r="Y31" i="13"/>
  <c r="Y199" i="12"/>
  <c r="Y39" i="16" s="1"/>
  <c r="X83" i="15"/>
  <c r="W294" i="17"/>
  <c r="W134" i="17"/>
  <c r="X263" i="13"/>
  <c r="X103" i="14" s="1"/>
  <c r="X103" i="13"/>
  <c r="X111" i="15"/>
  <c r="X199" i="17"/>
  <c r="X39" i="17"/>
  <c r="X227" i="17"/>
  <c r="X67" i="17"/>
  <c r="X174" i="13"/>
  <c r="X14" i="14" s="1"/>
  <c r="X14" i="13"/>
  <c r="X176" i="17"/>
  <c r="X16" i="17"/>
  <c r="X142" i="17"/>
  <c r="X302" i="17"/>
  <c r="X48" i="15"/>
  <c r="X155" i="17"/>
  <c r="X315" i="17"/>
  <c r="W73" i="18"/>
  <c r="W234" i="18" s="1"/>
  <c r="W73" i="15"/>
  <c r="W57" i="18"/>
  <c r="W217" i="18" s="1"/>
  <c r="W57" i="15"/>
  <c r="U217" i="18"/>
  <c r="X157" i="15"/>
  <c r="X253" i="13"/>
  <c r="X93" i="14" s="1"/>
  <c r="X93" i="13"/>
  <c r="X65" i="13"/>
  <c r="X225" i="13"/>
  <c r="X65" i="14" s="1"/>
  <c r="X182" i="17"/>
  <c r="X22" i="17"/>
  <c r="Y101" i="16"/>
  <c r="Y101" i="13"/>
  <c r="Y261" i="13"/>
  <c r="Y8" i="16"/>
  <c r="Y168" i="13"/>
  <c r="Y8" i="14" s="1"/>
  <c r="Y8" i="13"/>
  <c r="Y131" i="11"/>
  <c r="Y156" i="16"/>
  <c r="Y316" i="13"/>
  <c r="Y156" i="14" s="1"/>
  <c r="Y156" i="13"/>
  <c r="Y179" i="12"/>
  <c r="Y255" i="12"/>
  <c r="Y95" i="16" s="1"/>
  <c r="Y139" i="16"/>
  <c r="Y139" i="13"/>
  <c r="Y299" i="13"/>
  <c r="Y139" i="14" s="1"/>
  <c r="W124" i="15"/>
  <c r="W130" i="18"/>
  <c r="W297" i="18" s="1"/>
  <c r="W130" i="15"/>
  <c r="X275" i="13"/>
  <c r="X115" i="14" s="1"/>
  <c r="X115" i="13"/>
  <c r="X20" i="15"/>
  <c r="X87" i="15"/>
  <c r="X99" i="17"/>
  <c r="X259" i="17"/>
  <c r="X8" i="17"/>
  <c r="X168" i="17"/>
  <c r="W67" i="18"/>
  <c r="W228" i="18" s="1"/>
  <c r="W67" i="15"/>
  <c r="X309" i="17"/>
  <c r="X149" i="18" s="1"/>
  <c r="X318" i="18" s="1"/>
  <c r="X149" i="17"/>
  <c r="X53" i="13"/>
  <c r="X213" i="13"/>
  <c r="X53" i="14" s="1"/>
  <c r="V12" i="15"/>
  <c r="V12" i="18"/>
  <c r="X30" i="18"/>
  <c r="X190" i="18" s="1"/>
  <c r="X79" i="18"/>
  <c r="X241" i="18" s="1"/>
  <c r="X139" i="18"/>
  <c r="X307" i="18" s="1"/>
  <c r="X62" i="18"/>
  <c r="X222" i="18" s="1"/>
  <c r="X95" i="18"/>
  <c r="X259" i="18" s="1"/>
  <c r="X70" i="15"/>
  <c r="X12" i="13"/>
  <c r="X172" i="13"/>
  <c r="X12" i="14" s="1"/>
  <c r="X92" i="17"/>
  <c r="X252" i="17"/>
  <c r="Y217" i="12"/>
  <c r="Y57" i="16" s="1"/>
  <c r="Y53" i="16"/>
  <c r="Y213" i="13"/>
  <c r="Y53" i="14" s="1"/>
  <c r="Y53" i="13"/>
  <c r="Y230" i="17"/>
  <c r="Y70" i="17"/>
  <c r="Y124" i="16"/>
  <c r="Y284" i="13"/>
  <c r="Y124" i="13"/>
  <c r="Y93" i="16"/>
  <c r="Y253" i="13"/>
  <c r="Y93" i="14" s="1"/>
  <c r="Y93" i="13"/>
  <c r="Y45" i="16"/>
  <c r="Y45" i="13"/>
  <c r="Y205" i="13"/>
  <c r="Y49" i="16"/>
  <c r="Y49" i="13"/>
  <c r="Y209" i="13"/>
  <c r="Y49" i="14" s="1"/>
  <c r="Y129" i="16"/>
  <c r="Y289" i="13"/>
  <c r="Y129" i="14" s="1"/>
  <c r="Y129" i="13"/>
  <c r="W45" i="15"/>
  <c r="W63" i="15"/>
  <c r="X156" i="15"/>
  <c r="X42" i="15"/>
  <c r="X90" i="16"/>
  <c r="X250" i="13"/>
  <c r="X90" i="14" s="1"/>
  <c r="X90" i="13"/>
  <c r="X233" i="13"/>
  <c r="X73" i="14" s="1"/>
  <c r="X73" i="13"/>
  <c r="U319" i="18"/>
  <c r="X265" i="13"/>
  <c r="X105" i="14" s="1"/>
  <c r="X105" i="15" s="1"/>
  <c r="X105" i="13"/>
  <c r="X123" i="15"/>
  <c r="W20" i="15"/>
  <c r="X9" i="17"/>
  <c r="X169" i="17"/>
  <c r="X9" i="18" s="1"/>
  <c r="X169" i="18" s="1"/>
  <c r="X13" i="15"/>
  <c r="X68" i="15"/>
  <c r="X281" i="17"/>
  <c r="X121" i="17"/>
  <c r="W41" i="17"/>
  <c r="W201" i="17"/>
  <c r="Y73" i="11"/>
  <c r="Y9" i="16"/>
  <c r="Y169" i="13"/>
  <c r="Y9" i="14" s="1"/>
  <c r="Y9" i="13"/>
  <c r="Y251" i="12"/>
  <c r="Y91" i="16"/>
  <c r="Y80" i="16"/>
  <c r="Y240" i="13"/>
  <c r="Y80" i="13"/>
  <c r="Y68" i="13"/>
  <c r="Y228" i="13"/>
  <c r="Y68" i="14" s="1"/>
  <c r="Y68" i="15" s="1"/>
  <c r="Y10" i="16"/>
  <c r="Y10" i="13"/>
  <c r="Y170" i="13"/>
  <c r="Y10" i="14" s="1"/>
  <c r="Y74" i="16"/>
  <c r="Y234" i="13"/>
  <c r="Y74" i="14" s="1"/>
  <c r="Y74" i="13"/>
  <c r="Y141" i="16"/>
  <c r="Y141" i="13"/>
  <c r="Y301" i="13"/>
  <c r="Y141" i="14" s="1"/>
  <c r="X298" i="13"/>
  <c r="X138" i="14" s="1"/>
  <c r="X138" i="13"/>
  <c r="X146" i="15"/>
  <c r="X301" i="17"/>
  <c r="X141" i="18" s="1"/>
  <c r="X310" i="18" s="1"/>
  <c r="X141" i="17"/>
  <c r="X106" i="15"/>
  <c r="W48" i="15"/>
  <c r="W48" i="18"/>
  <c r="W208" i="18" s="1"/>
  <c r="X63" i="15"/>
  <c r="X54" i="17"/>
  <c r="X214" i="17"/>
  <c r="X81" i="15"/>
  <c r="G15" i="37"/>
  <c r="Z15" i="9"/>
  <c r="E15" i="20"/>
  <c r="AE430" i="1" s="1"/>
  <c r="AE432" i="1" s="1"/>
  <c r="G9" i="37"/>
  <c r="Z9" i="9"/>
  <c r="E9" i="20"/>
  <c r="AE423" i="1" s="1"/>
  <c r="G26" i="37"/>
  <c r="Z26" i="9"/>
  <c r="E26" i="20"/>
  <c r="AE460" i="1" s="1"/>
  <c r="G54" i="37"/>
  <c r="Z54" i="9"/>
  <c r="E54" i="20"/>
  <c r="AE37" i="1" s="1"/>
  <c r="G76" i="37"/>
  <c r="Z76" i="9"/>
  <c r="E76" i="20"/>
  <c r="G69" i="37"/>
  <c r="Z69" i="9"/>
  <c r="E69" i="20"/>
  <c r="G119" i="37"/>
  <c r="Z119" i="9"/>
  <c r="E119" i="20"/>
  <c r="G50" i="37"/>
  <c r="Z50" i="9"/>
  <c r="E50" i="20"/>
  <c r="AE25" i="1" s="1"/>
  <c r="G5" i="37"/>
  <c r="Z5" i="9"/>
  <c r="AA159" i="6"/>
  <c r="E5" i="20"/>
  <c r="AE437" i="1" s="1"/>
  <c r="G150" i="37"/>
  <c r="Z150" i="9"/>
  <c r="E150" i="20"/>
  <c r="G48" i="37"/>
  <c r="Z48" i="9"/>
  <c r="E48" i="20"/>
  <c r="G52" i="37"/>
  <c r="Z52" i="9"/>
  <c r="E52" i="20"/>
  <c r="AE223" i="1" s="1"/>
  <c r="G31" i="37"/>
  <c r="Z31" i="9"/>
  <c r="E31" i="20"/>
  <c r="AE104" i="1" s="1"/>
  <c r="G136" i="37"/>
  <c r="Z136" i="9"/>
  <c r="E136" i="20"/>
  <c r="G149" i="37"/>
  <c r="Z149" i="9"/>
  <c r="E149" i="20"/>
  <c r="G10" i="37"/>
  <c r="Z10" i="9"/>
  <c r="E10" i="20"/>
  <c r="AE442" i="1" s="1"/>
  <c r="G139" i="37"/>
  <c r="Z139" i="9"/>
  <c r="E139" i="20"/>
  <c r="G154" i="37"/>
  <c r="Z154" i="9"/>
  <c r="E154" i="20"/>
  <c r="Z73" i="9"/>
  <c r="G73" i="37"/>
  <c r="E73" i="20"/>
  <c r="G16" i="37"/>
  <c r="Z16" i="9"/>
  <c r="E16" i="20"/>
  <c r="AE448" i="1" s="1"/>
  <c r="G13" i="37"/>
  <c r="Z13" i="9"/>
  <c r="E13" i="20"/>
  <c r="AE446" i="1" s="1"/>
  <c r="Z101" i="9"/>
  <c r="G101" i="37"/>
  <c r="E101" i="20"/>
  <c r="G55" i="37"/>
  <c r="Z55" i="9"/>
  <c r="E55" i="20"/>
  <c r="AE290" i="1" s="1"/>
  <c r="G134" i="37"/>
  <c r="Z134" i="9"/>
  <c r="E134" i="20"/>
  <c r="G20" i="37"/>
  <c r="Z20" i="9"/>
  <c r="E20" i="20"/>
  <c r="AE452" i="1" s="1"/>
  <c r="G87" i="37"/>
  <c r="Z87" i="9"/>
  <c r="E87" i="20"/>
  <c r="Y60" i="13"/>
  <c r="Y220" i="13"/>
  <c r="Y60" i="14" s="1"/>
  <c r="Y60" i="15" s="1"/>
  <c r="Y13" i="16"/>
  <c r="Y13" i="13"/>
  <c r="Y173" i="13"/>
  <c r="Y13" i="14" s="1"/>
  <c r="Y307" i="12"/>
  <c r="Y302" i="17"/>
  <c r="Y142" i="17"/>
  <c r="Y214" i="13"/>
  <c r="Y54" i="14" s="1"/>
  <c r="Y54" i="15" s="1"/>
  <c r="Y54" i="13"/>
  <c r="Y99" i="16"/>
  <c r="Y259" i="13"/>
  <c r="Y99" i="14" s="1"/>
  <c r="Y99" i="13"/>
  <c r="Y157" i="16"/>
  <c r="Y157" i="13"/>
  <c r="Y317" i="13"/>
  <c r="Y157" i="14" s="1"/>
  <c r="W92" i="15"/>
  <c r="X15" i="15"/>
  <c r="X210" i="17"/>
  <c r="X50" i="17"/>
  <c r="X35" i="18"/>
  <c r="X195" i="18" s="1"/>
  <c r="X35" i="15"/>
  <c r="W9" i="15"/>
  <c r="W9" i="18"/>
  <c r="X119" i="18"/>
  <c r="X286" i="18" s="1"/>
  <c r="X271" i="17"/>
  <c r="X111" i="18" s="1"/>
  <c r="X278" i="18" s="1"/>
  <c r="X111" i="17"/>
  <c r="X118" i="18"/>
  <c r="X285" i="18" s="1"/>
  <c r="X16" i="13"/>
  <c r="X176" i="13"/>
  <c r="X16" i="14" s="1"/>
  <c r="W86" i="15"/>
  <c r="W86" i="18"/>
  <c r="W250" i="18" s="1"/>
  <c r="X43" i="17"/>
  <c r="X203" i="17"/>
  <c r="X302" i="13"/>
  <c r="X142" i="14" s="1"/>
  <c r="X142" i="13"/>
  <c r="X208" i="17"/>
  <c r="X48" i="18" s="1"/>
  <c r="X208" i="18" s="1"/>
  <c r="X48" i="17"/>
  <c r="X98" i="18"/>
  <c r="X262" i="18" s="1"/>
  <c r="X236" i="17"/>
  <c r="X76" i="17"/>
  <c r="X294" i="17"/>
  <c r="X134" i="18" s="1"/>
  <c r="X301" i="18" s="1"/>
  <c r="X134" i="17"/>
  <c r="Y92" i="16"/>
  <c r="Y92" i="13"/>
  <c r="Y252" i="13"/>
  <c r="Y92" i="14" s="1"/>
  <c r="Y281" i="17"/>
  <c r="Y121" i="17"/>
  <c r="Y305" i="12"/>
  <c r="Y145" i="16" s="1"/>
  <c r="Y131" i="16"/>
  <c r="Y291" i="13"/>
  <c r="Y131" i="13"/>
  <c r="Y285" i="12"/>
  <c r="Y125" i="16" s="1"/>
  <c r="Y236" i="13"/>
  <c r="Y76" i="14" s="1"/>
  <c r="Y76" i="15" s="1"/>
  <c r="Y76" i="13"/>
  <c r="Y43" i="17"/>
  <c r="Y203" i="17"/>
  <c r="Y186" i="12"/>
  <c r="Y81" i="16"/>
  <c r="Y81" i="13"/>
  <c r="Y241" i="13"/>
  <c r="Y81" i="14" s="1"/>
  <c r="W124" i="17"/>
  <c r="W284" i="17"/>
  <c r="W124" i="18" s="1"/>
  <c r="W291" i="18" s="1"/>
  <c r="X167" i="13"/>
  <c r="X7" i="14" s="1"/>
  <c r="X7" i="15" s="1"/>
  <c r="X7" i="13"/>
  <c r="X125" i="15"/>
  <c r="X20" i="17"/>
  <c r="X180" i="17"/>
  <c r="X20" i="18" s="1"/>
  <c r="X180" i="18" s="1"/>
  <c r="X109" i="15"/>
  <c r="X122" i="13"/>
  <c r="X282" i="13"/>
  <c r="X122" i="14" s="1"/>
  <c r="X296" i="17"/>
  <c r="X136" i="17"/>
  <c r="X129" i="17"/>
  <c r="X289" i="17"/>
  <c r="X129" i="18" s="1"/>
  <c r="X296" i="18" s="1"/>
  <c r="W115" i="18"/>
  <c r="W44" i="18"/>
  <c r="W204" i="18" s="1"/>
  <c r="W55" i="18"/>
  <c r="W215" i="18" s="1"/>
  <c r="W103" i="18"/>
  <c r="W269" i="18" s="1"/>
  <c r="X49" i="15"/>
  <c r="X130" i="15"/>
  <c r="X252" i="13"/>
  <c r="X92" i="14" s="1"/>
  <c r="X92" i="15" s="1"/>
  <c r="X92" i="13"/>
  <c r="Y117" i="16"/>
  <c r="Y277" i="13"/>
  <c r="Y117" i="14" s="1"/>
  <c r="Y117" i="13"/>
  <c r="Y174" i="12"/>
  <c r="Y35" i="16"/>
  <c r="Y35" i="13"/>
  <c r="Y195" i="13"/>
  <c r="Y35" i="14" s="1"/>
  <c r="Y208" i="12"/>
  <c r="Y48" i="16" s="1"/>
  <c r="Y230" i="13"/>
  <c r="Y70" i="14" s="1"/>
  <c r="Y70" i="15" s="1"/>
  <c r="Y70" i="13"/>
  <c r="Y12" i="16"/>
  <c r="Y172" i="13"/>
  <c r="Y12" i="14" s="1"/>
  <c r="Y12" i="13"/>
  <c r="Y50" i="16"/>
  <c r="Y210" i="13"/>
  <c r="Y50" i="14" s="1"/>
  <c r="Y50" i="13"/>
  <c r="W223" i="17"/>
  <c r="W63" i="18" s="1"/>
  <c r="W63" i="17"/>
  <c r="U203" i="18"/>
  <c r="X123" i="17"/>
  <c r="X283" i="17"/>
  <c r="X123" i="18" s="1"/>
  <c r="X267" i="17"/>
  <c r="X107" i="17"/>
  <c r="W62" i="17"/>
  <c r="W222" i="17"/>
  <c r="W62" i="18" s="1"/>
  <c r="W222" i="18" s="1"/>
  <c r="V296" i="18"/>
  <c r="X10" i="17"/>
  <c r="X170" i="17"/>
  <c r="X52" i="15"/>
  <c r="X52" i="18"/>
  <c r="X212" i="18" s="1"/>
  <c r="X228" i="17"/>
  <c r="X68" i="18" s="1"/>
  <c r="X229" i="18" s="1"/>
  <c r="X68" i="17"/>
  <c r="V257" i="18"/>
  <c r="X284" i="17"/>
  <c r="X124" i="18" s="1"/>
  <c r="X291" i="18" s="1"/>
  <c r="X124" i="17"/>
  <c r="X131" i="15"/>
  <c r="X18" i="17"/>
  <c r="X178" i="17"/>
  <c r="X18" i="18" s="1"/>
  <c r="X178" i="18" s="1"/>
  <c r="Y215" i="12"/>
  <c r="Y55" i="16" s="1"/>
  <c r="Y73" i="16"/>
  <c r="Y73" i="13"/>
  <c r="Y233" i="13"/>
  <c r="Y247" i="13"/>
  <c r="Y87" i="14" s="1"/>
  <c r="Y87" i="15" s="1"/>
  <c r="Y87" i="13"/>
  <c r="Y308" i="17"/>
  <c r="Y148" i="17"/>
  <c r="Y267" i="13"/>
  <c r="Y107" i="14" s="1"/>
  <c r="Y107" i="15" s="1"/>
  <c r="Y107" i="13"/>
  <c r="Y122" i="16"/>
  <c r="Y282" i="13"/>
  <c r="Y122" i="14" s="1"/>
  <c r="Y122" i="13"/>
  <c r="Y279" i="12"/>
  <c r="Y263" i="12"/>
  <c r="Y103" i="16" s="1"/>
  <c r="X205" i="13"/>
  <c r="X45" i="14" s="1"/>
  <c r="X45" i="15" s="1"/>
  <c r="X45" i="13"/>
  <c r="X5" i="16"/>
  <c r="X165" i="13"/>
  <c r="X5" i="14" s="1"/>
  <c r="X5" i="13"/>
  <c r="X240" i="17"/>
  <c r="X80" i="18" s="1"/>
  <c r="X242" i="18" s="1"/>
  <c r="X80" i="17"/>
  <c r="V152" i="15"/>
  <c r="V152" i="18"/>
  <c r="V306" i="18"/>
  <c r="X107" i="14"/>
  <c r="X254" i="17"/>
  <c r="X94" i="18" s="1"/>
  <c r="X258" i="18" s="1"/>
  <c r="X94" i="17"/>
  <c r="X223" i="17"/>
  <c r="X63" i="18" s="1"/>
  <c r="X223" i="18" s="1"/>
  <c r="X63" i="17"/>
  <c r="X183" i="17"/>
  <c r="X23" i="17"/>
  <c r="X220" i="17"/>
  <c r="X60" i="17"/>
  <c r="X34" i="18"/>
  <c r="X194" i="18" s="1"/>
  <c r="X34" i="15"/>
  <c r="X19" i="15"/>
  <c r="X81" i="17"/>
  <c r="X241" i="17"/>
  <c r="X81" i="18" s="1"/>
  <c r="X243" i="18" s="1"/>
  <c r="X158" i="15"/>
  <c r="G83" i="37"/>
  <c r="Z83" i="9"/>
  <c r="E83" i="20"/>
  <c r="G146" i="37"/>
  <c r="Z146" i="9"/>
  <c r="E146" i="20"/>
  <c r="G41" i="37"/>
  <c r="Z41" i="9"/>
  <c r="E41" i="20"/>
  <c r="AE411" i="1" s="1"/>
  <c r="G74" i="37"/>
  <c r="Z74" i="9"/>
  <c r="E74" i="20"/>
  <c r="G45" i="37"/>
  <c r="Z45" i="9"/>
  <c r="E45" i="20"/>
  <c r="G105" i="37"/>
  <c r="Z105" i="9"/>
  <c r="E105" i="20"/>
  <c r="G93" i="37"/>
  <c r="Z93" i="9"/>
  <c r="E93" i="20"/>
  <c r="G127" i="37"/>
  <c r="Z127" i="9"/>
  <c r="E127" i="20"/>
  <c r="G7" i="37"/>
  <c r="Z7" i="9"/>
  <c r="E7" i="20"/>
  <c r="AE439" i="1" s="1"/>
  <c r="G30" i="37"/>
  <c r="Z30" i="9"/>
  <c r="E30" i="20"/>
  <c r="G142" i="37"/>
  <c r="Z142" i="9"/>
  <c r="E142" i="20"/>
  <c r="Z131" i="9"/>
  <c r="G131" i="37"/>
  <c r="E131" i="20"/>
  <c r="G118" i="37"/>
  <c r="Z118" i="9"/>
  <c r="E118" i="20"/>
  <c r="G156" i="37"/>
  <c r="Z156" i="9"/>
  <c r="E156" i="20"/>
  <c r="G125" i="37"/>
  <c r="Z125" i="9"/>
  <c r="E125" i="20"/>
  <c r="G43" i="37"/>
  <c r="Z43" i="9"/>
  <c r="E43" i="20"/>
  <c r="AE38" i="1" s="1"/>
  <c r="G157" i="37"/>
  <c r="Z157" i="9"/>
  <c r="E157" i="20"/>
  <c r="G19" i="37"/>
  <c r="Z19" i="9"/>
  <c r="E19" i="20"/>
  <c r="AE451" i="1" s="1"/>
  <c r="G86" i="37"/>
  <c r="Z86" i="9"/>
  <c r="E86" i="20"/>
  <c r="Z14" i="9"/>
  <c r="G14" i="37"/>
  <c r="E14" i="20"/>
  <c r="AE447" i="1" s="1"/>
  <c r="G57" i="37"/>
  <c r="Z57" i="9"/>
  <c r="E57" i="20"/>
  <c r="AE250" i="1" s="1"/>
  <c r="G155" i="37"/>
  <c r="Z155" i="9"/>
  <c r="E155" i="20"/>
  <c r="G121" i="37"/>
  <c r="Z121" i="9"/>
  <c r="E121" i="20"/>
  <c r="G35" i="37"/>
  <c r="Z35" i="9"/>
  <c r="E35" i="20"/>
  <c r="AE50" i="1" s="1"/>
  <c r="G8" i="37"/>
  <c r="Z8" i="9"/>
  <c r="E8" i="20"/>
  <c r="AE441" i="1" s="1"/>
  <c r="G145" i="37"/>
  <c r="Z145" i="9"/>
  <c r="E145" i="20"/>
  <c r="Y274" i="12"/>
  <c r="Y114" i="16" s="1"/>
  <c r="Y20" i="16"/>
  <c r="Y20" i="13"/>
  <c r="Y180" i="13"/>
  <c r="Y20" i="14" s="1"/>
  <c r="Y222" i="12"/>
  <c r="Y62" i="16" s="1"/>
  <c r="Y150" i="16"/>
  <c r="Y310" i="13"/>
  <c r="Y150" i="14" s="1"/>
  <c r="Y150" i="13"/>
  <c r="Y118" i="16"/>
  <c r="Y118" i="13"/>
  <c r="Y278" i="13"/>
  <c r="Y118" i="14" s="1"/>
  <c r="Y120" i="16"/>
  <c r="Y280" i="13"/>
  <c r="Y120" i="14" s="1"/>
  <c r="Y120" i="13"/>
  <c r="Y41" i="16"/>
  <c r="Y201" i="13"/>
  <c r="Y41" i="14" s="1"/>
  <c r="Y41" i="13"/>
  <c r="Y142" i="13"/>
  <c r="Y302" i="13"/>
  <c r="Y142" i="14" s="1"/>
  <c r="Y142" i="15" s="1"/>
  <c r="W252" i="17"/>
  <c r="W92" i="18" s="1"/>
  <c r="W256" i="18" s="1"/>
  <c r="W92" i="17"/>
  <c r="X83" i="17"/>
  <c r="X243" i="17"/>
  <c r="X83" i="18" s="1"/>
  <c r="X245" i="18" s="1"/>
  <c r="W121" i="18"/>
  <c r="W288" i="18" s="1"/>
  <c r="X39" i="18"/>
  <c r="X199" i="18" s="1"/>
  <c r="X39" i="15"/>
  <c r="X31" i="15"/>
  <c r="V49" i="18"/>
  <c r="V209" i="18" s="1"/>
  <c r="X43" i="13"/>
  <c r="X203" i="13"/>
  <c r="X43" i="14" s="1"/>
  <c r="X91" i="18"/>
  <c r="X255" i="18" s="1"/>
  <c r="X29" i="15"/>
  <c r="B72" i="22"/>
  <c r="D71" i="22"/>
  <c r="X317" i="17"/>
  <c r="X157" i="18" s="1"/>
  <c r="X328" i="18" s="1"/>
  <c r="X157" i="17"/>
  <c r="X76" i="13"/>
  <c r="X236" i="13"/>
  <c r="X76" i="14" s="1"/>
  <c r="X76" i="15" s="1"/>
  <c r="Y254" i="12"/>
  <c r="Y94" i="16" s="1"/>
  <c r="Y281" i="13"/>
  <c r="Y121" i="14" s="1"/>
  <c r="Y121" i="15" s="1"/>
  <c r="Y121" i="13"/>
  <c r="Y82" i="11"/>
  <c r="Y79" i="16"/>
  <c r="Y239" i="13"/>
  <c r="Y79" i="14" s="1"/>
  <c r="Y79" i="13"/>
  <c r="Y136" i="11"/>
  <c r="Y52" i="11"/>
  <c r="Y43" i="13"/>
  <c r="Y203" i="13"/>
  <c r="Y43" i="14" s="1"/>
  <c r="Y43" i="15" s="1"/>
  <c r="Y229" i="12"/>
  <c r="Y69" i="16" s="1"/>
  <c r="Y154" i="16"/>
  <c r="Y314" i="13"/>
  <c r="Y154" i="14" s="1"/>
  <c r="Y154" i="13"/>
  <c r="W189" i="17"/>
  <c r="W29" i="18" s="1"/>
  <c r="W29" i="17"/>
  <c r="W119" i="18"/>
  <c r="W286" i="18" s="1"/>
  <c r="W119" i="15"/>
  <c r="X74" i="15"/>
  <c r="X125" i="17"/>
  <c r="X285" i="17"/>
  <c r="X125" i="18" s="1"/>
  <c r="X292" i="18" s="1"/>
  <c r="X87" i="17"/>
  <c r="X247" i="17"/>
  <c r="X87" i="18" s="1"/>
  <c r="X251" i="18" s="1"/>
  <c r="W52" i="15"/>
  <c r="X67" i="14"/>
  <c r="V294" i="18"/>
  <c r="X149" i="15"/>
  <c r="X276" i="17"/>
  <c r="X116" i="17"/>
  <c r="V213" i="18"/>
  <c r="W13" i="18"/>
  <c r="W173" i="18" s="1"/>
  <c r="U255" i="18"/>
  <c r="X114" i="18"/>
  <c r="X281" i="18" s="1"/>
  <c r="X114" i="15"/>
  <c r="X290" i="17"/>
  <c r="X130" i="18" s="1"/>
  <c r="X297" i="18" s="1"/>
  <c r="X130" i="17"/>
  <c r="X230" i="17"/>
  <c r="X70" i="18" s="1"/>
  <c r="X231" i="18" s="1"/>
  <c r="X70" i="17"/>
  <c r="Y116" i="16"/>
  <c r="Y202" i="13"/>
  <c r="Y42" i="14" s="1"/>
  <c r="Y42" i="15" s="1"/>
  <c r="Y42" i="13"/>
  <c r="Y22" i="16"/>
  <c r="Y182" i="13"/>
  <c r="Y22" i="14" s="1"/>
  <c r="Y22" i="13"/>
  <c r="Y18" i="16"/>
  <c r="Y178" i="13"/>
  <c r="Y18" i="14" s="1"/>
  <c r="Y18" i="13"/>
  <c r="Y65" i="16"/>
  <c r="Y225" i="13"/>
  <c r="Y65" i="14" s="1"/>
  <c r="Y65" i="13"/>
  <c r="Y271" i="12"/>
  <c r="Y111" i="16" s="1"/>
  <c r="Y204" i="12"/>
  <c r="Y44" i="16" s="1"/>
  <c r="Y127" i="16"/>
  <c r="Y127" i="13"/>
  <c r="Y287" i="13"/>
  <c r="Y127" i="14" s="1"/>
  <c r="Y149" i="11"/>
  <c r="Y15" i="11"/>
  <c r="W205" i="17"/>
  <c r="W45" i="18" s="1"/>
  <c r="W45" i="17"/>
  <c r="X156" i="17"/>
  <c r="X316" i="17"/>
  <c r="X156" i="18" s="1"/>
  <c r="X327" i="18" s="1"/>
  <c r="X204" i="17"/>
  <c r="X44" i="18" s="1"/>
  <c r="X204" i="18" s="1"/>
  <c r="X44" i="17"/>
  <c r="X202" i="17"/>
  <c r="X42" i="18" s="1"/>
  <c r="X202" i="18" s="1"/>
  <c r="X42" i="17"/>
  <c r="X145" i="15"/>
  <c r="W26" i="15"/>
  <c r="W26" i="18"/>
  <c r="W186" i="18" s="1"/>
  <c r="X26" i="15"/>
  <c r="X229" i="17"/>
  <c r="X69" i="18" s="1"/>
  <c r="X230" i="18" s="1"/>
  <c r="X69" i="17"/>
  <c r="X308" i="17"/>
  <c r="X148" i="17"/>
  <c r="W20" i="17"/>
  <c r="W180" i="17"/>
  <c r="W20" i="18" s="1"/>
  <c r="W180" i="18" s="1"/>
  <c r="V289" i="18"/>
  <c r="X170" i="13"/>
  <c r="X10" i="14" s="1"/>
  <c r="X10" i="15" s="1"/>
  <c r="X10" i="13"/>
  <c r="X13" i="17"/>
  <c r="X173" i="17"/>
  <c r="X13" i="18" s="1"/>
  <c r="X173" i="18" s="1"/>
  <c r="X121" i="15"/>
  <c r="X121" i="18"/>
  <c r="X288" i="18" s="1"/>
  <c r="X116" i="15"/>
  <c r="X116" i="18"/>
  <c r="X283" i="18" s="1"/>
  <c r="W41" i="18"/>
  <c r="W201" i="18" s="1"/>
  <c r="W41" i="15"/>
  <c r="V327" i="18"/>
  <c r="X307" i="17"/>
  <c r="X147" i="18" s="1"/>
  <c r="X316" i="18" s="1"/>
  <c r="X147" i="17"/>
  <c r="X108" i="16"/>
  <c r="X291" i="17"/>
  <c r="X131" i="18" s="1"/>
  <c r="X298" i="18" s="1"/>
  <c r="X131" i="17"/>
  <c r="Y86" i="11"/>
  <c r="Y86" i="14" s="1"/>
  <c r="Y16" i="11"/>
  <c r="Y90" i="11"/>
  <c r="Y148" i="13"/>
  <c r="Y308" i="13"/>
  <c r="Y148" i="14" s="1"/>
  <c r="Y30" i="11"/>
  <c r="Y97" i="16"/>
  <c r="Y97" i="13"/>
  <c r="Y257" i="13"/>
  <c r="Y97" i="14" s="1"/>
  <c r="Y115" i="11"/>
  <c r="Y83" i="11"/>
  <c r="Y146" i="11"/>
  <c r="Y109" i="11"/>
  <c r="Y34" i="11"/>
  <c r="W23" i="18"/>
  <c r="W183" i="18" s="1"/>
  <c r="W23" i="15"/>
  <c r="W98" i="18"/>
  <c r="W262" i="18" s="1"/>
  <c r="W98" i="15"/>
  <c r="W287" i="18"/>
  <c r="X306" i="17"/>
  <c r="X146" i="18" s="1"/>
  <c r="X315" i="18" s="1"/>
  <c r="X146" i="17"/>
  <c r="X266" i="17"/>
  <c r="X106" i="18" s="1"/>
  <c r="X272" i="18" s="1"/>
  <c r="X106" i="17"/>
  <c r="W5" i="16"/>
  <c r="X54" i="18"/>
  <c r="X214" i="18" s="1"/>
  <c r="X54" i="15"/>
  <c r="X127" i="18"/>
  <c r="X294" i="18" s="1"/>
  <c r="X127" i="15"/>
  <c r="X183" i="13"/>
  <c r="X23" i="14" s="1"/>
  <c r="X23" i="15" s="1"/>
  <c r="X23" i="13"/>
  <c r="X150" i="16"/>
  <c r="X150" i="13"/>
  <c r="X310" i="13"/>
  <c r="X150" i="14" s="1"/>
  <c r="X60" i="13"/>
  <c r="X220" i="13"/>
  <c r="X60" i="14" s="1"/>
  <c r="X60" i="15" s="1"/>
  <c r="W29" i="15"/>
  <c r="X47" i="15"/>
  <c r="X19" i="17"/>
  <c r="X179" i="17"/>
  <c r="X19" i="18" s="1"/>
  <c r="X179" i="18" s="1"/>
  <c r="X89" i="16"/>
  <c r="X318" i="17"/>
  <c r="X158" i="18" s="1"/>
  <c r="X329" i="18" s="1"/>
  <c r="X158" i="17"/>
  <c r="G47" i="37"/>
  <c r="Z47" i="9"/>
  <c r="E47" i="20"/>
  <c r="AE24" i="1" s="1"/>
  <c r="G129" i="37"/>
  <c r="Z129" i="9"/>
  <c r="E129" i="20"/>
  <c r="G95" i="37"/>
  <c r="Z95" i="9"/>
  <c r="E95" i="20"/>
  <c r="G81" i="37"/>
  <c r="Z81" i="9"/>
  <c r="E81" i="20"/>
  <c r="G120" i="37"/>
  <c r="Z120" i="9"/>
  <c r="E120" i="20"/>
  <c r="G111" i="37"/>
  <c r="Z111" i="9"/>
  <c r="E111" i="20"/>
  <c r="G114" i="37"/>
  <c r="Z114" i="9"/>
  <c r="E114" i="20"/>
  <c r="G138" i="37"/>
  <c r="Z138" i="9"/>
  <c r="E138" i="20"/>
  <c r="G141" i="37"/>
  <c r="Z141" i="9"/>
  <c r="E141" i="20"/>
  <c r="G107" i="37"/>
  <c r="Z107" i="9"/>
  <c r="E107" i="20"/>
  <c r="G152" i="37"/>
  <c r="Z152" i="9"/>
  <c r="E152" i="20"/>
  <c r="G97" i="37"/>
  <c r="Z97" i="9"/>
  <c r="E97" i="20"/>
  <c r="G122" i="37"/>
  <c r="Z122" i="9"/>
  <c r="E122" i="20"/>
  <c r="G91" i="37"/>
  <c r="Z91" i="9"/>
  <c r="E91" i="20"/>
  <c r="G34" i="37"/>
  <c r="Z34" i="9"/>
  <c r="E34" i="20"/>
  <c r="AE291" i="1" s="1"/>
  <c r="G67" i="37"/>
  <c r="Z67" i="9"/>
  <c r="E67" i="20"/>
  <c r="AE321" i="1" s="1"/>
  <c r="G39" i="37"/>
  <c r="Z39" i="9"/>
  <c r="E39" i="20"/>
  <c r="AE486" i="1" s="1"/>
  <c r="G65" i="37"/>
  <c r="Z65" i="9"/>
  <c r="E65" i="20"/>
  <c r="AE193" i="1" s="1"/>
  <c r="G44" i="37"/>
  <c r="Z44" i="9"/>
  <c r="E44" i="20"/>
  <c r="AE178" i="1" s="1"/>
  <c r="Z22" i="9"/>
  <c r="G22" i="37"/>
  <c r="E22" i="20"/>
  <c r="AE456" i="1" s="1"/>
  <c r="G18" i="37"/>
  <c r="Z18" i="9"/>
  <c r="E18" i="20"/>
  <c r="AE450" i="1" s="1"/>
  <c r="Z62" i="9"/>
  <c r="G62" i="37"/>
  <c r="E62" i="20"/>
  <c r="AE412" i="1" s="1"/>
  <c r="Z148" i="9"/>
  <c r="G148" i="37"/>
  <c r="E148" i="20"/>
  <c r="Z158" i="9"/>
  <c r="G158" i="37"/>
  <c r="E158" i="20"/>
  <c r="G82" i="37"/>
  <c r="Z82" i="9"/>
  <c r="E82" i="20"/>
  <c r="G117" i="37"/>
  <c r="Z117" i="9"/>
  <c r="E117" i="20"/>
  <c r="Z29" i="9"/>
  <c r="G29" i="37"/>
  <c r="E29" i="20"/>
  <c r="AE322" i="1" s="1"/>
  <c r="Y29" i="16"/>
  <c r="Y189" i="13"/>
  <c r="Y29" i="14" s="1"/>
  <c r="Y29" i="13"/>
  <c r="Y106" i="16"/>
  <c r="Y266" i="13"/>
  <c r="Y106" i="14" s="1"/>
  <c r="Y106" i="13"/>
  <c r="Y98" i="16"/>
  <c r="Y258" i="13"/>
  <c r="Y98" i="14" s="1"/>
  <c r="Y98" i="13"/>
  <c r="Y155" i="16"/>
  <c r="Y315" i="13"/>
  <c r="Y155" i="14" s="1"/>
  <c r="Y155" i="13"/>
  <c r="Y89" i="16"/>
  <c r="Y89" i="13"/>
  <c r="Y249" i="13"/>
  <c r="Y89" i="14" s="1"/>
  <c r="Y23" i="16"/>
  <c r="Y23" i="13"/>
  <c r="Y183" i="13"/>
  <c r="Y23" i="14" s="1"/>
  <c r="Y67" i="11"/>
  <c r="Y152" i="16"/>
  <c r="Y312" i="13"/>
  <c r="Y152" i="14" s="1"/>
  <c r="Y152" i="13"/>
  <c r="Y31" i="16"/>
  <c r="Y130" i="13"/>
  <c r="Y290" i="13"/>
  <c r="Y130" i="14" s="1"/>
  <c r="Y130" i="15" s="1"/>
  <c r="Y39" i="11"/>
  <c r="Y105" i="16"/>
  <c r="Y265" i="13"/>
  <c r="Y105" i="14" s="1"/>
  <c r="Y105" i="13"/>
  <c r="W87" i="18"/>
  <c r="W251" i="18" s="1"/>
  <c r="X175" i="17"/>
  <c r="X15" i="18" s="1"/>
  <c r="X175" i="18" s="1"/>
  <c r="X15" i="17"/>
  <c r="X50" i="18"/>
  <c r="X210" i="18" s="1"/>
  <c r="X50" i="15"/>
  <c r="W134" i="18"/>
  <c r="W301" i="18" s="1"/>
  <c r="W134" i="15"/>
  <c r="X103" i="16"/>
  <c r="X191" i="17"/>
  <c r="X31" i="18" s="1"/>
  <c r="X191" i="18" s="1"/>
  <c r="X31" i="17"/>
  <c r="X14" i="16"/>
  <c r="X242" i="13"/>
  <c r="X82" i="14" s="1"/>
  <c r="X82" i="15" s="1"/>
  <c r="X82" i="13"/>
  <c r="W30" i="15"/>
  <c r="W30" i="18"/>
  <c r="W190" i="18" s="1"/>
  <c r="W95" i="15"/>
  <c r="W95" i="18"/>
  <c r="W259" i="18" s="1"/>
  <c r="X155" i="15"/>
  <c r="X155" i="18"/>
  <c r="X326" i="18" s="1"/>
  <c r="X189" i="17"/>
  <c r="X29" i="18" s="1"/>
  <c r="X189" i="18" s="1"/>
  <c r="X29" i="17"/>
  <c r="W54" i="18"/>
  <c r="W54" i="15"/>
  <c r="U167" i="18"/>
  <c r="X93" i="16"/>
  <c r="X65" i="16"/>
  <c r="X22" i="15"/>
  <c r="X22" i="18"/>
  <c r="X182" i="18" s="1"/>
  <c r="Y158" i="16"/>
  <c r="Y318" i="13"/>
  <c r="Y158" i="14" s="1"/>
  <c r="Y158" i="13"/>
  <c r="Y101" i="11"/>
  <c r="Y82" i="16"/>
  <c r="Y82" i="13"/>
  <c r="Y242" i="13"/>
  <c r="Y167" i="12"/>
  <c r="Y7" i="16" s="1"/>
  <c r="Y136" i="16"/>
  <c r="Y296" i="13"/>
  <c r="Y136" i="13"/>
  <c r="Y52" i="16"/>
  <c r="Y212" i="13"/>
  <c r="Y52" i="13"/>
  <c r="Y19" i="11"/>
  <c r="Y207" i="13"/>
  <c r="Y47" i="14" s="1"/>
  <c r="Y47" i="15" s="1"/>
  <c r="Y47" i="13"/>
  <c r="Y95" i="11"/>
  <c r="Y108" i="16"/>
  <c r="Y268" i="13"/>
  <c r="Y108" i="14" s="1"/>
  <c r="Y108" i="13"/>
  <c r="Y223" i="12"/>
  <c r="X115" i="16"/>
  <c r="X74" i="17"/>
  <c r="X234" i="17"/>
  <c r="X74" i="18" s="1"/>
  <c r="X235" i="18" s="1"/>
  <c r="X312" i="13"/>
  <c r="X152" i="14" s="1"/>
  <c r="X152" i="13"/>
  <c r="W212" i="17"/>
  <c r="W52" i="18" s="1"/>
  <c r="W212" i="18" s="1"/>
  <c r="W52" i="17"/>
  <c r="X99" i="18"/>
  <c r="X263" i="18" s="1"/>
  <c r="X99" i="15"/>
  <c r="X109" i="17"/>
  <c r="X269" i="17"/>
  <c r="X109" i="18" s="1"/>
  <c r="X275" i="18" s="1"/>
  <c r="X136" i="18"/>
  <c r="X303" i="18" s="1"/>
  <c r="X136" i="15"/>
  <c r="X8" i="15"/>
  <c r="X8" i="18"/>
  <c r="X168" i="18" s="1"/>
  <c r="W125" i="18"/>
  <c r="W292" i="18" s="1"/>
  <c r="W125" i="15"/>
  <c r="X129" i="15"/>
  <c r="X53" i="16"/>
  <c r="X215" i="13"/>
  <c r="X55" i="14" s="1"/>
  <c r="X55" i="15" s="1"/>
  <c r="X55" i="13"/>
  <c r="W22" i="18"/>
  <c r="W182" i="18" s="1"/>
  <c r="W69" i="18"/>
  <c r="X120" i="18"/>
  <c r="X287" i="18" s="1"/>
  <c r="X57" i="18"/>
  <c r="X217" i="18" s="1"/>
  <c r="X97" i="18"/>
  <c r="X261" i="18" s="1"/>
  <c r="X86" i="18"/>
  <c r="X250" i="18" s="1"/>
  <c r="E104" i="31"/>
  <c r="AA397" i="1"/>
  <c r="AB397" i="1" s="1"/>
  <c r="O104" i="31" s="1"/>
  <c r="O211" i="1"/>
  <c r="D61" i="31" s="1"/>
  <c r="D70" i="6"/>
  <c r="B71" i="6"/>
  <c r="D71" i="37" s="1"/>
  <c r="A71" i="37" s="1"/>
  <c r="B70" i="20"/>
  <c r="B70" i="10"/>
  <c r="B70" i="11"/>
  <c r="B230" i="12"/>
  <c r="B70" i="12"/>
  <c r="B230" i="13"/>
  <c r="B70" i="13"/>
  <c r="B70" i="14"/>
  <c r="B70" i="15"/>
  <c r="B70" i="16"/>
  <c r="B230" i="17"/>
  <c r="B70" i="17"/>
  <c r="B231" i="18"/>
  <c r="B70" i="18"/>
  <c r="B70" i="9"/>
  <c r="AF211" i="1"/>
  <c r="AE211" i="1"/>
  <c r="AO211" i="1"/>
  <c r="C211" i="1" s="1"/>
  <c r="P211" i="1"/>
  <c r="E179" i="1"/>
  <c r="E184" i="1"/>
  <c r="AO184" i="1" s="1"/>
  <c r="C184" i="1" s="1"/>
  <c r="Y52" i="14" l="1"/>
  <c r="Y80" i="14"/>
  <c r="Y8" i="15"/>
  <c r="Y45" i="14"/>
  <c r="Y136" i="14"/>
  <c r="Y82" i="14"/>
  <c r="Y204" i="17"/>
  <c r="Y44" i="17"/>
  <c r="Y120" i="15"/>
  <c r="Y222" i="17"/>
  <c r="Y62" i="17"/>
  <c r="Y114" i="17"/>
  <c r="Y274" i="17"/>
  <c r="Y263" i="17"/>
  <c r="Y103" i="17"/>
  <c r="Y57" i="17"/>
  <c r="Y217" i="17"/>
  <c r="Y227" i="17"/>
  <c r="Y67" i="17"/>
  <c r="Y146" i="17"/>
  <c r="Y306" i="17"/>
  <c r="Y16" i="17"/>
  <c r="Y176" i="17"/>
  <c r="Y97" i="15"/>
  <c r="X290" i="18"/>
  <c r="W223" i="18"/>
  <c r="Y199" i="17"/>
  <c r="Y39" i="17"/>
  <c r="Y190" i="17"/>
  <c r="Y30" i="17"/>
  <c r="W205" i="18"/>
  <c r="Y94" i="17"/>
  <c r="Y254" i="17"/>
  <c r="Y150" i="15"/>
  <c r="Y285" i="17"/>
  <c r="Y125" i="17"/>
  <c r="Y145" i="17"/>
  <c r="Y305" i="17"/>
  <c r="Y275" i="17"/>
  <c r="Y115" i="17"/>
  <c r="Y69" i="17"/>
  <c r="Y229" i="17"/>
  <c r="Y108" i="15"/>
  <c r="Y167" i="17"/>
  <c r="Y7" i="17"/>
  <c r="W230" i="18"/>
  <c r="Y223" i="13"/>
  <c r="Y63" i="14" s="1"/>
  <c r="Y63" i="13"/>
  <c r="Y136" i="15"/>
  <c r="Y82" i="15"/>
  <c r="W214" i="18"/>
  <c r="X14" i="17"/>
  <c r="X174" i="17"/>
  <c r="X14" i="18" s="1"/>
  <c r="X174" i="18" s="1"/>
  <c r="Y23" i="15"/>
  <c r="Y315" i="17"/>
  <c r="Y155" i="18" s="1"/>
  <c r="Y326" i="18" s="1"/>
  <c r="Y155" i="17"/>
  <c r="Y29" i="15"/>
  <c r="I29" i="37"/>
  <c r="Z29" i="10"/>
  <c r="I148" i="37"/>
  <c r="Z148" i="10"/>
  <c r="Z148" i="11" s="1"/>
  <c r="I67" i="37"/>
  <c r="Z67" i="10"/>
  <c r="Z67" i="11" s="1"/>
  <c r="I97" i="37"/>
  <c r="Z97" i="10"/>
  <c r="Z97" i="11" s="1"/>
  <c r="I138" i="37"/>
  <c r="Z138" i="10"/>
  <c r="I81" i="37"/>
  <c r="Z81" i="10"/>
  <c r="X150" i="17"/>
  <c r="X310" i="17"/>
  <c r="Y148" i="18"/>
  <c r="Y317" i="18" s="1"/>
  <c r="Y148" i="15"/>
  <c r="Y86" i="15"/>
  <c r="Y287" i="17"/>
  <c r="Y127" i="17"/>
  <c r="Y271" i="13"/>
  <c r="Y111" i="14" s="1"/>
  <c r="Y111" i="15" s="1"/>
  <c r="Y111" i="13"/>
  <c r="Y22" i="15"/>
  <c r="Y116" i="17"/>
  <c r="Y276" i="17"/>
  <c r="Y116" i="18" s="1"/>
  <c r="Y283" i="18" s="1"/>
  <c r="Y154" i="17"/>
  <c r="Y314" i="17"/>
  <c r="Y79" i="15"/>
  <c r="B73" i="22"/>
  <c r="D72" i="22"/>
  <c r="X43" i="15"/>
  <c r="X43" i="18"/>
  <c r="Y278" i="17"/>
  <c r="Y118" i="17"/>
  <c r="Y20" i="17"/>
  <c r="Y180" i="17"/>
  <c r="I145" i="37"/>
  <c r="Z145" i="10"/>
  <c r="Z145" i="11" s="1"/>
  <c r="Z155" i="10"/>
  <c r="I155" i="37"/>
  <c r="I19" i="37"/>
  <c r="Z19" i="10"/>
  <c r="I156" i="37"/>
  <c r="Z156" i="10"/>
  <c r="Z156" i="11" s="1"/>
  <c r="Z30" i="10"/>
  <c r="I30" i="37"/>
  <c r="I105" i="37"/>
  <c r="Z105" i="10"/>
  <c r="Z105" i="11" s="1"/>
  <c r="Z146" i="10"/>
  <c r="Z146" i="11" s="1"/>
  <c r="I146" i="37"/>
  <c r="X23" i="18"/>
  <c r="X183" i="18" s="1"/>
  <c r="V322" i="18"/>
  <c r="Y119" i="13"/>
  <c r="Y279" i="13"/>
  <c r="Y119" i="14" s="1"/>
  <c r="Y35" i="15"/>
  <c r="Y174" i="13"/>
  <c r="Y14" i="14" s="1"/>
  <c r="Y14" i="13"/>
  <c r="W282" i="18"/>
  <c r="Y81" i="17"/>
  <c r="Y241" i="17"/>
  <c r="Y43" i="18"/>
  <c r="Y203" i="18" s="1"/>
  <c r="Y291" i="17"/>
  <c r="Y131" i="17"/>
  <c r="Y121" i="18"/>
  <c r="Y288" i="18" s="1"/>
  <c r="Y252" i="17"/>
  <c r="Y92" i="17"/>
  <c r="X76" i="18"/>
  <c r="X237" i="18" s="1"/>
  <c r="Y157" i="15"/>
  <c r="Y99" i="15"/>
  <c r="I20" i="37"/>
  <c r="Z20" i="10"/>
  <c r="Z20" i="11" s="1"/>
  <c r="Z13" i="10"/>
  <c r="Z13" i="11" s="1"/>
  <c r="I13" i="37"/>
  <c r="I139" i="37"/>
  <c r="Z139" i="10"/>
  <c r="Z31" i="10"/>
  <c r="Z31" i="11" s="1"/>
  <c r="I31" i="37"/>
  <c r="I50" i="37"/>
  <c r="Z50" i="10"/>
  <c r="I54" i="37"/>
  <c r="Z54" i="10"/>
  <c r="Y141" i="15"/>
  <c r="Y74" i="15"/>
  <c r="Y170" i="17"/>
  <c r="Y10" i="17"/>
  <c r="Y80" i="15"/>
  <c r="X73" i="15"/>
  <c r="X73" i="18"/>
  <c r="X234" i="18" s="1"/>
  <c r="Y45" i="17"/>
  <c r="Y205" i="17"/>
  <c r="Y45" i="18" s="1"/>
  <c r="Y205" i="18" s="1"/>
  <c r="Y70" i="18"/>
  <c r="Y231" i="18" s="1"/>
  <c r="X12" i="18"/>
  <c r="X172" i="18" s="1"/>
  <c r="X12" i="15"/>
  <c r="Y299" i="17"/>
  <c r="Y139" i="18" s="1"/>
  <c r="Y307" i="18" s="1"/>
  <c r="Y139" i="17"/>
  <c r="Y19" i="13"/>
  <c r="Y179" i="13"/>
  <c r="Y131" i="14"/>
  <c r="Y101" i="14"/>
  <c r="X93" i="15"/>
  <c r="I106" i="37"/>
  <c r="Z106" i="10"/>
  <c r="Z106" i="11" s="1"/>
  <c r="I60" i="37"/>
  <c r="Z60" i="10"/>
  <c r="Z60" i="11" s="1"/>
  <c r="Z103" i="10"/>
  <c r="I103" i="37"/>
  <c r="Z89" i="10"/>
  <c r="Z89" i="11" s="1"/>
  <c r="I89" i="37"/>
  <c r="Z108" i="10"/>
  <c r="I108" i="37"/>
  <c r="I123" i="37"/>
  <c r="Z123" i="10"/>
  <c r="X89" i="15"/>
  <c r="W243" i="18"/>
  <c r="Y194" i="13"/>
  <c r="Y34" i="14" s="1"/>
  <c r="Y34" i="13"/>
  <c r="Y90" i="17"/>
  <c r="Y250" i="17"/>
  <c r="Y298" i="17"/>
  <c r="Y138" i="17"/>
  <c r="Y54" i="18"/>
  <c r="Y214" i="18" s="1"/>
  <c r="Y87" i="18"/>
  <c r="Y251" i="18" s="1"/>
  <c r="Y130" i="18"/>
  <c r="Y297" i="18" s="1"/>
  <c r="X45" i="18"/>
  <c r="X205" i="18" s="1"/>
  <c r="X7" i="18"/>
  <c r="Y52" i="15"/>
  <c r="Y136" i="17"/>
  <c r="Y296" i="17"/>
  <c r="Y136" i="18" s="1"/>
  <c r="Y303" i="18" s="1"/>
  <c r="Y158" i="15"/>
  <c r="X65" i="17"/>
  <c r="X225" i="17"/>
  <c r="Y152" i="15"/>
  <c r="Y249" i="17"/>
  <c r="Y89" i="17"/>
  <c r="Y106" i="15"/>
  <c r="Y189" i="17"/>
  <c r="Y29" i="18" s="1"/>
  <c r="Y189" i="18" s="1"/>
  <c r="Y29" i="17"/>
  <c r="I82" i="37"/>
  <c r="Z82" i="10"/>
  <c r="Z82" i="11" s="1"/>
  <c r="I158" i="37"/>
  <c r="Z158" i="10"/>
  <c r="I18" i="37"/>
  <c r="Z18" i="10"/>
  <c r="I22" i="37"/>
  <c r="Z22" i="10"/>
  <c r="Z39" i="10"/>
  <c r="Z39" i="11" s="1"/>
  <c r="I39" i="37"/>
  <c r="I122" i="37"/>
  <c r="Z122" i="10"/>
  <c r="Z122" i="11" s="1"/>
  <c r="I141" i="37"/>
  <c r="Z141" i="10"/>
  <c r="I120" i="37"/>
  <c r="Z120" i="10"/>
  <c r="Z120" i="11" s="1"/>
  <c r="Z47" i="10"/>
  <c r="I47" i="37"/>
  <c r="X89" i="17"/>
  <c r="X249" i="17"/>
  <c r="X89" i="18" s="1"/>
  <c r="Y18" i="15"/>
  <c r="Y22" i="17"/>
  <c r="Y182" i="17"/>
  <c r="Y22" i="18" s="1"/>
  <c r="Y182" i="18" s="1"/>
  <c r="X67" i="18"/>
  <c r="X228" i="18" s="1"/>
  <c r="X67" i="15"/>
  <c r="Y79" i="17"/>
  <c r="Y239" i="17"/>
  <c r="Y79" i="18" s="1"/>
  <c r="Y241" i="18" s="1"/>
  <c r="Y41" i="15"/>
  <c r="Y280" i="17"/>
  <c r="Y120" i="18" s="1"/>
  <c r="Y120" i="17"/>
  <c r="Y222" i="13"/>
  <c r="Y62" i="14" s="1"/>
  <c r="Y62" i="15" s="1"/>
  <c r="Y62" i="13"/>
  <c r="I121" i="37"/>
  <c r="Z121" i="10"/>
  <c r="I86" i="37"/>
  <c r="Z86" i="10"/>
  <c r="I125" i="37"/>
  <c r="Z125" i="10"/>
  <c r="I142" i="37"/>
  <c r="Z142" i="10"/>
  <c r="Z142" i="11" s="1"/>
  <c r="I93" i="37"/>
  <c r="Z93" i="10"/>
  <c r="Z93" i="11" s="1"/>
  <c r="Z41" i="10"/>
  <c r="I41" i="37"/>
  <c r="X5" i="15"/>
  <c r="Y233" i="17"/>
  <c r="Y73" i="17"/>
  <c r="X10" i="18"/>
  <c r="X170" i="18" s="1"/>
  <c r="X122" i="15"/>
  <c r="X122" i="18"/>
  <c r="X289" i="18" s="1"/>
  <c r="Y285" i="13"/>
  <c r="Y125" i="14" s="1"/>
  <c r="Y125" i="15" s="1"/>
  <c r="Y125" i="13"/>
  <c r="X142" i="15"/>
  <c r="X142" i="18"/>
  <c r="Y259" i="17"/>
  <c r="Y99" i="18" s="1"/>
  <c r="Y263" i="18" s="1"/>
  <c r="Y99" i="17"/>
  <c r="Y142" i="18"/>
  <c r="Y311" i="18" s="1"/>
  <c r="Y13" i="15"/>
  <c r="Z87" i="10"/>
  <c r="I87" i="37"/>
  <c r="I154" i="37"/>
  <c r="Z154" i="10"/>
  <c r="I136" i="37"/>
  <c r="Z136" i="10"/>
  <c r="Z136" i="11" s="1"/>
  <c r="AE12" i="39"/>
  <c r="AE119" i="1"/>
  <c r="I150" i="37"/>
  <c r="Z150" i="10"/>
  <c r="Z5" i="10"/>
  <c r="I5" i="37"/>
  <c r="Z76" i="10"/>
  <c r="I76" i="37"/>
  <c r="I15" i="37"/>
  <c r="Z15" i="10"/>
  <c r="Y234" i="17"/>
  <c r="Y74" i="18" s="1"/>
  <c r="Y235" i="18" s="1"/>
  <c r="Y74" i="17"/>
  <c r="Y80" i="17"/>
  <c r="Y240" i="17"/>
  <c r="Y80" i="18" s="1"/>
  <c r="Y242" i="18" s="1"/>
  <c r="Y9" i="15"/>
  <c r="Y129" i="15"/>
  <c r="Y49" i="17"/>
  <c r="Y209" i="17"/>
  <c r="Y49" i="18" s="1"/>
  <c r="Y209" i="18" s="1"/>
  <c r="Y217" i="13"/>
  <c r="Y57" i="14" s="1"/>
  <c r="Y57" i="13"/>
  <c r="X53" i="15"/>
  <c r="X115" i="15"/>
  <c r="Y255" i="17"/>
  <c r="Y95" i="17"/>
  <c r="X65" i="15"/>
  <c r="X65" i="18"/>
  <c r="X225" i="18" s="1"/>
  <c r="Y39" i="13"/>
  <c r="Y199" i="13"/>
  <c r="Y39" i="14" s="1"/>
  <c r="Y39" i="15" s="1"/>
  <c r="Y67" i="13"/>
  <c r="Y227" i="13"/>
  <c r="Y67" i="14" s="1"/>
  <c r="Z80" i="10"/>
  <c r="Z80" i="11" s="1"/>
  <c r="I80" i="37"/>
  <c r="AE76" i="1"/>
  <c r="AE9" i="39"/>
  <c r="I98" i="37"/>
  <c r="Z98" i="10"/>
  <c r="Z63" i="10"/>
  <c r="I63" i="37"/>
  <c r="I23" i="37"/>
  <c r="Z23" i="10"/>
  <c r="Z23" i="11"/>
  <c r="I115" i="37"/>
  <c r="Z115" i="10"/>
  <c r="Z115" i="11" s="1"/>
  <c r="I79" i="37"/>
  <c r="Z79" i="10"/>
  <c r="Z49" i="10"/>
  <c r="I49" i="37"/>
  <c r="Y109" i="14"/>
  <c r="Y306" i="13"/>
  <c r="Y146" i="14" s="1"/>
  <c r="Y146" i="15" s="1"/>
  <c r="Y146" i="13"/>
  <c r="Y115" i="13"/>
  <c r="Y275" i="13"/>
  <c r="Y115" i="14" s="1"/>
  <c r="Y115" i="15" s="1"/>
  <c r="Y134" i="17"/>
  <c r="Y294" i="17"/>
  <c r="Y246" i="17"/>
  <c r="Y86" i="18" s="1"/>
  <c r="Y250" i="18" s="1"/>
  <c r="Y86" i="17"/>
  <c r="Y149" i="14"/>
  <c r="Y283" i="17"/>
  <c r="Y123" i="18" s="1"/>
  <c r="Y290" i="18" s="1"/>
  <c r="Y123" i="17"/>
  <c r="Y124" i="14"/>
  <c r="Y116" i="15"/>
  <c r="X55" i="18"/>
  <c r="X215" i="18" s="1"/>
  <c r="X115" i="17"/>
  <c r="X275" i="17"/>
  <c r="X115" i="18" s="1"/>
  <c r="X282" i="18" s="1"/>
  <c r="Y52" i="17"/>
  <c r="Y212" i="17"/>
  <c r="Y52" i="18" s="1"/>
  <c r="Y212" i="18" s="1"/>
  <c r="Y82" i="17"/>
  <c r="Y242" i="17"/>
  <c r="Y82" i="18" s="1"/>
  <c r="Y244" i="18" s="1"/>
  <c r="Y158" i="17"/>
  <c r="Y318" i="17"/>
  <c r="Y158" i="18" s="1"/>
  <c r="Y329" i="18" s="1"/>
  <c r="X253" i="17"/>
  <c r="X93" i="18" s="1"/>
  <c r="X93" i="17"/>
  <c r="Y105" i="15"/>
  <c r="Y312" i="17"/>
  <c r="Y152" i="18" s="1"/>
  <c r="Y322" i="18" s="1"/>
  <c r="Y152" i="17"/>
  <c r="Y23" i="17"/>
  <c r="Y183" i="17"/>
  <c r="Y23" i="18" s="1"/>
  <c r="Y183" i="18" s="1"/>
  <c r="Y98" i="15"/>
  <c r="Y266" i="17"/>
  <c r="Y106" i="18" s="1"/>
  <c r="Y272" i="18" s="1"/>
  <c r="Y106" i="17"/>
  <c r="Z117" i="10"/>
  <c r="I117" i="37"/>
  <c r="I65" i="37"/>
  <c r="Z65" i="10"/>
  <c r="Z91" i="10"/>
  <c r="I91" i="37"/>
  <c r="I107" i="37"/>
  <c r="Z107" i="10"/>
  <c r="Z107" i="11" s="1"/>
  <c r="I111" i="37"/>
  <c r="Z111" i="10"/>
  <c r="Z111" i="11" s="1"/>
  <c r="I129" i="37"/>
  <c r="Z129" i="10"/>
  <c r="X150" i="18"/>
  <c r="X150" i="15"/>
  <c r="Y257" i="17"/>
  <c r="Y97" i="18" s="1"/>
  <c r="Y261" i="18" s="1"/>
  <c r="Y97" i="17"/>
  <c r="Y127" i="18"/>
  <c r="Y294" i="18" s="1"/>
  <c r="Y127" i="15"/>
  <c r="Y204" i="13"/>
  <c r="Y44" i="14" s="1"/>
  <c r="Y44" i="15" s="1"/>
  <c r="Y44" i="13"/>
  <c r="Y65" i="15"/>
  <c r="Y178" i="17"/>
  <c r="Y18" i="18" s="1"/>
  <c r="Y178" i="18" s="1"/>
  <c r="Y18" i="17"/>
  <c r="Y69" i="13"/>
  <c r="Y229" i="13"/>
  <c r="Y69" i="14" s="1"/>
  <c r="Y254" i="13"/>
  <c r="Y94" i="14" s="1"/>
  <c r="Y94" i="15" s="1"/>
  <c r="Y94" i="13"/>
  <c r="Y41" i="17"/>
  <c r="Y201" i="17"/>
  <c r="Y41" i="18" s="1"/>
  <c r="Y201" i="18" s="1"/>
  <c r="Y118" i="15"/>
  <c r="Y118" i="18"/>
  <c r="Y285" i="18" s="1"/>
  <c r="Y20" i="18"/>
  <c r="Y180" i="18" s="1"/>
  <c r="Y20" i="15"/>
  <c r="Y274" i="13"/>
  <c r="Y114" i="14" s="1"/>
  <c r="Y114" i="13"/>
  <c r="I35" i="37"/>
  <c r="Z35" i="10"/>
  <c r="I43" i="37"/>
  <c r="Z43" i="10"/>
  <c r="Z127" i="10"/>
  <c r="I127" i="37"/>
  <c r="Z74" i="10"/>
  <c r="Z74" i="11" s="1"/>
  <c r="I74" i="37"/>
  <c r="X60" i="18"/>
  <c r="X220" i="18" s="1"/>
  <c r="X165" i="17"/>
  <c r="X5" i="18" s="1"/>
  <c r="X165" i="18" s="1"/>
  <c r="X5" i="17"/>
  <c r="Y263" i="13"/>
  <c r="Y103" i="14" s="1"/>
  <c r="Y103" i="13"/>
  <c r="Y122" i="15"/>
  <c r="Y215" i="17"/>
  <c r="Y55" i="17"/>
  <c r="Y50" i="15"/>
  <c r="Y12" i="15"/>
  <c r="Y48" i="17"/>
  <c r="Y208" i="17"/>
  <c r="Y195" i="17"/>
  <c r="Y35" i="18" s="1"/>
  <c r="Y195" i="18" s="1"/>
  <c r="Y35" i="17"/>
  <c r="Y117" i="15"/>
  <c r="Y81" i="15"/>
  <c r="Y81" i="18"/>
  <c r="Y243" i="18" s="1"/>
  <c r="Y305" i="13"/>
  <c r="Y145" i="14" s="1"/>
  <c r="Y145" i="13"/>
  <c r="Y92" i="18"/>
  <c r="Y256" i="18" s="1"/>
  <c r="Y92" i="15"/>
  <c r="X16" i="15"/>
  <c r="X16" i="18"/>
  <c r="X176" i="18" s="1"/>
  <c r="W169" i="18"/>
  <c r="Y317" i="17"/>
  <c r="Y157" i="18" s="1"/>
  <c r="Y328" i="18" s="1"/>
  <c r="Y157" i="17"/>
  <c r="Y307" i="13"/>
  <c r="Y147" i="14" s="1"/>
  <c r="Y147" i="13"/>
  <c r="I55" i="37"/>
  <c r="Z55" i="10"/>
  <c r="Z55" i="11" s="1"/>
  <c r="I101" i="37"/>
  <c r="Z101" i="10"/>
  <c r="Z101" i="11" s="1"/>
  <c r="I149" i="37"/>
  <c r="Z149" i="10"/>
  <c r="Z48" i="10"/>
  <c r="I48" i="37"/>
  <c r="I69" i="37"/>
  <c r="Z69" i="10"/>
  <c r="I9" i="37"/>
  <c r="Z9" i="10"/>
  <c r="Y141" i="17"/>
  <c r="Y301" i="17"/>
  <c r="Y141" i="18" s="1"/>
  <c r="Y310" i="18" s="1"/>
  <c r="Y10" i="15"/>
  <c r="Y10" i="18"/>
  <c r="Y170" i="18" s="1"/>
  <c r="Y91" i="17"/>
  <c r="Y251" i="17"/>
  <c r="Y169" i="17"/>
  <c r="Y9" i="18" s="1"/>
  <c r="Y9" i="17"/>
  <c r="X90" i="15"/>
  <c r="Y289" i="17"/>
  <c r="Y129" i="18" s="1"/>
  <c r="Y296" i="18" s="1"/>
  <c r="Y129" i="17"/>
  <c r="Y45" i="15"/>
  <c r="Y93" i="15"/>
  <c r="Y284" i="17"/>
  <c r="Y124" i="17"/>
  <c r="Y53" i="15"/>
  <c r="X92" i="18"/>
  <c r="X256" i="18" s="1"/>
  <c r="Y139" i="15"/>
  <c r="Y255" i="13"/>
  <c r="Y95" i="14" s="1"/>
  <c r="Y95" i="13"/>
  <c r="Y156" i="15"/>
  <c r="Y261" i="17"/>
  <c r="Y101" i="17"/>
  <c r="X103" i="15"/>
  <c r="I90" i="37"/>
  <c r="Z90" i="10"/>
  <c r="Z90" i="11" s="1"/>
  <c r="Z42" i="10"/>
  <c r="I42" i="37"/>
  <c r="I99" i="37"/>
  <c r="Z99" i="10"/>
  <c r="Z99" i="11" s="1"/>
  <c r="I70" i="37"/>
  <c r="Z70" i="10"/>
  <c r="Z70" i="11" s="1"/>
  <c r="Z12" i="10"/>
  <c r="Z12" i="11" s="1"/>
  <c r="I12" i="37"/>
  <c r="Z124" i="10"/>
  <c r="Z124" i="11" s="1"/>
  <c r="I124" i="37"/>
  <c r="I109" i="37"/>
  <c r="Z109" i="10"/>
  <c r="X148" i="18"/>
  <c r="X317" i="18" s="1"/>
  <c r="X148" i="15"/>
  <c r="Y190" i="13"/>
  <c r="Y30" i="14" s="1"/>
  <c r="Y30" i="13"/>
  <c r="Y16" i="13"/>
  <c r="Y176" i="13"/>
  <c r="Y16" i="14" s="1"/>
  <c r="Y16" i="15" s="1"/>
  <c r="X105" i="18"/>
  <c r="X271" i="18" s="1"/>
  <c r="Y15" i="14"/>
  <c r="Y149" i="17"/>
  <c r="Y309" i="17"/>
  <c r="Y138" i="15"/>
  <c r="Y138" i="18"/>
  <c r="Y306" i="18" s="1"/>
  <c r="Y76" i="18"/>
  <c r="Y237" i="18" s="1"/>
  <c r="X82" i="18"/>
  <c r="X244" i="18" s="1"/>
  <c r="Y42" i="18"/>
  <c r="Y202" i="18" s="1"/>
  <c r="Y47" i="18"/>
  <c r="Y207" i="18" s="1"/>
  <c r="Y107" i="18"/>
  <c r="Y273" i="18" s="1"/>
  <c r="X53" i="17"/>
  <c r="X213" i="17"/>
  <c r="X53" i="18" s="1"/>
  <c r="X213" i="18" s="1"/>
  <c r="X152" i="18"/>
  <c r="X322" i="18" s="1"/>
  <c r="X152" i="15"/>
  <c r="Y63" i="16"/>
  <c r="Y108" i="17"/>
  <c r="Y268" i="17"/>
  <c r="Y108" i="18" s="1"/>
  <c r="Y274" i="18" s="1"/>
  <c r="Y19" i="14"/>
  <c r="Y167" i="13"/>
  <c r="Y7" i="14" s="1"/>
  <c r="Y7" i="15" s="1"/>
  <c r="Y7" i="13"/>
  <c r="X263" i="17"/>
  <c r="X103" i="18" s="1"/>
  <c r="X269" i="18" s="1"/>
  <c r="X103" i="17"/>
  <c r="Y265" i="17"/>
  <c r="Y105" i="18" s="1"/>
  <c r="Y271" i="18" s="1"/>
  <c r="Y105" i="17"/>
  <c r="Y31" i="17"/>
  <c r="Y191" i="17"/>
  <c r="Y31" i="18" s="1"/>
  <c r="Y191" i="18" s="1"/>
  <c r="Y89" i="15"/>
  <c r="Y89" i="18"/>
  <c r="Y253" i="18" s="1"/>
  <c r="Y155" i="15"/>
  <c r="Y98" i="17"/>
  <c r="Y258" i="17"/>
  <c r="Y98" i="18" s="1"/>
  <c r="Y262" i="18" s="1"/>
  <c r="I62" i="37"/>
  <c r="Z62" i="10"/>
  <c r="I44" i="37"/>
  <c r="Z44" i="10"/>
  <c r="Z34" i="10"/>
  <c r="I34" i="37"/>
  <c r="I152" i="37"/>
  <c r="Z152" i="10"/>
  <c r="Z114" i="10"/>
  <c r="Z114" i="11" s="1"/>
  <c r="I114" i="37"/>
  <c r="Z95" i="10"/>
  <c r="I95" i="37"/>
  <c r="W189" i="18"/>
  <c r="W165" i="17"/>
  <c r="W5" i="18" s="1"/>
  <c r="W165" i="18" s="1"/>
  <c r="W5" i="17"/>
  <c r="X268" i="17"/>
  <c r="X108" i="18" s="1"/>
  <c r="X274" i="18" s="1"/>
  <c r="X108" i="17"/>
  <c r="Y111" i="17"/>
  <c r="Y271" i="17"/>
  <c r="Y111" i="18" s="1"/>
  <c r="Y278" i="18" s="1"/>
  <c r="Y65" i="17"/>
  <c r="Y225" i="17"/>
  <c r="Y65" i="18" s="1"/>
  <c r="Y225" i="18" s="1"/>
  <c r="Y154" i="15"/>
  <c r="Y154" i="18"/>
  <c r="Y325" i="18" s="1"/>
  <c r="Y150" i="17"/>
  <c r="Y310" i="17"/>
  <c r="Y150" i="18" s="1"/>
  <c r="Y319" i="18" s="1"/>
  <c r="Z8" i="10"/>
  <c r="I8" i="37"/>
  <c r="Z57" i="10"/>
  <c r="I57" i="37"/>
  <c r="Z14" i="10"/>
  <c r="Z14" i="11" s="1"/>
  <c r="I14" i="37"/>
  <c r="I157" i="37"/>
  <c r="Z157" i="10"/>
  <c r="Z118" i="10"/>
  <c r="Z118" i="11" s="1"/>
  <c r="I118" i="37"/>
  <c r="Z131" i="10"/>
  <c r="Z131" i="11" s="1"/>
  <c r="I131" i="37"/>
  <c r="AE10" i="39"/>
  <c r="AE117" i="1"/>
  <c r="Z7" i="10"/>
  <c r="Z7" i="11" s="1"/>
  <c r="I7" i="37"/>
  <c r="I45" i="37"/>
  <c r="Z45" i="10"/>
  <c r="Z45" i="11" s="1"/>
  <c r="I83" i="37"/>
  <c r="Z83" i="10"/>
  <c r="X107" i="15"/>
  <c r="X107" i="18"/>
  <c r="X273" i="18" s="1"/>
  <c r="Y119" i="16"/>
  <c r="Y282" i="17"/>
  <c r="Y122" i="18" s="1"/>
  <c r="Y289" i="18" s="1"/>
  <c r="Y122" i="17"/>
  <c r="Y215" i="13"/>
  <c r="Y55" i="14" s="1"/>
  <c r="Y55" i="15" s="1"/>
  <c r="Y55" i="13"/>
  <c r="Y210" i="17"/>
  <c r="Y50" i="18" s="1"/>
  <c r="Y210" i="18" s="1"/>
  <c r="Y50" i="17"/>
  <c r="Y172" i="17"/>
  <c r="Y12" i="18" s="1"/>
  <c r="Y172" i="18" s="1"/>
  <c r="Y12" i="17"/>
  <c r="Y48" i="13"/>
  <c r="Y208" i="13"/>
  <c r="Y48" i="14" s="1"/>
  <c r="Y48" i="15" s="1"/>
  <c r="Y14" i="16"/>
  <c r="Y277" i="17"/>
  <c r="Y117" i="18" s="1"/>
  <c r="Y284" i="18" s="1"/>
  <c r="Y117" i="17"/>
  <c r="Y26" i="16"/>
  <c r="Y186" i="13"/>
  <c r="Y26" i="14" s="1"/>
  <c r="Y26" i="13"/>
  <c r="Y147" i="16"/>
  <c r="Y13" i="17"/>
  <c r="Y173" i="17"/>
  <c r="Y13" i="18" s="1"/>
  <c r="Y173" i="18" s="1"/>
  <c r="Z134" i="10"/>
  <c r="I134" i="37"/>
  <c r="Z16" i="10"/>
  <c r="Z16" i="11" s="1"/>
  <c r="I16" i="37"/>
  <c r="I73" i="37"/>
  <c r="Z73" i="10"/>
  <c r="Z73" i="11" s="1"/>
  <c r="I10" i="37"/>
  <c r="Z10" i="10"/>
  <c r="Z10" i="11" s="1"/>
  <c r="I52" i="37"/>
  <c r="Z52" i="10"/>
  <c r="Z52" i="11" s="1"/>
  <c r="I119" i="37"/>
  <c r="Z119" i="10"/>
  <c r="AE40" i="1"/>
  <c r="Z26" i="10"/>
  <c r="I26" i="37"/>
  <c r="X138" i="15"/>
  <c r="X138" i="18"/>
  <c r="Y91" i="13"/>
  <c r="Y251" i="13"/>
  <c r="Y91" i="14" s="1"/>
  <c r="Y91" i="15" s="1"/>
  <c r="Y73" i="14"/>
  <c r="X250" i="17"/>
  <c r="X90" i="18" s="1"/>
  <c r="X254" i="18" s="1"/>
  <c r="X90" i="17"/>
  <c r="Y49" i="15"/>
  <c r="Y253" i="17"/>
  <c r="Y93" i="18" s="1"/>
  <c r="Y257" i="18" s="1"/>
  <c r="Y93" i="17"/>
  <c r="Y213" i="17"/>
  <c r="Y53" i="18" s="1"/>
  <c r="Y213" i="18" s="1"/>
  <c r="Y53" i="17"/>
  <c r="V172" i="18"/>
  <c r="Y19" i="16"/>
  <c r="Y156" i="17"/>
  <c r="Y316" i="17"/>
  <c r="Y156" i="18" s="1"/>
  <c r="Y327" i="18" s="1"/>
  <c r="Y168" i="17"/>
  <c r="Y8" i="18" s="1"/>
  <c r="Y168" i="18" s="1"/>
  <c r="Y8" i="17"/>
  <c r="X14" i="15"/>
  <c r="Y31" i="15"/>
  <c r="I116" i="37"/>
  <c r="Z116" i="10"/>
  <c r="I92" i="37"/>
  <c r="Z92" i="10"/>
  <c r="AE74" i="1"/>
  <c r="AE7" i="39"/>
  <c r="I94" i="37"/>
  <c r="Z94" i="10"/>
  <c r="I130" i="37"/>
  <c r="Z130" i="10"/>
  <c r="I53" i="37"/>
  <c r="Z53" i="10"/>
  <c r="Z53" i="11" s="1"/>
  <c r="I68" i="37"/>
  <c r="Z68" i="10"/>
  <c r="Z68" i="11"/>
  <c r="I147" i="37"/>
  <c r="Z147" i="10"/>
  <c r="W5" i="15"/>
  <c r="Y34" i="16"/>
  <c r="Y109" i="17"/>
  <c r="Y269" i="17"/>
  <c r="Y83" i="16"/>
  <c r="Y243" i="13"/>
  <c r="Y83" i="14" s="1"/>
  <c r="Y83" i="13"/>
  <c r="Y68" i="18"/>
  <c r="Y229" i="18" s="1"/>
  <c r="Y134" i="15"/>
  <c r="Y134" i="18"/>
  <c r="Y301" i="18" s="1"/>
  <c r="Y90" i="14"/>
  <c r="X108" i="15"/>
  <c r="Y175" i="17"/>
  <c r="Y15" i="17"/>
  <c r="Y123" i="15"/>
  <c r="Y165" i="12"/>
  <c r="Y5" i="16" s="1"/>
  <c r="Y60" i="18"/>
  <c r="Y220" i="18" s="1"/>
  <c r="W258" i="18"/>
  <c r="Q104" i="31"/>
  <c r="O179" i="1"/>
  <c r="D52" i="31" s="1"/>
  <c r="AF179" i="1"/>
  <c r="AO179" i="1"/>
  <c r="C179" i="1" s="1"/>
  <c r="AE179" i="1"/>
  <c r="P179" i="1"/>
  <c r="B72" i="6"/>
  <c r="D72" i="37" s="1"/>
  <c r="A72" i="37" s="1"/>
  <c r="D71" i="6"/>
  <c r="B71" i="20"/>
  <c r="B71" i="10"/>
  <c r="B71" i="11"/>
  <c r="B231" i="13"/>
  <c r="B71" i="15"/>
  <c r="B71" i="16"/>
  <c r="B231" i="17"/>
  <c r="B71" i="17"/>
  <c r="B232" i="18"/>
  <c r="B231" i="12"/>
  <c r="B71" i="13"/>
  <c r="B71" i="12"/>
  <c r="B71" i="14"/>
  <c r="B71" i="9"/>
  <c r="B71" i="18"/>
  <c r="E168" i="1"/>
  <c r="AO168" i="1" s="1"/>
  <c r="C168" i="1" s="1"/>
  <c r="E162" i="1"/>
  <c r="Y5" i="17" l="1"/>
  <c r="Y165" i="17"/>
  <c r="Y169" i="18"/>
  <c r="Y287" i="18"/>
  <c r="X257" i="18"/>
  <c r="Y95" i="15"/>
  <c r="Y95" i="18"/>
  <c r="Y259" i="18" s="1"/>
  <c r="Y83" i="15"/>
  <c r="Y34" i="17"/>
  <c r="Y194" i="17"/>
  <c r="Y34" i="18" s="1"/>
  <c r="Y194" i="18" s="1"/>
  <c r="Z276" i="12"/>
  <c r="AA116" i="10"/>
  <c r="G116" i="20" s="1"/>
  <c r="X306" i="18"/>
  <c r="Z212" i="12"/>
  <c r="Z52" i="16" s="1"/>
  <c r="AA52" i="10"/>
  <c r="G52" i="20" s="1"/>
  <c r="AD223" i="1" s="1"/>
  <c r="Y147" i="17"/>
  <c r="Y307" i="17"/>
  <c r="Z83" i="11"/>
  <c r="Z243" i="12"/>
  <c r="AA83" i="10"/>
  <c r="G83" i="20" s="1"/>
  <c r="Z291" i="12"/>
  <c r="Z131" i="16" s="1"/>
  <c r="AA131" i="10"/>
  <c r="G131" i="20" s="1"/>
  <c r="Z157" i="11"/>
  <c r="Z317" i="12"/>
  <c r="AA157" i="10"/>
  <c r="G157" i="20" s="1"/>
  <c r="Z174" i="12"/>
  <c r="AA14" i="10"/>
  <c r="G14" i="20" s="1"/>
  <c r="AD447" i="1" s="1"/>
  <c r="Z95" i="11"/>
  <c r="Z255" i="12"/>
  <c r="AA95" i="10"/>
  <c r="G95" i="20" s="1"/>
  <c r="Z152" i="11"/>
  <c r="Z312" i="12"/>
  <c r="AA152" i="10"/>
  <c r="G152" i="20" s="1"/>
  <c r="Z44" i="11"/>
  <c r="Z204" i="12"/>
  <c r="AA44" i="10"/>
  <c r="G44" i="20" s="1"/>
  <c r="AD178" i="1" s="1"/>
  <c r="Y67" i="15"/>
  <c r="Y67" i="18"/>
  <c r="Y228" i="18" s="1"/>
  <c r="Y63" i="17"/>
  <c r="Y223" i="17"/>
  <c r="Z215" i="12"/>
  <c r="AA55" i="10"/>
  <c r="G55" i="20" s="1"/>
  <c r="AD290" i="1" s="1"/>
  <c r="Z234" i="12"/>
  <c r="Z74" i="16" s="1"/>
  <c r="AA74" i="10"/>
  <c r="G74" i="20" s="1"/>
  <c r="Y114" i="18"/>
  <c r="Y281" i="18" s="1"/>
  <c r="Y114" i="15"/>
  <c r="Z183" i="12"/>
  <c r="AA23" i="10"/>
  <c r="G23" i="20" s="1"/>
  <c r="AD457" i="1" s="1"/>
  <c r="Z98" i="11"/>
  <c r="Z258" i="12"/>
  <c r="AA98" i="10"/>
  <c r="G98" i="20" s="1"/>
  <c r="Z150" i="11"/>
  <c r="Z310" i="12"/>
  <c r="AA150" i="10"/>
  <c r="G150" i="20" s="1"/>
  <c r="X311" i="18"/>
  <c r="Z125" i="11"/>
  <c r="Z285" i="12"/>
  <c r="AA125" i="10"/>
  <c r="G125" i="20" s="1"/>
  <c r="Z121" i="11"/>
  <c r="Z281" i="12"/>
  <c r="AA121" i="10"/>
  <c r="G121" i="20" s="1"/>
  <c r="Z47" i="11"/>
  <c r="Z207" i="12"/>
  <c r="AA47" i="10"/>
  <c r="G47" i="20" s="1"/>
  <c r="AD24" i="1" s="1"/>
  <c r="Z141" i="11"/>
  <c r="Z301" i="12"/>
  <c r="AA141" i="10"/>
  <c r="G141" i="20" s="1"/>
  <c r="Z22" i="11"/>
  <c r="Z182" i="12"/>
  <c r="AA22" i="10"/>
  <c r="G22" i="20" s="1"/>
  <c r="AD456" i="1" s="1"/>
  <c r="Z158" i="11"/>
  <c r="Z318" i="12"/>
  <c r="Z158" i="16" s="1"/>
  <c r="AA158" i="10"/>
  <c r="G158" i="20" s="1"/>
  <c r="Z123" i="11"/>
  <c r="Z283" i="12"/>
  <c r="AA123" i="10"/>
  <c r="G123" i="20" s="1"/>
  <c r="Y131" i="18"/>
  <c r="Y298" i="18" s="1"/>
  <c r="Y131" i="15"/>
  <c r="Z54" i="11"/>
  <c r="Z214" i="12"/>
  <c r="AA54" i="10"/>
  <c r="G54" i="20" s="1"/>
  <c r="AD37" i="1" s="1"/>
  <c r="Z299" i="12"/>
  <c r="Z139" i="16" s="1"/>
  <c r="AA139" i="10"/>
  <c r="G139" i="20" s="1"/>
  <c r="Z173" i="12"/>
  <c r="Z13" i="16" s="1"/>
  <c r="AA13" i="10"/>
  <c r="G13" i="20" s="1"/>
  <c r="AD446" i="1" s="1"/>
  <c r="Y119" i="15"/>
  <c r="Z306" i="12"/>
  <c r="Z146" i="16" s="1"/>
  <c r="AA146" i="10"/>
  <c r="G146" i="20" s="1"/>
  <c r="Z155" i="11"/>
  <c r="Z315" i="12"/>
  <c r="AA155" i="10"/>
  <c r="G155" i="20" s="1"/>
  <c r="X203" i="18"/>
  <c r="Z138" i="11"/>
  <c r="Z298" i="12"/>
  <c r="AA138" i="10"/>
  <c r="G138" i="20" s="1"/>
  <c r="Z189" i="12"/>
  <c r="Z29" i="16" s="1"/>
  <c r="AA29" i="10"/>
  <c r="G29" i="20" s="1"/>
  <c r="AD322" i="1" s="1"/>
  <c r="Y7" i="18"/>
  <c r="Y167" i="18" s="1"/>
  <c r="Y146" i="18"/>
  <c r="Y315" i="18" s="1"/>
  <c r="Y5" i="13"/>
  <c r="Y165" i="13"/>
  <c r="Y5" i="14" s="1"/>
  <c r="Y5" i="15" s="1"/>
  <c r="Y243" i="17"/>
  <c r="Y83" i="18" s="1"/>
  <c r="Y245" i="18" s="1"/>
  <c r="Y83" i="17"/>
  <c r="Z213" i="12"/>
  <c r="Z53" i="16" s="1"/>
  <c r="AA53" i="10"/>
  <c r="G53" i="20" s="1"/>
  <c r="AD495" i="1" s="1"/>
  <c r="Z94" i="11"/>
  <c r="Z254" i="12"/>
  <c r="AA94" i="10"/>
  <c r="G94" i="20" s="1"/>
  <c r="Z92" i="11"/>
  <c r="Z252" i="12"/>
  <c r="Z92" i="16" s="1"/>
  <c r="AA92" i="10"/>
  <c r="G92" i="20" s="1"/>
  <c r="Y19" i="17"/>
  <c r="Y179" i="17"/>
  <c r="Y19" i="18" s="1"/>
  <c r="Y179" i="18" s="1"/>
  <c r="Y73" i="18"/>
  <c r="Y234" i="18" s="1"/>
  <c r="Y73" i="15"/>
  <c r="Z119" i="11"/>
  <c r="Z279" i="12"/>
  <c r="Z119" i="16" s="1"/>
  <c r="AA119" i="10"/>
  <c r="G119" i="20" s="1"/>
  <c r="Z294" i="12"/>
  <c r="Z134" i="16" s="1"/>
  <c r="AA134" i="10"/>
  <c r="G134" i="20" s="1"/>
  <c r="Y119" i="17"/>
  <c r="Y279" i="17"/>
  <c r="Y119" i="18" s="1"/>
  <c r="Y286" i="18" s="1"/>
  <c r="Z168" i="12"/>
  <c r="AA8" i="10"/>
  <c r="G8" i="20" s="1"/>
  <c r="AD441" i="1" s="1"/>
  <c r="Y30" i="18"/>
  <c r="Y190" i="18" s="1"/>
  <c r="Y30" i="15"/>
  <c r="Y19" i="15"/>
  <c r="Y15" i="18"/>
  <c r="Y175" i="18" s="1"/>
  <c r="Y15" i="15"/>
  <c r="Z109" i="11"/>
  <c r="Z269" i="12"/>
  <c r="AA109" i="10"/>
  <c r="G109" i="20" s="1"/>
  <c r="Z284" i="12"/>
  <c r="AA124" i="10"/>
  <c r="G124" i="20" s="1"/>
  <c r="Z259" i="12"/>
  <c r="Z99" i="16" s="1"/>
  <c r="AA99" i="10"/>
  <c r="G99" i="20" s="1"/>
  <c r="Z202" i="12"/>
  <c r="Z42" i="16" s="1"/>
  <c r="AA42" i="10"/>
  <c r="G42" i="20" s="1"/>
  <c r="Y91" i="18"/>
  <c r="Y255" i="18" s="1"/>
  <c r="Z69" i="11"/>
  <c r="Z229" i="12"/>
  <c r="AA69" i="10"/>
  <c r="G69" i="20" s="1"/>
  <c r="AD179" i="1" s="1"/>
  <c r="Z208" i="12"/>
  <c r="Z48" i="16" s="1"/>
  <c r="AA48" i="10"/>
  <c r="G48" i="20" s="1"/>
  <c r="Z261" i="12"/>
  <c r="Z101" i="16" s="1"/>
  <c r="AA101" i="10"/>
  <c r="G101" i="20" s="1"/>
  <c r="Y48" i="18"/>
  <c r="Y208" i="18" s="1"/>
  <c r="Y55" i="18"/>
  <c r="Y215" i="18" s="1"/>
  <c r="Y103" i="15"/>
  <c r="Y103" i="18"/>
  <c r="Y269" i="18" s="1"/>
  <c r="Z35" i="11"/>
  <c r="Z195" i="12"/>
  <c r="Z35" i="16" s="1"/>
  <c r="AA35" i="10"/>
  <c r="G35" i="20" s="1"/>
  <c r="AD50" i="1" s="1"/>
  <c r="Y69" i="15"/>
  <c r="Y69" i="18"/>
  <c r="Z267" i="12"/>
  <c r="AA107" i="10"/>
  <c r="G107" i="20" s="1"/>
  <c r="Z251" i="12"/>
  <c r="Z91" i="16" s="1"/>
  <c r="AA91" i="10"/>
  <c r="G91" i="20" s="1"/>
  <c r="Z117" i="11"/>
  <c r="Z277" i="12"/>
  <c r="Z117" i="16" s="1"/>
  <c r="AA117" i="10"/>
  <c r="G117" i="20" s="1"/>
  <c r="Y149" i="18"/>
  <c r="Y318" i="18" s="1"/>
  <c r="Y149" i="15"/>
  <c r="Z49" i="11"/>
  <c r="Z209" i="12"/>
  <c r="AA49" i="10"/>
  <c r="G49" i="20" s="1"/>
  <c r="AD192" i="1" s="1"/>
  <c r="Z275" i="12"/>
  <c r="AA115" i="10"/>
  <c r="G115" i="20" s="1"/>
  <c r="Z76" i="11"/>
  <c r="Z236" i="12"/>
  <c r="AA76" i="10"/>
  <c r="G76" i="20" s="1"/>
  <c r="Z296" i="12"/>
  <c r="Z136" i="16" s="1"/>
  <c r="AA136" i="10"/>
  <c r="G136" i="20" s="1"/>
  <c r="Z201" i="12"/>
  <c r="Z41" i="16" s="1"/>
  <c r="AA41" i="10"/>
  <c r="G41" i="20" s="1"/>
  <c r="AD411" i="1" s="1"/>
  <c r="X253" i="18"/>
  <c r="X167" i="18"/>
  <c r="Z263" i="12"/>
  <c r="AA103" i="10"/>
  <c r="G103" i="20" s="1"/>
  <c r="Y14" i="15"/>
  <c r="Z30" i="11"/>
  <c r="Z190" i="12"/>
  <c r="AA30" i="10"/>
  <c r="G30" i="20" s="1"/>
  <c r="Z19" i="11"/>
  <c r="Z179" i="12"/>
  <c r="AA19" i="10"/>
  <c r="G19" i="20" s="1"/>
  <c r="AD451" i="1" s="1"/>
  <c r="Z308" i="12"/>
  <c r="Z148" i="16" s="1"/>
  <c r="AA148" i="10"/>
  <c r="G148" i="20" s="1"/>
  <c r="Y94" i="18"/>
  <c r="Y258" i="18" s="1"/>
  <c r="Y39" i="18"/>
  <c r="Y199" i="18" s="1"/>
  <c r="Z233" i="12"/>
  <c r="AA73" i="10"/>
  <c r="G73" i="20" s="1"/>
  <c r="Z176" i="12"/>
  <c r="AA16" i="10"/>
  <c r="G16" i="20" s="1"/>
  <c r="AD448" i="1" s="1"/>
  <c r="Y26" i="15"/>
  <c r="Y174" i="17"/>
  <c r="Y14" i="18" s="1"/>
  <c r="Y174" i="18" s="1"/>
  <c r="Y14" i="17"/>
  <c r="Z57" i="11"/>
  <c r="Z217" i="12"/>
  <c r="Z57" i="16" s="1"/>
  <c r="AA57" i="10"/>
  <c r="G57" i="20" s="1"/>
  <c r="AD250" i="1" s="1"/>
  <c r="Z62" i="11"/>
  <c r="Z222" i="12"/>
  <c r="Z62" i="16" s="1"/>
  <c r="AA62" i="10"/>
  <c r="G62" i="20" s="1"/>
  <c r="AD412" i="1" s="1"/>
  <c r="Z230" i="12"/>
  <c r="Z70" i="16" s="1"/>
  <c r="AA70" i="10"/>
  <c r="G70" i="20" s="1"/>
  <c r="Z149" i="11"/>
  <c r="Z309" i="12"/>
  <c r="AA149" i="10"/>
  <c r="G149" i="20" s="1"/>
  <c r="Y145" i="15"/>
  <c r="Y145" i="18"/>
  <c r="Y314" i="18" s="1"/>
  <c r="Z127" i="11"/>
  <c r="Z287" i="12"/>
  <c r="AA127" i="10"/>
  <c r="G127" i="20" s="1"/>
  <c r="X319" i="18"/>
  <c r="Z271" i="12"/>
  <c r="AA111" i="10"/>
  <c r="G111" i="20" s="1"/>
  <c r="Z65" i="11"/>
  <c r="Z225" i="12"/>
  <c r="AA65" i="10"/>
  <c r="G65" i="20" s="1"/>
  <c r="AD193" i="1" s="1"/>
  <c r="Y124" i="18"/>
  <c r="Y291" i="18" s="1"/>
  <c r="Y124" i="15"/>
  <c r="Y109" i="15"/>
  <c r="Y109" i="18"/>
  <c r="Y275" i="18" s="1"/>
  <c r="Z79" i="11"/>
  <c r="Z239" i="12"/>
  <c r="AA79" i="10"/>
  <c r="G79" i="20" s="1"/>
  <c r="Z240" i="12"/>
  <c r="AA80" i="10"/>
  <c r="G80" i="20" s="1"/>
  <c r="Z15" i="11"/>
  <c r="Z175" i="12"/>
  <c r="AA15" i="10"/>
  <c r="G15" i="20" s="1"/>
  <c r="AD430" i="1" s="1"/>
  <c r="Z87" i="11"/>
  <c r="Z247" i="12"/>
  <c r="AA87" i="10"/>
  <c r="G87" i="20" s="1"/>
  <c r="Z302" i="12"/>
  <c r="Z142" i="16" s="1"/>
  <c r="AA142" i="10"/>
  <c r="G142" i="20" s="1"/>
  <c r="Z86" i="11"/>
  <c r="Z246" i="12"/>
  <c r="AA86" i="10"/>
  <c r="G86" i="20" s="1"/>
  <c r="Z280" i="12"/>
  <c r="AA120" i="10"/>
  <c r="G120" i="20" s="1"/>
  <c r="Z18" i="11"/>
  <c r="Z178" i="12"/>
  <c r="AA18" i="10"/>
  <c r="G18" i="20" s="1"/>
  <c r="AD450" i="1" s="1"/>
  <c r="Z249" i="12"/>
  <c r="AA89" i="10"/>
  <c r="G89" i="20" s="1"/>
  <c r="Z266" i="12"/>
  <c r="Z106" i="16" s="1"/>
  <c r="AA106" i="10"/>
  <c r="G106" i="20" s="1"/>
  <c r="Z50" i="11"/>
  <c r="Z210" i="12"/>
  <c r="AA50" i="10"/>
  <c r="G50" i="20" s="1"/>
  <c r="AD25" i="1" s="1"/>
  <c r="Z191" i="12"/>
  <c r="AA31" i="10"/>
  <c r="G31" i="20" s="1"/>
  <c r="AD104" i="1" s="1"/>
  <c r="Z180" i="12"/>
  <c r="Z20" i="16" s="1"/>
  <c r="AA20" i="10"/>
  <c r="G20" i="20" s="1"/>
  <c r="AD452" i="1" s="1"/>
  <c r="Z265" i="12"/>
  <c r="Z105" i="16" s="1"/>
  <c r="AA105" i="10"/>
  <c r="G105" i="20" s="1"/>
  <c r="Z305" i="12"/>
  <c r="Z145" i="16" s="1"/>
  <c r="AA145" i="10"/>
  <c r="G145" i="20" s="1"/>
  <c r="Z81" i="11"/>
  <c r="Z241" i="12"/>
  <c r="AA81" i="10"/>
  <c r="G81" i="20" s="1"/>
  <c r="Z227" i="12"/>
  <c r="AA67" i="10"/>
  <c r="G67" i="20" s="1"/>
  <c r="AD321" i="1" s="1"/>
  <c r="Y115" i="18"/>
  <c r="Y282" i="18" s="1"/>
  <c r="Y125" i="18"/>
  <c r="Y292" i="18" s="1"/>
  <c r="Y16" i="18"/>
  <c r="Y176" i="18" s="1"/>
  <c r="Z228" i="12"/>
  <c r="AA68" i="10"/>
  <c r="G68" i="20" s="1"/>
  <c r="AD211" i="1" s="1"/>
  <c r="Y90" i="15"/>
  <c r="Y90" i="18"/>
  <c r="Y254" i="18" s="1"/>
  <c r="Z147" i="11"/>
  <c r="Z307" i="12"/>
  <c r="AA147" i="10"/>
  <c r="G147" i="20" s="1"/>
  <c r="Z130" i="11"/>
  <c r="Z290" i="12"/>
  <c r="AA130" i="10"/>
  <c r="G130" i="20" s="1"/>
  <c r="Z116" i="11"/>
  <c r="Z26" i="11"/>
  <c r="Z186" i="12"/>
  <c r="AA26" i="10"/>
  <c r="G26" i="20" s="1"/>
  <c r="AD460" i="1" s="1"/>
  <c r="Z170" i="12"/>
  <c r="Z10" i="16" s="1"/>
  <c r="AA10" i="10"/>
  <c r="G10" i="20" s="1"/>
  <c r="AD442" i="1" s="1"/>
  <c r="Z134" i="11"/>
  <c r="Y26" i="17"/>
  <c r="Y186" i="17"/>
  <c r="Y26" i="18" s="1"/>
  <c r="Y186" i="18" s="1"/>
  <c r="Z205" i="12"/>
  <c r="Z45" i="16" s="1"/>
  <c r="AA45" i="10"/>
  <c r="G45" i="20" s="1"/>
  <c r="Z167" i="12"/>
  <c r="Z7" i="16" s="1"/>
  <c r="AA7" i="10"/>
  <c r="G7" i="20" s="1"/>
  <c r="AD439" i="1" s="1"/>
  <c r="Z278" i="12"/>
  <c r="Z118" i="16" s="1"/>
  <c r="AA118" i="10"/>
  <c r="G118" i="20" s="1"/>
  <c r="Z8" i="11"/>
  <c r="Z274" i="12"/>
  <c r="Z114" i="16" s="1"/>
  <c r="AA114" i="10"/>
  <c r="G114" i="20" s="1"/>
  <c r="Z34" i="11"/>
  <c r="Z194" i="12"/>
  <c r="Z34" i="16" s="1"/>
  <c r="AA34" i="10"/>
  <c r="G34" i="20" s="1"/>
  <c r="AD291" i="1" s="1"/>
  <c r="Z172" i="12"/>
  <c r="AA12" i="10"/>
  <c r="G12" i="20" s="1"/>
  <c r="AD445" i="1" s="1"/>
  <c r="Z42" i="11"/>
  <c r="Z250" i="12"/>
  <c r="AA90" i="10"/>
  <c r="G90" i="20" s="1"/>
  <c r="Z9" i="11"/>
  <c r="Z169" i="12"/>
  <c r="AA9" i="10"/>
  <c r="G9" i="20" s="1"/>
  <c r="AD423" i="1" s="1"/>
  <c r="Z48" i="11"/>
  <c r="Y147" i="15"/>
  <c r="Y147" i="18"/>
  <c r="Y316" i="18" s="1"/>
  <c r="Z43" i="11"/>
  <c r="Z203" i="12"/>
  <c r="AA43" i="10"/>
  <c r="G43" i="20" s="1"/>
  <c r="AD38" i="1" s="1"/>
  <c r="Z129" i="11"/>
  <c r="Z289" i="12"/>
  <c r="Z129" i="16" s="1"/>
  <c r="AA129" i="10"/>
  <c r="G129" i="20" s="1"/>
  <c r="Z91" i="11"/>
  <c r="Z63" i="11"/>
  <c r="Z223" i="12"/>
  <c r="AA63" i="10"/>
  <c r="G63" i="20" s="1"/>
  <c r="AD440" i="1" s="1"/>
  <c r="Y57" i="15"/>
  <c r="Y57" i="18"/>
  <c r="Y217" i="18" s="1"/>
  <c r="Z5" i="11"/>
  <c r="Z165" i="12"/>
  <c r="AA5" i="10"/>
  <c r="G5" i="20" s="1"/>
  <c r="AD437" i="1" s="1"/>
  <c r="Z154" i="11"/>
  <c r="Z314" i="12"/>
  <c r="AA154" i="10"/>
  <c r="G154" i="20" s="1"/>
  <c r="Z41" i="11"/>
  <c r="Z253" i="12"/>
  <c r="Z93" i="16" s="1"/>
  <c r="AA93" i="10"/>
  <c r="G93" i="20" s="1"/>
  <c r="Z282" i="12"/>
  <c r="AA122" i="10"/>
  <c r="G122" i="20" s="1"/>
  <c r="Z199" i="12"/>
  <c r="AA39" i="10"/>
  <c r="G39" i="20" s="1"/>
  <c r="AD486" i="1" s="1"/>
  <c r="Z242" i="12"/>
  <c r="Z82" i="16" s="1"/>
  <c r="AA82" i="10"/>
  <c r="G82" i="20" s="1"/>
  <c r="Y34" i="15"/>
  <c r="Z108" i="11"/>
  <c r="Z268" i="12"/>
  <c r="AA108" i="10"/>
  <c r="G108" i="20" s="1"/>
  <c r="Z103" i="11"/>
  <c r="Z220" i="12"/>
  <c r="Z60" i="16" s="1"/>
  <c r="AA60" i="10"/>
  <c r="G60" i="20" s="1"/>
  <c r="AD74" i="1" s="1"/>
  <c r="Y101" i="15"/>
  <c r="Y101" i="18"/>
  <c r="Y266" i="18" s="1"/>
  <c r="Z139" i="11"/>
  <c r="Z316" i="12"/>
  <c r="Z156" i="16" s="1"/>
  <c r="AA156" i="10"/>
  <c r="G156" i="20" s="1"/>
  <c r="B74" i="22"/>
  <c r="D73" i="22"/>
  <c r="Z257" i="12"/>
  <c r="AA97" i="10"/>
  <c r="G97" i="20" s="1"/>
  <c r="Z29" i="11"/>
  <c r="Y63" i="15"/>
  <c r="Y63" i="18"/>
  <c r="Y62" i="18"/>
  <c r="Y222" i="18" s="1"/>
  <c r="Y44" i="18"/>
  <c r="Y204" i="18" s="1"/>
  <c r="E475" i="1"/>
  <c r="AO475" i="1" s="1"/>
  <c r="C475" i="1" s="1"/>
  <c r="AD162" i="1"/>
  <c r="O162" i="1"/>
  <c r="D47" i="31" s="1"/>
  <c r="D72" i="6"/>
  <c r="B73" i="6"/>
  <c r="D73" i="37" s="1"/>
  <c r="A73" i="37" s="1"/>
  <c r="B72" i="20"/>
  <c r="B72" i="10"/>
  <c r="B72" i="11"/>
  <c r="B232" i="12"/>
  <c r="B72" i="12"/>
  <c r="B232" i="13"/>
  <c r="B72" i="13"/>
  <c r="B72" i="14"/>
  <c r="B72" i="15"/>
  <c r="B72" i="16"/>
  <c r="B232" i="17"/>
  <c r="B72" i="17"/>
  <c r="B233" i="18"/>
  <c r="B72" i="18"/>
  <c r="B72" i="9"/>
  <c r="AE162" i="1"/>
  <c r="AO162" i="1"/>
  <c r="C162" i="1" s="1"/>
  <c r="AF162" i="1"/>
  <c r="P162" i="1"/>
  <c r="Z156" i="17" l="1"/>
  <c r="Z316" i="17"/>
  <c r="Z205" i="17"/>
  <c r="Z45" i="17"/>
  <c r="Z180" i="17"/>
  <c r="Z20" i="17"/>
  <c r="Z136" i="17"/>
  <c r="Z296" i="17"/>
  <c r="Z117" i="17"/>
  <c r="Z277" i="17"/>
  <c r="Z173" i="17"/>
  <c r="Z13" i="17"/>
  <c r="Z195" i="17"/>
  <c r="Z35" i="17"/>
  <c r="Z306" i="17"/>
  <c r="Z146" i="17"/>
  <c r="Z201" i="17"/>
  <c r="Z41" i="17"/>
  <c r="Z251" i="17"/>
  <c r="Z91" i="17"/>
  <c r="Z208" i="17"/>
  <c r="Z48" i="17"/>
  <c r="Z213" i="17"/>
  <c r="Z53" i="17"/>
  <c r="Z234" i="17"/>
  <c r="Z74" i="17"/>
  <c r="Z97" i="13"/>
  <c r="Z257" i="13"/>
  <c r="Z97" i="14" s="1"/>
  <c r="Z282" i="13"/>
  <c r="Z122" i="14" s="1"/>
  <c r="Z122" i="13"/>
  <c r="Z90" i="16"/>
  <c r="Z90" i="13"/>
  <c r="Z250" i="13"/>
  <c r="Z90" i="14" s="1"/>
  <c r="Z12" i="13"/>
  <c r="Z172" i="13"/>
  <c r="Z12" i="14" s="1"/>
  <c r="Z228" i="13"/>
  <c r="Z68" i="14" s="1"/>
  <c r="Z68" i="13"/>
  <c r="Z31" i="13"/>
  <c r="Z191" i="13"/>
  <c r="Z31" i="14" s="1"/>
  <c r="Z18" i="16"/>
  <c r="Z178" i="13"/>
  <c r="Z18" i="14" s="1"/>
  <c r="Z18" i="13"/>
  <c r="Z120" i="16"/>
  <c r="Z280" i="13"/>
  <c r="Z120" i="14" s="1"/>
  <c r="Z120" i="13"/>
  <c r="Z15" i="16"/>
  <c r="Z15" i="13"/>
  <c r="Z175" i="13"/>
  <c r="Z15" i="14" s="1"/>
  <c r="Z240" i="13"/>
  <c r="Z80" i="14" s="1"/>
  <c r="Z80" i="13"/>
  <c r="Z111" i="16"/>
  <c r="Z111" i="13"/>
  <c r="Z271" i="13"/>
  <c r="Z111" i="14" s="1"/>
  <c r="Z308" i="13"/>
  <c r="Z148" i="14" s="1"/>
  <c r="Z148" i="13"/>
  <c r="AD10" i="39"/>
  <c r="AD117" i="1"/>
  <c r="Z49" i="16"/>
  <c r="Z209" i="13"/>
  <c r="Z49" i="14" s="1"/>
  <c r="Z49" i="13"/>
  <c r="Z107" i="16"/>
  <c r="Z267" i="13"/>
  <c r="Z107" i="14" s="1"/>
  <c r="Z107" i="13"/>
  <c r="Z42" i="13"/>
  <c r="Z202" i="13"/>
  <c r="Z42" i="14" s="1"/>
  <c r="Z42" i="15" s="1"/>
  <c r="Z138" i="16"/>
  <c r="Z138" i="13"/>
  <c r="Z298" i="13"/>
  <c r="Z138" i="14" s="1"/>
  <c r="Z139" i="13"/>
  <c r="Z299" i="13"/>
  <c r="Z47" i="16"/>
  <c r="Z47" i="13"/>
  <c r="Z207" i="13"/>
  <c r="Z47" i="14" s="1"/>
  <c r="Z150" i="16"/>
  <c r="Z310" i="13"/>
  <c r="Z150" i="14" s="1"/>
  <c r="Z150" i="13"/>
  <c r="Z258" i="13"/>
  <c r="Z98" i="14" s="1"/>
  <c r="Z98" i="13"/>
  <c r="Z183" i="13"/>
  <c r="Z23" i="14" s="1"/>
  <c r="Z23" i="13"/>
  <c r="Z215" i="13"/>
  <c r="Z55" i="14" s="1"/>
  <c r="Z55" i="13"/>
  <c r="Z44" i="16"/>
  <c r="Z44" i="13"/>
  <c r="Z204" i="13"/>
  <c r="Z44" i="14" s="1"/>
  <c r="Z5" i="16"/>
  <c r="Z5" i="13"/>
  <c r="Z165" i="13"/>
  <c r="Z5" i="14" s="1"/>
  <c r="AD40" i="1"/>
  <c r="N42" i="1" s="1"/>
  <c r="O42" i="1" s="1"/>
  <c r="Z9" i="16"/>
  <c r="Z169" i="13"/>
  <c r="Z9" i="14" s="1"/>
  <c r="Z9" i="13"/>
  <c r="Z7" i="17"/>
  <c r="Z167" i="17"/>
  <c r="Z45" i="13"/>
  <c r="Z205" i="13"/>
  <c r="Z45" i="14" s="1"/>
  <c r="Z67" i="16"/>
  <c r="Z227" i="13"/>
  <c r="Z67" i="14" s="1"/>
  <c r="Z67" i="13"/>
  <c r="Z105" i="17"/>
  <c r="Z265" i="17"/>
  <c r="Z180" i="13"/>
  <c r="Z20" i="14" s="1"/>
  <c r="Z20" i="15" s="1"/>
  <c r="Z20" i="13"/>
  <c r="Z266" i="17"/>
  <c r="Z106" i="17"/>
  <c r="Z89" i="16"/>
  <c r="Z89" i="13"/>
  <c r="Z249" i="13"/>
  <c r="Z89" i="14" s="1"/>
  <c r="Z302" i="17"/>
  <c r="Z142" i="17"/>
  <c r="Z87" i="16"/>
  <c r="Z87" i="13"/>
  <c r="Z247" i="13"/>
  <c r="Z87" i="14" s="1"/>
  <c r="Z65" i="16"/>
  <c r="Z225" i="13"/>
  <c r="Z65" i="14" s="1"/>
  <c r="Z65" i="13"/>
  <c r="Z127" i="16"/>
  <c r="Z287" i="13"/>
  <c r="Z127" i="14" s="1"/>
  <c r="Z127" i="13"/>
  <c r="Z73" i="13"/>
  <c r="Z233" i="13"/>
  <c r="Z73" i="14" s="1"/>
  <c r="Z30" i="16"/>
  <c r="Z190" i="13"/>
  <c r="Z30" i="14" s="1"/>
  <c r="Z30" i="13"/>
  <c r="Z136" i="13"/>
  <c r="Z296" i="13"/>
  <c r="Z136" i="14" s="1"/>
  <c r="Z136" i="15" s="1"/>
  <c r="Y230" i="18"/>
  <c r="Z195" i="13"/>
  <c r="Z35" i="14" s="1"/>
  <c r="Z35" i="15" s="1"/>
  <c r="Z35" i="13"/>
  <c r="Z101" i="17"/>
  <c r="Z261" i="17"/>
  <c r="Z48" i="13"/>
  <c r="Z208" i="13"/>
  <c r="Z48" i="14" s="1"/>
  <c r="Z48" i="15" s="1"/>
  <c r="Z124" i="16"/>
  <c r="Z124" i="13"/>
  <c r="Z284" i="13"/>
  <c r="Z124" i="14" s="1"/>
  <c r="Z279" i="17"/>
  <c r="Z119" i="17"/>
  <c r="Z92" i="17"/>
  <c r="Z252" i="17"/>
  <c r="Z94" i="16"/>
  <c r="Z254" i="13"/>
  <c r="Z94" i="14" s="1"/>
  <c r="Z94" i="13"/>
  <c r="Z53" i="13"/>
  <c r="Z213" i="13"/>
  <c r="Z53" i="14" s="1"/>
  <c r="Z189" i="17"/>
  <c r="Z29" i="17"/>
  <c r="Z155" i="16"/>
  <c r="Z155" i="13"/>
  <c r="Z315" i="13"/>
  <c r="Z155" i="14" s="1"/>
  <c r="Z306" i="13"/>
  <c r="Z146" i="14" s="1"/>
  <c r="Z146" i="13"/>
  <c r="Z173" i="13"/>
  <c r="Z13" i="14" s="1"/>
  <c r="Z13" i="15" s="1"/>
  <c r="Z13" i="13"/>
  <c r="AD7" i="39"/>
  <c r="Z141" i="16"/>
  <c r="Z141" i="13"/>
  <c r="Z301" i="13"/>
  <c r="Z141" i="14" s="1"/>
  <c r="Z74" i="13"/>
  <c r="Z234" i="13"/>
  <c r="Z74" i="14" s="1"/>
  <c r="Z74" i="15" s="1"/>
  <c r="Z14" i="16"/>
  <c r="Z14" i="13"/>
  <c r="Z174" i="13"/>
  <c r="Z14" i="14" s="1"/>
  <c r="Z83" i="16"/>
  <c r="Z243" i="13"/>
  <c r="Z83" i="14" s="1"/>
  <c r="Z83" i="13"/>
  <c r="Z116" i="16"/>
  <c r="Z116" i="13"/>
  <c r="Z276" i="13"/>
  <c r="Z116" i="14" s="1"/>
  <c r="Z316" i="13"/>
  <c r="Z156" i="14" s="1"/>
  <c r="Z156" i="15" s="1"/>
  <c r="Z156" i="13"/>
  <c r="B75" i="22"/>
  <c r="D74" i="22"/>
  <c r="Z108" i="16"/>
  <c r="Z268" i="13"/>
  <c r="Z108" i="14" s="1"/>
  <c r="Z108" i="13"/>
  <c r="Z242" i="17"/>
  <c r="Z82" i="17"/>
  <c r="Z93" i="17"/>
  <c r="Z253" i="17"/>
  <c r="Z63" i="16"/>
  <c r="Z223" i="13"/>
  <c r="Z63" i="14" s="1"/>
  <c r="Z63" i="13"/>
  <c r="Z43" i="16"/>
  <c r="Z43" i="13"/>
  <c r="Z203" i="13"/>
  <c r="Z43" i="14" s="1"/>
  <c r="Z34" i="17"/>
  <c r="Z194" i="17"/>
  <c r="Z118" i="17"/>
  <c r="Z278" i="17"/>
  <c r="Z26" i="16"/>
  <c r="Z186" i="13"/>
  <c r="Z26" i="14" s="1"/>
  <c r="Z26" i="13"/>
  <c r="Z147" i="16"/>
  <c r="Z147" i="13"/>
  <c r="Z307" i="13"/>
  <c r="Z147" i="14" s="1"/>
  <c r="Z305" i="17"/>
  <c r="Z145" i="17"/>
  <c r="Z265" i="13"/>
  <c r="Z105" i="14" s="1"/>
  <c r="Z105" i="15" s="1"/>
  <c r="Z105" i="13"/>
  <c r="Z50" i="16"/>
  <c r="Z50" i="13"/>
  <c r="Z210" i="13"/>
  <c r="Z50" i="14" s="1"/>
  <c r="Z106" i="13"/>
  <c r="Z266" i="13"/>
  <c r="Z106" i="14" s="1"/>
  <c r="Z106" i="15" s="1"/>
  <c r="Z86" i="16"/>
  <c r="Z246" i="13"/>
  <c r="Z86" i="14" s="1"/>
  <c r="Z86" i="13"/>
  <c r="Z302" i="13"/>
  <c r="Z142" i="14" s="1"/>
  <c r="Z142" i="13"/>
  <c r="Z79" i="16"/>
  <c r="Z239" i="13"/>
  <c r="Z79" i="14" s="1"/>
  <c r="Z79" i="13"/>
  <c r="Z149" i="16"/>
  <c r="Z309" i="13"/>
  <c r="Z149" i="14" s="1"/>
  <c r="Z149" i="13"/>
  <c r="Z230" i="17"/>
  <c r="Z70" i="17"/>
  <c r="Z222" i="17"/>
  <c r="Z62" i="17"/>
  <c r="Z57" i="17"/>
  <c r="Z217" i="17"/>
  <c r="Z73" i="16"/>
  <c r="Z19" i="16"/>
  <c r="Z179" i="13"/>
  <c r="Z19" i="14" s="1"/>
  <c r="Z19" i="13"/>
  <c r="Z103" i="16"/>
  <c r="Z103" i="13"/>
  <c r="Z263" i="13"/>
  <c r="Z103" i="14" s="1"/>
  <c r="Z201" i="13"/>
  <c r="Z41" i="14" s="1"/>
  <c r="Z41" i="15" s="1"/>
  <c r="Z41" i="13"/>
  <c r="Z115" i="16"/>
  <c r="Z275" i="13"/>
  <c r="Z115" i="14" s="1"/>
  <c r="Z115" i="13"/>
  <c r="Z277" i="13"/>
  <c r="Z117" i="14" s="1"/>
  <c r="Z117" i="15" s="1"/>
  <c r="Z117" i="13"/>
  <c r="Z91" i="13"/>
  <c r="Z251" i="13"/>
  <c r="Z91" i="14" s="1"/>
  <c r="Z91" i="15" s="1"/>
  <c r="Z261" i="13"/>
  <c r="Z101" i="14" s="1"/>
  <c r="Z101" i="15" s="1"/>
  <c r="Z101" i="13"/>
  <c r="AD9" i="39"/>
  <c r="AD76" i="1"/>
  <c r="Z259" i="17"/>
  <c r="Z99" i="17"/>
  <c r="Z8" i="16"/>
  <c r="Z168" i="13"/>
  <c r="Z8" i="14" s="1"/>
  <c r="Z8" i="13"/>
  <c r="Z134" i="17"/>
  <c r="Z294" i="17"/>
  <c r="Z119" i="13"/>
  <c r="Z279" i="13"/>
  <c r="Z119" i="14" s="1"/>
  <c r="Z119" i="15" s="1"/>
  <c r="Z92" i="13"/>
  <c r="Z252" i="13"/>
  <c r="Z92" i="14" s="1"/>
  <c r="Z92" i="15" s="1"/>
  <c r="Z189" i="13"/>
  <c r="Z29" i="14" s="1"/>
  <c r="Z29" i="13"/>
  <c r="Z54" i="16"/>
  <c r="Z214" i="13"/>
  <c r="Z54" i="14" s="1"/>
  <c r="Z54" i="13"/>
  <c r="Z318" i="17"/>
  <c r="Z158" i="17"/>
  <c r="Z22" i="16"/>
  <c r="Z182" i="13"/>
  <c r="Z22" i="14" s="1"/>
  <c r="Z22" i="13"/>
  <c r="Z125" i="16"/>
  <c r="Z125" i="13"/>
  <c r="Z285" i="13"/>
  <c r="Z125" i="14" s="1"/>
  <c r="Z95" i="16"/>
  <c r="Z95" i="13"/>
  <c r="Z255" i="13"/>
  <c r="Z95" i="14" s="1"/>
  <c r="Z131" i="17"/>
  <c r="Z291" i="17"/>
  <c r="Z212" i="17"/>
  <c r="Z52" i="17"/>
  <c r="Y5" i="18"/>
  <c r="Y165" i="18" s="1"/>
  <c r="Z39" i="16"/>
  <c r="Z199" i="13"/>
  <c r="Z39" i="14" s="1"/>
  <c r="Z39" i="13"/>
  <c r="Z139" i="14"/>
  <c r="Z60" i="17"/>
  <c r="Z220" i="17"/>
  <c r="Z154" i="16"/>
  <c r="Z154" i="13"/>
  <c r="Z314" i="13"/>
  <c r="Z154" i="14" s="1"/>
  <c r="Z289" i="17"/>
  <c r="Z129" i="17"/>
  <c r="Z274" i="17"/>
  <c r="Z114" i="17"/>
  <c r="Z167" i="13"/>
  <c r="Z7" i="14" s="1"/>
  <c r="Z7" i="15" s="1"/>
  <c r="Z7" i="13"/>
  <c r="Z170" i="17"/>
  <c r="Z10" i="17"/>
  <c r="Y223" i="18"/>
  <c r="Z97" i="16"/>
  <c r="Z60" i="13"/>
  <c r="Z220" i="13"/>
  <c r="Z60" i="14" s="1"/>
  <c r="Z242" i="13"/>
  <c r="Z82" i="14" s="1"/>
  <c r="Z82" i="13"/>
  <c r="Z122" i="16"/>
  <c r="Z93" i="13"/>
  <c r="Z253" i="13"/>
  <c r="Z93" i="14" s="1"/>
  <c r="Z93" i="15" s="1"/>
  <c r="Z129" i="13"/>
  <c r="Z289" i="13"/>
  <c r="Z129" i="14" s="1"/>
  <c r="Z129" i="15" s="1"/>
  <c r="Z12" i="16"/>
  <c r="Z34" i="13"/>
  <c r="Z194" i="13"/>
  <c r="Z34" i="14" s="1"/>
  <c r="Z34" i="15" s="1"/>
  <c r="Z114" i="13"/>
  <c r="Z274" i="13"/>
  <c r="Z114" i="14" s="1"/>
  <c r="Z114" i="15" s="1"/>
  <c r="Z278" i="13"/>
  <c r="Z118" i="14" s="1"/>
  <c r="Z118" i="13"/>
  <c r="Z170" i="13"/>
  <c r="Z10" i="14" s="1"/>
  <c r="Z10" i="13"/>
  <c r="Z130" i="16"/>
  <c r="Z130" i="13"/>
  <c r="Z290" i="13"/>
  <c r="Z130" i="14" s="1"/>
  <c r="Z68" i="16"/>
  <c r="Z81" i="16"/>
  <c r="Z81" i="13"/>
  <c r="Z241" i="13"/>
  <c r="Z81" i="14" s="1"/>
  <c r="Z305" i="13"/>
  <c r="Z145" i="14" s="1"/>
  <c r="Z145" i="15" s="1"/>
  <c r="Z145" i="13"/>
  <c r="Z31" i="16"/>
  <c r="AD432" i="1"/>
  <c r="N430" i="1" s="1"/>
  <c r="O430" i="1" s="1"/>
  <c r="Z80" i="16"/>
  <c r="Z230" i="13"/>
  <c r="Z70" i="14" s="1"/>
  <c r="Z70" i="15" s="1"/>
  <c r="Z70" i="13"/>
  <c r="Z222" i="13"/>
  <c r="Z62" i="14" s="1"/>
  <c r="Z62" i="15" s="1"/>
  <c r="Z62" i="13"/>
  <c r="Z217" i="13"/>
  <c r="Z57" i="14" s="1"/>
  <c r="Z57" i="15" s="1"/>
  <c r="Z57" i="13"/>
  <c r="Z16" i="16"/>
  <c r="Z16" i="13"/>
  <c r="Z176" i="13"/>
  <c r="Z16" i="14" s="1"/>
  <c r="Z148" i="17"/>
  <c r="Z308" i="17"/>
  <c r="Z76" i="16"/>
  <c r="Z236" i="13"/>
  <c r="Z76" i="14" s="1"/>
  <c r="Z76" i="13"/>
  <c r="AD12" i="39"/>
  <c r="AD119" i="1"/>
  <c r="Z69" i="16"/>
  <c r="Z229" i="13"/>
  <c r="Z69" i="14" s="1"/>
  <c r="Z69" i="13"/>
  <c r="Z42" i="17"/>
  <c r="Z202" i="17"/>
  <c r="Z259" i="13"/>
  <c r="Z99" i="14" s="1"/>
  <c r="Z99" i="15" s="1"/>
  <c r="Z99" i="13"/>
  <c r="Z109" i="16"/>
  <c r="Z109" i="13"/>
  <c r="Z269" i="13"/>
  <c r="Z109" i="14" s="1"/>
  <c r="Z134" i="13"/>
  <c r="Z294" i="13"/>
  <c r="Z134" i="14" s="1"/>
  <c r="Z299" i="17"/>
  <c r="Z139" i="17"/>
  <c r="Z123" i="16"/>
  <c r="Z283" i="13"/>
  <c r="Z123" i="14" s="1"/>
  <c r="Z123" i="13"/>
  <c r="Z318" i="13"/>
  <c r="Z158" i="14" s="1"/>
  <c r="Z158" i="15" s="1"/>
  <c r="Z158" i="13"/>
  <c r="Z121" i="16"/>
  <c r="Z281" i="13"/>
  <c r="Z121" i="14" s="1"/>
  <c r="Z121" i="13"/>
  <c r="Z98" i="16"/>
  <c r="Z23" i="16"/>
  <c r="Z55" i="16"/>
  <c r="Z152" i="16"/>
  <c r="Z312" i="13"/>
  <c r="Z152" i="14" s="1"/>
  <c r="Z152" i="13"/>
  <c r="Z157" i="16"/>
  <c r="Z317" i="13"/>
  <c r="Z157" i="14" s="1"/>
  <c r="Z157" i="13"/>
  <c r="Z131" i="13"/>
  <c r="Z291" i="13"/>
  <c r="Z131" i="14" s="1"/>
  <c r="Z131" i="15" s="1"/>
  <c r="Z212" i="13"/>
  <c r="Z52" i="14" s="1"/>
  <c r="Z52" i="15" s="1"/>
  <c r="Z52" i="13"/>
  <c r="AE475" i="1"/>
  <c r="AC475" i="1"/>
  <c r="S475" i="1" s="1"/>
  <c r="AD475" i="1"/>
  <c r="AF475" i="1"/>
  <c r="B74" i="6"/>
  <c r="D74" i="37" s="1"/>
  <c r="A74" i="37" s="1"/>
  <c r="D73" i="6"/>
  <c r="B73" i="20"/>
  <c r="B73" i="10"/>
  <c r="B73" i="15"/>
  <c r="B73" i="16"/>
  <c r="B233" i="17"/>
  <c r="B73" i="17"/>
  <c r="B234" i="18"/>
  <c r="B73" i="11"/>
  <c r="B233" i="13"/>
  <c r="B233" i="12"/>
  <c r="B73" i="13"/>
  <c r="B73" i="12"/>
  <c r="B73" i="9"/>
  <c r="B73" i="18"/>
  <c r="B73" i="14"/>
  <c r="E151" i="1"/>
  <c r="AO151" i="1" s="1"/>
  <c r="C151" i="1" s="1"/>
  <c r="E145" i="1"/>
  <c r="Z114" i="18" l="1"/>
  <c r="Z19" i="15"/>
  <c r="P41" i="1"/>
  <c r="P42" i="1"/>
  <c r="Z89" i="15"/>
  <c r="Z116" i="15"/>
  <c r="Z29" i="15"/>
  <c r="Z29" i="18"/>
  <c r="Z281" i="17"/>
  <c r="Z121" i="17"/>
  <c r="Z134" i="18"/>
  <c r="Z134" i="15"/>
  <c r="Z152" i="15"/>
  <c r="Z258" i="17"/>
  <c r="Z98" i="18" s="1"/>
  <c r="Z98" i="17"/>
  <c r="Z123" i="17"/>
  <c r="Z283" i="17"/>
  <c r="Z123" i="18" s="1"/>
  <c r="Z16" i="15"/>
  <c r="Z191" i="17"/>
  <c r="Z31" i="18" s="1"/>
  <c r="Z31" i="17"/>
  <c r="Z97" i="17"/>
  <c r="Z257" i="17"/>
  <c r="Z154" i="15"/>
  <c r="Z199" i="17"/>
  <c r="Z39" i="17"/>
  <c r="Z52" i="18"/>
  <c r="Z125" i="17"/>
  <c r="Z285" i="17"/>
  <c r="Z214" i="17"/>
  <c r="Z54" i="17"/>
  <c r="Z115" i="15"/>
  <c r="Z179" i="17"/>
  <c r="Z19" i="18" s="1"/>
  <c r="Z19" i="17"/>
  <c r="Z79" i="15"/>
  <c r="Z147" i="15"/>
  <c r="Z26" i="15"/>
  <c r="Z34" i="18"/>
  <c r="Z203" i="17"/>
  <c r="Z43" i="17"/>
  <c r="Z93" i="18"/>
  <c r="B76" i="22"/>
  <c r="D75" i="22"/>
  <c r="Z83" i="15"/>
  <c r="Z14" i="17"/>
  <c r="Z174" i="17"/>
  <c r="Z141" i="15"/>
  <c r="Z53" i="15"/>
  <c r="Z53" i="18"/>
  <c r="Z94" i="17"/>
  <c r="Z254" i="17"/>
  <c r="Z119" i="18"/>
  <c r="Z284" i="17"/>
  <c r="Z124" i="17"/>
  <c r="Z190" i="17"/>
  <c r="Z30" i="18" s="1"/>
  <c r="Z30" i="17"/>
  <c r="Z127" i="15"/>
  <c r="Z225" i="17"/>
  <c r="Z65" i="18" s="1"/>
  <c r="Z65" i="17"/>
  <c r="Z89" i="17"/>
  <c r="Z249" i="17"/>
  <c r="Z89" i="18" s="1"/>
  <c r="Z67" i="15"/>
  <c r="Z7" i="18"/>
  <c r="Z9" i="15"/>
  <c r="N41" i="1"/>
  <c r="O41" i="1" s="1"/>
  <c r="N43" i="1"/>
  <c r="O43" i="1" s="1"/>
  <c r="J17" i="31" s="1"/>
  <c r="P43" i="1"/>
  <c r="Z310" i="17"/>
  <c r="Z150" i="18" s="1"/>
  <c r="Z150" i="17"/>
  <c r="Z298" i="17"/>
  <c r="Z138" i="17"/>
  <c r="Z107" i="15"/>
  <c r="Z49" i="17"/>
  <c r="Z209" i="17"/>
  <c r="Z49" i="18" s="1"/>
  <c r="Z111" i="15"/>
  <c r="Z80" i="15"/>
  <c r="Z18" i="15"/>
  <c r="Z13" i="18"/>
  <c r="Z157" i="15"/>
  <c r="Z312" i="17"/>
  <c r="Z152" i="18" s="1"/>
  <c r="Z152" i="17"/>
  <c r="Z109" i="15"/>
  <c r="Z69" i="15"/>
  <c r="Z240" i="17"/>
  <c r="Z80" i="18" s="1"/>
  <c r="Z80" i="17"/>
  <c r="Z81" i="17"/>
  <c r="Z241" i="17"/>
  <c r="Z290" i="17"/>
  <c r="Z130" i="17"/>
  <c r="Z118" i="15"/>
  <c r="Z118" i="18"/>
  <c r="Z82" i="15"/>
  <c r="Z82" i="18"/>
  <c r="Z281" i="18"/>
  <c r="AA281" i="18" s="1"/>
  <c r="D114" i="20"/>
  <c r="AA114" i="18"/>
  <c r="Z139" i="15"/>
  <c r="Z139" i="18"/>
  <c r="Z131" i="18"/>
  <c r="Z255" i="17"/>
  <c r="Z95" i="18" s="1"/>
  <c r="Z95" i="17"/>
  <c r="Z158" i="18"/>
  <c r="Z275" i="17"/>
  <c r="Z115" i="18" s="1"/>
  <c r="Z115" i="17"/>
  <c r="Z263" i="17"/>
  <c r="Z103" i="17"/>
  <c r="Z73" i="17"/>
  <c r="Z233" i="17"/>
  <c r="Z62" i="18"/>
  <c r="Z149" i="15"/>
  <c r="Z239" i="17"/>
  <c r="Z79" i="18" s="1"/>
  <c r="Z79" i="17"/>
  <c r="Z86" i="15"/>
  <c r="Z50" i="15"/>
  <c r="Z26" i="17"/>
  <c r="Z186" i="17"/>
  <c r="Z26" i="18" s="1"/>
  <c r="Z108" i="15"/>
  <c r="Z243" i="17"/>
  <c r="Z83" i="18" s="1"/>
  <c r="Z83" i="17"/>
  <c r="Z155" i="17"/>
  <c r="Z315" i="17"/>
  <c r="Z92" i="18"/>
  <c r="Z73" i="15"/>
  <c r="Z73" i="18"/>
  <c r="Z287" i="17"/>
  <c r="Z127" i="18" s="1"/>
  <c r="Z127" i="17"/>
  <c r="Z87" i="15"/>
  <c r="Z105" i="18"/>
  <c r="Z227" i="17"/>
  <c r="Z67" i="18" s="1"/>
  <c r="Z67" i="17"/>
  <c r="Z9" i="17"/>
  <c r="Z169" i="17"/>
  <c r="Z9" i="18" s="1"/>
  <c r="Z5" i="15"/>
  <c r="Z44" i="15"/>
  <c r="Z55" i="15"/>
  <c r="Z98" i="15"/>
  <c r="Z47" i="15"/>
  <c r="Z267" i="17"/>
  <c r="Z107" i="18" s="1"/>
  <c r="Z107" i="17"/>
  <c r="Z15" i="15"/>
  <c r="Z120" i="15"/>
  <c r="Z18" i="17"/>
  <c r="Z178" i="17"/>
  <c r="Z18" i="18" s="1"/>
  <c r="Z68" i="15"/>
  <c r="Z90" i="15"/>
  <c r="Z122" i="15"/>
  <c r="Z74" i="18"/>
  <c r="Z48" i="18"/>
  <c r="Z41" i="18"/>
  <c r="Z117" i="18"/>
  <c r="Z156" i="18"/>
  <c r="Z317" i="17"/>
  <c r="Z157" i="18" s="1"/>
  <c r="Z157" i="17"/>
  <c r="Z215" i="17"/>
  <c r="Z55" i="18" s="1"/>
  <c r="Z55" i="17"/>
  <c r="Z121" i="18"/>
  <c r="Z121" i="15"/>
  <c r="Z42" i="18"/>
  <c r="Z229" i="17"/>
  <c r="Z69" i="18" s="1"/>
  <c r="Z69" i="17"/>
  <c r="Z76" i="15"/>
  <c r="Z176" i="17"/>
  <c r="Z16" i="18" s="1"/>
  <c r="Z16" i="17"/>
  <c r="P430" i="1"/>
  <c r="Z228" i="17"/>
  <c r="Z68" i="18" s="1"/>
  <c r="Z68" i="17"/>
  <c r="Z12" i="17"/>
  <c r="Z172" i="17"/>
  <c r="Z12" i="18" s="1"/>
  <c r="Z60" i="15"/>
  <c r="Z60" i="18"/>
  <c r="Z314" i="17"/>
  <c r="Z154" i="18" s="1"/>
  <c r="Z154" i="17"/>
  <c r="Z125" i="15"/>
  <c r="Z125" i="18"/>
  <c r="Z22" i="15"/>
  <c r="Z8" i="15"/>
  <c r="Z99" i="18"/>
  <c r="Z57" i="18"/>
  <c r="Z309" i="17"/>
  <c r="Z149" i="18" s="1"/>
  <c r="Z149" i="17"/>
  <c r="Z86" i="17"/>
  <c r="Z246" i="17"/>
  <c r="Z86" i="18" s="1"/>
  <c r="Z147" i="17"/>
  <c r="Z307" i="17"/>
  <c r="Z147" i="18" s="1"/>
  <c r="Z43" i="15"/>
  <c r="Z43" i="18"/>
  <c r="Z63" i="15"/>
  <c r="Z268" i="17"/>
  <c r="Z108" i="18" s="1"/>
  <c r="Z108" i="17"/>
  <c r="Z116" i="17"/>
  <c r="Z276" i="17"/>
  <c r="Z116" i="18" s="1"/>
  <c r="Z14" i="18"/>
  <c r="Z14" i="15"/>
  <c r="Z301" i="17"/>
  <c r="Z141" i="18" s="1"/>
  <c r="Z141" i="17"/>
  <c r="Z146" i="15"/>
  <c r="Z146" i="18"/>
  <c r="Z124" i="15"/>
  <c r="Z124" i="18"/>
  <c r="Z106" i="18"/>
  <c r="Z45" i="15"/>
  <c r="Z45" i="18"/>
  <c r="Z138" i="15"/>
  <c r="Z138" i="18"/>
  <c r="Z148" i="18"/>
  <c r="Z148" i="15"/>
  <c r="Z271" i="17"/>
  <c r="Z111" i="18" s="1"/>
  <c r="Z111" i="17"/>
  <c r="Z280" i="17"/>
  <c r="Z120" i="18" s="1"/>
  <c r="Z120" i="17"/>
  <c r="Z31" i="15"/>
  <c r="Z97" i="15"/>
  <c r="Z97" i="18"/>
  <c r="Z35" i="18"/>
  <c r="Z20" i="18"/>
  <c r="Z183" i="17"/>
  <c r="Z23" i="18" s="1"/>
  <c r="Z23" i="17"/>
  <c r="Z123" i="15"/>
  <c r="Z269" i="17"/>
  <c r="Z109" i="18" s="1"/>
  <c r="Z109" i="17"/>
  <c r="Z76" i="17"/>
  <c r="Z236" i="17"/>
  <c r="Z76" i="18" s="1"/>
  <c r="O432" i="1"/>
  <c r="J115" i="31"/>
  <c r="J210" i="31" s="1"/>
  <c r="Q210" i="31" s="1"/>
  <c r="Z81" i="15"/>
  <c r="Z81" i="18"/>
  <c r="Z130" i="15"/>
  <c r="Z130" i="18"/>
  <c r="Z10" i="15"/>
  <c r="Z10" i="18"/>
  <c r="Z282" i="17"/>
  <c r="Z122" i="18" s="1"/>
  <c r="Z122" i="17"/>
  <c r="Z129" i="18"/>
  <c r="Z39" i="18"/>
  <c r="Z39" i="15"/>
  <c r="Z95" i="15"/>
  <c r="Z182" i="17"/>
  <c r="Z22" i="18" s="1"/>
  <c r="Z22" i="17"/>
  <c r="Z54" i="18"/>
  <c r="Z54" i="15"/>
  <c r="Z168" i="17"/>
  <c r="Z8" i="18" s="1"/>
  <c r="Z8" i="17"/>
  <c r="Z103" i="18"/>
  <c r="Z103" i="15"/>
  <c r="Z70" i="18"/>
  <c r="Z142" i="18"/>
  <c r="Z142" i="15"/>
  <c r="Z210" i="17"/>
  <c r="Z50" i="18" s="1"/>
  <c r="Z50" i="17"/>
  <c r="Z145" i="18"/>
  <c r="Z63" i="17"/>
  <c r="Z223" i="17"/>
  <c r="Z63" i="18" s="1"/>
  <c r="Z155" i="15"/>
  <c r="Z155" i="18"/>
  <c r="Z94" i="18"/>
  <c r="Z94" i="15"/>
  <c r="Z101" i="18"/>
  <c r="Z30" i="15"/>
  <c r="Z65" i="15"/>
  <c r="Z247" i="17"/>
  <c r="Z87" i="18" s="1"/>
  <c r="Z87" i="17"/>
  <c r="J16" i="31"/>
  <c r="Z165" i="17"/>
  <c r="Z5" i="18" s="1"/>
  <c r="Z5" i="17"/>
  <c r="Z44" i="17"/>
  <c r="Z204" i="17"/>
  <c r="Z44" i="18" s="1"/>
  <c r="Z23" i="15"/>
  <c r="Z150" i="15"/>
  <c r="Z207" i="17"/>
  <c r="Z47" i="18" s="1"/>
  <c r="Z47" i="17"/>
  <c r="Z49" i="15"/>
  <c r="Z175" i="17"/>
  <c r="Z15" i="18" s="1"/>
  <c r="Z15" i="17"/>
  <c r="Z12" i="15"/>
  <c r="Z250" i="17"/>
  <c r="Z90" i="18" s="1"/>
  <c r="Z90" i="17"/>
  <c r="Z91" i="18"/>
  <c r="Z136" i="18"/>
  <c r="AD145" i="1"/>
  <c r="O145" i="1"/>
  <c r="D42" i="31" s="1"/>
  <c r="E264" i="1"/>
  <c r="E270" i="1"/>
  <c r="AO270" i="1" s="1"/>
  <c r="C270" i="1" s="1"/>
  <c r="AE145" i="1"/>
  <c r="AC145" i="1"/>
  <c r="S145" i="1" s="1"/>
  <c r="S151" i="1" s="1"/>
  <c r="AO145" i="1"/>
  <c r="C145" i="1" s="1"/>
  <c r="AF145" i="1"/>
  <c r="P145" i="1"/>
  <c r="D74" i="6"/>
  <c r="B75" i="6"/>
  <c r="D75" i="37" s="1"/>
  <c r="A75" i="37" s="1"/>
  <c r="B74" i="20"/>
  <c r="B74" i="10"/>
  <c r="B74" i="11"/>
  <c r="B234" i="12"/>
  <c r="B74" i="12"/>
  <c r="B234" i="13"/>
  <c r="B74" i="13"/>
  <c r="B74" i="14"/>
  <c r="B74" i="15"/>
  <c r="B74" i="16"/>
  <c r="B234" i="17"/>
  <c r="B74" i="17"/>
  <c r="B235" i="18"/>
  <c r="B74" i="18"/>
  <c r="B74" i="9"/>
  <c r="Z175" i="18" l="1"/>
  <c r="AA175" i="18" s="1"/>
  <c r="D15" i="20"/>
  <c r="AC430" i="1" s="1"/>
  <c r="AA15" i="18"/>
  <c r="Z207" i="18"/>
  <c r="AA207" i="18" s="1"/>
  <c r="D47" i="20"/>
  <c r="AC24" i="1" s="1"/>
  <c r="AA47" i="18"/>
  <c r="Z204" i="18"/>
  <c r="AA204" i="18" s="1"/>
  <c r="AA44" i="18"/>
  <c r="D44" i="20"/>
  <c r="AC178" i="1" s="1"/>
  <c r="Z223" i="18"/>
  <c r="AA223" i="18" s="1"/>
  <c r="AA63" i="18"/>
  <c r="D63" i="20"/>
  <c r="AC440" i="1" s="1"/>
  <c r="S440" i="1" s="1"/>
  <c r="Z210" i="18"/>
  <c r="AA210" i="18" s="1"/>
  <c r="AA50" i="18"/>
  <c r="D50" i="20"/>
  <c r="AC25" i="1" s="1"/>
  <c r="Z310" i="18"/>
  <c r="AA310" i="18" s="1"/>
  <c r="D141" i="20"/>
  <c r="AA141" i="18"/>
  <c r="Z250" i="18"/>
  <c r="AA250" i="18" s="1"/>
  <c r="D86" i="20"/>
  <c r="AA86" i="18"/>
  <c r="Z176" i="18"/>
  <c r="AA176" i="18" s="1"/>
  <c r="D16" i="20"/>
  <c r="AC448" i="1" s="1"/>
  <c r="S448" i="1" s="1"/>
  <c r="AA16" i="18"/>
  <c r="Z215" i="18"/>
  <c r="AA215" i="18" s="1"/>
  <c r="AA55" i="18"/>
  <c r="D55" i="20"/>
  <c r="AC290" i="1" s="1"/>
  <c r="Z273" i="18"/>
  <c r="AA273" i="18" s="1"/>
  <c r="AA107" i="18"/>
  <c r="D107" i="20"/>
  <c r="Z245" i="18"/>
  <c r="AA245" i="18" s="1"/>
  <c r="AA83" i="18"/>
  <c r="D83" i="20"/>
  <c r="Z254" i="18"/>
  <c r="AA254" i="18" s="1"/>
  <c r="AA90" i="18"/>
  <c r="D90" i="20"/>
  <c r="Z287" i="18"/>
  <c r="AA287" i="18" s="1"/>
  <c r="D120" i="20"/>
  <c r="AA120" i="18"/>
  <c r="Z228" i="18"/>
  <c r="AA228" i="18" s="1"/>
  <c r="D67" i="20"/>
  <c r="AC321" i="1" s="1"/>
  <c r="AA67" i="18"/>
  <c r="Z294" i="18"/>
  <c r="AA294" i="18" s="1"/>
  <c r="D127" i="20"/>
  <c r="AA127" i="18"/>
  <c r="Z251" i="18"/>
  <c r="AA251" i="18" s="1"/>
  <c r="AA87" i="18"/>
  <c r="D87" i="20"/>
  <c r="Z289" i="18"/>
  <c r="AA289" i="18" s="1"/>
  <c r="AA122" i="18"/>
  <c r="D122" i="20"/>
  <c r="Z275" i="18"/>
  <c r="AA275" i="18" s="1"/>
  <c r="AA109" i="18"/>
  <c r="D109" i="20"/>
  <c r="Z274" i="18"/>
  <c r="AA274" i="18" s="1"/>
  <c r="D108" i="20"/>
  <c r="AA108" i="18"/>
  <c r="Z316" i="18"/>
  <c r="AA316" i="18" s="1"/>
  <c r="AA147" i="18"/>
  <c r="D147" i="20"/>
  <c r="Z328" i="18"/>
  <c r="AA328" i="18" s="1"/>
  <c r="D157" i="20"/>
  <c r="AA157" i="18"/>
  <c r="Z169" i="18"/>
  <c r="AA169" i="18" s="1"/>
  <c r="D9" i="20"/>
  <c r="AC423" i="1" s="1"/>
  <c r="S423" i="1" s="1"/>
  <c r="AA9" i="18"/>
  <c r="Z186" i="18"/>
  <c r="AA186" i="18" s="1"/>
  <c r="AA26" i="18"/>
  <c r="D26" i="20"/>
  <c r="AC460" i="1" s="1"/>
  <c r="S460" i="1" s="1"/>
  <c r="Z322" i="18"/>
  <c r="AA322" i="18" s="1"/>
  <c r="AA152" i="18"/>
  <c r="D152" i="20"/>
  <c r="Z165" i="18"/>
  <c r="AA165" i="18" s="1"/>
  <c r="D5" i="20"/>
  <c r="AC437" i="1" s="1"/>
  <c r="AA5" i="18"/>
  <c r="Z168" i="18"/>
  <c r="AA168" i="18" s="1"/>
  <c r="AA8" i="18"/>
  <c r="D8" i="20"/>
  <c r="AC441" i="1" s="1"/>
  <c r="S441" i="1" s="1"/>
  <c r="Z182" i="18"/>
  <c r="AA182" i="18" s="1"/>
  <c r="AA22" i="18"/>
  <c r="D22" i="20"/>
  <c r="AC456" i="1" s="1"/>
  <c r="S456" i="1" s="1"/>
  <c r="Z237" i="18"/>
  <c r="AA237" i="18" s="1"/>
  <c r="AA76" i="18"/>
  <c r="D76" i="20"/>
  <c r="Z278" i="18"/>
  <c r="AA278" i="18" s="1"/>
  <c r="AA111" i="18"/>
  <c r="D111" i="20"/>
  <c r="Z283" i="18"/>
  <c r="AA283" i="18" s="1"/>
  <c r="D116" i="20"/>
  <c r="AA116" i="18"/>
  <c r="Z318" i="18"/>
  <c r="AA318" i="18" s="1"/>
  <c r="AA149" i="18"/>
  <c r="D149" i="20"/>
  <c r="Z325" i="18"/>
  <c r="AA325" i="18" s="1"/>
  <c r="AA154" i="18"/>
  <c r="D154" i="20"/>
  <c r="Z230" i="18"/>
  <c r="AA230" i="18" s="1"/>
  <c r="D69" i="20"/>
  <c r="AC179" i="1" s="1"/>
  <c r="AA69" i="18"/>
  <c r="Z178" i="18"/>
  <c r="AA178" i="18" s="1"/>
  <c r="D18" i="20"/>
  <c r="AC450" i="1" s="1"/>
  <c r="S450" i="1" s="1"/>
  <c r="AA18" i="18"/>
  <c r="Z241" i="18"/>
  <c r="AA241" i="18" s="1"/>
  <c r="D79" i="20"/>
  <c r="AA79" i="18"/>
  <c r="Z282" i="18"/>
  <c r="AA282" i="18" s="1"/>
  <c r="D115" i="20"/>
  <c r="AA115" i="18"/>
  <c r="Z225" i="18"/>
  <c r="AA225" i="18" s="1"/>
  <c r="AA65" i="18"/>
  <c r="D65" i="20"/>
  <c r="AC193" i="1" s="1"/>
  <c r="Z266" i="18"/>
  <c r="AA266" i="18" s="1"/>
  <c r="AA101" i="18"/>
  <c r="D101" i="20"/>
  <c r="Z269" i="18"/>
  <c r="AA269" i="18" s="1"/>
  <c r="D103" i="20"/>
  <c r="AA103" i="18"/>
  <c r="Z214" i="18"/>
  <c r="AA214" i="18" s="1"/>
  <c r="AA54" i="18"/>
  <c r="D54" i="20"/>
  <c r="AC37" i="1" s="1"/>
  <c r="Z297" i="18"/>
  <c r="AA297" i="18" s="1"/>
  <c r="D130" i="20"/>
  <c r="AA130" i="18"/>
  <c r="Z195" i="18"/>
  <c r="AA195" i="18" s="1"/>
  <c r="AA35" i="18"/>
  <c r="D35" i="20"/>
  <c r="AC50" i="1" s="1"/>
  <c r="Z291" i="18"/>
  <c r="AA291" i="18" s="1"/>
  <c r="AA124" i="18"/>
  <c r="D124" i="20"/>
  <c r="Z263" i="18"/>
  <c r="AA263" i="18" s="1"/>
  <c r="D99" i="20"/>
  <c r="AA99" i="18"/>
  <c r="Z288" i="18"/>
  <c r="AA288" i="18" s="1"/>
  <c r="AA121" i="18"/>
  <c r="D121" i="20"/>
  <c r="Z208" i="18"/>
  <c r="AA208" i="18" s="1"/>
  <c r="AA48" i="18"/>
  <c r="D48" i="20"/>
  <c r="Z298" i="18"/>
  <c r="AA298" i="18" s="1"/>
  <c r="AA131" i="18"/>
  <c r="D131" i="20"/>
  <c r="Z285" i="18"/>
  <c r="AA285" i="18" s="1"/>
  <c r="AA118" i="18"/>
  <c r="D118" i="20"/>
  <c r="Z167" i="18"/>
  <c r="AA167" i="18" s="1"/>
  <c r="D7" i="20"/>
  <c r="AC439" i="1" s="1"/>
  <c r="S439" i="1" s="1"/>
  <c r="AA7" i="18"/>
  <c r="Z257" i="18"/>
  <c r="AA257" i="18" s="1"/>
  <c r="AA93" i="18"/>
  <c r="D93" i="20"/>
  <c r="Z212" i="18"/>
  <c r="AA212" i="18" s="1"/>
  <c r="AA52" i="18"/>
  <c r="D52" i="20"/>
  <c r="AC223" i="1" s="1"/>
  <c r="Z191" i="18"/>
  <c r="AA191" i="18" s="1"/>
  <c r="AA31" i="18"/>
  <c r="D31" i="20"/>
  <c r="AC104" i="1" s="1"/>
  <c r="Z261" i="18"/>
  <c r="AA261" i="18" s="1"/>
  <c r="AA97" i="18"/>
  <c r="D97" i="20"/>
  <c r="Z317" i="18"/>
  <c r="AA317" i="18" s="1"/>
  <c r="AA148" i="18"/>
  <c r="D148" i="20"/>
  <c r="Z205" i="18"/>
  <c r="AA205" i="18" s="1"/>
  <c r="AA45" i="18"/>
  <c r="D45" i="20"/>
  <c r="Z292" i="18"/>
  <c r="AA292" i="18" s="1"/>
  <c r="D125" i="20"/>
  <c r="AA125" i="18"/>
  <c r="Z220" i="18"/>
  <c r="AA220" i="18" s="1"/>
  <c r="D60" i="20"/>
  <c r="AA60" i="18"/>
  <c r="Z327" i="18"/>
  <c r="AA327" i="18" s="1"/>
  <c r="AA156" i="18"/>
  <c r="D156" i="20"/>
  <c r="Z235" i="18"/>
  <c r="AA235" i="18" s="1"/>
  <c r="D74" i="20"/>
  <c r="AA74" i="18"/>
  <c r="Z271" i="18"/>
  <c r="AA271" i="18" s="1"/>
  <c r="AA105" i="18"/>
  <c r="D105" i="20"/>
  <c r="Z222" i="18"/>
  <c r="AA222" i="18" s="1"/>
  <c r="AA62" i="18"/>
  <c r="D62" i="20"/>
  <c r="AC412" i="1" s="1"/>
  <c r="S412" i="1" s="1"/>
  <c r="Z329" i="18"/>
  <c r="AA329" i="18" s="1"/>
  <c r="D158" i="20"/>
  <c r="AA158" i="18"/>
  <c r="Z307" i="18"/>
  <c r="AA307" i="18" s="1"/>
  <c r="AA139" i="18"/>
  <c r="D139" i="20"/>
  <c r="Z173" i="18"/>
  <c r="AA173" i="18" s="1"/>
  <c r="D13" i="20"/>
  <c r="AC446" i="1" s="1"/>
  <c r="S446" i="1" s="1"/>
  <c r="AA13" i="18"/>
  <c r="J15" i="31"/>
  <c r="J181" i="31" s="1"/>
  <c r="O45" i="1"/>
  <c r="Z213" i="18"/>
  <c r="AA213" i="18" s="1"/>
  <c r="D53" i="20"/>
  <c r="AC495" i="1" s="1"/>
  <c r="AA53" i="18"/>
  <c r="Z303" i="18"/>
  <c r="AA303" i="18" s="1"/>
  <c r="D136" i="20"/>
  <c r="AA136" i="18"/>
  <c r="Z314" i="18"/>
  <c r="AA314" i="18" s="1"/>
  <c r="AA145" i="18"/>
  <c r="D145" i="20"/>
  <c r="Z311" i="18"/>
  <c r="AA311" i="18" s="1"/>
  <c r="AA142" i="18"/>
  <c r="D142" i="20"/>
  <c r="Z255" i="18"/>
  <c r="AA255" i="18" s="1"/>
  <c r="D91" i="20"/>
  <c r="AA91" i="18"/>
  <c r="Z209" i="18"/>
  <c r="AA209" i="18" s="1"/>
  <c r="AA49" i="18"/>
  <c r="D49" i="20"/>
  <c r="AC192" i="1" s="1"/>
  <c r="Z319" i="18"/>
  <c r="AA319" i="18" s="1"/>
  <c r="D150" i="20"/>
  <c r="AA150" i="18"/>
  <c r="Z258" i="18"/>
  <c r="AA258" i="18" s="1"/>
  <c r="AA94" i="18"/>
  <c r="D94" i="20"/>
  <c r="Z231" i="18"/>
  <c r="AA231" i="18" s="1"/>
  <c r="D70" i="20"/>
  <c r="AC162" i="1" s="1"/>
  <c r="AA70" i="18"/>
  <c r="Z199" i="18"/>
  <c r="AA199" i="18" s="1"/>
  <c r="AA39" i="18"/>
  <c r="D39" i="20"/>
  <c r="AC486" i="1" s="1"/>
  <c r="Z170" i="18"/>
  <c r="AA170" i="18" s="1"/>
  <c r="AA10" i="18"/>
  <c r="D10" i="20"/>
  <c r="AC442" i="1" s="1"/>
  <c r="S442" i="1" s="1"/>
  <c r="Z243" i="18"/>
  <c r="AA243" i="18" s="1"/>
  <c r="AA81" i="18"/>
  <c r="D81" i="20"/>
  <c r="Z183" i="18"/>
  <c r="AA183" i="18" s="1"/>
  <c r="D23" i="20"/>
  <c r="AC457" i="1" s="1"/>
  <c r="S457" i="1" s="1"/>
  <c r="AA23" i="18"/>
  <c r="Z315" i="18"/>
  <c r="AA315" i="18" s="1"/>
  <c r="D146" i="20"/>
  <c r="AA146" i="18"/>
  <c r="Z203" i="18"/>
  <c r="AA203" i="18" s="1"/>
  <c r="D43" i="20"/>
  <c r="AC38" i="1" s="1"/>
  <c r="AA43" i="18"/>
  <c r="Z217" i="18"/>
  <c r="AA217" i="18" s="1"/>
  <c r="D57" i="20"/>
  <c r="AC250" i="1" s="1"/>
  <c r="AA57" i="18"/>
  <c r="Z229" i="18"/>
  <c r="AA229" i="18" s="1"/>
  <c r="D68" i="20"/>
  <c r="AC211" i="1" s="1"/>
  <c r="AA68" i="18"/>
  <c r="Z202" i="18"/>
  <c r="AA202" i="18" s="1"/>
  <c r="D42" i="20"/>
  <c r="AA42" i="18"/>
  <c r="Z284" i="18"/>
  <c r="AA284" i="18" s="1"/>
  <c r="D117" i="20"/>
  <c r="AA117" i="18"/>
  <c r="Z234" i="18"/>
  <c r="AA234" i="18" s="1"/>
  <c r="AA73" i="18"/>
  <c r="D73" i="20"/>
  <c r="AC264" i="1" s="1"/>
  <c r="S264" i="1" s="1"/>
  <c r="S270" i="1" s="1"/>
  <c r="Z256" i="18"/>
  <c r="AA256" i="18" s="1"/>
  <c r="D92" i="20"/>
  <c r="AA92" i="18"/>
  <c r="Z244" i="18"/>
  <c r="AA244" i="18" s="1"/>
  <c r="D82" i="20"/>
  <c r="AA82" i="18"/>
  <c r="Z286" i="18"/>
  <c r="AA286" i="18" s="1"/>
  <c r="D119" i="20"/>
  <c r="AA119" i="18"/>
  <c r="Z189" i="18"/>
  <c r="AA189" i="18" s="1"/>
  <c r="D29" i="20"/>
  <c r="AC322" i="1" s="1"/>
  <c r="AA29" i="18"/>
  <c r="Z190" i="18"/>
  <c r="AA190" i="18" s="1"/>
  <c r="AA30" i="18"/>
  <c r="D30" i="20"/>
  <c r="Z326" i="18"/>
  <c r="AA326" i="18" s="1"/>
  <c r="AA155" i="18"/>
  <c r="D155" i="20"/>
  <c r="Z259" i="18"/>
  <c r="AA259" i="18" s="1"/>
  <c r="AA95" i="18"/>
  <c r="D95" i="20"/>
  <c r="Z296" i="18"/>
  <c r="AA296" i="18" s="1"/>
  <c r="AA129" i="18"/>
  <c r="D129" i="20"/>
  <c r="Z290" i="18"/>
  <c r="AA290" i="18" s="1"/>
  <c r="D123" i="20"/>
  <c r="AA123" i="18"/>
  <c r="Z180" i="18"/>
  <c r="AA180" i="18" s="1"/>
  <c r="D20" i="20"/>
  <c r="AC452" i="1" s="1"/>
  <c r="S452" i="1" s="1"/>
  <c r="AA20" i="18"/>
  <c r="Z306" i="18"/>
  <c r="AA306" i="18" s="1"/>
  <c r="AA138" i="18"/>
  <c r="D138" i="20"/>
  <c r="Z272" i="18"/>
  <c r="AA272" i="18" s="1"/>
  <c r="AA106" i="18"/>
  <c r="D106" i="20"/>
  <c r="Z174" i="18"/>
  <c r="AA174" i="18" s="1"/>
  <c r="AA14" i="18"/>
  <c r="D14" i="20"/>
  <c r="AC447" i="1" s="1"/>
  <c r="S447" i="1" s="1"/>
  <c r="Z172" i="18"/>
  <c r="AA172" i="18" s="1"/>
  <c r="AA12" i="18"/>
  <c r="D12" i="20"/>
  <c r="AC445" i="1" s="1"/>
  <c r="S445" i="1" s="1"/>
  <c r="Z201" i="18"/>
  <c r="AA201" i="18" s="1"/>
  <c r="AA41" i="18"/>
  <c r="D41" i="20"/>
  <c r="AC411" i="1" s="1"/>
  <c r="S411" i="1" s="1"/>
  <c r="Z242" i="18"/>
  <c r="AA242" i="18" s="1"/>
  <c r="AA80" i="18"/>
  <c r="D80" i="20"/>
  <c r="Z253" i="18"/>
  <c r="AA253" i="18" s="1"/>
  <c r="AA89" i="18"/>
  <c r="D89" i="20"/>
  <c r="D76" i="22"/>
  <c r="B77" i="22"/>
  <c r="Z194" i="18"/>
  <c r="AA194" i="18" s="1"/>
  <c r="D34" i="20"/>
  <c r="AC291" i="1" s="1"/>
  <c r="AA34" i="18"/>
  <c r="Z179" i="18"/>
  <c r="AA179" i="18" s="1"/>
  <c r="AA19" i="18"/>
  <c r="D19" i="20"/>
  <c r="AC451" i="1" s="1"/>
  <c r="S451" i="1" s="1"/>
  <c r="Z262" i="18"/>
  <c r="AA262" i="18" s="1"/>
  <c r="D98" i="20"/>
  <c r="AA98" i="18"/>
  <c r="Z301" i="18"/>
  <c r="AA301" i="18" s="1"/>
  <c r="AA134" i="18"/>
  <c r="D134" i="20"/>
  <c r="E470" i="1"/>
  <c r="N481" i="1" s="1"/>
  <c r="AD264" i="1"/>
  <c r="O264" i="1"/>
  <c r="D74" i="31" s="1"/>
  <c r="AO264" i="1"/>
  <c r="C264" i="1" s="1"/>
  <c r="AE264" i="1"/>
  <c r="P264" i="1"/>
  <c r="AF264" i="1"/>
  <c r="B76" i="6"/>
  <c r="D76" i="37" s="1"/>
  <c r="A76" i="37" s="1"/>
  <c r="D75" i="6"/>
  <c r="B75" i="20"/>
  <c r="B75" i="10"/>
  <c r="B75" i="12"/>
  <c r="B75" i="14"/>
  <c r="B75" i="15"/>
  <c r="B75" i="16"/>
  <c r="B235" i="17"/>
  <c r="B75" i="17"/>
  <c r="B236" i="18"/>
  <c r="B75" i="11"/>
  <c r="B235" i="13"/>
  <c r="B235" i="12"/>
  <c r="B75" i="13"/>
  <c r="B75" i="9"/>
  <c r="B75" i="18"/>
  <c r="T145" i="1"/>
  <c r="R145" i="1"/>
  <c r="S322" i="1" l="1"/>
  <c r="S328" i="1" s="1"/>
  <c r="T322" i="1"/>
  <c r="R322" i="1"/>
  <c r="S192" i="1"/>
  <c r="S198" i="1" s="1"/>
  <c r="R192" i="1"/>
  <c r="T192" i="1"/>
  <c r="S291" i="1"/>
  <c r="S297" i="1" s="1"/>
  <c r="T291" i="1"/>
  <c r="R291" i="1"/>
  <c r="S250" i="1"/>
  <c r="S253" i="1" s="1"/>
  <c r="T250" i="1"/>
  <c r="R250" i="1"/>
  <c r="AC74" i="1"/>
  <c r="AC7" i="39"/>
  <c r="S179" i="1"/>
  <c r="S184" i="1" s="1"/>
  <c r="T179" i="1"/>
  <c r="R179" i="1"/>
  <c r="S437" i="1"/>
  <c r="Q465" i="1"/>
  <c r="T465" i="1"/>
  <c r="S290" i="1"/>
  <c r="S296" i="1" s="1"/>
  <c r="T290" i="1"/>
  <c r="R290" i="1"/>
  <c r="S25" i="1"/>
  <c r="S30" i="1" s="1"/>
  <c r="T25" i="1"/>
  <c r="R25" i="1"/>
  <c r="S162" i="1"/>
  <c r="S168" i="1" s="1"/>
  <c r="T162" i="1"/>
  <c r="R162" i="1"/>
  <c r="S211" i="1"/>
  <c r="S215" i="1" s="1"/>
  <c r="R211" i="1"/>
  <c r="T211" i="1"/>
  <c r="S223" i="1"/>
  <c r="S229" i="1" s="1"/>
  <c r="R223" i="1"/>
  <c r="E63" i="31" s="1"/>
  <c r="Q63" i="31" s="1"/>
  <c r="T223" i="1"/>
  <c r="S37" i="1"/>
  <c r="S41" i="1" s="1"/>
  <c r="T37" i="1"/>
  <c r="AC40" i="1"/>
  <c r="H41" i="1" s="1"/>
  <c r="R37" i="1"/>
  <c r="S430" i="1"/>
  <c r="AC432" i="1"/>
  <c r="H430" i="1" s="1"/>
  <c r="Q432" i="1"/>
  <c r="T432" i="1"/>
  <c r="R104" i="1"/>
  <c r="S104" i="1"/>
  <c r="S110" i="1" s="1"/>
  <c r="T104" i="1"/>
  <c r="S193" i="1"/>
  <c r="S199" i="1" s="1"/>
  <c r="T193" i="1"/>
  <c r="R193" i="1"/>
  <c r="S321" i="1"/>
  <c r="S327" i="1" s="1"/>
  <c r="T321" i="1"/>
  <c r="R321" i="1"/>
  <c r="S178" i="1"/>
  <c r="S183" i="1" s="1"/>
  <c r="T178" i="1"/>
  <c r="R178" i="1"/>
  <c r="S24" i="1"/>
  <c r="S29" i="1" s="1"/>
  <c r="R24" i="1"/>
  <c r="T24" i="1"/>
  <c r="B78" i="22"/>
  <c r="D77" i="22"/>
  <c r="AC10" i="39"/>
  <c r="AC117" i="1"/>
  <c r="AC9" i="39"/>
  <c r="AC76" i="1"/>
  <c r="S486" i="1"/>
  <c r="Q489" i="1"/>
  <c r="R489" i="1" s="1"/>
  <c r="T489" i="1"/>
  <c r="S38" i="1"/>
  <c r="S42" i="1" s="1"/>
  <c r="R38" i="1"/>
  <c r="T38" i="1"/>
  <c r="S495" i="1"/>
  <c r="R495" i="1"/>
  <c r="T495" i="1"/>
  <c r="AC12" i="39"/>
  <c r="AC119" i="1"/>
  <c r="S50" i="1"/>
  <c r="S54" i="1" s="1"/>
  <c r="T50" i="1"/>
  <c r="R50" i="1"/>
  <c r="AD470" i="1"/>
  <c r="AC470" i="1"/>
  <c r="S470" i="1" s="1"/>
  <c r="AO470" i="1"/>
  <c r="C470" i="1" s="1"/>
  <c r="P481" i="1"/>
  <c r="AE470" i="1"/>
  <c r="AF470" i="1"/>
  <c r="E42" i="31"/>
  <c r="Q42" i="31" s="1"/>
  <c r="AA145" i="1"/>
  <c r="AB145" i="1" s="1"/>
  <c r="O42" i="31" s="1"/>
  <c r="R264" i="1"/>
  <c r="T264" i="1"/>
  <c r="E180" i="1"/>
  <c r="E185" i="1"/>
  <c r="AO185" i="1" s="1"/>
  <c r="C185" i="1" s="1"/>
  <c r="D76" i="6"/>
  <c r="B77" i="6"/>
  <c r="D77" i="37" s="1"/>
  <c r="A77" i="37" s="1"/>
  <c r="B76" i="20"/>
  <c r="B76" i="10"/>
  <c r="B76" i="11"/>
  <c r="B236" i="12"/>
  <c r="B76" i="12"/>
  <c r="B236" i="13"/>
  <c r="B76" i="13"/>
  <c r="B76" i="14"/>
  <c r="B76" i="15"/>
  <c r="B76" i="16"/>
  <c r="B236" i="17"/>
  <c r="B76" i="17"/>
  <c r="B237" i="18"/>
  <c r="B76" i="18"/>
  <c r="B76" i="9"/>
  <c r="J42" i="1" l="1"/>
  <c r="H42" i="1"/>
  <c r="J41" i="1"/>
  <c r="AA223" i="1"/>
  <c r="AB223" i="1" s="1"/>
  <c r="O63" i="31" s="1"/>
  <c r="T481" i="1"/>
  <c r="J430" i="1"/>
  <c r="J432" i="1" s="1"/>
  <c r="Q430" i="1"/>
  <c r="R430" i="1" s="1"/>
  <c r="R432" i="1" s="1"/>
  <c r="T430" i="1"/>
  <c r="K115" i="31"/>
  <c r="K210" i="31" s="1"/>
  <c r="R210" i="31" s="1"/>
  <c r="AA50" i="1"/>
  <c r="AB50" i="1" s="1"/>
  <c r="O18" i="31" s="1"/>
  <c r="E18" i="31"/>
  <c r="Q18" i="31" s="1"/>
  <c r="S12" i="39"/>
  <c r="S33" i="39" s="1"/>
  <c r="T12" i="39"/>
  <c r="R12" i="39"/>
  <c r="S117" i="1"/>
  <c r="S121" i="1" s="1"/>
  <c r="T117" i="1"/>
  <c r="R117" i="1"/>
  <c r="I15" i="31"/>
  <c r="M41" i="1"/>
  <c r="E61" i="31"/>
  <c r="Q61" i="31" s="1"/>
  <c r="AA211" i="1"/>
  <c r="AB211" i="1" s="1"/>
  <c r="O61" i="31" s="1"/>
  <c r="S74" i="1"/>
  <c r="S78" i="1" s="1"/>
  <c r="R74" i="1"/>
  <c r="T74" i="1"/>
  <c r="E69" i="31"/>
  <c r="Q69" i="31" s="1"/>
  <c r="AA250" i="1"/>
  <c r="AB250" i="1" s="1"/>
  <c r="O69" i="31" s="1"/>
  <c r="E80" i="31"/>
  <c r="Q80" i="31" s="1"/>
  <c r="AA291" i="1"/>
  <c r="AB291" i="1" s="1"/>
  <c r="O80" i="31" s="1"/>
  <c r="AA192" i="1"/>
  <c r="AB192" i="1" s="1"/>
  <c r="O54" i="31" s="1"/>
  <c r="E54" i="31"/>
  <c r="Q54" i="31" s="1"/>
  <c r="E16" i="31"/>
  <c r="Q16" i="31" s="1"/>
  <c r="E63" i="30" s="1"/>
  <c r="F63" i="30" s="1"/>
  <c r="G63" i="30" s="1"/>
  <c r="Z38" i="1" s="1"/>
  <c r="AA38" i="1"/>
  <c r="AB38" i="1" s="1"/>
  <c r="O16" i="31" s="1"/>
  <c r="R10" i="39"/>
  <c r="T10" i="39"/>
  <c r="S10" i="39"/>
  <c r="S31" i="39" s="1"/>
  <c r="AA24" i="1"/>
  <c r="AB24" i="1" s="1"/>
  <c r="O13" i="31" s="1"/>
  <c r="E13" i="31"/>
  <c r="Q13" i="31" s="1"/>
  <c r="E55" i="31"/>
  <c r="Q55" i="31" s="1"/>
  <c r="AA193" i="1"/>
  <c r="AB193" i="1" s="1"/>
  <c r="O55" i="31" s="1"/>
  <c r="Q45" i="1"/>
  <c r="H43" i="1"/>
  <c r="T45" i="1"/>
  <c r="J43" i="1"/>
  <c r="AA290" i="1"/>
  <c r="AB290" i="1" s="1"/>
  <c r="O79" i="31" s="1"/>
  <c r="E79" i="31"/>
  <c r="Q79" i="31" s="1"/>
  <c r="AA495" i="1"/>
  <c r="AB495" i="1" s="1"/>
  <c r="O156" i="31" s="1"/>
  <c r="E156" i="31"/>
  <c r="R76" i="1"/>
  <c r="S76" i="1"/>
  <c r="S80" i="1" s="1"/>
  <c r="T76" i="1"/>
  <c r="E88" i="31"/>
  <c r="Q88" i="31" s="1"/>
  <c r="AA321" i="1"/>
  <c r="AB321" i="1" s="1"/>
  <c r="O88" i="31" s="1"/>
  <c r="T40" i="1"/>
  <c r="E14" i="31"/>
  <c r="Q14" i="31" s="1"/>
  <c r="AA25" i="1"/>
  <c r="AB25" i="1" s="1"/>
  <c r="O14" i="31" s="1"/>
  <c r="AA322" i="1"/>
  <c r="AB322" i="1" s="1"/>
  <c r="O89" i="31" s="1"/>
  <c r="E89" i="31"/>
  <c r="Q89" i="31" s="1"/>
  <c r="S119" i="1"/>
  <c r="S123" i="1" s="1"/>
  <c r="T119" i="1"/>
  <c r="R119" i="1"/>
  <c r="I16" i="31"/>
  <c r="R9" i="39"/>
  <c r="T9" i="39"/>
  <c r="S9" i="39"/>
  <c r="S30" i="39" s="1"/>
  <c r="B80" i="22"/>
  <c r="D78" i="22"/>
  <c r="AA178" i="1"/>
  <c r="AB178" i="1" s="1"/>
  <c r="O51" i="31" s="1"/>
  <c r="E51" i="31"/>
  <c r="Q51" i="31" s="1"/>
  <c r="AA104" i="1"/>
  <c r="AB104" i="1" s="1"/>
  <c r="O33" i="31" s="1"/>
  <c r="E33" i="31"/>
  <c r="Q33" i="31" s="1"/>
  <c r="I115" i="31"/>
  <c r="H432" i="1"/>
  <c r="M430" i="1"/>
  <c r="E15" i="31"/>
  <c r="R40" i="1"/>
  <c r="AA37" i="1"/>
  <c r="AA162" i="1"/>
  <c r="AB162" i="1" s="1"/>
  <c r="O47" i="31" s="1"/>
  <c r="E47" i="31"/>
  <c r="Q47" i="31" s="1"/>
  <c r="E52" i="31"/>
  <c r="Q52" i="31" s="1"/>
  <c r="AA179" i="1"/>
  <c r="AB179" i="1" s="1"/>
  <c r="O52" i="31" s="1"/>
  <c r="S7" i="39"/>
  <c r="S28" i="39" s="1"/>
  <c r="T7" i="39"/>
  <c r="Q481" i="1"/>
  <c r="E74" i="31"/>
  <c r="Q74" i="31" s="1"/>
  <c r="AA264" i="1"/>
  <c r="AB264" i="1" s="1"/>
  <c r="O74" i="31" s="1"/>
  <c r="AD180" i="1"/>
  <c r="O180" i="1"/>
  <c r="D53" i="31" s="1"/>
  <c r="E242" i="1"/>
  <c r="E239" i="1"/>
  <c r="B78" i="6"/>
  <c r="D78" i="37" s="1"/>
  <c r="A78" i="37" s="1"/>
  <c r="D77" i="6"/>
  <c r="B77" i="20"/>
  <c r="B77" i="10"/>
  <c r="B77" i="15"/>
  <c r="B77" i="16"/>
  <c r="B237" i="17"/>
  <c r="B77" i="17"/>
  <c r="B238" i="18"/>
  <c r="B77" i="12"/>
  <c r="B77" i="14"/>
  <c r="B77" i="11"/>
  <c r="B237" i="13"/>
  <c r="B77" i="13"/>
  <c r="B77" i="9"/>
  <c r="B77" i="18"/>
  <c r="B237" i="12"/>
  <c r="AF180" i="1"/>
  <c r="AO180" i="1"/>
  <c r="C180" i="1" s="1"/>
  <c r="AC180" i="1"/>
  <c r="S180" i="1" s="1"/>
  <c r="S185" i="1" s="1"/>
  <c r="AE180" i="1"/>
  <c r="P180" i="1"/>
  <c r="M42" i="1" l="1"/>
  <c r="J45" i="1"/>
  <c r="AA430" i="1"/>
  <c r="AA432" i="1" s="1"/>
  <c r="AA12" i="39"/>
  <c r="AB12" i="39" s="1"/>
  <c r="M432" i="1"/>
  <c r="B81" i="22"/>
  <c r="D80" i="22"/>
  <c r="AA119" i="1"/>
  <c r="AB119" i="1" s="1"/>
  <c r="O36" i="31" s="1"/>
  <c r="E36" i="31"/>
  <c r="Q36" i="31" s="1"/>
  <c r="E215" i="31"/>
  <c r="R215" i="31" s="1"/>
  <c r="S156" i="31"/>
  <c r="Q156" i="31"/>
  <c r="E64" i="30" s="1"/>
  <c r="F64" i="30" s="1"/>
  <c r="G64" i="30" s="1"/>
  <c r="Z495" i="1" s="1"/>
  <c r="H156" i="31" s="1"/>
  <c r="H215" i="31" s="1"/>
  <c r="U215" i="31" s="1"/>
  <c r="V215" i="31" s="1"/>
  <c r="T41" i="1"/>
  <c r="T42" i="1"/>
  <c r="AA10" i="39"/>
  <c r="AB10" i="39" s="1"/>
  <c r="I181" i="31"/>
  <c r="H16" i="31"/>
  <c r="Z42" i="1"/>
  <c r="N16" i="31" s="1"/>
  <c r="AB37" i="1"/>
  <c r="O15" i="31" s="1"/>
  <c r="AA40" i="1"/>
  <c r="AB40" i="1" s="1"/>
  <c r="AA9" i="39"/>
  <c r="AB9" i="39" s="1"/>
  <c r="T43" i="1"/>
  <c r="I17" i="31"/>
  <c r="M43" i="1"/>
  <c r="E34" i="31"/>
  <c r="Q34" i="31" s="1"/>
  <c r="AA117" i="1"/>
  <c r="AB117" i="1" s="1"/>
  <c r="O34" i="31" s="1"/>
  <c r="I210" i="31"/>
  <c r="P210" i="31" s="1"/>
  <c r="Q115" i="31"/>
  <c r="E5" i="30" s="1"/>
  <c r="F5" i="30" s="1"/>
  <c r="G5" i="30" s="1"/>
  <c r="Z430" i="1" s="1"/>
  <c r="S115" i="31"/>
  <c r="Q41" i="1"/>
  <c r="R41" i="1" s="1"/>
  <c r="Q42" i="1"/>
  <c r="R42" i="1" s="1"/>
  <c r="E181" i="31"/>
  <c r="Q15" i="31"/>
  <c r="E51" i="30" s="1"/>
  <c r="F51" i="30" s="1"/>
  <c r="G51" i="30" s="1"/>
  <c r="Z37" i="1" s="1"/>
  <c r="AA76" i="1"/>
  <c r="AB76" i="1" s="1"/>
  <c r="O25" i="31" s="1"/>
  <c r="E25" i="31"/>
  <c r="Q25" i="31" s="1"/>
  <c r="Q43" i="1"/>
  <c r="R43" i="1" s="1"/>
  <c r="K17" i="31" s="1"/>
  <c r="E23" i="31"/>
  <c r="Q23" i="31" s="1"/>
  <c r="AA74" i="1"/>
  <c r="AB74" i="1" s="1"/>
  <c r="O23" i="31" s="1"/>
  <c r="AD239" i="1"/>
  <c r="O239" i="1"/>
  <c r="D67" i="31" s="1"/>
  <c r="P245" i="1"/>
  <c r="N245" i="1"/>
  <c r="E403" i="1"/>
  <c r="AO403" i="1" s="1"/>
  <c r="C403" i="1" s="1"/>
  <c r="E399" i="1"/>
  <c r="P239" i="1"/>
  <c r="AO239" i="1"/>
  <c r="C239" i="1" s="1"/>
  <c r="AE239" i="1"/>
  <c r="AF239" i="1"/>
  <c r="AC239" i="1"/>
  <c r="S239" i="1" s="1"/>
  <c r="S242" i="1" s="1"/>
  <c r="AO242" i="1"/>
  <c r="C242" i="1" s="1"/>
  <c r="T180" i="1"/>
  <c r="R180" i="1"/>
  <c r="D78" i="6"/>
  <c r="B79" i="6"/>
  <c r="D79" i="37" s="1"/>
  <c r="A79" i="37" s="1"/>
  <c r="B78" i="20"/>
  <c r="B78" i="10"/>
  <c r="B78" i="11"/>
  <c r="B238" i="12"/>
  <c r="B78" i="12"/>
  <c r="B238" i="13"/>
  <c r="B78" i="13"/>
  <c r="B78" i="14"/>
  <c r="B240" i="18"/>
  <c r="B78" i="15"/>
  <c r="B78" i="16"/>
  <c r="B238" i="17"/>
  <c r="B78" i="17"/>
  <c r="B78" i="18"/>
  <c r="B78" i="9"/>
  <c r="AB430" i="1" l="1"/>
  <c r="P115" i="31" s="1"/>
  <c r="AB432" i="1"/>
  <c r="AA43" i="1"/>
  <c r="AB43" i="1" s="1"/>
  <c r="P17" i="31" s="1"/>
  <c r="D81" i="22"/>
  <c r="B82" i="22"/>
  <c r="K16" i="31"/>
  <c r="S16" i="31" s="1"/>
  <c r="AA42" i="1"/>
  <c r="AB42" i="1" s="1"/>
  <c r="P16" i="31" s="1"/>
  <c r="H15" i="31"/>
  <c r="H181" i="31" s="1"/>
  <c r="Z41" i="1"/>
  <c r="Z40" i="1"/>
  <c r="AA41" i="1"/>
  <c r="K15" i="31"/>
  <c r="R45" i="1"/>
  <c r="S17" i="31"/>
  <c r="Z432" i="1"/>
  <c r="N115" i="31"/>
  <c r="N210" i="31" s="1"/>
  <c r="U210" i="31" s="1"/>
  <c r="V210" i="31" s="1"/>
  <c r="E443" i="1"/>
  <c r="AD443" i="1" s="1"/>
  <c r="AA180" i="1"/>
  <c r="AB180" i="1" s="1"/>
  <c r="O53" i="31" s="1"/>
  <c r="E53" i="31"/>
  <c r="Q53" i="31" s="1"/>
  <c r="AD399" i="1"/>
  <c r="O399" i="1"/>
  <c r="D106" i="31" s="1"/>
  <c r="P399" i="1"/>
  <c r="AO399" i="1"/>
  <c r="C399" i="1" s="1"/>
  <c r="AE399" i="1"/>
  <c r="AF399" i="1"/>
  <c r="AC399" i="1"/>
  <c r="S399" i="1" s="1"/>
  <c r="S403" i="1" s="1"/>
  <c r="T239" i="1"/>
  <c r="R239" i="1"/>
  <c r="B80" i="6"/>
  <c r="D80" i="37" s="1"/>
  <c r="A80" i="37" s="1"/>
  <c r="D79" i="6"/>
  <c r="B79" i="20"/>
  <c r="B239" i="12"/>
  <c r="B79" i="13"/>
  <c r="B79" i="15"/>
  <c r="B79" i="16"/>
  <c r="B239" i="17"/>
  <c r="B79" i="17"/>
  <c r="B79" i="12"/>
  <c r="B79" i="14"/>
  <c r="B241" i="18"/>
  <c r="B79" i="11"/>
  <c r="B239" i="13"/>
  <c r="B79" i="10"/>
  <c r="B79" i="9"/>
  <c r="B79" i="18"/>
  <c r="AA45" i="1" l="1"/>
  <c r="AB41" i="1"/>
  <c r="P15" i="31" s="1"/>
  <c r="U16" i="31"/>
  <c r="R16" i="31"/>
  <c r="D82" i="22"/>
  <c r="B83" i="22"/>
  <c r="K181" i="31"/>
  <c r="S15" i="31"/>
  <c r="AC443" i="1"/>
  <c r="S443" i="1" s="1"/>
  <c r="N15" i="31"/>
  <c r="N181" i="31" s="1"/>
  <c r="Z45" i="1"/>
  <c r="R17" i="31"/>
  <c r="U17" i="31"/>
  <c r="AO443" i="1"/>
  <c r="C443" i="1" s="1"/>
  <c r="AF443" i="1"/>
  <c r="AE443" i="1"/>
  <c r="E67" i="31"/>
  <c r="AA239" i="1"/>
  <c r="AB239" i="1" s="1"/>
  <c r="O67" i="31" s="1"/>
  <c r="R399" i="1"/>
  <c r="T399" i="1"/>
  <c r="E231" i="1"/>
  <c r="AO231" i="1" s="1"/>
  <c r="C231" i="1" s="1"/>
  <c r="E225" i="1"/>
  <c r="D80" i="6"/>
  <c r="B81" i="6"/>
  <c r="D81" i="37" s="1"/>
  <c r="A81" i="37" s="1"/>
  <c r="B80" i="20"/>
  <c r="B80" i="10"/>
  <c r="B80" i="11"/>
  <c r="B240" i="12"/>
  <c r="B80" i="12"/>
  <c r="B240" i="13"/>
  <c r="B80" i="13"/>
  <c r="B80" i="14"/>
  <c r="B242" i="18"/>
  <c r="B80" i="15"/>
  <c r="B80" i="16"/>
  <c r="B240" i="17"/>
  <c r="B80" i="17"/>
  <c r="B80" i="18"/>
  <c r="B80" i="9"/>
  <c r="B84" i="22" l="1"/>
  <c r="D83" i="22"/>
  <c r="V15" i="31"/>
  <c r="U15" i="31"/>
  <c r="R15" i="31"/>
  <c r="Q67" i="31"/>
  <c r="E106" i="31"/>
  <c r="Q106" i="31" s="1"/>
  <c r="AA399" i="1"/>
  <c r="AB399" i="1" s="1"/>
  <c r="O106" i="31" s="1"/>
  <c r="AD225" i="1"/>
  <c r="O225" i="1"/>
  <c r="D65" i="31" s="1"/>
  <c r="B82" i="6"/>
  <c r="D82" i="37" s="1"/>
  <c r="A82" i="37" s="1"/>
  <c r="D81" i="6"/>
  <c r="B81" i="20"/>
  <c r="B81" i="10"/>
  <c r="B81" i="15"/>
  <c r="B81" i="16"/>
  <c r="B241" i="17"/>
  <c r="B81" i="17"/>
  <c r="B241" i="12"/>
  <c r="B81" i="13"/>
  <c r="B81" i="12"/>
  <c r="B81" i="14"/>
  <c r="B243" i="18"/>
  <c r="B81" i="11"/>
  <c r="B81" i="9"/>
  <c r="B81" i="18"/>
  <c r="B241" i="13"/>
  <c r="E196" i="1"/>
  <c r="E202" i="1"/>
  <c r="AO202" i="1" s="1"/>
  <c r="C202" i="1" s="1"/>
  <c r="AC225" i="1"/>
  <c r="S225" i="1" s="1"/>
  <c r="S231" i="1" s="1"/>
  <c r="AF225" i="1"/>
  <c r="AO225" i="1"/>
  <c r="C225" i="1" s="1"/>
  <c r="AE225" i="1"/>
  <c r="P225" i="1"/>
  <c r="C9" i="33" l="1"/>
  <c r="AA15" i="31"/>
  <c r="X181" i="31"/>
  <c r="B85" i="22"/>
  <c r="D84" i="22"/>
  <c r="AD196" i="1"/>
  <c r="O196" i="1"/>
  <c r="D58" i="31" s="1"/>
  <c r="AF196" i="1"/>
  <c r="AC196" i="1"/>
  <c r="S196" i="1" s="1"/>
  <c r="S202" i="1" s="1"/>
  <c r="AO196" i="1"/>
  <c r="C196" i="1" s="1"/>
  <c r="AE196" i="1"/>
  <c r="P196" i="1"/>
  <c r="R225" i="1"/>
  <c r="T225" i="1"/>
  <c r="E103" i="1"/>
  <c r="E109" i="1"/>
  <c r="AO109" i="1" s="1"/>
  <c r="C109" i="1" s="1"/>
  <c r="D82" i="6"/>
  <c r="B83" i="6"/>
  <c r="D83" i="37" s="1"/>
  <c r="A83" i="37" s="1"/>
  <c r="B82" i="20"/>
  <c r="B82" i="10"/>
  <c r="B82" i="11"/>
  <c r="B242" i="12"/>
  <c r="B82" i="12"/>
  <c r="B242" i="13"/>
  <c r="B82" i="13"/>
  <c r="B82" i="14"/>
  <c r="B244" i="18"/>
  <c r="B82" i="15"/>
  <c r="B82" i="16"/>
  <c r="B242" i="17"/>
  <c r="B82" i="17"/>
  <c r="B82" i="18"/>
  <c r="B82" i="9"/>
  <c r="B86" i="22" l="1"/>
  <c r="D85" i="22"/>
  <c r="S181" i="31"/>
  <c r="P181" i="31"/>
  <c r="Q181" i="31"/>
  <c r="T181" i="31"/>
  <c r="R181" i="31"/>
  <c r="U181" i="31"/>
  <c r="AA16" i="31"/>
  <c r="X15" i="31"/>
  <c r="E65" i="31"/>
  <c r="Q65" i="31" s="1"/>
  <c r="AA225" i="1"/>
  <c r="AB225" i="1" s="1"/>
  <c r="O65" i="31" s="1"/>
  <c r="AD103" i="1"/>
  <c r="O103" i="1"/>
  <c r="D32" i="31" s="1"/>
  <c r="B84" i="6"/>
  <c r="D84" i="37" s="1"/>
  <c r="A84" i="37" s="1"/>
  <c r="D83" i="6"/>
  <c r="B83" i="20"/>
  <c r="B83" i="10"/>
  <c r="B83" i="11"/>
  <c r="B243" i="13"/>
  <c r="B83" i="15"/>
  <c r="B83" i="16"/>
  <c r="B243" i="17"/>
  <c r="B83" i="17"/>
  <c r="B243" i="12"/>
  <c r="B83" i="13"/>
  <c r="B245" i="18"/>
  <c r="B83" i="12"/>
  <c r="B83" i="14"/>
  <c r="B83" i="9"/>
  <c r="B83" i="18"/>
  <c r="E79" i="1"/>
  <c r="AO79" i="1" s="1"/>
  <c r="C79" i="1" s="1"/>
  <c r="E75" i="1"/>
  <c r="AC103" i="1"/>
  <c r="S103" i="1" s="1"/>
  <c r="S109" i="1" s="1"/>
  <c r="AO103" i="1"/>
  <c r="C103" i="1" s="1"/>
  <c r="AE103" i="1"/>
  <c r="AF103" i="1"/>
  <c r="P103" i="1"/>
  <c r="T196" i="1"/>
  <c r="R196" i="1"/>
  <c r="V181" i="31" l="1"/>
  <c r="AA17" i="31"/>
  <c r="X17" i="31" s="1"/>
  <c r="X16" i="31"/>
  <c r="B88" i="22"/>
  <c r="D86" i="22"/>
  <c r="E58" i="31"/>
  <c r="Q58" i="31" s="1"/>
  <c r="AA196" i="1"/>
  <c r="AB196" i="1" s="1"/>
  <c r="O58" i="31" s="1"/>
  <c r="AD75" i="1"/>
  <c r="AD77" i="1" s="1"/>
  <c r="O75" i="1"/>
  <c r="D24" i="31" s="1"/>
  <c r="T103" i="1"/>
  <c r="R103" i="1"/>
  <c r="E232" i="1"/>
  <c r="AO232" i="1" s="1"/>
  <c r="C232" i="1" s="1"/>
  <c r="E226" i="1"/>
  <c r="AE75" i="1"/>
  <c r="AC75" i="1"/>
  <c r="S75" i="1" s="1"/>
  <c r="S79" i="1" s="1"/>
  <c r="AF75" i="1"/>
  <c r="AF77" i="1" s="1"/>
  <c r="AO75" i="1"/>
  <c r="C75" i="1" s="1"/>
  <c r="P75" i="1"/>
  <c r="P77" i="1" s="1"/>
  <c r="D84" i="6"/>
  <c r="B85" i="6"/>
  <c r="D85" i="37" s="1"/>
  <c r="A85" i="37" s="1"/>
  <c r="B84" i="20"/>
  <c r="B84" i="10"/>
  <c r="B84" i="11"/>
  <c r="B244" i="12"/>
  <c r="B84" i="12"/>
  <c r="B244" i="13"/>
  <c r="B84" i="13"/>
  <c r="B84" i="14"/>
  <c r="B246" i="18"/>
  <c r="B84" i="15"/>
  <c r="B84" i="16"/>
  <c r="B244" i="17"/>
  <c r="B84" i="17"/>
  <c r="B84" i="18"/>
  <c r="B84" i="9"/>
  <c r="D88" i="22" l="1"/>
  <c r="B90" i="22"/>
  <c r="E473" i="1"/>
  <c r="AD473" i="1" s="1"/>
  <c r="AA103" i="1"/>
  <c r="AB103" i="1" s="1"/>
  <c r="O32" i="31" s="1"/>
  <c r="E32" i="31"/>
  <c r="Q32" i="31" s="1"/>
  <c r="AD226" i="1"/>
  <c r="O226" i="1"/>
  <c r="D66" i="31" s="1"/>
  <c r="N80" i="1"/>
  <c r="O80" i="1" s="1"/>
  <c r="N78" i="1"/>
  <c r="O78" i="1" s="1"/>
  <c r="N79" i="1"/>
  <c r="O79" i="1" s="1"/>
  <c r="P80" i="1"/>
  <c r="P78" i="1"/>
  <c r="P79" i="1"/>
  <c r="AF473" i="1"/>
  <c r="O77" i="1"/>
  <c r="T75" i="1"/>
  <c r="T77" i="1" s="1"/>
  <c r="R75" i="1"/>
  <c r="AC77" i="1"/>
  <c r="Q82" i="1" s="1"/>
  <c r="B86" i="6"/>
  <c r="D86" i="37" s="1"/>
  <c r="A86" i="37" s="1"/>
  <c r="D85" i="6"/>
  <c r="B85" i="20"/>
  <c r="B85" i="10"/>
  <c r="B85" i="15"/>
  <c r="B85" i="16"/>
  <c r="B245" i="17"/>
  <c r="B85" i="17"/>
  <c r="B248" i="18"/>
  <c r="B85" i="11"/>
  <c r="B245" i="13"/>
  <c r="B245" i="12"/>
  <c r="B85" i="13"/>
  <c r="B85" i="12"/>
  <c r="B85" i="9"/>
  <c r="B85" i="14"/>
  <c r="B85" i="18"/>
  <c r="AE77" i="1"/>
  <c r="AF226" i="1"/>
  <c r="AO226" i="1"/>
  <c r="C226" i="1" s="1"/>
  <c r="AC226" i="1"/>
  <c r="S226" i="1" s="1"/>
  <c r="S232" i="1" s="1"/>
  <c r="AE226" i="1"/>
  <c r="P226" i="1"/>
  <c r="AE473" i="1" l="1"/>
  <c r="B91" i="22"/>
  <c r="D90" i="22"/>
  <c r="E472" i="1"/>
  <c r="AD472" i="1" s="1"/>
  <c r="AC473" i="1"/>
  <c r="S473" i="1" s="1"/>
  <c r="AO473" i="1"/>
  <c r="C473" i="1" s="1"/>
  <c r="J23" i="31"/>
  <c r="J25" i="31"/>
  <c r="E24" i="31"/>
  <c r="E184" i="31" s="1"/>
  <c r="AA75" i="1"/>
  <c r="AB75" i="1" s="1"/>
  <c r="O24" i="31" s="1"/>
  <c r="J24" i="31"/>
  <c r="R77" i="1"/>
  <c r="Q80" i="1"/>
  <c r="R80" i="1" s="1"/>
  <c r="K25" i="31" s="1"/>
  <c r="O82" i="1"/>
  <c r="J80" i="1"/>
  <c r="H80" i="1"/>
  <c r="H78" i="1"/>
  <c r="I23" i="31" s="1"/>
  <c r="J78" i="1"/>
  <c r="H79" i="1"/>
  <c r="I24" i="31" s="1"/>
  <c r="J79" i="1"/>
  <c r="AO472" i="1"/>
  <c r="C472" i="1" s="1"/>
  <c r="AE472" i="1"/>
  <c r="AC472" i="1"/>
  <c r="S472" i="1" s="1"/>
  <c r="D86" i="6"/>
  <c r="B87" i="6"/>
  <c r="D87" i="37" s="1"/>
  <c r="A87" i="37" s="1"/>
  <c r="B86" i="20"/>
  <c r="B86" i="10"/>
  <c r="B86" i="11"/>
  <c r="B246" i="12"/>
  <c r="B86" i="12"/>
  <c r="B246" i="13"/>
  <c r="B86" i="13"/>
  <c r="B86" i="14"/>
  <c r="B250" i="18"/>
  <c r="B86" i="15"/>
  <c r="B86" i="16"/>
  <c r="B246" i="17"/>
  <c r="B86" i="17"/>
  <c r="B86" i="18"/>
  <c r="B86" i="9"/>
  <c r="T82" i="1"/>
  <c r="T80" i="1" s="1"/>
  <c r="T226" i="1"/>
  <c r="R226" i="1"/>
  <c r="AF472" i="1" l="1"/>
  <c r="B92" i="22"/>
  <c r="D91" i="22"/>
  <c r="E413" i="1"/>
  <c r="AD413" i="1" s="1"/>
  <c r="J184" i="31"/>
  <c r="E73" i="30"/>
  <c r="F73" i="30" s="1"/>
  <c r="G73" i="30" s="1"/>
  <c r="Z9" i="39" s="1"/>
  <c r="Z30" i="39" s="1"/>
  <c r="AA80" i="1"/>
  <c r="Q24" i="31"/>
  <c r="E66" i="31"/>
  <c r="Q66" i="31" s="1"/>
  <c r="AA226" i="1"/>
  <c r="AB226" i="1" s="1"/>
  <c r="O66" i="31" s="1"/>
  <c r="M80" i="1"/>
  <c r="I25" i="31"/>
  <c r="S25" i="31" s="1"/>
  <c r="M79" i="1"/>
  <c r="M78" i="1"/>
  <c r="Q79" i="1"/>
  <c r="R79" i="1" s="1"/>
  <c r="Q78" i="1"/>
  <c r="R78" i="1" s="1"/>
  <c r="J82" i="1"/>
  <c r="H82" i="1"/>
  <c r="T79" i="1"/>
  <c r="T78" i="1"/>
  <c r="AA77" i="1"/>
  <c r="AB77" i="1" s="1"/>
  <c r="B88" i="6"/>
  <c r="D88" i="37" s="1"/>
  <c r="A88" i="37" s="1"/>
  <c r="D87" i="6"/>
  <c r="B87" i="20"/>
  <c r="B87" i="10"/>
  <c r="B87" i="12"/>
  <c r="B87" i="14"/>
  <c r="B87" i="15"/>
  <c r="B87" i="16"/>
  <c r="B247" i="17"/>
  <c r="B87" i="17"/>
  <c r="B87" i="11"/>
  <c r="B247" i="13"/>
  <c r="B251" i="18"/>
  <c r="B247" i="12"/>
  <c r="B87" i="13"/>
  <c r="B87" i="9"/>
  <c r="B87" i="18"/>
  <c r="D92" i="22" l="1"/>
  <c r="B93" i="22"/>
  <c r="AC413" i="1"/>
  <c r="S413" i="1" s="1"/>
  <c r="AF413" i="1"/>
  <c r="AE413" i="1"/>
  <c r="AO413" i="1"/>
  <c r="C413" i="1" s="1"/>
  <c r="Z76" i="1"/>
  <c r="H25" i="31" s="1"/>
  <c r="I184" i="31"/>
  <c r="AA79" i="1"/>
  <c r="AB79" i="1" s="1"/>
  <c r="P24" i="31" s="1"/>
  <c r="K23" i="31"/>
  <c r="AA78" i="1"/>
  <c r="AB80" i="1"/>
  <c r="P25" i="31" s="1"/>
  <c r="K24" i="31"/>
  <c r="S24" i="31" s="1"/>
  <c r="R82" i="1"/>
  <c r="M82" i="1"/>
  <c r="E134" i="1"/>
  <c r="E130" i="1"/>
  <c r="D88" i="6"/>
  <c r="B89" i="6"/>
  <c r="D89" i="37" s="1"/>
  <c r="A89" i="37" s="1"/>
  <c r="B88" i="20"/>
  <c r="B88" i="10"/>
  <c r="B88" i="11"/>
  <c r="B248" i="12"/>
  <c r="B88" i="12"/>
  <c r="B248" i="13"/>
  <c r="B88" i="13"/>
  <c r="B88" i="14"/>
  <c r="B252" i="18"/>
  <c r="B88" i="15"/>
  <c r="B88" i="16"/>
  <c r="B248" i="17"/>
  <c r="B88" i="17"/>
  <c r="B88" i="18"/>
  <c r="B88" i="9"/>
  <c r="D93" i="22" l="1"/>
  <c r="B94" i="22"/>
  <c r="Z80" i="1"/>
  <c r="N25" i="31" s="1"/>
  <c r="E100" i="30"/>
  <c r="F100" i="30" s="1"/>
  <c r="G100" i="30" s="1"/>
  <c r="K184" i="31"/>
  <c r="E133" i="30"/>
  <c r="F133" i="30" s="1"/>
  <c r="G133" i="30" s="1"/>
  <c r="R24" i="31"/>
  <c r="U24" i="31"/>
  <c r="S23" i="31"/>
  <c r="R25" i="31"/>
  <c r="U25" i="31"/>
  <c r="AA82" i="1"/>
  <c r="AB82" i="1" s="1"/>
  <c r="AB78" i="1"/>
  <c r="P23" i="31" s="1"/>
  <c r="AD130" i="1"/>
  <c r="O130" i="1"/>
  <c r="D37" i="31" s="1"/>
  <c r="P138" i="1"/>
  <c r="N138" i="1"/>
  <c r="E325" i="1"/>
  <c r="E319" i="1"/>
  <c r="B90" i="6"/>
  <c r="D90" i="37" s="1"/>
  <c r="A90" i="37" s="1"/>
  <c r="D89" i="6"/>
  <c r="B89" i="20"/>
  <c r="B89" i="10"/>
  <c r="B89" i="15"/>
  <c r="B89" i="16"/>
  <c r="B249" i="17"/>
  <c r="B89" i="17"/>
  <c r="B89" i="12"/>
  <c r="B89" i="14"/>
  <c r="B89" i="11"/>
  <c r="B249" i="13"/>
  <c r="B253" i="18"/>
  <c r="B89" i="13"/>
  <c r="B89" i="9"/>
  <c r="B89" i="18"/>
  <c r="B249" i="12"/>
  <c r="AF130" i="1"/>
  <c r="AE130" i="1"/>
  <c r="AC130" i="1"/>
  <c r="S130" i="1" s="1"/>
  <c r="S134" i="1" s="1"/>
  <c r="AO130" i="1"/>
  <c r="C130" i="1" s="1"/>
  <c r="P130" i="1"/>
  <c r="AO134" i="1"/>
  <c r="C134" i="1" s="1"/>
  <c r="B95" i="22" l="1"/>
  <c r="D94" i="22"/>
  <c r="Z75" i="1"/>
  <c r="H24" i="31" s="1"/>
  <c r="Z74" i="1"/>
  <c r="H23" i="31" s="1"/>
  <c r="R23" i="31"/>
  <c r="U23" i="31"/>
  <c r="V23" i="31"/>
  <c r="AD319" i="1"/>
  <c r="O319" i="1"/>
  <c r="D86" i="31" s="1"/>
  <c r="P331" i="1"/>
  <c r="N331" i="1"/>
  <c r="AF319" i="1"/>
  <c r="AE319" i="1"/>
  <c r="AC319" i="1"/>
  <c r="S319" i="1" s="1"/>
  <c r="S325" i="1" s="1"/>
  <c r="AO319" i="1"/>
  <c r="C319" i="1" s="1"/>
  <c r="P319" i="1"/>
  <c r="AO325" i="1"/>
  <c r="C325" i="1" s="1"/>
  <c r="T130" i="1"/>
  <c r="R130" i="1"/>
  <c r="E224" i="1"/>
  <c r="O224" i="1" s="1"/>
  <c r="D64" i="31" s="1"/>
  <c r="E230" i="1"/>
  <c r="AO230" i="1" s="1"/>
  <c r="C230" i="1" s="1"/>
  <c r="D90" i="6"/>
  <c r="B91" i="6"/>
  <c r="D91" i="37" s="1"/>
  <c r="A91" i="37" s="1"/>
  <c r="B90" i="20"/>
  <c r="B90" i="10"/>
  <c r="B90" i="11"/>
  <c r="B250" i="12"/>
  <c r="B90" i="12"/>
  <c r="B250" i="13"/>
  <c r="B90" i="13"/>
  <c r="B90" i="14"/>
  <c r="B254" i="18"/>
  <c r="B90" i="15"/>
  <c r="B90" i="16"/>
  <c r="B250" i="17"/>
  <c r="B90" i="17"/>
  <c r="B90" i="18"/>
  <c r="B90" i="9"/>
  <c r="B96" i="22" l="1"/>
  <c r="D95" i="22"/>
  <c r="X184" i="31"/>
  <c r="C25" i="33"/>
  <c r="AA130" i="1"/>
  <c r="AB130" i="1" s="1"/>
  <c r="O37" i="31" s="1"/>
  <c r="H184" i="31"/>
  <c r="Z77" i="1"/>
  <c r="Z79" i="1"/>
  <c r="N24" i="31" s="1"/>
  <c r="Z78" i="1"/>
  <c r="N23" i="31" s="1"/>
  <c r="AA23" i="31"/>
  <c r="E37" i="31"/>
  <c r="AD224" i="1"/>
  <c r="R319" i="1"/>
  <c r="T319" i="1"/>
  <c r="B92" i="6"/>
  <c r="D92" i="37" s="1"/>
  <c r="A92" i="37" s="1"/>
  <c r="D91" i="6"/>
  <c r="B91" i="20"/>
  <c r="B251" i="12"/>
  <c r="B91" i="13"/>
  <c r="B91" i="15"/>
  <c r="B91" i="16"/>
  <c r="B251" i="17"/>
  <c r="B91" i="17"/>
  <c r="B91" i="12"/>
  <c r="B91" i="14"/>
  <c r="B255" i="18"/>
  <c r="B91" i="10"/>
  <c r="B91" i="11"/>
  <c r="B251" i="13"/>
  <c r="B91" i="9"/>
  <c r="B91" i="18"/>
  <c r="AE224" i="1"/>
  <c r="AO224" i="1"/>
  <c r="C224" i="1" s="1"/>
  <c r="AC224" i="1"/>
  <c r="S224" i="1" s="1"/>
  <c r="S230" i="1" s="1"/>
  <c r="AF224" i="1"/>
  <c r="P224" i="1"/>
  <c r="D96" i="22" l="1"/>
  <c r="B97" i="22"/>
  <c r="N184" i="31"/>
  <c r="U184" i="31" s="1"/>
  <c r="Z82" i="1"/>
  <c r="T184" i="31"/>
  <c r="R184" i="31"/>
  <c r="S184" i="31"/>
  <c r="P184" i="31"/>
  <c r="X23" i="31"/>
  <c r="AA24" i="31"/>
  <c r="Q37" i="31"/>
  <c r="E86" i="31"/>
  <c r="AA319" i="1"/>
  <c r="AB319" i="1" s="1"/>
  <c r="O86" i="31" s="1"/>
  <c r="E282" i="1"/>
  <c r="AO282" i="1" s="1"/>
  <c r="C282" i="1" s="1"/>
  <c r="E279" i="1"/>
  <c r="D92" i="6"/>
  <c r="B93" i="6"/>
  <c r="D93" i="37" s="1"/>
  <c r="A93" i="37" s="1"/>
  <c r="B92" i="20"/>
  <c r="B92" i="10"/>
  <c r="B92" i="11"/>
  <c r="B252" i="12"/>
  <c r="B92" i="12"/>
  <c r="B252" i="13"/>
  <c r="B92" i="13"/>
  <c r="B92" i="14"/>
  <c r="B256" i="18"/>
  <c r="B92" i="15"/>
  <c r="B92" i="16"/>
  <c r="B252" i="17"/>
  <c r="B92" i="17"/>
  <c r="B92" i="18"/>
  <c r="B92" i="9"/>
  <c r="T224" i="1"/>
  <c r="R224" i="1"/>
  <c r="B98" i="22" l="1"/>
  <c r="D97" i="22"/>
  <c r="X24" i="31"/>
  <c r="AA25" i="31"/>
  <c r="X25" i="31" s="1"/>
  <c r="AA224" i="1"/>
  <c r="AB224" i="1" s="1"/>
  <c r="O64" i="31" s="1"/>
  <c r="Q86" i="31"/>
  <c r="E64" i="31"/>
  <c r="Q64" i="31" s="1"/>
  <c r="AD279" i="1"/>
  <c r="O279" i="1"/>
  <c r="D77" i="31" s="1"/>
  <c r="AF279" i="1"/>
  <c r="AE279" i="1"/>
  <c r="AC279" i="1"/>
  <c r="S279" i="1" s="1"/>
  <c r="S282" i="1" s="1"/>
  <c r="AO279" i="1"/>
  <c r="C279" i="1" s="1"/>
  <c r="P279" i="1"/>
  <c r="B94" i="6"/>
  <c r="D94" i="37" s="1"/>
  <c r="A94" i="37" s="1"/>
  <c r="D93" i="6"/>
  <c r="B93" i="20"/>
  <c r="B93" i="10"/>
  <c r="B93" i="15"/>
  <c r="B93" i="16"/>
  <c r="B253" i="17"/>
  <c r="B93" i="17"/>
  <c r="B253" i="12"/>
  <c r="B93" i="13"/>
  <c r="B93" i="12"/>
  <c r="B93" i="14"/>
  <c r="B257" i="18"/>
  <c r="B93" i="11"/>
  <c r="B93" i="9"/>
  <c r="B253" i="13"/>
  <c r="B93" i="18"/>
  <c r="B99" i="22" l="1"/>
  <c r="D98" i="22"/>
  <c r="E494" i="1"/>
  <c r="AD494" i="1" s="1"/>
  <c r="R279" i="1"/>
  <c r="T279" i="1"/>
  <c r="D94" i="6"/>
  <c r="B95" i="6"/>
  <c r="D95" i="37" s="1"/>
  <c r="A95" i="37" s="1"/>
  <c r="B94" i="20"/>
  <c r="B94" i="10"/>
  <c r="B94" i="11"/>
  <c r="B254" i="12"/>
  <c r="B94" i="12"/>
  <c r="B254" i="13"/>
  <c r="B94" i="13"/>
  <c r="B94" i="14"/>
  <c r="B258" i="18"/>
  <c r="B94" i="15"/>
  <c r="B94" i="16"/>
  <c r="B254" i="17"/>
  <c r="B94" i="17"/>
  <c r="B94" i="18"/>
  <c r="B94" i="9"/>
  <c r="B100" i="22" l="1"/>
  <c r="D99" i="22"/>
  <c r="AE494" i="1"/>
  <c r="E410" i="1"/>
  <c r="N415" i="1" s="1"/>
  <c r="AO494" i="1"/>
  <c r="C494" i="1" s="1"/>
  <c r="AF494" i="1"/>
  <c r="P494" i="1"/>
  <c r="O494" i="1"/>
  <c r="D155" i="31" s="1"/>
  <c r="D214" i="31" s="1"/>
  <c r="Q214" i="31" s="1"/>
  <c r="AC494" i="1"/>
  <c r="S494" i="1" s="1"/>
  <c r="E77" i="31"/>
  <c r="Q77" i="31" s="1"/>
  <c r="AA279" i="1"/>
  <c r="AB279" i="1" s="1"/>
  <c r="O77" i="31" s="1"/>
  <c r="B96" i="6"/>
  <c r="D96" i="37" s="1"/>
  <c r="A96" i="37" s="1"/>
  <c r="D95" i="6"/>
  <c r="B95" i="20"/>
  <c r="B95" i="10"/>
  <c r="B95" i="11"/>
  <c r="B255" i="13"/>
  <c r="B95" i="15"/>
  <c r="B95" i="16"/>
  <c r="B255" i="17"/>
  <c r="B95" i="17"/>
  <c r="B255" i="12"/>
  <c r="B95" i="13"/>
  <c r="B259" i="18"/>
  <c r="B95" i="12"/>
  <c r="B95" i="14"/>
  <c r="B95" i="9"/>
  <c r="B95" i="18"/>
  <c r="AC410" i="1" l="1"/>
  <c r="S410" i="1" s="1"/>
  <c r="AO410" i="1"/>
  <c r="C410" i="1" s="1"/>
  <c r="AF410" i="1"/>
  <c r="AF415" i="1" s="1"/>
  <c r="B101" i="22"/>
  <c r="D100" i="22"/>
  <c r="T494" i="1"/>
  <c r="R494" i="1"/>
  <c r="E155" i="31" s="1"/>
  <c r="E214" i="31" s="1"/>
  <c r="R214" i="31" s="1"/>
  <c r="P415" i="1"/>
  <c r="AE410" i="1"/>
  <c r="AE415" i="1" s="1"/>
  <c r="AD410" i="1"/>
  <c r="AD415" i="1" s="1"/>
  <c r="Q415" i="1"/>
  <c r="E55" i="1"/>
  <c r="AO55" i="1" s="1"/>
  <c r="C55" i="1" s="1"/>
  <c r="E51" i="1"/>
  <c r="D96" i="6"/>
  <c r="B97" i="6"/>
  <c r="D97" i="37" s="1"/>
  <c r="A97" i="37" s="1"/>
  <c r="B96" i="20"/>
  <c r="B96" i="10"/>
  <c r="B96" i="11"/>
  <c r="B256" i="12"/>
  <c r="B96" i="12"/>
  <c r="B256" i="13"/>
  <c r="B96" i="13"/>
  <c r="B96" i="14"/>
  <c r="B260" i="18"/>
  <c r="B96" i="15"/>
  <c r="B96" i="16"/>
  <c r="B256" i="17"/>
  <c r="B96" i="17"/>
  <c r="B96" i="18"/>
  <c r="B96" i="9"/>
  <c r="AC415" i="1" l="1"/>
  <c r="T415" i="1"/>
  <c r="T413" i="1" s="1"/>
  <c r="D101" i="22"/>
  <c r="B102" i="22"/>
  <c r="AA494" i="1"/>
  <c r="AB494" i="1" s="1"/>
  <c r="O155" i="31" s="1"/>
  <c r="P410" i="1"/>
  <c r="E479" i="1"/>
  <c r="AD479" i="1" s="1"/>
  <c r="Q155" i="31"/>
  <c r="E40" i="30" s="1"/>
  <c r="F40" i="30" s="1"/>
  <c r="G40" i="30" s="1"/>
  <c r="Z494" i="1" s="1"/>
  <c r="H155" i="31" s="1"/>
  <c r="H214" i="31" s="1"/>
  <c r="U214" i="31" s="1"/>
  <c r="V214" i="31" s="1"/>
  <c r="S155" i="31"/>
  <c r="Q410" i="1"/>
  <c r="R410" i="1" s="1"/>
  <c r="K107" i="31" s="1"/>
  <c r="Q413" i="1"/>
  <c r="R413" i="1" s="1"/>
  <c r="K110" i="31" s="1"/>
  <c r="Q411" i="1"/>
  <c r="R411" i="1" s="1"/>
  <c r="K108" i="31" s="1"/>
  <c r="Q412" i="1"/>
  <c r="R412" i="1" s="1"/>
  <c r="K109" i="31" s="1"/>
  <c r="AD51" i="1"/>
  <c r="O51" i="1"/>
  <c r="D19" i="31" s="1"/>
  <c r="P413" i="1"/>
  <c r="N410" i="1"/>
  <c r="O410" i="1" s="1"/>
  <c r="P412" i="1"/>
  <c r="P411" i="1"/>
  <c r="N411" i="1"/>
  <c r="O411" i="1" s="1"/>
  <c r="N412" i="1"/>
  <c r="O412" i="1" s="1"/>
  <c r="N413" i="1"/>
  <c r="O413" i="1" s="1"/>
  <c r="H411" i="1"/>
  <c r="I108" i="31" s="1"/>
  <c r="J411" i="1"/>
  <c r="H412" i="1"/>
  <c r="I109" i="31" s="1"/>
  <c r="J412" i="1"/>
  <c r="H413" i="1"/>
  <c r="J413" i="1"/>
  <c r="J410" i="1"/>
  <c r="H410" i="1"/>
  <c r="I107" i="31" s="1"/>
  <c r="T411" i="1"/>
  <c r="T412" i="1"/>
  <c r="B98" i="6"/>
  <c r="D98" i="37" s="1"/>
  <c r="A98" i="37" s="1"/>
  <c r="D97" i="6"/>
  <c r="B97" i="20"/>
  <c r="B97" i="10"/>
  <c r="B97" i="15"/>
  <c r="B97" i="16"/>
  <c r="B257" i="17"/>
  <c r="B97" i="17"/>
  <c r="B97" i="11"/>
  <c r="B257" i="13"/>
  <c r="B257" i="12"/>
  <c r="B97" i="13"/>
  <c r="B261" i="18"/>
  <c r="B97" i="12"/>
  <c r="B97" i="14"/>
  <c r="B97" i="9"/>
  <c r="B97" i="18"/>
  <c r="AE51" i="1"/>
  <c r="AC51" i="1"/>
  <c r="S51" i="1" s="1"/>
  <c r="S55" i="1" s="1"/>
  <c r="AO51" i="1"/>
  <c r="C51" i="1" s="1"/>
  <c r="AF51" i="1"/>
  <c r="P51" i="1"/>
  <c r="T410" i="1" l="1"/>
  <c r="B103" i="22"/>
  <c r="D102" i="22"/>
  <c r="AO479" i="1"/>
  <c r="C479" i="1" s="1"/>
  <c r="AF479" i="1"/>
  <c r="E420" i="1"/>
  <c r="N425" i="1" s="1"/>
  <c r="AC479" i="1"/>
  <c r="S479" i="1" s="1"/>
  <c r="AE479" i="1"/>
  <c r="I208" i="31"/>
  <c r="P208" i="31" s="1"/>
  <c r="K208" i="31"/>
  <c r="R208" i="31" s="1"/>
  <c r="J109" i="31"/>
  <c r="Q109" i="31" s="1"/>
  <c r="E55" i="30" s="1"/>
  <c r="F55" i="30" s="1"/>
  <c r="G55" i="30" s="1"/>
  <c r="AA412" i="1"/>
  <c r="J108" i="31"/>
  <c r="S108" i="31" s="1"/>
  <c r="AA411" i="1"/>
  <c r="J107" i="31"/>
  <c r="AA410" i="1"/>
  <c r="J110" i="31"/>
  <c r="AA413" i="1"/>
  <c r="M413" i="1"/>
  <c r="I110" i="31"/>
  <c r="M410" i="1"/>
  <c r="M412" i="1"/>
  <c r="M411" i="1"/>
  <c r="R415" i="1"/>
  <c r="O415" i="1"/>
  <c r="J415" i="1"/>
  <c r="AO420" i="1"/>
  <c r="C420" i="1" s="1"/>
  <c r="AE420" i="1"/>
  <c r="T51" i="1"/>
  <c r="R51" i="1"/>
  <c r="B99" i="6"/>
  <c r="D99" i="37" s="1"/>
  <c r="A99" i="37" s="1"/>
  <c r="D98" i="6"/>
  <c r="B98" i="20"/>
  <c r="B98" i="10"/>
  <c r="B98" i="11"/>
  <c r="B258" i="12"/>
  <c r="B98" i="12"/>
  <c r="B258" i="13"/>
  <c r="B98" i="13"/>
  <c r="B98" i="14"/>
  <c r="B262" i="18"/>
  <c r="B98" i="15"/>
  <c r="B98" i="16"/>
  <c r="B258" i="17"/>
  <c r="B98" i="17"/>
  <c r="B98" i="18"/>
  <c r="B98" i="9"/>
  <c r="D103" i="22" l="1"/>
  <c r="B104" i="22"/>
  <c r="J208" i="31"/>
  <c r="Q208" i="31" s="1"/>
  <c r="P425" i="1"/>
  <c r="AF420" i="1"/>
  <c r="AC420" i="1"/>
  <c r="S420" i="1" s="1"/>
  <c r="AD420" i="1"/>
  <c r="S109" i="31"/>
  <c r="Z412" i="1"/>
  <c r="N109" i="31" s="1"/>
  <c r="AB413" i="1"/>
  <c r="P110" i="31" s="1"/>
  <c r="AB410" i="1"/>
  <c r="P107" i="31" s="1"/>
  <c r="S107" i="31"/>
  <c r="Q107" i="31"/>
  <c r="E84" i="30" s="1"/>
  <c r="F84" i="30" s="1"/>
  <c r="G84" i="30" s="1"/>
  <c r="Q108" i="31"/>
  <c r="E46" i="30" s="1"/>
  <c r="F46" i="30" s="1"/>
  <c r="G46" i="30" s="1"/>
  <c r="E19" i="31"/>
  <c r="AA51" i="1"/>
  <c r="AB51" i="1" s="1"/>
  <c r="O19" i="31" s="1"/>
  <c r="S110" i="31"/>
  <c r="Q110" i="31"/>
  <c r="E6" i="30" s="1"/>
  <c r="F6" i="30" s="1"/>
  <c r="G6" i="30" s="1"/>
  <c r="AB411" i="1"/>
  <c r="P108" i="31" s="1"/>
  <c r="AB412" i="1"/>
  <c r="P109" i="31" s="1"/>
  <c r="AA415" i="1"/>
  <c r="E268" i="1"/>
  <c r="AO268" i="1" s="1"/>
  <c r="C268" i="1" s="1"/>
  <c r="E262" i="1"/>
  <c r="B100" i="6"/>
  <c r="D100" i="37" s="1"/>
  <c r="A100" i="37" s="1"/>
  <c r="D99" i="6"/>
  <c r="B99" i="20"/>
  <c r="B99" i="10"/>
  <c r="B99" i="12"/>
  <c r="B99" i="14"/>
  <c r="B99" i="15"/>
  <c r="B99" i="16"/>
  <c r="B259" i="17"/>
  <c r="B99" i="17"/>
  <c r="B99" i="11"/>
  <c r="B259" i="13"/>
  <c r="B263" i="18"/>
  <c r="B259" i="12"/>
  <c r="B99" i="13"/>
  <c r="B99" i="9"/>
  <c r="B99" i="18"/>
  <c r="D104" i="22" l="1"/>
  <c r="B106" i="22"/>
  <c r="T425" i="1"/>
  <c r="Q425" i="1"/>
  <c r="Z413" i="1"/>
  <c r="N110" i="31" s="1"/>
  <c r="Z410" i="1"/>
  <c r="N107" i="31" s="1"/>
  <c r="N208" i="31" s="1"/>
  <c r="U208" i="31" s="1"/>
  <c r="V208" i="31" s="1"/>
  <c r="Z411" i="1"/>
  <c r="N108" i="31" s="1"/>
  <c r="Q19" i="31"/>
  <c r="AD262" i="1"/>
  <c r="O262" i="1"/>
  <c r="D72" i="31" s="1"/>
  <c r="AC262" i="1"/>
  <c r="S262" i="1" s="1"/>
  <c r="S268" i="1" s="1"/>
  <c r="AF262" i="1"/>
  <c r="AE262" i="1"/>
  <c r="AO262" i="1"/>
  <c r="C262" i="1" s="1"/>
  <c r="P262" i="1"/>
  <c r="E177" i="1"/>
  <c r="E182" i="1"/>
  <c r="B101" i="6"/>
  <c r="D101" i="37" s="1"/>
  <c r="A101" i="37" s="1"/>
  <c r="D100" i="6"/>
  <c r="B100" i="20"/>
  <c r="B100" i="10"/>
  <c r="B100" i="11"/>
  <c r="B260" i="12"/>
  <c r="B100" i="12"/>
  <c r="B260" i="13"/>
  <c r="B100" i="13"/>
  <c r="B100" i="14"/>
  <c r="B264" i="18"/>
  <c r="B100" i="15"/>
  <c r="B100" i="16"/>
  <c r="B260" i="17"/>
  <c r="B100" i="17"/>
  <c r="B100" i="18"/>
  <c r="B100" i="9"/>
  <c r="D106" i="22" l="1"/>
  <c r="B107" i="22"/>
  <c r="Z415" i="1"/>
  <c r="AD177" i="1"/>
  <c r="AD181" i="1" s="1"/>
  <c r="O177" i="1"/>
  <c r="D50" i="31" s="1"/>
  <c r="D191" i="31" s="1"/>
  <c r="P187" i="1"/>
  <c r="N187" i="1"/>
  <c r="R262" i="1"/>
  <c r="T262" i="1"/>
  <c r="B102" i="6"/>
  <c r="D102" i="37" s="1"/>
  <c r="A102" i="37" s="1"/>
  <c r="D101" i="6"/>
  <c r="B101" i="20"/>
  <c r="B101" i="10"/>
  <c r="B101" i="15"/>
  <c r="B101" i="16"/>
  <c r="B261" i="17"/>
  <c r="B101" i="17"/>
  <c r="B266" i="18"/>
  <c r="B101" i="12"/>
  <c r="B101" i="14"/>
  <c r="B101" i="11"/>
  <c r="B261" i="13"/>
  <c r="B101" i="9"/>
  <c r="B261" i="12"/>
  <c r="B101" i="18"/>
  <c r="B101" i="13"/>
  <c r="AO182" i="1"/>
  <c r="C182" i="1" s="1"/>
  <c r="AF177" i="1"/>
  <c r="AF181" i="1" s="1"/>
  <c r="AE177" i="1"/>
  <c r="AC177" i="1"/>
  <c r="S177" i="1" s="1"/>
  <c r="S182" i="1" s="1"/>
  <c r="AO177" i="1"/>
  <c r="C177" i="1" s="1"/>
  <c r="P177" i="1"/>
  <c r="P181" i="1" s="1"/>
  <c r="B109" i="22" l="1"/>
  <c r="D107" i="22"/>
  <c r="E72" i="31"/>
  <c r="Q72" i="31" s="1"/>
  <c r="AA262" i="1"/>
  <c r="AB262" i="1" s="1"/>
  <c r="O72" i="31" s="1"/>
  <c r="N183" i="1"/>
  <c r="O183" i="1" s="1"/>
  <c r="N184" i="1"/>
  <c r="O184" i="1" s="1"/>
  <c r="N185" i="1"/>
  <c r="O185" i="1" s="1"/>
  <c r="N182" i="1"/>
  <c r="O182" i="1" s="1"/>
  <c r="P182" i="1"/>
  <c r="P183" i="1"/>
  <c r="P184" i="1"/>
  <c r="P185" i="1"/>
  <c r="AE181" i="1"/>
  <c r="O181" i="1"/>
  <c r="R177" i="1"/>
  <c r="T177" i="1"/>
  <c r="T181" i="1" s="1"/>
  <c r="AC181" i="1"/>
  <c r="B103" i="6"/>
  <c r="D103" i="37" s="1"/>
  <c r="A103" i="37" s="1"/>
  <c r="D102" i="6"/>
  <c r="B102" i="20"/>
  <c r="B102" i="10"/>
  <c r="B102" i="11"/>
  <c r="B262" i="12"/>
  <c r="B102" i="12"/>
  <c r="B262" i="13"/>
  <c r="B102" i="13"/>
  <c r="B102" i="14"/>
  <c r="B102" i="15"/>
  <c r="B102" i="16"/>
  <c r="B262" i="17"/>
  <c r="B102" i="17"/>
  <c r="B267" i="18"/>
  <c r="B102" i="18"/>
  <c r="B102" i="9"/>
  <c r="B110" i="22" l="1"/>
  <c r="D109" i="22"/>
  <c r="J53" i="31"/>
  <c r="J52" i="31"/>
  <c r="J50" i="31"/>
  <c r="J51" i="31"/>
  <c r="E50" i="31"/>
  <c r="E191" i="31" s="1"/>
  <c r="AA177" i="1"/>
  <c r="AB177" i="1" s="1"/>
  <c r="O50" i="31" s="1"/>
  <c r="R181" i="1"/>
  <c r="Q187" i="1"/>
  <c r="Q182" i="1" s="1"/>
  <c r="R182" i="1" s="1"/>
  <c r="K50" i="31" s="1"/>
  <c r="O187" i="1"/>
  <c r="J183" i="1"/>
  <c r="H183" i="1"/>
  <c r="I51" i="31" s="1"/>
  <c r="J184" i="1"/>
  <c r="H184" i="1"/>
  <c r="J185" i="1"/>
  <c r="H185" i="1"/>
  <c r="I53" i="31" s="1"/>
  <c r="H182" i="1"/>
  <c r="I50" i="31" s="1"/>
  <c r="J182" i="1"/>
  <c r="E281" i="1"/>
  <c r="E278" i="1"/>
  <c r="B104" i="6"/>
  <c r="D104" i="37" s="1"/>
  <c r="A104" i="37" s="1"/>
  <c r="D103" i="6"/>
  <c r="B103" i="20"/>
  <c r="B263" i="12"/>
  <c r="B103" i="13"/>
  <c r="B103" i="15"/>
  <c r="B103" i="16"/>
  <c r="B263" i="17"/>
  <c r="B103" i="17"/>
  <c r="B103" i="12"/>
  <c r="B103" i="14"/>
  <c r="B103" i="10"/>
  <c r="B269" i="18"/>
  <c r="B103" i="11"/>
  <c r="B263" i="13"/>
  <c r="B103" i="9"/>
  <c r="B103" i="18"/>
  <c r="T187" i="1"/>
  <c r="T183" i="1" s="1"/>
  <c r="B111" i="22" l="1"/>
  <c r="D110" i="22"/>
  <c r="E498" i="1"/>
  <c r="O498" i="1" s="1"/>
  <c r="D159" i="31" s="1"/>
  <c r="D218" i="31" s="1"/>
  <c r="Q218" i="31" s="1"/>
  <c r="J191" i="31"/>
  <c r="Q50" i="31"/>
  <c r="E89" i="30" s="1"/>
  <c r="F89" i="30" s="1"/>
  <c r="G89" i="30" s="1"/>
  <c r="S50" i="31"/>
  <c r="M184" i="1"/>
  <c r="I52" i="31"/>
  <c r="I191" i="31" s="1"/>
  <c r="M183" i="1"/>
  <c r="M182" i="1"/>
  <c r="M185" i="1"/>
  <c r="Q185" i="1"/>
  <c r="R185" i="1" s="1"/>
  <c r="Q184" i="1"/>
  <c r="R184" i="1" s="1"/>
  <c r="Q183" i="1"/>
  <c r="R183" i="1" s="1"/>
  <c r="AD278" i="1"/>
  <c r="AD280" i="1" s="1"/>
  <c r="O278" i="1"/>
  <c r="D76" i="31" s="1"/>
  <c r="P284" i="1"/>
  <c r="N284" i="1"/>
  <c r="J187" i="1"/>
  <c r="H187" i="1"/>
  <c r="T185" i="1"/>
  <c r="T184" i="1"/>
  <c r="T182" i="1"/>
  <c r="AA182" i="1" s="1"/>
  <c r="AF498" i="1"/>
  <c r="AF278" i="1"/>
  <c r="AF280" i="1" s="1"/>
  <c r="AC278" i="1"/>
  <c r="S278" i="1" s="1"/>
  <c r="S281" i="1" s="1"/>
  <c r="AO278" i="1"/>
  <c r="C278" i="1" s="1"/>
  <c r="AE278" i="1"/>
  <c r="P278" i="1"/>
  <c r="P280" i="1" s="1"/>
  <c r="AO281" i="1"/>
  <c r="C281" i="1" s="1"/>
  <c r="AA181" i="1"/>
  <c r="AB181" i="1" s="1"/>
  <c r="B105" i="6"/>
  <c r="D105" i="37" s="1"/>
  <c r="A105" i="37" s="1"/>
  <c r="D104" i="6"/>
  <c r="B104" i="20"/>
  <c r="B104" i="10"/>
  <c r="B104" i="11"/>
  <c r="B264" i="12"/>
  <c r="B104" i="12"/>
  <c r="B264" i="13"/>
  <c r="B104" i="13"/>
  <c r="B104" i="14"/>
  <c r="B270" i="18"/>
  <c r="B104" i="15"/>
  <c r="B104" i="16"/>
  <c r="B264" i="17"/>
  <c r="B104" i="17"/>
  <c r="B104" i="18"/>
  <c r="B104" i="9"/>
  <c r="AE498" i="1" l="1"/>
  <c r="AD498" i="1"/>
  <c r="D111" i="22"/>
  <c r="B112" i="22"/>
  <c r="P498" i="1"/>
  <c r="AO498" i="1"/>
  <c r="C498" i="1" s="1"/>
  <c r="E497" i="1"/>
  <c r="P497" i="1" s="1"/>
  <c r="AC498" i="1"/>
  <c r="S498" i="1" s="1"/>
  <c r="Z177" i="1"/>
  <c r="H50" i="31" s="1"/>
  <c r="K51" i="31"/>
  <c r="AA183" i="1"/>
  <c r="AB183" i="1" s="1"/>
  <c r="P51" i="31" s="1"/>
  <c r="K52" i="31"/>
  <c r="AA184" i="1"/>
  <c r="AB184" i="1" s="1"/>
  <c r="P52" i="31" s="1"/>
  <c r="K53" i="31"/>
  <c r="AA185" i="1"/>
  <c r="AB185" i="1" s="1"/>
  <c r="P53" i="31" s="1"/>
  <c r="AB182" i="1"/>
  <c r="P50" i="31" s="1"/>
  <c r="R187" i="1"/>
  <c r="O497" i="1"/>
  <c r="D158" i="31" s="1"/>
  <c r="D217" i="31" s="1"/>
  <c r="Q217" i="31" s="1"/>
  <c r="P281" i="1"/>
  <c r="N282" i="1"/>
  <c r="O282" i="1" s="1"/>
  <c r="M187" i="1"/>
  <c r="N281" i="1"/>
  <c r="O281" i="1" s="1"/>
  <c r="P282" i="1"/>
  <c r="AE497" i="1"/>
  <c r="AF497" i="1"/>
  <c r="AE280" i="1"/>
  <c r="O280" i="1"/>
  <c r="T278" i="1"/>
  <c r="T280" i="1" s="1"/>
  <c r="AC280" i="1"/>
  <c r="Q284" i="1" s="1"/>
  <c r="Q282" i="1" s="1"/>
  <c r="R282" i="1" s="1"/>
  <c r="K77" i="31" s="1"/>
  <c r="R278" i="1"/>
  <c r="B106" i="6"/>
  <c r="D106" i="37" s="1"/>
  <c r="A106" i="37" s="1"/>
  <c r="D105" i="6"/>
  <c r="B105" i="20"/>
  <c r="B105" i="10"/>
  <c r="B105" i="15"/>
  <c r="B105" i="16"/>
  <c r="B265" i="17"/>
  <c r="B105" i="17"/>
  <c r="B265" i="12"/>
  <c r="B105" i="13"/>
  <c r="B105" i="12"/>
  <c r="B105" i="14"/>
  <c r="B271" i="18"/>
  <c r="B105" i="11"/>
  <c r="B265" i="13"/>
  <c r="B105" i="9"/>
  <c r="B105" i="18"/>
  <c r="B113" i="22" l="1"/>
  <c r="D112" i="22"/>
  <c r="AO497" i="1"/>
  <c r="C497" i="1" s="1"/>
  <c r="AD497" i="1"/>
  <c r="AC497" i="1"/>
  <c r="S497" i="1" s="1"/>
  <c r="R498" i="1"/>
  <c r="T498" i="1"/>
  <c r="AA498" i="1" s="1"/>
  <c r="AB498" i="1" s="1"/>
  <c r="O159" i="31" s="1"/>
  <c r="Z182" i="1"/>
  <c r="N50" i="31" s="1"/>
  <c r="E79" i="30"/>
  <c r="F79" i="30" s="1"/>
  <c r="G79" i="30" s="1"/>
  <c r="K191" i="31"/>
  <c r="S52" i="31"/>
  <c r="E96" i="30"/>
  <c r="F96" i="30" s="1"/>
  <c r="G96" i="30" s="1"/>
  <c r="S53" i="31"/>
  <c r="E116" i="30"/>
  <c r="F116" i="30" s="1"/>
  <c r="G116" i="30" s="1"/>
  <c r="R52" i="31"/>
  <c r="U52" i="31"/>
  <c r="R50" i="31"/>
  <c r="V50" i="31"/>
  <c r="U50" i="31"/>
  <c r="R51" i="31"/>
  <c r="U51" i="31"/>
  <c r="R53" i="31"/>
  <c r="U53" i="31"/>
  <c r="S51" i="31"/>
  <c r="J76" i="31"/>
  <c r="J77" i="31"/>
  <c r="E101" i="30" s="1"/>
  <c r="F101" i="30" s="1"/>
  <c r="G101" i="30" s="1"/>
  <c r="E159" i="31"/>
  <c r="E76" i="31"/>
  <c r="E198" i="31" s="1"/>
  <c r="AA278" i="1"/>
  <c r="AB278" i="1" s="1"/>
  <c r="O76" i="31" s="1"/>
  <c r="R280" i="1"/>
  <c r="AA187" i="1"/>
  <c r="AB187" i="1" s="1"/>
  <c r="Q281" i="1"/>
  <c r="R281" i="1" s="1"/>
  <c r="O284" i="1"/>
  <c r="H282" i="1"/>
  <c r="I77" i="31" s="1"/>
  <c r="J282" i="1"/>
  <c r="J281" i="1"/>
  <c r="H281" i="1"/>
  <c r="T497" i="1"/>
  <c r="T284" i="1"/>
  <c r="T281" i="1" s="1"/>
  <c r="E122" i="1"/>
  <c r="AO122" i="1" s="1"/>
  <c r="C122" i="1" s="1"/>
  <c r="E118" i="1"/>
  <c r="B107" i="6"/>
  <c r="D107" i="37" s="1"/>
  <c r="A107" i="37" s="1"/>
  <c r="D106" i="6"/>
  <c r="B106" i="20"/>
  <c r="B106" i="10"/>
  <c r="B106" i="11"/>
  <c r="B266" i="12"/>
  <c r="B106" i="12"/>
  <c r="B266" i="13"/>
  <c r="B106" i="13"/>
  <c r="B106" i="14"/>
  <c r="B272" i="18"/>
  <c r="B106" i="15"/>
  <c r="B106" i="16"/>
  <c r="B266" i="17"/>
  <c r="B106" i="17"/>
  <c r="B106" i="18"/>
  <c r="B106" i="9"/>
  <c r="R497" i="1" l="1"/>
  <c r="D113" i="22"/>
  <c r="B114" i="22"/>
  <c r="X191" i="31"/>
  <c r="C4" i="33"/>
  <c r="E348" i="1"/>
  <c r="Z178" i="1"/>
  <c r="H51" i="31" s="1"/>
  <c r="Z180" i="1"/>
  <c r="H53" i="31" s="1"/>
  <c r="Z279" i="1"/>
  <c r="H77" i="31" s="1"/>
  <c r="Z179" i="1"/>
  <c r="H52" i="31" s="1"/>
  <c r="J198" i="31"/>
  <c r="S159" i="31"/>
  <c r="E218" i="31"/>
  <c r="R218" i="31" s="1"/>
  <c r="AA50" i="31"/>
  <c r="Q76" i="31"/>
  <c r="E42" i="30" s="1"/>
  <c r="F42" i="30" s="1"/>
  <c r="G42" i="30" s="1"/>
  <c r="AA281" i="1"/>
  <c r="S77" i="31"/>
  <c r="E158" i="31"/>
  <c r="AA497" i="1"/>
  <c r="AB497" i="1" s="1"/>
  <c r="O158" i="31" s="1"/>
  <c r="Q159" i="31"/>
  <c r="E38" i="30" s="1"/>
  <c r="F38" i="30" s="1"/>
  <c r="G38" i="30" s="1"/>
  <c r="R284" i="1"/>
  <c r="K76" i="31"/>
  <c r="K198" i="31" s="1"/>
  <c r="M281" i="1"/>
  <c r="I76" i="31"/>
  <c r="I198" i="31" s="1"/>
  <c r="M282" i="1"/>
  <c r="AD348" i="1"/>
  <c r="O348" i="1"/>
  <c r="D94" i="31" s="1"/>
  <c r="AD118" i="1"/>
  <c r="AD120" i="1" s="1"/>
  <c r="P122" i="1" s="1"/>
  <c r="O118" i="1"/>
  <c r="D35" i="31" s="1"/>
  <c r="H284" i="1"/>
  <c r="J284" i="1"/>
  <c r="T282" i="1"/>
  <c r="AA282" i="1" s="1"/>
  <c r="AE348" i="1"/>
  <c r="AC348" i="1"/>
  <c r="S348" i="1" s="1"/>
  <c r="S352" i="1" s="1"/>
  <c r="AF348" i="1"/>
  <c r="AO348" i="1"/>
  <c r="C348" i="1" s="1"/>
  <c r="P348" i="1"/>
  <c r="AA280" i="1"/>
  <c r="AB280" i="1" s="1"/>
  <c r="B108" i="6"/>
  <c r="D108" i="37" s="1"/>
  <c r="A108" i="37" s="1"/>
  <c r="D107" i="6"/>
  <c r="B107" i="10"/>
  <c r="B107" i="11"/>
  <c r="B267" i="13"/>
  <c r="B107" i="15"/>
  <c r="B107" i="16"/>
  <c r="B267" i="17"/>
  <c r="B107" i="17"/>
  <c r="B267" i="12"/>
  <c r="B107" i="13"/>
  <c r="B273" i="18"/>
  <c r="B107" i="20"/>
  <c r="B107" i="12"/>
  <c r="B107" i="14"/>
  <c r="B107" i="9"/>
  <c r="B107" i="18"/>
  <c r="AE118" i="1"/>
  <c r="AF118" i="1"/>
  <c r="AF120" i="1" s="1"/>
  <c r="AC118" i="1"/>
  <c r="S118" i="1" s="1"/>
  <c r="S122" i="1" s="1"/>
  <c r="AO118" i="1"/>
  <c r="C118" i="1" s="1"/>
  <c r="P118" i="1"/>
  <c r="P120" i="1" s="1"/>
  <c r="D114" i="22" l="1"/>
  <c r="B115" i="22"/>
  <c r="H191" i="31"/>
  <c r="Z183" i="1"/>
  <c r="N51" i="31" s="1"/>
  <c r="Z282" i="1"/>
  <c r="N77" i="31" s="1"/>
  <c r="Z185" i="1"/>
  <c r="N53" i="31" s="1"/>
  <c r="Z184" i="1"/>
  <c r="N52" i="31" s="1"/>
  <c r="Z181" i="1"/>
  <c r="Z498" i="1"/>
  <c r="H159" i="31" s="1"/>
  <c r="H218" i="31" s="1"/>
  <c r="U218" i="31" s="1"/>
  <c r="V218" i="31" s="1"/>
  <c r="Z278" i="1"/>
  <c r="H76" i="31" s="1"/>
  <c r="H198" i="31" s="1"/>
  <c r="P191" i="31"/>
  <c r="T191" i="31"/>
  <c r="S158" i="31"/>
  <c r="E217" i="31"/>
  <c r="R217" i="31" s="1"/>
  <c r="Q191" i="31"/>
  <c r="S191" i="31"/>
  <c r="Q158" i="31"/>
  <c r="E74" i="30" s="1"/>
  <c r="F74" i="30" s="1"/>
  <c r="G74" i="30" s="1"/>
  <c r="R191" i="31"/>
  <c r="X50" i="31"/>
  <c r="AA51" i="31"/>
  <c r="S76" i="31"/>
  <c r="AB281" i="1"/>
  <c r="P76" i="31" s="1"/>
  <c r="AA284" i="1"/>
  <c r="AB282" i="1"/>
  <c r="P77" i="31" s="1"/>
  <c r="N121" i="1"/>
  <c r="O121" i="1" s="1"/>
  <c r="N123" i="1"/>
  <c r="O123" i="1" s="1"/>
  <c r="N122" i="1"/>
  <c r="O122" i="1" s="1"/>
  <c r="M284" i="1"/>
  <c r="P121" i="1"/>
  <c r="P123" i="1"/>
  <c r="E293" i="1"/>
  <c r="E299" i="1"/>
  <c r="AO299" i="1" s="1"/>
  <c r="C299" i="1" s="1"/>
  <c r="T348" i="1"/>
  <c r="R348" i="1"/>
  <c r="AE120" i="1"/>
  <c r="T118" i="1"/>
  <c r="T120" i="1" s="1"/>
  <c r="R118" i="1"/>
  <c r="AC120" i="1"/>
  <c r="O120" i="1"/>
  <c r="B109" i="6"/>
  <c r="D109" i="37" s="1"/>
  <c r="A109" i="37" s="1"/>
  <c r="D108" i="6"/>
  <c r="B108" i="20"/>
  <c r="B108" i="10"/>
  <c r="B108" i="11"/>
  <c r="B268" i="12"/>
  <c r="B108" i="12"/>
  <c r="B268" i="13"/>
  <c r="B108" i="13"/>
  <c r="B108" i="14"/>
  <c r="B274" i="18"/>
  <c r="B108" i="15"/>
  <c r="B108" i="16"/>
  <c r="B268" i="17"/>
  <c r="B108" i="17"/>
  <c r="B108" i="18"/>
  <c r="B108" i="9"/>
  <c r="N191" i="31" l="1"/>
  <c r="U191" i="31" s="1"/>
  <c r="V191" i="31" s="1"/>
  <c r="B116" i="22"/>
  <c r="D115" i="22"/>
  <c r="Z187" i="1"/>
  <c r="Z497" i="1"/>
  <c r="H158" i="31" s="1"/>
  <c r="H217" i="31" s="1"/>
  <c r="U217" i="31" s="1"/>
  <c r="V217" i="31" s="1"/>
  <c r="Z281" i="1"/>
  <c r="Z284" i="1" s="1"/>
  <c r="Z280" i="1"/>
  <c r="AA52" i="31"/>
  <c r="X51" i="31"/>
  <c r="R77" i="31"/>
  <c r="U77" i="31"/>
  <c r="R76" i="31"/>
  <c r="V76" i="31"/>
  <c r="U76" i="31"/>
  <c r="J35" i="31"/>
  <c r="J36" i="31"/>
  <c r="E91" i="30" s="1"/>
  <c r="F91" i="30" s="1"/>
  <c r="G91" i="30" s="1"/>
  <c r="E35" i="31"/>
  <c r="E187" i="31" s="1"/>
  <c r="AA118" i="1"/>
  <c r="AB118" i="1" s="1"/>
  <c r="O35" i="31" s="1"/>
  <c r="J34" i="31"/>
  <c r="E94" i="31"/>
  <c r="Q94" i="31" s="1"/>
  <c r="AA348" i="1"/>
  <c r="AB348" i="1" s="1"/>
  <c r="O94" i="31" s="1"/>
  <c r="AB284" i="1"/>
  <c r="R120" i="1"/>
  <c r="J122" i="1"/>
  <c r="Q125" i="1"/>
  <c r="Q123" i="1" s="1"/>
  <c r="R123" i="1" s="1"/>
  <c r="K36" i="31" s="1"/>
  <c r="AD293" i="1"/>
  <c r="O293" i="1"/>
  <c r="D82" i="31" s="1"/>
  <c r="O125" i="1"/>
  <c r="H122" i="1"/>
  <c r="I35" i="31" s="1"/>
  <c r="H121" i="1"/>
  <c r="I34" i="31" s="1"/>
  <c r="J121" i="1"/>
  <c r="J123" i="1"/>
  <c r="H123" i="1"/>
  <c r="I36" i="31" s="1"/>
  <c r="AO293" i="1"/>
  <c r="C293" i="1" s="1"/>
  <c r="AE293" i="1"/>
  <c r="AF293" i="1"/>
  <c r="AC293" i="1"/>
  <c r="S293" i="1" s="1"/>
  <c r="S299" i="1" s="1"/>
  <c r="P293" i="1"/>
  <c r="E160" i="1"/>
  <c r="E166" i="1"/>
  <c r="B110" i="6"/>
  <c r="D110" i="37" s="1"/>
  <c r="A110" i="37" s="1"/>
  <c r="D109" i="6"/>
  <c r="B109" i="20"/>
  <c r="B109" i="10"/>
  <c r="B109" i="15"/>
  <c r="B109" i="16"/>
  <c r="B269" i="17"/>
  <c r="B109" i="17"/>
  <c r="B109" i="11"/>
  <c r="B269" i="13"/>
  <c r="B269" i="12"/>
  <c r="B109" i="13"/>
  <c r="B275" i="18"/>
  <c r="B109" i="18"/>
  <c r="B109" i="14"/>
  <c r="B109" i="9"/>
  <c r="B109" i="12"/>
  <c r="T125" i="1"/>
  <c r="T121" i="1" s="1"/>
  <c r="B118" i="22" l="1"/>
  <c r="D116" i="22"/>
  <c r="X198" i="31"/>
  <c r="C30" i="33"/>
  <c r="Z12" i="39"/>
  <c r="Z33" i="39" s="1"/>
  <c r="E454" i="1"/>
  <c r="AD454" i="1" s="1"/>
  <c r="I187" i="31"/>
  <c r="J187" i="31"/>
  <c r="N76" i="31"/>
  <c r="N198" i="31" s="1"/>
  <c r="Z119" i="1"/>
  <c r="H36" i="31" s="1"/>
  <c r="AA76" i="31"/>
  <c r="AA53" i="31"/>
  <c r="X53" i="31" s="1"/>
  <c r="X52" i="31"/>
  <c r="Q35" i="31"/>
  <c r="S36" i="31"/>
  <c r="M122" i="1"/>
  <c r="M121" i="1"/>
  <c r="M123" i="1"/>
  <c r="Q122" i="1"/>
  <c r="R122" i="1" s="1"/>
  <c r="Q121" i="1"/>
  <c r="R121" i="1" s="1"/>
  <c r="AD160" i="1"/>
  <c r="O160" i="1"/>
  <c r="D45" i="31" s="1"/>
  <c r="P172" i="1"/>
  <c r="N172" i="1"/>
  <c r="J125" i="1"/>
  <c r="H125" i="1"/>
  <c r="T122" i="1"/>
  <c r="T123" i="1"/>
  <c r="AA123" i="1" s="1"/>
  <c r="AE454" i="1"/>
  <c r="AF454" i="1"/>
  <c r="AC454" i="1"/>
  <c r="S454" i="1" s="1"/>
  <c r="R293" i="1"/>
  <c r="T293" i="1"/>
  <c r="B111" i="6"/>
  <c r="D111" i="37" s="1"/>
  <c r="A111" i="37" s="1"/>
  <c r="D110" i="6"/>
  <c r="B110" i="20"/>
  <c r="B110" i="10"/>
  <c r="B110" i="11"/>
  <c r="B270" i="12"/>
  <c r="B110" i="12"/>
  <c r="B270" i="13"/>
  <c r="B110" i="13"/>
  <c r="B110" i="14"/>
  <c r="B276" i="18"/>
  <c r="B110" i="18"/>
  <c r="B110" i="15"/>
  <c r="B110" i="16"/>
  <c r="B270" i="17"/>
  <c r="B110" i="17"/>
  <c r="B110" i="9"/>
  <c r="AA120" i="1"/>
  <c r="AB120" i="1" s="1"/>
  <c r="AO166" i="1"/>
  <c r="C166" i="1" s="1"/>
  <c r="AF160" i="1"/>
  <c r="AC160" i="1"/>
  <c r="S160" i="1" s="1"/>
  <c r="S166" i="1" s="1"/>
  <c r="AE160" i="1"/>
  <c r="AO160" i="1"/>
  <c r="C160" i="1" s="1"/>
  <c r="P160" i="1"/>
  <c r="D118" i="22" l="1"/>
  <c r="B119" i="22"/>
  <c r="AO454" i="1"/>
  <c r="C454" i="1" s="1"/>
  <c r="E476" i="1"/>
  <c r="AD476" i="1" s="1"/>
  <c r="Z123" i="1"/>
  <c r="N36" i="31" s="1"/>
  <c r="S198" i="31"/>
  <c r="U198" i="31"/>
  <c r="T198" i="31"/>
  <c r="E66" i="30"/>
  <c r="F66" i="30" s="1"/>
  <c r="G66" i="30" s="1"/>
  <c r="P198" i="31"/>
  <c r="R198" i="31"/>
  <c r="X76" i="31"/>
  <c r="AA77" i="31"/>
  <c r="X77" i="31" s="1"/>
  <c r="E82" i="31"/>
  <c r="Q82" i="31" s="1"/>
  <c r="AA293" i="1"/>
  <c r="AB293" i="1" s="1"/>
  <c r="O82" i="31" s="1"/>
  <c r="K34" i="31"/>
  <c r="AA121" i="1"/>
  <c r="K35" i="31"/>
  <c r="S35" i="31" s="1"/>
  <c r="AA122" i="1"/>
  <c r="AB122" i="1" s="1"/>
  <c r="P35" i="31" s="1"/>
  <c r="R125" i="1"/>
  <c r="AB123" i="1"/>
  <c r="P36" i="31" s="1"/>
  <c r="R160" i="1"/>
  <c r="T160" i="1"/>
  <c r="M125" i="1"/>
  <c r="B112" i="6"/>
  <c r="D112" i="37" s="1"/>
  <c r="A112" i="37" s="1"/>
  <c r="D111" i="6"/>
  <c r="B111" i="20"/>
  <c r="B111" i="10"/>
  <c r="B111" i="12"/>
  <c r="B111" i="14"/>
  <c r="B111" i="15"/>
  <c r="B111" i="16"/>
  <c r="B271" i="17"/>
  <c r="B111" i="17"/>
  <c r="B278" i="18"/>
  <c r="B111" i="11"/>
  <c r="B271" i="13"/>
  <c r="B111" i="18"/>
  <c r="B271" i="12"/>
  <c r="B111" i="13"/>
  <c r="B111" i="9"/>
  <c r="D119" i="22" l="1"/>
  <c r="B120" i="22"/>
  <c r="AC476" i="1"/>
  <c r="S476" i="1" s="1"/>
  <c r="AO476" i="1"/>
  <c r="C476" i="1" s="1"/>
  <c r="AF476" i="1"/>
  <c r="AE476" i="1"/>
  <c r="E455" i="1"/>
  <c r="AD455" i="1" s="1"/>
  <c r="Z118" i="1"/>
  <c r="H35" i="31" s="1"/>
  <c r="E58" i="30"/>
  <c r="F58" i="30" s="1"/>
  <c r="G58" i="30" s="1"/>
  <c r="K187" i="31"/>
  <c r="R35" i="31"/>
  <c r="U35" i="31"/>
  <c r="R36" i="31"/>
  <c r="U36" i="31"/>
  <c r="S34" i="31"/>
  <c r="E45" i="31"/>
  <c r="AA160" i="1"/>
  <c r="AB160" i="1" s="1"/>
  <c r="O45" i="31" s="1"/>
  <c r="AA125" i="1"/>
  <c r="AB125" i="1" s="1"/>
  <c r="AB121" i="1"/>
  <c r="P34" i="31" s="1"/>
  <c r="B113" i="6"/>
  <c r="D113" i="37" s="1"/>
  <c r="A113" i="37" s="1"/>
  <c r="D112" i="6"/>
  <c r="B112" i="20"/>
  <c r="B112" i="10"/>
  <c r="B112" i="11"/>
  <c r="B272" i="12"/>
  <c r="B112" i="12"/>
  <c r="B272" i="13"/>
  <c r="B112" i="13"/>
  <c r="B112" i="14"/>
  <c r="B112" i="18"/>
  <c r="B112" i="15"/>
  <c r="B112" i="16"/>
  <c r="B272" i="17"/>
  <c r="B112" i="17"/>
  <c r="B279" i="18"/>
  <c r="B112" i="9"/>
  <c r="D120" i="22" l="1"/>
  <c r="B121" i="22"/>
  <c r="Z10" i="39"/>
  <c r="AC455" i="1"/>
  <c r="S455" i="1" s="1"/>
  <c r="AF455" i="1"/>
  <c r="AE455" i="1"/>
  <c r="AO455" i="1"/>
  <c r="C455" i="1" s="1"/>
  <c r="Z122" i="1"/>
  <c r="N35" i="31" s="1"/>
  <c r="Z117" i="1"/>
  <c r="H34" i="31" s="1"/>
  <c r="H187" i="31" s="1"/>
  <c r="R34" i="31"/>
  <c r="V34" i="31"/>
  <c r="C6" i="33" s="1"/>
  <c r="U34" i="31"/>
  <c r="Q45" i="31"/>
  <c r="E144" i="1"/>
  <c r="E150" i="1"/>
  <c r="AO150" i="1" s="1"/>
  <c r="C150" i="1" s="1"/>
  <c r="B114" i="6"/>
  <c r="D114" i="37" s="1"/>
  <c r="A114" i="37" s="1"/>
  <c r="D113" i="6"/>
  <c r="B113" i="20"/>
  <c r="B113" i="10"/>
  <c r="B113" i="15"/>
  <c r="B113" i="16"/>
  <c r="B273" i="17"/>
  <c r="B113" i="17"/>
  <c r="B280" i="18"/>
  <c r="B113" i="12"/>
  <c r="B113" i="14"/>
  <c r="B113" i="11"/>
  <c r="B273" i="13"/>
  <c r="B113" i="18"/>
  <c r="B273" i="12"/>
  <c r="B113" i="9"/>
  <c r="B113" i="13"/>
  <c r="B122" i="22" l="1"/>
  <c r="D121" i="22"/>
  <c r="Z31" i="39"/>
  <c r="E499" i="1"/>
  <c r="O499" i="1" s="1"/>
  <c r="D160" i="31" s="1"/>
  <c r="Z121" i="1"/>
  <c r="N34" i="31" s="1"/>
  <c r="N187" i="31" s="1"/>
  <c r="Z120" i="1"/>
  <c r="AA34" i="31"/>
  <c r="X34" i="31" s="1"/>
  <c r="X187" i="31"/>
  <c r="AD144" i="1"/>
  <c r="O144" i="1"/>
  <c r="D41" i="31" s="1"/>
  <c r="B115" i="6"/>
  <c r="D115" i="37" s="1"/>
  <c r="A115" i="37" s="1"/>
  <c r="D114" i="6"/>
  <c r="B114" i="10"/>
  <c r="B114" i="20"/>
  <c r="B114" i="11"/>
  <c r="B274" i="12"/>
  <c r="B114" i="12"/>
  <c r="B274" i="13"/>
  <c r="B114" i="13"/>
  <c r="B114" i="14"/>
  <c r="B114" i="18"/>
  <c r="B114" i="15"/>
  <c r="B114" i="16"/>
  <c r="B274" i="17"/>
  <c r="B114" i="17"/>
  <c r="B281" i="18"/>
  <c r="B114" i="9"/>
  <c r="AC144" i="1"/>
  <c r="S144" i="1" s="1"/>
  <c r="S150" i="1" s="1"/>
  <c r="AE144" i="1"/>
  <c r="AF144" i="1"/>
  <c r="AO144" i="1"/>
  <c r="C144" i="1" s="1"/>
  <c r="P144" i="1"/>
  <c r="B123" i="22" l="1"/>
  <c r="D122" i="22"/>
  <c r="AC499" i="1"/>
  <c r="S499" i="1" s="1"/>
  <c r="AF499" i="1"/>
  <c r="AD499" i="1"/>
  <c r="AO499" i="1"/>
  <c r="C499" i="1" s="1"/>
  <c r="P499" i="1"/>
  <c r="AE499" i="1"/>
  <c r="Z125" i="1"/>
  <c r="AA35" i="31"/>
  <c r="X35" i="31" s="1"/>
  <c r="D216" i="31"/>
  <c r="Q216" i="31" s="1"/>
  <c r="V216" i="31" s="1"/>
  <c r="D198" i="31"/>
  <c r="Q198" i="31" s="1"/>
  <c r="V198" i="31" s="1"/>
  <c r="D219" i="31"/>
  <c r="Q219" i="31" s="1"/>
  <c r="D187" i="31"/>
  <c r="D184" i="31"/>
  <c r="Q184" i="31" s="1"/>
  <c r="V184" i="31" s="1"/>
  <c r="AA36" i="31"/>
  <c r="X36" i="31" s="1"/>
  <c r="E306" i="1"/>
  <c r="E310" i="1"/>
  <c r="T144" i="1"/>
  <c r="R144" i="1"/>
  <c r="B116" i="6"/>
  <c r="D116" i="37" s="1"/>
  <c r="A116" i="37" s="1"/>
  <c r="D115" i="6"/>
  <c r="B115" i="20"/>
  <c r="B275" i="12"/>
  <c r="B115" i="13"/>
  <c r="B115" i="15"/>
  <c r="B115" i="16"/>
  <c r="B275" i="17"/>
  <c r="B115" i="17"/>
  <c r="B282" i="18"/>
  <c r="B115" i="10"/>
  <c r="B115" i="12"/>
  <c r="B115" i="14"/>
  <c r="B115" i="18"/>
  <c r="B115" i="11"/>
  <c r="B275" i="13"/>
  <c r="B115" i="9"/>
  <c r="T499" i="1" l="1"/>
  <c r="R499" i="1"/>
  <c r="E160" i="31" s="1"/>
  <c r="S160" i="31" s="1"/>
  <c r="D123" i="22"/>
  <c r="B124" i="22"/>
  <c r="E41" i="31"/>
  <c r="Q41" i="31" s="1"/>
  <c r="AA144" i="1"/>
  <c r="AB144" i="1" s="1"/>
  <c r="O41" i="31" s="1"/>
  <c r="AD306" i="1"/>
  <c r="O306" i="1"/>
  <c r="D83" i="31" s="1"/>
  <c r="P314" i="1"/>
  <c r="N314" i="1"/>
  <c r="E339" i="1"/>
  <c r="E336" i="1"/>
  <c r="AO310" i="1"/>
  <c r="C310" i="1" s="1"/>
  <c r="AF306" i="1"/>
  <c r="AO306" i="1"/>
  <c r="C306" i="1" s="1"/>
  <c r="AC306" i="1"/>
  <c r="S306" i="1" s="1"/>
  <c r="S310" i="1" s="1"/>
  <c r="AE306" i="1"/>
  <c r="P306" i="1"/>
  <c r="B117" i="6"/>
  <c r="D117" i="37" s="1"/>
  <c r="A117" i="37" s="1"/>
  <c r="D116" i="6"/>
  <c r="B116" i="10"/>
  <c r="B116" i="20"/>
  <c r="B116" i="11"/>
  <c r="B276" i="12"/>
  <c r="B116" i="12"/>
  <c r="B276" i="13"/>
  <c r="B116" i="13"/>
  <c r="B116" i="14"/>
  <c r="B116" i="18"/>
  <c r="B116" i="15"/>
  <c r="B116" i="16"/>
  <c r="B276" i="17"/>
  <c r="B116" i="17"/>
  <c r="B283" i="18"/>
  <c r="B116" i="9"/>
  <c r="AA499" i="1" l="1"/>
  <c r="AB499" i="1" s="1"/>
  <c r="O160" i="31" s="1"/>
  <c r="D124" i="22"/>
  <c r="B125" i="22"/>
  <c r="Q160" i="31"/>
  <c r="E122" i="30" s="1"/>
  <c r="F122" i="30" s="1"/>
  <c r="G122" i="30" s="1"/>
  <c r="E219" i="31"/>
  <c r="R219" i="31" s="1"/>
  <c r="AD336" i="1"/>
  <c r="O336" i="1"/>
  <c r="D91" i="31" s="1"/>
  <c r="P342" i="1"/>
  <c r="N342" i="1"/>
  <c r="R306" i="1"/>
  <c r="T306" i="1"/>
  <c r="AF336" i="1"/>
  <c r="AC336" i="1"/>
  <c r="S336" i="1" s="1"/>
  <c r="S339" i="1" s="1"/>
  <c r="AO336" i="1"/>
  <c r="C336" i="1" s="1"/>
  <c r="AE336" i="1"/>
  <c r="P336" i="1"/>
  <c r="AO339" i="1"/>
  <c r="C339" i="1" s="1"/>
  <c r="E200" i="1"/>
  <c r="AO200" i="1" s="1"/>
  <c r="C200" i="1" s="1"/>
  <c r="E194" i="1"/>
  <c r="B118" i="6"/>
  <c r="D118" i="37" s="1"/>
  <c r="A118" i="37" s="1"/>
  <c r="D117" i="6"/>
  <c r="B117" i="20"/>
  <c r="B117" i="10"/>
  <c r="B117" i="15"/>
  <c r="B117" i="16"/>
  <c r="B277" i="17"/>
  <c r="B117" i="17"/>
  <c r="B284" i="18"/>
  <c r="B277" i="12"/>
  <c r="B117" i="13"/>
  <c r="B117" i="12"/>
  <c r="B117" i="14"/>
  <c r="B117" i="18"/>
  <c r="B277" i="13"/>
  <c r="B117" i="9"/>
  <c r="B117" i="11"/>
  <c r="B126" i="22" l="1"/>
  <c r="D125" i="22"/>
  <c r="Z499" i="1"/>
  <c r="H160" i="31" s="1"/>
  <c r="H219" i="31" s="1"/>
  <c r="U219" i="31" s="1"/>
  <c r="V219" i="31" s="1"/>
  <c r="E83" i="31"/>
  <c r="AA306" i="1"/>
  <c r="AB306" i="1" s="1"/>
  <c r="O83" i="31" s="1"/>
  <c r="AD194" i="1"/>
  <c r="O194" i="1"/>
  <c r="D56" i="31" s="1"/>
  <c r="R336" i="1"/>
  <c r="T336" i="1"/>
  <c r="E298" i="1"/>
  <c r="AO298" i="1" s="1"/>
  <c r="C298" i="1" s="1"/>
  <c r="E292" i="1"/>
  <c r="B119" i="6"/>
  <c r="D119" i="37" s="1"/>
  <c r="A119" i="37" s="1"/>
  <c r="D118" i="6"/>
  <c r="B118" i="20"/>
  <c r="B118" i="10"/>
  <c r="B118" i="11"/>
  <c r="B278" i="12"/>
  <c r="B118" i="12"/>
  <c r="B278" i="13"/>
  <c r="B118" i="13"/>
  <c r="B118" i="14"/>
  <c r="B118" i="18"/>
  <c r="B118" i="15"/>
  <c r="B118" i="16"/>
  <c r="B278" i="17"/>
  <c r="B118" i="17"/>
  <c r="B285" i="18"/>
  <c r="B118" i="9"/>
  <c r="AE194" i="1"/>
  <c r="AO194" i="1"/>
  <c r="C194" i="1" s="1"/>
  <c r="AF194" i="1"/>
  <c r="AC194" i="1"/>
  <c r="S194" i="1" s="1"/>
  <c r="S200" i="1" s="1"/>
  <c r="P194" i="1"/>
  <c r="B127" i="22" l="1"/>
  <c r="D126" i="22"/>
  <c r="Q83" i="31"/>
  <c r="E91" i="31"/>
  <c r="AA336" i="1"/>
  <c r="AB336" i="1" s="1"/>
  <c r="O91" i="31" s="1"/>
  <c r="AD292" i="1"/>
  <c r="O292" i="1"/>
  <c r="D81" i="31" s="1"/>
  <c r="E326" i="1"/>
  <c r="AO326" i="1" s="1"/>
  <c r="C326" i="1" s="1"/>
  <c r="E320" i="1"/>
  <c r="AE292" i="1"/>
  <c r="AF292" i="1"/>
  <c r="AO292" i="1"/>
  <c r="C292" i="1" s="1"/>
  <c r="AC292" i="1"/>
  <c r="S292" i="1" s="1"/>
  <c r="S298" i="1" s="1"/>
  <c r="P292" i="1"/>
  <c r="T194" i="1"/>
  <c r="R194" i="1"/>
  <c r="B120" i="6"/>
  <c r="D120" i="37" s="1"/>
  <c r="A120" i="37" s="1"/>
  <c r="D119" i="6"/>
  <c r="B119" i="10"/>
  <c r="B119" i="20"/>
  <c r="B119" i="11"/>
  <c r="B279" i="13"/>
  <c r="B119" i="15"/>
  <c r="B119" i="16"/>
  <c r="B279" i="17"/>
  <c r="B119" i="17"/>
  <c r="B286" i="18"/>
  <c r="B279" i="12"/>
  <c r="B119" i="13"/>
  <c r="B119" i="18"/>
  <c r="B119" i="12"/>
  <c r="B119" i="14"/>
  <c r="B119" i="9"/>
  <c r="B128" i="22" l="1"/>
  <c r="D127" i="22"/>
  <c r="Q91" i="31"/>
  <c r="E56" i="31"/>
  <c r="AA194" i="1"/>
  <c r="AB194" i="1" s="1"/>
  <c r="O56" i="31" s="1"/>
  <c r="AD320" i="1"/>
  <c r="O320" i="1"/>
  <c r="D87" i="31" s="1"/>
  <c r="AC320" i="1"/>
  <c r="S320" i="1" s="1"/>
  <c r="S326" i="1" s="1"/>
  <c r="AE320" i="1"/>
  <c r="AO320" i="1"/>
  <c r="C320" i="1" s="1"/>
  <c r="AF320" i="1"/>
  <c r="P320" i="1"/>
  <c r="T292" i="1"/>
  <c r="R292" i="1"/>
  <c r="E152" i="1"/>
  <c r="AO152" i="1" s="1"/>
  <c r="C152" i="1" s="1"/>
  <c r="E146" i="1"/>
  <c r="O146" i="1" s="1"/>
  <c r="D43" i="31" s="1"/>
  <c r="B121" i="6"/>
  <c r="D121" i="37" s="1"/>
  <c r="A121" i="37" s="1"/>
  <c r="D120" i="6"/>
  <c r="B120" i="20"/>
  <c r="B120" i="10"/>
  <c r="B120" i="11"/>
  <c r="B280" i="12"/>
  <c r="B120" i="12"/>
  <c r="B280" i="13"/>
  <c r="B120" i="13"/>
  <c r="B120" i="14"/>
  <c r="B120" i="18"/>
  <c r="B120" i="15"/>
  <c r="B120" i="16"/>
  <c r="B280" i="17"/>
  <c r="B120" i="17"/>
  <c r="B287" i="18"/>
  <c r="B120" i="9"/>
  <c r="D128" i="22" l="1"/>
  <c r="B129" i="22"/>
  <c r="AA292" i="1"/>
  <c r="AB292" i="1" s="1"/>
  <c r="O81" i="31" s="1"/>
  <c r="Q56" i="31"/>
  <c r="E81" i="31"/>
  <c r="Q81" i="31" s="1"/>
  <c r="AD146" i="1"/>
  <c r="E323" i="1"/>
  <c r="E329" i="1"/>
  <c r="AO329" i="1" s="1"/>
  <c r="C329" i="1" s="1"/>
  <c r="T320" i="1"/>
  <c r="R320" i="1"/>
  <c r="AC146" i="1"/>
  <c r="S146" i="1" s="1"/>
  <c r="S152" i="1" s="1"/>
  <c r="AE146" i="1"/>
  <c r="AF146" i="1"/>
  <c r="AO146" i="1"/>
  <c r="C146" i="1" s="1"/>
  <c r="P146" i="1"/>
  <c r="B122" i="6"/>
  <c r="D122" i="37" s="1"/>
  <c r="A122" i="37" s="1"/>
  <c r="D121" i="6"/>
  <c r="B121" i="20"/>
  <c r="B121" i="10"/>
  <c r="B121" i="15"/>
  <c r="B121" i="16"/>
  <c r="B281" i="17"/>
  <c r="B121" i="17"/>
  <c r="B288" i="18"/>
  <c r="B121" i="11"/>
  <c r="B281" i="13"/>
  <c r="B281" i="12"/>
  <c r="B121" i="13"/>
  <c r="B121" i="18"/>
  <c r="B121" i="14"/>
  <c r="B121" i="9"/>
  <c r="B121" i="12"/>
  <c r="B130" i="22" l="1"/>
  <c r="D129" i="22"/>
  <c r="AA320" i="1"/>
  <c r="AB320" i="1" s="1"/>
  <c r="O87" i="31" s="1"/>
  <c r="E87" i="31"/>
  <c r="AD323" i="1"/>
  <c r="AD324" i="1" s="1"/>
  <c r="O323" i="1"/>
  <c r="D90" i="31" s="1"/>
  <c r="D201" i="31" s="1"/>
  <c r="AF323" i="1"/>
  <c r="AC323" i="1"/>
  <c r="S323" i="1" s="1"/>
  <c r="S329" i="1" s="1"/>
  <c r="AE323" i="1"/>
  <c r="AO323" i="1"/>
  <c r="C323" i="1" s="1"/>
  <c r="P323" i="1"/>
  <c r="P324" i="1" s="1"/>
  <c r="E102" i="1"/>
  <c r="E108" i="1"/>
  <c r="AO108" i="1" s="1"/>
  <c r="C108" i="1" s="1"/>
  <c r="B123" i="6"/>
  <c r="D123" i="37" s="1"/>
  <c r="A123" i="37" s="1"/>
  <c r="D122" i="6"/>
  <c r="B122" i="20"/>
  <c r="B122" i="10"/>
  <c r="B122" i="11"/>
  <c r="B282" i="12"/>
  <c r="B122" i="12"/>
  <c r="B282" i="13"/>
  <c r="B122" i="13"/>
  <c r="B122" i="14"/>
  <c r="B122" i="18"/>
  <c r="B122" i="15"/>
  <c r="B122" i="16"/>
  <c r="B282" i="17"/>
  <c r="B122" i="17"/>
  <c r="B289" i="18"/>
  <c r="B122" i="9"/>
  <c r="T146" i="1"/>
  <c r="R146" i="1"/>
  <c r="B131" i="22" l="1"/>
  <c r="D130" i="22"/>
  <c r="Q87" i="31"/>
  <c r="AA146" i="1"/>
  <c r="AB146" i="1" s="1"/>
  <c r="O43" i="31" s="1"/>
  <c r="E43" i="31"/>
  <c r="Q43" i="31" s="1"/>
  <c r="AD102" i="1"/>
  <c r="O102" i="1"/>
  <c r="D31" i="31" s="1"/>
  <c r="N328" i="1"/>
  <c r="O328" i="1" s="1"/>
  <c r="N327" i="1"/>
  <c r="O327" i="1" s="1"/>
  <c r="N325" i="1"/>
  <c r="O325" i="1" s="1"/>
  <c r="N326" i="1"/>
  <c r="O326" i="1" s="1"/>
  <c r="N329" i="1"/>
  <c r="O329" i="1" s="1"/>
  <c r="P328" i="1"/>
  <c r="P327" i="1"/>
  <c r="P325" i="1"/>
  <c r="P326" i="1"/>
  <c r="P329" i="1"/>
  <c r="AE324" i="1"/>
  <c r="T323" i="1"/>
  <c r="T324" i="1" s="1"/>
  <c r="R323" i="1"/>
  <c r="AC324" i="1"/>
  <c r="E289" i="1"/>
  <c r="E295" i="1"/>
  <c r="O324" i="1"/>
  <c r="AF324" i="1"/>
  <c r="B124" i="6"/>
  <c r="D124" i="37" s="1"/>
  <c r="A124" i="37" s="1"/>
  <c r="D123" i="6"/>
  <c r="B123" i="20"/>
  <c r="B123" i="10"/>
  <c r="B123" i="12"/>
  <c r="B123" i="14"/>
  <c r="B123" i="15"/>
  <c r="B123" i="16"/>
  <c r="B283" i="17"/>
  <c r="B123" i="17"/>
  <c r="B290" i="18"/>
  <c r="B123" i="11"/>
  <c r="B283" i="13"/>
  <c r="B123" i="18"/>
  <c r="B283" i="12"/>
  <c r="B123" i="13"/>
  <c r="B123" i="9"/>
  <c r="AE102" i="1"/>
  <c r="AF102" i="1"/>
  <c r="AC102" i="1"/>
  <c r="S102" i="1" s="1"/>
  <c r="S108" i="1" s="1"/>
  <c r="AO102" i="1"/>
  <c r="C102" i="1" s="1"/>
  <c r="P102" i="1"/>
  <c r="D131" i="22" l="1"/>
  <c r="B132" i="22"/>
  <c r="J90" i="31"/>
  <c r="J86" i="31"/>
  <c r="J87" i="31"/>
  <c r="J88" i="31"/>
  <c r="E90" i="31"/>
  <c r="E201" i="31" s="1"/>
  <c r="AA323" i="1"/>
  <c r="AB323" i="1" s="1"/>
  <c r="O90" i="31" s="1"/>
  <c r="J89" i="31"/>
  <c r="R324" i="1"/>
  <c r="Q331" i="1"/>
  <c r="Q329" i="1" s="1"/>
  <c r="R329" i="1" s="1"/>
  <c r="K90" i="31" s="1"/>
  <c r="AD289" i="1"/>
  <c r="AD294" i="1" s="1"/>
  <c r="O289" i="1"/>
  <c r="D78" i="31" s="1"/>
  <c r="D199" i="31" s="1"/>
  <c r="O331" i="1"/>
  <c r="P301" i="1"/>
  <c r="N301" i="1"/>
  <c r="H328" i="1"/>
  <c r="I89" i="31" s="1"/>
  <c r="J328" i="1"/>
  <c r="H327" i="1"/>
  <c r="I88" i="31" s="1"/>
  <c r="J327" i="1"/>
  <c r="H325" i="1"/>
  <c r="I86" i="31" s="1"/>
  <c r="J325" i="1"/>
  <c r="H326" i="1"/>
  <c r="I87" i="31" s="1"/>
  <c r="J326" i="1"/>
  <c r="H329" i="1"/>
  <c r="I90" i="31" s="1"/>
  <c r="J329" i="1"/>
  <c r="AO295" i="1"/>
  <c r="C295" i="1" s="1"/>
  <c r="AC289" i="1"/>
  <c r="S289" i="1" s="1"/>
  <c r="S295" i="1" s="1"/>
  <c r="AF289" i="1"/>
  <c r="AF294" i="1" s="1"/>
  <c r="AE289" i="1"/>
  <c r="AO289" i="1"/>
  <c r="C289" i="1" s="1"/>
  <c r="P289" i="1"/>
  <c r="P294" i="1" s="1"/>
  <c r="T331" i="1"/>
  <c r="T329" i="1" s="1"/>
  <c r="R102" i="1"/>
  <c r="T102" i="1"/>
  <c r="E28" i="1"/>
  <c r="AO28" i="1" s="1"/>
  <c r="C28" i="1" s="1"/>
  <c r="E23" i="1"/>
  <c r="B125" i="6"/>
  <c r="D125" i="37" s="1"/>
  <c r="A125" i="37" s="1"/>
  <c r="D124" i="6"/>
  <c r="B124" i="20"/>
  <c r="B124" i="10"/>
  <c r="B124" i="11"/>
  <c r="B284" i="12"/>
  <c r="B124" i="12"/>
  <c r="B284" i="13"/>
  <c r="B124" i="13"/>
  <c r="B124" i="14"/>
  <c r="B124" i="18"/>
  <c r="B124" i="15"/>
  <c r="B124" i="16"/>
  <c r="B284" i="17"/>
  <c r="B124" i="17"/>
  <c r="B291" i="18"/>
  <c r="B124" i="9"/>
  <c r="I201" i="31" l="1"/>
  <c r="D132" i="22"/>
  <c r="B133" i="22"/>
  <c r="J201" i="31"/>
  <c r="Q90" i="31"/>
  <c r="E76" i="30" s="1"/>
  <c r="F76" i="30" s="1"/>
  <c r="G76" i="30" s="1"/>
  <c r="E31" i="31"/>
  <c r="Q31" i="31" s="1"/>
  <c r="AA102" i="1"/>
  <c r="AB102" i="1" s="1"/>
  <c r="O31" i="31" s="1"/>
  <c r="AA329" i="1"/>
  <c r="S90" i="31"/>
  <c r="M325" i="1"/>
  <c r="M329" i="1"/>
  <c r="M327" i="1"/>
  <c r="M326" i="1"/>
  <c r="M328" i="1"/>
  <c r="Q326" i="1"/>
  <c r="R326" i="1" s="1"/>
  <c r="Q325" i="1"/>
  <c r="R325" i="1" s="1"/>
  <c r="Q327" i="1"/>
  <c r="R327" i="1" s="1"/>
  <c r="Q328" i="1"/>
  <c r="R328" i="1" s="1"/>
  <c r="AD23" i="1"/>
  <c r="O23" i="1"/>
  <c r="D12" i="31" s="1"/>
  <c r="N296" i="1"/>
  <c r="O296" i="1" s="1"/>
  <c r="N297" i="1"/>
  <c r="O297" i="1" s="1"/>
  <c r="N299" i="1"/>
  <c r="O299" i="1" s="1"/>
  <c r="N298" i="1"/>
  <c r="O298" i="1" s="1"/>
  <c r="N295" i="1"/>
  <c r="O295" i="1" s="1"/>
  <c r="J331" i="1"/>
  <c r="H331" i="1"/>
  <c r="T326" i="1"/>
  <c r="T325" i="1"/>
  <c r="T327" i="1"/>
  <c r="P297" i="1"/>
  <c r="P296" i="1"/>
  <c r="P299" i="1"/>
  <c r="P298" i="1"/>
  <c r="P295" i="1"/>
  <c r="T328" i="1"/>
  <c r="AA324" i="1"/>
  <c r="AB324" i="1" s="1"/>
  <c r="AE294" i="1"/>
  <c r="T289" i="1"/>
  <c r="T294" i="1" s="1"/>
  <c r="R289" i="1"/>
  <c r="AC294" i="1"/>
  <c r="O294" i="1"/>
  <c r="AO23" i="1"/>
  <c r="C23" i="1" s="1"/>
  <c r="AF23" i="1"/>
  <c r="AC23" i="1"/>
  <c r="S23" i="1" s="1"/>
  <c r="S28" i="1" s="1"/>
  <c r="AE23" i="1"/>
  <c r="P23" i="1"/>
  <c r="E22" i="1"/>
  <c r="E27" i="1"/>
  <c r="N32" i="1" s="1"/>
  <c r="B126" i="6"/>
  <c r="D126" i="37" s="1"/>
  <c r="A126" i="37" s="1"/>
  <c r="D125" i="6"/>
  <c r="B125" i="20"/>
  <c r="B125" i="10"/>
  <c r="B125" i="15"/>
  <c r="B125" i="16"/>
  <c r="B285" i="17"/>
  <c r="B125" i="17"/>
  <c r="B292" i="18"/>
  <c r="B125" i="12"/>
  <c r="B125" i="14"/>
  <c r="B125" i="11"/>
  <c r="B285" i="13"/>
  <c r="B125" i="18"/>
  <c r="B285" i="12"/>
  <c r="B125" i="9"/>
  <c r="B125" i="13"/>
  <c r="B134" i="22" l="1"/>
  <c r="D133" i="22"/>
  <c r="Z323" i="1"/>
  <c r="H90" i="31" s="1"/>
  <c r="J79" i="31"/>
  <c r="K87" i="31"/>
  <c r="AA326" i="1"/>
  <c r="AB326" i="1" s="1"/>
  <c r="P87" i="31" s="1"/>
  <c r="E78" i="31"/>
  <c r="E199" i="31" s="1"/>
  <c r="AA289" i="1"/>
  <c r="AB289" i="1" s="1"/>
  <c r="O78" i="31" s="1"/>
  <c r="J80" i="31"/>
  <c r="K86" i="31"/>
  <c r="AA325" i="1"/>
  <c r="J81" i="31"/>
  <c r="K89" i="31"/>
  <c r="AA328" i="1"/>
  <c r="AB328" i="1" s="1"/>
  <c r="P89" i="31" s="1"/>
  <c r="J78" i="31"/>
  <c r="J82" i="31"/>
  <c r="K88" i="31"/>
  <c r="AA327" i="1"/>
  <c r="AB327" i="1" s="1"/>
  <c r="P88" i="31" s="1"/>
  <c r="AB329" i="1"/>
  <c r="P90" i="31" s="1"/>
  <c r="R294" i="1"/>
  <c r="R331" i="1"/>
  <c r="Q301" i="1"/>
  <c r="Q296" i="1" s="1"/>
  <c r="R296" i="1" s="1"/>
  <c r="K79" i="31" s="1"/>
  <c r="AD22" i="1"/>
  <c r="AD26" i="1" s="1"/>
  <c r="O22" i="1"/>
  <c r="D11" i="31" s="1"/>
  <c r="D180" i="31" s="1"/>
  <c r="O301" i="1"/>
  <c r="P32" i="1"/>
  <c r="H296" i="1"/>
  <c r="I79" i="31" s="1"/>
  <c r="J296" i="1"/>
  <c r="J297" i="1"/>
  <c r="H297" i="1"/>
  <c r="I80" i="31" s="1"/>
  <c r="J299" i="1"/>
  <c r="H299" i="1"/>
  <c r="I82" i="31" s="1"/>
  <c r="J298" i="1"/>
  <c r="H298" i="1"/>
  <c r="M331" i="1"/>
  <c r="J295" i="1"/>
  <c r="H295" i="1"/>
  <c r="I78" i="31" s="1"/>
  <c r="T301" i="1"/>
  <c r="T298" i="1" s="1"/>
  <c r="B127" i="6"/>
  <c r="D127" i="37" s="1"/>
  <c r="A127" i="37" s="1"/>
  <c r="D126" i="6"/>
  <c r="B126" i="20"/>
  <c r="B126" i="10"/>
  <c r="B126" i="11"/>
  <c r="B286" i="12"/>
  <c r="B126" i="12"/>
  <c r="B286" i="13"/>
  <c r="B126" i="13"/>
  <c r="B126" i="14"/>
  <c r="B126" i="18"/>
  <c r="B126" i="15"/>
  <c r="B126" i="16"/>
  <c r="B286" i="17"/>
  <c r="B126" i="17"/>
  <c r="B293" i="18"/>
  <c r="B126" i="9"/>
  <c r="R23" i="1"/>
  <c r="T23" i="1"/>
  <c r="AO27" i="1"/>
  <c r="C27" i="1" s="1"/>
  <c r="AF22" i="1"/>
  <c r="AF26" i="1" s="1"/>
  <c r="AE22" i="1"/>
  <c r="AC22" i="1"/>
  <c r="S22" i="1" s="1"/>
  <c r="S27" i="1" s="1"/>
  <c r="AO22" i="1"/>
  <c r="C22" i="1" s="1"/>
  <c r="P22" i="1"/>
  <c r="P26" i="1" s="1"/>
  <c r="B135" i="22" l="1"/>
  <c r="D134" i="22"/>
  <c r="Z329" i="1"/>
  <c r="N90" i="31" s="1"/>
  <c r="J199" i="31"/>
  <c r="E86" i="30"/>
  <c r="F86" i="30" s="1"/>
  <c r="G86" i="30" s="1"/>
  <c r="K201" i="31"/>
  <c r="S88" i="31"/>
  <c r="E120" i="30"/>
  <c r="F120" i="30" s="1"/>
  <c r="G120" i="30" s="1"/>
  <c r="S87" i="31"/>
  <c r="E117" i="30"/>
  <c r="F117" i="30" s="1"/>
  <c r="G117" i="30" s="1"/>
  <c r="E83" i="30"/>
  <c r="F83" i="30" s="1"/>
  <c r="G83" i="30" s="1"/>
  <c r="S89" i="31"/>
  <c r="E75" i="30"/>
  <c r="F75" i="30" s="1"/>
  <c r="G75" i="30" s="1"/>
  <c r="R89" i="31"/>
  <c r="U89" i="31"/>
  <c r="R88" i="31"/>
  <c r="U88" i="31"/>
  <c r="R87" i="31"/>
  <c r="U87" i="31"/>
  <c r="R90" i="31"/>
  <c r="U90" i="31"/>
  <c r="S86" i="31"/>
  <c r="Q78" i="31"/>
  <c r="E12" i="31"/>
  <c r="Q12" i="31" s="1"/>
  <c r="AA23" i="1"/>
  <c r="AB23" i="1" s="1"/>
  <c r="O12" i="31" s="1"/>
  <c r="S79" i="31"/>
  <c r="M298" i="1"/>
  <c r="I81" i="31"/>
  <c r="I199" i="31" s="1"/>
  <c r="M297" i="1"/>
  <c r="M299" i="1"/>
  <c r="AA331" i="1"/>
  <c r="AB331" i="1" s="1"/>
  <c r="AB325" i="1"/>
  <c r="P86" i="31" s="1"/>
  <c r="M296" i="1"/>
  <c r="AA294" i="1"/>
  <c r="AB294" i="1" s="1"/>
  <c r="M295" i="1"/>
  <c r="Q295" i="1"/>
  <c r="R295" i="1" s="1"/>
  <c r="Q298" i="1"/>
  <c r="R298" i="1" s="1"/>
  <c r="AA298" i="1" s="1"/>
  <c r="Q299" i="1"/>
  <c r="R299" i="1" s="1"/>
  <c r="Q297" i="1"/>
  <c r="R297" i="1" s="1"/>
  <c r="N29" i="1"/>
  <c r="O29" i="1" s="1"/>
  <c r="N30" i="1"/>
  <c r="O30" i="1" s="1"/>
  <c r="N28" i="1"/>
  <c r="O28" i="1" s="1"/>
  <c r="N27" i="1"/>
  <c r="O27" i="1" s="1"/>
  <c r="H301" i="1"/>
  <c r="J301" i="1"/>
  <c r="P29" i="1"/>
  <c r="P30" i="1"/>
  <c r="P28" i="1"/>
  <c r="T299" i="1"/>
  <c r="T297" i="1"/>
  <c r="T295" i="1"/>
  <c r="T296" i="1"/>
  <c r="AA296" i="1" s="1"/>
  <c r="P27" i="1"/>
  <c r="E308" i="1"/>
  <c r="E312" i="1"/>
  <c r="AO312" i="1" s="1"/>
  <c r="C312" i="1" s="1"/>
  <c r="B128" i="6"/>
  <c r="D128" i="37" s="1"/>
  <c r="A128" i="37" s="1"/>
  <c r="D127" i="6"/>
  <c r="B127" i="20"/>
  <c r="B287" i="12"/>
  <c r="B127" i="13"/>
  <c r="B127" i="15"/>
  <c r="B127" i="16"/>
  <c r="B287" i="17"/>
  <c r="B127" i="17"/>
  <c r="B294" i="18"/>
  <c r="B127" i="10"/>
  <c r="B127" i="12"/>
  <c r="B127" i="14"/>
  <c r="B127" i="18"/>
  <c r="B127" i="11"/>
  <c r="B287" i="13"/>
  <c r="B127" i="9"/>
  <c r="R22" i="1"/>
  <c r="AC26" i="1"/>
  <c r="T22" i="1"/>
  <c r="T26" i="1" s="1"/>
  <c r="AE26" i="1"/>
  <c r="O26" i="1"/>
  <c r="D135" i="22" l="1"/>
  <c r="B136" i="22"/>
  <c r="E487" i="1"/>
  <c r="AD487" i="1" s="1"/>
  <c r="Z321" i="1"/>
  <c r="H88" i="31" s="1"/>
  <c r="Z322" i="1"/>
  <c r="H89" i="31" s="1"/>
  <c r="Z290" i="1"/>
  <c r="H79" i="31" s="1"/>
  <c r="Z319" i="1"/>
  <c r="H86" i="31" s="1"/>
  <c r="Z320" i="1"/>
  <c r="H87" i="31" s="1"/>
  <c r="E69" i="30"/>
  <c r="F69" i="30" s="1"/>
  <c r="G69" i="30" s="1"/>
  <c r="R86" i="31"/>
  <c r="U86" i="31"/>
  <c r="V86" i="31"/>
  <c r="AA295" i="1"/>
  <c r="AB295" i="1" s="1"/>
  <c r="P78" i="31" s="1"/>
  <c r="K82" i="31"/>
  <c r="AA299" i="1"/>
  <c r="AB299" i="1" s="1"/>
  <c r="P82" i="31" s="1"/>
  <c r="E11" i="31"/>
  <c r="E180" i="31" s="1"/>
  <c r="AA22" i="1"/>
  <c r="AB22" i="1" s="1"/>
  <c r="O11" i="31" s="1"/>
  <c r="J12" i="31"/>
  <c r="J11" i="31"/>
  <c r="J14" i="31"/>
  <c r="J13" i="31"/>
  <c r="E111" i="30" s="1"/>
  <c r="F111" i="30" s="1"/>
  <c r="G111" i="30" s="1"/>
  <c r="K80" i="31"/>
  <c r="AA297" i="1"/>
  <c r="AB297" i="1" s="1"/>
  <c r="P80" i="31" s="1"/>
  <c r="K78" i="31"/>
  <c r="AB298" i="1"/>
  <c r="P81" i="31" s="1"/>
  <c r="K81" i="31"/>
  <c r="R26" i="1"/>
  <c r="R301" i="1"/>
  <c r="AB296" i="1"/>
  <c r="P79" i="31" s="1"/>
  <c r="AD308" i="1"/>
  <c r="O308" i="1"/>
  <c r="D85" i="31" s="1"/>
  <c r="O32" i="1"/>
  <c r="Q32" i="1"/>
  <c r="Q29" i="1" s="1"/>
  <c r="R29" i="1" s="1"/>
  <c r="K13" i="31" s="1"/>
  <c r="M301" i="1"/>
  <c r="J30" i="1"/>
  <c r="H30" i="1"/>
  <c r="H29" i="1"/>
  <c r="I13" i="31" s="1"/>
  <c r="J29" i="1"/>
  <c r="J28" i="1"/>
  <c r="H28" i="1"/>
  <c r="I12" i="31" s="1"/>
  <c r="H27" i="1"/>
  <c r="I11" i="31" s="1"/>
  <c r="J27" i="1"/>
  <c r="AD489" i="1"/>
  <c r="AO487" i="1"/>
  <c r="C487" i="1" s="1"/>
  <c r="AE487" i="1"/>
  <c r="AF487" i="1"/>
  <c r="AF489" i="1" s="1"/>
  <c r="AC487" i="1"/>
  <c r="S487" i="1" s="1"/>
  <c r="AF308" i="1"/>
  <c r="AO308" i="1"/>
  <c r="C308" i="1" s="1"/>
  <c r="AE308" i="1"/>
  <c r="AC308" i="1"/>
  <c r="S308" i="1" s="1"/>
  <c r="S312" i="1" s="1"/>
  <c r="P308" i="1"/>
  <c r="T32" i="1"/>
  <c r="T27" i="1" s="1"/>
  <c r="B129" i="6"/>
  <c r="D129" i="37" s="1"/>
  <c r="A129" i="37" s="1"/>
  <c r="D128" i="6"/>
  <c r="B128" i="20"/>
  <c r="B128" i="10"/>
  <c r="B128" i="11"/>
  <c r="B288" i="12"/>
  <c r="B128" i="12"/>
  <c r="B288" i="13"/>
  <c r="B128" i="13"/>
  <c r="B128" i="14"/>
  <c r="B128" i="18"/>
  <c r="B128" i="15"/>
  <c r="B128" i="16"/>
  <c r="B288" i="17"/>
  <c r="B128" i="17"/>
  <c r="B295" i="18"/>
  <c r="B128" i="9"/>
  <c r="B137" i="22" l="1"/>
  <c r="D136" i="22"/>
  <c r="X201" i="31"/>
  <c r="C5" i="33"/>
  <c r="E421" i="1"/>
  <c r="AD421" i="1" s="1"/>
  <c r="Z327" i="1"/>
  <c r="N88" i="31" s="1"/>
  <c r="H201" i="31"/>
  <c r="Z328" i="1"/>
  <c r="N89" i="31" s="1"/>
  <c r="Z325" i="1"/>
  <c r="N86" i="31" s="1"/>
  <c r="Z296" i="1"/>
  <c r="N79" i="31" s="1"/>
  <c r="Z324" i="1"/>
  <c r="Z289" i="1"/>
  <c r="H78" i="31" s="1"/>
  <c r="Z24" i="1"/>
  <c r="H13" i="31" s="1"/>
  <c r="Z326" i="1"/>
  <c r="N87" i="31" s="1"/>
  <c r="K199" i="31"/>
  <c r="J180" i="31"/>
  <c r="S81" i="31"/>
  <c r="E88" i="30"/>
  <c r="F88" i="30" s="1"/>
  <c r="G88" i="30" s="1"/>
  <c r="S82" i="31"/>
  <c r="E39" i="30"/>
  <c r="F39" i="30" s="1"/>
  <c r="G39" i="30" s="1"/>
  <c r="S80" i="31"/>
  <c r="E80" i="30"/>
  <c r="F80" i="30" s="1"/>
  <c r="G80" i="30" s="1"/>
  <c r="AA86" i="31"/>
  <c r="R82" i="31"/>
  <c r="U82" i="31"/>
  <c r="R80" i="31"/>
  <c r="U80" i="31"/>
  <c r="R78" i="31"/>
  <c r="V78" i="31"/>
  <c r="U78" i="31"/>
  <c r="R79" i="31"/>
  <c r="U79" i="31"/>
  <c r="R81" i="31"/>
  <c r="U81" i="31"/>
  <c r="Q11" i="31"/>
  <c r="S78" i="31"/>
  <c r="S13" i="31"/>
  <c r="M30" i="1"/>
  <c r="I14" i="31"/>
  <c r="I180" i="31" s="1"/>
  <c r="M27" i="1"/>
  <c r="M28" i="1"/>
  <c r="AA301" i="1"/>
  <c r="AB301" i="1" s="1"/>
  <c r="M29" i="1"/>
  <c r="Q27" i="1"/>
  <c r="R27" i="1" s="1"/>
  <c r="AA27" i="1" s="1"/>
  <c r="Q28" i="1"/>
  <c r="R28" i="1" s="1"/>
  <c r="Q30" i="1"/>
  <c r="R30" i="1" s="1"/>
  <c r="P487" i="1"/>
  <c r="N486" i="1"/>
  <c r="O486" i="1" s="1"/>
  <c r="N487" i="1"/>
  <c r="O487" i="1" s="1"/>
  <c r="J32" i="1"/>
  <c r="H32" i="1"/>
  <c r="T28" i="1"/>
  <c r="AC489" i="1"/>
  <c r="AD425" i="1"/>
  <c r="N421" i="1" s="1"/>
  <c r="O421" i="1" s="1"/>
  <c r="T29" i="1"/>
  <c r="AA29" i="1" s="1"/>
  <c r="T30" i="1"/>
  <c r="P486" i="1"/>
  <c r="AO421" i="1"/>
  <c r="C421" i="1" s="1"/>
  <c r="AE421" i="1"/>
  <c r="AF421" i="1"/>
  <c r="AF425" i="1" s="1"/>
  <c r="AE489" i="1"/>
  <c r="T308" i="1"/>
  <c r="R308" i="1"/>
  <c r="B130" i="6"/>
  <c r="D130" i="37" s="1"/>
  <c r="A130" i="37" s="1"/>
  <c r="D129" i="6"/>
  <c r="B129" i="20"/>
  <c r="B129" i="10"/>
  <c r="B129" i="15"/>
  <c r="B129" i="16"/>
  <c r="B289" i="17"/>
  <c r="B129" i="17"/>
  <c r="B296" i="18"/>
  <c r="B289" i="12"/>
  <c r="B129" i="13"/>
  <c r="B129" i="12"/>
  <c r="B129" i="14"/>
  <c r="B129" i="18"/>
  <c r="B289" i="13"/>
  <c r="B129" i="9"/>
  <c r="B129" i="11"/>
  <c r="AA26" i="1"/>
  <c r="AB26" i="1" s="1"/>
  <c r="B138" i="22" l="1"/>
  <c r="D137" i="22"/>
  <c r="X199" i="31"/>
  <c r="C3" i="33"/>
  <c r="N201" i="31"/>
  <c r="U201" i="31" s="1"/>
  <c r="AC421" i="1"/>
  <c r="S421" i="1" s="1"/>
  <c r="Z295" i="1"/>
  <c r="N78" i="31" s="1"/>
  <c r="Z29" i="1"/>
  <c r="N13" i="31" s="1"/>
  <c r="Z291" i="1"/>
  <c r="H80" i="31" s="1"/>
  <c r="Z331" i="1"/>
  <c r="Z293" i="1"/>
  <c r="H82" i="31" s="1"/>
  <c r="Z292" i="1"/>
  <c r="H81" i="31" s="1"/>
  <c r="P201" i="31"/>
  <c r="T201" i="31"/>
  <c r="S201" i="31"/>
  <c r="AA78" i="31"/>
  <c r="Q201" i="31"/>
  <c r="R201" i="31"/>
  <c r="X86" i="31"/>
  <c r="AA87" i="31"/>
  <c r="K14" i="31"/>
  <c r="AA30" i="1"/>
  <c r="AB30" i="1" s="1"/>
  <c r="P14" i="31" s="1"/>
  <c r="K12" i="31"/>
  <c r="AA28" i="1"/>
  <c r="AB28" i="1" s="1"/>
  <c r="P12" i="31" s="1"/>
  <c r="E85" i="31"/>
  <c r="Q85" i="31" s="1"/>
  <c r="AA308" i="1"/>
  <c r="AB308" i="1" s="1"/>
  <c r="O85" i="31" s="1"/>
  <c r="J154" i="31"/>
  <c r="J112" i="31"/>
  <c r="J153" i="31"/>
  <c r="AB27" i="1"/>
  <c r="P11" i="31" s="1"/>
  <c r="K11" i="31"/>
  <c r="AB29" i="1"/>
  <c r="P13" i="31" s="1"/>
  <c r="R32" i="1"/>
  <c r="J487" i="1"/>
  <c r="Q486" i="1"/>
  <c r="R486" i="1" s="1"/>
  <c r="K153" i="31" s="1"/>
  <c r="Q487" i="1"/>
  <c r="R487" i="1" s="1"/>
  <c r="K154" i="31" s="1"/>
  <c r="O489" i="1"/>
  <c r="P421" i="1"/>
  <c r="N422" i="1"/>
  <c r="O422" i="1" s="1"/>
  <c r="N423" i="1"/>
  <c r="O423" i="1" s="1"/>
  <c r="N420" i="1"/>
  <c r="O420" i="1" s="1"/>
  <c r="M32" i="1"/>
  <c r="H487" i="1"/>
  <c r="J486" i="1"/>
  <c r="H486" i="1"/>
  <c r="T487" i="1"/>
  <c r="AC425" i="1"/>
  <c r="P423" i="1"/>
  <c r="P422" i="1"/>
  <c r="P420" i="1"/>
  <c r="T486" i="1"/>
  <c r="AE425" i="1"/>
  <c r="E267" i="1"/>
  <c r="E261" i="1"/>
  <c r="B131" i="6"/>
  <c r="D131" i="37" s="1"/>
  <c r="A131" i="37" s="1"/>
  <c r="D130" i="6"/>
  <c r="B130" i="20"/>
  <c r="B130" i="10"/>
  <c r="B130" i="11"/>
  <c r="B290" i="12"/>
  <c r="B130" i="12"/>
  <c r="B290" i="13"/>
  <c r="B130" i="13"/>
  <c r="B130" i="14"/>
  <c r="B130" i="18"/>
  <c r="B130" i="15"/>
  <c r="B130" i="16"/>
  <c r="B290" i="17"/>
  <c r="B130" i="17"/>
  <c r="B297" i="18"/>
  <c r="B130" i="9"/>
  <c r="B139" i="22" l="1"/>
  <c r="D138" i="22"/>
  <c r="H199" i="31"/>
  <c r="Z299" i="1"/>
  <c r="N82" i="31" s="1"/>
  <c r="Z294" i="1"/>
  <c r="Z297" i="1"/>
  <c r="N80" i="31" s="1"/>
  <c r="Z298" i="1"/>
  <c r="N81" i="31" s="1"/>
  <c r="P199" i="31"/>
  <c r="T199" i="31"/>
  <c r="E85" i="30"/>
  <c r="F85" i="30" s="1"/>
  <c r="G85" i="30" s="1"/>
  <c r="K180" i="31"/>
  <c r="K213" i="31"/>
  <c r="R213" i="31" s="1"/>
  <c r="J213" i="31"/>
  <c r="Q213" i="31" s="1"/>
  <c r="S12" i="31"/>
  <c r="E87" i="30"/>
  <c r="F87" i="30" s="1"/>
  <c r="G87" i="30" s="1"/>
  <c r="S14" i="31"/>
  <c r="E104" i="30"/>
  <c r="F104" i="30" s="1"/>
  <c r="G104" i="30" s="1"/>
  <c r="V201" i="31"/>
  <c r="AA88" i="31"/>
  <c r="X87" i="31"/>
  <c r="S199" i="31"/>
  <c r="X78" i="31"/>
  <c r="AA79" i="31"/>
  <c r="R199" i="31"/>
  <c r="Q199" i="31"/>
  <c r="R12" i="31"/>
  <c r="U12" i="31"/>
  <c r="R14" i="31"/>
  <c r="U14" i="31"/>
  <c r="R11" i="31"/>
  <c r="U11" i="31"/>
  <c r="V11" i="31"/>
  <c r="S11" i="31"/>
  <c r="AA486" i="1"/>
  <c r="R13" i="31"/>
  <c r="U13" i="31"/>
  <c r="J114" i="31"/>
  <c r="AA487" i="1"/>
  <c r="J111" i="31"/>
  <c r="J113" i="31"/>
  <c r="M487" i="1"/>
  <c r="I154" i="31"/>
  <c r="M486" i="1"/>
  <c r="I153" i="31"/>
  <c r="AA32" i="1"/>
  <c r="AB32" i="1" s="1"/>
  <c r="H421" i="1"/>
  <c r="I112" i="31" s="1"/>
  <c r="Q422" i="1"/>
  <c r="R422" i="1" s="1"/>
  <c r="K113" i="31" s="1"/>
  <c r="Q420" i="1"/>
  <c r="R420" i="1" s="1"/>
  <c r="K111" i="31" s="1"/>
  <c r="Q423" i="1"/>
  <c r="R423" i="1" s="1"/>
  <c r="K114" i="31" s="1"/>
  <c r="J421" i="1"/>
  <c r="J489" i="1"/>
  <c r="Q421" i="1"/>
  <c r="R421" i="1" s="1"/>
  <c r="AD261" i="1"/>
  <c r="O261" i="1"/>
  <c r="D71" i="31" s="1"/>
  <c r="O425" i="1"/>
  <c r="T421" i="1"/>
  <c r="P273" i="1"/>
  <c r="N273" i="1"/>
  <c r="H489" i="1"/>
  <c r="J422" i="1"/>
  <c r="H422" i="1"/>
  <c r="I113" i="31" s="1"/>
  <c r="H423" i="1"/>
  <c r="I114" i="31" s="1"/>
  <c r="J423" i="1"/>
  <c r="J420" i="1"/>
  <c r="H420" i="1"/>
  <c r="I111" i="31" s="1"/>
  <c r="I209" i="31" s="1"/>
  <c r="P209" i="31" s="1"/>
  <c r="T422" i="1"/>
  <c r="T423" i="1"/>
  <c r="T420" i="1"/>
  <c r="E337" i="1"/>
  <c r="E340" i="1"/>
  <c r="AO340" i="1" s="1"/>
  <c r="C340" i="1" s="1"/>
  <c r="P261" i="1"/>
  <c r="AO261" i="1"/>
  <c r="C261" i="1" s="1"/>
  <c r="AE261" i="1"/>
  <c r="AF261" i="1"/>
  <c r="AC261" i="1"/>
  <c r="S261" i="1" s="1"/>
  <c r="S267" i="1" s="1"/>
  <c r="AO267" i="1"/>
  <c r="C267" i="1" s="1"/>
  <c r="B132" i="6"/>
  <c r="D132" i="37" s="1"/>
  <c r="A132" i="37" s="1"/>
  <c r="D131" i="6"/>
  <c r="B131" i="20"/>
  <c r="B131" i="10"/>
  <c r="B131" i="11"/>
  <c r="B291" i="13"/>
  <c r="B131" i="15"/>
  <c r="B131" i="16"/>
  <c r="B291" i="17"/>
  <c r="B131" i="17"/>
  <c r="B298" i="18"/>
  <c r="B291" i="12"/>
  <c r="B131" i="13"/>
  <c r="B131" i="18"/>
  <c r="B131" i="12"/>
  <c r="B131" i="14"/>
  <c r="B131" i="9"/>
  <c r="D139" i="22" l="1"/>
  <c r="B140" i="22"/>
  <c r="X180" i="31"/>
  <c r="C8" i="33"/>
  <c r="N199" i="31"/>
  <c r="U199" i="31" s="1"/>
  <c r="V199" i="31" s="1"/>
  <c r="Z301" i="1"/>
  <c r="Z25" i="1"/>
  <c r="H14" i="31" s="1"/>
  <c r="Z22" i="1"/>
  <c r="H11" i="31" s="1"/>
  <c r="Z23" i="1"/>
  <c r="H12" i="31" s="1"/>
  <c r="J209" i="31"/>
  <c r="Q209" i="31" s="1"/>
  <c r="I213" i="31"/>
  <c r="AB487" i="1"/>
  <c r="P154" i="31" s="1"/>
  <c r="M489" i="1"/>
  <c r="AA80" i="31"/>
  <c r="X79" i="31"/>
  <c r="AA89" i="31"/>
  <c r="X88" i="31"/>
  <c r="AA11" i="31"/>
  <c r="AA420" i="1"/>
  <c r="K112" i="31"/>
  <c r="S112" i="31" s="1"/>
  <c r="AA421" i="1"/>
  <c r="AA423" i="1"/>
  <c r="AA422" i="1"/>
  <c r="S111" i="31"/>
  <c r="Q111" i="31"/>
  <c r="E54" i="30" s="1"/>
  <c r="F54" i="30" s="1"/>
  <c r="G54" i="30" s="1"/>
  <c r="S153" i="31"/>
  <c r="Q153" i="31"/>
  <c r="E72" i="30" s="1"/>
  <c r="F72" i="30" s="1"/>
  <c r="G72" i="30" s="1"/>
  <c r="S154" i="31"/>
  <c r="Q154" i="31"/>
  <c r="E53" i="30" s="1"/>
  <c r="F53" i="30" s="1"/>
  <c r="G53" i="30" s="1"/>
  <c r="S114" i="31"/>
  <c r="Q114" i="31"/>
  <c r="E30" i="30" s="1"/>
  <c r="F30" i="30" s="1"/>
  <c r="G30" i="30" s="1"/>
  <c r="S113" i="31"/>
  <c r="Q113" i="31"/>
  <c r="E50" i="30" s="1"/>
  <c r="F50" i="30" s="1"/>
  <c r="G50" i="30" s="1"/>
  <c r="AA489" i="1"/>
  <c r="AB486" i="1"/>
  <c r="P153" i="31" s="1"/>
  <c r="F490" i="1"/>
  <c r="M421" i="1"/>
  <c r="M420" i="1"/>
  <c r="M423" i="1"/>
  <c r="M422" i="1"/>
  <c r="R425" i="1"/>
  <c r="AD337" i="1"/>
  <c r="AD338" i="1" s="1"/>
  <c r="N339" i="1" s="1"/>
  <c r="O339" i="1" s="1"/>
  <c r="O337" i="1"/>
  <c r="D92" i="31" s="1"/>
  <c r="D202" i="31" s="1"/>
  <c r="H425" i="1"/>
  <c r="J425" i="1"/>
  <c r="T261" i="1"/>
  <c r="R261" i="1"/>
  <c r="AF337" i="1"/>
  <c r="AF338" i="1" s="1"/>
  <c r="AC337" i="1"/>
  <c r="S337" i="1" s="1"/>
  <c r="S340" i="1" s="1"/>
  <c r="AO337" i="1"/>
  <c r="C337" i="1" s="1"/>
  <c r="AE337" i="1"/>
  <c r="P337" i="1"/>
  <c r="E67" i="1"/>
  <c r="AO67" i="1" s="1"/>
  <c r="C67" i="1" s="1"/>
  <c r="E64" i="1"/>
  <c r="B133" i="6"/>
  <c r="D133" i="37" s="1"/>
  <c r="A133" i="37" s="1"/>
  <c r="D132" i="6"/>
  <c r="B132" i="10"/>
  <c r="B132" i="20"/>
  <c r="B132" i="11"/>
  <c r="B292" i="12"/>
  <c r="B132" i="12"/>
  <c r="B292" i="13"/>
  <c r="B132" i="13"/>
  <c r="B132" i="14"/>
  <c r="B132" i="18"/>
  <c r="B132" i="15"/>
  <c r="B132" i="16"/>
  <c r="B292" i="17"/>
  <c r="B132" i="17"/>
  <c r="B299" i="18"/>
  <c r="B132" i="9"/>
  <c r="AB489" i="1" l="1"/>
  <c r="B141" i="22"/>
  <c r="D140" i="22"/>
  <c r="Z30" i="1"/>
  <c r="N14" i="31" s="1"/>
  <c r="Z27" i="1"/>
  <c r="N11" i="31" s="1"/>
  <c r="H180" i="31"/>
  <c r="Z28" i="1"/>
  <c r="Z422" i="1"/>
  <c r="N113" i="31" s="1"/>
  <c r="Z420" i="1"/>
  <c r="N111" i="31" s="1"/>
  <c r="Z486" i="1"/>
  <c r="N153" i="31" s="1"/>
  <c r="Z423" i="1"/>
  <c r="N114" i="31" s="1"/>
  <c r="Z487" i="1"/>
  <c r="N154" i="31" s="1"/>
  <c r="Z26" i="1"/>
  <c r="P213" i="31"/>
  <c r="T187" i="31"/>
  <c r="U187" i="31"/>
  <c r="T180" i="31"/>
  <c r="K209" i="31"/>
  <c r="Q112" i="31"/>
  <c r="E47" i="30" s="1"/>
  <c r="F47" i="30" s="1"/>
  <c r="G47" i="30" s="1"/>
  <c r="AA90" i="31"/>
  <c r="X90" i="31" s="1"/>
  <c r="X89" i="31"/>
  <c r="AA81" i="31"/>
  <c r="X80" i="31"/>
  <c r="S180" i="31"/>
  <c r="R180" i="31"/>
  <c r="Q180" i="31"/>
  <c r="P180" i="31"/>
  <c r="P187" i="31"/>
  <c r="S187" i="31"/>
  <c r="R187" i="31"/>
  <c r="Q187" i="31"/>
  <c r="X11" i="31"/>
  <c r="AA12" i="31"/>
  <c r="J91" i="31"/>
  <c r="E71" i="31"/>
  <c r="AA261" i="1"/>
  <c r="AB261" i="1" s="1"/>
  <c r="O71" i="31" s="1"/>
  <c r="AB421" i="1"/>
  <c r="P112" i="31" s="1"/>
  <c r="AB422" i="1"/>
  <c r="P113" i="31" s="1"/>
  <c r="AB423" i="1"/>
  <c r="P114" i="31" s="1"/>
  <c r="O338" i="1"/>
  <c r="AA425" i="1"/>
  <c r="AB420" i="1"/>
  <c r="P111" i="31" s="1"/>
  <c r="AD64" i="1"/>
  <c r="AD65" i="1" s="1"/>
  <c r="N66" i="1" s="1"/>
  <c r="O66" i="1" s="1"/>
  <c r="O64" i="1"/>
  <c r="D22" i="31" s="1"/>
  <c r="D183" i="31" s="1"/>
  <c r="M425" i="1"/>
  <c r="N340" i="1"/>
  <c r="O340" i="1" s="1"/>
  <c r="P339" i="1"/>
  <c r="P340" i="1"/>
  <c r="AE338" i="1"/>
  <c r="T337" i="1"/>
  <c r="T338" i="1" s="1"/>
  <c r="R337" i="1"/>
  <c r="AC338" i="1"/>
  <c r="P338" i="1"/>
  <c r="E167" i="1"/>
  <c r="AO167" i="1" s="1"/>
  <c r="C167" i="1" s="1"/>
  <c r="E161" i="1"/>
  <c r="B134" i="6"/>
  <c r="D134" i="37" s="1"/>
  <c r="A134" i="37" s="1"/>
  <c r="D133" i="6"/>
  <c r="B133" i="20"/>
  <c r="B133" i="10"/>
  <c r="B133" i="15"/>
  <c r="B133" i="16"/>
  <c r="B293" i="17"/>
  <c r="B133" i="17"/>
  <c r="B300" i="18"/>
  <c r="B133" i="11"/>
  <c r="B293" i="13"/>
  <c r="B293" i="12"/>
  <c r="B133" i="13"/>
  <c r="B133" i="18"/>
  <c r="B133" i="9"/>
  <c r="B133" i="12"/>
  <c r="B133" i="14"/>
  <c r="AF64" i="1"/>
  <c r="AF65" i="1" s="1"/>
  <c r="AE64" i="1"/>
  <c r="AO64" i="1"/>
  <c r="C64" i="1" s="1"/>
  <c r="AC64" i="1"/>
  <c r="S64" i="1" s="1"/>
  <c r="S67" i="1" s="1"/>
  <c r="P64" i="1"/>
  <c r="P65" i="1" s="1"/>
  <c r="B142" i="22" l="1"/>
  <c r="D141" i="22"/>
  <c r="N213" i="31"/>
  <c r="U213" i="31" s="1"/>
  <c r="V213" i="31" s="1"/>
  <c r="Z32" i="1"/>
  <c r="N12" i="31"/>
  <c r="N180" i="31" s="1"/>
  <c r="U180" i="31" s="1"/>
  <c r="V180" i="31" s="1"/>
  <c r="Z421" i="1"/>
  <c r="N112" i="31" s="1"/>
  <c r="N209" i="31" s="1"/>
  <c r="U209" i="31" s="1"/>
  <c r="Z489" i="1"/>
  <c r="R209" i="31"/>
  <c r="AA82" i="31"/>
  <c r="X82" i="31" s="1"/>
  <c r="X81" i="31"/>
  <c r="V187" i="31"/>
  <c r="AA13" i="31"/>
  <c r="X12" i="31"/>
  <c r="Q71" i="31"/>
  <c r="J92" i="31"/>
  <c r="J202" i="31" s="1"/>
  <c r="E92" i="31"/>
  <c r="E202" i="31" s="1"/>
  <c r="AA337" i="1"/>
  <c r="AB337" i="1" s="1"/>
  <c r="O92" i="31" s="1"/>
  <c r="J21" i="31"/>
  <c r="AB425" i="1"/>
  <c r="R338" i="1"/>
  <c r="O342" i="1"/>
  <c r="Q342" i="1"/>
  <c r="Q340" i="1" s="1"/>
  <c r="R340" i="1" s="1"/>
  <c r="K92" i="31" s="1"/>
  <c r="AD161" i="1"/>
  <c r="AD165" i="1" s="1"/>
  <c r="O161" i="1"/>
  <c r="D46" i="31" s="1"/>
  <c r="D190" i="31" s="1"/>
  <c r="N67" i="1"/>
  <c r="O67" i="1" s="1"/>
  <c r="H339" i="1"/>
  <c r="I91" i="31" s="1"/>
  <c r="J339" i="1"/>
  <c r="H340" i="1"/>
  <c r="I92" i="31" s="1"/>
  <c r="J340" i="1"/>
  <c r="P66" i="1"/>
  <c r="P67" i="1"/>
  <c r="E387" i="1"/>
  <c r="E390" i="1"/>
  <c r="AO390" i="1" s="1"/>
  <c r="C390" i="1" s="1"/>
  <c r="T342" i="1"/>
  <c r="T340" i="1" s="1"/>
  <c r="T64" i="1"/>
  <c r="T65" i="1" s="1"/>
  <c r="R64" i="1"/>
  <c r="AC65" i="1"/>
  <c r="Q69" i="1" s="1"/>
  <c r="O65" i="1"/>
  <c r="E251" i="1"/>
  <c r="E254" i="1"/>
  <c r="AO254" i="1" s="1"/>
  <c r="C254" i="1" s="1"/>
  <c r="E240" i="1"/>
  <c r="E265" i="1"/>
  <c r="E271" i="1"/>
  <c r="AO271" i="1" s="1"/>
  <c r="C271" i="1" s="1"/>
  <c r="E243" i="1"/>
  <c r="AO243" i="1" s="1"/>
  <c r="C243" i="1" s="1"/>
  <c r="E10" i="1"/>
  <c r="E15" i="1"/>
  <c r="AO15" i="1" s="1"/>
  <c r="C15" i="1" s="1"/>
  <c r="AE65" i="1"/>
  <c r="B135" i="6"/>
  <c r="D135" i="37" s="1"/>
  <c r="A135" i="37" s="1"/>
  <c r="D134" i="6"/>
  <c r="B134" i="20"/>
  <c r="B134" i="10"/>
  <c r="B134" i="11"/>
  <c r="B294" i="12"/>
  <c r="B134" i="12"/>
  <c r="B294" i="13"/>
  <c r="B134" i="13"/>
  <c r="B134" i="14"/>
  <c r="B134" i="18"/>
  <c r="B134" i="15"/>
  <c r="B134" i="16"/>
  <c r="B294" i="17"/>
  <c r="B134" i="17"/>
  <c r="B301" i="18"/>
  <c r="B134" i="9"/>
  <c r="AC161" i="1"/>
  <c r="S161" i="1" s="1"/>
  <c r="S167" i="1" s="1"/>
  <c r="AF161" i="1"/>
  <c r="AE161" i="1"/>
  <c r="AO161" i="1"/>
  <c r="C161" i="1" s="1"/>
  <c r="P161" i="1"/>
  <c r="P165" i="1" s="1"/>
  <c r="D142" i="22" l="1"/>
  <c r="B143" i="22"/>
  <c r="E349" i="1"/>
  <c r="O349" i="1" s="1"/>
  <c r="D95" i="31" s="1"/>
  <c r="Z425" i="1"/>
  <c r="V209" i="31"/>
  <c r="I202" i="31"/>
  <c r="AA14" i="31"/>
  <c r="X14" i="31" s="1"/>
  <c r="X13" i="31"/>
  <c r="Q92" i="31"/>
  <c r="E35" i="30" s="1"/>
  <c r="F35" i="30" s="1"/>
  <c r="G35" i="30" s="1"/>
  <c r="S92" i="31"/>
  <c r="J22" i="31"/>
  <c r="J183" i="31" s="1"/>
  <c r="E22" i="31"/>
  <c r="E183" i="31" s="1"/>
  <c r="AA64" i="1"/>
  <c r="AB64" i="1" s="1"/>
  <c r="O22" i="31" s="1"/>
  <c r="AA340" i="1"/>
  <c r="M340" i="1"/>
  <c r="M339" i="1"/>
  <c r="O69" i="1"/>
  <c r="R65" i="1"/>
  <c r="Q339" i="1"/>
  <c r="R339" i="1" s="1"/>
  <c r="R161" i="1"/>
  <c r="T161" i="1"/>
  <c r="T165" i="1" s="1"/>
  <c r="AD240" i="1"/>
  <c r="AD241" i="1" s="1"/>
  <c r="N243" i="1" s="1"/>
  <c r="O243" i="1" s="1"/>
  <c r="O240" i="1"/>
  <c r="D68" i="31" s="1"/>
  <c r="D195" i="31" s="1"/>
  <c r="AD265" i="1"/>
  <c r="O265" i="1"/>
  <c r="D75" i="31" s="1"/>
  <c r="AD10" i="1"/>
  <c r="O10" i="1"/>
  <c r="AD251" i="1"/>
  <c r="AD252" i="1" s="1"/>
  <c r="N253" i="1" s="1"/>
  <c r="O253" i="1" s="1"/>
  <c r="O251" i="1"/>
  <c r="D70" i="31" s="1"/>
  <c r="D196" i="31" s="1"/>
  <c r="J67" i="1"/>
  <c r="Q66" i="1"/>
  <c r="R66" i="1" s="1"/>
  <c r="AD387" i="1"/>
  <c r="O387" i="1"/>
  <c r="D103" i="31" s="1"/>
  <c r="N169" i="1"/>
  <c r="O169" i="1" s="1"/>
  <c r="N170" i="1"/>
  <c r="O170" i="1" s="1"/>
  <c r="N168" i="1"/>
  <c r="O168" i="1" s="1"/>
  <c r="N166" i="1"/>
  <c r="O166" i="1" s="1"/>
  <c r="N167" i="1"/>
  <c r="O167" i="1" s="1"/>
  <c r="H67" i="1"/>
  <c r="I22" i="31" s="1"/>
  <c r="J342" i="1"/>
  <c r="J66" i="1"/>
  <c r="H66" i="1"/>
  <c r="H342" i="1"/>
  <c r="AD349" i="1"/>
  <c r="T339" i="1"/>
  <c r="P169" i="1"/>
  <c r="P170" i="1"/>
  <c r="P168" i="1"/>
  <c r="P166" i="1"/>
  <c r="P167" i="1"/>
  <c r="E353" i="1"/>
  <c r="AO353" i="1" s="1"/>
  <c r="C353" i="1" s="1"/>
  <c r="AF387" i="1"/>
  <c r="AE387" i="1"/>
  <c r="AO387" i="1"/>
  <c r="C387" i="1" s="1"/>
  <c r="AC387" i="1"/>
  <c r="S387" i="1" s="1"/>
  <c r="S390" i="1" s="1"/>
  <c r="P387" i="1"/>
  <c r="AF349" i="1"/>
  <c r="AO349" i="1"/>
  <c r="C349" i="1" s="1"/>
  <c r="AE349" i="1"/>
  <c r="AC349" i="1"/>
  <c r="S349" i="1" s="1"/>
  <c r="S353" i="1" s="1"/>
  <c r="P349" i="1"/>
  <c r="AA338" i="1"/>
  <c r="AB338" i="1" s="1"/>
  <c r="AO10" i="1"/>
  <c r="C10" i="1" s="1"/>
  <c r="AF10" i="1"/>
  <c r="P10" i="1"/>
  <c r="AE10" i="1"/>
  <c r="AC10" i="1"/>
  <c r="S10" i="1" s="1"/>
  <c r="S15" i="1" s="1"/>
  <c r="AF251" i="1"/>
  <c r="AC251" i="1"/>
  <c r="S251" i="1" s="1"/>
  <c r="S254" i="1" s="1"/>
  <c r="AE251" i="1"/>
  <c r="AO251" i="1"/>
  <c r="C251" i="1" s="1"/>
  <c r="P251" i="1"/>
  <c r="AC165" i="1"/>
  <c r="AF165" i="1"/>
  <c r="B136" i="6"/>
  <c r="D136" i="37" s="1"/>
  <c r="A136" i="37" s="1"/>
  <c r="D135" i="6"/>
  <c r="B135" i="20"/>
  <c r="B135" i="10"/>
  <c r="B135" i="12"/>
  <c r="B135" i="14"/>
  <c r="B135" i="15"/>
  <c r="B135" i="16"/>
  <c r="B295" i="17"/>
  <c r="B135" i="17"/>
  <c r="B302" i="18"/>
  <c r="B135" i="11"/>
  <c r="B295" i="13"/>
  <c r="B135" i="18"/>
  <c r="B295" i="12"/>
  <c r="B135" i="13"/>
  <c r="B135" i="9"/>
  <c r="AE165" i="1"/>
  <c r="AF265" i="1"/>
  <c r="AO265" i="1"/>
  <c r="C265" i="1" s="1"/>
  <c r="AE265" i="1"/>
  <c r="AC265" i="1"/>
  <c r="S265" i="1" s="1"/>
  <c r="S271" i="1" s="1"/>
  <c r="P265" i="1"/>
  <c r="T69" i="1"/>
  <c r="T67" i="1" s="1"/>
  <c r="O165" i="1"/>
  <c r="AF240" i="1"/>
  <c r="AO240" i="1"/>
  <c r="C240" i="1" s="1"/>
  <c r="AC240" i="1"/>
  <c r="S240" i="1" s="1"/>
  <c r="S243" i="1" s="1"/>
  <c r="AE240" i="1"/>
  <c r="P240" i="1"/>
  <c r="B144" i="22" l="1"/>
  <c r="D143" i="22"/>
  <c r="Z337" i="1"/>
  <c r="H92" i="31" s="1"/>
  <c r="Q22" i="31"/>
  <c r="J49" i="31"/>
  <c r="J48" i="31"/>
  <c r="J69" i="31"/>
  <c r="J68" i="31"/>
  <c r="J46" i="31"/>
  <c r="E46" i="31"/>
  <c r="E190" i="31" s="1"/>
  <c r="AA161" i="1"/>
  <c r="AB161" i="1" s="1"/>
  <c r="O46" i="31" s="1"/>
  <c r="J45" i="31"/>
  <c r="K21" i="31"/>
  <c r="K91" i="31"/>
  <c r="AA339" i="1"/>
  <c r="AA342" i="1" s="1"/>
  <c r="J47" i="31"/>
  <c r="D10" i="31"/>
  <c r="R165" i="1"/>
  <c r="M66" i="1"/>
  <c r="I21" i="31"/>
  <c r="I183" i="31" s="1"/>
  <c r="AB340" i="1"/>
  <c r="P92" i="31" s="1"/>
  <c r="J69" i="1"/>
  <c r="M67" i="1"/>
  <c r="R342" i="1"/>
  <c r="H167" i="1"/>
  <c r="I46" i="31" s="1"/>
  <c r="Q172" i="1"/>
  <c r="Q166" i="1" s="1"/>
  <c r="R166" i="1" s="1"/>
  <c r="K45" i="31" s="1"/>
  <c r="Q67" i="1"/>
  <c r="R67" i="1" s="1"/>
  <c r="O172" i="1"/>
  <c r="N254" i="1"/>
  <c r="O254" i="1" s="1"/>
  <c r="P243" i="1"/>
  <c r="N242" i="1"/>
  <c r="O242" i="1" s="1"/>
  <c r="M342" i="1"/>
  <c r="J167" i="1"/>
  <c r="H169" i="1"/>
  <c r="I48" i="31" s="1"/>
  <c r="J169" i="1"/>
  <c r="H170" i="1"/>
  <c r="I49" i="31" s="1"/>
  <c r="J170" i="1"/>
  <c r="H168" i="1"/>
  <c r="I47" i="31" s="1"/>
  <c r="J168" i="1"/>
  <c r="H166" i="1"/>
  <c r="I45" i="31" s="1"/>
  <c r="I190" i="31" s="1"/>
  <c r="J166" i="1"/>
  <c r="H69" i="1"/>
  <c r="P253" i="1"/>
  <c r="T66" i="1"/>
  <c r="AA66" i="1" s="1"/>
  <c r="P254" i="1"/>
  <c r="P242" i="1"/>
  <c r="E363" i="1"/>
  <c r="E368" i="1"/>
  <c r="AO368" i="1" s="1"/>
  <c r="C368" i="1" s="1"/>
  <c r="T349" i="1"/>
  <c r="R349" i="1"/>
  <c r="R387" i="1"/>
  <c r="T387" i="1"/>
  <c r="T10" i="1"/>
  <c r="R10" i="1"/>
  <c r="AA65" i="1"/>
  <c r="AB65" i="1" s="1"/>
  <c r="T172" i="1"/>
  <c r="T169" i="1" s="1"/>
  <c r="T265" i="1"/>
  <c r="R265" i="1"/>
  <c r="T251" i="1"/>
  <c r="R251" i="1"/>
  <c r="B137" i="6"/>
  <c r="D137" i="37" s="1"/>
  <c r="A137" i="37" s="1"/>
  <c r="D136" i="6"/>
  <c r="B136" i="10"/>
  <c r="B136" i="20"/>
  <c r="B136" i="11"/>
  <c r="B296" i="12"/>
  <c r="B136" i="12"/>
  <c r="B296" i="13"/>
  <c r="B136" i="13"/>
  <c r="B136" i="14"/>
  <c r="B136" i="18"/>
  <c r="B136" i="15"/>
  <c r="B136" i="16"/>
  <c r="B296" i="17"/>
  <c r="B136" i="17"/>
  <c r="B303" i="18"/>
  <c r="B136" i="9"/>
  <c r="R240" i="1"/>
  <c r="T240" i="1"/>
  <c r="D144" i="22" l="1"/>
  <c r="B146" i="22"/>
  <c r="Z340" i="1"/>
  <c r="N92" i="31" s="1"/>
  <c r="E105" i="30"/>
  <c r="F105" i="30" s="1"/>
  <c r="G105" i="30" s="1"/>
  <c r="K202" i="31"/>
  <c r="E48" i="30"/>
  <c r="F48" i="30" s="1"/>
  <c r="G48" i="30" s="1"/>
  <c r="E151" i="30"/>
  <c r="F151" i="30" s="1"/>
  <c r="G151" i="30" s="1"/>
  <c r="J190" i="31"/>
  <c r="S21" i="31"/>
  <c r="R92" i="31"/>
  <c r="U92" i="31"/>
  <c r="S91" i="31"/>
  <c r="Q46" i="31"/>
  <c r="E103" i="31"/>
  <c r="Q103" i="31" s="1"/>
  <c r="AA387" i="1"/>
  <c r="AB387" i="1" s="1"/>
  <c r="O103" i="31" s="1"/>
  <c r="K22" i="31"/>
  <c r="S22" i="31" s="1"/>
  <c r="AA67" i="1"/>
  <c r="AA69" i="1" s="1"/>
  <c r="J67" i="31"/>
  <c r="J195" i="31" s="1"/>
  <c r="E10" i="31"/>
  <c r="Q10" i="31" s="1"/>
  <c r="AA10" i="1"/>
  <c r="AB10" i="1" s="1"/>
  <c r="O10" i="31" s="1"/>
  <c r="E95" i="31"/>
  <c r="Q95" i="31" s="1"/>
  <c r="AA349" i="1"/>
  <c r="AB349" i="1" s="1"/>
  <c r="O95" i="31" s="1"/>
  <c r="J70" i="31"/>
  <c r="J196" i="31" s="1"/>
  <c r="E68" i="31"/>
  <c r="E195" i="31" s="1"/>
  <c r="AA240" i="1"/>
  <c r="AB240" i="1" s="1"/>
  <c r="O68" i="31" s="1"/>
  <c r="E70" i="31"/>
  <c r="E196" i="31" s="1"/>
  <c r="AA251" i="1"/>
  <c r="AB251" i="1" s="1"/>
  <c r="O70" i="31" s="1"/>
  <c r="E75" i="31"/>
  <c r="Q75" i="31" s="1"/>
  <c r="AA265" i="1"/>
  <c r="AB265" i="1" s="1"/>
  <c r="O75" i="31" s="1"/>
  <c r="S45" i="31"/>
  <c r="M69" i="1"/>
  <c r="M168" i="1"/>
  <c r="AB342" i="1"/>
  <c r="M170" i="1"/>
  <c r="M166" i="1"/>
  <c r="M169" i="1"/>
  <c r="AB339" i="1"/>
  <c r="P91" i="31" s="1"/>
  <c r="AB66" i="1"/>
  <c r="P21" i="31" s="1"/>
  <c r="R69" i="1"/>
  <c r="O245" i="1"/>
  <c r="M167" i="1"/>
  <c r="O256" i="1"/>
  <c r="Q168" i="1"/>
  <c r="R168" i="1" s="1"/>
  <c r="Q170" i="1"/>
  <c r="R170" i="1" s="1"/>
  <c r="Q167" i="1"/>
  <c r="R167" i="1" s="1"/>
  <c r="Q169" i="1"/>
  <c r="R169" i="1" s="1"/>
  <c r="AA169" i="1" s="1"/>
  <c r="AD363" i="1"/>
  <c r="O363" i="1"/>
  <c r="D99" i="31" s="1"/>
  <c r="H172" i="1"/>
  <c r="J172" i="1"/>
  <c r="T168" i="1"/>
  <c r="T170" i="1"/>
  <c r="T167" i="1"/>
  <c r="T166" i="1"/>
  <c r="AA166" i="1" s="1"/>
  <c r="E347" i="1"/>
  <c r="O347" i="1" s="1"/>
  <c r="D93" i="31" s="1"/>
  <c r="D203" i="31" s="1"/>
  <c r="E351" i="1"/>
  <c r="AF363" i="1"/>
  <c r="AE363" i="1"/>
  <c r="AC363" i="1"/>
  <c r="S363" i="1" s="1"/>
  <c r="S368" i="1" s="1"/>
  <c r="AO363" i="1"/>
  <c r="C363" i="1" s="1"/>
  <c r="P363" i="1"/>
  <c r="AA165" i="1"/>
  <c r="AB165" i="1" s="1"/>
  <c r="B138" i="6"/>
  <c r="D138" i="37" s="1"/>
  <c r="A138" i="37" s="1"/>
  <c r="D137" i="6"/>
  <c r="B137" i="20"/>
  <c r="B137" i="10"/>
  <c r="B137" i="15"/>
  <c r="B137" i="16"/>
  <c r="B297" i="17"/>
  <c r="B137" i="17"/>
  <c r="B304" i="18"/>
  <c r="B137" i="12"/>
  <c r="B137" i="14"/>
  <c r="B137" i="11"/>
  <c r="B297" i="13"/>
  <c r="B137" i="18"/>
  <c r="B297" i="12"/>
  <c r="B137" i="13"/>
  <c r="B137" i="9"/>
  <c r="B147" i="22" l="1"/>
  <c r="D146" i="22"/>
  <c r="E477" i="1"/>
  <c r="AD477" i="1" s="1"/>
  <c r="Z160" i="1"/>
  <c r="H45" i="31" s="1"/>
  <c r="Z63" i="1"/>
  <c r="H21" i="31" s="1"/>
  <c r="Z336" i="1"/>
  <c r="H91" i="31" s="1"/>
  <c r="H202" i="31" s="1"/>
  <c r="K183" i="31"/>
  <c r="E132" i="30"/>
  <c r="F132" i="30" s="1"/>
  <c r="G132" i="30" s="1"/>
  <c r="R91" i="31"/>
  <c r="V91" i="31"/>
  <c r="U91" i="31"/>
  <c r="Q68" i="31"/>
  <c r="R21" i="31"/>
  <c r="U21" i="31"/>
  <c r="Q70" i="31"/>
  <c r="K46" i="31"/>
  <c r="AA167" i="1"/>
  <c r="AB167" i="1" s="1"/>
  <c r="P46" i="31" s="1"/>
  <c r="K49" i="31"/>
  <c r="AA170" i="1"/>
  <c r="AB170" i="1" s="1"/>
  <c r="P49" i="31" s="1"/>
  <c r="K47" i="31"/>
  <c r="AA168" i="1"/>
  <c r="AB168" i="1" s="1"/>
  <c r="P47" i="31" s="1"/>
  <c r="AB69" i="1"/>
  <c r="AB169" i="1"/>
  <c r="P48" i="31" s="1"/>
  <c r="K48" i="31"/>
  <c r="AB67" i="1"/>
  <c r="P22" i="31" s="1"/>
  <c r="V21" i="31" s="1"/>
  <c r="AB166" i="1"/>
  <c r="P45" i="31" s="1"/>
  <c r="R172" i="1"/>
  <c r="P355" i="1"/>
  <c r="N355" i="1"/>
  <c r="M172" i="1"/>
  <c r="P347" i="1"/>
  <c r="P350" i="1" s="1"/>
  <c r="AD347" i="1"/>
  <c r="AE347" i="1"/>
  <c r="AE350" i="1" s="1"/>
  <c r="O350" i="1"/>
  <c r="R363" i="1"/>
  <c r="T363" i="1"/>
  <c r="AO347" i="1"/>
  <c r="C347" i="1" s="1"/>
  <c r="AC347" i="1"/>
  <c r="S347" i="1" s="1"/>
  <c r="S351" i="1" s="1"/>
  <c r="AF347" i="1"/>
  <c r="AF350" i="1" s="1"/>
  <c r="AO477" i="1"/>
  <c r="C477" i="1" s="1"/>
  <c r="AE477" i="1"/>
  <c r="AF477" i="1"/>
  <c r="AC477" i="1"/>
  <c r="S477" i="1" s="1"/>
  <c r="AO351" i="1"/>
  <c r="C351" i="1" s="1"/>
  <c r="B139" i="6"/>
  <c r="D139" i="37" s="1"/>
  <c r="A139" i="37" s="1"/>
  <c r="D138" i="6"/>
  <c r="B138" i="10"/>
  <c r="B138" i="20"/>
  <c r="B138" i="11"/>
  <c r="B298" i="12"/>
  <c r="B138" i="12"/>
  <c r="B298" i="13"/>
  <c r="B138" i="13"/>
  <c r="B138" i="14"/>
  <c r="B306" i="18"/>
  <c r="B138" i="18"/>
  <c r="B138" i="15"/>
  <c r="B138" i="16"/>
  <c r="B298" i="17"/>
  <c r="B138" i="17"/>
  <c r="B138" i="9"/>
  <c r="B148" i="22" l="1"/>
  <c r="D147" i="22"/>
  <c r="X183" i="31"/>
  <c r="C28" i="33"/>
  <c r="X202" i="31"/>
  <c r="C29" i="33"/>
  <c r="Z66" i="1"/>
  <c r="N21" i="31" s="1"/>
  <c r="Z166" i="1"/>
  <c r="N45" i="31" s="1"/>
  <c r="Z339" i="1"/>
  <c r="N91" i="31" s="1"/>
  <c r="N202" i="31" s="1"/>
  <c r="Z64" i="1"/>
  <c r="H22" i="31" s="1"/>
  <c r="H183" i="31" s="1"/>
  <c r="Z338" i="1"/>
  <c r="E158" i="30"/>
  <c r="F158" i="30" s="1"/>
  <c r="G158" i="30" s="1"/>
  <c r="K190" i="31"/>
  <c r="S47" i="31"/>
  <c r="E156" i="30"/>
  <c r="F156" i="30" s="1"/>
  <c r="G156" i="30" s="1"/>
  <c r="S48" i="31"/>
  <c r="E134" i="30"/>
  <c r="F134" i="30" s="1"/>
  <c r="G134" i="30" s="1"/>
  <c r="S49" i="31"/>
  <c r="E82" i="30"/>
  <c r="F82" i="30" s="1"/>
  <c r="G82" i="30" s="1"/>
  <c r="AA91" i="31"/>
  <c r="AA21" i="31"/>
  <c r="R46" i="31"/>
  <c r="U46" i="31"/>
  <c r="R47" i="31"/>
  <c r="U47" i="31"/>
  <c r="R49" i="31"/>
  <c r="U49" i="31"/>
  <c r="R45" i="31"/>
  <c r="U45" i="31"/>
  <c r="V45" i="31"/>
  <c r="R48" i="31"/>
  <c r="U48" i="31"/>
  <c r="S46" i="31"/>
  <c r="R22" i="31"/>
  <c r="U22" i="31"/>
  <c r="E99" i="31"/>
  <c r="Q99" i="31" s="1"/>
  <c r="AA363" i="1"/>
  <c r="AB363" i="1" s="1"/>
  <c r="O99" i="31" s="1"/>
  <c r="AA172" i="1"/>
  <c r="AB172" i="1" s="1"/>
  <c r="R347" i="1"/>
  <c r="AD350" i="1"/>
  <c r="T347" i="1"/>
  <c r="T350" i="1" s="1"/>
  <c r="AC350" i="1"/>
  <c r="E366" i="1"/>
  <c r="AO366" i="1" s="1"/>
  <c r="C366" i="1" s="1"/>
  <c r="E361" i="1"/>
  <c r="E352" i="1"/>
  <c r="AO352" i="1" s="1"/>
  <c r="C352" i="1" s="1"/>
  <c r="E263" i="1"/>
  <c r="E269" i="1"/>
  <c r="AO269" i="1" s="1"/>
  <c r="C269" i="1" s="1"/>
  <c r="E8" i="1"/>
  <c r="E13" i="1"/>
  <c r="AO13" i="1" s="1"/>
  <c r="C13" i="1" s="1"/>
  <c r="B140" i="6"/>
  <c r="D140" i="37" s="1"/>
  <c r="A140" i="37" s="1"/>
  <c r="D139" i="6"/>
  <c r="B139" i="20"/>
  <c r="B139" i="10"/>
  <c r="B299" i="12"/>
  <c r="B139" i="13"/>
  <c r="B139" i="15"/>
  <c r="B139" i="16"/>
  <c r="B299" i="17"/>
  <c r="B139" i="17"/>
  <c r="B139" i="12"/>
  <c r="B139" i="14"/>
  <c r="B307" i="18"/>
  <c r="B139" i="18"/>
  <c r="B139" i="11"/>
  <c r="B299" i="13"/>
  <c r="B139" i="9"/>
  <c r="D148" i="22" l="1"/>
  <c r="B150" i="22"/>
  <c r="X190" i="31"/>
  <c r="C15" i="33"/>
  <c r="Z342" i="1"/>
  <c r="Z65" i="1"/>
  <c r="Z161" i="1"/>
  <c r="H46" i="31" s="1"/>
  <c r="Z164" i="1"/>
  <c r="H49" i="31" s="1"/>
  <c r="Z163" i="1"/>
  <c r="H48" i="31" s="1"/>
  <c r="Z67" i="1"/>
  <c r="N22" i="31" s="1"/>
  <c r="N183" i="31" s="1"/>
  <c r="U183" i="31" s="1"/>
  <c r="Z162" i="1"/>
  <c r="H47" i="31" s="1"/>
  <c r="S202" i="31"/>
  <c r="T202" i="31"/>
  <c r="U202" i="31"/>
  <c r="T183" i="31"/>
  <c r="AA45" i="31"/>
  <c r="P202" i="31"/>
  <c r="Q202" i="31"/>
  <c r="R202" i="31"/>
  <c r="AA92" i="31"/>
  <c r="X92" i="31" s="1"/>
  <c r="X91" i="31"/>
  <c r="P183" i="31"/>
  <c r="Q183" i="31"/>
  <c r="S183" i="31"/>
  <c r="R183" i="31"/>
  <c r="AA22" i="31"/>
  <c r="X22" i="31" s="1"/>
  <c r="X21" i="31"/>
  <c r="E93" i="31"/>
  <c r="E203" i="31" s="1"/>
  <c r="AA347" i="1"/>
  <c r="AB347" i="1" s="1"/>
  <c r="O93" i="31" s="1"/>
  <c r="R350" i="1"/>
  <c r="Q355" i="1"/>
  <c r="Q351" i="1" s="1"/>
  <c r="R351" i="1" s="1"/>
  <c r="K93" i="31" s="1"/>
  <c r="AD8" i="1"/>
  <c r="AD11" i="1" s="1"/>
  <c r="O8" i="1"/>
  <c r="AD263" i="1"/>
  <c r="AD266" i="1" s="1"/>
  <c r="O263" i="1"/>
  <c r="D73" i="31" s="1"/>
  <c r="D197" i="31" s="1"/>
  <c r="AD361" i="1"/>
  <c r="AD364" i="1" s="1"/>
  <c r="N366" i="1" s="1"/>
  <c r="O366" i="1" s="1"/>
  <c r="O361" i="1"/>
  <c r="N352" i="1"/>
  <c r="O352" i="1" s="1"/>
  <c r="N353" i="1"/>
  <c r="O353" i="1" s="1"/>
  <c r="N351" i="1"/>
  <c r="O351" i="1" s="1"/>
  <c r="H352" i="1"/>
  <c r="I94" i="31" s="1"/>
  <c r="J352" i="1"/>
  <c r="J353" i="1"/>
  <c r="H353" i="1"/>
  <c r="J351" i="1"/>
  <c r="H351" i="1"/>
  <c r="I93" i="31" s="1"/>
  <c r="P352" i="1"/>
  <c r="P353" i="1"/>
  <c r="P351" i="1"/>
  <c r="T355" i="1"/>
  <c r="T352" i="1" s="1"/>
  <c r="E389" i="1"/>
  <c r="AO389" i="1" s="1"/>
  <c r="E386" i="1"/>
  <c r="AE361" i="1"/>
  <c r="AF361" i="1"/>
  <c r="AF364" i="1" s="1"/>
  <c r="AO361" i="1"/>
  <c r="C361" i="1" s="1"/>
  <c r="AC361" i="1"/>
  <c r="S361" i="1" s="1"/>
  <c r="S366" i="1" s="1"/>
  <c r="P361" i="1"/>
  <c r="AF252" i="1"/>
  <c r="P252" i="1"/>
  <c r="B141" i="6"/>
  <c r="D141" i="37" s="1"/>
  <c r="A141" i="37" s="1"/>
  <c r="D140" i="6"/>
  <c r="B140" i="10"/>
  <c r="B140" i="20"/>
  <c r="B140" i="11"/>
  <c r="B300" i="12"/>
  <c r="B140" i="12"/>
  <c r="B300" i="13"/>
  <c r="B140" i="13"/>
  <c r="B140" i="14"/>
  <c r="B308" i="18"/>
  <c r="B140" i="18"/>
  <c r="B140" i="15"/>
  <c r="B140" i="16"/>
  <c r="B300" i="17"/>
  <c r="B140" i="17"/>
  <c r="B140" i="9"/>
  <c r="AF241" i="1"/>
  <c r="P241" i="1"/>
  <c r="P8" i="1"/>
  <c r="P11" i="1" s="1"/>
  <c r="AO8" i="1"/>
  <c r="C8" i="1" s="1"/>
  <c r="AE8" i="1"/>
  <c r="AF8" i="1"/>
  <c r="AF11" i="1" s="1"/>
  <c r="AC8" i="1"/>
  <c r="S8" i="1" s="1"/>
  <c r="S13" i="1" s="1"/>
  <c r="AE263" i="1"/>
  <c r="AF263" i="1"/>
  <c r="AC263" i="1"/>
  <c r="S263" i="1" s="1"/>
  <c r="S269" i="1" s="1"/>
  <c r="AO263" i="1"/>
  <c r="C263" i="1" s="1"/>
  <c r="P263" i="1"/>
  <c r="P266" i="1" s="1"/>
  <c r="D150" i="22" l="1"/>
  <c r="B151" i="22"/>
  <c r="E463" i="1"/>
  <c r="AD463" i="1" s="1"/>
  <c r="Z167" i="1"/>
  <c r="N46" i="31" s="1"/>
  <c r="Z69" i="1"/>
  <c r="H190" i="31"/>
  <c r="Z170" i="1"/>
  <c r="N49" i="31" s="1"/>
  <c r="Z165" i="1"/>
  <c r="Z168" i="1"/>
  <c r="N47" i="31" s="1"/>
  <c r="Z169" i="1"/>
  <c r="N48" i="31" s="1"/>
  <c r="Q190" i="31"/>
  <c r="T190" i="31"/>
  <c r="V202" i="31"/>
  <c r="S190" i="31"/>
  <c r="R190" i="31"/>
  <c r="V183" i="31"/>
  <c r="P190" i="31"/>
  <c r="AA46" i="31"/>
  <c r="X45" i="31"/>
  <c r="Q93" i="31"/>
  <c r="E139" i="30" s="1"/>
  <c r="F139" i="30" s="1"/>
  <c r="G139" i="30" s="1"/>
  <c r="J97" i="31"/>
  <c r="J93" i="31"/>
  <c r="J95" i="31"/>
  <c r="J94" i="31"/>
  <c r="D8" i="31"/>
  <c r="D179" i="31" s="1"/>
  <c r="O364" i="1"/>
  <c r="D97" i="31"/>
  <c r="D204" i="31" s="1"/>
  <c r="M353" i="1"/>
  <c r="I95" i="31"/>
  <c r="I203" i="31" s="1"/>
  <c r="M351" i="1"/>
  <c r="M352" i="1"/>
  <c r="Q353" i="1"/>
  <c r="R353" i="1" s="1"/>
  <c r="K95" i="31" s="1"/>
  <c r="Q352" i="1"/>
  <c r="R352" i="1" s="1"/>
  <c r="AA352" i="1" s="1"/>
  <c r="AD386" i="1"/>
  <c r="AD388" i="1" s="1"/>
  <c r="O386" i="1"/>
  <c r="P392" i="1"/>
  <c r="N392" i="1"/>
  <c r="P269" i="1"/>
  <c r="N270" i="1"/>
  <c r="O270" i="1" s="1"/>
  <c r="N268" i="1"/>
  <c r="O268" i="1" s="1"/>
  <c r="N267" i="1"/>
  <c r="O267" i="1" s="1"/>
  <c r="N271" i="1"/>
  <c r="O271" i="1" s="1"/>
  <c r="N12" i="1"/>
  <c r="O12" i="1" s="1"/>
  <c r="N14" i="1"/>
  <c r="O14" i="1" s="1"/>
  <c r="N15" i="1"/>
  <c r="O15" i="1" s="1"/>
  <c r="P13" i="1"/>
  <c r="O355" i="1"/>
  <c r="P366" i="1"/>
  <c r="N365" i="1"/>
  <c r="O365" i="1" s="1"/>
  <c r="N367" i="1"/>
  <c r="O367" i="1" s="1"/>
  <c r="N368" i="1"/>
  <c r="O368" i="1" s="1"/>
  <c r="N269" i="1"/>
  <c r="O269" i="1" s="1"/>
  <c r="N13" i="1"/>
  <c r="O13" i="1" s="1"/>
  <c r="J355" i="1"/>
  <c r="AA350" i="1"/>
  <c r="AB350" i="1" s="1"/>
  <c r="H355" i="1"/>
  <c r="T353" i="1"/>
  <c r="T351" i="1"/>
  <c r="AA351" i="1" s="1"/>
  <c r="AD465" i="1"/>
  <c r="P365" i="1"/>
  <c r="P367" i="1"/>
  <c r="P368" i="1"/>
  <c r="P270" i="1"/>
  <c r="P268" i="1"/>
  <c r="P267" i="1"/>
  <c r="P271" i="1"/>
  <c r="P12" i="1"/>
  <c r="P14" i="1"/>
  <c r="P15" i="1"/>
  <c r="AO463" i="1"/>
  <c r="C463" i="1" s="1"/>
  <c r="AE463" i="1"/>
  <c r="AC463" i="1"/>
  <c r="S463" i="1" s="1"/>
  <c r="AO386" i="1"/>
  <c r="C386" i="1" s="1"/>
  <c r="P386" i="1"/>
  <c r="P388" i="1" s="1"/>
  <c r="AE386" i="1"/>
  <c r="AE388" i="1" s="1"/>
  <c r="AF386" i="1"/>
  <c r="AF388" i="1" s="1"/>
  <c r="AC386" i="1"/>
  <c r="S386" i="1" s="1"/>
  <c r="S389" i="1" s="1"/>
  <c r="C389" i="1"/>
  <c r="AE364" i="1"/>
  <c r="P364" i="1"/>
  <c r="T361" i="1"/>
  <c r="T364" i="1" s="1"/>
  <c r="R361" i="1"/>
  <c r="AC364" i="1"/>
  <c r="AF266" i="1"/>
  <c r="AE266" i="1"/>
  <c r="AE241" i="1"/>
  <c r="R8" i="1"/>
  <c r="T8" i="1"/>
  <c r="T11" i="1" s="1"/>
  <c r="AC11" i="1"/>
  <c r="T263" i="1"/>
  <c r="T266" i="1" s="1"/>
  <c r="R263" i="1"/>
  <c r="AC266" i="1"/>
  <c r="AE11" i="1"/>
  <c r="O241" i="1"/>
  <c r="O252" i="1"/>
  <c r="O11" i="1"/>
  <c r="T252" i="1"/>
  <c r="R252" i="1"/>
  <c r="AC252" i="1"/>
  <c r="O266" i="1"/>
  <c r="T241" i="1"/>
  <c r="R241" i="1"/>
  <c r="AC241" i="1"/>
  <c r="B142" i="6"/>
  <c r="D142" i="37" s="1"/>
  <c r="A142" i="37" s="1"/>
  <c r="D141" i="6"/>
  <c r="B141" i="20"/>
  <c r="B141" i="10"/>
  <c r="B141" i="15"/>
  <c r="B141" i="16"/>
  <c r="B301" i="17"/>
  <c r="B141" i="17"/>
  <c r="B310" i="18"/>
  <c r="B301" i="12"/>
  <c r="B141" i="13"/>
  <c r="B141" i="12"/>
  <c r="B141" i="14"/>
  <c r="B141" i="18"/>
  <c r="B141" i="9"/>
  <c r="B141" i="11"/>
  <c r="B301" i="13"/>
  <c r="AE252" i="1"/>
  <c r="B152" i="22" l="1"/>
  <c r="D151" i="22"/>
  <c r="AF463" i="1"/>
  <c r="AF465" i="1" s="1"/>
  <c r="N190" i="31"/>
  <c r="U190" i="31" s="1"/>
  <c r="V190" i="31" s="1"/>
  <c r="Z172" i="1"/>
  <c r="Z347" i="1"/>
  <c r="H93" i="31" s="1"/>
  <c r="S93" i="31"/>
  <c r="J203" i="31"/>
  <c r="E60" i="30"/>
  <c r="F60" i="30" s="1"/>
  <c r="G60" i="30" s="1"/>
  <c r="X46" i="31"/>
  <c r="AA47" i="31"/>
  <c r="E73" i="31"/>
  <c r="E197" i="31" s="1"/>
  <c r="AA263" i="1"/>
  <c r="AB263" i="1" s="1"/>
  <c r="O73" i="31" s="1"/>
  <c r="J98" i="31"/>
  <c r="J96" i="31"/>
  <c r="J75" i="31"/>
  <c r="E97" i="31"/>
  <c r="E204" i="31" s="1"/>
  <c r="AA361" i="1"/>
  <c r="AB361" i="1" s="1"/>
  <c r="O97" i="31" s="1"/>
  <c r="J71" i="31"/>
  <c r="J73" i="31"/>
  <c r="E8" i="31"/>
  <c r="E179" i="31" s="1"/>
  <c r="AA8" i="1"/>
  <c r="J72" i="31"/>
  <c r="J99" i="31"/>
  <c r="J74" i="31"/>
  <c r="AA353" i="1"/>
  <c r="AB353" i="1" s="1"/>
  <c r="P95" i="31" s="1"/>
  <c r="J10" i="31"/>
  <c r="J9" i="31"/>
  <c r="E52" i="30" s="1"/>
  <c r="F52" i="30" s="1"/>
  <c r="G52" i="30" s="1"/>
  <c r="J7" i="31"/>
  <c r="J8" i="31"/>
  <c r="S95" i="31"/>
  <c r="O388" i="1"/>
  <c r="D102" i="31"/>
  <c r="D206" i="31" s="1"/>
  <c r="R355" i="1"/>
  <c r="K94" i="31"/>
  <c r="AB351" i="1"/>
  <c r="P93" i="31" s="1"/>
  <c r="R11" i="1"/>
  <c r="R364" i="1"/>
  <c r="R266" i="1"/>
  <c r="H269" i="1"/>
  <c r="I73" i="31" s="1"/>
  <c r="Q273" i="1"/>
  <c r="Q268" i="1" s="1"/>
  <c r="R268" i="1" s="1"/>
  <c r="K72" i="31" s="1"/>
  <c r="Q245" i="1"/>
  <c r="Q242" i="1" s="1"/>
  <c r="R242" i="1" s="1"/>
  <c r="Q256" i="1"/>
  <c r="Q254" i="1" s="1"/>
  <c r="R254" i="1" s="1"/>
  <c r="Q370" i="1"/>
  <c r="Q367" i="1" s="1"/>
  <c r="R367" i="1" s="1"/>
  <c r="K98" i="31" s="1"/>
  <c r="P389" i="1"/>
  <c r="O273" i="1"/>
  <c r="N390" i="1"/>
  <c r="O390" i="1" s="1"/>
  <c r="Q17" i="1"/>
  <c r="Q14" i="1" s="1"/>
  <c r="R14" i="1" s="1"/>
  <c r="K9" i="31" s="1"/>
  <c r="N461" i="1"/>
  <c r="O461" i="1" s="1"/>
  <c r="N462" i="1"/>
  <c r="O462" i="1" s="1"/>
  <c r="N458" i="1"/>
  <c r="O458" i="1" s="1"/>
  <c r="N449" i="1"/>
  <c r="O449" i="1" s="1"/>
  <c r="N459" i="1"/>
  <c r="O459" i="1" s="1"/>
  <c r="N438" i="1"/>
  <c r="O438" i="1" s="1"/>
  <c r="N453" i="1"/>
  <c r="O453" i="1" s="1"/>
  <c r="N444" i="1"/>
  <c r="O444" i="1" s="1"/>
  <c r="N456" i="1"/>
  <c r="O456" i="1" s="1"/>
  <c r="N450" i="1"/>
  <c r="O450" i="1" s="1"/>
  <c r="N452" i="1"/>
  <c r="O452" i="1" s="1"/>
  <c r="N447" i="1"/>
  <c r="O447" i="1" s="1"/>
  <c r="N441" i="1"/>
  <c r="O441" i="1" s="1"/>
  <c r="N448" i="1"/>
  <c r="O448" i="1" s="1"/>
  <c r="N439" i="1"/>
  <c r="O439" i="1" s="1"/>
  <c r="N442" i="1"/>
  <c r="O442" i="1" s="1"/>
  <c r="N457" i="1"/>
  <c r="O457" i="1" s="1"/>
  <c r="N437" i="1"/>
  <c r="O437" i="1" s="1"/>
  <c r="N451" i="1"/>
  <c r="O451" i="1" s="1"/>
  <c r="N460" i="1"/>
  <c r="O460" i="1" s="1"/>
  <c r="N446" i="1"/>
  <c r="O446" i="1" s="1"/>
  <c r="N445" i="1"/>
  <c r="O445" i="1" s="1"/>
  <c r="N440" i="1"/>
  <c r="O440" i="1" s="1"/>
  <c r="N443" i="1"/>
  <c r="O443" i="1" s="1"/>
  <c r="N454" i="1"/>
  <c r="O454" i="1" s="1"/>
  <c r="N455" i="1"/>
  <c r="O455" i="1" s="1"/>
  <c r="N463" i="1"/>
  <c r="O463" i="1" s="1"/>
  <c r="O370" i="1"/>
  <c r="N389" i="1"/>
  <c r="O389" i="1" s="1"/>
  <c r="M355" i="1"/>
  <c r="J270" i="1"/>
  <c r="H270" i="1"/>
  <c r="I74" i="31" s="1"/>
  <c r="J268" i="1"/>
  <c r="H268" i="1"/>
  <c r="I72" i="31" s="1"/>
  <c r="H267" i="1"/>
  <c r="I71" i="31" s="1"/>
  <c r="J267" i="1"/>
  <c r="H271" i="1"/>
  <c r="I75" i="31" s="1"/>
  <c r="J271" i="1"/>
  <c r="J269" i="1"/>
  <c r="H242" i="1"/>
  <c r="I67" i="31" s="1"/>
  <c r="J242" i="1"/>
  <c r="H243" i="1"/>
  <c r="I68" i="31" s="1"/>
  <c r="J243" i="1"/>
  <c r="J253" i="1"/>
  <c r="H253" i="1"/>
  <c r="I69" i="31" s="1"/>
  <c r="I196" i="31" s="1"/>
  <c r="J254" i="1"/>
  <c r="H254" i="1"/>
  <c r="I70" i="31" s="1"/>
  <c r="H12" i="1"/>
  <c r="I7" i="31" s="1"/>
  <c r="J12" i="1"/>
  <c r="H14" i="1"/>
  <c r="I9" i="31" s="1"/>
  <c r="J14" i="1"/>
  <c r="H15" i="1"/>
  <c r="I10" i="31" s="1"/>
  <c r="J15" i="1"/>
  <c r="H365" i="1"/>
  <c r="I96" i="31" s="1"/>
  <c r="J365" i="1"/>
  <c r="J367" i="1"/>
  <c r="H367" i="1"/>
  <c r="I98" i="31" s="1"/>
  <c r="J368" i="1"/>
  <c r="H368" i="1"/>
  <c r="H366" i="1"/>
  <c r="I97" i="31" s="1"/>
  <c r="J13" i="1"/>
  <c r="J366" i="1"/>
  <c r="H13" i="1"/>
  <c r="I8" i="31" s="1"/>
  <c r="P463" i="1"/>
  <c r="AC388" i="1"/>
  <c r="AC465" i="1"/>
  <c r="Q463" i="1" s="1"/>
  <c r="R463" i="1" s="1"/>
  <c r="K142" i="31" s="1"/>
  <c r="P390" i="1"/>
  <c r="P460" i="1"/>
  <c r="P452" i="1"/>
  <c r="P456" i="1"/>
  <c r="P450" i="1"/>
  <c r="P461" i="1"/>
  <c r="P446" i="1"/>
  <c r="P442" i="1"/>
  <c r="P448" i="1"/>
  <c r="P458" i="1"/>
  <c r="P438" i="1"/>
  <c r="P459" i="1"/>
  <c r="P441" i="1"/>
  <c r="P462" i="1"/>
  <c r="P453" i="1"/>
  <c r="P449" i="1"/>
  <c r="P439" i="1"/>
  <c r="P457" i="1"/>
  <c r="P445" i="1"/>
  <c r="P451" i="1"/>
  <c r="P447" i="1"/>
  <c r="P444" i="1"/>
  <c r="P437" i="1"/>
  <c r="P440" i="1"/>
  <c r="P443" i="1"/>
  <c r="P454" i="1"/>
  <c r="P455" i="1"/>
  <c r="T386" i="1"/>
  <c r="T388" i="1" s="1"/>
  <c r="R386" i="1"/>
  <c r="AE465" i="1"/>
  <c r="T370" i="1"/>
  <c r="T365" i="1" s="1"/>
  <c r="B143" i="6"/>
  <c r="D143" i="37" s="1"/>
  <c r="A143" i="37" s="1"/>
  <c r="D142" i="6"/>
  <c r="B142" i="10"/>
  <c r="B142" i="11"/>
  <c r="B302" i="12"/>
  <c r="B142" i="12"/>
  <c r="B302" i="13"/>
  <c r="B142" i="13"/>
  <c r="B142" i="14"/>
  <c r="B142" i="18"/>
  <c r="B142" i="20"/>
  <c r="B142" i="16"/>
  <c r="B302" i="17"/>
  <c r="B142" i="17"/>
  <c r="B311" i="18"/>
  <c r="B142" i="15"/>
  <c r="B142" i="9"/>
  <c r="T256" i="1"/>
  <c r="T254" i="1" s="1"/>
  <c r="T245" i="1"/>
  <c r="T242" i="1" s="1"/>
  <c r="T273" i="1"/>
  <c r="T269" i="1" s="1"/>
  <c r="E107" i="1"/>
  <c r="AO107" i="1" s="1"/>
  <c r="C107" i="1" s="1"/>
  <c r="E101" i="1"/>
  <c r="T17" i="1"/>
  <c r="T12" i="1" s="1"/>
  <c r="B153" i="22" l="1"/>
  <c r="D152" i="22"/>
  <c r="I197" i="31"/>
  <c r="Z351" i="1"/>
  <c r="N93" i="31" s="1"/>
  <c r="Z349" i="1"/>
  <c r="Z353" i="1" s="1"/>
  <c r="N95" i="31" s="1"/>
  <c r="Z9" i="1"/>
  <c r="H9" i="31" s="1"/>
  <c r="J204" i="31"/>
  <c r="E142" i="30"/>
  <c r="F142" i="30" s="1"/>
  <c r="G142" i="30" s="1"/>
  <c r="K203" i="31"/>
  <c r="J179" i="31"/>
  <c r="I195" i="31"/>
  <c r="J197" i="31"/>
  <c r="I179" i="31"/>
  <c r="E119" i="30"/>
  <c r="F119" i="30" s="1"/>
  <c r="G119" i="30" s="1"/>
  <c r="E49" i="30"/>
  <c r="F49" i="30" s="1"/>
  <c r="G49" i="30" s="1"/>
  <c r="AA48" i="31"/>
  <c r="X47" i="31"/>
  <c r="R93" i="31"/>
  <c r="U93" i="31"/>
  <c r="R95" i="31"/>
  <c r="U95" i="31"/>
  <c r="Q97" i="31"/>
  <c r="Q8" i="31"/>
  <c r="Q73" i="31"/>
  <c r="S94" i="31"/>
  <c r="J142" i="31"/>
  <c r="J125" i="31"/>
  <c r="J118" i="31"/>
  <c r="J135" i="31"/>
  <c r="J137" i="31"/>
  <c r="J139" i="31"/>
  <c r="J141" i="31"/>
  <c r="J127" i="31"/>
  <c r="J134" i="31"/>
  <c r="J123" i="31"/>
  <c r="K70" i="31"/>
  <c r="AA254" i="1"/>
  <c r="J122" i="31"/>
  <c r="J116" i="31"/>
  <c r="J126" i="31"/>
  <c r="J117" i="31"/>
  <c r="K67" i="31"/>
  <c r="AA242" i="1"/>
  <c r="J133" i="31"/>
  <c r="J130" i="31"/>
  <c r="J120" i="31"/>
  <c r="J132" i="31"/>
  <c r="J140" i="31"/>
  <c r="E102" i="31"/>
  <c r="E206" i="31" s="1"/>
  <c r="AA386" i="1"/>
  <c r="AB386" i="1" s="1"/>
  <c r="O102" i="31" s="1"/>
  <c r="J102" i="31"/>
  <c r="J119" i="31"/>
  <c r="J136" i="31"/>
  <c r="J131" i="31"/>
  <c r="J138" i="31"/>
  <c r="J103" i="31"/>
  <c r="E41" i="30" s="1"/>
  <c r="F41" i="30" s="1"/>
  <c r="G41" i="30" s="1"/>
  <c r="J124" i="31"/>
  <c r="J121" i="31"/>
  <c r="J129" i="31"/>
  <c r="J128" i="31"/>
  <c r="S9" i="31"/>
  <c r="S72" i="31"/>
  <c r="S98" i="31"/>
  <c r="AA355" i="1"/>
  <c r="AB355" i="1" s="1"/>
  <c r="AB352" i="1"/>
  <c r="P94" i="31" s="1"/>
  <c r="M368" i="1"/>
  <c r="I99" i="31"/>
  <c r="I204" i="31" s="1"/>
  <c r="M268" i="1"/>
  <c r="M270" i="1"/>
  <c r="M366" i="1"/>
  <c r="M365" i="1"/>
  <c r="M243" i="1"/>
  <c r="M254" i="1"/>
  <c r="M267" i="1"/>
  <c r="O392" i="1"/>
  <c r="M242" i="1"/>
  <c r="M269" i="1"/>
  <c r="M367" i="1"/>
  <c r="M253" i="1"/>
  <c r="M271" i="1"/>
  <c r="Q271" i="1"/>
  <c r="R271" i="1" s="1"/>
  <c r="Q269" i="1"/>
  <c r="R269" i="1" s="1"/>
  <c r="Q267" i="1"/>
  <c r="R267" i="1" s="1"/>
  <c r="Q253" i="1"/>
  <c r="R253" i="1" s="1"/>
  <c r="Q270" i="1"/>
  <c r="R270" i="1" s="1"/>
  <c r="Q453" i="1"/>
  <c r="R453" i="1" s="1"/>
  <c r="K132" i="31" s="1"/>
  <c r="Q441" i="1"/>
  <c r="R441" i="1" s="1"/>
  <c r="K120" i="31" s="1"/>
  <c r="Q462" i="1"/>
  <c r="R462" i="1" s="1"/>
  <c r="K141" i="31" s="1"/>
  <c r="Q449" i="1"/>
  <c r="R449" i="1" s="1"/>
  <c r="K128" i="31" s="1"/>
  <c r="Q456" i="1"/>
  <c r="R456" i="1" s="1"/>
  <c r="K135" i="31" s="1"/>
  <c r="Q459" i="1"/>
  <c r="R459" i="1" s="1"/>
  <c r="K138" i="31" s="1"/>
  <c r="Q438" i="1"/>
  <c r="R438" i="1" s="1"/>
  <c r="K117" i="31" s="1"/>
  <c r="Q444" i="1"/>
  <c r="R444" i="1" s="1"/>
  <c r="K123" i="31" s="1"/>
  <c r="Q452" i="1"/>
  <c r="R452" i="1" s="1"/>
  <c r="K131" i="31" s="1"/>
  <c r="Q458" i="1"/>
  <c r="R458" i="1" s="1"/>
  <c r="K137" i="31" s="1"/>
  <c r="Q461" i="1"/>
  <c r="R461" i="1" s="1"/>
  <c r="K140" i="31" s="1"/>
  <c r="Q448" i="1"/>
  <c r="R448" i="1" s="1"/>
  <c r="K127" i="31" s="1"/>
  <c r="Q445" i="1"/>
  <c r="R445" i="1" s="1"/>
  <c r="K124" i="31" s="1"/>
  <c r="Q450" i="1"/>
  <c r="R450" i="1" s="1"/>
  <c r="K129" i="31" s="1"/>
  <c r="Q447" i="1"/>
  <c r="R447" i="1" s="1"/>
  <c r="K126" i="31" s="1"/>
  <c r="Q437" i="1"/>
  <c r="R437" i="1" s="1"/>
  <c r="K116" i="31" s="1"/>
  <c r="Q439" i="1"/>
  <c r="R439" i="1" s="1"/>
  <c r="K118" i="31" s="1"/>
  <c r="Q451" i="1"/>
  <c r="R451" i="1" s="1"/>
  <c r="K130" i="31" s="1"/>
  <c r="Q442" i="1"/>
  <c r="R442" i="1" s="1"/>
  <c r="K121" i="31" s="1"/>
  <c r="Q446" i="1"/>
  <c r="R446" i="1" s="1"/>
  <c r="K125" i="31" s="1"/>
  <c r="Q460" i="1"/>
  <c r="R460" i="1" s="1"/>
  <c r="K139" i="31" s="1"/>
  <c r="Q457" i="1"/>
  <c r="R457" i="1" s="1"/>
  <c r="K136" i="31" s="1"/>
  <c r="Q440" i="1"/>
  <c r="R440" i="1" s="1"/>
  <c r="K119" i="31" s="1"/>
  <c r="Q443" i="1"/>
  <c r="R443" i="1" s="1"/>
  <c r="K122" i="31" s="1"/>
  <c r="Q454" i="1"/>
  <c r="R454" i="1" s="1"/>
  <c r="K133" i="31" s="1"/>
  <c r="Q455" i="1"/>
  <c r="R455" i="1" s="1"/>
  <c r="K134" i="31" s="1"/>
  <c r="T392" i="1"/>
  <c r="T389" i="1" s="1"/>
  <c r="Q392" i="1"/>
  <c r="Q390" i="1" s="1"/>
  <c r="R390" i="1" s="1"/>
  <c r="K103" i="31" s="1"/>
  <c r="Q368" i="1"/>
  <c r="R368" i="1" s="1"/>
  <c r="Q243" i="1"/>
  <c r="R243" i="1" s="1"/>
  <c r="Q365" i="1"/>
  <c r="R365" i="1" s="1"/>
  <c r="AA365" i="1" s="1"/>
  <c r="Q366" i="1"/>
  <c r="R366" i="1" s="1"/>
  <c r="AD101" i="1"/>
  <c r="O101" i="1"/>
  <c r="D30" i="31" s="1"/>
  <c r="Q13" i="1"/>
  <c r="R13" i="1" s="1"/>
  <c r="Q15" i="1"/>
  <c r="R15" i="1" s="1"/>
  <c r="Q12" i="1"/>
  <c r="R12" i="1" s="1"/>
  <c r="AA12" i="1" s="1"/>
  <c r="O465" i="1"/>
  <c r="J245" i="1"/>
  <c r="J370" i="1"/>
  <c r="J273" i="1"/>
  <c r="J449" i="1"/>
  <c r="H458" i="1"/>
  <c r="I137" i="31" s="1"/>
  <c r="J438" i="1"/>
  <c r="J462" i="1"/>
  <c r="H449" i="1"/>
  <c r="I128" i="31" s="1"/>
  <c r="J458" i="1"/>
  <c r="H438" i="1"/>
  <c r="I117" i="31" s="1"/>
  <c r="H462" i="1"/>
  <c r="I141" i="31" s="1"/>
  <c r="H459" i="1"/>
  <c r="I138" i="31" s="1"/>
  <c r="H441" i="1"/>
  <c r="I120" i="31" s="1"/>
  <c r="H452" i="1"/>
  <c r="I131" i="31" s="1"/>
  <c r="J459" i="1"/>
  <c r="J441" i="1"/>
  <c r="J452" i="1"/>
  <c r="J444" i="1"/>
  <c r="J456" i="1"/>
  <c r="J461" i="1"/>
  <c r="H453" i="1"/>
  <c r="I132" i="31" s="1"/>
  <c r="H444" i="1"/>
  <c r="I123" i="31" s="1"/>
  <c r="H456" i="1"/>
  <c r="I135" i="31" s="1"/>
  <c r="H461" i="1"/>
  <c r="I140" i="31" s="1"/>
  <c r="J453" i="1"/>
  <c r="J448" i="1"/>
  <c r="H448" i="1"/>
  <c r="I127" i="31" s="1"/>
  <c r="J450" i="1"/>
  <c r="H450" i="1"/>
  <c r="I129" i="31" s="1"/>
  <c r="H447" i="1"/>
  <c r="I126" i="31" s="1"/>
  <c r="J445" i="1"/>
  <c r="J447" i="1"/>
  <c r="H445" i="1"/>
  <c r="I124" i="31" s="1"/>
  <c r="J437" i="1"/>
  <c r="J460" i="1"/>
  <c r="J439" i="1"/>
  <c r="H446" i="1"/>
  <c r="I125" i="31" s="1"/>
  <c r="H437" i="1"/>
  <c r="I116" i="31" s="1"/>
  <c r="H460" i="1"/>
  <c r="I139" i="31" s="1"/>
  <c r="H439" i="1"/>
  <c r="I118" i="31" s="1"/>
  <c r="J446" i="1"/>
  <c r="J457" i="1"/>
  <c r="J442" i="1"/>
  <c r="J451" i="1"/>
  <c r="H457" i="1"/>
  <c r="I136" i="31" s="1"/>
  <c r="H442" i="1"/>
  <c r="I121" i="31" s="1"/>
  <c r="H451" i="1"/>
  <c r="I130" i="31" s="1"/>
  <c r="H440" i="1"/>
  <c r="I119" i="31" s="1"/>
  <c r="J440" i="1"/>
  <c r="J443" i="1"/>
  <c r="H443" i="1"/>
  <c r="I122" i="31" s="1"/>
  <c r="H454" i="1"/>
  <c r="I133" i="31" s="1"/>
  <c r="J454" i="1"/>
  <c r="J455" i="1"/>
  <c r="H455" i="1"/>
  <c r="I134" i="31" s="1"/>
  <c r="H370" i="1"/>
  <c r="H463" i="1"/>
  <c r="I142" i="31" s="1"/>
  <c r="H390" i="1"/>
  <c r="I103" i="31" s="1"/>
  <c r="J390" i="1"/>
  <c r="J463" i="1"/>
  <c r="H245" i="1"/>
  <c r="H273" i="1"/>
  <c r="H389" i="1"/>
  <c r="I102" i="31" s="1"/>
  <c r="H256" i="1"/>
  <c r="J389" i="1"/>
  <c r="T463" i="1"/>
  <c r="AA463" i="1" s="1"/>
  <c r="J256" i="1"/>
  <c r="J17" i="1"/>
  <c r="T367" i="1"/>
  <c r="AA367" i="1" s="1"/>
  <c r="T14" i="1"/>
  <c r="AA14" i="1" s="1"/>
  <c r="T15" i="1"/>
  <c r="T268" i="1"/>
  <c r="T253" i="1"/>
  <c r="T368" i="1"/>
  <c r="T270" i="1"/>
  <c r="T13" i="1"/>
  <c r="T271" i="1"/>
  <c r="T366" i="1"/>
  <c r="T243" i="1"/>
  <c r="T267" i="1"/>
  <c r="T456" i="1"/>
  <c r="T438" i="1"/>
  <c r="T458" i="1"/>
  <c r="T452" i="1"/>
  <c r="T449" i="1"/>
  <c r="T459" i="1"/>
  <c r="T453" i="1"/>
  <c r="T444" i="1"/>
  <c r="T462" i="1"/>
  <c r="T461" i="1"/>
  <c r="T441" i="1"/>
  <c r="T445" i="1"/>
  <c r="T447" i="1"/>
  <c r="T448" i="1"/>
  <c r="T450" i="1"/>
  <c r="T451" i="1"/>
  <c r="T442" i="1"/>
  <c r="T460" i="1"/>
  <c r="T437" i="1"/>
  <c r="T439" i="1"/>
  <c r="T446" i="1"/>
  <c r="T457" i="1"/>
  <c r="T440" i="1"/>
  <c r="T443" i="1"/>
  <c r="T454" i="1"/>
  <c r="T455" i="1"/>
  <c r="R388" i="1"/>
  <c r="AA364" i="1"/>
  <c r="AB364" i="1" s="1"/>
  <c r="AA241" i="1"/>
  <c r="AB241" i="1" s="1"/>
  <c r="AA252" i="1"/>
  <c r="AB252" i="1" s="1"/>
  <c r="E195" i="1"/>
  <c r="E201" i="1"/>
  <c r="AO201" i="1" s="1"/>
  <c r="C201" i="1" s="1"/>
  <c r="AA266" i="1"/>
  <c r="AB266" i="1" s="1"/>
  <c r="B144" i="6"/>
  <c r="D144" i="37" s="1"/>
  <c r="A144" i="37" s="1"/>
  <c r="D143" i="6"/>
  <c r="B143" i="20"/>
  <c r="B143" i="10"/>
  <c r="B143" i="11"/>
  <c r="B303" i="13"/>
  <c r="B143" i="15"/>
  <c r="B143" i="16"/>
  <c r="B303" i="17"/>
  <c r="B143" i="17"/>
  <c r="B312" i="18"/>
  <c r="B303" i="12"/>
  <c r="B143" i="13"/>
  <c r="B143" i="18"/>
  <c r="B143" i="12"/>
  <c r="B143" i="14"/>
  <c r="B143" i="9"/>
  <c r="AC101" i="1"/>
  <c r="S101" i="1" s="1"/>
  <c r="S107" i="1" s="1"/>
  <c r="AO101" i="1"/>
  <c r="C101" i="1" s="1"/>
  <c r="AE101" i="1"/>
  <c r="AF101" i="1"/>
  <c r="P101" i="1"/>
  <c r="AB8" i="1"/>
  <c r="O8" i="31" s="1"/>
  <c r="AA11" i="1"/>
  <c r="AB11" i="1" s="1"/>
  <c r="D153" i="22" l="1"/>
  <c r="B154" i="22"/>
  <c r="H95" i="31"/>
  <c r="Z14" i="1"/>
  <c r="N9" i="31" s="1"/>
  <c r="Z387" i="1"/>
  <c r="H103" i="31" s="1"/>
  <c r="Z262" i="1"/>
  <c r="H72" i="31" s="1"/>
  <c r="Z362" i="1"/>
  <c r="H98" i="31" s="1"/>
  <c r="Z348" i="1"/>
  <c r="H94" i="31" s="1"/>
  <c r="I206" i="31"/>
  <c r="I211" i="31"/>
  <c r="P211" i="31" s="1"/>
  <c r="K211" i="31"/>
  <c r="R211" i="31" s="1"/>
  <c r="AA440" i="1"/>
  <c r="J206" i="31"/>
  <c r="J211" i="31"/>
  <c r="Q211" i="31" s="1"/>
  <c r="S67" i="31"/>
  <c r="E124" i="30"/>
  <c r="F124" i="30" s="1"/>
  <c r="G124" i="30" s="1"/>
  <c r="S70" i="31"/>
  <c r="E140" i="30"/>
  <c r="F140" i="30" s="1"/>
  <c r="G140" i="30" s="1"/>
  <c r="AA437" i="1"/>
  <c r="AA444" i="1"/>
  <c r="AA49" i="31"/>
  <c r="X49" i="31" s="1"/>
  <c r="X48" i="31"/>
  <c r="R94" i="31"/>
  <c r="U94" i="31"/>
  <c r="V93" i="31"/>
  <c r="Q102" i="31"/>
  <c r="AA461" i="1"/>
  <c r="AA448" i="1"/>
  <c r="AA439" i="1"/>
  <c r="AA442" i="1"/>
  <c r="AA459" i="1"/>
  <c r="AA451" i="1"/>
  <c r="AA15" i="1"/>
  <c r="K74" i="31"/>
  <c r="AA270" i="1"/>
  <c r="AB270" i="1" s="1"/>
  <c r="P74" i="31" s="1"/>
  <c r="AA13" i="1"/>
  <c r="K99" i="31"/>
  <c r="AA368" i="1"/>
  <c r="AB368" i="1" s="1"/>
  <c r="P99" i="31" s="1"/>
  <c r="K69" i="31"/>
  <c r="AA253" i="1"/>
  <c r="AA458" i="1"/>
  <c r="AA446" i="1"/>
  <c r="K68" i="31"/>
  <c r="K195" i="31" s="1"/>
  <c r="AA243" i="1"/>
  <c r="AB243" i="1" s="1"/>
  <c r="P68" i="31" s="1"/>
  <c r="K71" i="31"/>
  <c r="AA267" i="1"/>
  <c r="AB267" i="1" s="1"/>
  <c r="P71" i="31" s="1"/>
  <c r="AA449" i="1"/>
  <c r="AA445" i="1"/>
  <c r="AA452" i="1"/>
  <c r="AA453" i="1"/>
  <c r="AA454" i="1"/>
  <c r="AA438" i="1"/>
  <c r="AA443" i="1"/>
  <c r="AA455" i="1"/>
  <c r="AA462" i="1"/>
  <c r="K73" i="31"/>
  <c r="S73" i="31" s="1"/>
  <c r="AA269" i="1"/>
  <c r="AB269" i="1" s="1"/>
  <c r="P73" i="31" s="1"/>
  <c r="AA456" i="1"/>
  <c r="K97" i="31"/>
  <c r="S97" i="31" s="1"/>
  <c r="AA366" i="1"/>
  <c r="AB366" i="1" s="1"/>
  <c r="P97" i="31" s="1"/>
  <c r="K75" i="31"/>
  <c r="AA271" i="1"/>
  <c r="AB271" i="1" s="1"/>
  <c r="P75" i="31" s="1"/>
  <c r="AA450" i="1"/>
  <c r="AA457" i="1"/>
  <c r="AA441" i="1"/>
  <c r="AA268" i="1"/>
  <c r="AB268" i="1" s="1"/>
  <c r="P72" i="31" s="1"/>
  <c r="AA447" i="1"/>
  <c r="AA460" i="1"/>
  <c r="K10" i="31"/>
  <c r="K8" i="31"/>
  <c r="S8" i="31" s="1"/>
  <c r="S116" i="31"/>
  <c r="Q116" i="31"/>
  <c r="E10" i="30" s="1"/>
  <c r="F10" i="30" s="1"/>
  <c r="G10" i="30" s="1"/>
  <c r="S131" i="31"/>
  <c r="Q131" i="31"/>
  <c r="E12" i="30" s="1"/>
  <c r="F12" i="30" s="1"/>
  <c r="G12" i="30" s="1"/>
  <c r="S128" i="31"/>
  <c r="Q128" i="31"/>
  <c r="E7" i="30" s="1"/>
  <c r="F7" i="30" s="1"/>
  <c r="G7" i="30" s="1"/>
  <c r="S134" i="31"/>
  <c r="Q134" i="31"/>
  <c r="E44" i="30" s="1"/>
  <c r="F44" i="30" s="1"/>
  <c r="G44" i="30" s="1"/>
  <c r="S125" i="31"/>
  <c r="Q125" i="31"/>
  <c r="E32" i="30" s="1"/>
  <c r="F32" i="30" s="1"/>
  <c r="G32" i="30" s="1"/>
  <c r="S120" i="31"/>
  <c r="Q120" i="31"/>
  <c r="E22" i="30" s="1"/>
  <c r="F22" i="30" s="1"/>
  <c r="G22" i="30" s="1"/>
  <c r="S119" i="31"/>
  <c r="Q119" i="31"/>
  <c r="E29" i="30" s="1"/>
  <c r="F29" i="30" s="1"/>
  <c r="G29" i="30" s="1"/>
  <c r="S126" i="31"/>
  <c r="Q126" i="31"/>
  <c r="E26" i="30" s="1"/>
  <c r="F26" i="30" s="1"/>
  <c r="G26" i="30" s="1"/>
  <c r="S140" i="31"/>
  <c r="Q140" i="31"/>
  <c r="E19" i="30" s="1"/>
  <c r="F19" i="30" s="1"/>
  <c r="G19" i="30" s="1"/>
  <c r="S138" i="31"/>
  <c r="Q138" i="31"/>
  <c r="E25" i="30" s="1"/>
  <c r="F25" i="30" s="1"/>
  <c r="G25" i="30" s="1"/>
  <c r="S130" i="31"/>
  <c r="Q130" i="31"/>
  <c r="E11" i="30" s="1"/>
  <c r="F11" i="30" s="1"/>
  <c r="G11" i="30" s="1"/>
  <c r="S129" i="31"/>
  <c r="Q129" i="31"/>
  <c r="E21" i="30" s="1"/>
  <c r="F21" i="30" s="1"/>
  <c r="G21" i="30" s="1"/>
  <c r="S135" i="31"/>
  <c r="Q135" i="31"/>
  <c r="E9" i="30" s="1"/>
  <c r="F9" i="30" s="1"/>
  <c r="G9" i="30" s="1"/>
  <c r="S141" i="31"/>
  <c r="Q141" i="31"/>
  <c r="E28" i="30" s="1"/>
  <c r="F28" i="30" s="1"/>
  <c r="G28" i="30" s="1"/>
  <c r="S137" i="31"/>
  <c r="Q137" i="31"/>
  <c r="E27" i="30" s="1"/>
  <c r="F27" i="30" s="1"/>
  <c r="G27" i="30" s="1"/>
  <c r="S103" i="31"/>
  <c r="S133" i="31"/>
  <c r="Q133" i="31"/>
  <c r="E17" i="30" s="1"/>
  <c r="F17" i="30" s="1"/>
  <c r="G17" i="30" s="1"/>
  <c r="S121" i="31"/>
  <c r="Q121" i="31"/>
  <c r="E13" i="30" s="1"/>
  <c r="F13" i="30" s="1"/>
  <c r="G13" i="30" s="1"/>
  <c r="S118" i="31"/>
  <c r="Q118" i="31"/>
  <c r="E20" i="30" s="1"/>
  <c r="F20" i="30" s="1"/>
  <c r="G20" i="30" s="1"/>
  <c r="S123" i="31"/>
  <c r="Q123" i="31"/>
  <c r="E15" i="30" s="1"/>
  <c r="F15" i="30" s="1"/>
  <c r="G15" i="30" s="1"/>
  <c r="S117" i="31"/>
  <c r="Q117" i="31"/>
  <c r="E18" i="30" s="1"/>
  <c r="F18" i="30" s="1"/>
  <c r="G18" i="30" s="1"/>
  <c r="S142" i="31"/>
  <c r="Q142" i="31"/>
  <c r="E4" i="30" s="1"/>
  <c r="F4" i="30" s="1"/>
  <c r="G4" i="30" s="1"/>
  <c r="S122" i="31"/>
  <c r="Q122" i="31"/>
  <c r="E36" i="30" s="1"/>
  <c r="F36" i="30" s="1"/>
  <c r="G36" i="30" s="1"/>
  <c r="S136" i="31"/>
  <c r="Q136" i="31"/>
  <c r="E33" i="30" s="1"/>
  <c r="F33" i="30" s="1"/>
  <c r="G33" i="30" s="1"/>
  <c r="S139" i="31"/>
  <c r="Q139" i="31"/>
  <c r="E16" i="30" s="1"/>
  <c r="F16" i="30" s="1"/>
  <c r="G16" i="30" s="1"/>
  <c r="S124" i="31"/>
  <c r="Q124" i="31"/>
  <c r="E31" i="30" s="1"/>
  <c r="F31" i="30" s="1"/>
  <c r="G31" i="30" s="1"/>
  <c r="S127" i="31"/>
  <c r="Q127" i="31"/>
  <c r="E14" i="30" s="1"/>
  <c r="F14" i="30" s="1"/>
  <c r="G14" i="30" s="1"/>
  <c r="S132" i="31"/>
  <c r="Q132" i="31"/>
  <c r="E24" i="30" s="1"/>
  <c r="F24" i="30" s="1"/>
  <c r="G24" i="30" s="1"/>
  <c r="K7" i="31"/>
  <c r="AB365" i="1"/>
  <c r="P96" i="31" s="1"/>
  <c r="K96" i="31"/>
  <c r="M450" i="1"/>
  <c r="M455" i="1"/>
  <c r="T390" i="1"/>
  <c r="AA390" i="1" s="1"/>
  <c r="M439" i="1"/>
  <c r="M463" i="1"/>
  <c r="AB463" i="1" s="1"/>
  <c r="P142" i="31" s="1"/>
  <c r="M457" i="1"/>
  <c r="M443" i="1"/>
  <c r="M445" i="1"/>
  <c r="M448" i="1"/>
  <c r="M453" i="1"/>
  <c r="AB242" i="1"/>
  <c r="P67" i="31" s="1"/>
  <c r="M451" i="1"/>
  <c r="M456" i="1"/>
  <c r="M462" i="1"/>
  <c r="M458" i="1"/>
  <c r="AB254" i="1"/>
  <c r="P70" i="31" s="1"/>
  <c r="M442" i="1"/>
  <c r="M444" i="1"/>
  <c r="M438" i="1"/>
  <c r="M390" i="1"/>
  <c r="M454" i="1"/>
  <c r="R245" i="1"/>
  <c r="AB367" i="1"/>
  <c r="P98" i="31" s="1"/>
  <c r="M460" i="1"/>
  <c r="R256" i="1"/>
  <c r="AA256" i="1"/>
  <c r="M437" i="1"/>
  <c r="M452" i="1"/>
  <c r="M449" i="1"/>
  <c r="M446" i="1"/>
  <c r="M441" i="1"/>
  <c r="R273" i="1"/>
  <c r="M389" i="1"/>
  <c r="M440" i="1"/>
  <c r="M447" i="1"/>
  <c r="M461" i="1"/>
  <c r="M459" i="1"/>
  <c r="R370" i="1"/>
  <c r="R465" i="1"/>
  <c r="Q389" i="1"/>
  <c r="R389" i="1" s="1"/>
  <c r="AD195" i="1"/>
  <c r="AD197" i="1" s="1"/>
  <c r="O195" i="1"/>
  <c r="D57" i="31" s="1"/>
  <c r="D192" i="31" s="1"/>
  <c r="AA388" i="1"/>
  <c r="AB388" i="1" s="1"/>
  <c r="R17" i="1"/>
  <c r="M245" i="1"/>
  <c r="M256" i="1"/>
  <c r="M370" i="1"/>
  <c r="H392" i="1"/>
  <c r="M273" i="1"/>
  <c r="J465" i="1"/>
  <c r="J392" i="1"/>
  <c r="AC195" i="1"/>
  <c r="S195" i="1" s="1"/>
  <c r="S201" i="1" s="1"/>
  <c r="AO195" i="1"/>
  <c r="C195" i="1" s="1"/>
  <c r="AF195" i="1"/>
  <c r="AE195" i="1"/>
  <c r="P195" i="1"/>
  <c r="P197" i="1" s="1"/>
  <c r="E87" i="1"/>
  <c r="E91" i="1"/>
  <c r="T101" i="1"/>
  <c r="R101" i="1"/>
  <c r="B145" i="6"/>
  <c r="D145" i="37" s="1"/>
  <c r="A145" i="37" s="1"/>
  <c r="D144" i="6"/>
  <c r="B144" i="10"/>
  <c r="B144" i="20"/>
  <c r="B144" i="11"/>
  <c r="B304" i="12"/>
  <c r="B144" i="12"/>
  <c r="B304" i="13"/>
  <c r="B144" i="13"/>
  <c r="B144" i="14"/>
  <c r="B144" i="18"/>
  <c r="B144" i="15"/>
  <c r="B144" i="16"/>
  <c r="B304" i="17"/>
  <c r="B144" i="17"/>
  <c r="B313" i="18"/>
  <c r="B144" i="9"/>
  <c r="B155" i="22" l="1"/>
  <c r="D154" i="22"/>
  <c r="X203" i="31"/>
  <c r="C20" i="33"/>
  <c r="Z268" i="1"/>
  <c r="N72" i="31" s="1"/>
  <c r="H203" i="31"/>
  <c r="AB448" i="1"/>
  <c r="P127" i="31" s="1"/>
  <c r="Z390" i="1"/>
  <c r="N103" i="31" s="1"/>
  <c r="Z367" i="1"/>
  <c r="N98" i="31" s="1"/>
  <c r="Z462" i="1"/>
  <c r="N141" i="31" s="1"/>
  <c r="Z443" i="1"/>
  <c r="N122" i="31" s="1"/>
  <c r="Z456" i="1"/>
  <c r="N135" i="31" s="1"/>
  <c r="Z459" i="1"/>
  <c r="N138" i="31" s="1"/>
  <c r="Z440" i="1"/>
  <c r="N119" i="31" s="1"/>
  <c r="Z455" i="1"/>
  <c r="N134" i="31" s="1"/>
  <c r="Z437" i="1"/>
  <c r="N116" i="31" s="1"/>
  <c r="Z445" i="1"/>
  <c r="N124" i="31" s="1"/>
  <c r="Z460" i="1"/>
  <c r="N139" i="31" s="1"/>
  <c r="Z463" i="1"/>
  <c r="N142" i="31" s="1"/>
  <c r="Z439" i="1"/>
  <c r="N118" i="31" s="1"/>
  <c r="Z251" i="1"/>
  <c r="H70" i="31" s="1"/>
  <c r="Z350" i="1"/>
  <c r="Z446" i="1"/>
  <c r="N125" i="31" s="1"/>
  <c r="Z453" i="1"/>
  <c r="N132" i="31" s="1"/>
  <c r="Z458" i="1"/>
  <c r="N137" i="31" s="1"/>
  <c r="Z450" i="1"/>
  <c r="N129" i="31" s="1"/>
  <c r="Z461" i="1"/>
  <c r="N140" i="31" s="1"/>
  <c r="Z441" i="1"/>
  <c r="N120" i="31" s="1"/>
  <c r="Z449" i="1"/>
  <c r="N128" i="31" s="1"/>
  <c r="Z352" i="1"/>
  <c r="Z355" i="1" s="1"/>
  <c r="Z451" i="1"/>
  <c r="N130" i="31" s="1"/>
  <c r="Z444" i="1"/>
  <c r="N123" i="31" s="1"/>
  <c r="Z448" i="1"/>
  <c r="N127" i="31" s="1"/>
  <c r="Z457" i="1"/>
  <c r="N136" i="31" s="1"/>
  <c r="Z438" i="1"/>
  <c r="N117" i="31" s="1"/>
  <c r="Z442" i="1"/>
  <c r="N121" i="31" s="1"/>
  <c r="Z239" i="1"/>
  <c r="H67" i="31" s="1"/>
  <c r="Z447" i="1"/>
  <c r="N126" i="31" s="1"/>
  <c r="Z452" i="1"/>
  <c r="N131" i="31" s="1"/>
  <c r="Z454" i="1"/>
  <c r="N133" i="31" s="1"/>
  <c r="E94" i="30"/>
  <c r="F94" i="30" s="1"/>
  <c r="G94" i="30" s="1"/>
  <c r="K204" i="31"/>
  <c r="E127" i="30"/>
  <c r="F127" i="30" s="1"/>
  <c r="G127" i="30" s="1"/>
  <c r="K197" i="31"/>
  <c r="E108" i="30"/>
  <c r="F108" i="30" s="1"/>
  <c r="G108" i="30" s="1"/>
  <c r="K196" i="31"/>
  <c r="E23" i="30"/>
  <c r="F23" i="30" s="1"/>
  <c r="G23" i="30" s="1"/>
  <c r="K179" i="31"/>
  <c r="E67" i="30"/>
  <c r="F67" i="30" s="1"/>
  <c r="G67" i="30" s="1"/>
  <c r="E145" i="30"/>
  <c r="F145" i="30" s="1"/>
  <c r="G145" i="30" s="1"/>
  <c r="E138" i="30"/>
  <c r="F138" i="30" s="1"/>
  <c r="G138" i="30" s="1"/>
  <c r="S74" i="31"/>
  <c r="E103" i="30"/>
  <c r="F103" i="30" s="1"/>
  <c r="G103" i="30" s="1"/>
  <c r="S10" i="31"/>
  <c r="E114" i="30"/>
  <c r="F114" i="30" s="1"/>
  <c r="G114" i="30" s="1"/>
  <c r="S75" i="31"/>
  <c r="E97" i="30"/>
  <c r="F97" i="30" s="1"/>
  <c r="G97" i="30" s="1"/>
  <c r="S68" i="31"/>
  <c r="E62" i="30"/>
  <c r="F62" i="30" s="1"/>
  <c r="G62" i="30" s="1"/>
  <c r="S99" i="31"/>
  <c r="E56" i="30"/>
  <c r="F56" i="30" s="1"/>
  <c r="G56" i="30" s="1"/>
  <c r="AA93" i="31"/>
  <c r="R74" i="31"/>
  <c r="U74" i="31"/>
  <c r="R70" i="31"/>
  <c r="U70" i="31"/>
  <c r="R98" i="31"/>
  <c r="U98" i="31"/>
  <c r="R68" i="31"/>
  <c r="U68" i="31"/>
  <c r="R96" i="31"/>
  <c r="V96" i="31"/>
  <c r="U96" i="31"/>
  <c r="R75" i="31"/>
  <c r="U75" i="31"/>
  <c r="R71" i="31"/>
  <c r="V71" i="31"/>
  <c r="U71" i="31"/>
  <c r="R99" i="31"/>
  <c r="U99" i="31"/>
  <c r="R73" i="31"/>
  <c r="U73" i="31"/>
  <c r="R97" i="31"/>
  <c r="U97" i="31"/>
  <c r="R67" i="31"/>
  <c r="V67" i="31"/>
  <c r="U67" i="31"/>
  <c r="R72" i="31"/>
  <c r="U72" i="31"/>
  <c r="S71" i="31"/>
  <c r="S7" i="31"/>
  <c r="S69" i="31"/>
  <c r="S96" i="31"/>
  <c r="E30" i="31"/>
  <c r="Q30" i="31" s="1"/>
  <c r="AA101" i="1"/>
  <c r="AB101" i="1" s="1"/>
  <c r="O30" i="31" s="1"/>
  <c r="K102" i="31"/>
  <c r="AA389" i="1"/>
  <c r="AA392" i="1" s="1"/>
  <c r="AB450" i="1"/>
  <c r="P129" i="31" s="1"/>
  <c r="AB445" i="1"/>
  <c r="P124" i="31" s="1"/>
  <c r="AB458" i="1"/>
  <c r="P137" i="31" s="1"/>
  <c r="AB437" i="1"/>
  <c r="P116" i="31" s="1"/>
  <c r="AB447" i="1"/>
  <c r="P126" i="31" s="1"/>
  <c r="AB461" i="1"/>
  <c r="P140" i="31" s="1"/>
  <c r="AB457" i="1"/>
  <c r="P136" i="31" s="1"/>
  <c r="AB453" i="1"/>
  <c r="P132" i="31" s="1"/>
  <c r="AB439" i="1"/>
  <c r="P118" i="31" s="1"/>
  <c r="AB444" i="1"/>
  <c r="P123" i="31" s="1"/>
  <c r="AB443" i="1"/>
  <c r="P122" i="31" s="1"/>
  <c r="AB441" i="1"/>
  <c r="P120" i="31" s="1"/>
  <c r="AB462" i="1"/>
  <c r="P141" i="31" s="1"/>
  <c r="AB452" i="1"/>
  <c r="P131" i="31" s="1"/>
  <c r="AB456" i="1"/>
  <c r="P135" i="31" s="1"/>
  <c r="AB455" i="1"/>
  <c r="P134" i="31" s="1"/>
  <c r="AB256" i="1"/>
  <c r="AB454" i="1"/>
  <c r="P133" i="31" s="1"/>
  <c r="AB446" i="1"/>
  <c r="P125" i="31" s="1"/>
  <c r="AA17" i="1"/>
  <c r="AB449" i="1"/>
  <c r="P128" i="31" s="1"/>
  <c r="AB451" i="1"/>
  <c r="P130" i="31" s="1"/>
  <c r="AB459" i="1"/>
  <c r="P138" i="31" s="1"/>
  <c r="AB438" i="1"/>
  <c r="P117" i="31" s="1"/>
  <c r="AA465" i="1"/>
  <c r="AB440" i="1"/>
  <c r="P119" i="31" s="1"/>
  <c r="AB390" i="1"/>
  <c r="P103" i="31" s="1"/>
  <c r="AB442" i="1"/>
  <c r="P121" i="31" s="1"/>
  <c r="AB460" i="1"/>
  <c r="P139" i="31" s="1"/>
  <c r="AA245" i="1"/>
  <c r="AB245" i="1" s="1"/>
  <c r="AB253" i="1"/>
  <c r="P69" i="31" s="1"/>
  <c r="AA273" i="1"/>
  <c r="AB273" i="1" s="1"/>
  <c r="R392" i="1"/>
  <c r="AA370" i="1"/>
  <c r="AB370" i="1" s="1"/>
  <c r="AD87" i="1"/>
  <c r="O87" i="1"/>
  <c r="D26" i="31" s="1"/>
  <c r="P95" i="1"/>
  <c r="N95" i="1"/>
  <c r="N198" i="1"/>
  <c r="O198" i="1" s="1"/>
  <c r="N199" i="1"/>
  <c r="O199" i="1" s="1"/>
  <c r="N202" i="1"/>
  <c r="O202" i="1" s="1"/>
  <c r="N200" i="1"/>
  <c r="O200" i="1" s="1"/>
  <c r="N201" i="1"/>
  <c r="O201" i="1" s="1"/>
  <c r="M392" i="1"/>
  <c r="F393" i="1"/>
  <c r="P198" i="1"/>
  <c r="P199" i="1"/>
  <c r="P202" i="1"/>
  <c r="P200" i="1"/>
  <c r="P201" i="1"/>
  <c r="B146" i="6"/>
  <c r="D146" i="37" s="1"/>
  <c r="A146" i="37" s="1"/>
  <c r="D145" i="6"/>
  <c r="B145" i="20"/>
  <c r="B145" i="10"/>
  <c r="B145" i="15"/>
  <c r="B145" i="16"/>
  <c r="B305" i="17"/>
  <c r="B145" i="17"/>
  <c r="B314" i="18"/>
  <c r="B145" i="11"/>
  <c r="B305" i="13"/>
  <c r="B305" i="12"/>
  <c r="B145" i="13"/>
  <c r="B145" i="18"/>
  <c r="B145" i="12"/>
  <c r="B145" i="9"/>
  <c r="B145" i="14"/>
  <c r="E88" i="1"/>
  <c r="E92" i="1"/>
  <c r="AO92" i="1" s="1"/>
  <c r="C92" i="1" s="1"/>
  <c r="AE197" i="1"/>
  <c r="AF197" i="1"/>
  <c r="AO91" i="1"/>
  <c r="C91" i="1" s="1"/>
  <c r="O197" i="1"/>
  <c r="AF87" i="1"/>
  <c r="AO87" i="1"/>
  <c r="C87" i="1" s="1"/>
  <c r="AC87" i="1"/>
  <c r="S87" i="1" s="1"/>
  <c r="S91" i="1" s="1"/>
  <c r="AE87" i="1"/>
  <c r="P87" i="1"/>
  <c r="T195" i="1"/>
  <c r="T197" i="1" s="1"/>
  <c r="R195" i="1"/>
  <c r="AC197" i="1"/>
  <c r="B156" i="22" l="1"/>
  <c r="D155" i="22"/>
  <c r="X195" i="31"/>
  <c r="C27" i="33"/>
  <c r="X197" i="31"/>
  <c r="C7" i="33"/>
  <c r="X204" i="31"/>
  <c r="C23" i="33"/>
  <c r="Z254" i="1"/>
  <c r="N70" i="31" s="1"/>
  <c r="N211" i="31"/>
  <c r="U211" i="31" s="1"/>
  <c r="V211" i="31" s="1"/>
  <c r="Z465" i="1"/>
  <c r="Z242" i="1"/>
  <c r="N67" i="31" s="1"/>
  <c r="N94" i="31"/>
  <c r="N203" i="31" s="1"/>
  <c r="U203" i="31" s="1"/>
  <c r="Z264" i="1"/>
  <c r="H74" i="31" s="1"/>
  <c r="Z265" i="1"/>
  <c r="H75" i="31" s="1"/>
  <c r="Z7" i="1"/>
  <c r="H7" i="31" s="1"/>
  <c r="Z360" i="1"/>
  <c r="H96" i="31" s="1"/>
  <c r="Z361" i="1"/>
  <c r="H97" i="31" s="1"/>
  <c r="Z363" i="1"/>
  <c r="H99" i="31" s="1"/>
  <c r="Z8" i="1"/>
  <c r="H8" i="31" s="1"/>
  <c r="Z250" i="1"/>
  <c r="H69" i="31" s="1"/>
  <c r="H196" i="31" s="1"/>
  <c r="Z263" i="1"/>
  <c r="H73" i="31" s="1"/>
  <c r="Z10" i="1"/>
  <c r="H10" i="31" s="1"/>
  <c r="Z240" i="1"/>
  <c r="H68" i="31" s="1"/>
  <c r="H195" i="31" s="1"/>
  <c r="Z261" i="1"/>
  <c r="H71" i="31" s="1"/>
  <c r="P203" i="31"/>
  <c r="T203" i="31"/>
  <c r="E37" i="30"/>
  <c r="F37" i="30" s="1"/>
  <c r="G37" i="30" s="1"/>
  <c r="K206" i="31"/>
  <c r="AA67" i="31"/>
  <c r="Q203" i="31"/>
  <c r="AA71" i="31"/>
  <c r="R203" i="31"/>
  <c r="S203" i="31"/>
  <c r="X93" i="31"/>
  <c r="AA94" i="31"/>
  <c r="AA96" i="31"/>
  <c r="R69" i="31"/>
  <c r="V69" i="31"/>
  <c r="X196" i="31" s="1"/>
  <c r="U69" i="31"/>
  <c r="R103" i="31"/>
  <c r="U103" i="31"/>
  <c r="S102" i="31"/>
  <c r="J55" i="31"/>
  <c r="E57" i="31"/>
  <c r="AA195" i="1"/>
  <c r="AB195" i="1" s="1"/>
  <c r="O57" i="31" s="1"/>
  <c r="J54" i="31"/>
  <c r="J57" i="31"/>
  <c r="J58" i="31"/>
  <c r="J56" i="31"/>
  <c r="AB389" i="1"/>
  <c r="P102" i="31" s="1"/>
  <c r="R197" i="1"/>
  <c r="AB392" i="1"/>
  <c r="Q204" i="1"/>
  <c r="Q201" i="1" s="1"/>
  <c r="R201" i="1" s="1"/>
  <c r="K57" i="31" s="1"/>
  <c r="AD88" i="1"/>
  <c r="AD90" i="1" s="1"/>
  <c r="O88" i="1"/>
  <c r="D27" i="31" s="1"/>
  <c r="O204" i="1"/>
  <c r="J198" i="1"/>
  <c r="H198" i="1"/>
  <c r="I54" i="31" s="1"/>
  <c r="H199" i="1"/>
  <c r="I55" i="31" s="1"/>
  <c r="J199" i="1"/>
  <c r="H202" i="1"/>
  <c r="I58" i="31" s="1"/>
  <c r="J202" i="1"/>
  <c r="H200" i="1"/>
  <c r="I56" i="31" s="1"/>
  <c r="J200" i="1"/>
  <c r="J201" i="1"/>
  <c r="H201" i="1"/>
  <c r="I57" i="31" s="1"/>
  <c r="E398" i="1"/>
  <c r="E402" i="1"/>
  <c r="AO402" i="1" s="1"/>
  <c r="C402" i="1" s="1"/>
  <c r="AO88" i="1"/>
  <c r="C88" i="1" s="1"/>
  <c r="AE88" i="1"/>
  <c r="AF88" i="1"/>
  <c r="AF90" i="1" s="1"/>
  <c r="AC88" i="1"/>
  <c r="S88" i="1" s="1"/>
  <c r="S92" i="1" s="1"/>
  <c r="P88" i="1"/>
  <c r="P90" i="1" s="1"/>
  <c r="T204" i="1"/>
  <c r="T201" i="1" s="1"/>
  <c r="T87" i="1"/>
  <c r="R87" i="1"/>
  <c r="B147" i="6"/>
  <c r="D147" i="37" s="1"/>
  <c r="A147" i="37" s="1"/>
  <c r="D146" i="6"/>
  <c r="B146" i="20"/>
  <c r="B146" i="10"/>
  <c r="B146" i="11"/>
  <c r="B306" i="12"/>
  <c r="B146" i="12"/>
  <c r="B306" i="13"/>
  <c r="B146" i="13"/>
  <c r="B146" i="14"/>
  <c r="B146" i="18"/>
  <c r="B146" i="15"/>
  <c r="B146" i="16"/>
  <c r="B306" i="17"/>
  <c r="B146" i="17"/>
  <c r="B315" i="18"/>
  <c r="B146" i="9"/>
  <c r="D156" i="22" l="1"/>
  <c r="B157" i="22"/>
  <c r="Z271" i="1"/>
  <c r="N75" i="31" s="1"/>
  <c r="Z366" i="1"/>
  <c r="N97" i="31" s="1"/>
  <c r="Z241" i="1"/>
  <c r="H197" i="31"/>
  <c r="Z270" i="1"/>
  <c r="N74" i="31" s="1"/>
  <c r="H204" i="31"/>
  <c r="Z13" i="1"/>
  <c r="N8" i="31" s="1"/>
  <c r="Z365" i="1"/>
  <c r="N96" i="31" s="1"/>
  <c r="Z12" i="1"/>
  <c r="N7" i="31" s="1"/>
  <c r="Z267" i="1"/>
  <c r="N71" i="31" s="1"/>
  <c r="Z243" i="1"/>
  <c r="N68" i="31" s="1"/>
  <c r="N195" i="31" s="1"/>
  <c r="U195" i="31" s="1"/>
  <c r="Z269" i="1"/>
  <c r="N73" i="31" s="1"/>
  <c r="H179" i="31"/>
  <c r="Z266" i="1"/>
  <c r="Z364" i="1"/>
  <c r="Z368" i="1"/>
  <c r="N99" i="31" s="1"/>
  <c r="Z11" i="1"/>
  <c r="Z15" i="1"/>
  <c r="N10" i="31" s="1"/>
  <c r="Z253" i="1"/>
  <c r="Z256" i="1" s="1"/>
  <c r="Z386" i="1"/>
  <c r="H102" i="31" s="1"/>
  <c r="H206" i="31" s="1"/>
  <c r="Z252" i="1"/>
  <c r="S197" i="31"/>
  <c r="T197" i="31"/>
  <c r="P195" i="31"/>
  <c r="T195" i="31"/>
  <c r="S204" i="31"/>
  <c r="T204" i="31"/>
  <c r="I192" i="31"/>
  <c r="J192" i="31"/>
  <c r="Z245" i="1"/>
  <c r="V203" i="31"/>
  <c r="P197" i="31"/>
  <c r="Q197" i="31"/>
  <c r="S195" i="31"/>
  <c r="Q204" i="31"/>
  <c r="Q195" i="31"/>
  <c r="R204" i="31"/>
  <c r="AA72" i="31"/>
  <c r="X71" i="31"/>
  <c r="R195" i="31"/>
  <c r="AA97" i="31"/>
  <c r="X96" i="31"/>
  <c r="AA68" i="31"/>
  <c r="X68" i="31" s="1"/>
  <c r="X67" i="31"/>
  <c r="R197" i="31"/>
  <c r="AA95" i="31"/>
  <c r="X95" i="31" s="1"/>
  <c r="X94" i="31"/>
  <c r="AA69" i="31"/>
  <c r="R102" i="31"/>
  <c r="V102" i="31"/>
  <c r="U102" i="31"/>
  <c r="Q57" i="31"/>
  <c r="E153" i="30" s="1"/>
  <c r="F153" i="30" s="1"/>
  <c r="G153" i="30" s="1"/>
  <c r="S57" i="31"/>
  <c r="AA87" i="1"/>
  <c r="AB87" i="1" s="1"/>
  <c r="O26" i="31" s="1"/>
  <c r="AA201" i="1"/>
  <c r="O90" i="1"/>
  <c r="E26" i="31"/>
  <c r="M201" i="1"/>
  <c r="M199" i="1"/>
  <c r="M198" i="1"/>
  <c r="M202" i="1"/>
  <c r="M200" i="1"/>
  <c r="Q200" i="1"/>
  <c r="R200" i="1" s="1"/>
  <c r="Q202" i="1"/>
  <c r="R202" i="1" s="1"/>
  <c r="Q199" i="1"/>
  <c r="R199" i="1" s="1"/>
  <c r="Q198" i="1"/>
  <c r="R198" i="1" s="1"/>
  <c r="AD398" i="1"/>
  <c r="AD400" i="1" s="1"/>
  <c r="N402" i="1" s="1"/>
  <c r="O402" i="1" s="1"/>
  <c r="O398" i="1"/>
  <c r="D105" i="31" s="1"/>
  <c r="N93" i="1"/>
  <c r="O93" i="1" s="1"/>
  <c r="N91" i="1"/>
  <c r="O91" i="1" s="1"/>
  <c r="N92" i="1"/>
  <c r="O92" i="1" s="1"/>
  <c r="H204" i="1"/>
  <c r="J204" i="1"/>
  <c r="T200" i="1"/>
  <c r="T198" i="1"/>
  <c r="T202" i="1"/>
  <c r="P93" i="1"/>
  <c r="P91" i="1"/>
  <c r="P92" i="1"/>
  <c r="T199" i="1"/>
  <c r="P398" i="1"/>
  <c r="P400" i="1" s="1"/>
  <c r="AO398" i="1"/>
  <c r="C398" i="1" s="1"/>
  <c r="AE398" i="1"/>
  <c r="AF398" i="1"/>
  <c r="AF400" i="1" s="1"/>
  <c r="AC398" i="1"/>
  <c r="S398" i="1" s="1"/>
  <c r="S402" i="1" s="1"/>
  <c r="AE90" i="1"/>
  <c r="AA197" i="1"/>
  <c r="AB197" i="1" s="1"/>
  <c r="R88" i="1"/>
  <c r="T88" i="1"/>
  <c r="T90" i="1" s="1"/>
  <c r="E210" i="1"/>
  <c r="E214" i="1"/>
  <c r="AO214" i="1" s="1"/>
  <c r="C214" i="1" s="1"/>
  <c r="B148" i="6"/>
  <c r="D148" i="37" s="1"/>
  <c r="A148" i="37" s="1"/>
  <c r="D147" i="6"/>
  <c r="B147" i="20"/>
  <c r="B147" i="10"/>
  <c r="B147" i="12"/>
  <c r="B147" i="14"/>
  <c r="B147" i="15"/>
  <c r="B147" i="16"/>
  <c r="B307" i="17"/>
  <c r="B147" i="17"/>
  <c r="B316" i="18"/>
  <c r="B147" i="11"/>
  <c r="B307" i="13"/>
  <c r="B147" i="18"/>
  <c r="B307" i="12"/>
  <c r="B147" i="13"/>
  <c r="B147" i="9"/>
  <c r="AC90" i="1"/>
  <c r="Q95" i="1" s="1"/>
  <c r="D157" i="22" l="1"/>
  <c r="B158" i="22"/>
  <c r="X206" i="31"/>
  <c r="C10" i="33"/>
  <c r="N179" i="31"/>
  <c r="Z17" i="1"/>
  <c r="N204" i="31"/>
  <c r="U204" i="31" s="1"/>
  <c r="N197" i="31"/>
  <c r="U197" i="31" s="1"/>
  <c r="V197" i="31" s="1"/>
  <c r="Z273" i="1"/>
  <c r="Z370" i="1"/>
  <c r="Z388" i="1"/>
  <c r="Z389" i="1"/>
  <c r="Z392" i="1" s="1"/>
  <c r="N69" i="31"/>
  <c r="N196" i="31" s="1"/>
  <c r="U196" i="31" s="1"/>
  <c r="Z195" i="1"/>
  <c r="H57" i="31" s="1"/>
  <c r="D207" i="31"/>
  <c r="D185" i="31"/>
  <c r="S196" i="31"/>
  <c r="T196" i="31"/>
  <c r="V195" i="31"/>
  <c r="AA73" i="31"/>
  <c r="X72" i="31"/>
  <c r="P196" i="31"/>
  <c r="Q196" i="31"/>
  <c r="R196" i="31"/>
  <c r="X69" i="31"/>
  <c r="AA70" i="31"/>
  <c r="X70" i="31" s="1"/>
  <c r="AA98" i="31"/>
  <c r="X97" i="31"/>
  <c r="AA103" i="31"/>
  <c r="X103" i="31" s="1"/>
  <c r="Q26" i="31"/>
  <c r="J28" i="31"/>
  <c r="E126" i="30" s="1"/>
  <c r="F126" i="30" s="1"/>
  <c r="G126" i="30" s="1"/>
  <c r="K56" i="31"/>
  <c r="AA200" i="1"/>
  <c r="AB200" i="1" s="1"/>
  <c r="P56" i="31" s="1"/>
  <c r="J105" i="31"/>
  <c r="K54" i="31"/>
  <c r="AA198" i="1"/>
  <c r="J27" i="31"/>
  <c r="K55" i="31"/>
  <c r="AA199" i="1"/>
  <c r="AB199" i="1" s="1"/>
  <c r="P55" i="31" s="1"/>
  <c r="E27" i="31"/>
  <c r="Q27" i="31" s="1"/>
  <c r="AA88" i="1"/>
  <c r="AB88" i="1" s="1"/>
  <c r="O27" i="31" s="1"/>
  <c r="J26" i="31"/>
  <c r="K58" i="31"/>
  <c r="AA202" i="1"/>
  <c r="AB202" i="1" s="1"/>
  <c r="P58" i="31" s="1"/>
  <c r="AB201" i="1"/>
  <c r="P57" i="31" s="1"/>
  <c r="R204" i="1"/>
  <c r="Q93" i="1"/>
  <c r="R93" i="1" s="1"/>
  <c r="K28" i="31" s="1"/>
  <c r="AD210" i="1"/>
  <c r="O210" i="1"/>
  <c r="D60" i="31" s="1"/>
  <c r="H92" i="1"/>
  <c r="I27" i="31" s="1"/>
  <c r="P402" i="1"/>
  <c r="N401" i="1"/>
  <c r="O401" i="1" s="1"/>
  <c r="N403" i="1"/>
  <c r="O403" i="1" s="1"/>
  <c r="O95" i="1"/>
  <c r="M204" i="1"/>
  <c r="J92" i="1"/>
  <c r="H93" i="1"/>
  <c r="I28" i="31" s="1"/>
  <c r="J93" i="1"/>
  <c r="J91" i="1"/>
  <c r="H91" i="1"/>
  <c r="P401" i="1"/>
  <c r="P403" i="1"/>
  <c r="R398" i="1"/>
  <c r="T398" i="1"/>
  <c r="T400" i="1" s="1"/>
  <c r="AC400" i="1"/>
  <c r="AE400" i="1"/>
  <c r="O400" i="1"/>
  <c r="T95" i="1"/>
  <c r="T92" i="1" s="1"/>
  <c r="E213" i="1"/>
  <c r="E209" i="1"/>
  <c r="R90" i="1"/>
  <c r="AE210" i="1"/>
  <c r="AO210" i="1"/>
  <c r="C210" i="1" s="1"/>
  <c r="AC210" i="1"/>
  <c r="S210" i="1" s="1"/>
  <c r="S214" i="1" s="1"/>
  <c r="AF210" i="1"/>
  <c r="P210" i="1"/>
  <c r="B149" i="6"/>
  <c r="D149" i="37" s="1"/>
  <c r="A149" i="37" s="1"/>
  <c r="D148" i="6"/>
  <c r="B148" i="20"/>
  <c r="B148" i="10"/>
  <c r="B148" i="11"/>
  <c r="B308" i="12"/>
  <c r="B148" i="12"/>
  <c r="B308" i="13"/>
  <c r="B148" i="13"/>
  <c r="B148" i="14"/>
  <c r="B148" i="15"/>
  <c r="B148" i="18"/>
  <c r="B148" i="16"/>
  <c r="B308" i="17"/>
  <c r="B148" i="17"/>
  <c r="B317" i="18"/>
  <c r="B148" i="9"/>
  <c r="D158" i="22" l="1"/>
  <c r="B159" i="22"/>
  <c r="N102" i="31"/>
  <c r="N206" i="31" s="1"/>
  <c r="U206" i="31" s="1"/>
  <c r="Z201" i="1"/>
  <c r="N57" i="31" s="1"/>
  <c r="Z89" i="1"/>
  <c r="H28" i="31" s="1"/>
  <c r="J185" i="31"/>
  <c r="S206" i="31"/>
  <c r="T206" i="31"/>
  <c r="E147" i="30"/>
  <c r="F147" i="30" s="1"/>
  <c r="G147" i="30" s="1"/>
  <c r="K192" i="31"/>
  <c r="E185" i="31"/>
  <c r="S58" i="31"/>
  <c r="E78" i="30"/>
  <c r="F78" i="30" s="1"/>
  <c r="G78" i="30" s="1"/>
  <c r="S55" i="31"/>
  <c r="E137" i="30"/>
  <c r="F137" i="30" s="1"/>
  <c r="G137" i="30" s="1"/>
  <c r="S56" i="31"/>
  <c r="E99" i="30"/>
  <c r="F99" i="30" s="1"/>
  <c r="G99" i="30" s="1"/>
  <c r="P206" i="31"/>
  <c r="X98" i="31"/>
  <c r="AA99" i="31"/>
  <c r="X99" i="31" s="1"/>
  <c r="Q206" i="31"/>
  <c r="R206" i="31"/>
  <c r="V196" i="31"/>
  <c r="AA74" i="31"/>
  <c r="X73" i="31"/>
  <c r="R56" i="31"/>
  <c r="U56" i="31"/>
  <c r="R55" i="31"/>
  <c r="U55" i="31"/>
  <c r="R58" i="31"/>
  <c r="U58" i="31"/>
  <c r="R57" i="31"/>
  <c r="U57" i="31"/>
  <c r="S54" i="31"/>
  <c r="E105" i="31"/>
  <c r="AA398" i="1"/>
  <c r="AB398" i="1" s="1"/>
  <c r="O105" i="31" s="1"/>
  <c r="J106" i="31"/>
  <c r="J104" i="31"/>
  <c r="S28" i="31"/>
  <c r="M91" i="1"/>
  <c r="I26" i="31"/>
  <c r="I185" i="31" s="1"/>
  <c r="R400" i="1"/>
  <c r="M93" i="1"/>
  <c r="AA204" i="1"/>
  <c r="AB204" i="1" s="1"/>
  <c r="AB198" i="1"/>
  <c r="P54" i="31" s="1"/>
  <c r="M92" i="1"/>
  <c r="Q405" i="1"/>
  <c r="Q402" i="1" s="1"/>
  <c r="R402" i="1" s="1"/>
  <c r="Q92" i="1"/>
  <c r="R92" i="1" s="1"/>
  <c r="AA92" i="1" s="1"/>
  <c r="Q91" i="1"/>
  <c r="R91" i="1" s="1"/>
  <c r="AD209" i="1"/>
  <c r="AD212" i="1" s="1"/>
  <c r="O209" i="1"/>
  <c r="D59" i="31" s="1"/>
  <c r="D193" i="31" s="1"/>
  <c r="P217" i="1"/>
  <c r="N217" i="1"/>
  <c r="J95" i="1"/>
  <c r="O405" i="1"/>
  <c r="H95" i="1"/>
  <c r="J401" i="1"/>
  <c r="H401" i="1"/>
  <c r="J403" i="1"/>
  <c r="H403" i="1"/>
  <c r="I106" i="31" s="1"/>
  <c r="H402" i="1"/>
  <c r="I105" i="31" s="1"/>
  <c r="J402" i="1"/>
  <c r="T93" i="1"/>
  <c r="AA93" i="1" s="1"/>
  <c r="T91" i="1"/>
  <c r="T405" i="1"/>
  <c r="T402" i="1" s="1"/>
  <c r="AA90" i="1"/>
  <c r="AB90" i="1" s="1"/>
  <c r="AF209" i="1"/>
  <c r="AF212" i="1" s="1"/>
  <c r="AO209" i="1"/>
  <c r="C209" i="1" s="1"/>
  <c r="AE209" i="1"/>
  <c r="AC209" i="1"/>
  <c r="S209" i="1" s="1"/>
  <c r="S213" i="1" s="1"/>
  <c r="P209" i="1"/>
  <c r="P212" i="1" s="1"/>
  <c r="AO213" i="1"/>
  <c r="C213" i="1" s="1"/>
  <c r="B150" i="6"/>
  <c r="D150" i="37" s="1"/>
  <c r="A150" i="37" s="1"/>
  <c r="D149" i="6"/>
  <c r="B149" i="20"/>
  <c r="B149" i="11"/>
  <c r="B149" i="10"/>
  <c r="B149" i="15"/>
  <c r="B149" i="16"/>
  <c r="B309" i="17"/>
  <c r="B149" i="17"/>
  <c r="B318" i="18"/>
  <c r="B149" i="12"/>
  <c r="B149" i="14"/>
  <c r="B309" i="13"/>
  <c r="B149" i="18"/>
  <c r="B149" i="13"/>
  <c r="B149" i="9"/>
  <c r="B309" i="12"/>
  <c r="T210" i="1"/>
  <c r="R210" i="1"/>
  <c r="E52" i="1"/>
  <c r="E56" i="1"/>
  <c r="AO56" i="1" s="1"/>
  <c r="C56" i="1" s="1"/>
  <c r="B160" i="22" l="1"/>
  <c r="D159" i="22"/>
  <c r="E474" i="1"/>
  <c r="AD474" i="1" s="1"/>
  <c r="J207" i="31"/>
  <c r="Z194" i="1"/>
  <c r="H56" i="31" s="1"/>
  <c r="Z196" i="1"/>
  <c r="H58" i="31" s="1"/>
  <c r="Z93" i="1"/>
  <c r="N28" i="31" s="1"/>
  <c r="Z193" i="1"/>
  <c r="H55" i="31" s="1"/>
  <c r="Z192" i="1"/>
  <c r="H54" i="31" s="1"/>
  <c r="E207" i="31"/>
  <c r="E192" i="31"/>
  <c r="X74" i="31"/>
  <c r="AA75" i="31"/>
  <c r="X75" i="31" s="1"/>
  <c r="V206" i="31"/>
  <c r="R54" i="31"/>
  <c r="V54" i="31"/>
  <c r="U54" i="31"/>
  <c r="Q105" i="31"/>
  <c r="E60" i="31"/>
  <c r="Q60" i="31" s="1"/>
  <c r="AA210" i="1"/>
  <c r="AB210" i="1" s="1"/>
  <c r="O60" i="31" s="1"/>
  <c r="K26" i="31"/>
  <c r="AA91" i="1"/>
  <c r="K105" i="31"/>
  <c r="S105" i="31" s="1"/>
  <c r="AA402" i="1"/>
  <c r="AB92" i="1"/>
  <c r="P27" i="31" s="1"/>
  <c r="K27" i="31"/>
  <c r="M401" i="1"/>
  <c r="I104" i="31"/>
  <c r="I207" i="31" s="1"/>
  <c r="AB93" i="1"/>
  <c r="P28" i="31" s="1"/>
  <c r="M402" i="1"/>
  <c r="R95" i="1"/>
  <c r="M403" i="1"/>
  <c r="Q403" i="1"/>
  <c r="R403" i="1" s="1"/>
  <c r="Q401" i="1"/>
  <c r="R401" i="1" s="1"/>
  <c r="P213" i="1"/>
  <c r="AD52" i="1"/>
  <c r="AD53" i="1" s="1"/>
  <c r="O52" i="1"/>
  <c r="D20" i="31" s="1"/>
  <c r="D182" i="31" s="1"/>
  <c r="N215" i="1"/>
  <c r="O215" i="1" s="1"/>
  <c r="N214" i="1"/>
  <c r="O214" i="1" s="1"/>
  <c r="N213" i="1"/>
  <c r="O213" i="1" s="1"/>
  <c r="H405" i="1"/>
  <c r="J405" i="1"/>
  <c r="M95" i="1"/>
  <c r="T401" i="1"/>
  <c r="T403" i="1"/>
  <c r="P215" i="1"/>
  <c r="P214" i="1"/>
  <c r="AA400" i="1"/>
  <c r="AB400" i="1" s="1"/>
  <c r="AO474" i="1"/>
  <c r="C474" i="1" s="1"/>
  <c r="AE474" i="1"/>
  <c r="AF474" i="1"/>
  <c r="AC474" i="1"/>
  <c r="S474" i="1" s="1"/>
  <c r="AF52" i="1"/>
  <c r="AF53" i="1" s="1"/>
  <c r="AO52" i="1"/>
  <c r="C52" i="1" s="1"/>
  <c r="AE52" i="1"/>
  <c r="AC52" i="1"/>
  <c r="S52" i="1" s="1"/>
  <c r="S56" i="1" s="1"/>
  <c r="P52" i="1"/>
  <c r="P53" i="1" s="1"/>
  <c r="B151" i="6"/>
  <c r="D151" i="37" s="1"/>
  <c r="A151" i="37" s="1"/>
  <c r="D150" i="6"/>
  <c r="B150" i="20"/>
  <c r="B150" i="10"/>
  <c r="B150" i="11"/>
  <c r="B310" i="12"/>
  <c r="B150" i="12"/>
  <c r="B310" i="13"/>
  <c r="B150" i="13"/>
  <c r="B150" i="14"/>
  <c r="B150" i="18"/>
  <c r="B150" i="15"/>
  <c r="B150" i="16"/>
  <c r="B310" i="17"/>
  <c r="B150" i="17"/>
  <c r="B319" i="18"/>
  <c r="B150" i="9"/>
  <c r="AC212" i="1"/>
  <c r="T209" i="1"/>
  <c r="T212" i="1" s="1"/>
  <c r="R209" i="1"/>
  <c r="AE212" i="1"/>
  <c r="O212" i="1"/>
  <c r="B162" i="22" l="1"/>
  <c r="D160" i="22"/>
  <c r="X192" i="31"/>
  <c r="C16" i="33"/>
  <c r="Z202" i="1"/>
  <c r="N58" i="31" s="1"/>
  <c r="Z200" i="1"/>
  <c r="N56" i="31" s="1"/>
  <c r="Z199" i="1"/>
  <c r="N55" i="31" s="1"/>
  <c r="H192" i="31"/>
  <c r="Z197" i="1"/>
  <c r="Z198" i="1"/>
  <c r="N54" i="31" s="1"/>
  <c r="E131" i="30"/>
  <c r="F131" i="30" s="1"/>
  <c r="G131" i="30" s="1"/>
  <c r="K185" i="31"/>
  <c r="S27" i="31"/>
  <c r="E113" i="30"/>
  <c r="F113" i="30" s="1"/>
  <c r="G113" i="30" s="1"/>
  <c r="E61" i="30"/>
  <c r="F61" i="30" s="1"/>
  <c r="G61" i="30" s="1"/>
  <c r="AA54" i="31"/>
  <c r="R28" i="31"/>
  <c r="U28" i="31"/>
  <c r="R27" i="31"/>
  <c r="U27" i="31"/>
  <c r="S26" i="31"/>
  <c r="K106" i="31"/>
  <c r="AA403" i="1"/>
  <c r="AB403" i="1" s="1"/>
  <c r="P106" i="31" s="1"/>
  <c r="J61" i="31"/>
  <c r="E109" i="30" s="1"/>
  <c r="F109" i="30" s="1"/>
  <c r="G109" i="30" s="1"/>
  <c r="E59" i="31"/>
  <c r="E193" i="31" s="1"/>
  <c r="AA209" i="1"/>
  <c r="AB209" i="1" s="1"/>
  <c r="O59" i="31" s="1"/>
  <c r="J60" i="31"/>
  <c r="J59" i="31"/>
  <c r="K104" i="31"/>
  <c r="AA401" i="1"/>
  <c r="AB402" i="1"/>
  <c r="P105" i="31" s="1"/>
  <c r="R405" i="1"/>
  <c r="R212" i="1"/>
  <c r="AA95" i="1"/>
  <c r="AB95" i="1" s="1"/>
  <c r="AB91" i="1"/>
  <c r="P26" i="31" s="1"/>
  <c r="H213" i="1"/>
  <c r="I59" i="31" s="1"/>
  <c r="Q217" i="1"/>
  <c r="Q215" i="1" s="1"/>
  <c r="R215" i="1" s="1"/>
  <c r="K61" i="31" s="1"/>
  <c r="O217" i="1"/>
  <c r="N54" i="1"/>
  <c r="O54" i="1" s="1"/>
  <c r="N55" i="1"/>
  <c r="O55" i="1" s="1"/>
  <c r="N56" i="1"/>
  <c r="O56" i="1" s="1"/>
  <c r="J213" i="1"/>
  <c r="J215" i="1"/>
  <c r="H215" i="1"/>
  <c r="I61" i="31" s="1"/>
  <c r="J214" i="1"/>
  <c r="H214" i="1"/>
  <c r="I60" i="31" s="1"/>
  <c r="M405" i="1"/>
  <c r="P54" i="1"/>
  <c r="P55" i="1"/>
  <c r="P56" i="1"/>
  <c r="T52" i="1"/>
  <c r="T53" i="1" s="1"/>
  <c r="R52" i="1"/>
  <c r="AC53" i="1"/>
  <c r="T217" i="1"/>
  <c r="T215" i="1" s="1"/>
  <c r="AE53" i="1"/>
  <c r="O53" i="1"/>
  <c r="E106" i="1"/>
  <c r="E100" i="1"/>
  <c r="B152" i="6"/>
  <c r="D152" i="37" s="1"/>
  <c r="A152" i="37" s="1"/>
  <c r="D151" i="6"/>
  <c r="B151" i="20"/>
  <c r="B151" i="11"/>
  <c r="B311" i="12"/>
  <c r="B151" i="13"/>
  <c r="B151" i="15"/>
  <c r="B151" i="16"/>
  <c r="B311" i="17"/>
  <c r="B151" i="17"/>
  <c r="B320" i="18"/>
  <c r="B151" i="12"/>
  <c r="B151" i="14"/>
  <c r="B151" i="18"/>
  <c r="B311" i="13"/>
  <c r="B151" i="10"/>
  <c r="B151" i="9"/>
  <c r="D162" i="22" l="1"/>
  <c r="B163" i="22"/>
  <c r="N192" i="31"/>
  <c r="U192" i="31" s="1"/>
  <c r="E471" i="1"/>
  <c r="AD471" i="1" s="1"/>
  <c r="Z204" i="1"/>
  <c r="Z87" i="1"/>
  <c r="H26" i="31" s="1"/>
  <c r="Z398" i="1"/>
  <c r="H105" i="31" s="1"/>
  <c r="Z88" i="1"/>
  <c r="H27" i="31" s="1"/>
  <c r="Z211" i="1"/>
  <c r="H61" i="31" s="1"/>
  <c r="S192" i="31"/>
  <c r="T192" i="31"/>
  <c r="I193" i="31"/>
  <c r="E77" i="30"/>
  <c r="F77" i="30" s="1"/>
  <c r="G77" i="30" s="1"/>
  <c r="K207" i="31"/>
  <c r="J193" i="31"/>
  <c r="S106" i="31"/>
  <c r="E8" i="30"/>
  <c r="F8" i="30" s="1"/>
  <c r="G8" i="30" s="1"/>
  <c r="P192" i="31"/>
  <c r="Q192" i="31"/>
  <c r="R192" i="31"/>
  <c r="AA55" i="31"/>
  <c r="X54" i="31"/>
  <c r="R105" i="31"/>
  <c r="U105" i="31"/>
  <c r="R106" i="31"/>
  <c r="U106" i="31"/>
  <c r="R26" i="31"/>
  <c r="V26" i="31"/>
  <c r="U26" i="31"/>
  <c r="S104" i="31"/>
  <c r="Q59" i="31"/>
  <c r="J20" i="31"/>
  <c r="AA215" i="1"/>
  <c r="E20" i="31"/>
  <c r="E182" i="31" s="1"/>
  <c r="AA52" i="1"/>
  <c r="AB52" i="1" s="1"/>
  <c r="O20" i="31" s="1"/>
  <c r="J19" i="31"/>
  <c r="J18" i="31"/>
  <c r="S61" i="31"/>
  <c r="M214" i="1"/>
  <c r="R53" i="1"/>
  <c r="M215" i="1"/>
  <c r="AA405" i="1"/>
  <c r="AB405" i="1" s="1"/>
  <c r="AB401" i="1"/>
  <c r="P104" i="31" s="1"/>
  <c r="M213" i="1"/>
  <c r="Q58" i="1"/>
  <c r="Q56" i="1" s="1"/>
  <c r="R56" i="1" s="1"/>
  <c r="K20" i="31" s="1"/>
  <c r="T58" i="1"/>
  <c r="T56" i="1" s="1"/>
  <c r="Q213" i="1"/>
  <c r="R213" i="1" s="1"/>
  <c r="Q214" i="1"/>
  <c r="R214" i="1" s="1"/>
  <c r="J56" i="1"/>
  <c r="AD100" i="1"/>
  <c r="AD105" i="1" s="1"/>
  <c r="O100" i="1"/>
  <c r="D29" i="31" s="1"/>
  <c r="D186" i="31" s="1"/>
  <c r="P112" i="1"/>
  <c r="N112" i="1"/>
  <c r="O58" i="1"/>
  <c r="J54" i="1"/>
  <c r="H54" i="1"/>
  <c r="I18" i="31" s="1"/>
  <c r="J55" i="1"/>
  <c r="H55" i="1"/>
  <c r="H56" i="1"/>
  <c r="I20" i="31" s="1"/>
  <c r="J217" i="1"/>
  <c r="H217" i="1"/>
  <c r="T213" i="1"/>
  <c r="T214" i="1"/>
  <c r="AO471" i="1"/>
  <c r="C471" i="1" s="1"/>
  <c r="AE471" i="1"/>
  <c r="AF471" i="1"/>
  <c r="AC471" i="1"/>
  <c r="S471" i="1" s="1"/>
  <c r="AA212" i="1"/>
  <c r="AB212" i="1" s="1"/>
  <c r="AF100" i="1"/>
  <c r="AF105" i="1" s="1"/>
  <c r="AE100" i="1"/>
  <c r="AC100" i="1"/>
  <c r="S100" i="1" s="1"/>
  <c r="S106" i="1" s="1"/>
  <c r="AO100" i="1"/>
  <c r="C100" i="1" s="1"/>
  <c r="P100" i="1"/>
  <c r="P105" i="1" s="1"/>
  <c r="AO106" i="1"/>
  <c r="C106" i="1" s="1"/>
  <c r="D152" i="6"/>
  <c r="B153" i="6"/>
  <c r="D153" i="37" s="1"/>
  <c r="A153" i="37" s="1"/>
  <c r="B152" i="10"/>
  <c r="B152" i="11"/>
  <c r="B152" i="20"/>
  <c r="B312" i="12"/>
  <c r="B152" i="12"/>
  <c r="B312" i="13"/>
  <c r="B152" i="13"/>
  <c r="B152" i="14"/>
  <c r="B322" i="18"/>
  <c r="B152" i="18"/>
  <c r="B152" i="15"/>
  <c r="B152" i="16"/>
  <c r="B312" i="17"/>
  <c r="B152" i="17"/>
  <c r="B152" i="9"/>
  <c r="D163" i="22" l="1"/>
  <c r="B165" i="22"/>
  <c r="X185" i="31"/>
  <c r="C18" i="33"/>
  <c r="H185" i="31"/>
  <c r="Z215" i="1"/>
  <c r="N61" i="31" s="1"/>
  <c r="Z402" i="1"/>
  <c r="N105" i="31" s="1"/>
  <c r="Z92" i="1"/>
  <c r="Z90" i="1"/>
  <c r="Z399" i="1"/>
  <c r="H106" i="31" s="1"/>
  <c r="Z91" i="1"/>
  <c r="N26" i="31" s="1"/>
  <c r="Z397" i="1"/>
  <c r="H104" i="31" s="1"/>
  <c r="J182" i="31"/>
  <c r="E152" i="30"/>
  <c r="F152" i="30" s="1"/>
  <c r="G152" i="30" s="1"/>
  <c r="AA56" i="31"/>
  <c r="X55" i="31"/>
  <c r="AA26" i="31"/>
  <c r="V192" i="31"/>
  <c r="R104" i="31"/>
  <c r="U104" i="31"/>
  <c r="V104" i="31"/>
  <c r="Q20" i="31"/>
  <c r="E157" i="30" s="1"/>
  <c r="F157" i="30" s="1"/>
  <c r="G157" i="30" s="1"/>
  <c r="AA56" i="1"/>
  <c r="K60" i="31"/>
  <c r="AA214" i="1"/>
  <c r="AB214" i="1" s="1"/>
  <c r="P60" i="31" s="1"/>
  <c r="K59" i="31"/>
  <c r="AA213" i="1"/>
  <c r="AB213" i="1" s="1"/>
  <c r="P59" i="31" s="1"/>
  <c r="S20" i="31"/>
  <c r="AB215" i="1"/>
  <c r="P61" i="31" s="1"/>
  <c r="M55" i="1"/>
  <c r="I19" i="31"/>
  <c r="I182" i="31" s="1"/>
  <c r="M54" i="1"/>
  <c r="M56" i="1"/>
  <c r="R217" i="1"/>
  <c r="Q55" i="1"/>
  <c r="R55" i="1" s="1"/>
  <c r="Q54" i="1"/>
  <c r="R54" i="1" s="1"/>
  <c r="M217" i="1"/>
  <c r="N110" i="1"/>
  <c r="O110" i="1" s="1"/>
  <c r="N109" i="1"/>
  <c r="O109" i="1" s="1"/>
  <c r="N108" i="1"/>
  <c r="O108" i="1" s="1"/>
  <c r="N107" i="1"/>
  <c r="O107" i="1" s="1"/>
  <c r="N106" i="1"/>
  <c r="O106" i="1" s="1"/>
  <c r="H58" i="1"/>
  <c r="J58" i="1"/>
  <c r="P110" i="1"/>
  <c r="P109" i="1"/>
  <c r="P108" i="1"/>
  <c r="P107" i="1"/>
  <c r="T55" i="1"/>
  <c r="T54" i="1"/>
  <c r="P106" i="1"/>
  <c r="AA53" i="1"/>
  <c r="AB53" i="1" s="1"/>
  <c r="E228" i="1"/>
  <c r="E222" i="1"/>
  <c r="AE105" i="1"/>
  <c r="B154" i="6"/>
  <c r="D154" i="37" s="1"/>
  <c r="A154" i="37" s="1"/>
  <c r="D153" i="6"/>
  <c r="B153" i="20"/>
  <c r="B153" i="10"/>
  <c r="B153" i="11"/>
  <c r="B153" i="16"/>
  <c r="B313" i="17"/>
  <c r="B153" i="17"/>
  <c r="B313" i="12"/>
  <c r="B153" i="13"/>
  <c r="B153" i="12"/>
  <c r="B153" i="14"/>
  <c r="B323" i="18"/>
  <c r="B153" i="18"/>
  <c r="B153" i="15"/>
  <c r="B153" i="9"/>
  <c r="B313" i="13"/>
  <c r="O105" i="1"/>
  <c r="AC105" i="1"/>
  <c r="T100" i="1"/>
  <c r="T105" i="1" s="1"/>
  <c r="R100" i="1"/>
  <c r="B166" i="22" l="1"/>
  <c r="D165" i="22"/>
  <c r="X207" i="31"/>
  <c r="C24" i="33"/>
  <c r="H207" i="31"/>
  <c r="K193" i="31"/>
  <c r="Z95" i="1"/>
  <c r="E478" i="1"/>
  <c r="AD478" i="1" s="1"/>
  <c r="AD481" i="1" s="1"/>
  <c r="N27" i="31"/>
  <c r="N185" i="31" s="1"/>
  <c r="U185" i="31" s="1"/>
  <c r="Z400" i="1"/>
  <c r="Z401" i="1"/>
  <c r="N104" i="31" s="1"/>
  <c r="Z52" i="1"/>
  <c r="H20" i="31" s="1"/>
  <c r="Z209" i="1"/>
  <c r="H59" i="31" s="1"/>
  <c r="Z403" i="1"/>
  <c r="S185" i="31"/>
  <c r="T185" i="31"/>
  <c r="S60" i="31"/>
  <c r="E110" i="30"/>
  <c r="F110" i="30" s="1"/>
  <c r="G110" i="30" s="1"/>
  <c r="P185" i="31"/>
  <c r="Q185" i="31"/>
  <c r="R185" i="31"/>
  <c r="AA104" i="31"/>
  <c r="AA27" i="31"/>
  <c r="X26" i="31"/>
  <c r="AA57" i="31"/>
  <c r="X56" i="31"/>
  <c r="R59" i="31"/>
  <c r="V59" i="31"/>
  <c r="U59" i="31"/>
  <c r="R61" i="31"/>
  <c r="U61" i="31"/>
  <c r="R60" i="31"/>
  <c r="U60" i="31"/>
  <c r="S59" i="31"/>
  <c r="J29" i="31"/>
  <c r="J30" i="31"/>
  <c r="K19" i="31"/>
  <c r="AA55" i="1"/>
  <c r="AB55" i="1" s="1"/>
  <c r="P19" i="31" s="1"/>
  <c r="E29" i="31"/>
  <c r="E186" i="31" s="1"/>
  <c r="AA100" i="1"/>
  <c r="AB100" i="1" s="1"/>
  <c r="O29" i="31" s="1"/>
  <c r="J31" i="31"/>
  <c r="J33" i="31"/>
  <c r="J32" i="31"/>
  <c r="K18" i="31"/>
  <c r="AA54" i="1"/>
  <c r="AB56" i="1"/>
  <c r="P20" i="31" s="1"/>
  <c r="R58" i="1"/>
  <c r="R105" i="1"/>
  <c r="AA217" i="1"/>
  <c r="AB217" i="1" s="1"/>
  <c r="H106" i="1"/>
  <c r="I29" i="31" s="1"/>
  <c r="Q112" i="1"/>
  <c r="Q109" i="1" s="1"/>
  <c r="R109" i="1" s="1"/>
  <c r="K32" i="31" s="1"/>
  <c r="AD222" i="1"/>
  <c r="AD227" i="1" s="1"/>
  <c r="O222" i="1"/>
  <c r="O112" i="1"/>
  <c r="P234" i="1"/>
  <c r="N234" i="1"/>
  <c r="M58" i="1"/>
  <c r="J106" i="1"/>
  <c r="J110" i="1"/>
  <c r="H110" i="1"/>
  <c r="J109" i="1"/>
  <c r="H109" i="1"/>
  <c r="I32" i="31" s="1"/>
  <c r="J108" i="1"/>
  <c r="H108" i="1"/>
  <c r="H107" i="1"/>
  <c r="I30" i="31" s="1"/>
  <c r="J107" i="1"/>
  <c r="AO478" i="1"/>
  <c r="C478" i="1" s="1"/>
  <c r="AF478" i="1"/>
  <c r="AF481" i="1" s="1"/>
  <c r="AE478" i="1"/>
  <c r="AC478" i="1"/>
  <c r="S478" i="1" s="1"/>
  <c r="P222" i="1"/>
  <c r="P227" i="1" s="1"/>
  <c r="AF222" i="1"/>
  <c r="AF227" i="1" s="1"/>
  <c r="AO222" i="1"/>
  <c r="C222" i="1" s="1"/>
  <c r="AE222" i="1"/>
  <c r="AC222" i="1"/>
  <c r="S222" i="1" s="1"/>
  <c r="S228" i="1" s="1"/>
  <c r="AO228" i="1"/>
  <c r="C228" i="1" s="1"/>
  <c r="D154" i="6"/>
  <c r="B155" i="6"/>
  <c r="D155" i="37" s="1"/>
  <c r="A155" i="37" s="1"/>
  <c r="B154" i="10"/>
  <c r="B154" i="11"/>
  <c r="B154" i="20"/>
  <c r="B314" i="12"/>
  <c r="B154" i="12"/>
  <c r="B314" i="13"/>
  <c r="B154" i="13"/>
  <c r="B154" i="14"/>
  <c r="B154" i="15"/>
  <c r="B154" i="18"/>
  <c r="B154" i="16"/>
  <c r="B314" i="17"/>
  <c r="B154" i="17"/>
  <c r="B325" i="18"/>
  <c r="B154" i="9"/>
  <c r="T112" i="1"/>
  <c r="T110" i="1" s="1"/>
  <c r="B167" i="22" l="1"/>
  <c r="D166" i="22"/>
  <c r="X193" i="31"/>
  <c r="C13" i="33"/>
  <c r="Z405" i="1"/>
  <c r="Z56" i="1"/>
  <c r="N20" i="31" s="1"/>
  <c r="N106" i="31"/>
  <c r="N207" i="31" s="1"/>
  <c r="U207" i="31" s="1"/>
  <c r="Z210" i="1"/>
  <c r="H60" i="31" s="1"/>
  <c r="H193" i="31" s="1"/>
  <c r="Z213" i="1"/>
  <c r="N59" i="31" s="1"/>
  <c r="S207" i="31"/>
  <c r="T207" i="31"/>
  <c r="E95" i="30"/>
  <c r="F95" i="30" s="1"/>
  <c r="G95" i="30" s="1"/>
  <c r="K182" i="31"/>
  <c r="J186" i="31"/>
  <c r="E125" i="30"/>
  <c r="F125" i="30" s="1"/>
  <c r="G125" i="30" s="1"/>
  <c r="S19" i="31"/>
  <c r="E130" i="30"/>
  <c r="F130" i="30" s="1"/>
  <c r="G130" i="30" s="1"/>
  <c r="V185" i="31"/>
  <c r="AA58" i="31"/>
  <c r="X58" i="31" s="1"/>
  <c r="X57" i="31"/>
  <c r="AA59" i="31"/>
  <c r="AA28" i="31"/>
  <c r="X28" i="31" s="1"/>
  <c r="X27" i="31"/>
  <c r="R207" i="31"/>
  <c r="AA105" i="31"/>
  <c r="X104" i="31"/>
  <c r="Q207" i="31"/>
  <c r="P207" i="31"/>
  <c r="S18" i="31"/>
  <c r="R20" i="31"/>
  <c r="U20" i="31"/>
  <c r="Q29" i="31"/>
  <c r="R19" i="31"/>
  <c r="U19" i="31"/>
  <c r="S32" i="31"/>
  <c r="O227" i="1"/>
  <c r="D62" i="31"/>
  <c r="D194" i="31" s="1"/>
  <c r="M110" i="1"/>
  <c r="I33" i="31"/>
  <c r="M108" i="1"/>
  <c r="I31" i="31"/>
  <c r="M107" i="1"/>
  <c r="AA58" i="1"/>
  <c r="AB58" i="1" s="1"/>
  <c r="AB54" i="1"/>
  <c r="P18" i="31" s="1"/>
  <c r="M109" i="1"/>
  <c r="M106" i="1"/>
  <c r="Q106" i="1"/>
  <c r="R106" i="1" s="1"/>
  <c r="Q107" i="1"/>
  <c r="R107" i="1" s="1"/>
  <c r="Q108" i="1"/>
  <c r="R108" i="1" s="1"/>
  <c r="Q110" i="1"/>
  <c r="R110" i="1" s="1"/>
  <c r="AA110" i="1" s="1"/>
  <c r="P478" i="1"/>
  <c r="N475" i="1"/>
  <c r="O475" i="1" s="1"/>
  <c r="N470" i="1"/>
  <c r="O470" i="1" s="1"/>
  <c r="N473" i="1"/>
  <c r="O473" i="1" s="1"/>
  <c r="N472" i="1"/>
  <c r="O472" i="1" s="1"/>
  <c r="N479" i="1"/>
  <c r="O479" i="1" s="1"/>
  <c r="N476" i="1"/>
  <c r="O476" i="1" s="1"/>
  <c r="N477" i="1"/>
  <c r="O477" i="1" s="1"/>
  <c r="N474" i="1"/>
  <c r="O474" i="1" s="1"/>
  <c r="N471" i="1"/>
  <c r="O471" i="1" s="1"/>
  <c r="N478" i="1"/>
  <c r="O478" i="1" s="1"/>
  <c r="N229" i="1"/>
  <c r="O229" i="1" s="1"/>
  <c r="N231" i="1"/>
  <c r="O231" i="1" s="1"/>
  <c r="N232" i="1"/>
  <c r="O232" i="1" s="1"/>
  <c r="N230" i="1"/>
  <c r="O230" i="1" s="1"/>
  <c r="N228" i="1"/>
  <c r="O228" i="1" s="1"/>
  <c r="J112" i="1"/>
  <c r="H112" i="1"/>
  <c r="T106" i="1"/>
  <c r="T108" i="1"/>
  <c r="P229" i="1"/>
  <c r="P231" i="1"/>
  <c r="P232" i="1"/>
  <c r="P230" i="1"/>
  <c r="T109" i="1"/>
  <c r="AA109" i="1" s="1"/>
  <c r="P228" i="1"/>
  <c r="AC481" i="1"/>
  <c r="P475" i="1"/>
  <c r="P470" i="1"/>
  <c r="P473" i="1"/>
  <c r="P472" i="1"/>
  <c r="P479" i="1"/>
  <c r="P476" i="1"/>
  <c r="P477" i="1"/>
  <c r="P474" i="1"/>
  <c r="P471" i="1"/>
  <c r="T107" i="1"/>
  <c r="AE481" i="1"/>
  <c r="R222" i="1"/>
  <c r="T222" i="1"/>
  <c r="T227" i="1" s="1"/>
  <c r="AC227" i="1"/>
  <c r="AE227" i="1"/>
  <c r="B156" i="6"/>
  <c r="D156" i="37" s="1"/>
  <c r="A156" i="37" s="1"/>
  <c r="D155" i="6"/>
  <c r="B155" i="20"/>
  <c r="B155" i="10"/>
  <c r="B155" i="11"/>
  <c r="B315" i="13"/>
  <c r="B155" i="15"/>
  <c r="B155" i="16"/>
  <c r="B315" i="17"/>
  <c r="B155" i="17"/>
  <c r="B326" i="18"/>
  <c r="B315" i="12"/>
  <c r="B155" i="13"/>
  <c r="B155" i="18"/>
  <c r="B155" i="12"/>
  <c r="B155" i="14"/>
  <c r="B155" i="9"/>
  <c r="E143" i="1"/>
  <c r="E149" i="1"/>
  <c r="AA105" i="1"/>
  <c r="AB105" i="1" s="1"/>
  <c r="I186" i="31" l="1"/>
  <c r="D167" i="22"/>
  <c r="B168" i="22"/>
  <c r="Z212" i="1"/>
  <c r="Z214" i="1"/>
  <c r="Z217" i="1" s="1"/>
  <c r="Z103" i="1"/>
  <c r="H32" i="31" s="1"/>
  <c r="Z51" i="1"/>
  <c r="H19" i="31" s="1"/>
  <c r="Z50" i="1"/>
  <c r="H18" i="31" s="1"/>
  <c r="P193" i="31"/>
  <c r="T193" i="31"/>
  <c r="E150" i="30"/>
  <c r="F150" i="30" s="1"/>
  <c r="G150" i="30" s="1"/>
  <c r="V207" i="31"/>
  <c r="AA106" i="31"/>
  <c r="X106" i="31" s="1"/>
  <c r="X105" i="31"/>
  <c r="R193" i="31"/>
  <c r="S193" i="31"/>
  <c r="Q193" i="31"/>
  <c r="X59" i="31"/>
  <c r="AA60" i="31"/>
  <c r="R18" i="31"/>
  <c r="U18" i="31"/>
  <c r="V18" i="31"/>
  <c r="J62" i="31"/>
  <c r="J144" i="31"/>
  <c r="J146" i="31"/>
  <c r="K30" i="31"/>
  <c r="AA107" i="1"/>
  <c r="AB107" i="1" s="1"/>
  <c r="P30" i="31" s="1"/>
  <c r="E62" i="31"/>
  <c r="E194" i="31" s="1"/>
  <c r="AA222" i="1"/>
  <c r="AB222" i="1" s="1"/>
  <c r="O62" i="31" s="1"/>
  <c r="J64" i="31"/>
  <c r="J147" i="31"/>
  <c r="J143" i="31"/>
  <c r="K29" i="31"/>
  <c r="AA106" i="1"/>
  <c r="J151" i="31"/>
  <c r="J66" i="31"/>
  <c r="J150" i="31"/>
  <c r="J148" i="31"/>
  <c r="J65" i="31"/>
  <c r="J149" i="31"/>
  <c r="J63" i="31"/>
  <c r="J152" i="31"/>
  <c r="J145" i="31"/>
  <c r="K31" i="31"/>
  <c r="AA108" i="1"/>
  <c r="AB108" i="1" s="1"/>
  <c r="P31" i="31" s="1"/>
  <c r="AB110" i="1"/>
  <c r="P33" i="31" s="1"/>
  <c r="K33" i="31"/>
  <c r="AB109" i="1"/>
  <c r="P32" i="31" s="1"/>
  <c r="R112" i="1"/>
  <c r="H478" i="1"/>
  <c r="I151" i="31" s="1"/>
  <c r="Q475" i="1"/>
  <c r="R475" i="1" s="1"/>
  <c r="K148" i="31" s="1"/>
  <c r="Q470" i="1"/>
  <c r="R470" i="1" s="1"/>
  <c r="K143" i="31" s="1"/>
  <c r="Q473" i="1"/>
  <c r="R473" i="1" s="1"/>
  <c r="K146" i="31" s="1"/>
  <c r="Q472" i="1"/>
  <c r="R472" i="1" s="1"/>
  <c r="K145" i="31" s="1"/>
  <c r="Q479" i="1"/>
  <c r="R479" i="1" s="1"/>
  <c r="K152" i="31" s="1"/>
  <c r="Q476" i="1"/>
  <c r="R476" i="1" s="1"/>
  <c r="K149" i="31" s="1"/>
  <c r="Q477" i="1"/>
  <c r="R477" i="1" s="1"/>
  <c r="K150" i="31" s="1"/>
  <c r="Q474" i="1"/>
  <c r="R474" i="1" s="1"/>
  <c r="K147" i="31" s="1"/>
  <c r="Q471" i="1"/>
  <c r="R471" i="1" s="1"/>
  <c r="K144" i="31" s="1"/>
  <c r="Q478" i="1"/>
  <c r="R478" i="1" s="1"/>
  <c r="K151" i="31" s="1"/>
  <c r="J228" i="1"/>
  <c r="Q234" i="1"/>
  <c r="Q228" i="1" s="1"/>
  <c r="R228" i="1" s="1"/>
  <c r="K62" i="31" s="1"/>
  <c r="AD143" i="1"/>
  <c r="AD148" i="1" s="1"/>
  <c r="O143" i="1"/>
  <c r="D40" i="31" s="1"/>
  <c r="D189" i="31" s="1"/>
  <c r="O234" i="1"/>
  <c r="P155" i="1"/>
  <c r="N155" i="1"/>
  <c r="O481" i="1"/>
  <c r="M112" i="1"/>
  <c r="H228" i="1"/>
  <c r="I62" i="31" s="1"/>
  <c r="J229" i="1"/>
  <c r="H229" i="1"/>
  <c r="I63" i="31" s="1"/>
  <c r="H231" i="1"/>
  <c r="I65" i="31" s="1"/>
  <c r="J231" i="1"/>
  <c r="H232" i="1"/>
  <c r="I66" i="31" s="1"/>
  <c r="J232" i="1"/>
  <c r="J230" i="1"/>
  <c r="H230" i="1"/>
  <c r="I64" i="31" s="1"/>
  <c r="T478" i="1"/>
  <c r="J475" i="1"/>
  <c r="H475" i="1"/>
  <c r="I148" i="31" s="1"/>
  <c r="J470" i="1"/>
  <c r="H470" i="1"/>
  <c r="H473" i="1"/>
  <c r="I146" i="31" s="1"/>
  <c r="J473" i="1"/>
  <c r="H472" i="1"/>
  <c r="I145" i="31" s="1"/>
  <c r="J472" i="1"/>
  <c r="H479" i="1"/>
  <c r="I152" i="31" s="1"/>
  <c r="J479" i="1"/>
  <c r="J476" i="1"/>
  <c r="H476" i="1"/>
  <c r="I149" i="31" s="1"/>
  <c r="H477" i="1"/>
  <c r="I150" i="31" s="1"/>
  <c r="J477" i="1"/>
  <c r="J474" i="1"/>
  <c r="H474" i="1"/>
  <c r="H471" i="1"/>
  <c r="I144" i="31" s="1"/>
  <c r="J471" i="1"/>
  <c r="J478" i="1"/>
  <c r="T475" i="1"/>
  <c r="T470" i="1"/>
  <c r="T473" i="1"/>
  <c r="T472" i="1"/>
  <c r="AA472" i="1" s="1"/>
  <c r="T479" i="1"/>
  <c r="T476" i="1"/>
  <c r="T477" i="1"/>
  <c r="T474" i="1"/>
  <c r="T471" i="1"/>
  <c r="E307" i="1"/>
  <c r="E311" i="1"/>
  <c r="AO311" i="1" s="1"/>
  <c r="C311" i="1" s="1"/>
  <c r="T234" i="1"/>
  <c r="T228" i="1" s="1"/>
  <c r="R227" i="1"/>
  <c r="AF143" i="1"/>
  <c r="AF148" i="1" s="1"/>
  <c r="AO143" i="1"/>
  <c r="C143" i="1" s="1"/>
  <c r="AC143" i="1"/>
  <c r="S143" i="1" s="1"/>
  <c r="S149" i="1" s="1"/>
  <c r="AE143" i="1"/>
  <c r="P143" i="1"/>
  <c r="P148" i="1" s="1"/>
  <c r="AO149" i="1"/>
  <c r="C149" i="1" s="1"/>
  <c r="B157" i="6"/>
  <c r="D157" i="37" s="1"/>
  <c r="A157" i="37" s="1"/>
  <c r="D156" i="6"/>
  <c r="B156" i="10"/>
  <c r="B156" i="11"/>
  <c r="B156" i="20"/>
  <c r="B316" i="12"/>
  <c r="B156" i="12"/>
  <c r="B316" i="13"/>
  <c r="B156" i="13"/>
  <c r="B156" i="14"/>
  <c r="B156" i="15"/>
  <c r="B156" i="18"/>
  <c r="B156" i="16"/>
  <c r="B316" i="17"/>
  <c r="B156" i="17"/>
  <c r="B327" i="18"/>
  <c r="B156" i="9"/>
  <c r="B169" i="22" l="1"/>
  <c r="D169" i="22" s="1"/>
  <c r="D168" i="22"/>
  <c r="I194" i="31"/>
  <c r="X182" i="31"/>
  <c r="C17" i="33"/>
  <c r="K212" i="31"/>
  <c r="R212" i="31" s="1"/>
  <c r="N60" i="31"/>
  <c r="N193" i="31" s="1"/>
  <c r="U193" i="31" s="1"/>
  <c r="V193" i="31" s="1"/>
  <c r="AA475" i="1"/>
  <c r="H182" i="31"/>
  <c r="Z53" i="1"/>
  <c r="Z54" i="1"/>
  <c r="N18" i="31" s="1"/>
  <c r="Z55" i="1"/>
  <c r="N19" i="31" s="1"/>
  <c r="Z100" i="1"/>
  <c r="H29" i="31" s="1"/>
  <c r="Z109" i="1"/>
  <c r="N32" i="31" s="1"/>
  <c r="K186" i="31"/>
  <c r="J212" i="31"/>
  <c r="Q212" i="31" s="1"/>
  <c r="J194" i="31"/>
  <c r="S30" i="31"/>
  <c r="E155" i="30"/>
  <c r="F155" i="30" s="1"/>
  <c r="G155" i="30" s="1"/>
  <c r="S33" i="31"/>
  <c r="E135" i="30"/>
  <c r="F135" i="30" s="1"/>
  <c r="G135" i="30" s="1"/>
  <c r="S31" i="31"/>
  <c r="E136" i="30"/>
  <c r="F136" i="30" s="1"/>
  <c r="G136" i="30" s="1"/>
  <c r="X60" i="31"/>
  <c r="AA61" i="31"/>
  <c r="X61" i="31" s="1"/>
  <c r="AA18" i="31"/>
  <c r="P204" i="31"/>
  <c r="V204" i="31" s="1"/>
  <c r="R30" i="31"/>
  <c r="U30" i="31"/>
  <c r="R33" i="31"/>
  <c r="U33" i="31"/>
  <c r="R31" i="31"/>
  <c r="U31" i="31"/>
  <c r="AA477" i="1"/>
  <c r="R32" i="31"/>
  <c r="U32" i="31"/>
  <c r="S29" i="31"/>
  <c r="Q62" i="31"/>
  <c r="E154" i="30" s="1"/>
  <c r="F154" i="30" s="1"/>
  <c r="G154" i="30" s="1"/>
  <c r="AA476" i="1"/>
  <c r="AA473" i="1"/>
  <c r="AA479" i="1"/>
  <c r="AA470" i="1"/>
  <c r="AA471" i="1"/>
  <c r="AA478" i="1"/>
  <c r="AA474" i="1"/>
  <c r="AA228" i="1"/>
  <c r="S151" i="31"/>
  <c r="Q151" i="31"/>
  <c r="E118" i="30" s="1"/>
  <c r="F118" i="30" s="1"/>
  <c r="G118" i="30" s="1"/>
  <c r="S149" i="31"/>
  <c r="Q149" i="31"/>
  <c r="E68" i="30" s="1"/>
  <c r="F68" i="30" s="1"/>
  <c r="G68" i="30" s="1"/>
  <c r="S144" i="31"/>
  <c r="Q144" i="31"/>
  <c r="E106" i="30" s="1"/>
  <c r="F106" i="30" s="1"/>
  <c r="G106" i="30" s="1"/>
  <c r="S146" i="31"/>
  <c r="Q146" i="31"/>
  <c r="E43" i="30" s="1"/>
  <c r="F43" i="30" s="1"/>
  <c r="G43" i="30" s="1"/>
  <c r="S150" i="31"/>
  <c r="Q150" i="31"/>
  <c r="E71" i="30" s="1"/>
  <c r="F71" i="30" s="1"/>
  <c r="G71" i="30" s="1"/>
  <c r="S145" i="31"/>
  <c r="Q145" i="31"/>
  <c r="E81" i="30" s="1"/>
  <c r="F81" i="30" s="1"/>
  <c r="G81" i="30" s="1"/>
  <c r="S152" i="31"/>
  <c r="Q152" i="31"/>
  <c r="S62" i="31"/>
  <c r="S148" i="31"/>
  <c r="Q148" i="31"/>
  <c r="E92" i="30" s="1"/>
  <c r="F92" i="30" s="1"/>
  <c r="G92" i="30" s="1"/>
  <c r="AA112" i="1"/>
  <c r="AB112" i="1" s="1"/>
  <c r="M474" i="1"/>
  <c r="I147" i="31"/>
  <c r="M470" i="1"/>
  <c r="I143" i="31"/>
  <c r="M232" i="1"/>
  <c r="M477" i="1"/>
  <c r="M472" i="1"/>
  <c r="AB472" i="1" s="1"/>
  <c r="P145" i="31" s="1"/>
  <c r="M476" i="1"/>
  <c r="M478" i="1"/>
  <c r="M231" i="1"/>
  <c r="M471" i="1"/>
  <c r="M473" i="1"/>
  <c r="M230" i="1"/>
  <c r="M229" i="1"/>
  <c r="AB106" i="1"/>
  <c r="P29" i="31" s="1"/>
  <c r="M479" i="1"/>
  <c r="M228" i="1"/>
  <c r="M475" i="1"/>
  <c r="R481" i="1"/>
  <c r="Q232" i="1"/>
  <c r="R232" i="1" s="1"/>
  <c r="Q230" i="1"/>
  <c r="R230" i="1" s="1"/>
  <c r="Q231" i="1"/>
  <c r="R231" i="1" s="1"/>
  <c r="Q229" i="1"/>
  <c r="R229" i="1" s="1"/>
  <c r="P149" i="1"/>
  <c r="AD307" i="1"/>
  <c r="AD309" i="1" s="1"/>
  <c r="O307" i="1"/>
  <c r="D84" i="31" s="1"/>
  <c r="D200" i="31" s="1"/>
  <c r="N153" i="1"/>
  <c r="O153" i="1" s="1"/>
  <c r="N151" i="1"/>
  <c r="O151" i="1" s="1"/>
  <c r="N150" i="1"/>
  <c r="O150" i="1" s="1"/>
  <c r="N152" i="1"/>
  <c r="O152" i="1" s="1"/>
  <c r="N149" i="1"/>
  <c r="O149" i="1" s="1"/>
  <c r="J481" i="1"/>
  <c r="H234" i="1"/>
  <c r="H481" i="1"/>
  <c r="J234" i="1"/>
  <c r="T231" i="1"/>
  <c r="P153" i="1"/>
  <c r="P151" i="1"/>
  <c r="P150" i="1"/>
  <c r="P152" i="1"/>
  <c r="T230" i="1"/>
  <c r="T229" i="1"/>
  <c r="T232" i="1"/>
  <c r="AE307" i="1"/>
  <c r="AO307" i="1"/>
  <c r="C307" i="1" s="1"/>
  <c r="AC307" i="1"/>
  <c r="S307" i="1" s="1"/>
  <c r="S311" i="1" s="1"/>
  <c r="AF307" i="1"/>
  <c r="AF309" i="1" s="1"/>
  <c r="P307" i="1"/>
  <c r="P309" i="1" s="1"/>
  <c r="AA227" i="1"/>
  <c r="AB227" i="1" s="1"/>
  <c r="E131" i="1"/>
  <c r="E135" i="1"/>
  <c r="AO135" i="1" s="1"/>
  <c r="C135" i="1" s="1"/>
  <c r="AE148" i="1"/>
  <c r="B158" i="6"/>
  <c r="D157" i="6"/>
  <c r="B157" i="20"/>
  <c r="B157" i="10"/>
  <c r="B157" i="11"/>
  <c r="B157" i="16"/>
  <c r="B317" i="17"/>
  <c r="B157" i="17"/>
  <c r="B328" i="18"/>
  <c r="B317" i="13"/>
  <c r="B157" i="15"/>
  <c r="B317" i="12"/>
  <c r="B157" i="13"/>
  <c r="B157" i="18"/>
  <c r="B157" i="12"/>
  <c r="B157" i="9"/>
  <c r="B157" i="14"/>
  <c r="T143" i="1"/>
  <c r="T148" i="1" s="1"/>
  <c r="AC148" i="1"/>
  <c r="R143" i="1"/>
  <c r="O148" i="1"/>
  <c r="D158" i="37" l="1"/>
  <c r="D8" i="39"/>
  <c r="D11" i="39"/>
  <c r="D29" i="39"/>
  <c r="D7" i="39"/>
  <c r="D32" i="39"/>
  <c r="Z58" i="1"/>
  <c r="A158" i="37"/>
  <c r="N182" i="31"/>
  <c r="U182" i="31" s="1"/>
  <c r="Z473" i="1"/>
  <c r="N146" i="31" s="1"/>
  <c r="Z101" i="1"/>
  <c r="H30" i="31" s="1"/>
  <c r="Z472" i="1"/>
  <c r="N145" i="31" s="1"/>
  <c r="Z471" i="1"/>
  <c r="N144" i="31" s="1"/>
  <c r="Z102" i="1"/>
  <c r="H31" i="31" s="1"/>
  <c r="Z106" i="1"/>
  <c r="N29" i="31" s="1"/>
  <c r="Z475" i="1"/>
  <c r="N148" i="31" s="1"/>
  <c r="Z477" i="1"/>
  <c r="N150" i="31" s="1"/>
  <c r="Z476" i="1"/>
  <c r="N149" i="31" s="1"/>
  <c r="Z222" i="1"/>
  <c r="H62" i="31" s="1"/>
  <c r="Z104" i="1"/>
  <c r="H33" i="31" s="1"/>
  <c r="Z478" i="1"/>
  <c r="N151" i="31" s="1"/>
  <c r="T182" i="31"/>
  <c r="AB471" i="1"/>
  <c r="P144" i="31" s="1"/>
  <c r="I212" i="31"/>
  <c r="S182" i="31"/>
  <c r="R182" i="31"/>
  <c r="Q182" i="31"/>
  <c r="P182" i="31"/>
  <c r="AA19" i="31"/>
  <c r="X18" i="31"/>
  <c r="R29" i="31"/>
  <c r="U29" i="31"/>
  <c r="V29" i="31"/>
  <c r="AB474" i="1"/>
  <c r="P147" i="31" s="1"/>
  <c r="K65" i="31"/>
  <c r="AA231" i="1"/>
  <c r="AB231" i="1" s="1"/>
  <c r="P65" i="31" s="1"/>
  <c r="K66" i="31"/>
  <c r="AA232" i="1"/>
  <c r="AB232" i="1" s="1"/>
  <c r="P66" i="31" s="1"/>
  <c r="E141" i="30"/>
  <c r="F141" i="30" s="1"/>
  <c r="G141" i="30" s="1"/>
  <c r="J42" i="31"/>
  <c r="J40" i="31"/>
  <c r="E40" i="31"/>
  <c r="E189" i="31" s="1"/>
  <c r="AA143" i="1"/>
  <c r="AB143" i="1" s="1"/>
  <c r="O40" i="31" s="1"/>
  <c r="J43" i="31"/>
  <c r="J41" i="31"/>
  <c r="K63" i="31"/>
  <c r="AA229" i="1"/>
  <c r="J44" i="31"/>
  <c r="K64" i="31"/>
  <c r="AA230" i="1"/>
  <c r="AB230" i="1" s="1"/>
  <c r="P64" i="31" s="1"/>
  <c r="AB470" i="1"/>
  <c r="P143" i="31" s="1"/>
  <c r="S143" i="31"/>
  <c r="Q143" i="31"/>
  <c r="E148" i="30" s="1"/>
  <c r="F148" i="30" s="1"/>
  <c r="G148" i="30" s="1"/>
  <c r="S147" i="31"/>
  <c r="Q147" i="31"/>
  <c r="E149" i="30" s="1"/>
  <c r="F149" i="30" s="1"/>
  <c r="G149" i="30" s="1"/>
  <c r="AB476" i="1"/>
  <c r="P149" i="31" s="1"/>
  <c r="AB478" i="1"/>
  <c r="P151" i="31" s="1"/>
  <c r="AB477" i="1"/>
  <c r="P150" i="31" s="1"/>
  <c r="AB228" i="1"/>
  <c r="P62" i="31" s="1"/>
  <c r="AA481" i="1"/>
  <c r="AB475" i="1"/>
  <c r="P148" i="31" s="1"/>
  <c r="AB479" i="1"/>
  <c r="P152" i="31" s="1"/>
  <c r="AB473" i="1"/>
  <c r="P146" i="31" s="1"/>
  <c r="R148" i="1"/>
  <c r="R234" i="1"/>
  <c r="H149" i="1"/>
  <c r="I40" i="31" s="1"/>
  <c r="Q155" i="1"/>
  <c r="Q153" i="1" s="1"/>
  <c r="R153" i="1" s="1"/>
  <c r="AD131" i="1"/>
  <c r="AD133" i="1" s="1"/>
  <c r="O131" i="1"/>
  <c r="D38" i="31" s="1"/>
  <c r="D188" i="31" s="1"/>
  <c r="O155" i="1"/>
  <c r="N310" i="1"/>
  <c r="O310" i="1" s="1"/>
  <c r="N312" i="1"/>
  <c r="O312" i="1" s="1"/>
  <c r="N311" i="1"/>
  <c r="O311" i="1" s="1"/>
  <c r="M234" i="1"/>
  <c r="J149" i="1"/>
  <c r="M481" i="1"/>
  <c r="J153" i="1"/>
  <c r="H153" i="1"/>
  <c r="H151" i="1"/>
  <c r="I42" i="31" s="1"/>
  <c r="J151" i="1"/>
  <c r="H150" i="1"/>
  <c r="I41" i="31" s="1"/>
  <c r="J150" i="1"/>
  <c r="J152" i="1"/>
  <c r="H152" i="1"/>
  <c r="P310" i="1"/>
  <c r="P312" i="1"/>
  <c r="P311" i="1"/>
  <c r="E378" i="1"/>
  <c r="E375" i="1"/>
  <c r="T307" i="1"/>
  <c r="T309" i="1" s="1"/>
  <c r="R307" i="1"/>
  <c r="AC309" i="1"/>
  <c r="O309" i="1"/>
  <c r="AE309" i="1"/>
  <c r="T155" i="1"/>
  <c r="T153" i="1" s="1"/>
  <c r="D158" i="6"/>
  <c r="B158" i="10"/>
  <c r="B158" i="11"/>
  <c r="B158" i="20"/>
  <c r="B318" i="12"/>
  <c r="B158" i="12"/>
  <c r="B318" i="13"/>
  <c r="B158" i="13"/>
  <c r="B158" i="14"/>
  <c r="B158" i="15"/>
  <c r="B158" i="18"/>
  <c r="B158" i="16"/>
  <c r="B318" i="17"/>
  <c r="B158" i="17"/>
  <c r="B329" i="18"/>
  <c r="B158" i="9"/>
  <c r="AE131" i="1"/>
  <c r="AC131" i="1"/>
  <c r="S131" i="1" s="1"/>
  <c r="S135" i="1" s="1"/>
  <c r="AO131" i="1"/>
  <c r="C131" i="1" s="1"/>
  <c r="AF131" i="1"/>
  <c r="AF133" i="1" s="1"/>
  <c r="P131" i="1"/>
  <c r="P133" i="1" s="1"/>
  <c r="AP29" i="39" l="1"/>
  <c r="C29" i="39" s="1"/>
  <c r="AH29" i="39"/>
  <c r="AG29" i="39"/>
  <c r="AF8" i="39"/>
  <c r="AD8" i="39"/>
  <c r="AD11" i="39"/>
  <c r="AE8" i="39"/>
  <c r="AC11" i="39"/>
  <c r="AE11" i="39"/>
  <c r="AC8" i="39"/>
  <c r="AF11" i="39"/>
  <c r="Y11" i="39"/>
  <c r="Y32" i="39" s="1"/>
  <c r="W11" i="39"/>
  <c r="X11" i="39" s="1"/>
  <c r="X32" i="39" s="1"/>
  <c r="AP11" i="39"/>
  <c r="AG11" i="39"/>
  <c r="O11" i="39" s="1"/>
  <c r="U11" i="39"/>
  <c r="V11" i="39" s="1"/>
  <c r="V32" i="39" s="1"/>
  <c r="AH11" i="39"/>
  <c r="C11" i="39"/>
  <c r="Z11" i="39"/>
  <c r="Z32" i="39" s="1"/>
  <c r="AH32" i="39"/>
  <c r="AG32" i="39"/>
  <c r="AP32" i="39"/>
  <c r="C32" i="39" s="1"/>
  <c r="U8" i="39"/>
  <c r="V8" i="39" s="1"/>
  <c r="V29" i="39" s="1"/>
  <c r="AG8" i="39"/>
  <c r="O8" i="39" s="1"/>
  <c r="W8" i="39"/>
  <c r="X8" i="39" s="1"/>
  <c r="X29" i="39" s="1"/>
  <c r="AP8" i="39"/>
  <c r="AH8" i="39"/>
  <c r="C8" i="39"/>
  <c r="Y8" i="39"/>
  <c r="Y29" i="39" s="1"/>
  <c r="Z8" i="39"/>
  <c r="Z29" i="39" s="1"/>
  <c r="AG7" i="39"/>
  <c r="Y7" i="39"/>
  <c r="C7" i="39"/>
  <c r="W7" i="39"/>
  <c r="X7" i="39" s="1"/>
  <c r="U7" i="39"/>
  <c r="V7" i="39" s="1"/>
  <c r="AP7" i="39"/>
  <c r="AH7" i="39"/>
  <c r="Z7" i="39"/>
  <c r="J12" i="38"/>
  <c r="H12" i="38"/>
  <c r="K12" i="38"/>
  <c r="L12" i="38"/>
  <c r="F12" i="38"/>
  <c r="I12" i="38"/>
  <c r="D12" i="38"/>
  <c r="E12" i="38"/>
  <c r="C12" i="38"/>
  <c r="B12" i="38"/>
  <c r="X186" i="31"/>
  <c r="C31" i="33"/>
  <c r="F31" i="38"/>
  <c r="G7" i="38" s="1"/>
  <c r="H186" i="31"/>
  <c r="Z228" i="1"/>
  <c r="N62" i="31" s="1"/>
  <c r="Z107" i="1"/>
  <c r="N30" i="31" s="1"/>
  <c r="Z105" i="1"/>
  <c r="Z108" i="1"/>
  <c r="N31" i="31" s="1"/>
  <c r="Z474" i="1"/>
  <c r="N147" i="31" s="1"/>
  <c r="Z470" i="1"/>
  <c r="N143" i="31" s="1"/>
  <c r="Z479" i="1"/>
  <c r="N152" i="31" s="1"/>
  <c r="Z110" i="1"/>
  <c r="N33" i="31" s="1"/>
  <c r="P212" i="31"/>
  <c r="J189" i="31"/>
  <c r="E57" i="30"/>
  <c r="F57" i="30" s="1"/>
  <c r="G57" i="30" s="1"/>
  <c r="K194" i="31"/>
  <c r="S64" i="31"/>
  <c r="E102" i="30"/>
  <c r="F102" i="30" s="1"/>
  <c r="G102" i="30" s="1"/>
  <c r="S66" i="31"/>
  <c r="E45" i="30"/>
  <c r="F45" i="30" s="1"/>
  <c r="G45" i="30" s="1"/>
  <c r="S65" i="31"/>
  <c r="E98" i="30"/>
  <c r="F98" i="30" s="1"/>
  <c r="G98" i="30" s="1"/>
  <c r="V182" i="31"/>
  <c r="AA29" i="31"/>
  <c r="AA20" i="31"/>
  <c r="X20" i="31" s="1"/>
  <c r="X19" i="31"/>
  <c r="R65" i="31"/>
  <c r="U65" i="31"/>
  <c r="R62" i="31"/>
  <c r="U62" i="31"/>
  <c r="R64" i="31"/>
  <c r="U64" i="31"/>
  <c r="R66" i="31"/>
  <c r="U66" i="31"/>
  <c r="AA153" i="1"/>
  <c r="S63" i="31"/>
  <c r="Q40" i="31"/>
  <c r="E84" i="31"/>
  <c r="E200" i="31" s="1"/>
  <c r="AA307" i="1"/>
  <c r="AB307" i="1" s="1"/>
  <c r="O84" i="31" s="1"/>
  <c r="J84" i="31"/>
  <c r="J85" i="31"/>
  <c r="J83" i="31"/>
  <c r="K44" i="31"/>
  <c r="E65" i="30" s="1"/>
  <c r="F65" i="30" s="1"/>
  <c r="G65" i="30" s="1"/>
  <c r="M152" i="1"/>
  <c r="I43" i="31"/>
  <c r="M153" i="1"/>
  <c r="I44" i="31"/>
  <c r="AB481" i="1"/>
  <c r="M149" i="1"/>
  <c r="AA234" i="1"/>
  <c r="AB234" i="1" s="1"/>
  <c r="R309" i="1"/>
  <c r="M151" i="1"/>
  <c r="M150" i="1"/>
  <c r="AB229" i="1"/>
  <c r="P63" i="31" s="1"/>
  <c r="V62" i="31" s="1"/>
  <c r="Q149" i="1"/>
  <c r="R149" i="1" s="1"/>
  <c r="Q152" i="1"/>
  <c r="R152" i="1" s="1"/>
  <c r="Q150" i="1"/>
  <c r="R150" i="1" s="1"/>
  <c r="Q151" i="1"/>
  <c r="R151" i="1" s="1"/>
  <c r="Q314" i="1"/>
  <c r="Q311" i="1" s="1"/>
  <c r="R311" i="1" s="1"/>
  <c r="K84" i="31" s="1"/>
  <c r="AD375" i="1"/>
  <c r="O375" i="1"/>
  <c r="D100" i="31" s="1"/>
  <c r="P381" i="1"/>
  <c r="N381" i="1"/>
  <c r="N136" i="1"/>
  <c r="O136" i="1" s="1"/>
  <c r="N134" i="1"/>
  <c r="O134" i="1" s="1"/>
  <c r="N135" i="1"/>
  <c r="O135" i="1" s="1"/>
  <c r="O314" i="1"/>
  <c r="J155" i="1"/>
  <c r="J310" i="1"/>
  <c r="H310" i="1"/>
  <c r="H312" i="1"/>
  <c r="J312" i="1"/>
  <c r="H155" i="1"/>
  <c r="J311" i="1"/>
  <c r="H311" i="1"/>
  <c r="T150" i="1"/>
  <c r="P136" i="1"/>
  <c r="P134" i="1"/>
  <c r="P135" i="1"/>
  <c r="T149" i="1"/>
  <c r="T151" i="1"/>
  <c r="T152" i="1"/>
  <c r="E379" i="1"/>
  <c r="AO379" i="1" s="1"/>
  <c r="C379" i="1" s="1"/>
  <c r="E376" i="1"/>
  <c r="P375" i="1"/>
  <c r="AO375" i="1"/>
  <c r="C375" i="1" s="1"/>
  <c r="AE375" i="1"/>
  <c r="AF375" i="1"/>
  <c r="AC375" i="1"/>
  <c r="S375" i="1" s="1"/>
  <c r="S378" i="1" s="1"/>
  <c r="AO378" i="1"/>
  <c r="C378" i="1" s="1"/>
  <c r="T314" i="1"/>
  <c r="T311" i="1" s="1"/>
  <c r="O133" i="1"/>
  <c r="AE133" i="1"/>
  <c r="T131" i="1"/>
  <c r="T133" i="1" s="1"/>
  <c r="R131" i="1"/>
  <c r="AC133" i="1"/>
  <c r="AA148" i="1"/>
  <c r="AB148" i="1" s="1"/>
  <c r="AD27" i="39" l="1"/>
  <c r="R11" i="39"/>
  <c r="Y28" i="39"/>
  <c r="Y49" i="39" s="1"/>
  <c r="Y27" i="39"/>
  <c r="T11" i="39"/>
  <c r="S11" i="39"/>
  <c r="S32" i="39" s="1"/>
  <c r="AF27" i="39"/>
  <c r="V28" i="39"/>
  <c r="V49" i="39" s="1"/>
  <c r="V27" i="39"/>
  <c r="O7" i="39"/>
  <c r="AG27" i="39"/>
  <c r="AE27" i="39"/>
  <c r="Z28" i="39"/>
  <c r="Z49" i="39" s="1"/>
  <c r="Z27" i="39"/>
  <c r="X28" i="39"/>
  <c r="X49" i="39" s="1"/>
  <c r="X27" i="39"/>
  <c r="T8" i="39"/>
  <c r="T27" i="39" s="1"/>
  <c r="S8" i="39"/>
  <c r="S29" i="39" s="1"/>
  <c r="R8" i="39"/>
  <c r="AC27" i="39"/>
  <c r="J29" i="39" s="1"/>
  <c r="AH27" i="39"/>
  <c r="R7" i="39"/>
  <c r="R27" i="39" s="1"/>
  <c r="X194" i="31"/>
  <c r="C12" i="33"/>
  <c r="G12" i="38"/>
  <c r="G9" i="38"/>
  <c r="G11" i="38"/>
  <c r="G10" i="38"/>
  <c r="G8" i="38"/>
  <c r="N212" i="31"/>
  <c r="U212" i="31" s="1"/>
  <c r="V212" i="31" s="1"/>
  <c r="N186" i="31"/>
  <c r="Z112" i="1"/>
  <c r="Z481" i="1"/>
  <c r="Z225" i="1"/>
  <c r="H65" i="31" s="1"/>
  <c r="Z147" i="1"/>
  <c r="H44" i="31" s="1"/>
  <c r="Z226" i="1"/>
  <c r="H66" i="31" s="1"/>
  <c r="Z223" i="1"/>
  <c r="H63" i="31" s="1"/>
  <c r="Z224" i="1"/>
  <c r="H64" i="31" s="1"/>
  <c r="I189" i="31"/>
  <c r="J200" i="31"/>
  <c r="P186" i="31"/>
  <c r="U186" i="31"/>
  <c r="T186" i="31"/>
  <c r="R186" i="31"/>
  <c r="Q186" i="31"/>
  <c r="S186" i="31"/>
  <c r="X29" i="31"/>
  <c r="AA30" i="31"/>
  <c r="AA62" i="31"/>
  <c r="R63" i="31"/>
  <c r="U63" i="31"/>
  <c r="Q84" i="31"/>
  <c r="E123" i="30" s="1"/>
  <c r="F123" i="30" s="1"/>
  <c r="G123" i="30" s="1"/>
  <c r="J38" i="31"/>
  <c r="E38" i="31"/>
  <c r="E188" i="31" s="1"/>
  <c r="AA131" i="1"/>
  <c r="AB131" i="1" s="1"/>
  <c r="O38" i="31" s="1"/>
  <c r="J39" i="31"/>
  <c r="K42" i="31"/>
  <c r="AA151" i="1"/>
  <c r="AB151" i="1" s="1"/>
  <c r="P42" i="31" s="1"/>
  <c r="K41" i="31"/>
  <c r="AA150" i="1"/>
  <c r="AB150" i="1" s="1"/>
  <c r="P41" i="31" s="1"/>
  <c r="AA311" i="1"/>
  <c r="K43" i="31"/>
  <c r="AA152" i="1"/>
  <c r="AB152" i="1" s="1"/>
  <c r="P43" i="31" s="1"/>
  <c r="J37" i="31"/>
  <c r="K40" i="31"/>
  <c r="AA149" i="1"/>
  <c r="S44" i="31"/>
  <c r="AB153" i="1"/>
  <c r="P44" i="31" s="1"/>
  <c r="M311" i="1"/>
  <c r="I84" i="31"/>
  <c r="S84" i="31" s="1"/>
  <c r="M312" i="1"/>
  <c r="I85" i="31"/>
  <c r="M310" i="1"/>
  <c r="I83" i="31"/>
  <c r="R133" i="1"/>
  <c r="R155" i="1"/>
  <c r="Q310" i="1"/>
  <c r="R310" i="1" s="1"/>
  <c r="Q138" i="1"/>
  <c r="Q136" i="1" s="1"/>
  <c r="R136" i="1" s="1"/>
  <c r="K39" i="31" s="1"/>
  <c r="Q312" i="1"/>
  <c r="R312" i="1" s="1"/>
  <c r="AD376" i="1"/>
  <c r="AD377" i="1" s="1"/>
  <c r="N378" i="1" s="1"/>
  <c r="O378" i="1" s="1"/>
  <c r="O376" i="1"/>
  <c r="D101" i="31" s="1"/>
  <c r="D205" i="31" s="1"/>
  <c r="O138" i="1"/>
  <c r="M155" i="1"/>
  <c r="H314" i="1"/>
  <c r="H136" i="1"/>
  <c r="I39" i="31" s="1"/>
  <c r="J136" i="1"/>
  <c r="J134" i="1"/>
  <c r="H134" i="1"/>
  <c r="J135" i="1"/>
  <c r="H135" i="1"/>
  <c r="J314" i="1"/>
  <c r="T312" i="1"/>
  <c r="T310" i="1"/>
  <c r="T375" i="1"/>
  <c r="R375" i="1"/>
  <c r="P376" i="1"/>
  <c r="P377" i="1" s="1"/>
  <c r="AF376" i="1"/>
  <c r="AF377" i="1" s="1"/>
  <c r="AE376" i="1"/>
  <c r="AE377" i="1" s="1"/>
  <c r="AC376" i="1"/>
  <c r="S376" i="1" s="1"/>
  <c r="S379" i="1" s="1"/>
  <c r="AO376" i="1"/>
  <c r="C376" i="1" s="1"/>
  <c r="AA309" i="1"/>
  <c r="AB309" i="1" s="1"/>
  <c r="T138" i="1"/>
  <c r="T136" i="1" s="1"/>
  <c r="AA11" i="39" l="1"/>
  <c r="AB11" i="39" s="1"/>
  <c r="AA8" i="39"/>
  <c r="AB8" i="39" s="1"/>
  <c r="H42" i="39"/>
  <c r="H45" i="39"/>
  <c r="H43" i="39"/>
  <c r="H36" i="39"/>
  <c r="H34" i="39"/>
  <c r="H37" i="39"/>
  <c r="H39" i="39"/>
  <c r="H47" i="39"/>
  <c r="H41" i="39"/>
  <c r="H44" i="39"/>
  <c r="H35" i="39"/>
  <c r="H46" i="39"/>
  <c r="H38" i="39"/>
  <c r="H40" i="39"/>
  <c r="J42" i="39"/>
  <c r="M42" i="39" s="1"/>
  <c r="J34" i="39"/>
  <c r="J39" i="39"/>
  <c r="J43" i="39"/>
  <c r="J36" i="39"/>
  <c r="M36" i="39" s="1"/>
  <c r="J41" i="39"/>
  <c r="J37" i="39"/>
  <c r="J44" i="39"/>
  <c r="M44" i="39" s="1"/>
  <c r="J40" i="39"/>
  <c r="J46" i="39"/>
  <c r="M46" i="39" s="1"/>
  <c r="J35" i="39"/>
  <c r="J45" i="39"/>
  <c r="M45" i="39" s="1"/>
  <c r="J38" i="39"/>
  <c r="M38" i="39" s="1"/>
  <c r="J47" i="39"/>
  <c r="M47" i="39" s="1"/>
  <c r="J28" i="39"/>
  <c r="H33" i="39"/>
  <c r="H30" i="39"/>
  <c r="J33" i="39"/>
  <c r="H31" i="39"/>
  <c r="J30" i="39"/>
  <c r="J31" i="39"/>
  <c r="M31" i="39" s="1"/>
  <c r="H28" i="39"/>
  <c r="O27" i="39"/>
  <c r="AA7" i="39"/>
  <c r="J32" i="39"/>
  <c r="H29" i="39"/>
  <c r="M29" i="39" s="1"/>
  <c r="H32" i="39"/>
  <c r="H194" i="31"/>
  <c r="G31" i="38"/>
  <c r="L31" i="38"/>
  <c r="L33" i="38" s="1"/>
  <c r="L35" i="38" s="1"/>
  <c r="K31" i="38"/>
  <c r="K33" i="38" s="1"/>
  <c r="K35" i="38" s="1"/>
  <c r="I31" i="38"/>
  <c r="I33" i="38" s="1"/>
  <c r="I35" i="38" s="1"/>
  <c r="J31" i="38"/>
  <c r="J33" i="38" s="1"/>
  <c r="J35" i="38" s="1"/>
  <c r="H31" i="38"/>
  <c r="H33" i="38" s="1"/>
  <c r="H35" i="38" s="1"/>
  <c r="Z229" i="1"/>
  <c r="N63" i="31" s="1"/>
  <c r="Z231" i="1"/>
  <c r="N65" i="31" s="1"/>
  <c r="Z153" i="1"/>
  <c r="N44" i="31" s="1"/>
  <c r="Z230" i="1"/>
  <c r="N64" i="31" s="1"/>
  <c r="Z307" i="1"/>
  <c r="H84" i="31" s="1"/>
  <c r="Z232" i="1"/>
  <c r="N66" i="31" s="1"/>
  <c r="Z227" i="1"/>
  <c r="S194" i="31"/>
  <c r="T194" i="31"/>
  <c r="J188" i="31"/>
  <c r="E146" i="30"/>
  <c r="F146" i="30" s="1"/>
  <c r="G146" i="30" s="1"/>
  <c r="K189" i="31"/>
  <c r="I200" i="31"/>
  <c r="E90" i="30"/>
  <c r="F90" i="30" s="1"/>
  <c r="G90" i="30" s="1"/>
  <c r="S43" i="31"/>
  <c r="E93" i="30"/>
  <c r="F93" i="30" s="1"/>
  <c r="G93" i="30" s="1"/>
  <c r="S42" i="31"/>
  <c r="E129" i="30"/>
  <c r="F129" i="30" s="1"/>
  <c r="G129" i="30" s="1"/>
  <c r="S41" i="31"/>
  <c r="E107" i="30"/>
  <c r="F107" i="30" s="1"/>
  <c r="G107" i="30" s="1"/>
  <c r="AB311" i="1"/>
  <c r="P84" i="31" s="1"/>
  <c r="U84" i="31" s="1"/>
  <c r="V186" i="31"/>
  <c r="AA63" i="31"/>
  <c r="X62" i="31"/>
  <c r="Q194" i="31"/>
  <c r="R194" i="31"/>
  <c r="X30" i="31"/>
  <c r="AA31" i="31"/>
  <c r="P194" i="31"/>
  <c r="R44" i="31"/>
  <c r="U44" i="31"/>
  <c r="R41" i="31"/>
  <c r="U41" i="31"/>
  <c r="R42" i="31"/>
  <c r="U42" i="31"/>
  <c r="R43" i="31"/>
  <c r="U43" i="31"/>
  <c r="AA310" i="1"/>
  <c r="AB310" i="1" s="1"/>
  <c r="P83" i="31" s="1"/>
  <c r="S40" i="31"/>
  <c r="AA375" i="1"/>
  <c r="AB375" i="1" s="1"/>
  <c r="O100" i="31" s="1"/>
  <c r="Q38" i="31"/>
  <c r="AA136" i="1"/>
  <c r="J100" i="31"/>
  <c r="K85" i="31"/>
  <c r="AA312" i="1"/>
  <c r="AB312" i="1" s="1"/>
  <c r="P85" i="31" s="1"/>
  <c r="S39" i="31"/>
  <c r="O377" i="1"/>
  <c r="E100" i="31"/>
  <c r="K83" i="31"/>
  <c r="M135" i="1"/>
  <c r="I38" i="31"/>
  <c r="M134" i="1"/>
  <c r="I37" i="31"/>
  <c r="M136" i="1"/>
  <c r="AA155" i="1"/>
  <c r="AB155" i="1" s="1"/>
  <c r="AB149" i="1"/>
  <c r="P40" i="31" s="1"/>
  <c r="R314" i="1"/>
  <c r="Q135" i="1"/>
  <c r="R135" i="1" s="1"/>
  <c r="Q134" i="1"/>
  <c r="R134" i="1" s="1"/>
  <c r="M314" i="1"/>
  <c r="N379" i="1"/>
  <c r="O379" i="1" s="1"/>
  <c r="H138" i="1"/>
  <c r="J138" i="1"/>
  <c r="P378" i="1"/>
  <c r="T135" i="1"/>
  <c r="T134" i="1"/>
  <c r="P379" i="1"/>
  <c r="T376" i="1"/>
  <c r="T377" i="1" s="1"/>
  <c r="R376" i="1"/>
  <c r="AC377" i="1"/>
  <c r="AA133" i="1"/>
  <c r="AB133" i="1" s="1"/>
  <c r="M41" i="39" l="1"/>
  <c r="M34" i="39"/>
  <c r="M43" i="39"/>
  <c r="M30" i="39"/>
  <c r="M32" i="39"/>
  <c r="H49" i="39"/>
  <c r="M28" i="39"/>
  <c r="M33" i="39"/>
  <c r="AA27" i="39"/>
  <c r="AB27" i="39" s="1"/>
  <c r="AB7" i="39"/>
  <c r="M40" i="39"/>
  <c r="J49" i="39"/>
  <c r="M35" i="39"/>
  <c r="M37" i="39"/>
  <c r="M39" i="39"/>
  <c r="N194" i="31"/>
  <c r="U194" i="31" s="1"/>
  <c r="V194" i="31" s="1"/>
  <c r="H37" i="38"/>
  <c r="AB136" i="1"/>
  <c r="P39" i="31" s="1"/>
  <c r="R39" i="31" s="1"/>
  <c r="Z311" i="1"/>
  <c r="N84" i="31" s="1"/>
  <c r="Z234" i="1"/>
  <c r="Z146" i="1"/>
  <c r="H43" i="31" s="1"/>
  <c r="Z143" i="1"/>
  <c r="H40" i="31" s="1"/>
  <c r="Z145" i="1"/>
  <c r="H42" i="31" s="1"/>
  <c r="Z144" i="1"/>
  <c r="H41" i="31" s="1"/>
  <c r="Z132" i="1"/>
  <c r="H39" i="31" s="1"/>
  <c r="E70" i="30"/>
  <c r="F70" i="30" s="1"/>
  <c r="G70" i="30" s="1"/>
  <c r="K200" i="31"/>
  <c r="I188" i="31"/>
  <c r="S85" i="31"/>
  <c r="E34" i="30"/>
  <c r="F34" i="30" s="1"/>
  <c r="G34" i="30" s="1"/>
  <c r="R84" i="31"/>
  <c r="AA32" i="31"/>
  <c r="X31" i="31"/>
  <c r="AA64" i="31"/>
  <c r="X63" i="31"/>
  <c r="R85" i="31"/>
  <c r="U85" i="31"/>
  <c r="R40" i="31"/>
  <c r="V40" i="31"/>
  <c r="U40" i="31"/>
  <c r="R83" i="31"/>
  <c r="V83" i="31"/>
  <c r="U83" i="31"/>
  <c r="S83" i="31"/>
  <c r="Q100" i="31"/>
  <c r="J101" i="31"/>
  <c r="J205" i="31" s="1"/>
  <c r="K38" i="31"/>
  <c r="S38" i="31" s="1"/>
  <c r="AA135" i="1"/>
  <c r="AB135" i="1" s="1"/>
  <c r="P38" i="31" s="1"/>
  <c r="E101" i="31"/>
  <c r="Q101" i="31" s="1"/>
  <c r="AA376" i="1"/>
  <c r="AB376" i="1" s="1"/>
  <c r="O101" i="31" s="1"/>
  <c r="K37" i="31"/>
  <c r="AA134" i="1"/>
  <c r="AA314" i="1"/>
  <c r="AB314" i="1" s="1"/>
  <c r="O381" i="1"/>
  <c r="R138" i="1"/>
  <c r="J379" i="1"/>
  <c r="Q381" i="1"/>
  <c r="Q378" i="1" s="1"/>
  <c r="R378" i="1" s="1"/>
  <c r="M138" i="1"/>
  <c r="H379" i="1"/>
  <c r="I101" i="31" s="1"/>
  <c r="J378" i="1"/>
  <c r="H378" i="1"/>
  <c r="I100" i="31" s="1"/>
  <c r="T381" i="1"/>
  <c r="T378" i="1" s="1"/>
  <c r="R377" i="1"/>
  <c r="M49" i="39" l="1"/>
  <c r="X189" i="31"/>
  <c r="C19" i="33"/>
  <c r="X200" i="31"/>
  <c r="C11" i="33"/>
  <c r="Z151" i="1"/>
  <c r="N42" i="31" s="1"/>
  <c r="U39" i="31"/>
  <c r="Z136" i="1"/>
  <c r="N39" i="31" s="1"/>
  <c r="H189" i="31"/>
  <c r="Z150" i="1"/>
  <c r="N41" i="31" s="1"/>
  <c r="Z152" i="1"/>
  <c r="N43" i="31" s="1"/>
  <c r="Z148" i="1"/>
  <c r="Z306" i="1"/>
  <c r="H83" i="31" s="1"/>
  <c r="Z149" i="1"/>
  <c r="N40" i="31" s="1"/>
  <c r="Z308" i="1"/>
  <c r="H85" i="31" s="1"/>
  <c r="E205" i="31"/>
  <c r="K188" i="31"/>
  <c r="I205" i="31"/>
  <c r="E115" i="30"/>
  <c r="F115" i="30" s="1"/>
  <c r="G115" i="30" s="1"/>
  <c r="E128" i="30"/>
  <c r="F128" i="30" s="1"/>
  <c r="G128" i="30" s="1"/>
  <c r="AA83" i="31"/>
  <c r="AA65" i="31"/>
  <c r="X64" i="31"/>
  <c r="AA40" i="31"/>
  <c r="AA33" i="31"/>
  <c r="X33" i="31" s="1"/>
  <c r="X32" i="31"/>
  <c r="Q164" i="31"/>
  <c r="R38" i="31"/>
  <c r="U38" i="31"/>
  <c r="Q167" i="31"/>
  <c r="S37" i="31"/>
  <c r="Q162" i="31"/>
  <c r="K100" i="31"/>
  <c r="AA378" i="1"/>
  <c r="Q171" i="31"/>
  <c r="M378" i="1"/>
  <c r="J381" i="1"/>
  <c r="M379" i="1"/>
  <c r="AA138" i="1"/>
  <c r="AB138" i="1" s="1"/>
  <c r="AB134" i="1"/>
  <c r="P37" i="31" s="1"/>
  <c r="Q379" i="1"/>
  <c r="R379" i="1" s="1"/>
  <c r="H381" i="1"/>
  <c r="T379" i="1"/>
  <c r="AA377" i="1"/>
  <c r="AB377" i="1" s="1"/>
  <c r="H200" i="31" l="1"/>
  <c r="Z312" i="1"/>
  <c r="N189" i="31"/>
  <c r="U189" i="31" s="1"/>
  <c r="Z155" i="1"/>
  <c r="Z309" i="1"/>
  <c r="Z130" i="1"/>
  <c r="H37" i="31" s="1"/>
  <c r="Z131" i="1"/>
  <c r="Z135" i="1" s="1"/>
  <c r="N38" i="31" s="1"/>
  <c r="Z310" i="1"/>
  <c r="N83" i="31" s="1"/>
  <c r="P200" i="31"/>
  <c r="T200" i="31"/>
  <c r="P189" i="31"/>
  <c r="T189" i="31"/>
  <c r="S100" i="31"/>
  <c r="N85" i="31"/>
  <c r="E143" i="30"/>
  <c r="F143" i="30" s="1"/>
  <c r="G143" i="30" s="1"/>
  <c r="Q200" i="31"/>
  <c r="R200" i="31"/>
  <c r="S200" i="31"/>
  <c r="AA41" i="31"/>
  <c r="X40" i="31"/>
  <c r="S189" i="31"/>
  <c r="Q189" i="31"/>
  <c r="R189" i="31"/>
  <c r="AA66" i="31"/>
  <c r="X66" i="31" s="1"/>
  <c r="X65" i="31"/>
  <c r="AA84" i="31"/>
  <c r="X83" i="31"/>
  <c r="R37" i="31"/>
  <c r="V37" i="31"/>
  <c r="U37" i="31"/>
  <c r="K101" i="31"/>
  <c r="K205" i="31" s="1"/>
  <c r="AA379" i="1"/>
  <c r="AB379" i="1" s="1"/>
  <c r="P101" i="31" s="1"/>
  <c r="M381" i="1"/>
  <c r="R381" i="1"/>
  <c r="AB378" i="1"/>
  <c r="P100" i="31" s="1"/>
  <c r="M15" i="1"/>
  <c r="AB15" i="1" s="1"/>
  <c r="P10" i="31" s="1"/>
  <c r="M14" i="1"/>
  <c r="AB14" i="1" s="1"/>
  <c r="P9" i="31" s="1"/>
  <c r="M12" i="1"/>
  <c r="AB12" i="1" s="1"/>
  <c r="P7" i="31" s="1"/>
  <c r="H17" i="1"/>
  <c r="M13" i="1"/>
  <c r="AB13" i="1" s="1"/>
  <c r="P8" i="31" s="1"/>
  <c r="X188" i="31" l="1"/>
  <c r="C22" i="33"/>
  <c r="N200" i="31"/>
  <c r="U200" i="31" s="1"/>
  <c r="V200" i="31" s="1"/>
  <c r="Z314" i="1"/>
  <c r="Z134" i="1"/>
  <c r="N37" i="31" s="1"/>
  <c r="N188" i="31" s="1"/>
  <c r="Z375" i="1"/>
  <c r="H100" i="31" s="1"/>
  <c r="H38" i="31"/>
  <c r="H188" i="31" s="1"/>
  <c r="Z133" i="1"/>
  <c r="Z138" i="1"/>
  <c r="S101" i="31"/>
  <c r="S162" i="31" s="1"/>
  <c r="R163" i="31" s="1"/>
  <c r="E112" i="30"/>
  <c r="F112" i="30" s="1"/>
  <c r="G112" i="30" s="1"/>
  <c r="V189" i="31"/>
  <c r="AA37" i="31"/>
  <c r="AA42" i="31"/>
  <c r="X41" i="31"/>
  <c r="X84" i="31"/>
  <c r="AA85" i="31"/>
  <c r="X85" i="31" s="1"/>
  <c r="R101" i="31"/>
  <c r="U101" i="31"/>
  <c r="R100" i="31"/>
  <c r="V100" i="31"/>
  <c r="U100" i="31"/>
  <c r="R9" i="31"/>
  <c r="U9" i="31"/>
  <c r="R10" i="31"/>
  <c r="U10" i="31"/>
  <c r="R8" i="31"/>
  <c r="U8" i="31"/>
  <c r="R7" i="31"/>
  <c r="U7" i="31"/>
  <c r="V7" i="31"/>
  <c r="W7" i="31"/>
  <c r="S164" i="31"/>
  <c r="R165" i="31" s="1"/>
  <c r="AA381" i="1"/>
  <c r="AB381" i="1" s="1"/>
  <c r="M17" i="1"/>
  <c r="AB17" i="1" s="1"/>
  <c r="X205" i="31" l="1"/>
  <c r="C21" i="33"/>
  <c r="X179" i="31"/>
  <c r="C14" i="33"/>
  <c r="Z378" i="1"/>
  <c r="N100" i="31" s="1"/>
  <c r="Z376" i="1"/>
  <c r="H101" i="31" s="1"/>
  <c r="H205" i="31" s="1"/>
  <c r="P188" i="31"/>
  <c r="U188" i="31"/>
  <c r="T188" i="31"/>
  <c r="R172" i="31"/>
  <c r="R173" i="31" s="1"/>
  <c r="Q172" i="31"/>
  <c r="Q173" i="31" s="1"/>
  <c r="Q188" i="31"/>
  <c r="R188" i="31"/>
  <c r="S188" i="31"/>
  <c r="AA100" i="31"/>
  <c r="X42" i="31"/>
  <c r="AA43" i="31"/>
  <c r="AA38" i="31"/>
  <c r="X37" i="31"/>
  <c r="AA7" i="31"/>
  <c r="Q168" i="31"/>
  <c r="Q169" i="31" s="1"/>
  <c r="H415" i="1"/>
  <c r="M415" i="1"/>
  <c r="AB415" i="1" s="1"/>
  <c r="H45" i="1"/>
  <c r="Z379" i="1" l="1"/>
  <c r="Z381" i="1" s="1"/>
  <c r="Z377" i="1"/>
  <c r="P205" i="31"/>
  <c r="T205" i="31"/>
  <c r="T179" i="31"/>
  <c r="U179" i="31"/>
  <c r="V188" i="31"/>
  <c r="X7" i="31"/>
  <c r="AA8" i="31"/>
  <c r="AA101" i="31"/>
  <c r="X100" i="31"/>
  <c r="Q205" i="31"/>
  <c r="X38" i="31"/>
  <c r="AA39" i="31"/>
  <c r="X39" i="31" s="1"/>
  <c r="AA44" i="31"/>
  <c r="X44" i="31" s="1"/>
  <c r="X43" i="31"/>
  <c r="S205" i="31"/>
  <c r="R205" i="31"/>
  <c r="P179" i="31"/>
  <c r="Q179" i="31"/>
  <c r="R179" i="31"/>
  <c r="S179" i="31"/>
  <c r="M45" i="1"/>
  <c r="AB45" i="1" s="1"/>
  <c r="H465" i="1"/>
  <c r="M465" i="1"/>
  <c r="AB465" i="1" s="1"/>
  <c r="N101" i="31" l="1"/>
  <c r="N205" i="31" s="1"/>
  <c r="U205" i="31" s="1"/>
  <c r="U221" i="31" s="1"/>
  <c r="T221" i="31"/>
  <c r="R221" i="31"/>
  <c r="S221" i="31"/>
  <c r="Q221" i="31"/>
  <c r="P221" i="31"/>
  <c r="V179" i="31"/>
  <c r="AA102" i="31"/>
  <c r="X102" i="31" s="1"/>
  <c r="X101" i="31"/>
  <c r="AA9" i="31"/>
  <c r="X8" i="31"/>
  <c r="O17" i="1"/>
  <c r="V205" i="31" l="1"/>
  <c r="V221" i="31" s="1"/>
  <c r="AA10" i="31"/>
  <c r="X10" i="31" s="1"/>
  <c r="X9" i="31"/>
  <c r="Y166" i="31" s="1"/>
  <c r="P49" i="39" l="1"/>
  <c r="T49" i="39"/>
  <c r="Q49" i="39"/>
  <c r="D28" i="39"/>
  <c r="N49" i="39"/>
  <c r="N44" i="39" l="1"/>
  <c r="O44" i="39" s="1"/>
  <c r="N33" i="39"/>
  <c r="O33" i="39" s="1"/>
  <c r="N39" i="39"/>
  <c r="O39" i="39" s="1"/>
  <c r="N29" i="39"/>
  <c r="O29" i="39" s="1"/>
  <c r="N35" i="39"/>
  <c r="O35" i="39" s="1"/>
  <c r="N37" i="39"/>
  <c r="O37" i="39" s="1"/>
  <c r="N28" i="39"/>
  <c r="N42" i="39"/>
  <c r="O42" i="39" s="1"/>
  <c r="N32" i="39"/>
  <c r="O32" i="39" s="1"/>
  <c r="N47" i="39"/>
  <c r="O47" i="39" s="1"/>
  <c r="N36" i="39"/>
  <c r="O36" i="39" s="1"/>
  <c r="N38" i="39"/>
  <c r="O38" i="39" s="1"/>
  <c r="N34" i="39"/>
  <c r="O34" i="39" s="1"/>
  <c r="N30" i="39"/>
  <c r="O30" i="39" s="1"/>
  <c r="N43" i="39"/>
  <c r="O43" i="39" s="1"/>
  <c r="N31" i="39"/>
  <c r="O31" i="39" s="1"/>
  <c r="N45" i="39"/>
  <c r="O45" i="39" s="1"/>
  <c r="N41" i="39"/>
  <c r="O41" i="39" s="1"/>
  <c r="N46" i="39"/>
  <c r="O46" i="39" s="1"/>
  <c r="N40" i="39"/>
  <c r="O40" i="39" s="1"/>
  <c r="AP28" i="39"/>
  <c r="C28" i="39" s="1"/>
  <c r="AH28" i="39"/>
  <c r="AG28" i="39"/>
  <c r="O28" i="39" s="1"/>
  <c r="Q45" i="39"/>
  <c r="R45" i="39" s="1"/>
  <c r="Q30" i="39"/>
  <c r="R30" i="39" s="1"/>
  <c r="Q43" i="39"/>
  <c r="R43" i="39" s="1"/>
  <c r="Q40" i="39"/>
  <c r="R40" i="39" s="1"/>
  <c r="Q33" i="39"/>
  <c r="R33" i="39" s="1"/>
  <c r="Q46" i="39"/>
  <c r="R46" i="39" s="1"/>
  <c r="Q44" i="39"/>
  <c r="R44" i="39" s="1"/>
  <c r="Q41" i="39"/>
  <c r="R41" i="39" s="1"/>
  <c r="Q34" i="39"/>
  <c r="R34" i="39" s="1"/>
  <c r="Q29" i="39"/>
  <c r="R29" i="39" s="1"/>
  <c r="Q36" i="39"/>
  <c r="R36" i="39" s="1"/>
  <c r="Q28" i="39"/>
  <c r="Q37" i="39"/>
  <c r="R37" i="39" s="1"/>
  <c r="Q38" i="39"/>
  <c r="R38" i="39" s="1"/>
  <c r="Q32" i="39"/>
  <c r="R32" i="39" s="1"/>
  <c r="Q47" i="39"/>
  <c r="R47" i="39" s="1"/>
  <c r="Q39" i="39"/>
  <c r="R39" i="39" s="1"/>
  <c r="Q31" i="39"/>
  <c r="R31" i="39" s="1"/>
  <c r="Q42" i="39"/>
  <c r="R42" i="39" s="1"/>
  <c r="Q35" i="39"/>
  <c r="R35" i="39" s="1"/>
  <c r="T39" i="39"/>
  <c r="T46" i="39"/>
  <c r="T33" i="39"/>
  <c r="T41" i="39"/>
  <c r="T29" i="39"/>
  <c r="T44" i="39"/>
  <c r="T43" i="39"/>
  <c r="T35" i="39"/>
  <c r="T36" i="39"/>
  <c r="T30" i="39"/>
  <c r="T32" i="39"/>
  <c r="T31" i="39"/>
  <c r="T28" i="39"/>
  <c r="T38" i="39"/>
  <c r="T34" i="39"/>
  <c r="T40" i="39"/>
  <c r="T47" i="39"/>
  <c r="T37" i="39"/>
  <c r="T45" i="39"/>
  <c r="T42" i="39"/>
  <c r="P32" i="39"/>
  <c r="P28" i="39"/>
  <c r="P41" i="39"/>
  <c r="P47" i="39"/>
  <c r="P33" i="39"/>
  <c r="P46" i="39"/>
  <c r="P42" i="39"/>
  <c r="P30" i="39"/>
  <c r="P38" i="39"/>
  <c r="P35" i="39"/>
  <c r="P31" i="39"/>
  <c r="P37" i="39"/>
  <c r="P29" i="39"/>
  <c r="P43" i="39"/>
  <c r="P44" i="39"/>
  <c r="P36" i="39"/>
  <c r="P45" i="39"/>
  <c r="P39" i="39"/>
  <c r="P34" i="39"/>
  <c r="P40" i="39"/>
  <c r="R28" i="39" l="1"/>
  <c r="R49" i="39" s="1"/>
  <c r="AA41" i="39"/>
  <c r="AB41" i="39" s="1"/>
  <c r="AA38" i="39"/>
  <c r="AB38" i="39" s="1"/>
  <c r="AA37" i="39"/>
  <c r="AB37" i="39" s="1"/>
  <c r="AA45" i="39"/>
  <c r="AB45" i="39" s="1"/>
  <c r="AA36" i="39"/>
  <c r="AB36" i="39" s="1"/>
  <c r="AA35" i="39"/>
  <c r="AB35" i="39" s="1"/>
  <c r="AA31" i="39"/>
  <c r="AB31" i="39" s="1"/>
  <c r="AA47" i="39"/>
  <c r="AB47" i="39" s="1"/>
  <c r="AA29" i="39"/>
  <c r="AB29" i="39" s="1"/>
  <c r="AA43" i="39"/>
  <c r="AB43" i="39" s="1"/>
  <c r="AA32" i="39"/>
  <c r="AB32" i="39" s="1"/>
  <c r="AA39" i="39"/>
  <c r="AB39" i="39" s="1"/>
  <c r="AA40" i="39"/>
  <c r="AB40" i="39" s="1"/>
  <c r="AA30" i="39"/>
  <c r="AB30" i="39" s="1"/>
  <c r="AA42" i="39"/>
  <c r="AB42" i="39" s="1"/>
  <c r="AA33" i="39"/>
  <c r="AB33" i="39" s="1"/>
  <c r="AA46" i="39"/>
  <c r="AB46" i="39" s="1"/>
  <c r="AA34" i="39"/>
  <c r="AB34" i="39" s="1"/>
  <c r="AA44" i="39"/>
  <c r="AB44" i="39" s="1"/>
  <c r="O49" i="39"/>
  <c r="AA28" i="39" l="1"/>
  <c r="AA49" i="39" s="1"/>
  <c r="AB49" i="39" s="1"/>
  <c r="AB28" i="3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Cecilia Domizi</author>
  </authors>
  <commentList>
    <comment ref="C1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Porcentaje de reserva regional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Cecilia Domizi</author>
  </authors>
  <commentList>
    <comment ref="F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Aquí habría que definir si es ED o con ET, se podría poner como opción 1 u otra</t>
        </r>
      </text>
    </comment>
    <comment ref="K5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Estos datos vendrían ahora del modelo de Federico</t>
        </r>
      </text>
    </comment>
    <comment ref="H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Datos tomados de archivos de macroruteo</t>
        </r>
      </text>
    </comment>
    <comment ref="H4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OJO NO SE SUMA LA RESERVA REGIONAL??
SE SUMA EN CADA FILA DE H, ME PARECE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Cecilia Domizi</author>
  </authors>
  <commentList>
    <comment ref="Q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9"/>
            <color indexed="81"/>
            <rFont val="Tahoma"/>
            <family val="2"/>
          </rPr>
          <t>Valores en rojo</t>
        </r>
        <r>
          <rPr>
            <sz val="9"/>
            <color indexed="81"/>
            <rFont val="Tahoma"/>
            <family val="2"/>
          </rPr>
          <t>: Da distinto al calculado por fórmula (x fórmula da 3.519.220). Igualmente no afecta si se cambian regiones ya que son todas las localidades de CEAMSE III y esas no se agruparán de ninguna otra forma (son 27 localidades)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Microsoft Office</author>
  </authors>
  <commentList>
    <comment ref="L2" authorId="0" shapeId="0" xr:uid="{00000000-0006-0000-0B00-000001000000}">
      <text>
        <r>
          <rPr>
            <b/>
            <sz val="10"/>
            <color rgb="FF000000"/>
            <rFont val="Tahoma"/>
            <family val="2"/>
          </rPr>
          <t>Usuario de Microsoft Office: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Actualmente s</t>
        </r>
        <r>
          <rPr>
            <sz val="10"/>
            <color rgb="FF000000"/>
            <rFont val="Arial"/>
            <family val="2"/>
          </rPr>
          <t xml:space="preserve">egún sus estimaciones, las cooperativas de la ciudad tienen 6.500 asociados, pero también hay personas vulnerables que revisan contenedores en busca de materiales </t>
        </r>
      </text>
    </comment>
    <comment ref="L46" authorId="0" shapeId="0" xr:uid="{00000000-0006-0000-0B00-000002000000}">
      <text>
        <r>
          <rPr>
            <b/>
            <sz val="10"/>
            <color rgb="FF000000"/>
            <rFont val="Tahoma"/>
            <family val="2"/>
          </rPr>
          <t>Usuario de Microsoft Office: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Censo realizado por PBA en 2022: 137</t>
        </r>
      </text>
    </comment>
    <comment ref="L98" authorId="0" shapeId="0" xr:uid="{00000000-0006-0000-0B00-000003000000}">
      <text>
        <r>
          <rPr>
            <b/>
            <sz val="10"/>
            <color rgb="FF000000"/>
            <rFont val="Tahoma"/>
            <family val="2"/>
          </rPr>
          <t>Usuario de Microsoft Office: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El censo realizado por PBA en 2022 registró 18 RU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Cecilia Domizi</author>
  </authors>
  <commentList>
    <comment ref="BV4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Puede haber otras localidades aparte de las marcadas que sean turisticas. Marqué las que están en la costa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Cecilia Domizi</author>
  </authors>
  <commentList>
    <comment ref="J11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Cecilia Domizi:</t>
        </r>
        <r>
          <rPr>
            <sz val="9"/>
            <color indexed="81"/>
            <rFont val="Tahoma"/>
            <family val="2"/>
          </rPr>
          <t xml:space="preserve">
No tengo $</t>
        </r>
      </text>
    </comment>
  </commentList>
</comments>
</file>

<file path=xl/sharedStrings.xml><?xml version="1.0" encoding="utf-8"?>
<sst xmlns="http://schemas.openxmlformats.org/spreadsheetml/2006/main" count="6550" uniqueCount="792">
  <si>
    <t>Recolección</t>
  </si>
  <si>
    <t>ET-TA</t>
  </si>
  <si>
    <t>Alternativas</t>
  </si>
  <si>
    <t>Alternativas de Transporte</t>
  </si>
  <si>
    <t>Disposición Final</t>
  </si>
  <si>
    <t>Tratamiento</t>
  </si>
  <si>
    <t>Saneamiento de Basurales</t>
  </si>
  <si>
    <t>Región</t>
  </si>
  <si>
    <t>Total</t>
  </si>
  <si>
    <t>VA tot</t>
  </si>
  <si>
    <t>VA Rec-ET-TA</t>
  </si>
  <si>
    <t>Auxiliares</t>
  </si>
  <si>
    <t>Reserva Regional Camiones para recolección</t>
  </si>
  <si>
    <t>Bahía Blanca</t>
  </si>
  <si>
    <t>Médanos</t>
  </si>
  <si>
    <t>Punta Alta</t>
  </si>
  <si>
    <t>Tornquist</t>
  </si>
  <si>
    <t>Costos Oper.
US$/a</t>
  </si>
  <si>
    <t>Inv
US$</t>
  </si>
  <si>
    <t>Coef. de pase</t>
  </si>
  <si>
    <t>Población promedio de los 20 años</t>
  </si>
  <si>
    <t>Tamaño de la PS del CA</t>
  </si>
  <si>
    <t>Localidad</t>
  </si>
  <si>
    <t>Nro. localidad</t>
  </si>
  <si>
    <t>PBA: Población adoptada períódo 2026-2045</t>
  </si>
  <si>
    <t>Último Censo</t>
  </si>
  <si>
    <t>TGD</t>
  </si>
  <si>
    <t>ALTH</t>
  </si>
  <si>
    <t>Partido</t>
  </si>
  <si>
    <t>Nro</t>
  </si>
  <si>
    <t>Método adoptado</t>
  </si>
  <si>
    <t>Fórmula</t>
  </si>
  <si>
    <t>Z</t>
  </si>
  <si>
    <t>a</t>
  </si>
  <si>
    <t>b</t>
  </si>
  <si>
    <t>Valor del Censo 2010*(1+Z)^(año actual-2010)</t>
  </si>
  <si>
    <t>a+b*añoactual</t>
  </si>
  <si>
    <t>General Alvarado</t>
  </si>
  <si>
    <t>Miramar_pob turística</t>
  </si>
  <si>
    <t>TURÍSTICA</t>
  </si>
  <si>
    <t>General Pueyrredón</t>
  </si>
  <si>
    <t>Mar del Plata_pob turística</t>
  </si>
  <si>
    <t>La Costa</t>
  </si>
  <si>
    <t>Mar de Ajó - San Bernardo_pob turística</t>
  </si>
  <si>
    <t>Santa Teresita - Mar del Tuyú_pob turística</t>
  </si>
  <si>
    <t>Monte Hermoso</t>
  </si>
  <si>
    <t>Monte Hermoso_pob turística</t>
  </si>
  <si>
    <t>Necochea</t>
  </si>
  <si>
    <t>Necochea - Quequén_pob turística</t>
  </si>
  <si>
    <t>Pinamar</t>
  </si>
  <si>
    <t>Pinamar_pob turística</t>
  </si>
  <si>
    <t>Villa Gesell</t>
  </si>
  <si>
    <t>Villa Gesell_pob turística</t>
  </si>
  <si>
    <t>CABA</t>
  </si>
  <si>
    <t>CABA_pob turística</t>
  </si>
  <si>
    <t>San Clemente del Tuyú_pob turística</t>
  </si>
  <si>
    <t>Mar Chiquita</t>
  </si>
  <si>
    <t>Santa Clara del Mar_pob turística</t>
  </si>
  <si>
    <t>TOTAL MUNICIPIOS DEL PROYECTO</t>
  </si>
  <si>
    <t>LOCALIDADES</t>
  </si>
  <si>
    <t>Métodos de Proyección utilizados y su diferencia porcentual respecto al valor del Censo 2022</t>
  </si>
  <si>
    <t>Método más conveniente</t>
  </si>
  <si>
    <t>Ajuste Lineal de la Tendencia Histórica</t>
  </si>
  <si>
    <t>Tasa Geométrica Decreciente</t>
  </si>
  <si>
    <t>Incrementos Relativos</t>
  </si>
  <si>
    <t>Relación Tendencia</t>
  </si>
  <si>
    <t>IR</t>
  </si>
  <si>
    <t>GBA_Interior BA</t>
  </si>
  <si>
    <t>Población del departamento
Censo 2010</t>
  </si>
  <si>
    <t>% de población de la localidad dentro del departamento</t>
  </si>
  <si>
    <t>Población del departamento
Censo 2022</t>
  </si>
  <si>
    <t>Cálculo aprox. localidad en Censo 2022</t>
  </si>
  <si>
    <t>Proyección asumida antes del Censo 2022</t>
  </si>
  <si>
    <t>% dif entre lo proyectado y lo real del Censo 2022</t>
  </si>
  <si>
    <t>Método que se habría utilizado para proyección</t>
  </si>
  <si>
    <t>Método que conviene usar</t>
  </si>
  <si>
    <t>Población proyectada a 2022 con mejor método</t>
  </si>
  <si>
    <t>% diferencia respecto a Censo 2022</t>
  </si>
  <si>
    <t>Población</t>
  </si>
  <si>
    <t>% mínimo</t>
  </si>
  <si>
    <t>z</t>
  </si>
  <si>
    <t>Comentarios</t>
  </si>
  <si>
    <t>GBA</t>
  </si>
  <si>
    <t>Almirante Brown</t>
  </si>
  <si>
    <t>En Contrato C476 se usó IR</t>
  </si>
  <si>
    <t>Avellaneda</t>
  </si>
  <si>
    <t>Berazategui</t>
  </si>
  <si>
    <t>En Contrato C476 se usó RT</t>
  </si>
  <si>
    <t>Esteban Echeverría</t>
  </si>
  <si>
    <t>En Contrato C476 se usó TGD</t>
  </si>
  <si>
    <t>Ezeiza</t>
  </si>
  <si>
    <t>Florencio Varela</t>
  </si>
  <si>
    <t>General San Martín</t>
  </si>
  <si>
    <t>Hurlingham</t>
  </si>
  <si>
    <t>Ituzaingó</t>
  </si>
  <si>
    <t>José C. Paz</t>
  </si>
  <si>
    <t>La Matanza</t>
  </si>
  <si>
    <t>Lanús</t>
  </si>
  <si>
    <t>Lomas de Zamora</t>
  </si>
  <si>
    <t>Malvinas Argentinas</t>
  </si>
  <si>
    <t>Merlo</t>
  </si>
  <si>
    <t>Moreno</t>
  </si>
  <si>
    <t>Morón</t>
  </si>
  <si>
    <t>Quilmes</t>
  </si>
  <si>
    <t>RT</t>
  </si>
  <si>
    <t>San Fernando</t>
  </si>
  <si>
    <t>San Isidro</t>
  </si>
  <si>
    <t>San Miguel</t>
  </si>
  <si>
    <t>Tigre</t>
  </si>
  <si>
    <t>Tres de Febrero</t>
  </si>
  <si>
    <t>Vicente López</t>
  </si>
  <si>
    <t>Interior BA</t>
  </si>
  <si>
    <t>25 de Mayo</t>
  </si>
  <si>
    <t>9 de Julio</t>
  </si>
  <si>
    <t>Carhué</t>
  </si>
  <si>
    <t>Adolfo Alsina</t>
  </si>
  <si>
    <t>Adolfo Gonzáles Chaves</t>
  </si>
  <si>
    <t>Alberti</t>
  </si>
  <si>
    <t>Arrecifes</t>
  </si>
  <si>
    <t>Ayacucho</t>
  </si>
  <si>
    <t>Azul</t>
  </si>
  <si>
    <t>Balcarce</t>
  </si>
  <si>
    <t>Baradero</t>
  </si>
  <si>
    <t>Benito Juárez</t>
  </si>
  <si>
    <t>Berisso</t>
  </si>
  <si>
    <t>San Carlos de Bolívar</t>
  </si>
  <si>
    <t>Bolívar</t>
  </si>
  <si>
    <t>Bragado</t>
  </si>
  <si>
    <t>Coronel Brandsen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</si>
  <si>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</si>
  <si>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</si>
  <si>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</si>
  <si>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</si>
  <si>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</si>
  <si>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</si>
  <si>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</si>
  <si>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</si>
  <si>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Chacabuco</t>
  </si>
  <si>
    <t>Chascomús</t>
  </si>
  <si>
    <t>Chivilcoy</t>
  </si>
  <si>
    <t>Colón</t>
  </si>
  <si>
    <t>Coronel de Marina L. Rosales</t>
  </si>
  <si>
    <t>Coronel Dorrego</t>
  </si>
  <si>
    <t>Coronel Pringles</t>
  </si>
  <si>
    <t>Coronel Suárez</t>
  </si>
  <si>
    <t>Daireaux</t>
  </si>
  <si>
    <t>Dolores</t>
  </si>
  <si>
    <t>Ensenada</t>
  </si>
  <si>
    <t>Escobar</t>
  </si>
  <si>
    <t>Capilla del Señor</t>
  </si>
  <si>
    <t>Exaltación de la Cruz</t>
  </si>
  <si>
    <t>Florentino Ameghino</t>
  </si>
  <si>
    <t>Miramar</t>
  </si>
  <si>
    <t>HACER LUEGO LA PARTE DE POBLACIÓN TURÍSTICA</t>
  </si>
  <si>
    <t>Miramar turística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</si>
  <si>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</si>
  <si>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</si>
  <si>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</si>
  <si>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</si>
  <si>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</si>
  <si>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</si>
  <si>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</si>
  <si>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</si>
  <si>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Ranchos</t>
  </si>
  <si>
    <t>General Paz</t>
  </si>
  <si>
    <t>General Pinto</t>
  </si>
  <si>
    <t>Mar del Plata</t>
  </si>
  <si>
    <t>Mar del Plata turística</t>
  </si>
  <si>
    <t>General Rodríguez</t>
  </si>
  <si>
    <t>Los Toldos</t>
  </si>
  <si>
    <t>General Viamonte</t>
  </si>
  <si>
    <t>General Villegas</t>
  </si>
  <si>
    <t>Guaminí</t>
  </si>
  <si>
    <t>Henderson</t>
  </si>
  <si>
    <t>Hipólito Yrigoyen</t>
  </si>
  <si>
    <t>Junín</t>
  </si>
  <si>
    <t>Mar de Ajó - San Bernardo</t>
  </si>
  <si>
    <t>Mar de Ajó - San Bernardo turística</t>
  </si>
  <si>
    <t>Santa Teresita - Mar del Tuyú</t>
  </si>
  <si>
    <t>Santa Teresita - Mar del Tuyú turística</t>
  </si>
  <si>
    <t>La Plata</t>
  </si>
  <si>
    <t>Laprida</t>
  </si>
  <si>
    <t>Las Flores</t>
  </si>
  <si>
    <t>Vedia</t>
  </si>
  <si>
    <t>Leandro N. Alem</t>
  </si>
  <si>
    <t>Lincoln</t>
  </si>
  <si>
    <t>Lobería</t>
  </si>
  <si>
    <t>Lobos</t>
  </si>
  <si>
    <t>Luján</t>
  </si>
  <si>
    <t>Magdalena</t>
  </si>
  <si>
    <t>Maipú</t>
  </si>
  <si>
    <t>Coronel Vidal</t>
  </si>
  <si>
    <t>Marcos Paz</t>
  </si>
  <si>
    <t>Mercedes</t>
  </si>
  <si>
    <t>San Miguel del Monte</t>
  </si>
  <si>
    <t>Monte</t>
  </si>
  <si>
    <t>Monte Hermoso turístico</t>
  </si>
  <si>
    <t>Navarro</t>
  </si>
  <si>
    <t>Necochea - Quequén</t>
  </si>
  <si>
    <t>Necochea Quequén turístico</t>
  </si>
  <si>
    <t>Olavarría</t>
  </si>
  <si>
    <t>Carmen de Patagones</t>
  </si>
  <si>
    <t>Patagones</t>
  </si>
  <si>
    <t>Pehuajó</t>
  </si>
  <si>
    <t>Pellegrini</t>
  </si>
  <si>
    <t>Pergamino</t>
  </si>
  <si>
    <t>Pila</t>
  </si>
  <si>
    <t>Pilar</t>
  </si>
  <si>
    <t>Pinamar turístico</t>
  </si>
  <si>
    <t>Presidente Perón</t>
  </si>
  <si>
    <t>Puán</t>
  </si>
  <si>
    <t>Verónica</t>
  </si>
  <si>
    <t>Punta Indio</t>
  </si>
  <si>
    <t>Ramallo</t>
  </si>
  <si>
    <t>Rauch</t>
  </si>
  <si>
    <t>América</t>
  </si>
  <si>
    <t>Rivadavia</t>
  </si>
  <si>
    <t>Rojas</t>
  </si>
  <si>
    <t>Roque Pérez</t>
  </si>
  <si>
    <t>Pigüé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</si>
  <si>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</si>
  <si>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</si>
  <si>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</si>
  <si>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</si>
  <si>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</si>
  <si>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</si>
  <si>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</si>
  <si>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Nicolás de los Arroyos</t>
  </si>
  <si>
    <t>San Nicolás</t>
  </si>
  <si>
    <t>San Pedro</t>
  </si>
  <si>
    <t>San Vicente</t>
  </si>
  <si>
    <t>Suipacha</t>
  </si>
  <si>
    <t>Tandil</t>
  </si>
  <si>
    <t>Tapalqué</t>
  </si>
  <si>
    <t>General Conesa</t>
  </si>
  <si>
    <t>Tordillo</t>
  </si>
  <si>
    <t>Trenque Lauquen</t>
  </si>
  <si>
    <t>Tres Arroyos</t>
  </si>
  <si>
    <t>Tres Lomas</t>
  </si>
  <si>
    <t>Villa Gesell turístico</t>
  </si>
  <si>
    <t>Villarino</t>
  </si>
  <si>
    <t>Zárate</t>
  </si>
  <si>
    <t>CABA turística</t>
  </si>
  <si>
    <t>Rivera</t>
  </si>
  <si>
    <t>Tres Algarrobos</t>
  </si>
  <si>
    <t>Los Cardales</t>
  </si>
  <si>
    <t>Parada Robles - Pavón</t>
  </si>
  <si>
    <t>Comandante Nicanor Otamendi</t>
  </si>
  <si>
    <t>Arribeños</t>
  </si>
  <si>
    <t>Ascensión</t>
  </si>
  <si>
    <t>Labarden</t>
  </si>
  <si>
    <t>Pavón</t>
  </si>
  <si>
    <t>Casbas</t>
  </si>
  <si>
    <t>San Clemente del Tuyú</t>
  </si>
  <si>
    <t>San Clemente del Tuyú turístico</t>
  </si>
  <si>
    <t>Santa Clara del Mar</t>
  </si>
  <si>
    <t>Santa Clara del Mar turístico</t>
  </si>
  <si>
    <t>Darregueira</t>
  </si>
  <si>
    <t>Villa Ramallo</t>
  </si>
  <si>
    <t>Sierra de la Ventana</t>
  </si>
  <si>
    <t>Mayor Buratovich</t>
  </si>
  <si>
    <t>Pedro Luro</t>
  </si>
  <si>
    <t>Años</t>
  </si>
  <si>
    <t>Localidades y Departamentos</t>
  </si>
  <si>
    <t>Monte Hermoso_depto</t>
  </si>
  <si>
    <t>Pinamar_depto</t>
  </si>
  <si>
    <t>Villa Gesell_depto</t>
  </si>
  <si>
    <t>PROYECCIÓN DE LA GENERACIÓN</t>
  </si>
  <si>
    <t xml:space="preserve">TOTALES PROYECCIÓN DE LOS RESIDUOS GENERADOS (Tn/día) </t>
  </si>
  <si>
    <t>Año para determinar la GPC</t>
  </si>
  <si>
    <t>gpc (kg*hab.día)</t>
  </si>
  <si>
    <t>PROYECCIÓN DE LA SEPARACIÓN EN ORIGEN</t>
  </si>
  <si>
    <t>TOTALES PROYECCIÓN DE LOS RESIDUOS SEPARADOS EN ORIGEN (Tn/d)</t>
  </si>
  <si>
    <t>PROYECCIÓN DE LO GENERADO QUE NO ES SEPARADO EN ORIGEN</t>
  </si>
  <si>
    <t>TOTALES PROYECCIÓN DE LOS RESIDUOS QUE NO SON SEPARADOS EN ORIGEN (Tn/d)</t>
  </si>
  <si>
    <t>CAPACIDAD Y % SEPARACIÓN LOCAL Y TONELADAS/DÍA QUE ENTRAN EN PLANTA DE SEPARACIÓN LOCALES</t>
  </si>
  <si>
    <t>% separación local que entra a la PS local</t>
  </si>
  <si>
    <t>Tn/día que entran a la PS local</t>
  </si>
  <si>
    <t>Capacidad de las Plantas locales  (Tn/d)</t>
  </si>
  <si>
    <t>RECUPERADO Y RECHAZADO EN PLANTAS LOCALES</t>
  </si>
  <si>
    <t>Resumen Totales Recuperados de las PS Locales (Tn/día)</t>
  </si>
  <si>
    <t>% Rechazado de las Plantas locales  (Tn/d)</t>
  </si>
  <si>
    <t>Resumen Totales Rechazados de las PS Locales (Tn/día)</t>
  </si>
  <si>
    <t>RECHAZADOS QUE INGRESAN DIRECTO AL CA</t>
  </si>
  <si>
    <t>Resumen Totales rechazados que ingresan directo al CA (Tn/día)</t>
  </si>
  <si>
    <t>INGRESO TOTAL A LOS Cas</t>
  </si>
  <si>
    <t>Resumen Totales que ingresan al CA (Tn/día)</t>
  </si>
  <si>
    <t>INGRESOS AL PS DEL CA</t>
  </si>
  <si>
    <t>Resumen Totales que Ingresan a PS del CA  (Tn/día)</t>
  </si>
  <si>
    <t>Capacidad de la PS del CA
(sep. en origen al año 10)</t>
  </si>
  <si>
    <t>RECUPERADO Y RECHAZADO EN PS DEL CA</t>
  </si>
  <si>
    <t>Resumen Totales recuperados en la PS del CA (Tn/día)</t>
  </si>
  <si>
    <t>% Rechazado de la PS del CA  (Tn/d)</t>
  </si>
  <si>
    <t>Resumen Totales Rechazados en la PS DEL CA  (Tn/día)</t>
  </si>
  <si>
    <t>RELLENO SANITARIO</t>
  </si>
  <si>
    <t>Total a Relleno Sanitario  (Tn/d)</t>
  </si>
  <si>
    <t>Promedio (Tn/d)</t>
  </si>
  <si>
    <t>Volumen a disponer en el Relleno Sanitario (m3/año)</t>
  </si>
  <si>
    <t>Relación de compactación en el RS (t/m3)</t>
  </si>
  <si>
    <t>Volumen Promedio (m3/año)</t>
  </si>
  <si>
    <t>&lt;= 15.000 hab</t>
  </si>
  <si>
    <t>15.001 a 50.000 hab</t>
  </si>
  <si>
    <t>50.001 a 300.000 hab</t>
  </si>
  <si>
    <t>300.001 a 500.000 hab</t>
  </si>
  <si>
    <t>&gt; 500.000 hab</t>
  </si>
  <si>
    <t>RESUMEN VALORES</t>
  </si>
  <si>
    <t>Promedio 20 años de t/d que llegan al RS</t>
  </si>
  <si>
    <t>REGIÓN BAHÍA BLANCA</t>
  </si>
  <si>
    <t>1. ED</t>
  </si>
  <si>
    <t>A. Individual</t>
  </si>
  <si>
    <t>B. Regional</t>
  </si>
  <si>
    <t>PS del CA</t>
  </si>
  <si>
    <t>Promedio de t/d que llegan al RS en 20 años</t>
  </si>
  <si>
    <t>Tamaño de la PS del CA en 10 años
t/d</t>
  </si>
  <si>
    <t>Nº</t>
  </si>
  <si>
    <t>Departamento</t>
  </si>
  <si>
    <t>Ingreso a Planta de separación en año 10 (con turismo) (T/día)</t>
  </si>
  <si>
    <t>Ingreso a Relleno Sanitario promedio de 20 años (con turismo) (T/día)</t>
  </si>
  <si>
    <t>Inversión Inicial del Centro Ambiental (US$) sin PASE</t>
  </si>
  <si>
    <t>Costos Operativo anual del Centro Ambiental (US$) sin PASE</t>
  </si>
  <si>
    <t>Inversión Inicial de la Planta de Separación (US$) sin PASE</t>
  </si>
  <si>
    <t>Costos Operativo anual de la Planta de Separación (US$) sin PASE</t>
  </si>
  <si>
    <t>Reg. Propuesta</t>
  </si>
  <si>
    <t>Ingreso a Planta de separación en año 10 (con turismo) Regionalización (T/día)</t>
  </si>
  <si>
    <t>Ingreso a Relleno Sanitario promedio de 20 años (con turismo) Regionalización (T/día)</t>
  </si>
  <si>
    <t>Inversión Inicial del Centro Ambiental Regional (US$) sin PASE</t>
  </si>
  <si>
    <t>Costos Operativo anual del Centro Ambiental Regional (US$) sin PASE</t>
  </si>
  <si>
    <t>Inversión Inicial de la Planta de Separación Regional (US$) sin PASE</t>
  </si>
  <si>
    <t>Costos Operativo anual de la Planta de Separación Regional (US$) sin PASE</t>
  </si>
  <si>
    <t>CEAMSE Norte III</t>
  </si>
  <si>
    <t>LOMAS DE ZAMORA</t>
  </si>
  <si>
    <t>MORENO</t>
  </si>
  <si>
    <t>MERLO</t>
  </si>
  <si>
    <t>QUILMES</t>
  </si>
  <si>
    <t>ALMIRANTE BROWN</t>
  </si>
  <si>
    <t>FLORENCIO VARELA</t>
  </si>
  <si>
    <t>TIGRE</t>
  </si>
  <si>
    <t>PILAR</t>
  </si>
  <si>
    <t>MALVINAS ARGENTINAS</t>
  </si>
  <si>
    <t>BERAZATEGUI</t>
  </si>
  <si>
    <t>AVELLANEDA</t>
  </si>
  <si>
    <t>SAN MIGUEL</t>
  </si>
  <si>
    <t>TRES DE FEBRERO</t>
  </si>
  <si>
    <t>ESCOBAR</t>
  </si>
  <si>
    <t>SAN ISIDRO</t>
  </si>
  <si>
    <t>HURLINGHAM</t>
  </si>
  <si>
    <t>SAN FERNANDO</t>
  </si>
  <si>
    <t>PRESIDENTE PERON</t>
  </si>
  <si>
    <t>LA MATANZA</t>
  </si>
  <si>
    <t>CEAMSE Gonzalez Catan</t>
  </si>
  <si>
    <t>LA PLATA</t>
  </si>
  <si>
    <t>CEAMSE Ensenada</t>
  </si>
  <si>
    <t>BERISSO</t>
  </si>
  <si>
    <t>ENSENADA</t>
  </si>
  <si>
    <t>MAGDALENA</t>
  </si>
  <si>
    <t>MAR DEL PLATA</t>
  </si>
  <si>
    <t>R. GRAL. PUEYRREDÓN - MDQ</t>
  </si>
  <si>
    <t>MIRAMAR</t>
  </si>
  <si>
    <t>COMANDANTE NICANOR OTAMENDI</t>
  </si>
  <si>
    <t>R. BAHIA BLANCA</t>
  </si>
  <si>
    <t>PUNTA ALTA</t>
  </si>
  <si>
    <t>TORNQUIST</t>
  </si>
  <si>
    <t>EZEIZA</t>
  </si>
  <si>
    <t>CEAMSE Ezeiza</t>
  </si>
  <si>
    <t>SAN VICENTE</t>
  </si>
  <si>
    <t>MARCOS PAZ</t>
  </si>
  <si>
    <t>CAÑUELAS</t>
  </si>
  <si>
    <t>R. MADARIAGA</t>
  </si>
  <si>
    <t>PINAMAR</t>
  </si>
  <si>
    <t>VILLA GESELL</t>
  </si>
  <si>
    <t>SANTA CLARA DEL MAR</t>
  </si>
  <si>
    <t>GENERAL JUAN MADARIAGA</t>
  </si>
  <si>
    <t>CORONEL VIDAL</t>
  </si>
  <si>
    <t>GENERAL LAVALLE</t>
  </si>
  <si>
    <t>R. ZÁRATE</t>
  </si>
  <si>
    <t>CAMPANA</t>
  </si>
  <si>
    <t>PERGAMINO</t>
  </si>
  <si>
    <t>R. PERGAMINO</t>
  </si>
  <si>
    <t>SALTO</t>
  </si>
  <si>
    <t>ARRECIFES</t>
  </si>
  <si>
    <t>ROJAS</t>
  </si>
  <si>
    <t>R. S. N. ARROYOS</t>
  </si>
  <si>
    <t>RAMALLO</t>
  </si>
  <si>
    <t>VILLA RAMALLO</t>
  </si>
  <si>
    <t>R. JUNIN</t>
  </si>
  <si>
    <t>CHACABUCO</t>
  </si>
  <si>
    <t>LOS TOLDOS</t>
  </si>
  <si>
    <t>VEDIA</t>
  </si>
  <si>
    <t>JUAN BAUTISTA ALBERDI</t>
  </si>
  <si>
    <t>TANDIL</t>
  </si>
  <si>
    <t>R. TANDIL</t>
  </si>
  <si>
    <t>RAUCH</t>
  </si>
  <si>
    <t>MERCEDES</t>
  </si>
  <si>
    <t>R. NAVARRO</t>
  </si>
  <si>
    <t>LOBOS</t>
  </si>
  <si>
    <t>NAVARRO</t>
  </si>
  <si>
    <t>GENERAL LAS HERAS</t>
  </si>
  <si>
    <t>SUIPACHA</t>
  </si>
  <si>
    <t>Independiente</t>
  </si>
  <si>
    <t>R. NECOCHEA</t>
  </si>
  <si>
    <t>CHIVILCOY</t>
  </si>
  <si>
    <t>R. ALBERTI</t>
  </si>
  <si>
    <t>BRAGADO</t>
  </si>
  <si>
    <t>ALBERTI</t>
  </si>
  <si>
    <t>SALADILLO</t>
  </si>
  <si>
    <t>R. SALADILLO</t>
  </si>
  <si>
    <t>LAS FLORES</t>
  </si>
  <si>
    <t>25 DE MAYO</t>
  </si>
  <si>
    <t>GENERAL ALVEAR</t>
  </si>
  <si>
    <t>9 DE JULIO</t>
  </si>
  <si>
    <t>R. CARLOS CASARES</t>
  </si>
  <si>
    <t>CARLOS CASARES</t>
  </si>
  <si>
    <t>SAN PEDRO</t>
  </si>
  <si>
    <t>R. SAN PEDRO</t>
  </si>
  <si>
    <t>BARADERO</t>
  </si>
  <si>
    <t>CORONEL BRANDSEN</t>
  </si>
  <si>
    <t>R. GRAL PAZ RANCHO</t>
  </si>
  <si>
    <t>SAN MIGUEL DEL MONTE</t>
  </si>
  <si>
    <t>GENERAL BELGRANO</t>
  </si>
  <si>
    <t>RANCHOS</t>
  </si>
  <si>
    <t>TRES ARROYOS</t>
  </si>
  <si>
    <t>R. TRES ARROYOS</t>
  </si>
  <si>
    <t>SAN CAYETANO</t>
  </si>
  <si>
    <t>SAN ANTONIO DE ARECO</t>
  </si>
  <si>
    <t>R, S. A. ARECO</t>
  </si>
  <si>
    <t>CARMEN DE ARECO</t>
  </si>
  <si>
    <t>AZUL</t>
  </si>
  <si>
    <t>R. AZUL</t>
  </si>
  <si>
    <t>R. CNEL SUÁREZ</t>
  </si>
  <si>
    <t>GENERAL LA MADRID</t>
  </si>
  <si>
    <t>DARREGUEIRA</t>
  </si>
  <si>
    <t>PUAN</t>
  </si>
  <si>
    <t>TRENQUE LAUQUEN</t>
  </si>
  <si>
    <t>R. TRENQUE LAUQUEN</t>
  </si>
  <si>
    <t>TRES LOMAS</t>
  </si>
  <si>
    <t>PELLEGRINI</t>
  </si>
  <si>
    <t>BALCARCE</t>
  </si>
  <si>
    <t>GENERAL VILLEGAS</t>
  </si>
  <si>
    <t>R. GRAL VILLEGAS</t>
  </si>
  <si>
    <t>FLORENTINO AMEGHINO</t>
  </si>
  <si>
    <t>CARLOS TEJEDOR</t>
  </si>
  <si>
    <t>TRES ALGARROBOS</t>
  </si>
  <si>
    <t>DOLORES</t>
  </si>
  <si>
    <t>R. DOLORES</t>
  </si>
  <si>
    <t>CASTELLI</t>
  </si>
  <si>
    <t>PILA</t>
  </si>
  <si>
    <t>GENERAL CONESA</t>
  </si>
  <si>
    <t>GENERAL GUIDO</t>
  </si>
  <si>
    <t>R. CAPILLA DEL SEÑOR</t>
  </si>
  <si>
    <t>LOS CARDALES</t>
  </si>
  <si>
    <t>CAPILLA DEL SEÑOR</t>
  </si>
  <si>
    <t>R. BOLIVAR</t>
  </si>
  <si>
    <t>DAIREAUX</t>
  </si>
  <si>
    <t>HENDERSON</t>
  </si>
  <si>
    <t>CORONEL PRINGLES</t>
  </si>
  <si>
    <t>R. CNEL PRINGLES</t>
  </si>
  <si>
    <t>LAPRIDA</t>
  </si>
  <si>
    <t>SIERRA DE LA VENTANA</t>
  </si>
  <si>
    <t>LINCOLN</t>
  </si>
  <si>
    <t>R. LINCOLN</t>
  </si>
  <si>
    <t>GENERAL PINTO</t>
  </si>
  <si>
    <t>MONTE HERMOSO</t>
  </si>
  <si>
    <t>R. MONTE HERMOSO</t>
  </si>
  <si>
    <t>CORONEL DORREGO</t>
  </si>
  <si>
    <t>PEDRO LURO</t>
  </si>
  <si>
    <t>R. VILLARINO</t>
  </si>
  <si>
    <t>MAYOR BURATOVICH</t>
  </si>
  <si>
    <t>CARMEN DE PATAGONES</t>
  </si>
  <si>
    <t>AYACUCHO</t>
  </si>
  <si>
    <t>R. AYACUCHO</t>
  </si>
  <si>
    <t>LABARDEN</t>
  </si>
  <si>
    <t>R. CARHUE</t>
  </si>
  <si>
    <t>CASBAS</t>
  </si>
  <si>
    <t>RIVERA</t>
  </si>
  <si>
    <t>GENERAL ARENALES</t>
  </si>
  <si>
    <t>R. GRAL. ARENALES</t>
  </si>
  <si>
    <t>ARRIBEÑOS</t>
  </si>
  <si>
    <t>PARTIDO</t>
  </si>
  <si>
    <t>LOCALIDAD</t>
  </si>
  <si>
    <t>POBLACION 2022</t>
  </si>
  <si>
    <t>PROMEDIO POBLACION 20 AÑOS</t>
  </si>
  <si>
    <t>VALOR</t>
  </si>
  <si>
    <t>% NBI HOGARES 2010</t>
  </si>
  <si>
    <t>BCA Superficie del predio en HA (dato agrupado  por Partido)</t>
  </si>
  <si>
    <t>PROMEDIO VALOR</t>
  </si>
  <si>
    <t>CANTIDAD DE RECUPERADORES INFORMALES CADA 10.000 HAB</t>
  </si>
  <si>
    <t xml:space="preserve">CANTIDA TOTAL DE RECUPERADORES INFORMALES POR PARTIDO </t>
  </si>
  <si>
    <t>ALTERNATIVA 2 COSTO PISO en USD (diferenciación de costo + 170 RU)</t>
  </si>
  <si>
    <t>NO</t>
  </si>
  <si>
    <t xml:space="preserve">FLORENCIO VARELA </t>
  </si>
  <si>
    <t>GENERAL PUEYRREDON</t>
  </si>
  <si>
    <t>GENERAL SAN MARTÍN</t>
  </si>
  <si>
    <t xml:space="preserve">MALVINAS ARGENTINAS </t>
  </si>
  <si>
    <t>LANÚS</t>
  </si>
  <si>
    <t xml:space="preserve">JOSÉ C. PAZ </t>
  </si>
  <si>
    <t xml:space="preserve">ESTEBAN ECHEVERRÍA </t>
  </si>
  <si>
    <t xml:space="preserve">SAN MIGUEL </t>
  </si>
  <si>
    <t xml:space="preserve">MORÓN </t>
  </si>
  <si>
    <t>BAHÍA BLANCA</t>
  </si>
  <si>
    <t xml:space="preserve">EZEIZA </t>
  </si>
  <si>
    <t xml:space="preserve">HURLINGHAM </t>
  </si>
  <si>
    <t>VICENTE LÓPEZ</t>
  </si>
  <si>
    <t xml:space="preserve">ITUZAINGÓ </t>
  </si>
  <si>
    <t>SAN NICOLÁS</t>
  </si>
  <si>
    <t>SAN NICOLÁS DE LOS ARROYOS</t>
  </si>
  <si>
    <t>GENERAL RODRÍGUEZ</t>
  </si>
  <si>
    <t>ZÁRATE</t>
  </si>
  <si>
    <t>OLAVARRÍA</t>
  </si>
  <si>
    <t>LUJÁN</t>
  </si>
  <si>
    <t xml:space="preserve">SAN VICENTE </t>
  </si>
  <si>
    <t>JUNÍN</t>
  </si>
  <si>
    <t>NECOCHEA</t>
  </si>
  <si>
    <t>LA COSTA</t>
  </si>
  <si>
    <t xml:space="preserve">CAÑUELAS </t>
  </si>
  <si>
    <t>CORONEL DE MARINA L. ROSALES</t>
  </si>
  <si>
    <t>GENERAL ALVARADO</t>
  </si>
  <si>
    <t>CHASCOMÚS</t>
  </si>
  <si>
    <t>BOLÍVAR</t>
  </si>
  <si>
    <t>PATAGONES</t>
  </si>
  <si>
    <t>BRANDSEN</t>
  </si>
  <si>
    <t>CORONEL SUÁREZ</t>
  </si>
  <si>
    <t>PEHUAJÓ</t>
  </si>
  <si>
    <t>COLÓN</t>
  </si>
  <si>
    <t>SAN ANDRÉS DE GILES</t>
  </si>
  <si>
    <t xml:space="preserve">MAGDALENA </t>
  </si>
  <si>
    <t>MONTE</t>
  </si>
  <si>
    <t>BENITO JUÁREZ</t>
  </si>
  <si>
    <t>LOBERÍA</t>
  </si>
  <si>
    <t>RIVADAVIA</t>
  </si>
  <si>
    <t>GENERAL VIAMONTE</t>
  </si>
  <si>
    <t>VILLARINO</t>
  </si>
  <si>
    <t>SAAVEDRA</t>
  </si>
  <si>
    <t>CAPITÁN SARMIENTO</t>
  </si>
  <si>
    <t>LEANDRO N. ALEM</t>
  </si>
  <si>
    <t>EXALTACIÓN DE LA CRUZ</t>
  </si>
  <si>
    <t>GENERAL PAZ</t>
  </si>
  <si>
    <t>ROQUE PÉREZ</t>
  </si>
  <si>
    <t xml:space="preserve">PUNTA INDIO </t>
  </si>
  <si>
    <t>ADOLFO GONZÁLES CHAVES</t>
  </si>
  <si>
    <t>ADOLFO ALSINA</t>
  </si>
  <si>
    <t>MAR CHIQUITA</t>
  </si>
  <si>
    <t>MAIPÚ</t>
  </si>
  <si>
    <t xml:space="preserve">TRES LOMAS </t>
  </si>
  <si>
    <t>SALLIQUELÓ</t>
  </si>
  <si>
    <t>GUAMINÍ</t>
  </si>
  <si>
    <t>LEZAMA</t>
  </si>
  <si>
    <t>TAPALQUÉ</t>
  </si>
  <si>
    <t>HIPÓLITO YRIGOYEN</t>
  </si>
  <si>
    <t>TORDILLO</t>
  </si>
  <si>
    <t>Juan Bautista Alberdi</t>
  </si>
  <si>
    <t>MÉDANOS</t>
  </si>
  <si>
    <t>En los Macroruteos</t>
  </si>
  <si>
    <t>Monto que se bajará en la inversión del PS, SI YA TIENEN INSTALACIONES</t>
  </si>
  <si>
    <t>Verificación de localidad</t>
  </si>
  <si>
    <t>En Inputs_costos</t>
  </si>
  <si>
    <t>En costo Social</t>
  </si>
  <si>
    <t>ESTEBAN ECHEVERRÍA</t>
  </si>
  <si>
    <t>JOSÉ C. PAZ</t>
  </si>
  <si>
    <t>MORÓN</t>
  </si>
  <si>
    <t>ITUZAINGÓ</t>
  </si>
  <si>
    <t>PRESIDENTE PERÓN</t>
  </si>
  <si>
    <t>MAR DE AJÓ - SAN BERNARDO</t>
  </si>
  <si>
    <t>SANTA TERESITA - MAR DEL TUYÚ</t>
  </si>
  <si>
    <t>SAN CLEMENTE DEL TUYÚ</t>
  </si>
  <si>
    <t>PAVÓN</t>
  </si>
  <si>
    <t>NECOCHEA - QUEQUÉN</t>
  </si>
  <si>
    <t>PIGÜÉ</t>
  </si>
  <si>
    <t>PUÁN</t>
  </si>
  <si>
    <t>AMÉRICA</t>
  </si>
  <si>
    <t>PARADA ROBLES - PAVÓN</t>
  </si>
  <si>
    <t>SAN CARLOS DE BOLÍVAR</t>
  </si>
  <si>
    <t>CARHUÉ</t>
  </si>
  <si>
    <t>ASCENSIÓN</t>
  </si>
  <si>
    <t>VERÓNICA</t>
  </si>
  <si>
    <t>&gt;= 15 t/d</t>
  </si>
  <si>
    <t>&lt; 15 t/d</t>
  </si>
  <si>
    <t>Auxiliar Inv</t>
  </si>
  <si>
    <t>Auxiliar Costos Oper</t>
  </si>
  <si>
    <t>Monto que se bajará en la inversión del CA, SI YA TIENEN INSTALACIONES</t>
  </si>
  <si>
    <t>Poda en un día normal
t/d</t>
  </si>
  <si>
    <t>Camiones Compactadores</t>
  </si>
  <si>
    <t>Cant.</t>
  </si>
  <si>
    <t>Capacidad
m3</t>
  </si>
  <si>
    <t>Camiones Volcadores</t>
  </si>
  <si>
    <t>Precio de compra</t>
  </si>
  <si>
    <t>Capacidad (m3)</t>
  </si>
  <si>
    <t>Precio (chasis +compactador)</t>
  </si>
  <si>
    <t>Precio c/coef. de pase</t>
  </si>
  <si>
    <t>Precio (chasis + volcador)</t>
  </si>
  <si>
    <t>% Costos Operativos</t>
  </si>
  <si>
    <t>REGIÓN SAN ANTONIO DE ARECO</t>
  </si>
  <si>
    <t>REGIÓN ALBERTI</t>
  </si>
  <si>
    <t>REGIÓN AYACUCHO</t>
  </si>
  <si>
    <t>REGIÓN AZUL</t>
  </si>
  <si>
    <t>REGIÓN BOLÍVAR</t>
  </si>
  <si>
    <t>REGIÓN CAPILLA DEL SEÑOR</t>
  </si>
  <si>
    <t>REGIÓN CARLOS CASARES</t>
  </si>
  <si>
    <t>REGIÓN CARHUÉ</t>
  </si>
  <si>
    <t>REGIÓN CORONEL PRINGLES</t>
  </si>
  <si>
    <t>REGIÓN CORONEL SUÁREZ</t>
  </si>
  <si>
    <t>REGIÓN DOLORES</t>
  </si>
  <si>
    <t>REGIÓN GENERAL PAZ RANCHOS</t>
  </si>
  <si>
    <t>REGIÓN GENERAL VILLEGAS</t>
  </si>
  <si>
    <t>REGIÓN GENERAL ARENALES</t>
  </si>
  <si>
    <t>REGIÓN JUNÍN</t>
  </si>
  <si>
    <t>REGIÓN LINCOLN</t>
  </si>
  <si>
    <t>REGIÓN MONTE HERMOSO</t>
  </si>
  <si>
    <t>REGIÓN NAVARRO</t>
  </si>
  <si>
    <t>REGIÓN NECOCHEA</t>
  </si>
  <si>
    <t>REGIÓN PERGAMINO</t>
  </si>
  <si>
    <t>REGIÓN SAN NICOLÁS DE LOS ARROYOS</t>
  </si>
  <si>
    <t>REGIÓN SALADILLO</t>
  </si>
  <si>
    <t>REGIÓN TANDIL</t>
  </si>
  <si>
    <t>REGIÓN TRENQUE LAUQUEN</t>
  </si>
  <si>
    <t>REGIÓN TRES ARROYOS</t>
  </si>
  <si>
    <t>REGIÓN VILLARINO</t>
  </si>
  <si>
    <t>REGIÓN ZÁRATE</t>
  </si>
  <si>
    <t>REGIÓN GENERAL PUEYRREDÓN MDQ</t>
  </si>
  <si>
    <t>REGIÓN CEAMSE Ensenada</t>
  </si>
  <si>
    <t>REGIÓN CEAMSE Ezeiza</t>
  </si>
  <si>
    <t>REGIÓN CEAMSE González Catán</t>
  </si>
  <si>
    <t>REGIÓN CEAMSE Norte III</t>
  </si>
  <si>
    <t>REGIÓN MADARIAGA</t>
  </si>
  <si>
    <t>REGIÓN SAN PEDRO</t>
  </si>
  <si>
    <t>CAPITAN SARMIENTO</t>
  </si>
  <si>
    <t>ROQUE PEREZ</t>
  </si>
  <si>
    <t>LOBERIA</t>
  </si>
  <si>
    <t>INDEPENDIENTES</t>
  </si>
  <si>
    <t>TOMAR ESTA TABLA</t>
  </si>
  <si>
    <t>Costo Estimado de Cierre Técnico de Basurales en la Provincia de Buenos Aires</t>
  </si>
  <si>
    <t>Tipo de Instalación</t>
  </si>
  <si>
    <t xml:space="preserve">Latitud </t>
  </si>
  <si>
    <t>Longitud</t>
  </si>
  <si>
    <t>Superficie impactada (m2)</t>
  </si>
  <si>
    <t>Costo de Cierre Técnico de BCA (US$)</t>
  </si>
  <si>
    <t>Costo anual de Manteniemiento Post-cierre (US$)</t>
  </si>
  <si>
    <t>BCA</t>
  </si>
  <si>
    <t>ADOLFO GONZALEZ CHAVEZ</t>
  </si>
  <si>
    <t>C. DE PATAGONES</t>
  </si>
  <si>
    <t>CORONEL ROSALES</t>
  </si>
  <si>
    <t>GENERAL MADARIAGA</t>
  </si>
  <si>
    <t>LEANDRO ALEM</t>
  </si>
  <si>
    <t xml:space="preserve">LUJÁN  </t>
  </si>
  <si>
    <t xml:space="preserve">MONTE  </t>
  </si>
  <si>
    <t>PUNTA INDIO</t>
  </si>
  <si>
    <t>SALLIQUELLÓ</t>
  </si>
  <si>
    <t>Localidades</t>
  </si>
  <si>
    <t>Inversión</t>
  </si>
  <si>
    <t>Costos Operativos</t>
  </si>
  <si>
    <t>Promedio de t/d separado en origen a 20 años</t>
  </si>
  <si>
    <t>Promedio 20 años de t/d separado en origen</t>
  </si>
  <si>
    <t>Promedio 20 años</t>
  </si>
  <si>
    <t>Valorización de Equipamiento Actual</t>
  </si>
  <si>
    <t>Costo (USD)</t>
  </si>
  <si>
    <t>Suma por localidad en Equipamiento actual para Planta de Clasificación (USD)</t>
  </si>
  <si>
    <t>Suma por localidad en Equipamiento actual para Relleno Sanitario (USD)</t>
  </si>
  <si>
    <t>Suma por Región en Equipamiento actual para Planta de Clasificación (USD)</t>
  </si>
  <si>
    <t>Suma por Región en Equipamiento actual para Relleno Sanitario (USD)</t>
  </si>
  <si>
    <t xml:space="preserve">Autoelevador eléctrico 2500 kg a 7m </t>
  </si>
  <si>
    <t>Minicargador 60hp balde de 0,5 m3</t>
  </si>
  <si>
    <t>Cargador frontal 128 HP</t>
  </si>
  <si>
    <t>Galpón estructura metálica, cubierta y cierres laterales de chapa m2</t>
  </si>
  <si>
    <t xml:space="preserve">Trituradora de escombros </t>
  </si>
  <si>
    <t>Trituradora de residuos</t>
  </si>
  <si>
    <t>Chipeadora</t>
  </si>
  <si>
    <t>Guillotina de neumáticos</t>
  </si>
  <si>
    <t xml:space="preserve">Agrumadora de Poliestileno </t>
  </si>
  <si>
    <t>Molino de vidrio</t>
  </si>
  <si>
    <t>Prensa enfardadora horizontal para latas</t>
  </si>
  <si>
    <t>Prensa enfardadora vertical</t>
  </si>
  <si>
    <t>Línea de enfardado directo de RSU 2 enfardadoras 1 líneas</t>
  </si>
  <si>
    <t>Línea de clasificación  de RSU 50 t/h</t>
  </si>
  <si>
    <t>Línea de clasificación  de RSU 25 t/h</t>
  </si>
  <si>
    <t>Línea de clasificación  de RSU 20 t/h</t>
  </si>
  <si>
    <t>Línea de clasificación  de RSU 15 t/h</t>
  </si>
  <si>
    <t>Línea de clasificación  de RSU 10 t/h</t>
  </si>
  <si>
    <t>Línea de clasificación  de RSU 5 t/h</t>
  </si>
  <si>
    <t>Línea de clasificación  de RSU 3 t/h</t>
  </si>
  <si>
    <t>Báscula electrónica - c/ impresora - cap. 80 tn</t>
  </si>
  <si>
    <t>Topadora sobre orugas 168 hp</t>
  </si>
  <si>
    <t>Excavadora sobre orugas 158 hp</t>
  </si>
  <si>
    <t>Retroexcavadora 101 hp</t>
  </si>
  <si>
    <t>Tractor  88hp</t>
  </si>
  <si>
    <t xml:space="preserve">Pala cargadora 89 hp cap pala 1,4 m3 </t>
  </si>
  <si>
    <t>Motoniveladora con Hoja de 3,7 m 154 HP</t>
  </si>
  <si>
    <t>Auxiliar Inv
(100%)</t>
  </si>
  <si>
    <t>VA Trat-DF</t>
  </si>
  <si>
    <t>Capacidad Compactadores</t>
  </si>
  <si>
    <t>Capacidad volcadores</t>
  </si>
  <si>
    <t>Plan de Inclusión Social (PISO)</t>
  </si>
  <si>
    <t>Plan de Concientización, Educación y Mitigación Ambiental y Social</t>
  </si>
  <si>
    <t>% del Proyecto Total</t>
  </si>
  <si>
    <t>Localidades muy grandes y grandes</t>
  </si>
  <si>
    <t>Localidades medianas</t>
  </si>
  <si>
    <t>Localidades pequeñas y micro</t>
  </si>
  <si>
    <t>Alternativa A. Individual</t>
  </si>
  <si>
    <t>Alternativa B. Regional</t>
  </si>
  <si>
    <t>DF</t>
  </si>
  <si>
    <t>SB</t>
  </si>
  <si>
    <t>COSTOS DE INVERSIÓN</t>
  </si>
  <si>
    <t>VA TOTAL</t>
  </si>
  <si>
    <t>Individual</t>
  </si>
  <si>
    <t>Regional</t>
  </si>
  <si>
    <t>Costo PCyEAS</t>
  </si>
  <si>
    <t>Inversión Total
con Coeficiente de Pase</t>
  </si>
  <si>
    <t>Costo PCyEAS Final</t>
  </si>
  <si>
    <t>Costo Inversión Obra
(Individual)</t>
  </si>
  <si>
    <t>R</t>
  </si>
  <si>
    <t>Localidades donde convenga regionalizar</t>
  </si>
  <si>
    <t>% localidades regionalizables</t>
  </si>
  <si>
    <t>Diferencia de inversión total entre alternativas</t>
  </si>
  <si>
    <t>L</t>
  </si>
  <si>
    <t>Costo Inversión Obra
(Individual o Regional)</t>
  </si>
  <si>
    <t>Localidades donde convenga regionalizar (sin CEAMSE)</t>
  </si>
  <si>
    <t>Nro de localidades totales</t>
  </si>
  <si>
    <t>Nro de localidades (sin CEAMSE)</t>
  </si>
  <si>
    <t>Auxiliar Inv
maquinaria</t>
  </si>
  <si>
    <t>CEAMSE
SI/NO</t>
  </si>
  <si>
    <t>SI</t>
  </si>
  <si>
    <t>Inversión sin CEAMSE</t>
  </si>
  <si>
    <r>
      <t xml:space="preserve">Diferencia de inversión </t>
    </r>
    <r>
      <rPr>
        <b/>
        <sz val="11"/>
        <color theme="1"/>
        <rFont val="Calibri"/>
        <family val="2"/>
        <scheme val="minor"/>
      </rPr>
      <t>SIN CEAMSE</t>
    </r>
    <r>
      <rPr>
        <sz val="11"/>
        <color theme="1"/>
        <rFont val="Calibri"/>
        <family val="2"/>
        <scheme val="minor"/>
      </rPr>
      <t xml:space="preserve"> entre alternativas</t>
    </r>
  </si>
  <si>
    <t>COSTOS POR REGIÓN</t>
  </si>
  <si>
    <t>VA Reg / VA ind (por municipio)</t>
  </si>
  <si>
    <t>VA Reg / VA ind (por región)</t>
  </si>
  <si>
    <t>VA Reg / VA ind (por Prov, excepto regiones ya determinadas)</t>
  </si>
  <si>
    <t>Alternativa Seleccionada de acuerdo a la 1era Regionalización</t>
  </si>
  <si>
    <t>PISO</t>
  </si>
  <si>
    <t>PCyEAS</t>
  </si>
  <si>
    <t>Totales</t>
  </si>
  <si>
    <t>Conveniencia económica s/ perspectiva Regional (L o R)</t>
  </si>
  <si>
    <t>Conveniencia económica s/ perspectiva Municipal (L o R)</t>
  </si>
  <si>
    <t>Menos de 150 RU</t>
  </si>
  <si>
    <t>Más de 150 RU y menos de 1.000 RU</t>
  </si>
  <si>
    <t>Más de 1.000 RU</t>
  </si>
  <si>
    <t>ESTUDIOS DE CARACTERIZACIÓN DE RESIDUOS POR TIPO DE MUNICIPIO (%)</t>
  </si>
  <si>
    <t>AMBA</t>
  </si>
  <si>
    <t>MUY GRANDE</t>
  </si>
  <si>
    <t>GRANDE</t>
  </si>
  <si>
    <t>MEDIANO</t>
  </si>
  <si>
    <t>PEQUEÑO</t>
  </si>
  <si>
    <t>MICRO</t>
  </si>
  <si>
    <t>MATERIAL</t>
  </si>
  <si>
    <t>ORGANICO</t>
  </si>
  <si>
    <t>INORGANICOS</t>
  </si>
  <si>
    <t>VIDRIO</t>
  </si>
  <si>
    <t>PLASTICO</t>
  </si>
  <si>
    <t>PAPEL / CARTÓN</t>
  </si>
  <si>
    <t>METALES</t>
  </si>
  <si>
    <t>TELAS</t>
  </si>
  <si>
    <t>OTROS INORGANICOS</t>
  </si>
  <si>
    <t>VOLUMINOSOS ORGÁNICOS</t>
  </si>
  <si>
    <t>VOLUMINOSOS INORGANICOS</t>
  </si>
  <si>
    <t>PELIGROSOS Y PATOGÉNICOS</t>
  </si>
  <si>
    <t>TOTAL</t>
  </si>
  <si>
    <r>
      <t xml:space="preserve">Precios </t>
    </r>
    <r>
      <rPr>
        <b/>
        <sz val="11"/>
        <color theme="1"/>
        <rFont val="Arial"/>
        <family val="2"/>
      </rPr>
      <t>promedio</t>
    </r>
    <r>
      <rPr>
        <sz val="11"/>
        <color theme="1"/>
        <rFont val="Arial"/>
        <family val="2"/>
      </rPr>
      <t xml:space="preserve"> por kilo</t>
    </r>
  </si>
  <si>
    <t>https://conexionreciclado.com.ar/preciosreciclables/</t>
  </si>
  <si>
    <t>&gt;= 500.001</t>
  </si>
  <si>
    <t>&lt;= 500.000</t>
  </si>
  <si>
    <t>&gt;= 300.001</t>
  </si>
  <si>
    <t>&lt;= 300.000</t>
  </si>
  <si>
    <t>&gt;= 50.001</t>
  </si>
  <si>
    <t>&gt;= 15.001</t>
  </si>
  <si>
    <t>&lt;= 50.000</t>
  </si>
  <si>
    <t>&lt;= 15.000</t>
  </si>
  <si>
    <t>Generación año 10
(Tn/d)</t>
  </si>
  <si>
    <t>Generación año 20
(Tn/d)</t>
  </si>
  <si>
    <t>ES AMBA?</t>
  </si>
  <si>
    <t>CARACTERIZACIÓN</t>
  </si>
  <si>
    <t>Caracterización según generación año 10
(%)</t>
  </si>
  <si>
    <t>Población año 10</t>
  </si>
  <si>
    <t>Población año 20</t>
  </si>
  <si>
    <t>Precio ($/ton) (divido por 1000 xq tengo los precios en $/kg y lo paso a $/ton</t>
  </si>
  <si>
    <t>Nro localidades</t>
  </si>
  <si>
    <t>REGIÓN</t>
  </si>
  <si>
    <t>i (nro localiad)</t>
  </si>
  <si>
    <t>Nro localidad</t>
  </si>
  <si>
    <t>Generación al año 10
(Tn/dìa)</t>
  </si>
  <si>
    <t>% de generación dentro de la región</t>
  </si>
  <si>
    <t>Chequeo</t>
  </si>
  <si>
    <t>Población al año 10</t>
  </si>
  <si>
    <t>Tn/día de cada material</t>
  </si>
  <si>
    <t>$/día de cada material</t>
  </si>
  <si>
    <t>Total $/día</t>
  </si>
  <si>
    <t>Tomar del C539</t>
  </si>
  <si>
    <t>Informes de caracterización SP y Madariaga</t>
  </si>
  <si>
    <t>Caracterizaciones con más apertura</t>
  </si>
  <si>
    <t>REGIÓN BOLÍVAR-CASARES</t>
  </si>
  <si>
    <t>-</t>
  </si>
  <si>
    <t>N°</t>
  </si>
  <si>
    <t>Generado</t>
  </si>
  <si>
    <t>Separado</t>
  </si>
  <si>
    <t>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</si>
</sst>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&quot;$&quot;\ #,##0.00;[Red]&quot;$&quot;\ \-#,##0.00"/>
    <numFmt numFmtId="165" formatCode="0.000%"/>
    <numFmt numFmtId="166" formatCode="0.000"/>
    <numFmt numFmtId="167" formatCode="#,##0;[Red]#,##0"/>
    <numFmt numFmtId="168" formatCode="0.0%"/>
    <numFmt numFmtId="169" formatCode="_-* #,##0.00\ _€_-;\-* #,##0.00\ _€_-;_-* &quot;-&quot;??\ _€_-;_-@_-"/>
    <numFmt numFmtId="170" formatCode="#,##0.0"/>
    <numFmt numFmtId="171" formatCode="0.0"/>
    <numFmt numFmtId="172" formatCode="_(&quot;$&quot;\ * #,##0.00_);_(&quot;$&quot;\ * \(#,##0.00\);_(&quot;$&quot;\ * &quot;-&quot;??_);_(@_)"/>
    <numFmt numFmtId="173" formatCode="&quot;$&quot;\ #,##0"/>
    <numFmt numFmtId="174" formatCode="_ &quot;$&quot;\ * #,##0.00_ ;_ &quot;$&quot;\ * \-#,##0.00_ ;_ &quot;$&quot;\ * &quot;-&quot;??_ ;_ @_ "/>
    <numFmt numFmtId="175" formatCode="_-[$USD]\ * #,##0_-;\-[$USD]\ * #,##0_-;_-[$USD]\ * &quot;-&quot;_-;_-@_-"/>
    <numFmt numFmtId="176" formatCode="#,##0.00_ ;[Red]\-#,##0.00\ "/>
    <numFmt numFmtId="177" formatCode="[$USD]\ #,##0.00"/>
    <numFmt numFmtId="178" formatCode="#,##0.000000"/>
    <numFmt numFmtId="179" formatCode="_-* #,##0\ _€_-;\-* #,##0\ _€_-;_-* &quot;-&quot;??\ _€_-;_-@_-"/>
    <numFmt numFmtId="180" formatCode="#,##0.000000000"/>
  </numFmts>
  <fonts count="5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Roman"/>
    </font>
    <font>
      <b/>
      <sz val="10"/>
      <name val="Arial"/>
      <family val="2"/>
    </font>
    <font>
      <b/>
      <sz val="8"/>
      <name val="Arial"/>
      <family val="2"/>
    </font>
    <font>
      <sz val="10"/>
      <name val="Arial CE"/>
    </font>
    <font>
      <b/>
      <sz val="10"/>
      <name val="Arial CE"/>
    </font>
    <font>
      <b/>
      <sz val="9"/>
      <name val="Arial"/>
      <family val="2"/>
    </font>
    <font>
      <sz val="10"/>
      <name val="Courier New CE"/>
    </font>
    <font>
      <sz val="8"/>
      <name val="Arial"/>
      <family val="2"/>
    </font>
    <font>
      <b/>
      <sz val="11"/>
      <name val="Arial"/>
      <family val="2"/>
    </font>
    <font>
      <b/>
      <sz val="8"/>
      <color rgb="FF0070C0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ourier New CE"/>
    </font>
    <font>
      <b/>
      <sz val="20"/>
      <name val="Arial"/>
      <family val="2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rgb="FF000000"/>
      <name val="Arial"/>
      <family val="2"/>
    </font>
    <font>
      <b/>
      <sz val="12"/>
      <color theme="1"/>
      <name val="Arial"/>
      <family val="2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b/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24"/>
      <color theme="1"/>
      <name val="Calibri"/>
      <family val="2"/>
      <scheme val="minor"/>
    </font>
    <font>
      <b/>
      <sz val="12"/>
      <color theme="0"/>
      <name val="Arial"/>
      <family val="2"/>
    </font>
    <font>
      <sz val="10"/>
      <color theme="1"/>
      <name val="Arial"/>
      <family val="2"/>
    </font>
    <font>
      <b/>
      <sz val="14"/>
      <color rgb="FF0070C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70C0"/>
      <name val="Calibri"/>
      <family val="2"/>
      <scheme val="minor"/>
    </font>
    <font>
      <i/>
      <sz val="10"/>
      <color theme="1"/>
      <name val="Arial"/>
      <family val="2"/>
    </font>
    <font>
      <b/>
      <sz val="11"/>
      <color rgb="FFFF0000"/>
      <name val="Arial"/>
      <family val="2"/>
    </font>
    <font>
      <b/>
      <u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65E0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theme="4"/>
      </patternFill>
    </fill>
    <fill>
      <patternFill patternType="solid">
        <fgColor rgb="FFFFC000"/>
        <bgColor theme="4"/>
      </patternFill>
    </fill>
    <fill>
      <patternFill patternType="solid">
        <fgColor rgb="FFDC923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theme="4"/>
      </patternFill>
    </fill>
    <fill>
      <patternFill patternType="solid">
        <fgColor theme="6" tint="0.39997558519241921"/>
        <bgColor theme="4"/>
      </patternFill>
    </fill>
    <fill>
      <patternFill patternType="solid">
        <fgColor rgb="FF9966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8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medium">
        <color auto="1"/>
      </bottom>
      <diagonal/>
    </border>
    <border>
      <left style="medium">
        <color auto="1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 style="medium">
        <color indexed="64"/>
      </top>
      <bottom style="medium">
        <color rgb="FFFF0000"/>
      </bottom>
      <diagonal/>
    </border>
    <border>
      <left/>
      <right/>
      <top style="medium">
        <color indexed="64"/>
      </top>
      <bottom style="medium">
        <color rgb="FFFF0000"/>
      </bottom>
      <diagonal/>
    </border>
    <border>
      <left/>
      <right style="medium">
        <color rgb="FFFF0000"/>
      </right>
      <top style="medium">
        <color indexed="64"/>
      </top>
      <bottom style="medium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rgb="FFFF0000"/>
      </right>
      <top style="medium">
        <color indexed="64"/>
      </top>
      <bottom/>
      <diagonal/>
    </border>
  </borders>
  <cellStyleXfs count="18">
    <xf numFmtId="0" fontId="0" fillId="0" borderId="0"/>
    <xf numFmtId="0" fontId="5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0" fontId="5" fillId="0" borderId="0"/>
    <xf numFmtId="0" fontId="18" fillId="0" borderId="0"/>
    <xf numFmtId="9" fontId="5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0" fontId="34" fillId="0" borderId="0"/>
    <xf numFmtId="0" fontId="9" fillId="0" borderId="0"/>
    <xf numFmtId="169" fontId="34" fillId="0" borderId="0" applyFont="0" applyFill="0" applyBorder="0" applyAlignment="0" applyProtection="0"/>
    <xf numFmtId="172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9" fillId="0" borderId="0"/>
    <xf numFmtId="44" fontId="9" fillId="0" borderId="0" applyFont="0" applyFill="0" applyBorder="0" applyAlignment="0" applyProtection="0"/>
  </cellStyleXfs>
  <cellXfs count="995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  <xf numFmtId="164" fontId="0" fillId="2" borderId="0" xfId="0" quotePrefix="1" applyNumberFormat="1" applyFill="1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1" fillId="0" borderId="3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4" fontId="0" fillId="0" borderId="0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4" fontId="0" fillId="0" borderId="6" xfId="0" applyNumberFormat="1" applyBorder="1" applyAlignment="1">
      <alignment vertical="center"/>
    </xf>
    <xf numFmtId="4" fontId="3" fillId="0" borderId="6" xfId="0" applyNumberFormat="1" applyFont="1" applyBorder="1" applyAlignment="1">
      <alignment vertical="center"/>
    </xf>
    <xf numFmtId="164" fontId="1" fillId="0" borderId="6" xfId="0" applyNumberFormat="1" applyFon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4" fontId="2" fillId="0" borderId="3" xfId="0" applyNumberFormat="1" applyFont="1" applyBorder="1" applyAlignment="1">
      <alignment vertical="center"/>
    </xf>
    <xf numFmtId="4" fontId="2" fillId="0" borderId="0" xfId="0" applyNumberFormat="1" applyFont="1" applyBorder="1" applyAlignment="1">
      <alignment vertical="center"/>
    </xf>
    <xf numFmtId="164" fontId="0" fillId="0" borderId="9" xfId="0" applyNumberFormat="1" applyBorder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4" fontId="0" fillId="0" borderId="0" xfId="0" applyNumberFormat="1" applyFill="1" applyBorder="1" applyAlignment="1">
      <alignment vertical="center"/>
    </xf>
    <xf numFmtId="164" fontId="1" fillId="0" borderId="6" xfId="0" applyNumberFormat="1" applyFont="1" applyFill="1" applyBorder="1" applyAlignment="1">
      <alignment vertical="center"/>
    </xf>
    <xf numFmtId="164" fontId="0" fillId="0" borderId="3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4" fontId="1" fillId="0" borderId="6" xfId="0" applyNumberFormat="1" applyFont="1" applyFill="1" applyBorder="1" applyAlignment="1">
      <alignment vertical="center"/>
    </xf>
    <xf numFmtId="4" fontId="0" fillId="0" borderId="3" xfId="0" applyNumberFormat="1" applyFill="1" applyBorder="1" applyAlignment="1">
      <alignment vertical="center"/>
    </xf>
    <xf numFmtId="4" fontId="0" fillId="3" borderId="3" xfId="0" applyNumberFormat="1" applyFill="1" applyBorder="1" applyAlignment="1">
      <alignment vertical="center"/>
    </xf>
    <xf numFmtId="4" fontId="0" fillId="3" borderId="0" xfId="0" applyNumberFormat="1" applyFill="1" applyBorder="1" applyAlignment="1">
      <alignment vertical="center"/>
    </xf>
    <xf numFmtId="4" fontId="1" fillId="4" borderId="6" xfId="0" applyNumberFormat="1" applyFont="1" applyFill="1" applyBorder="1" applyAlignment="1">
      <alignment vertical="center"/>
    </xf>
    <xf numFmtId="0" fontId="1" fillId="0" borderId="10" xfId="0" applyFont="1" applyBorder="1" applyAlignment="1">
      <alignment horizontal="left" vertical="center"/>
    </xf>
    <xf numFmtId="0" fontId="1" fillId="0" borderId="11" xfId="0" applyFont="1" applyBorder="1" applyAlignment="1">
      <alignment vertical="center"/>
    </xf>
    <xf numFmtId="164" fontId="1" fillId="0" borderId="0" xfId="0" applyNumberFormat="1" applyFont="1" applyBorder="1" applyAlignment="1">
      <alignment vertical="center"/>
    </xf>
    <xf numFmtId="4" fontId="0" fillId="0" borderId="4" xfId="0" applyNumberFormat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0" fillId="0" borderId="0" xfId="1" applyFont="1" applyAlignment="1">
      <alignment vertical="center"/>
    </xf>
    <xf numFmtId="0" fontId="9" fillId="0" borderId="0" xfId="2"/>
    <xf numFmtId="0" fontId="1" fillId="0" borderId="0" xfId="2" applyFont="1" applyBorder="1" applyAlignment="1">
      <alignment horizontal="center" vertical="center"/>
    </xf>
    <xf numFmtId="0" fontId="9" fillId="0" borderId="0" xfId="2" applyAlignment="1">
      <alignment vertical="center"/>
    </xf>
    <xf numFmtId="0" fontId="11" fillId="0" borderId="0" xfId="2" applyFont="1" applyAlignment="1">
      <alignment vertical="center"/>
    </xf>
    <xf numFmtId="0" fontId="12" fillId="0" borderId="15" xfId="2" applyFont="1" applyBorder="1" applyAlignment="1">
      <alignment horizontal="center" vertical="center" wrapText="1"/>
    </xf>
    <xf numFmtId="0" fontId="12" fillId="0" borderId="16" xfId="2" applyFont="1" applyBorder="1" applyAlignment="1">
      <alignment horizontal="center" vertical="center" wrapText="1"/>
    </xf>
    <xf numFmtId="0" fontId="12" fillId="0" borderId="17" xfId="2" applyFont="1" applyBorder="1" applyAlignment="1">
      <alignment horizontal="center" vertical="center" wrapText="1"/>
    </xf>
    <xf numFmtId="0" fontId="9" fillId="0" borderId="0" xfId="2" applyFont="1" applyAlignment="1">
      <alignment horizontal="center" vertical="center"/>
    </xf>
    <xf numFmtId="0" fontId="1" fillId="0" borderId="0" xfId="2" applyFont="1" applyAlignment="1">
      <alignment horizontal="center" vertical="center"/>
    </xf>
    <xf numFmtId="0" fontId="9" fillId="0" borderId="0" xfId="2" applyFont="1" applyAlignment="1">
      <alignment vertical="center"/>
    </xf>
    <xf numFmtId="0" fontId="1" fillId="0" borderId="5" xfId="2" applyFont="1" applyBorder="1" applyAlignment="1">
      <alignment horizontal="center" vertical="center"/>
    </xf>
    <xf numFmtId="0" fontId="1" fillId="0" borderId="17" xfId="2" applyFont="1" applyBorder="1" applyAlignment="1">
      <alignment vertical="center"/>
    </xf>
    <xf numFmtId="0" fontId="1" fillId="0" borderId="18" xfId="2" applyFont="1" applyBorder="1" applyAlignment="1">
      <alignment vertical="center"/>
    </xf>
    <xf numFmtId="0" fontId="1" fillId="0" borderId="19" xfId="2" applyFont="1" applyBorder="1" applyAlignment="1">
      <alignment horizontal="center" vertical="center"/>
    </xf>
    <xf numFmtId="0" fontId="1" fillId="0" borderId="20" xfId="2" applyFont="1" applyBorder="1" applyAlignment="1">
      <alignment horizontal="center" vertical="center"/>
    </xf>
    <xf numFmtId="0" fontId="1" fillId="0" borderId="20" xfId="2" applyFont="1" applyFill="1" applyBorder="1" applyAlignment="1">
      <alignment horizontal="center" vertical="center"/>
    </xf>
    <xf numFmtId="0" fontId="1" fillId="0" borderId="21" xfId="2" applyFont="1" applyFill="1" applyBorder="1" applyAlignment="1">
      <alignment horizontal="center" vertical="center"/>
    </xf>
    <xf numFmtId="0" fontId="1" fillId="0" borderId="14" xfId="2" applyFont="1" applyBorder="1" applyAlignment="1">
      <alignment horizontal="center" vertical="center"/>
    </xf>
    <xf numFmtId="0" fontId="1" fillId="0" borderId="0" xfId="2" applyFont="1" applyAlignment="1">
      <alignment horizontal="center" vertical="center" wrapText="1"/>
    </xf>
    <xf numFmtId="0" fontId="1" fillId="6" borderId="21" xfId="2" applyFont="1" applyFill="1" applyBorder="1" applyAlignment="1">
      <alignment horizontal="center" vertical="center"/>
    </xf>
    <xf numFmtId="0" fontId="9" fillId="0" borderId="22" xfId="2" applyFont="1" applyBorder="1" applyAlignment="1">
      <alignment horizontal="center" vertical="center"/>
    </xf>
    <xf numFmtId="0" fontId="9" fillId="0" borderId="23" xfId="2" applyFont="1" applyBorder="1" applyAlignment="1">
      <alignment horizontal="center" vertical="center"/>
    </xf>
    <xf numFmtId="0" fontId="9" fillId="0" borderId="23" xfId="2" applyFont="1" applyBorder="1" applyAlignment="1">
      <alignment horizontal="left" vertical="center"/>
    </xf>
    <xf numFmtId="3" fontId="11" fillId="0" borderId="22" xfId="1" applyNumberFormat="1" applyFont="1" applyFill="1" applyBorder="1" applyAlignment="1">
      <alignment horizontal="right" vertical="center"/>
    </xf>
    <xf numFmtId="3" fontId="9" fillId="0" borderId="25" xfId="2" applyNumberFormat="1" applyFill="1" applyBorder="1" applyAlignment="1">
      <alignment vertical="center"/>
    </xf>
    <xf numFmtId="0" fontId="9" fillId="0" borderId="26" xfId="2" applyFont="1" applyFill="1" applyBorder="1" applyAlignment="1">
      <alignment horizontal="center" vertical="center"/>
    </xf>
    <xf numFmtId="0" fontId="5" fillId="0" borderId="0" xfId="2" applyFont="1" applyAlignment="1">
      <alignment vertical="center"/>
    </xf>
    <xf numFmtId="0" fontId="9" fillId="0" borderId="27" xfId="2" applyFont="1" applyBorder="1" applyAlignment="1">
      <alignment horizontal="center" vertical="center"/>
    </xf>
    <xf numFmtId="0" fontId="9" fillId="0" borderId="28" xfId="2" applyFont="1" applyBorder="1" applyAlignment="1">
      <alignment horizontal="center" vertical="center"/>
    </xf>
    <xf numFmtId="0" fontId="9" fillId="0" borderId="28" xfId="2" applyFont="1" applyBorder="1" applyAlignment="1">
      <alignment horizontal="left" vertical="center"/>
    </xf>
    <xf numFmtId="3" fontId="11" fillId="0" borderId="27" xfId="1" applyNumberFormat="1" applyFont="1" applyFill="1" applyBorder="1" applyAlignment="1">
      <alignment horizontal="right" vertical="center"/>
    </xf>
    <xf numFmtId="0" fontId="13" fillId="0" borderId="0" xfId="2" applyFont="1" applyAlignment="1">
      <alignment vertical="center"/>
    </xf>
    <xf numFmtId="0" fontId="9" fillId="3" borderId="27" xfId="3" applyFont="1" applyFill="1" applyBorder="1" applyAlignment="1">
      <alignment horizontal="center" vertical="center"/>
    </xf>
    <xf numFmtId="0" fontId="9" fillId="3" borderId="28" xfId="3" applyFont="1" applyFill="1" applyBorder="1" applyAlignment="1">
      <alignment horizontal="center" vertical="center"/>
    </xf>
    <xf numFmtId="0" fontId="9" fillId="3" borderId="28" xfId="3" applyFont="1" applyFill="1" applyBorder="1" applyAlignment="1">
      <alignment horizontal="left" vertical="center"/>
    </xf>
    <xf numFmtId="3" fontId="14" fillId="3" borderId="27" xfId="1" applyNumberFormat="1" applyFont="1" applyFill="1" applyBorder="1" applyAlignment="1">
      <alignment horizontal="right" vertical="center"/>
    </xf>
    <xf numFmtId="3" fontId="9" fillId="3" borderId="25" xfId="3" applyNumberFormat="1" applyFill="1" applyBorder="1" applyAlignment="1">
      <alignment vertical="center"/>
    </xf>
    <xf numFmtId="0" fontId="1" fillId="3" borderId="26" xfId="3" applyFont="1" applyFill="1" applyBorder="1" applyAlignment="1">
      <alignment horizontal="center" vertical="center"/>
    </xf>
    <xf numFmtId="0" fontId="13" fillId="0" borderId="0" xfId="3" applyFont="1" applyAlignment="1">
      <alignment vertical="center"/>
    </xf>
    <xf numFmtId="0" fontId="9" fillId="0" borderId="0" xfId="3" applyFont="1" applyAlignment="1">
      <alignment vertical="center"/>
    </xf>
    <xf numFmtId="3" fontId="9" fillId="0" borderId="25" xfId="3" applyNumberFormat="1" applyFill="1" applyBorder="1" applyAlignment="1">
      <alignment vertical="center"/>
    </xf>
    <xf numFmtId="0" fontId="9" fillId="0" borderId="0" xfId="3"/>
    <xf numFmtId="49" fontId="9" fillId="0" borderId="27" xfId="2" applyNumberFormat="1" applyFont="1" applyBorder="1" applyAlignment="1">
      <alignment horizontal="center" vertical="center"/>
    </xf>
    <xf numFmtId="0" fontId="5" fillId="0" borderId="0" xfId="3" applyFont="1" applyAlignment="1">
      <alignment vertical="center"/>
    </xf>
    <xf numFmtId="0" fontId="9" fillId="0" borderId="27" xfId="2" applyNumberFormat="1" applyFont="1" applyBorder="1" applyAlignment="1">
      <alignment horizontal="center" vertical="center"/>
    </xf>
    <xf numFmtId="49" fontId="9" fillId="0" borderId="28" xfId="2" applyNumberFormat="1" applyFont="1" applyBorder="1" applyAlignment="1">
      <alignment horizontal="left" vertical="center"/>
    </xf>
    <xf numFmtId="0" fontId="9" fillId="0" borderId="28" xfId="2" applyNumberFormat="1" applyFont="1" applyBorder="1" applyAlignment="1">
      <alignment horizontal="left" vertical="center"/>
    </xf>
    <xf numFmtId="0" fontId="9" fillId="3" borderId="28" xfId="3" applyNumberFormat="1" applyFont="1" applyFill="1" applyBorder="1" applyAlignment="1">
      <alignment horizontal="left" vertical="center"/>
    </xf>
    <xf numFmtId="0" fontId="9" fillId="3" borderId="31" xfId="3" applyFont="1" applyFill="1" applyBorder="1" applyAlignment="1">
      <alignment horizontal="center" vertical="center"/>
    </xf>
    <xf numFmtId="0" fontId="9" fillId="3" borderId="32" xfId="3" applyFont="1" applyFill="1" applyBorder="1" applyAlignment="1">
      <alignment horizontal="center" vertical="center"/>
    </xf>
    <xf numFmtId="0" fontId="9" fillId="3" borderId="32" xfId="3" applyNumberFormat="1" applyFont="1" applyFill="1" applyBorder="1" applyAlignment="1">
      <alignment horizontal="left" vertical="center"/>
    </xf>
    <xf numFmtId="3" fontId="14" fillId="3" borderId="31" xfId="1" applyNumberFormat="1" applyFont="1" applyFill="1" applyBorder="1" applyAlignment="1">
      <alignment horizontal="right" vertical="center"/>
    </xf>
    <xf numFmtId="3" fontId="9" fillId="3" borderId="33" xfId="3" applyNumberFormat="1" applyFill="1" applyBorder="1" applyAlignment="1">
      <alignment vertical="center"/>
    </xf>
    <xf numFmtId="0" fontId="1" fillId="3" borderId="34" xfId="3" applyFont="1" applyFill="1" applyBorder="1" applyAlignment="1">
      <alignment horizontal="center" vertical="center"/>
    </xf>
    <xf numFmtId="3" fontId="9" fillId="0" borderId="33" xfId="3" applyNumberFormat="1" applyFill="1" applyBorder="1" applyAlignment="1">
      <alignment vertical="center"/>
    </xf>
    <xf numFmtId="0" fontId="9" fillId="0" borderId="0" xfId="3" applyFill="1" applyBorder="1"/>
    <xf numFmtId="0" fontId="9" fillId="0" borderId="0" xfId="2" applyFill="1" applyBorder="1"/>
    <xf numFmtId="0" fontId="13" fillId="0" borderId="4" xfId="3" applyFont="1" applyFill="1" applyBorder="1" applyAlignment="1">
      <alignment vertical="center"/>
    </xf>
    <xf numFmtId="0" fontId="9" fillId="0" borderId="36" xfId="2" applyFont="1" applyFill="1" applyBorder="1" applyAlignment="1">
      <alignment horizontal="center" vertical="center"/>
    </xf>
    <xf numFmtId="0" fontId="5" fillId="0" borderId="4" xfId="2" applyFont="1" applyBorder="1" applyAlignment="1">
      <alignment vertical="center"/>
    </xf>
    <xf numFmtId="0" fontId="1" fillId="3" borderId="37" xfId="3" applyFont="1" applyFill="1" applyBorder="1" applyAlignment="1">
      <alignment horizontal="center" vertical="center"/>
    </xf>
    <xf numFmtId="0" fontId="1" fillId="0" borderId="11" xfId="2" applyFont="1" applyBorder="1" applyAlignment="1">
      <alignment horizontal="center" vertical="center"/>
    </xf>
    <xf numFmtId="3" fontId="1" fillId="0" borderId="19" xfId="2" applyNumberFormat="1" applyFont="1" applyBorder="1" applyAlignment="1">
      <alignment vertical="center"/>
    </xf>
    <xf numFmtId="3" fontId="1" fillId="0" borderId="38" xfId="2" applyNumberFormat="1" applyFont="1" applyBorder="1" applyAlignment="1">
      <alignment vertical="center"/>
    </xf>
    <xf numFmtId="3" fontId="1" fillId="0" borderId="39" xfId="2" applyNumberFormat="1" applyFont="1" applyBorder="1" applyAlignment="1">
      <alignment vertical="center"/>
    </xf>
    <xf numFmtId="3" fontId="9" fillId="0" borderId="0" xfId="2" applyNumberFormat="1"/>
    <xf numFmtId="0" fontId="9" fillId="0" borderId="0" xfId="2" applyFont="1"/>
    <xf numFmtId="0" fontId="9" fillId="0" borderId="3" xfId="2" applyBorder="1"/>
    <xf numFmtId="3" fontId="9" fillId="0" borderId="3" xfId="2" applyNumberFormat="1" applyBorder="1"/>
    <xf numFmtId="3" fontId="1" fillId="0" borderId="0" xfId="2" applyNumberFormat="1" applyFont="1" applyBorder="1" applyAlignment="1">
      <alignment vertical="center"/>
    </xf>
    <xf numFmtId="3" fontId="9" fillId="0" borderId="0" xfId="2" applyNumberFormat="1" applyBorder="1" applyAlignment="1">
      <alignment vertical="center"/>
    </xf>
    <xf numFmtId="10" fontId="9" fillId="0" borderId="0" xfId="4" applyNumberFormat="1" applyFont="1"/>
    <xf numFmtId="0" fontId="1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4" fontId="0" fillId="3" borderId="11" xfId="0" applyNumberFormat="1" applyFill="1" applyBorder="1" applyAlignment="1">
      <alignment vertical="center"/>
    </xf>
    <xf numFmtId="0" fontId="16" fillId="0" borderId="0" xfId="5" applyFont="1" applyFill="1" applyAlignment="1">
      <alignment horizontal="left" vertical="center" wrapText="1"/>
    </xf>
    <xf numFmtId="0" fontId="5" fillId="0" borderId="0" xfId="5" applyFill="1" applyAlignment="1">
      <alignment horizontal="left" wrapText="1"/>
    </xf>
    <xf numFmtId="0" fontId="16" fillId="0" borderId="0" xfId="5" applyFont="1" applyFill="1" applyAlignment="1">
      <alignment vertical="center"/>
    </xf>
    <xf numFmtId="3" fontId="5" fillId="0" borderId="0" xfId="5" applyNumberFormat="1" applyFill="1" applyAlignment="1">
      <alignment horizontal="left" wrapText="1"/>
    </xf>
    <xf numFmtId="0" fontId="5" fillId="0" borderId="0" xfId="5" applyFont="1" applyFill="1" applyAlignment="1">
      <alignment horizontal="left" wrapText="1"/>
    </xf>
    <xf numFmtId="0" fontId="5" fillId="0" borderId="0" xfId="5" applyFont="1" applyFill="1" applyAlignment="1">
      <alignment vertical="center"/>
    </xf>
    <xf numFmtId="0" fontId="16" fillId="0" borderId="0" xfId="5" applyFont="1" applyFill="1" applyAlignment="1">
      <alignment horizontal="center" vertical="center"/>
    </xf>
    <xf numFmtId="0" fontId="16" fillId="0" borderId="0" xfId="5" applyFont="1" applyFill="1" applyBorder="1" applyAlignment="1">
      <alignment vertical="center" wrapText="1"/>
    </xf>
    <xf numFmtId="0" fontId="16" fillId="0" borderId="0" xfId="5" applyFont="1" applyFill="1" applyBorder="1" applyAlignment="1">
      <alignment vertical="center"/>
    </xf>
    <xf numFmtId="0" fontId="16" fillId="0" borderId="0" xfId="5" applyFont="1" applyFill="1" applyBorder="1" applyAlignment="1">
      <alignment horizontal="center" vertical="center"/>
    </xf>
    <xf numFmtId="1" fontId="19" fillId="0" borderId="0" xfId="6" applyNumberFormat="1" applyFont="1" applyAlignment="1">
      <alignment vertical="center"/>
    </xf>
    <xf numFmtId="0" fontId="17" fillId="0" borderId="0" xfId="5" applyFont="1" applyFill="1" applyAlignment="1">
      <alignment horizontal="center" vertical="center" wrapText="1"/>
    </xf>
    <xf numFmtId="0" fontId="20" fillId="7" borderId="0" xfId="5" applyFont="1" applyFill="1" applyAlignment="1">
      <alignment horizontal="center" vertical="center" wrapText="1"/>
    </xf>
    <xf numFmtId="0" fontId="17" fillId="0" borderId="0" xfId="5" applyFont="1" applyFill="1" applyAlignment="1">
      <alignment horizontal="center" vertical="center"/>
    </xf>
    <xf numFmtId="0" fontId="5" fillId="8" borderId="0" xfId="5" applyFont="1" applyFill="1" applyAlignment="1">
      <alignment wrapText="1"/>
    </xf>
    <xf numFmtId="0" fontId="5" fillId="8" borderId="0" xfId="5" applyNumberFormat="1" applyFont="1" applyFill="1" applyAlignment="1" applyProtection="1">
      <alignment horizontal="left" vertical="center"/>
      <protection locked="0"/>
    </xf>
    <xf numFmtId="3" fontId="5" fillId="8" borderId="0" xfId="5" applyNumberFormat="1" applyFont="1" applyFill="1" applyAlignment="1">
      <alignment horizontal="right" vertical="center" wrapText="1"/>
    </xf>
    <xf numFmtId="3" fontId="5" fillId="8" borderId="0" xfId="5" applyNumberFormat="1" applyFont="1" applyFill="1" applyAlignment="1" applyProtection="1">
      <alignment horizontal="right" vertical="center"/>
      <protection locked="0"/>
    </xf>
    <xf numFmtId="3" fontId="21" fillId="8" borderId="0" xfId="6" applyNumberFormat="1" applyFont="1" applyFill="1"/>
    <xf numFmtId="3" fontId="5" fillId="0" borderId="0" xfId="5" applyNumberFormat="1" applyFill="1"/>
    <xf numFmtId="10" fontId="0" fillId="0" borderId="0" xfId="7" applyNumberFormat="1" applyFont="1" applyFill="1"/>
    <xf numFmtId="165" fontId="0" fillId="0" borderId="0" xfId="7" applyNumberFormat="1" applyFont="1" applyFill="1"/>
    <xf numFmtId="165" fontId="20" fillId="7" borderId="0" xfId="7" applyNumberFormat="1" applyFont="1" applyFill="1" applyAlignment="1">
      <alignment horizontal="center" vertical="center"/>
    </xf>
    <xf numFmtId="3" fontId="5" fillId="0" borderId="0" xfId="5" applyNumberFormat="1" applyFill="1" applyAlignment="1">
      <alignment horizontal="center" vertical="center"/>
    </xf>
    <xf numFmtId="165" fontId="0" fillId="0" borderId="0" xfId="7" applyNumberFormat="1" applyFont="1" applyFill="1" applyAlignment="1">
      <alignment horizontal="center" vertical="center"/>
    </xf>
    <xf numFmtId="3" fontId="5" fillId="0" borderId="0" xfId="5" applyNumberFormat="1" applyFill="1" applyAlignment="1">
      <alignment vertical="center"/>
    </xf>
    <xf numFmtId="10" fontId="0" fillId="0" borderId="0" xfId="7" applyNumberFormat="1" applyFont="1" applyFill="1" applyAlignment="1">
      <alignment vertical="center"/>
    </xf>
    <xf numFmtId="165" fontId="0" fillId="0" borderId="0" xfId="7" applyNumberFormat="1" applyFont="1" applyFill="1" applyAlignment="1">
      <alignment vertical="center"/>
    </xf>
    <xf numFmtId="166" fontId="22" fillId="0" borderId="0" xfId="5" applyNumberFormat="1" applyFont="1" applyFill="1" applyAlignment="1">
      <alignment horizontal="center" vertical="center"/>
    </xf>
    <xf numFmtId="3" fontId="22" fillId="0" borderId="0" xfId="5" applyNumberFormat="1" applyFont="1" applyFill="1" applyAlignment="1">
      <alignment horizontal="center" vertical="center"/>
    </xf>
    <xf numFmtId="2" fontId="22" fillId="0" borderId="0" xfId="5" applyNumberFormat="1" applyFont="1" applyFill="1" applyAlignment="1">
      <alignment horizontal="center" vertical="center"/>
    </xf>
    <xf numFmtId="0" fontId="5" fillId="0" borderId="0" xfId="5" applyFill="1" applyAlignment="1">
      <alignment vertical="center"/>
    </xf>
    <xf numFmtId="0" fontId="5" fillId="0" borderId="0" xfId="5" applyFill="1"/>
    <xf numFmtId="0" fontId="5" fillId="8" borderId="0" xfId="5" applyFont="1" applyFill="1"/>
    <xf numFmtId="3" fontId="5" fillId="8" borderId="0" xfId="5" applyNumberFormat="1" applyFont="1" applyFill="1" applyAlignment="1">
      <alignment horizontal="right" vertical="center"/>
    </xf>
    <xf numFmtId="3" fontId="5" fillId="8" borderId="0" xfId="5" applyNumberFormat="1" applyFont="1" applyFill="1" applyAlignment="1" applyProtection="1">
      <alignment horizontal="right"/>
      <protection locked="0"/>
    </xf>
    <xf numFmtId="0" fontId="5" fillId="0" borderId="0" xfId="5" applyFont="1" applyFill="1"/>
    <xf numFmtId="0" fontId="5" fillId="8" borderId="0" xfId="5" applyNumberFormat="1" applyFont="1" applyFill="1" applyAlignment="1" applyProtection="1">
      <alignment horizontal="left"/>
      <protection locked="0"/>
    </xf>
    <xf numFmtId="10" fontId="0" fillId="9" borderId="0" xfId="7" applyNumberFormat="1" applyFont="1" applyFill="1"/>
    <xf numFmtId="10" fontId="0" fillId="8" borderId="0" xfId="7" applyNumberFormat="1" applyFont="1" applyFill="1"/>
    <xf numFmtId="0" fontId="5" fillId="5" borderId="0" xfId="5" applyFont="1" applyFill="1" applyAlignment="1">
      <alignment wrapText="1"/>
    </xf>
    <xf numFmtId="0" fontId="5" fillId="5" borderId="0" xfId="5" applyNumberFormat="1" applyFont="1" applyFill="1" applyAlignment="1" applyProtection="1">
      <alignment horizontal="left"/>
      <protection locked="0"/>
    </xf>
    <xf numFmtId="49" fontId="5" fillId="5" borderId="0" xfId="5" applyNumberFormat="1" applyFont="1" applyFill="1" applyAlignment="1" applyProtection="1">
      <alignment horizontal="left" vertical="top"/>
    </xf>
    <xf numFmtId="3" fontId="5" fillId="5" borderId="0" xfId="5" applyNumberFormat="1" applyFont="1" applyFill="1" applyAlignment="1">
      <alignment vertical="top"/>
    </xf>
    <xf numFmtId="3" fontId="5" fillId="5" borderId="0" xfId="5" applyNumberFormat="1" applyFont="1" applyFill="1" applyAlignment="1" applyProtection="1">
      <alignment horizontal="right"/>
      <protection locked="0"/>
    </xf>
    <xf numFmtId="3" fontId="21" fillId="5" borderId="0" xfId="6" applyNumberFormat="1" applyFont="1" applyFill="1"/>
    <xf numFmtId="49" fontId="5" fillId="5" borderId="0" xfId="5" applyNumberFormat="1" applyFont="1" applyFill="1" applyAlignment="1">
      <alignment vertical="top"/>
    </xf>
    <xf numFmtId="49" fontId="5" fillId="5" borderId="0" xfId="5" applyNumberFormat="1" applyFont="1" applyFill="1" applyAlignment="1" applyProtection="1">
      <alignment vertical="top"/>
    </xf>
    <xf numFmtId="165" fontId="23" fillId="10" borderId="0" xfId="7" applyNumberFormat="1" applyFont="1" applyFill="1" applyAlignment="1">
      <alignment horizontal="center" vertical="center"/>
    </xf>
    <xf numFmtId="3" fontId="24" fillId="0" borderId="0" xfId="5" applyNumberFormat="1" applyFont="1" applyFill="1" applyAlignment="1">
      <alignment horizontal="center" vertical="center"/>
    </xf>
    <xf numFmtId="3" fontId="17" fillId="0" borderId="0" xfId="5" applyNumberFormat="1" applyFont="1" applyFill="1" applyAlignment="1">
      <alignment horizontal="center" vertical="center"/>
    </xf>
    <xf numFmtId="3" fontId="17" fillId="0" borderId="0" xfId="8" applyNumberFormat="1" applyFont="1" applyFill="1" applyAlignment="1">
      <alignment horizontal="center" vertical="center"/>
    </xf>
    <xf numFmtId="165" fontId="5" fillId="0" borderId="0" xfId="7" applyNumberFormat="1" applyFont="1" applyFill="1"/>
    <xf numFmtId="0" fontId="25" fillId="5" borderId="0" xfId="5" applyNumberFormat="1" applyFont="1" applyFill="1" applyAlignment="1" applyProtection="1">
      <alignment horizontal="left"/>
    </xf>
    <xf numFmtId="167" fontId="5" fillId="5" borderId="0" xfId="5" applyNumberFormat="1" applyFont="1" applyFill="1" applyAlignment="1">
      <alignment vertical="top"/>
    </xf>
    <xf numFmtId="49" fontId="5" fillId="5" borderId="0" xfId="5" applyNumberFormat="1" applyFont="1" applyFill="1" applyAlignment="1">
      <alignment horizontal="left" vertical="top"/>
    </xf>
    <xf numFmtId="49" fontId="26" fillId="5" borderId="0" xfId="5" applyNumberFormat="1" applyFont="1" applyFill="1" applyAlignment="1">
      <alignment horizontal="left" vertical="center"/>
    </xf>
    <xf numFmtId="49" fontId="26" fillId="5" borderId="0" xfId="5" applyNumberFormat="1" applyFont="1" applyFill="1" applyAlignment="1">
      <alignment horizontal="left" vertical="top"/>
    </xf>
    <xf numFmtId="3" fontId="26" fillId="5" borderId="0" xfId="5" applyNumberFormat="1" applyFont="1" applyFill="1" applyAlignment="1">
      <alignment vertical="top"/>
    </xf>
    <xf numFmtId="3" fontId="26" fillId="5" borderId="0" xfId="5" applyNumberFormat="1" applyFont="1" applyFill="1" applyAlignment="1" applyProtection="1">
      <alignment horizontal="right"/>
      <protection locked="0"/>
    </xf>
    <xf numFmtId="3" fontId="27" fillId="5" borderId="0" xfId="6" applyNumberFormat="1" applyFont="1" applyFill="1"/>
    <xf numFmtId="0" fontId="26" fillId="0" borderId="0" xfId="5" applyFont="1" applyFill="1" applyAlignment="1">
      <alignment vertical="center" wrapText="1"/>
    </xf>
    <xf numFmtId="167" fontId="5" fillId="8" borderId="0" xfId="5" applyNumberFormat="1" applyFont="1" applyFill="1" applyAlignment="1" applyProtection="1">
      <alignment vertical="top"/>
    </xf>
    <xf numFmtId="0" fontId="5" fillId="5" borderId="0" xfId="5" applyFont="1" applyFill="1" applyAlignment="1">
      <alignment vertical="center" wrapText="1"/>
    </xf>
    <xf numFmtId="49" fontId="26" fillId="5" borderId="0" xfId="5" applyNumberFormat="1" applyFont="1" applyFill="1" applyAlignment="1" applyProtection="1">
      <alignment horizontal="left" vertical="center"/>
    </xf>
    <xf numFmtId="3" fontId="26" fillId="5" borderId="0" xfId="5" applyNumberFormat="1" applyFont="1" applyFill="1" applyAlignment="1">
      <alignment vertical="center"/>
    </xf>
    <xf numFmtId="3" fontId="26" fillId="5" borderId="0" xfId="5" applyNumberFormat="1" applyFont="1" applyFill="1" applyAlignment="1" applyProtection="1">
      <alignment horizontal="right" vertical="center"/>
      <protection locked="0"/>
    </xf>
    <xf numFmtId="3" fontId="27" fillId="5" borderId="0" xfId="6" applyNumberFormat="1" applyFont="1" applyFill="1" applyAlignment="1">
      <alignment vertical="center"/>
    </xf>
    <xf numFmtId="10" fontId="0" fillId="9" borderId="0" xfId="7" applyNumberFormat="1" applyFont="1" applyFill="1" applyAlignment="1">
      <alignment vertical="center"/>
    </xf>
    <xf numFmtId="165" fontId="5" fillId="0" borderId="0" xfId="7" applyNumberFormat="1" applyFont="1" applyFill="1" applyAlignment="1">
      <alignment vertical="center"/>
    </xf>
    <xf numFmtId="0" fontId="26" fillId="0" borderId="0" xfId="5" applyFont="1" applyFill="1" applyAlignment="1">
      <alignment horizontal="center" vertical="center" wrapText="1"/>
    </xf>
    <xf numFmtId="0" fontId="5" fillId="11" borderId="0" xfId="5" applyFont="1" applyFill="1" applyAlignment="1">
      <alignment vertical="center" wrapText="1"/>
    </xf>
    <xf numFmtId="49" fontId="26" fillId="11" borderId="0" xfId="5" applyNumberFormat="1" applyFont="1" applyFill="1" applyAlignment="1">
      <alignment horizontal="left" vertical="center"/>
    </xf>
    <xf numFmtId="49" fontId="26" fillId="11" borderId="0" xfId="5" applyNumberFormat="1" applyFont="1" applyFill="1" applyAlignment="1" applyProtection="1">
      <alignment horizontal="left" vertical="center"/>
    </xf>
    <xf numFmtId="3" fontId="26" fillId="11" borderId="0" xfId="5" applyNumberFormat="1" applyFont="1" applyFill="1" applyAlignment="1">
      <alignment vertical="center"/>
    </xf>
    <xf numFmtId="3" fontId="26" fillId="11" borderId="0" xfId="5" applyNumberFormat="1" applyFont="1" applyFill="1" applyAlignment="1" applyProtection="1">
      <alignment horizontal="right" vertical="center"/>
      <protection locked="0"/>
    </xf>
    <xf numFmtId="3" fontId="27" fillId="11" borderId="0" xfId="6" applyNumberFormat="1" applyFont="1" applyFill="1" applyAlignment="1">
      <alignment vertical="center"/>
    </xf>
    <xf numFmtId="3" fontId="5" fillId="11" borderId="0" xfId="5" applyNumberFormat="1" applyFill="1" applyAlignment="1">
      <alignment vertical="center"/>
    </xf>
    <xf numFmtId="10" fontId="0" fillId="11" borderId="0" xfId="7" applyNumberFormat="1" applyFont="1" applyFill="1" applyAlignment="1">
      <alignment vertical="center"/>
    </xf>
    <xf numFmtId="165" fontId="5" fillId="11" borderId="0" xfId="7" applyNumberFormat="1" applyFont="1" applyFill="1" applyAlignment="1">
      <alignment vertical="center"/>
    </xf>
    <xf numFmtId="165" fontId="20" fillId="11" borderId="0" xfId="7" applyNumberFormat="1" applyFont="1" applyFill="1" applyAlignment="1">
      <alignment horizontal="center" vertical="center"/>
    </xf>
    <xf numFmtId="3" fontId="5" fillId="11" borderId="0" xfId="5" applyNumberFormat="1" applyFill="1" applyAlignment="1">
      <alignment horizontal="center" vertical="center"/>
    </xf>
    <xf numFmtId="165" fontId="0" fillId="11" borderId="0" xfId="7" applyNumberFormat="1" applyFont="1" applyFill="1" applyAlignment="1">
      <alignment horizontal="center" vertical="center"/>
    </xf>
    <xf numFmtId="165" fontId="0" fillId="11" borderId="0" xfId="7" applyNumberFormat="1" applyFont="1" applyFill="1" applyAlignment="1">
      <alignment vertical="center"/>
    </xf>
    <xf numFmtId="166" fontId="22" fillId="11" borderId="0" xfId="5" applyNumberFormat="1" applyFont="1" applyFill="1" applyAlignment="1">
      <alignment horizontal="center" vertical="center"/>
    </xf>
    <xf numFmtId="3" fontId="22" fillId="11" borderId="0" xfId="5" applyNumberFormat="1" applyFont="1" applyFill="1" applyAlignment="1">
      <alignment horizontal="center" vertical="center"/>
    </xf>
    <xf numFmtId="2" fontId="22" fillId="11" borderId="0" xfId="5" applyNumberFormat="1" applyFont="1" applyFill="1" applyAlignment="1">
      <alignment horizontal="center" vertical="center"/>
    </xf>
    <xf numFmtId="0" fontId="26" fillId="11" borderId="0" xfId="5" applyFont="1" applyFill="1" applyAlignment="1">
      <alignment horizontal="center" vertical="center" wrapText="1"/>
    </xf>
    <xf numFmtId="3" fontId="5" fillId="8" borderId="0" xfId="5" applyNumberFormat="1" applyFont="1" applyFill="1" applyAlignment="1">
      <alignment vertical="top"/>
    </xf>
    <xf numFmtId="49" fontId="5" fillId="5" borderId="0" xfId="5" applyNumberFormat="1" applyFont="1" applyFill="1" applyAlignment="1" applyProtection="1">
      <alignment horizontal="left" vertical="top" wrapText="1"/>
    </xf>
    <xf numFmtId="167" fontId="5" fillId="5" borderId="0" xfId="5" applyNumberFormat="1" applyFont="1" applyFill="1" applyAlignment="1" applyProtection="1">
      <alignment vertical="top"/>
    </xf>
    <xf numFmtId="49" fontId="26" fillId="5" borderId="0" xfId="5" applyNumberFormat="1" applyFont="1" applyFill="1" applyAlignment="1" applyProtection="1">
      <alignment horizontal="left" vertical="top"/>
    </xf>
    <xf numFmtId="3" fontId="5" fillId="8" borderId="0" xfId="5" applyNumberFormat="1" applyFont="1" applyFill="1"/>
    <xf numFmtId="0" fontId="5" fillId="5" borderId="0" xfId="5" applyNumberFormat="1" applyFont="1" applyFill="1" applyAlignment="1" applyProtection="1">
      <alignment horizontal="left" vertical="center"/>
      <protection locked="0"/>
    </xf>
    <xf numFmtId="49" fontId="5" fillId="5" borderId="0" xfId="5" applyNumberFormat="1" applyFont="1" applyFill="1" applyAlignment="1">
      <alignment horizontal="left" vertical="center"/>
    </xf>
    <xf numFmtId="3" fontId="5" fillId="5" borderId="0" xfId="5" applyNumberFormat="1" applyFont="1" applyFill="1" applyAlignment="1">
      <alignment vertical="center"/>
    </xf>
    <xf numFmtId="3" fontId="5" fillId="5" borderId="0" xfId="5" applyNumberFormat="1" applyFont="1" applyFill="1" applyAlignment="1" applyProtection="1">
      <alignment horizontal="right" vertical="center"/>
      <protection locked="0"/>
    </xf>
    <xf numFmtId="3" fontId="21" fillId="5" borderId="0" xfId="6" applyNumberFormat="1" applyFont="1" applyFill="1" applyAlignment="1">
      <alignment vertical="center"/>
    </xf>
    <xf numFmtId="0" fontId="16" fillId="11" borderId="0" xfId="5" applyNumberFormat="1" applyFont="1" applyFill="1" applyAlignment="1" applyProtection="1">
      <alignment horizontal="left" vertical="center"/>
      <protection locked="0"/>
    </xf>
    <xf numFmtId="49" fontId="5" fillId="11" borderId="0" xfId="5" applyNumberFormat="1" applyFont="1" applyFill="1" applyAlignment="1">
      <alignment horizontal="left" vertical="center"/>
    </xf>
    <xf numFmtId="3" fontId="5" fillId="11" borderId="0" xfId="5" applyNumberFormat="1" applyFont="1" applyFill="1" applyAlignment="1">
      <alignment vertical="center"/>
    </xf>
    <xf numFmtId="3" fontId="5" fillId="11" borderId="0" xfId="5" applyNumberFormat="1" applyFont="1" applyFill="1" applyAlignment="1" applyProtection="1">
      <alignment horizontal="right" vertical="center"/>
      <protection locked="0"/>
    </xf>
    <xf numFmtId="3" fontId="21" fillId="11" borderId="0" xfId="6" applyNumberFormat="1" applyFont="1" applyFill="1" applyAlignment="1">
      <alignment vertical="center"/>
    </xf>
    <xf numFmtId="49" fontId="5" fillId="5" borderId="0" xfId="5" applyNumberFormat="1" applyFont="1" applyFill="1" applyAlignment="1" applyProtection="1">
      <alignment horizontal="left" vertical="center"/>
    </xf>
    <xf numFmtId="49" fontId="5" fillId="11" borderId="0" xfId="5" applyNumberFormat="1" applyFont="1" applyFill="1" applyAlignment="1" applyProtection="1">
      <alignment horizontal="left" vertical="center"/>
    </xf>
    <xf numFmtId="0" fontId="26" fillId="5" borderId="0" xfId="5" applyFont="1" applyFill="1" applyAlignment="1">
      <alignment vertical="top"/>
    </xf>
    <xf numFmtId="0" fontId="23" fillId="12" borderId="0" xfId="5" applyFont="1" applyFill="1" applyAlignment="1">
      <alignment wrapText="1"/>
    </xf>
    <xf numFmtId="0" fontId="23" fillId="12" borderId="0" xfId="5" applyNumberFormat="1" applyFont="1" applyFill="1" applyBorder="1" applyAlignment="1" applyProtection="1">
      <alignment horizontal="left"/>
      <protection locked="0"/>
    </xf>
    <xf numFmtId="0" fontId="23" fillId="12" borderId="0" xfId="5" applyFont="1" applyFill="1" applyBorder="1" applyAlignment="1">
      <alignment horizontal="left"/>
    </xf>
    <xf numFmtId="3" fontId="23" fillId="12" borderId="0" xfId="5" applyNumberFormat="1" applyFont="1" applyFill="1" applyBorder="1" applyAlignment="1">
      <alignment horizontal="right"/>
    </xf>
    <xf numFmtId="10" fontId="23" fillId="12" borderId="0" xfId="7" applyNumberFormat="1" applyFont="1" applyFill="1"/>
    <xf numFmtId="3" fontId="23" fillId="12" borderId="0" xfId="5" applyNumberFormat="1" applyFont="1" applyFill="1"/>
    <xf numFmtId="10" fontId="23" fillId="12" borderId="0" xfId="7" applyNumberFormat="1" applyFont="1" applyFill="1" applyAlignment="1">
      <alignment vertical="center"/>
    </xf>
    <xf numFmtId="0" fontId="23" fillId="12" borderId="0" xfId="5" applyFont="1" applyFill="1"/>
    <xf numFmtId="0" fontId="5" fillId="4" borderId="0" xfId="1" applyFont="1" applyFill="1" applyAlignment="1">
      <alignment wrapText="1"/>
    </xf>
    <xf numFmtId="0" fontId="5" fillId="4" borderId="0" xfId="1" applyNumberFormat="1" applyFont="1" applyFill="1" applyAlignment="1" applyProtection="1">
      <alignment horizontal="left"/>
      <protection locked="0"/>
    </xf>
    <xf numFmtId="49" fontId="5" fillId="4" borderId="0" xfId="1" applyNumberFormat="1" applyFont="1" applyFill="1" applyAlignment="1" applyProtection="1">
      <alignment horizontal="left" vertical="top"/>
    </xf>
    <xf numFmtId="3" fontId="5" fillId="4" borderId="0" xfId="1" applyNumberFormat="1" applyFont="1" applyFill="1" applyAlignment="1">
      <alignment vertical="top"/>
    </xf>
    <xf numFmtId="3" fontId="5" fillId="4" borderId="0" xfId="1" applyNumberFormat="1" applyFont="1" applyFill="1" applyAlignment="1" applyProtection="1">
      <alignment horizontal="right"/>
      <protection locked="0"/>
    </xf>
    <xf numFmtId="3" fontId="21" fillId="4" borderId="0" xfId="6" applyNumberFormat="1" applyFont="1" applyFill="1"/>
    <xf numFmtId="3" fontId="5" fillId="0" borderId="0" xfId="1" applyNumberFormat="1" applyFill="1"/>
    <xf numFmtId="165" fontId="16" fillId="0" borderId="0" xfId="7" applyNumberFormat="1" applyFont="1" applyFill="1" applyAlignment="1">
      <alignment vertical="center"/>
    </xf>
    <xf numFmtId="3" fontId="5" fillId="0" borderId="0" xfId="1" applyNumberFormat="1" applyFill="1" applyAlignment="1">
      <alignment horizontal="center" vertical="center"/>
    </xf>
    <xf numFmtId="3" fontId="5" fillId="0" borderId="0" xfId="1" applyNumberFormat="1" applyFill="1" applyAlignment="1">
      <alignment vertical="center"/>
    </xf>
    <xf numFmtId="166" fontId="22" fillId="0" borderId="0" xfId="1" applyNumberFormat="1" applyFont="1" applyFill="1" applyAlignment="1">
      <alignment horizontal="center" vertical="center"/>
    </xf>
    <xf numFmtId="3" fontId="22" fillId="0" borderId="0" xfId="1" applyNumberFormat="1" applyFont="1" applyFill="1" applyAlignment="1">
      <alignment horizontal="center" vertical="center"/>
    </xf>
    <xf numFmtId="2" fontId="22" fillId="0" borderId="0" xfId="1" applyNumberFormat="1" applyFont="1" applyFill="1" applyAlignment="1">
      <alignment horizontal="center" vertical="center"/>
    </xf>
    <xf numFmtId="165" fontId="20" fillId="5" borderId="0" xfId="7" applyNumberFormat="1" applyFont="1" applyFill="1" applyAlignment="1">
      <alignment horizontal="center" vertical="center"/>
    </xf>
    <xf numFmtId="0" fontId="5" fillId="0" borderId="0" xfId="1"/>
    <xf numFmtId="0" fontId="16" fillId="0" borderId="0" xfId="1" applyFont="1"/>
    <xf numFmtId="3" fontId="5" fillId="0" borderId="0" xfId="1" applyNumberFormat="1"/>
    <xf numFmtId="0" fontId="5" fillId="13" borderId="0" xfId="1" applyFill="1"/>
    <xf numFmtId="3" fontId="5" fillId="13" borderId="0" xfId="1" applyNumberFormat="1" applyFill="1"/>
    <xf numFmtId="0" fontId="28" fillId="0" borderId="0" xfId="1" applyFont="1" applyAlignment="1">
      <alignment vertical="center"/>
    </xf>
    <xf numFmtId="0" fontId="12" fillId="5" borderId="15" xfId="2" applyFont="1" applyFill="1" applyBorder="1" applyAlignment="1">
      <alignment horizontal="center" vertical="center" wrapText="1"/>
    </xf>
    <xf numFmtId="0" fontId="1" fillId="0" borderId="15" xfId="2" applyFont="1" applyBorder="1" applyAlignment="1">
      <alignment horizontal="center" vertical="center"/>
    </xf>
    <xf numFmtId="0" fontId="1" fillId="0" borderId="40" xfId="2" applyFont="1" applyBorder="1" applyAlignment="1">
      <alignment vertical="center" wrapText="1"/>
    </xf>
    <xf numFmtId="0" fontId="1" fillId="5" borderId="19" xfId="2" applyFont="1" applyFill="1" applyBorder="1" applyAlignment="1">
      <alignment horizontal="center" vertical="center"/>
    </xf>
    <xf numFmtId="0" fontId="9" fillId="0" borderId="22" xfId="2" applyFont="1" applyBorder="1" applyAlignment="1">
      <alignment horizontal="left" vertical="center"/>
    </xf>
    <xf numFmtId="0" fontId="11" fillId="0" borderId="24" xfId="1" applyFont="1" applyBorder="1" applyAlignment="1">
      <alignment horizontal="center" vertical="center"/>
    </xf>
    <xf numFmtId="3" fontId="30" fillId="5" borderId="22" xfId="1" applyNumberFormat="1" applyFont="1" applyFill="1" applyBorder="1" applyAlignment="1">
      <alignment horizontal="right" vertical="center"/>
    </xf>
    <xf numFmtId="4" fontId="11" fillId="0" borderId="23" xfId="1" applyNumberFormat="1" applyFont="1" applyFill="1" applyBorder="1" applyAlignment="1">
      <alignment horizontal="right" vertical="center"/>
    </xf>
    <xf numFmtId="0" fontId="9" fillId="0" borderId="27" xfId="2" applyFont="1" applyBorder="1" applyAlignment="1">
      <alignment horizontal="left" vertical="center"/>
    </xf>
    <xf numFmtId="0" fontId="11" fillId="0" borderId="29" xfId="1" applyFont="1" applyBorder="1" applyAlignment="1">
      <alignment horizontal="center" vertical="center"/>
    </xf>
    <xf numFmtId="3" fontId="30" fillId="5" borderId="27" xfId="1" applyNumberFormat="1" applyFont="1" applyFill="1" applyBorder="1" applyAlignment="1">
      <alignment horizontal="right" vertical="center"/>
    </xf>
    <xf numFmtId="4" fontId="11" fillId="0" borderId="28" xfId="1" applyNumberFormat="1" applyFont="1" applyFill="1" applyBorder="1" applyAlignment="1">
      <alignment horizontal="right" vertical="center"/>
    </xf>
    <xf numFmtId="0" fontId="9" fillId="3" borderId="27" xfId="2" applyFont="1" applyFill="1" applyBorder="1" applyAlignment="1">
      <alignment horizontal="left" vertical="center"/>
    </xf>
    <xf numFmtId="0" fontId="9" fillId="3" borderId="28" xfId="2" applyFont="1" applyFill="1" applyBorder="1" applyAlignment="1">
      <alignment horizontal="center" vertical="center"/>
    </xf>
    <xf numFmtId="0" fontId="9" fillId="3" borderId="28" xfId="2" applyFont="1" applyFill="1" applyBorder="1" applyAlignment="1">
      <alignment horizontal="left" vertical="center"/>
    </xf>
    <xf numFmtId="3" fontId="30" fillId="3" borderId="27" xfId="1" applyNumberFormat="1" applyFont="1" applyFill="1" applyBorder="1" applyAlignment="1">
      <alignment horizontal="right" vertical="center"/>
    </xf>
    <xf numFmtId="4" fontId="11" fillId="3" borderId="28" xfId="1" applyNumberFormat="1" applyFont="1" applyFill="1" applyBorder="1" applyAlignment="1">
      <alignment horizontal="right" vertical="center"/>
    </xf>
    <xf numFmtId="3" fontId="1" fillId="0" borderId="0" xfId="2" applyNumberFormat="1" applyFont="1"/>
    <xf numFmtId="4" fontId="9" fillId="0" borderId="0" xfId="2" applyNumberFormat="1"/>
    <xf numFmtId="0" fontId="11" fillId="0" borderId="0" xfId="2" applyFont="1"/>
    <xf numFmtId="0" fontId="1" fillId="0" borderId="0" xfId="2" applyFont="1"/>
    <xf numFmtId="0" fontId="9" fillId="0" borderId="0" xfId="2" applyFill="1"/>
    <xf numFmtId="0" fontId="12" fillId="0" borderId="15" xfId="2" applyFont="1" applyFill="1" applyBorder="1" applyAlignment="1">
      <alignment horizontal="center" vertical="center" wrapText="1"/>
    </xf>
    <xf numFmtId="10" fontId="12" fillId="5" borderId="17" xfId="4" applyNumberFormat="1" applyFont="1" applyFill="1" applyBorder="1" applyAlignment="1">
      <alignment horizontal="center" vertical="center" wrapText="1"/>
    </xf>
    <xf numFmtId="0" fontId="1" fillId="0" borderId="19" xfId="2" applyFont="1" applyFill="1" applyBorder="1" applyAlignment="1">
      <alignment horizontal="center" vertical="center"/>
    </xf>
    <xf numFmtId="3" fontId="30" fillId="0" borderId="22" xfId="1" applyNumberFormat="1" applyFont="1" applyFill="1" applyBorder="1" applyAlignment="1">
      <alignment horizontal="right" vertical="center"/>
    </xf>
    <xf numFmtId="3" fontId="30" fillId="0" borderId="27" xfId="1" applyNumberFormat="1" applyFont="1" applyFill="1" applyBorder="1" applyAlignment="1">
      <alignment horizontal="right" vertical="center"/>
    </xf>
    <xf numFmtId="0" fontId="11" fillId="0" borderId="35" xfId="1" applyFont="1" applyFill="1" applyBorder="1" applyAlignment="1">
      <alignment horizontal="center" vertical="center"/>
    </xf>
    <xf numFmtId="4" fontId="1" fillId="0" borderId="0" xfId="2" applyNumberFormat="1" applyFont="1"/>
    <xf numFmtId="2" fontId="9" fillId="0" borderId="0" xfId="4" applyNumberFormat="1" applyFont="1"/>
    <xf numFmtId="0" fontId="1" fillId="0" borderId="3" xfId="2" applyFont="1" applyBorder="1" applyAlignment="1">
      <alignment vertical="center"/>
    </xf>
    <xf numFmtId="10" fontId="12" fillId="0" borderId="17" xfId="4" applyNumberFormat="1" applyFont="1" applyFill="1" applyBorder="1" applyAlignment="1">
      <alignment horizontal="center" vertical="center" wrapText="1"/>
    </xf>
    <xf numFmtId="0" fontId="11" fillId="0" borderId="29" xfId="1" applyFont="1" applyFill="1" applyBorder="1" applyAlignment="1">
      <alignment horizontal="center" vertical="center"/>
    </xf>
    <xf numFmtId="3" fontId="30" fillId="0" borderId="31" xfId="1" applyNumberFormat="1" applyFont="1" applyFill="1" applyBorder="1" applyAlignment="1">
      <alignment horizontal="right" vertical="center"/>
    </xf>
    <xf numFmtId="4" fontId="11" fillId="0" borderId="32" xfId="1" applyNumberFormat="1" applyFont="1" applyFill="1" applyBorder="1" applyAlignment="1">
      <alignment horizontal="right" vertical="center"/>
    </xf>
    <xf numFmtId="3" fontId="30" fillId="0" borderId="38" xfId="1" applyNumberFormat="1" applyFont="1" applyFill="1" applyBorder="1" applyAlignment="1">
      <alignment horizontal="right" vertical="center"/>
    </xf>
    <xf numFmtId="4" fontId="9" fillId="0" borderId="0" xfId="2" applyNumberFormat="1" applyFont="1"/>
    <xf numFmtId="3" fontId="9" fillId="0" borderId="0" xfId="2" applyNumberFormat="1" applyFont="1"/>
    <xf numFmtId="0" fontId="1" fillId="0" borderId="40" xfId="2" applyFont="1" applyBorder="1" applyAlignment="1">
      <alignment horizontal="center" vertical="center" wrapText="1"/>
    </xf>
    <xf numFmtId="4" fontId="11" fillId="0" borderId="29" xfId="1" applyNumberFormat="1" applyFont="1" applyFill="1" applyBorder="1" applyAlignment="1">
      <alignment horizontal="center" vertical="center"/>
    </xf>
    <xf numFmtId="168" fontId="14" fillId="5" borderId="28" xfId="4" applyNumberFormat="1" applyFont="1" applyFill="1" applyBorder="1" applyAlignment="1">
      <alignment horizontal="right" vertical="center"/>
    </xf>
    <xf numFmtId="4" fontId="11" fillId="0" borderId="41" xfId="1" applyNumberFormat="1" applyFont="1" applyFill="1" applyBorder="1" applyAlignment="1">
      <alignment horizontal="center" vertical="center"/>
    </xf>
    <xf numFmtId="4" fontId="11" fillId="0" borderId="39" xfId="1" applyNumberFormat="1" applyFont="1" applyFill="1" applyBorder="1" applyAlignment="1">
      <alignment horizontal="right" vertical="center"/>
    </xf>
    <xf numFmtId="0" fontId="9" fillId="0" borderId="0" xfId="2" applyBorder="1"/>
    <xf numFmtId="168" fontId="9" fillId="0" borderId="0" xfId="2" applyNumberFormat="1" applyBorder="1"/>
    <xf numFmtId="3" fontId="9" fillId="0" borderId="0" xfId="2" applyNumberFormat="1" applyBorder="1"/>
    <xf numFmtId="0" fontId="10" fillId="14" borderId="0" xfId="1" applyFont="1" applyFill="1" applyAlignment="1">
      <alignment vertical="center"/>
    </xf>
    <xf numFmtId="0" fontId="9" fillId="14" borderId="0" xfId="2" applyFill="1"/>
    <xf numFmtId="0" fontId="11" fillId="14" borderId="0" xfId="2" applyFont="1" applyFill="1" applyAlignment="1">
      <alignment vertical="center"/>
    </xf>
    <xf numFmtId="0" fontId="9" fillId="14" borderId="0" xfId="2" applyFill="1" applyAlignment="1">
      <alignment vertical="center"/>
    </xf>
    <xf numFmtId="0" fontId="11" fillId="14" borderId="0" xfId="2" quotePrefix="1" applyFont="1" applyFill="1" applyAlignment="1">
      <alignment vertical="center"/>
    </xf>
    <xf numFmtId="0" fontId="12" fillId="14" borderId="15" xfId="2" applyFont="1" applyFill="1" applyBorder="1" applyAlignment="1">
      <alignment horizontal="center" vertical="center" wrapText="1"/>
    </xf>
    <xf numFmtId="0" fontId="12" fillId="14" borderId="16" xfId="2" applyFont="1" applyFill="1" applyBorder="1" applyAlignment="1">
      <alignment horizontal="center" vertical="center" wrapText="1"/>
    </xf>
    <xf numFmtId="10" fontId="12" fillId="14" borderId="17" xfId="4" applyNumberFormat="1" applyFont="1" applyFill="1" applyBorder="1" applyAlignment="1">
      <alignment horizontal="center" vertical="center" wrapText="1"/>
    </xf>
    <xf numFmtId="0" fontId="1" fillId="14" borderId="15" xfId="2" applyFont="1" applyFill="1" applyBorder="1" applyAlignment="1">
      <alignment horizontal="center" vertical="center"/>
    </xf>
    <xf numFmtId="0" fontId="1" fillId="14" borderId="40" xfId="2" applyFont="1" applyFill="1" applyBorder="1" applyAlignment="1">
      <alignment horizontal="center" vertical="center" wrapText="1"/>
    </xf>
    <xf numFmtId="0" fontId="1" fillId="14" borderId="19" xfId="2" applyFont="1" applyFill="1" applyBorder="1" applyAlignment="1">
      <alignment horizontal="center" vertical="center"/>
    </xf>
    <xf numFmtId="0" fontId="1" fillId="14" borderId="20" xfId="2" applyFont="1" applyFill="1" applyBorder="1" applyAlignment="1">
      <alignment horizontal="center" vertical="center"/>
    </xf>
    <xf numFmtId="0" fontId="1" fillId="14" borderId="21" xfId="2" applyFont="1" applyFill="1" applyBorder="1" applyAlignment="1">
      <alignment horizontal="center" vertical="center"/>
    </xf>
    <xf numFmtId="4" fontId="11" fillId="5" borderId="29" xfId="1" applyNumberFormat="1" applyFont="1" applyFill="1" applyBorder="1" applyAlignment="1">
      <alignment horizontal="center" vertical="center"/>
    </xf>
    <xf numFmtId="2" fontId="11" fillId="0" borderId="23" xfId="4" applyNumberFormat="1" applyFont="1" applyFill="1" applyBorder="1" applyAlignment="1">
      <alignment horizontal="right" vertical="center"/>
    </xf>
    <xf numFmtId="2" fontId="11" fillId="0" borderId="28" xfId="4" applyNumberFormat="1" applyFont="1" applyFill="1" applyBorder="1" applyAlignment="1">
      <alignment horizontal="right" vertical="center"/>
    </xf>
    <xf numFmtId="0" fontId="9" fillId="0" borderId="0" xfId="2" applyFont="1" applyBorder="1" applyAlignment="1">
      <alignment horizontal="left" vertical="center"/>
    </xf>
    <xf numFmtId="0" fontId="9" fillId="0" borderId="0" xfId="2" applyFont="1" applyBorder="1" applyAlignment="1">
      <alignment horizontal="center" vertical="center"/>
    </xf>
    <xf numFmtId="0" fontId="1" fillId="0" borderId="0" xfId="2" applyFont="1" applyBorder="1" applyAlignment="1">
      <alignment vertical="center"/>
    </xf>
    <xf numFmtId="0" fontId="31" fillId="0" borderId="0" xfId="2" applyFont="1"/>
    <xf numFmtId="0" fontId="1" fillId="0" borderId="11" xfId="2" applyFont="1" applyBorder="1" applyAlignment="1">
      <alignment vertical="center"/>
    </xf>
    <xf numFmtId="0" fontId="31" fillId="0" borderId="0" xfId="2" applyFont="1" applyAlignment="1">
      <alignment vertical="center"/>
    </xf>
    <xf numFmtId="10" fontId="14" fillId="5" borderId="29" xfId="4" applyNumberFormat="1" applyFont="1" applyFill="1" applyBorder="1" applyAlignment="1">
      <alignment horizontal="center" vertical="center"/>
    </xf>
    <xf numFmtId="4" fontId="11" fillId="0" borderId="23" xfId="4" applyNumberFormat="1" applyFont="1" applyFill="1" applyBorder="1" applyAlignment="1">
      <alignment horizontal="right" vertical="center"/>
    </xf>
    <xf numFmtId="4" fontId="11" fillId="0" borderId="28" xfId="4" applyNumberFormat="1" applyFont="1" applyFill="1" applyBorder="1" applyAlignment="1">
      <alignment horizontal="right" vertical="center"/>
    </xf>
    <xf numFmtId="4" fontId="11" fillId="0" borderId="42" xfId="4" applyNumberFormat="1" applyFont="1" applyFill="1" applyBorder="1" applyAlignment="1">
      <alignment horizontal="right" vertical="center"/>
    </xf>
    <xf numFmtId="0" fontId="11" fillId="14" borderId="40" xfId="2" applyFont="1" applyFill="1" applyBorder="1" applyAlignment="1">
      <alignment horizontal="center" vertical="center" wrapText="1"/>
    </xf>
    <xf numFmtId="4" fontId="11" fillId="0" borderId="0" xfId="1" applyNumberFormat="1" applyFont="1" applyFill="1" applyBorder="1" applyAlignment="1">
      <alignment horizontal="center" vertical="center"/>
    </xf>
    <xf numFmtId="4" fontId="11" fillId="0" borderId="0" xfId="4" applyNumberFormat="1" applyFont="1" applyFill="1" applyBorder="1" applyAlignment="1">
      <alignment horizontal="right" vertical="center"/>
    </xf>
    <xf numFmtId="0" fontId="8" fillId="0" borderId="0" xfId="2" applyFont="1" applyBorder="1" applyAlignment="1">
      <alignment vertical="center"/>
    </xf>
    <xf numFmtId="10" fontId="11" fillId="0" borderId="29" xfId="4" applyNumberFormat="1" applyFont="1" applyFill="1" applyBorder="1" applyAlignment="1">
      <alignment horizontal="center" vertical="center"/>
    </xf>
    <xf numFmtId="4" fontId="11" fillId="0" borderId="43" xfId="4" applyNumberFormat="1" applyFont="1" applyFill="1" applyBorder="1" applyAlignment="1">
      <alignment horizontal="right" vertical="center"/>
    </xf>
    <xf numFmtId="10" fontId="11" fillId="0" borderId="0" xfId="4" applyNumberFormat="1" applyFont="1" applyFill="1" applyBorder="1" applyAlignment="1">
      <alignment horizontal="center" vertical="center"/>
    </xf>
    <xf numFmtId="3" fontId="30" fillId="0" borderId="0" xfId="1" applyNumberFormat="1" applyFont="1" applyFill="1" applyBorder="1" applyAlignment="1">
      <alignment horizontal="right" vertical="center"/>
    </xf>
    <xf numFmtId="4" fontId="11" fillId="0" borderId="0" xfId="1" applyNumberFormat="1" applyFont="1" applyFill="1" applyBorder="1" applyAlignment="1">
      <alignment horizontal="right" vertical="center"/>
    </xf>
    <xf numFmtId="0" fontId="32" fillId="0" borderId="0" xfId="2" applyFont="1" applyBorder="1" applyAlignment="1">
      <alignment vertical="center"/>
    </xf>
    <xf numFmtId="0" fontId="10" fillId="0" borderId="0" xfId="1" applyFont="1" applyFill="1" applyAlignment="1">
      <alignment vertical="center"/>
    </xf>
    <xf numFmtId="0" fontId="9" fillId="14" borderId="0" xfId="2" applyFont="1" applyFill="1" applyAlignment="1">
      <alignment vertical="center" wrapText="1"/>
    </xf>
    <xf numFmtId="0" fontId="1" fillId="14" borderId="18" xfId="2" applyFont="1" applyFill="1" applyBorder="1" applyAlignment="1">
      <alignment horizontal="center" vertical="center" wrapText="1"/>
    </xf>
    <xf numFmtId="4" fontId="14" fillId="7" borderId="30" xfId="1" applyNumberFormat="1" applyFont="1" applyFill="1" applyBorder="1" applyAlignment="1">
      <alignment horizontal="center" vertical="center"/>
    </xf>
    <xf numFmtId="4" fontId="14" fillId="7" borderId="29" xfId="1" applyNumberFormat="1" applyFont="1" applyFill="1" applyBorder="1" applyAlignment="1">
      <alignment horizontal="center" vertical="center"/>
    </xf>
    <xf numFmtId="0" fontId="1" fillId="0" borderId="40" xfId="2" applyFont="1" applyFill="1" applyBorder="1" applyAlignment="1">
      <alignment horizontal="center" vertical="center" wrapText="1"/>
    </xf>
    <xf numFmtId="0" fontId="1" fillId="0" borderId="17" xfId="2" applyFont="1" applyFill="1" applyBorder="1" applyAlignment="1">
      <alignment horizontal="center" vertical="center" wrapText="1"/>
    </xf>
    <xf numFmtId="10" fontId="14" fillId="0" borderId="29" xfId="4" applyNumberFormat="1" applyFont="1" applyFill="1" applyBorder="1" applyAlignment="1">
      <alignment horizontal="center" vertical="center"/>
    </xf>
    <xf numFmtId="4" fontId="9" fillId="0" borderId="44" xfId="2" applyNumberFormat="1" applyBorder="1" applyAlignment="1">
      <alignment vertical="center"/>
    </xf>
    <xf numFmtId="4" fontId="9" fillId="0" borderId="29" xfId="2" applyNumberFormat="1" applyBorder="1" applyAlignment="1">
      <alignment vertical="center"/>
    </xf>
    <xf numFmtId="0" fontId="12" fillId="14" borderId="20" xfId="2" applyFont="1" applyFill="1" applyBorder="1" applyAlignment="1">
      <alignment horizontal="center" vertical="center" wrapText="1"/>
    </xf>
    <xf numFmtId="10" fontId="12" fillId="14" borderId="21" xfId="4" applyNumberFormat="1" applyFont="1" applyFill="1" applyBorder="1" applyAlignment="1">
      <alignment horizontal="center" vertical="center" wrapText="1"/>
    </xf>
    <xf numFmtId="0" fontId="14" fillId="14" borderId="40" xfId="2" applyFont="1" applyFill="1" applyBorder="1" applyAlignment="1">
      <alignment horizontal="center" vertical="center" wrapText="1"/>
    </xf>
    <xf numFmtId="0" fontId="1" fillId="14" borderId="21" xfId="2" applyFont="1" applyFill="1" applyBorder="1" applyAlignment="1">
      <alignment horizontal="center" vertical="center" wrapText="1"/>
    </xf>
    <xf numFmtId="4" fontId="14" fillId="5" borderId="29" xfId="1" applyNumberFormat="1" applyFont="1" applyFill="1" applyBorder="1" applyAlignment="1">
      <alignment horizontal="center" vertical="center"/>
    </xf>
    <xf numFmtId="4" fontId="9" fillId="0" borderId="24" xfId="2" applyNumberFormat="1" applyBorder="1" applyAlignment="1">
      <alignment vertical="center"/>
    </xf>
    <xf numFmtId="0" fontId="9" fillId="0" borderId="45" xfId="2" applyFont="1" applyBorder="1" applyAlignment="1">
      <alignment horizontal="left" vertical="center"/>
    </xf>
    <xf numFmtId="0" fontId="9" fillId="0" borderId="46" xfId="2" applyFont="1" applyBorder="1" applyAlignment="1">
      <alignment horizontal="left" vertical="center"/>
    </xf>
    <xf numFmtId="0" fontId="9" fillId="0" borderId="47" xfId="2" applyFont="1" applyBorder="1" applyAlignment="1">
      <alignment horizontal="left" vertical="center"/>
    </xf>
    <xf numFmtId="0" fontId="9" fillId="0" borderId="25" xfId="2" applyFont="1" applyBorder="1" applyAlignment="1">
      <alignment horizontal="left" vertical="center"/>
    </xf>
    <xf numFmtId="0" fontId="9" fillId="0" borderId="48" xfId="2" applyFont="1" applyBorder="1" applyAlignment="1">
      <alignment horizontal="left" vertical="center"/>
    </xf>
    <xf numFmtId="0" fontId="9" fillId="0" borderId="42" xfId="2" applyFont="1" applyBorder="1" applyAlignment="1">
      <alignment horizontal="center" vertical="center"/>
    </xf>
    <xf numFmtId="0" fontId="9" fillId="0" borderId="42" xfId="2" applyFont="1" applyBorder="1" applyAlignment="1">
      <alignment horizontal="left" vertical="center"/>
    </xf>
    <xf numFmtId="0" fontId="1" fillId="0" borderId="0" xfId="2" applyFont="1" applyAlignment="1">
      <alignment horizontal="center" vertical="center"/>
    </xf>
    <xf numFmtId="0" fontId="33" fillId="0" borderId="0" xfId="2" applyFont="1" applyAlignment="1">
      <alignment horizontal="center" vertical="center"/>
    </xf>
    <xf numFmtId="0" fontId="1" fillId="0" borderId="49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0" fontId="14" fillId="0" borderId="0" xfId="2" applyFont="1" applyAlignment="1">
      <alignment horizontal="center" vertical="center"/>
    </xf>
    <xf numFmtId="3" fontId="0" fillId="0" borderId="0" xfId="0" applyNumberFormat="1" applyBorder="1" applyAlignment="1">
      <alignment vertical="center"/>
    </xf>
    <xf numFmtId="0" fontId="1" fillId="0" borderId="0" xfId="2" applyFont="1" applyAlignment="1">
      <alignment horizontal="center" vertical="center"/>
    </xf>
    <xf numFmtId="0" fontId="1" fillId="0" borderId="11" xfId="2" applyFont="1" applyBorder="1" applyAlignment="1">
      <alignment horizontal="center" vertical="center"/>
    </xf>
    <xf numFmtId="3" fontId="11" fillId="0" borderId="28" xfId="1" applyNumberFormat="1" applyFont="1" applyFill="1" applyBorder="1" applyAlignment="1">
      <alignment horizontal="right" vertical="center"/>
    </xf>
    <xf numFmtId="2" fontId="9" fillId="0" borderId="0" xfId="2" applyNumberFormat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35" fillId="15" borderId="52" xfId="10" applyFont="1" applyFill="1" applyBorder="1" applyAlignment="1">
      <alignment horizontal="center" vertical="center"/>
    </xf>
    <xf numFmtId="1" fontId="35" fillId="15" borderId="52" xfId="10" applyNumberFormat="1" applyFont="1" applyFill="1" applyBorder="1" applyAlignment="1">
      <alignment horizontal="center" vertical="center" wrapText="1"/>
    </xf>
    <xf numFmtId="0" fontId="35" fillId="15" borderId="52" xfId="10" applyFont="1" applyFill="1" applyBorder="1" applyAlignment="1">
      <alignment horizontal="center" vertical="center" wrapText="1"/>
    </xf>
    <xf numFmtId="0" fontId="34" fillId="0" borderId="0" xfId="10"/>
    <xf numFmtId="0" fontId="0" fillId="0" borderId="53" xfId="11" applyFont="1" applyBorder="1" applyAlignment="1">
      <alignment horizontal="center" vertical="center"/>
    </xf>
    <xf numFmtId="0" fontId="34" fillId="0" borderId="53" xfId="10" applyBorder="1"/>
    <xf numFmtId="4" fontId="34" fillId="0" borderId="53" xfId="10" applyNumberFormat="1" applyBorder="1"/>
    <xf numFmtId="169" fontId="0" fillId="16" borderId="53" xfId="12" applyFont="1" applyFill="1" applyBorder="1" applyAlignment="1"/>
    <xf numFmtId="169" fontId="0" fillId="0" borderId="53" xfId="12" applyFont="1" applyBorder="1" applyAlignment="1"/>
    <xf numFmtId="169" fontId="0" fillId="16" borderId="52" xfId="12" applyNumberFormat="1" applyFont="1" applyFill="1" applyBorder="1" applyAlignment="1"/>
    <xf numFmtId="4" fontId="36" fillId="0" borderId="0" xfId="10" applyNumberFormat="1" applyFont="1"/>
    <xf numFmtId="0" fontId="0" fillId="16" borderId="53" xfId="11" applyFont="1" applyFill="1" applyBorder="1" applyAlignment="1">
      <alignment horizontal="center" vertical="center"/>
    </xf>
    <xf numFmtId="0" fontId="34" fillId="16" borderId="53" xfId="10" applyFill="1" applyBorder="1"/>
    <xf numFmtId="4" fontId="34" fillId="16" borderId="53" xfId="10" applyNumberFormat="1" applyFill="1" applyBorder="1"/>
    <xf numFmtId="0" fontId="0" fillId="0" borderId="54" xfId="11" applyFont="1" applyBorder="1" applyAlignment="1">
      <alignment horizontal="center" vertical="center"/>
    </xf>
    <xf numFmtId="0" fontId="34" fillId="0" borderId="54" xfId="10" applyBorder="1"/>
    <xf numFmtId="4" fontId="34" fillId="0" borderId="54" xfId="10" applyNumberFormat="1" applyBorder="1"/>
    <xf numFmtId="0" fontId="37" fillId="0" borderId="0" xfId="10" applyFont="1" applyAlignment="1">
      <alignment horizontal="center" vertical="center"/>
    </xf>
    <xf numFmtId="0" fontId="1" fillId="0" borderId="7" xfId="0" applyFont="1" applyFill="1" applyBorder="1" applyAlignment="1">
      <alignment horizontal="center" vertical="center" wrapText="1"/>
    </xf>
    <xf numFmtId="0" fontId="4" fillId="2" borderId="0" xfId="1" applyFont="1" applyFill="1" applyAlignment="1">
      <alignment horizontal="center" vertical="center" wrapText="1"/>
    </xf>
    <xf numFmtId="0" fontId="4" fillId="5" borderId="0" xfId="1" applyFont="1" applyFill="1" applyAlignment="1">
      <alignment horizontal="center" vertical="center" wrapText="1"/>
    </xf>
    <xf numFmtId="0" fontId="38" fillId="17" borderId="0" xfId="1" applyFont="1" applyFill="1" applyAlignment="1">
      <alignment horizontal="center" vertical="center" wrapText="1"/>
    </xf>
    <xf numFmtId="0" fontId="39" fillId="2" borderId="0" xfId="1" applyFont="1" applyFill="1" applyAlignment="1">
      <alignment horizontal="center" vertical="center" wrapText="1"/>
    </xf>
    <xf numFmtId="0" fontId="39" fillId="5" borderId="0" xfId="1" applyFont="1" applyFill="1" applyAlignment="1">
      <alignment horizontal="center" vertical="center" wrapText="1"/>
    </xf>
    <xf numFmtId="0" fontId="38" fillId="18" borderId="0" xfId="1" applyFont="1" applyFill="1" applyAlignment="1">
      <alignment horizontal="center" vertical="center" wrapText="1"/>
    </xf>
    <xf numFmtId="0" fontId="40" fillId="19" borderId="0" xfId="1" applyFont="1" applyFill="1"/>
    <xf numFmtId="0" fontId="40" fillId="0" borderId="0" xfId="1" applyFont="1"/>
    <xf numFmtId="0" fontId="30" fillId="0" borderId="55" xfId="1" applyFont="1" applyFill="1" applyBorder="1" applyAlignment="1">
      <alignment horizontal="center"/>
    </xf>
    <xf numFmtId="3" fontId="30" fillId="0" borderId="55" xfId="1" applyNumberFormat="1" applyFont="1" applyFill="1" applyBorder="1" applyAlignment="1">
      <alignment horizontal="center" vertical="center"/>
    </xf>
    <xf numFmtId="3" fontId="30" fillId="0" borderId="55" xfId="1" applyNumberFormat="1" applyFont="1" applyBorder="1" applyAlignment="1">
      <alignment horizontal="center" wrapText="1"/>
    </xf>
    <xf numFmtId="170" fontId="40" fillId="20" borderId="55" xfId="1" applyNumberFormat="1" applyFont="1" applyFill="1" applyBorder="1" applyAlignment="1">
      <alignment horizontal="center" vertical="center" wrapText="1"/>
    </xf>
    <xf numFmtId="0" fontId="40" fillId="19" borderId="55" xfId="1" applyFont="1" applyFill="1" applyBorder="1" applyAlignment="1">
      <alignment horizontal="center"/>
    </xf>
    <xf numFmtId="170" fontId="40" fillId="21" borderId="55" xfId="1" applyNumberFormat="1" applyFont="1" applyFill="1" applyBorder="1" applyAlignment="1">
      <alignment horizontal="center" wrapText="1"/>
    </xf>
    <xf numFmtId="170" fontId="40" fillId="7" borderId="55" xfId="1" applyNumberFormat="1" applyFont="1" applyFill="1" applyBorder="1" applyAlignment="1">
      <alignment horizontal="center" wrapText="1"/>
    </xf>
    <xf numFmtId="171" fontId="40" fillId="19" borderId="55" xfId="1" applyNumberFormat="1" applyFont="1" applyFill="1" applyBorder="1" applyAlignment="1">
      <alignment horizontal="center"/>
    </xf>
    <xf numFmtId="1" fontId="40" fillId="0" borderId="55" xfId="1" applyNumberFormat="1" applyFont="1" applyBorder="1" applyAlignment="1">
      <alignment horizontal="center"/>
    </xf>
    <xf numFmtId="0" fontId="40" fillId="0" borderId="0" xfId="1" applyFont="1" applyAlignment="1">
      <alignment vertical="center" wrapText="1"/>
    </xf>
    <xf numFmtId="0" fontId="30" fillId="0" borderId="55" xfId="1" applyFont="1" applyFill="1" applyBorder="1" applyAlignment="1">
      <alignment horizontal="center" vertical="center"/>
    </xf>
    <xf numFmtId="3" fontId="30" fillId="0" borderId="55" xfId="1" applyNumberFormat="1" applyFont="1" applyFill="1" applyBorder="1" applyAlignment="1">
      <alignment horizontal="center" vertical="center" wrapText="1"/>
    </xf>
    <xf numFmtId="3" fontId="30" fillId="0" borderId="55" xfId="1" applyNumberFormat="1" applyFont="1" applyBorder="1" applyAlignment="1">
      <alignment horizontal="center" vertical="center" wrapText="1"/>
    </xf>
    <xf numFmtId="171" fontId="40" fillId="0" borderId="55" xfId="1" applyNumberFormat="1" applyFont="1" applyBorder="1" applyAlignment="1">
      <alignment horizontal="center" vertical="center"/>
    </xf>
    <xf numFmtId="171" fontId="40" fillId="20" borderId="55" xfId="1" applyNumberFormat="1" applyFont="1" applyFill="1" applyBorder="1" applyAlignment="1">
      <alignment horizontal="center"/>
    </xf>
    <xf numFmtId="0" fontId="40" fillId="0" borderId="55" xfId="1" applyFont="1" applyBorder="1" applyAlignment="1">
      <alignment horizontal="center" vertical="center"/>
    </xf>
    <xf numFmtId="170" fontId="40" fillId="0" borderId="55" xfId="1" applyNumberFormat="1" applyFont="1" applyBorder="1" applyAlignment="1">
      <alignment horizontal="center"/>
    </xf>
    <xf numFmtId="171" fontId="40" fillId="0" borderId="55" xfId="1" applyNumberFormat="1" applyFont="1" applyBorder="1" applyAlignment="1">
      <alignment horizontal="center"/>
    </xf>
    <xf numFmtId="3" fontId="30" fillId="0" borderId="55" xfId="1" applyNumberFormat="1" applyFont="1" applyFill="1" applyBorder="1" applyAlignment="1">
      <alignment horizontal="center" wrapText="1"/>
    </xf>
    <xf numFmtId="170" fontId="40" fillId="8" borderId="55" xfId="1" applyNumberFormat="1" applyFont="1" applyFill="1" applyBorder="1" applyAlignment="1">
      <alignment horizontal="center" wrapText="1"/>
    </xf>
    <xf numFmtId="0" fontId="40" fillId="0" borderId="55" xfId="1" applyFont="1" applyBorder="1" applyAlignment="1">
      <alignment horizontal="center"/>
    </xf>
    <xf numFmtId="171" fontId="40" fillId="3" borderId="55" xfId="1" applyNumberFormat="1" applyFont="1" applyFill="1" applyBorder="1" applyAlignment="1">
      <alignment horizontal="center"/>
    </xf>
    <xf numFmtId="0" fontId="39" fillId="5" borderId="0" xfId="1" applyFont="1" applyFill="1"/>
    <xf numFmtId="171" fontId="40" fillId="20" borderId="55" xfId="1" applyNumberFormat="1" applyFont="1" applyFill="1" applyBorder="1" applyAlignment="1">
      <alignment horizontal="center" vertical="center"/>
    </xf>
    <xf numFmtId="0" fontId="30" fillId="0" borderId="55" xfId="1" applyFont="1" applyBorder="1" applyAlignment="1">
      <alignment horizontal="center" vertical="center"/>
    </xf>
    <xf numFmtId="0" fontId="39" fillId="19" borderId="0" xfId="1" applyFont="1" applyFill="1"/>
    <xf numFmtId="0" fontId="40" fillId="19" borderId="0" xfId="1" applyFont="1" applyFill="1" applyAlignment="1">
      <alignment vertical="center" wrapText="1"/>
    </xf>
    <xf numFmtId="170" fontId="40" fillId="3" borderId="55" xfId="1" applyNumberFormat="1" applyFont="1" applyFill="1" applyBorder="1" applyAlignment="1">
      <alignment horizontal="center" wrapText="1"/>
    </xf>
    <xf numFmtId="0" fontId="16" fillId="0" borderId="55" xfId="1" applyFont="1" applyBorder="1" applyAlignment="1">
      <alignment horizontal="center"/>
    </xf>
    <xf numFmtId="0" fontId="40" fillId="0" borderId="0" xfId="1" applyFont="1" applyFill="1"/>
    <xf numFmtId="0" fontId="4" fillId="0" borderId="55" xfId="1" applyFont="1" applyFill="1" applyBorder="1" applyAlignment="1">
      <alignment horizontal="center" vertical="center"/>
    </xf>
    <xf numFmtId="3" fontId="30" fillId="23" borderId="55" xfId="1" applyNumberFormat="1" applyFont="1" applyFill="1" applyBorder="1" applyAlignment="1">
      <alignment horizontal="center" wrapText="1"/>
    </xf>
    <xf numFmtId="171" fontId="40" fillId="23" borderId="55" xfId="1" applyNumberFormat="1" applyFont="1" applyFill="1" applyBorder="1" applyAlignment="1">
      <alignment horizontal="center"/>
    </xf>
    <xf numFmtId="170" fontId="40" fillId="0" borderId="55" xfId="1" applyNumberFormat="1" applyFont="1" applyFill="1" applyBorder="1" applyAlignment="1">
      <alignment horizontal="center"/>
    </xf>
    <xf numFmtId="171" fontId="40" fillId="0" borderId="55" xfId="1" applyNumberFormat="1" applyFont="1" applyFill="1" applyBorder="1" applyAlignment="1">
      <alignment horizontal="center"/>
    </xf>
    <xf numFmtId="0" fontId="40" fillId="23" borderId="0" xfId="1" applyFont="1" applyFill="1"/>
    <xf numFmtId="171" fontId="40" fillId="24" borderId="55" xfId="1" applyNumberFormat="1" applyFont="1" applyFill="1" applyBorder="1" applyAlignment="1">
      <alignment horizontal="center"/>
    </xf>
    <xf numFmtId="0" fontId="30" fillId="19" borderId="0" xfId="1" applyFont="1" applyFill="1" applyAlignment="1">
      <alignment horizontal="center"/>
    </xf>
    <xf numFmtId="0" fontId="30" fillId="0" borderId="0" xfId="1" applyFont="1" applyFill="1" applyBorder="1" applyAlignment="1">
      <alignment horizontal="center"/>
    </xf>
    <xf numFmtId="0" fontId="40" fillId="19" borderId="0" xfId="1" applyFont="1" applyFill="1" applyAlignment="1">
      <alignment horizontal="center"/>
    </xf>
    <xf numFmtId="0" fontId="40" fillId="0" borderId="0" xfId="1" applyFont="1" applyAlignment="1">
      <alignment horizontal="center"/>
    </xf>
    <xf numFmtId="0" fontId="38" fillId="0" borderId="0" xfId="1" applyFont="1" applyFill="1" applyAlignment="1">
      <alignment horizontal="center"/>
    </xf>
    <xf numFmtId="0" fontId="38" fillId="19" borderId="0" xfId="1" applyFont="1" applyFill="1" applyAlignment="1">
      <alignment horizontal="center"/>
    </xf>
    <xf numFmtId="0" fontId="30" fillId="0" borderId="0" xfId="1" applyFont="1" applyFill="1" applyAlignment="1">
      <alignment horizontal="center"/>
    </xf>
    <xf numFmtId="0" fontId="30" fillId="0" borderId="0" xfId="1" applyFont="1" applyAlignment="1">
      <alignment horizontal="center"/>
    </xf>
    <xf numFmtId="0" fontId="40" fillId="5" borderId="0" xfId="1" applyFont="1" applyFill="1" applyAlignment="1">
      <alignment horizontal="center"/>
    </xf>
    <xf numFmtId="0" fontId="40" fillId="6" borderId="0" xfId="1" applyFont="1" applyFill="1" applyAlignment="1">
      <alignment horizontal="center"/>
    </xf>
    <xf numFmtId="0" fontId="38" fillId="18" borderId="0" xfId="1" applyFont="1" applyFill="1" applyAlignment="1">
      <alignment horizontal="center"/>
    </xf>
    <xf numFmtId="164" fontId="0" fillId="0" borderId="11" xfId="0" applyNumberFormat="1" applyFill="1" applyBorder="1" applyAlignment="1">
      <alignment vertical="center"/>
    </xf>
    <xf numFmtId="4" fontId="0" fillId="0" borderId="0" xfId="9" applyNumberFormat="1" applyFont="1" applyAlignment="1">
      <alignment vertical="center"/>
    </xf>
    <xf numFmtId="4" fontId="0" fillId="3" borderId="37" xfId="0" applyNumberFormat="1" applyFill="1" applyBorder="1" applyAlignment="1">
      <alignment vertical="center"/>
    </xf>
    <xf numFmtId="4" fontId="0" fillId="0" borderId="37" xfId="0" applyNumberFormat="1" applyFill="1" applyBorder="1" applyAlignment="1">
      <alignment vertical="center"/>
    </xf>
    <xf numFmtId="164" fontId="0" fillId="0" borderId="37" xfId="0" applyNumberFormat="1" applyFill="1" applyBorder="1" applyAlignment="1">
      <alignment vertical="center"/>
    </xf>
    <xf numFmtId="0" fontId="3" fillId="0" borderId="0" xfId="0" applyFont="1" applyAlignment="1">
      <alignment vertical="center" wrapText="1"/>
    </xf>
    <xf numFmtId="0" fontId="1" fillId="0" borderId="0" xfId="0" applyFont="1" applyFill="1" applyAlignment="1">
      <alignment vertical="center"/>
    </xf>
    <xf numFmtId="2" fontId="1" fillId="0" borderId="0" xfId="0" applyNumberFormat="1" applyFont="1" applyFill="1" applyAlignment="1">
      <alignment horizontal="center" vertical="center"/>
    </xf>
    <xf numFmtId="10" fontId="14" fillId="5" borderId="0" xfId="9" applyNumberFormat="1" applyFont="1" applyFill="1" applyAlignment="1">
      <alignment horizontal="center" vertical="center" wrapText="1"/>
    </xf>
    <xf numFmtId="10" fontId="14" fillId="5" borderId="0" xfId="9" applyNumberFormat="1" applyFont="1" applyFill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8" fontId="0" fillId="0" borderId="0" xfId="0" applyNumberFormat="1"/>
    <xf numFmtId="10" fontId="14" fillId="25" borderId="0" xfId="9" applyNumberFormat="1" applyFont="1" applyFill="1" applyAlignment="1">
      <alignment horizontal="center" vertical="center" wrapText="1"/>
    </xf>
    <xf numFmtId="10" fontId="14" fillId="25" borderId="0" xfId="9" applyNumberFormat="1" applyFont="1" applyFill="1" applyAlignment="1">
      <alignment horizontal="center" vertical="center"/>
    </xf>
    <xf numFmtId="4" fontId="0" fillId="4" borderId="0" xfId="0" applyNumberFormat="1" applyFill="1" applyBorder="1" applyAlignment="1">
      <alignment vertical="center"/>
    </xf>
    <xf numFmtId="10" fontId="14" fillId="0" borderId="0" xfId="9" applyNumberFormat="1" applyFont="1" applyFill="1" applyAlignment="1">
      <alignment horizontal="center" vertical="center" wrapText="1"/>
    </xf>
    <xf numFmtId="10" fontId="14" fillId="0" borderId="0" xfId="9" applyNumberFormat="1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" fontId="0" fillId="2" borderId="0" xfId="0" applyNumberFormat="1" applyFill="1" applyBorder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" fillId="0" borderId="7" xfId="0" applyFont="1" applyBorder="1" applyAlignment="1">
      <alignment horizontal="center" vertical="center" wrapText="1"/>
    </xf>
    <xf numFmtId="4" fontId="1" fillId="3" borderId="6" xfId="0" applyNumberFormat="1" applyFont="1" applyFill="1" applyBorder="1" applyAlignment="1">
      <alignment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3" fontId="0" fillId="0" borderId="0" xfId="9" applyNumberFormat="1" applyFont="1" applyAlignment="1">
      <alignment vertical="center"/>
    </xf>
    <xf numFmtId="0" fontId="45" fillId="0" borderId="0" xfId="0" applyFont="1" applyAlignment="1">
      <alignment vertical="center" wrapText="1"/>
    </xf>
    <xf numFmtId="0" fontId="45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6" fillId="0" borderId="0" xfId="0" applyFont="1"/>
    <xf numFmtId="0" fontId="45" fillId="0" borderId="0" xfId="0" applyFont="1" applyAlignment="1">
      <alignment horizontal="center" vertical="center" wrapText="1"/>
    </xf>
    <xf numFmtId="0" fontId="46" fillId="0" borderId="0" xfId="0" applyFont="1" applyAlignment="1">
      <alignment horizontal="center" vertical="center"/>
    </xf>
    <xf numFmtId="175" fontId="46" fillId="0" borderId="28" xfId="14" applyNumberFormat="1" applyFont="1" applyFill="1" applyBorder="1" applyAlignment="1">
      <alignment horizontal="center" vertical="center"/>
    </xf>
    <xf numFmtId="175" fontId="46" fillId="26" borderId="28" xfId="14" applyNumberFormat="1" applyFont="1" applyFill="1" applyBorder="1"/>
    <xf numFmtId="0" fontId="45" fillId="0" borderId="0" xfId="0" applyFont="1"/>
    <xf numFmtId="0" fontId="5" fillId="0" borderId="0" xfId="0" applyFont="1"/>
    <xf numFmtId="0" fontId="16" fillId="0" borderId="0" xfId="0" applyFont="1" applyAlignment="1">
      <alignment vertical="center" wrapText="1"/>
    </xf>
    <xf numFmtId="0" fontId="46" fillId="0" borderId="0" xfId="0" applyFont="1" applyAlignment="1">
      <alignment horizontal="center" vertical="center" wrapText="1"/>
    </xf>
    <xf numFmtId="176" fontId="0" fillId="0" borderId="0" xfId="0" applyNumberFormat="1" applyBorder="1" applyAlignment="1">
      <alignment vertical="center"/>
    </xf>
    <xf numFmtId="0" fontId="1" fillId="0" borderId="11" xfId="0" applyFont="1" applyBorder="1" applyAlignment="1">
      <alignment vertical="center" wrapText="1"/>
    </xf>
    <xf numFmtId="176" fontId="1" fillId="5" borderId="0" xfId="0" applyNumberFormat="1" applyFont="1" applyFill="1" applyBorder="1" applyAlignment="1">
      <alignment vertical="center"/>
    </xf>
    <xf numFmtId="0" fontId="14" fillId="4" borderId="6" xfId="0" applyFont="1" applyFill="1" applyBorder="1" applyAlignment="1">
      <alignment horizontal="left" vertical="center"/>
    </xf>
    <xf numFmtId="3" fontId="0" fillId="27" borderId="0" xfId="0" applyNumberFormat="1" applyFill="1" applyBorder="1" applyAlignment="1">
      <alignment vertical="center"/>
    </xf>
    <xf numFmtId="4" fontId="0" fillId="27" borderId="0" xfId="0" applyNumberFormat="1" applyFill="1" applyBorder="1" applyAlignment="1">
      <alignment vertical="center"/>
    </xf>
    <xf numFmtId="0" fontId="0" fillId="11" borderId="0" xfId="0" applyFill="1"/>
    <xf numFmtId="0" fontId="0" fillId="11" borderId="0" xfId="0" applyFill="1" applyAlignment="1">
      <alignment vertical="center"/>
    </xf>
    <xf numFmtId="4" fontId="0" fillId="11" borderId="0" xfId="0" applyNumberFormat="1" applyFill="1" applyAlignment="1">
      <alignment vertical="center"/>
    </xf>
    <xf numFmtId="164" fontId="0" fillId="11" borderId="0" xfId="0" applyNumberFormat="1" applyFill="1" applyAlignment="1">
      <alignment vertical="center"/>
    </xf>
    <xf numFmtId="0" fontId="1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3" fontId="0" fillId="0" borderId="0" xfId="9" applyNumberFormat="1" applyFont="1" applyBorder="1" applyAlignment="1">
      <alignment vertical="center"/>
    </xf>
    <xf numFmtId="4" fontId="0" fillId="0" borderId="0" xfId="9" applyNumberFormat="1" applyFont="1" applyBorder="1" applyAlignment="1">
      <alignment vertical="center"/>
    </xf>
    <xf numFmtId="0" fontId="0" fillId="0" borderId="0" xfId="0" applyBorder="1"/>
    <xf numFmtId="0" fontId="14" fillId="0" borderId="4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" fillId="0" borderId="7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4" fillId="0" borderId="10" xfId="0" applyFont="1" applyBorder="1" applyAlignment="1">
      <alignment horizontal="left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164" fontId="11" fillId="0" borderId="0" xfId="0" applyNumberFormat="1" applyFont="1" applyAlignment="1">
      <alignment vertical="center"/>
    </xf>
    <xf numFmtId="0" fontId="1" fillId="0" borderId="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8" xfId="0" applyFont="1" applyBorder="1" applyAlignment="1">
      <alignment vertical="center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4" fontId="0" fillId="0" borderId="11" xfId="0" applyNumberFormat="1" applyFill="1" applyBorder="1" applyAlignment="1">
      <alignment vertical="center"/>
    </xf>
    <xf numFmtId="4" fontId="2" fillId="0" borderId="11" xfId="0" applyNumberFormat="1" applyFont="1" applyBorder="1" applyAlignment="1">
      <alignment vertical="center"/>
    </xf>
    <xf numFmtId="4" fontId="0" fillId="2" borderId="11" xfId="0" applyNumberFormat="1" applyFill="1" applyBorder="1" applyAlignment="1">
      <alignment vertical="center"/>
    </xf>
    <xf numFmtId="4" fontId="0" fillId="4" borderId="11" xfId="0" applyNumberFormat="1" applyFill="1" applyBorder="1" applyAlignment="1">
      <alignment vertical="center"/>
    </xf>
    <xf numFmtId="0" fontId="47" fillId="0" borderId="0" xfId="0" applyFont="1"/>
    <xf numFmtId="0" fontId="0" fillId="0" borderId="0" xfId="0" applyAlignment="1">
      <alignment horizontal="center"/>
    </xf>
    <xf numFmtId="178" fontId="46" fillId="0" borderId="0" xfId="0" applyNumberFormat="1" applyFont="1"/>
    <xf numFmtId="179" fontId="46" fillId="0" borderId="0" xfId="15" applyNumberFormat="1" applyFont="1" applyAlignment="1">
      <alignment horizontal="center"/>
    </xf>
    <xf numFmtId="169" fontId="46" fillId="0" borderId="0" xfId="15" applyFont="1"/>
    <xf numFmtId="169" fontId="46" fillId="0" borderId="0" xfId="0" applyNumberFormat="1" applyFont="1"/>
    <xf numFmtId="0" fontId="0" fillId="0" borderId="0" xfId="0" applyAlignment="1">
      <alignment horizontal="right"/>
    </xf>
    <xf numFmtId="0" fontId="46" fillId="0" borderId="53" xfId="0" applyFont="1" applyBorder="1"/>
    <xf numFmtId="0" fontId="46" fillId="16" borderId="53" xfId="0" applyFont="1" applyFill="1" applyBorder="1"/>
    <xf numFmtId="0" fontId="45" fillId="16" borderId="53" xfId="0" applyFont="1" applyFill="1" applyBorder="1"/>
    <xf numFmtId="4" fontId="0" fillId="0" borderId="0" xfId="0" applyNumberFormat="1"/>
    <xf numFmtId="0" fontId="1" fillId="0" borderId="0" xfId="0" applyFont="1"/>
    <xf numFmtId="0" fontId="49" fillId="0" borderId="0" xfId="0" applyFont="1"/>
    <xf numFmtId="178" fontId="49" fillId="0" borderId="0" xfId="0" applyNumberFormat="1" applyFont="1"/>
    <xf numFmtId="179" fontId="49" fillId="0" borderId="0" xfId="0" applyNumberFormat="1" applyFont="1" applyAlignment="1">
      <alignment horizontal="center"/>
    </xf>
    <xf numFmtId="169" fontId="49" fillId="0" borderId="0" xfId="0" applyNumberFormat="1" applyFont="1"/>
    <xf numFmtId="0" fontId="1" fillId="0" borderId="43" xfId="0" applyFont="1" applyBorder="1" applyAlignment="1">
      <alignment horizontal="center" vertical="center" wrapText="1"/>
    </xf>
    <xf numFmtId="0" fontId="1" fillId="0" borderId="0" xfId="2" applyFont="1" applyAlignment="1">
      <alignment horizontal="center" vertical="center"/>
    </xf>
    <xf numFmtId="0" fontId="1" fillId="25" borderId="24" xfId="0" applyFont="1" applyFill="1" applyBorder="1" applyAlignment="1">
      <alignment horizontal="center" vertical="center" wrapText="1"/>
    </xf>
    <xf numFmtId="4" fontId="9" fillId="0" borderId="0" xfId="2" applyNumberFormat="1" applyBorder="1"/>
    <xf numFmtId="10" fontId="12" fillId="25" borderId="17" xfId="4" applyNumberFormat="1" applyFont="1" applyFill="1" applyBorder="1" applyAlignment="1">
      <alignment horizontal="center" vertical="center" wrapText="1"/>
    </xf>
    <xf numFmtId="4" fontId="9" fillId="0" borderId="0" xfId="2" applyNumberFormat="1" applyAlignment="1">
      <alignment vertical="center"/>
    </xf>
    <xf numFmtId="4" fontId="0" fillId="0" borderId="34" xfId="0" applyNumberFormat="1" applyFont="1" applyBorder="1" applyAlignment="1">
      <alignment horizontal="center" vertical="center" wrapText="1"/>
    </xf>
    <xf numFmtId="4" fontId="0" fillId="0" borderId="13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10" fontId="1" fillId="5" borderId="5" xfId="0" applyNumberFormat="1" applyFont="1" applyFill="1" applyBorder="1" applyAlignment="1">
      <alignment horizontal="center" vertical="center"/>
    </xf>
    <xf numFmtId="10" fontId="1" fillId="5" borderId="11" xfId="0" applyNumberFormat="1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10" fontId="1" fillId="5" borderId="0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4" fontId="11" fillId="2" borderId="0" xfId="0" applyNumberFormat="1" applyFont="1" applyFill="1" applyBorder="1" applyAlignment="1">
      <alignment vertical="center"/>
    </xf>
    <xf numFmtId="4" fontId="0" fillId="2" borderId="57" xfId="0" applyNumberFormat="1" applyFill="1" applyBorder="1" applyAlignment="1">
      <alignment vertical="center"/>
    </xf>
    <xf numFmtId="4" fontId="0" fillId="3" borderId="58" xfId="0" applyNumberFormat="1" applyFill="1" applyBorder="1" applyAlignment="1">
      <alignment vertical="center"/>
    </xf>
    <xf numFmtId="4" fontId="11" fillId="2" borderId="58" xfId="0" applyNumberFormat="1" applyFont="1" applyFill="1" applyBorder="1" applyAlignment="1">
      <alignment vertical="center"/>
    </xf>
    <xf numFmtId="4" fontId="0" fillId="3" borderId="59" xfId="0" applyNumberFormat="1" applyFill="1" applyBorder="1" applyAlignment="1">
      <alignment vertical="center"/>
    </xf>
    <xf numFmtId="4" fontId="0" fillId="2" borderId="60" xfId="0" applyNumberFormat="1" applyFill="1" applyBorder="1" applyAlignment="1">
      <alignment vertical="center"/>
    </xf>
    <xf numFmtId="4" fontId="0" fillId="3" borderId="61" xfId="0" applyNumberFormat="1" applyFill="1" applyBorder="1" applyAlignment="1">
      <alignment vertical="center"/>
    </xf>
    <xf numFmtId="10" fontId="1" fillId="5" borderId="60" xfId="0" applyNumberFormat="1" applyFont="1" applyFill="1" applyBorder="1" applyAlignment="1">
      <alignment horizontal="center" vertical="center" wrapText="1"/>
    </xf>
    <xf numFmtId="4" fontId="0" fillId="4" borderId="61" xfId="0" applyNumberFormat="1" applyFill="1" applyBorder="1" applyAlignment="1">
      <alignment vertical="center"/>
    </xf>
    <xf numFmtId="0" fontId="11" fillId="4" borderId="62" xfId="0" applyFont="1" applyFill="1" applyBorder="1" applyAlignment="1">
      <alignment vertical="center"/>
    </xf>
    <xf numFmtId="4" fontId="1" fillId="3" borderId="63" xfId="0" applyNumberFormat="1" applyFont="1" applyFill="1" applyBorder="1" applyAlignment="1">
      <alignment vertical="center"/>
    </xf>
    <xf numFmtId="4" fontId="1" fillId="3" borderId="64" xfId="0" applyNumberFormat="1" applyFont="1" applyFill="1" applyBorder="1" applyAlignment="1">
      <alignment vertical="center"/>
    </xf>
    <xf numFmtId="4" fontId="0" fillId="2" borderId="58" xfId="0" applyNumberFormat="1" applyFill="1" applyBorder="1" applyAlignment="1">
      <alignment vertical="center"/>
    </xf>
    <xf numFmtId="4" fontId="0" fillId="2" borderId="65" xfId="0" applyNumberFormat="1" applyFill="1" applyBorder="1" applyAlignment="1">
      <alignment vertical="center"/>
    </xf>
    <xf numFmtId="4" fontId="0" fillId="3" borderId="66" xfId="0" applyNumberFormat="1" applyFill="1" applyBorder="1" applyAlignment="1">
      <alignment vertical="center"/>
    </xf>
    <xf numFmtId="4" fontId="0" fillId="2" borderId="66" xfId="0" applyNumberFormat="1" applyFill="1" applyBorder="1" applyAlignment="1">
      <alignment vertical="center"/>
    </xf>
    <xf numFmtId="4" fontId="0" fillId="3" borderId="67" xfId="0" applyNumberFormat="1" applyFill="1" applyBorder="1" applyAlignment="1">
      <alignment vertical="center"/>
    </xf>
    <xf numFmtId="180" fontId="0" fillId="0" borderId="0" xfId="0" applyNumberFormat="1"/>
    <xf numFmtId="0" fontId="34" fillId="0" borderId="0" xfId="10" applyFont="1"/>
    <xf numFmtId="169" fontId="35" fillId="11" borderId="0" xfId="12" applyFont="1" applyFill="1" applyAlignment="1">
      <alignment horizontal="right"/>
    </xf>
    <xf numFmtId="169" fontId="0" fillId="11" borderId="0" xfId="12" applyFont="1" applyFill="1"/>
    <xf numFmtId="169" fontId="0" fillId="0" borderId="0" xfId="12" applyFont="1"/>
    <xf numFmtId="0" fontId="35" fillId="15" borderId="53" xfId="10" applyFont="1" applyFill="1" applyBorder="1" applyAlignment="1">
      <alignment horizontal="center" vertical="center"/>
    </xf>
    <xf numFmtId="0" fontId="35" fillId="15" borderId="53" xfId="10" applyFont="1" applyFill="1" applyBorder="1" applyAlignment="1">
      <alignment horizontal="center" vertical="center" wrapText="1"/>
    </xf>
    <xf numFmtId="0" fontId="35" fillId="31" borderId="0" xfId="10" applyFont="1" applyFill="1" applyBorder="1" applyAlignment="1">
      <alignment horizontal="center" vertical="center" wrapText="1"/>
    </xf>
    <xf numFmtId="0" fontId="35" fillId="32" borderId="0" xfId="10" applyFont="1" applyFill="1" applyAlignment="1">
      <alignment horizontal="center" vertical="center" wrapText="1"/>
    </xf>
    <xf numFmtId="0" fontId="35" fillId="32" borderId="0" xfId="10" applyFont="1" applyFill="1" applyBorder="1" applyAlignment="1">
      <alignment horizontal="center" vertical="center" wrapText="1"/>
    </xf>
    <xf numFmtId="0" fontId="0" fillId="16" borderId="53" xfId="11" applyNumberFormat="1" applyFont="1" applyFill="1" applyBorder="1" applyAlignment="1">
      <alignment horizontal="center" vertical="center"/>
    </xf>
    <xf numFmtId="0" fontId="34" fillId="16" borderId="53" xfId="10" applyFont="1" applyFill="1" applyBorder="1" applyAlignment="1"/>
    <xf numFmtId="169" fontId="34" fillId="16" borderId="53" xfId="10" applyNumberFormat="1" applyFont="1" applyFill="1" applyBorder="1" applyAlignment="1"/>
    <xf numFmtId="10" fontId="34" fillId="0" borderId="0" xfId="10" applyNumberFormat="1" applyFont="1"/>
    <xf numFmtId="4" fontId="34" fillId="0" borderId="0" xfId="10" applyNumberFormat="1" applyFont="1"/>
    <xf numFmtId="0" fontId="0" fillId="0" borderId="53" xfId="11" applyNumberFormat="1" applyFont="1" applyBorder="1" applyAlignment="1">
      <alignment horizontal="center" vertical="center"/>
    </xf>
    <xf numFmtId="0" fontId="34" fillId="0" borderId="53" xfId="10" applyFont="1" applyBorder="1" applyAlignment="1"/>
    <xf numFmtId="169" fontId="34" fillId="0" borderId="53" xfId="10" applyNumberFormat="1" applyFont="1" applyBorder="1" applyAlignment="1"/>
    <xf numFmtId="169" fontId="34" fillId="0" borderId="0" xfId="10" applyNumberFormat="1" applyFont="1"/>
    <xf numFmtId="0" fontId="50" fillId="0" borderId="52" xfId="10" applyFont="1" applyBorder="1" applyAlignment="1">
      <alignment vertical="center"/>
    </xf>
    <xf numFmtId="0" fontId="50" fillId="0" borderId="52" xfId="1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4" fontId="0" fillId="2" borderId="3" xfId="0" applyNumberFormat="1" applyFill="1" applyBorder="1" applyAlignment="1">
      <alignment vertical="center"/>
    </xf>
    <xf numFmtId="4" fontId="1" fillId="2" borderId="6" xfId="0" applyNumberFormat="1" applyFont="1" applyFill="1" applyBorder="1" applyAlignment="1">
      <alignment vertical="center"/>
    </xf>
    <xf numFmtId="4" fontId="2" fillId="2" borderId="0" xfId="0" applyNumberFormat="1" applyFont="1" applyFill="1" applyBorder="1" applyAlignment="1">
      <alignment vertical="center"/>
    </xf>
    <xf numFmtId="4" fontId="14" fillId="2" borderId="6" xfId="0" applyNumberFormat="1" applyFont="1" applyFill="1" applyBorder="1" applyAlignment="1">
      <alignment vertical="center"/>
    </xf>
    <xf numFmtId="164" fontId="0" fillId="2" borderId="0" xfId="0" applyNumberFormat="1" applyFill="1" applyBorder="1" applyAlignment="1">
      <alignment vertical="center"/>
    </xf>
    <xf numFmtId="0" fontId="50" fillId="0" borderId="52" xfId="10" applyFont="1" applyBorder="1" applyAlignment="1">
      <alignment horizontal="center" vertical="center"/>
    </xf>
    <xf numFmtId="0" fontId="51" fillId="0" borderId="54" xfId="11" applyNumberFormat="1" applyFont="1" applyFill="1" applyBorder="1" applyAlignment="1">
      <alignment horizontal="center" vertical="center"/>
    </xf>
    <xf numFmtId="0" fontId="51" fillId="0" borderId="54" xfId="10" applyFont="1" applyBorder="1" applyAlignment="1"/>
    <xf numFmtId="169" fontId="51" fillId="0" borderId="54" xfId="10" applyNumberFormat="1" applyFont="1" applyBorder="1" applyAlignment="1"/>
    <xf numFmtId="169" fontId="51" fillId="16" borderId="54" xfId="10" applyNumberFormat="1" applyFont="1" applyFill="1" applyBorder="1" applyAlignment="1"/>
    <xf numFmtId="169" fontId="51" fillId="0" borderId="0" xfId="12" applyFont="1" applyBorder="1"/>
    <xf numFmtId="169" fontId="51" fillId="0" borderId="0" xfId="12" applyNumberFormat="1" applyFont="1" applyBorder="1"/>
    <xf numFmtId="10" fontId="51" fillId="0" borderId="0" xfId="10" applyNumberFormat="1" applyFont="1" applyBorder="1"/>
    <xf numFmtId="4" fontId="51" fillId="0" borderId="0" xfId="10" applyNumberFormat="1" applyFont="1" applyBorder="1"/>
    <xf numFmtId="169" fontId="0" fillId="16" borderId="53" xfId="12" applyNumberFormat="1" applyFont="1" applyFill="1" applyBorder="1"/>
    <xf numFmtId="169" fontId="0" fillId="0" borderId="53" xfId="12" applyNumberFormat="1" applyFont="1" applyBorder="1"/>
    <xf numFmtId="4" fontId="1" fillId="33" borderId="0" xfId="0" applyNumberFormat="1" applyFont="1" applyFill="1" applyBorder="1" applyAlignment="1">
      <alignment vertical="center"/>
    </xf>
    <xf numFmtId="3" fontId="1" fillId="33" borderId="0" xfId="0" applyNumberFormat="1" applyFont="1" applyFill="1" applyBorder="1" applyAlignment="1">
      <alignment vertical="center"/>
    </xf>
    <xf numFmtId="0" fontId="0" fillId="16" borderId="68" xfId="11" applyNumberFormat="1" applyFont="1" applyFill="1" applyBorder="1" applyAlignment="1">
      <alignment horizontal="center" vertical="center"/>
    </xf>
    <xf numFmtId="0" fontId="0" fillId="16" borderId="53" xfId="0" applyFont="1" applyFill="1" applyBorder="1" applyAlignment="1"/>
    <xf numFmtId="169" fontId="0" fillId="16" borderId="53" xfId="0" applyNumberFormat="1" applyFont="1" applyFill="1" applyBorder="1" applyAlignment="1"/>
    <xf numFmtId="10" fontId="0" fillId="16" borderId="53" xfId="0" applyNumberFormat="1" applyFont="1" applyFill="1" applyBorder="1"/>
    <xf numFmtId="4" fontId="0" fillId="16" borderId="53" xfId="0" applyNumberFormat="1" applyFont="1" applyFill="1" applyBorder="1"/>
    <xf numFmtId="10" fontId="0" fillId="16" borderId="69" xfId="0" applyNumberFormat="1" applyFont="1" applyFill="1" applyBorder="1"/>
    <xf numFmtId="0" fontId="0" fillId="0" borderId="68" xfId="11" applyNumberFormat="1" applyFont="1" applyBorder="1" applyAlignment="1">
      <alignment horizontal="center" vertical="center"/>
    </xf>
    <xf numFmtId="0" fontId="0" fillId="0" borderId="53" xfId="0" applyFont="1" applyBorder="1" applyAlignment="1"/>
    <xf numFmtId="169" fontId="0" fillId="0" borderId="53" xfId="0" applyNumberFormat="1" applyFont="1" applyBorder="1" applyAlignment="1"/>
    <xf numFmtId="10" fontId="0" fillId="0" borderId="53" xfId="0" applyNumberFormat="1" applyFont="1" applyBorder="1"/>
    <xf numFmtId="4" fontId="0" fillId="0" borderId="53" xfId="0" applyNumberFormat="1" applyFont="1" applyBorder="1"/>
    <xf numFmtId="10" fontId="0" fillId="0" borderId="69" xfId="0" applyNumberFormat="1" applyFont="1" applyBorder="1"/>
    <xf numFmtId="2" fontId="0" fillId="0" borderId="0" xfId="0" applyNumberFormat="1" applyAlignment="1">
      <alignment vertical="center"/>
    </xf>
    <xf numFmtId="164" fontId="11" fillId="0" borderId="0" xfId="0" applyNumberFormat="1" applyFont="1" applyFill="1" applyBorder="1" applyAlignment="1">
      <alignment vertical="center"/>
    </xf>
    <xf numFmtId="4" fontId="11" fillId="0" borderId="3" xfId="0" applyNumberFormat="1" applyFont="1" applyFill="1" applyBorder="1" applyAlignment="1">
      <alignment vertical="center"/>
    </xf>
    <xf numFmtId="4" fontId="11" fillId="0" borderId="0" xfId="0" applyNumberFormat="1" applyFont="1" applyFill="1" applyBorder="1" applyAlignment="1">
      <alignment vertical="center"/>
    </xf>
    <xf numFmtId="4" fontId="2" fillId="34" borderId="12" xfId="0" applyNumberFormat="1" applyFont="1" applyFill="1" applyBorder="1" applyAlignment="1">
      <alignment vertical="center"/>
    </xf>
    <xf numFmtId="164" fontId="0" fillId="34" borderId="7" xfId="0" applyNumberFormat="1" applyFill="1" applyBorder="1" applyAlignment="1">
      <alignment vertical="center"/>
    </xf>
    <xf numFmtId="4" fontId="2" fillId="34" borderId="13" xfId="0" applyNumberFormat="1" applyFont="1" applyFill="1" applyBorder="1" applyAlignment="1">
      <alignment vertical="center"/>
    </xf>
    <xf numFmtId="164" fontId="0" fillId="34" borderId="9" xfId="0" applyNumberFormat="1" applyFill="1" applyBorder="1" applyAlignment="1">
      <alignment vertical="center"/>
    </xf>
    <xf numFmtId="4" fontId="2" fillId="34" borderId="56" xfId="0" applyNumberFormat="1" applyFont="1" applyFill="1" applyBorder="1" applyAlignment="1">
      <alignment vertical="center"/>
    </xf>
    <xf numFmtId="4" fontId="3" fillId="34" borderId="6" xfId="0" applyNumberFormat="1" applyFont="1" applyFill="1" applyBorder="1" applyAlignment="1">
      <alignment vertical="center"/>
    </xf>
    <xf numFmtId="164" fontId="1" fillId="34" borderId="1" xfId="0" applyNumberFormat="1" applyFont="1" applyFill="1" applyBorder="1" applyAlignment="1">
      <alignment vertical="center"/>
    </xf>
    <xf numFmtId="164" fontId="2" fillId="34" borderId="56" xfId="0" applyNumberFormat="1" applyFont="1" applyFill="1" applyBorder="1" applyAlignment="1">
      <alignment vertical="center"/>
    </xf>
    <xf numFmtId="164" fontId="0" fillId="34" borderId="8" xfId="0" applyNumberFormat="1" applyFill="1" applyBorder="1" applyAlignment="1">
      <alignment vertical="center"/>
    </xf>
    <xf numFmtId="4" fontId="3" fillId="34" borderId="14" xfId="0" applyNumberFormat="1" applyFont="1" applyFill="1" applyBorder="1" applyAlignment="1">
      <alignment vertical="center"/>
    </xf>
    <xf numFmtId="164" fontId="2" fillId="34" borderId="0" xfId="0" applyNumberFormat="1" applyFont="1" applyFill="1" applyBorder="1" applyAlignment="1">
      <alignment vertical="center"/>
    </xf>
    <xf numFmtId="0" fontId="5" fillId="0" borderId="0" xfId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39" fillId="0" borderId="7" xfId="0" applyFont="1" applyFill="1" applyBorder="1" applyAlignment="1">
      <alignment horizontal="center" vertical="center" wrapText="1"/>
    </xf>
    <xf numFmtId="4" fontId="40" fillId="19" borderId="0" xfId="1" applyNumberFormat="1" applyFont="1" applyFill="1"/>
    <xf numFmtId="4" fontId="39" fillId="19" borderId="0" xfId="1" applyNumberFormat="1" applyFont="1" applyFill="1"/>
    <xf numFmtId="4" fontId="40" fillId="19" borderId="0" xfId="1" applyNumberFormat="1" applyFont="1" applyFill="1" applyAlignment="1">
      <alignment vertical="center" wrapText="1"/>
    </xf>
    <xf numFmtId="4" fontId="40" fillId="0" borderId="0" xfId="1" applyNumberFormat="1" applyFont="1" applyFill="1"/>
    <xf numFmtId="4" fontId="13" fillId="19" borderId="0" xfId="1" applyNumberFormat="1" applyFont="1" applyFill="1"/>
    <xf numFmtId="0" fontId="13" fillId="19" borderId="0" xfId="1" applyFont="1" applyFill="1"/>
    <xf numFmtId="0" fontId="4" fillId="2" borderId="55" xfId="1" applyFont="1" applyFill="1" applyBorder="1" applyAlignment="1">
      <alignment horizontal="center" vertical="center" wrapText="1"/>
    </xf>
    <xf numFmtId="0" fontId="5" fillId="19" borderId="0" xfId="1" applyFill="1"/>
    <xf numFmtId="0" fontId="30" fillId="0" borderId="55" xfId="1" applyFont="1" applyBorder="1" applyAlignment="1">
      <alignment horizontal="center"/>
    </xf>
    <xf numFmtId="168" fontId="5" fillId="35" borderId="70" xfId="1" applyNumberFormat="1" applyFill="1" applyBorder="1" applyAlignment="1">
      <alignment horizontal="center"/>
    </xf>
    <xf numFmtId="168" fontId="5" fillId="36" borderId="70" xfId="1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4" fontId="5" fillId="19" borderId="0" xfId="1" applyNumberFormat="1" applyFill="1"/>
    <xf numFmtId="9" fontId="0" fillId="0" borderId="0" xfId="9" applyFont="1"/>
    <xf numFmtId="4" fontId="1" fillId="0" borderId="0" xfId="0" applyNumberFormat="1" applyFont="1"/>
    <xf numFmtId="3" fontId="0" fillId="0" borderId="0" xfId="0" applyNumberFormat="1"/>
    <xf numFmtId="168" fontId="0" fillId="0" borderId="0" xfId="9" applyNumberFormat="1" applyFont="1"/>
    <xf numFmtId="0" fontId="1" fillId="0" borderId="0" xfId="0" applyFont="1" applyAlignment="1">
      <alignment horizontal="center" vertical="center"/>
    </xf>
    <xf numFmtId="8" fontId="0" fillId="0" borderId="0" xfId="0" applyNumberFormat="1" applyBorder="1"/>
    <xf numFmtId="164" fontId="0" fillId="34" borderId="0" xfId="0" applyNumberFormat="1" applyFill="1" applyBorder="1" applyAlignment="1">
      <alignment vertic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4" fontId="2" fillId="0" borderId="0" xfId="0" applyNumberFormat="1" applyFont="1" applyBorder="1" applyAlignment="1">
      <alignment horizontal="center" vertical="center"/>
    </xf>
    <xf numFmtId="4" fontId="0" fillId="0" borderId="0" xfId="0" applyNumberFormat="1" applyBorder="1"/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168" fontId="0" fillId="0" borderId="0" xfId="0" applyNumberFormat="1"/>
    <xf numFmtId="168" fontId="0" fillId="0" borderId="72" xfId="0" applyNumberFormat="1" applyBorder="1"/>
    <xf numFmtId="0" fontId="1" fillId="0" borderId="0" xfId="0" applyFont="1" applyFill="1" applyBorder="1" applyAlignment="1">
      <alignment horizontal="center"/>
    </xf>
    <xf numFmtId="0" fontId="1" fillId="0" borderId="28" xfId="0" applyFont="1" applyBorder="1" applyAlignment="1">
      <alignment horizontal="center" vertical="center"/>
    </xf>
    <xf numFmtId="4" fontId="0" fillId="0" borderId="28" xfId="0" applyNumberFormat="1" applyBorder="1"/>
    <xf numFmtId="0" fontId="0" fillId="0" borderId="28" xfId="0" applyBorder="1"/>
    <xf numFmtId="4" fontId="1" fillId="0" borderId="28" xfId="0" applyNumberFormat="1" applyFont="1" applyBorder="1"/>
    <xf numFmtId="0" fontId="1" fillId="0" borderId="28" xfId="0" applyFont="1" applyBorder="1"/>
    <xf numFmtId="0" fontId="1" fillId="0" borderId="28" xfId="0" applyFont="1" applyBorder="1" applyAlignment="1">
      <alignment horizontal="center" vertical="center"/>
    </xf>
    <xf numFmtId="0" fontId="1" fillId="0" borderId="33" xfId="0" applyFont="1" applyBorder="1" applyAlignment="1">
      <alignment horizontal="left" vertical="center"/>
    </xf>
    <xf numFmtId="0" fontId="0" fillId="0" borderId="32" xfId="0" applyBorder="1" applyAlignment="1">
      <alignment horizontal="center" vertical="center"/>
    </xf>
    <xf numFmtId="4" fontId="0" fillId="0" borderId="32" xfId="0" applyNumberFormat="1" applyBorder="1" applyAlignment="1">
      <alignment horizontal="center" vertical="center"/>
    </xf>
    <xf numFmtId="4" fontId="2" fillId="0" borderId="32" xfId="0" applyNumberFormat="1" applyFont="1" applyBorder="1" applyAlignment="1">
      <alignment horizontal="center" vertical="center"/>
    </xf>
    <xf numFmtId="4" fontId="0" fillId="0" borderId="32" xfId="0" applyNumberFormat="1" applyBorder="1"/>
    <xf numFmtId="0" fontId="1" fillId="0" borderId="32" xfId="0" applyFont="1" applyBorder="1" applyAlignment="1">
      <alignment horizontal="center"/>
    </xf>
    <xf numFmtId="0" fontId="0" fillId="0" borderId="75" xfId="0" applyBorder="1" applyAlignment="1">
      <alignment horizontal="left" vertical="center"/>
    </xf>
    <xf numFmtId="0" fontId="0" fillId="0" borderId="76" xfId="0" applyBorder="1" applyAlignment="1">
      <alignment horizontal="center" vertical="center"/>
    </xf>
    <xf numFmtId="4" fontId="0" fillId="0" borderId="76" xfId="0" applyNumberFormat="1" applyBorder="1" applyAlignment="1">
      <alignment horizontal="center" vertical="center"/>
    </xf>
    <xf numFmtId="4" fontId="2" fillId="0" borderId="76" xfId="0" applyNumberFormat="1" applyFont="1" applyBorder="1" applyAlignment="1">
      <alignment horizontal="center" vertical="center"/>
    </xf>
    <xf numFmtId="4" fontId="0" fillId="0" borderId="76" xfId="0" applyNumberFormat="1" applyBorder="1"/>
    <xf numFmtId="0" fontId="1" fillId="0" borderId="76" xfId="0" applyFont="1" applyBorder="1" applyAlignment="1">
      <alignment horizontal="center"/>
    </xf>
    <xf numFmtId="0" fontId="0" fillId="0" borderId="2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4" fontId="0" fillId="0" borderId="21" xfId="0" applyNumberFormat="1" applyBorder="1" applyAlignment="1">
      <alignment horizontal="center" vertical="center"/>
    </xf>
    <xf numFmtId="4" fontId="2" fillId="0" borderId="21" xfId="0" applyNumberFormat="1" applyFont="1" applyBorder="1" applyAlignment="1">
      <alignment horizontal="center" vertical="center"/>
    </xf>
    <xf numFmtId="4" fontId="0" fillId="0" borderId="21" xfId="0" applyNumberFormat="1" applyBorder="1"/>
    <xf numFmtId="0" fontId="1" fillId="0" borderId="21" xfId="0" applyFont="1" applyBorder="1" applyAlignment="1">
      <alignment horizontal="center"/>
    </xf>
    <xf numFmtId="0" fontId="1" fillId="0" borderId="75" xfId="0" applyFont="1" applyBorder="1" applyAlignment="1">
      <alignment horizontal="left" vertical="center"/>
    </xf>
    <xf numFmtId="0" fontId="1" fillId="0" borderId="79" xfId="0" applyFont="1" applyBorder="1" applyAlignment="1">
      <alignment horizontal="left" vertical="center"/>
    </xf>
    <xf numFmtId="0" fontId="0" fillId="0" borderId="43" xfId="0" applyBorder="1" applyAlignment="1">
      <alignment horizontal="center" vertical="center"/>
    </xf>
    <xf numFmtId="4" fontId="0" fillId="0" borderId="43" xfId="0" applyNumberFormat="1" applyBorder="1" applyAlignment="1">
      <alignment horizontal="center" vertical="center"/>
    </xf>
    <xf numFmtId="4" fontId="2" fillId="0" borderId="43" xfId="0" applyNumberFormat="1" applyFont="1" applyBorder="1" applyAlignment="1">
      <alignment horizontal="center" vertical="center"/>
    </xf>
    <xf numFmtId="4" fontId="0" fillId="0" borderId="43" xfId="0" applyNumberFormat="1" applyBorder="1"/>
    <xf numFmtId="0" fontId="1" fillId="0" borderId="43" xfId="0" applyFont="1" applyBorder="1" applyAlignment="1">
      <alignment horizontal="center"/>
    </xf>
    <xf numFmtId="0" fontId="0" fillId="0" borderId="81" xfId="0" applyBorder="1" applyAlignment="1">
      <alignment horizontal="left" vertical="center"/>
    </xf>
    <xf numFmtId="0" fontId="0" fillId="0" borderId="82" xfId="0" applyBorder="1" applyAlignment="1">
      <alignment horizontal="center" vertical="center"/>
    </xf>
    <xf numFmtId="4" fontId="0" fillId="0" borderId="82" xfId="0" applyNumberFormat="1" applyBorder="1" applyAlignment="1">
      <alignment horizontal="center" vertical="center"/>
    </xf>
    <xf numFmtId="4" fontId="2" fillId="0" borderId="82" xfId="0" applyNumberFormat="1" applyFont="1" applyBorder="1" applyAlignment="1">
      <alignment horizontal="center" vertical="center"/>
    </xf>
    <xf numFmtId="4" fontId="0" fillId="0" borderId="82" xfId="0" applyNumberFormat="1" applyBorder="1"/>
    <xf numFmtId="0" fontId="1" fillId="0" borderId="82" xfId="0" applyFont="1" applyBorder="1" applyAlignment="1">
      <alignment horizontal="center"/>
    </xf>
    <xf numFmtId="0" fontId="0" fillId="0" borderId="76" xfId="0" applyBorder="1"/>
    <xf numFmtId="0" fontId="2" fillId="0" borderId="76" xfId="0" applyFont="1" applyBorder="1"/>
    <xf numFmtId="0" fontId="1" fillId="0" borderId="28" xfId="0" applyFont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0" fillId="0" borderId="32" xfId="0" applyBorder="1" applyAlignment="1">
      <alignment horizontal="center"/>
    </xf>
    <xf numFmtId="168" fontId="0" fillId="0" borderId="32" xfId="9" applyNumberFormat="1" applyFont="1" applyBorder="1"/>
    <xf numFmtId="0" fontId="0" fillId="0" borderId="76" xfId="0" applyBorder="1" applyAlignment="1">
      <alignment horizontal="center"/>
    </xf>
    <xf numFmtId="168" fontId="0" fillId="0" borderId="76" xfId="9" applyNumberFormat="1" applyFont="1" applyBorder="1"/>
    <xf numFmtId="0" fontId="0" fillId="0" borderId="21" xfId="0" applyBorder="1" applyAlignment="1">
      <alignment horizontal="center"/>
    </xf>
    <xf numFmtId="168" fontId="0" fillId="0" borderId="21" xfId="9" applyNumberFormat="1" applyFont="1" applyBorder="1"/>
    <xf numFmtId="168" fontId="0" fillId="0" borderId="43" xfId="9" applyNumberFormat="1" applyFont="1" applyBorder="1"/>
    <xf numFmtId="0" fontId="0" fillId="0" borderId="43" xfId="0" applyBorder="1" applyAlignment="1">
      <alignment horizontal="center"/>
    </xf>
    <xf numFmtId="0" fontId="0" fillId="0" borderId="82" xfId="0" applyBorder="1" applyAlignment="1">
      <alignment horizontal="center"/>
    </xf>
    <xf numFmtId="168" fontId="0" fillId="0" borderId="82" xfId="9" applyNumberFormat="1" applyFont="1" applyBorder="1"/>
    <xf numFmtId="0" fontId="0" fillId="0" borderId="77" xfId="0" applyBorder="1"/>
    <xf numFmtId="0" fontId="0" fillId="0" borderId="42" xfId="0" applyBorder="1" applyAlignment="1">
      <alignment horizontal="center" vertical="center"/>
    </xf>
    <xf numFmtId="4" fontId="0" fillId="0" borderId="42" xfId="0" applyNumberFormat="1" applyBorder="1" applyAlignment="1">
      <alignment horizontal="center" vertical="center"/>
    </xf>
    <xf numFmtId="4" fontId="2" fillId="0" borderId="42" xfId="0" applyNumberFormat="1" applyFont="1" applyBorder="1" applyAlignment="1">
      <alignment horizontal="center" vertical="center"/>
    </xf>
    <xf numFmtId="0" fontId="2" fillId="0" borderId="42" xfId="0" applyFont="1" applyBorder="1"/>
    <xf numFmtId="4" fontId="0" fillId="0" borderId="42" xfId="0" applyNumberFormat="1" applyBorder="1"/>
    <xf numFmtId="0" fontId="1" fillId="0" borderId="42" xfId="0" applyFont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2" xfId="0" applyBorder="1"/>
    <xf numFmtId="0" fontId="0" fillId="0" borderId="85" xfId="0" applyBorder="1"/>
    <xf numFmtId="0" fontId="0" fillId="0" borderId="73" xfId="0" applyBorder="1"/>
    <xf numFmtId="0" fontId="0" fillId="11" borderId="0" xfId="0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 applyBorder="1"/>
    <xf numFmtId="0" fontId="1" fillId="0" borderId="84" xfId="0" applyFont="1" applyBorder="1" applyAlignment="1">
      <alignment horizontal="left" vertical="center"/>
    </xf>
    <xf numFmtId="0" fontId="1" fillId="0" borderId="28" xfId="0" applyFont="1" applyFill="1" applyBorder="1" applyAlignment="1">
      <alignment horizontal="center" vertical="center"/>
    </xf>
    <xf numFmtId="0" fontId="0" fillId="0" borderId="0" xfId="0" applyFill="1"/>
    <xf numFmtId="173" fontId="38" fillId="22" borderId="70" xfId="13" applyNumberFormat="1" applyFont="1" applyFill="1" applyBorder="1" applyAlignment="1">
      <alignment horizontal="center" vertical="center"/>
    </xf>
    <xf numFmtId="173" fontId="38" fillId="37" borderId="70" xfId="13" applyNumberFormat="1" applyFont="1" applyFill="1" applyBorder="1" applyAlignment="1">
      <alignment horizontal="center" vertical="center"/>
    </xf>
    <xf numFmtId="173" fontId="38" fillId="18" borderId="70" xfId="13" applyNumberFormat="1" applyFont="1" applyFill="1" applyBorder="1" applyAlignment="1">
      <alignment horizontal="center" vertical="center"/>
    </xf>
    <xf numFmtId="10" fontId="5" fillId="6" borderId="70" xfId="1" applyNumberFormat="1" applyFill="1" applyBorder="1" applyAlignment="1">
      <alignment horizontal="center"/>
    </xf>
    <xf numFmtId="0" fontId="35" fillId="38" borderId="52" xfId="10" applyFont="1" applyFill="1" applyBorder="1" applyAlignment="1">
      <alignment horizontal="center" vertical="center" wrapText="1"/>
    </xf>
    <xf numFmtId="0" fontId="1" fillId="0" borderId="3" xfId="2" applyFont="1" applyBorder="1" applyAlignment="1">
      <alignment horizontal="center" vertical="center"/>
    </xf>
    <xf numFmtId="0" fontId="1" fillId="0" borderId="17" xfId="2" applyFont="1" applyBorder="1" applyAlignment="1">
      <alignment horizontal="center" vertical="center"/>
    </xf>
    <xf numFmtId="4" fontId="0" fillId="34" borderId="0" xfId="0" applyNumberFormat="1" applyFont="1" applyFill="1" applyBorder="1" applyAlignment="1">
      <alignment horizontal="center" vertical="center"/>
    </xf>
    <xf numFmtId="0" fontId="35" fillId="39" borderId="0" xfId="10" applyFont="1" applyFill="1" applyBorder="1" applyAlignment="1">
      <alignment horizontal="center" vertical="center" wrapText="1"/>
    </xf>
    <xf numFmtId="0" fontId="34" fillId="0" borderId="0" xfId="10" applyAlignment="1">
      <alignment horizontal="center" vertical="center"/>
    </xf>
    <xf numFmtId="0" fontId="34" fillId="0" borderId="0" xfId="10" applyFont="1" applyAlignment="1">
      <alignment horizontal="center" vertical="center"/>
    </xf>
    <xf numFmtId="0" fontId="52" fillId="3" borderId="47" xfId="10" applyFont="1" applyFill="1" applyBorder="1" applyAlignment="1">
      <alignment horizontal="center" vertical="center"/>
    </xf>
    <xf numFmtId="0" fontId="52" fillId="3" borderId="23" xfId="10" applyFont="1" applyFill="1" applyBorder="1" applyAlignment="1">
      <alignment horizontal="center" vertical="center" wrapText="1"/>
    </xf>
    <xf numFmtId="0" fontId="52" fillId="3" borderId="23" xfId="10" applyFont="1" applyFill="1" applyBorder="1" applyAlignment="1">
      <alignment horizontal="center" vertical="center"/>
    </xf>
    <xf numFmtId="0" fontId="52" fillId="3" borderId="24" xfId="10" applyFont="1" applyFill="1" applyBorder="1" applyAlignment="1">
      <alignment horizontal="center" vertical="center"/>
    </xf>
    <xf numFmtId="1" fontId="52" fillId="3" borderId="86" xfId="10" applyNumberFormat="1" applyFont="1" applyFill="1" applyBorder="1" applyAlignment="1">
      <alignment horizontal="center" vertical="center"/>
    </xf>
    <xf numFmtId="1" fontId="52" fillId="3" borderId="39" xfId="10" applyNumberFormat="1" applyFont="1" applyFill="1" applyBorder="1" applyAlignment="1">
      <alignment horizontal="center" vertical="center"/>
    </xf>
    <xf numFmtId="1" fontId="52" fillId="3" borderId="41" xfId="10" applyNumberFormat="1" applyFont="1" applyFill="1" applyBorder="1" applyAlignment="1">
      <alignment horizontal="center" vertical="center"/>
    </xf>
    <xf numFmtId="0" fontId="34" fillId="2" borderId="24" xfId="10" applyFill="1" applyBorder="1" applyAlignment="1">
      <alignment horizontal="center" vertical="center"/>
    </xf>
    <xf numFmtId="2" fontId="34" fillId="3" borderId="47" xfId="10" applyNumberFormat="1" applyFill="1" applyBorder="1" applyAlignment="1">
      <alignment horizontal="center" vertical="center"/>
    </xf>
    <xf numFmtId="4" fontId="34" fillId="3" borderId="23" xfId="10" applyNumberFormat="1" applyFont="1" applyFill="1" applyBorder="1" applyAlignment="1">
      <alignment horizontal="center" vertical="center"/>
    </xf>
    <xf numFmtId="2" fontId="34" fillId="3" borderId="23" xfId="10" applyNumberFormat="1" applyFill="1" applyBorder="1" applyAlignment="1">
      <alignment horizontal="center" vertical="center"/>
    </xf>
    <xf numFmtId="4" fontId="34" fillId="3" borderId="24" xfId="10" applyNumberFormat="1" applyFont="1" applyFill="1" applyBorder="1" applyAlignment="1">
      <alignment horizontal="center" vertical="center"/>
    </xf>
    <xf numFmtId="0" fontId="34" fillId="2" borderId="29" xfId="10" applyFill="1" applyBorder="1" applyAlignment="1">
      <alignment horizontal="center" vertical="center"/>
    </xf>
    <xf numFmtId="2" fontId="34" fillId="3" borderId="25" xfId="10" applyNumberFormat="1" applyFill="1" applyBorder="1" applyAlignment="1">
      <alignment horizontal="center" vertical="center"/>
    </xf>
    <xf numFmtId="4" fontId="34" fillId="3" borderId="28" xfId="10" applyNumberFormat="1" applyFont="1" applyFill="1" applyBorder="1" applyAlignment="1">
      <alignment horizontal="center" vertical="center"/>
    </xf>
    <xf numFmtId="2" fontId="34" fillId="3" borderId="28" xfId="10" applyNumberFormat="1" applyFill="1" applyBorder="1" applyAlignment="1">
      <alignment horizontal="center" vertical="center"/>
    </xf>
    <xf numFmtId="4" fontId="34" fillId="3" borderId="29" xfId="10" applyNumberFormat="1" applyFont="1" applyFill="1" applyBorder="1" applyAlignment="1">
      <alignment horizontal="center" vertical="center"/>
    </xf>
    <xf numFmtId="0" fontId="34" fillId="2" borderId="29" xfId="10" applyFill="1" applyBorder="1" applyAlignment="1">
      <alignment horizontal="center" vertical="center" wrapText="1"/>
    </xf>
    <xf numFmtId="0" fontId="0" fillId="2" borderId="29" xfId="16" applyFont="1" applyFill="1" applyBorder="1" applyAlignment="1">
      <alignment horizontal="center" vertical="center" wrapText="1"/>
    </xf>
    <xf numFmtId="0" fontId="0" fillId="2" borderId="41" xfId="16" applyFont="1" applyFill="1" applyBorder="1" applyAlignment="1">
      <alignment horizontal="center" vertical="center" wrapText="1"/>
    </xf>
    <xf numFmtId="2" fontId="34" fillId="3" borderId="86" xfId="10" applyNumberFormat="1" applyFill="1" applyBorder="1" applyAlignment="1">
      <alignment horizontal="center" vertical="center"/>
    </xf>
    <xf numFmtId="4" fontId="34" fillId="3" borderId="39" xfId="10" applyNumberFormat="1" applyFont="1" applyFill="1" applyBorder="1" applyAlignment="1">
      <alignment horizontal="center" vertical="center"/>
    </xf>
    <xf numFmtId="2" fontId="34" fillId="3" borderId="39" xfId="10" applyNumberFormat="1" applyFill="1" applyBorder="1" applyAlignment="1">
      <alignment horizontal="center" vertical="center"/>
    </xf>
    <xf numFmtId="4" fontId="34" fillId="3" borderId="41" xfId="10" applyNumberFormat="1" applyFont="1" applyFill="1" applyBorder="1" applyAlignment="1">
      <alignment horizontal="center" vertical="center"/>
    </xf>
    <xf numFmtId="4" fontId="52" fillId="3" borderId="16" xfId="10" applyNumberFormat="1" applyFont="1" applyFill="1" applyBorder="1" applyAlignment="1">
      <alignment horizontal="center" vertical="center"/>
    </xf>
    <xf numFmtId="4" fontId="52" fillId="3" borderId="17" xfId="10" applyNumberFormat="1" applyFont="1" applyFill="1" applyBorder="1" applyAlignment="1">
      <alignment horizontal="center" vertical="center"/>
    </xf>
    <xf numFmtId="4" fontId="52" fillId="3" borderId="18" xfId="10" applyNumberFormat="1" applyFont="1" applyFill="1" applyBorder="1" applyAlignment="1">
      <alignment horizontal="center" vertical="center"/>
    </xf>
    <xf numFmtId="0" fontId="34" fillId="0" borderId="0" xfId="10" applyAlignment="1">
      <alignment horizontal="center" vertical="center" wrapText="1"/>
    </xf>
    <xf numFmtId="17" fontId="52" fillId="0" borderId="0" xfId="10" applyNumberFormat="1" applyFont="1" applyAlignment="1">
      <alignment horizontal="center" vertical="center"/>
    </xf>
    <xf numFmtId="2" fontId="34" fillId="40" borderId="47" xfId="10" applyNumberFormat="1" applyFill="1" applyBorder="1" applyAlignment="1">
      <alignment horizontal="center" vertical="center"/>
    </xf>
    <xf numFmtId="4" fontId="34" fillId="40" borderId="23" xfId="10" applyNumberFormat="1" applyFont="1" applyFill="1" applyBorder="1" applyAlignment="1">
      <alignment horizontal="center" vertical="center"/>
    </xf>
    <xf numFmtId="2" fontId="34" fillId="40" borderId="23" xfId="10" applyNumberFormat="1" applyFill="1" applyBorder="1" applyAlignment="1">
      <alignment horizontal="center" vertical="center"/>
    </xf>
    <xf numFmtId="4" fontId="34" fillId="40" borderId="24" xfId="10" applyNumberFormat="1" applyFont="1" applyFill="1" applyBorder="1" applyAlignment="1">
      <alignment horizontal="center" vertical="center"/>
    </xf>
    <xf numFmtId="2" fontId="34" fillId="40" borderId="16" xfId="10" applyNumberFormat="1" applyFill="1" applyBorder="1" applyAlignment="1">
      <alignment horizontal="center" vertical="center"/>
    </xf>
    <xf numFmtId="4" fontId="34" fillId="40" borderId="17" xfId="10" applyNumberFormat="1" applyFont="1" applyFill="1" applyBorder="1" applyAlignment="1">
      <alignment horizontal="center" vertical="center"/>
    </xf>
    <xf numFmtId="2" fontId="34" fillId="40" borderId="17" xfId="10" applyNumberFormat="1" applyFill="1" applyBorder="1" applyAlignment="1">
      <alignment horizontal="center" vertical="center"/>
    </xf>
    <xf numFmtId="4" fontId="34" fillId="40" borderId="18" xfId="10" applyNumberFormat="1" applyFont="1" applyFill="1" applyBorder="1" applyAlignment="1">
      <alignment horizontal="center" vertical="center"/>
    </xf>
    <xf numFmtId="17" fontId="54" fillId="0" borderId="0" xfId="10" applyNumberFormat="1" applyFont="1" applyAlignment="1">
      <alignment horizontal="left" vertical="center"/>
    </xf>
    <xf numFmtId="0" fontId="9" fillId="0" borderId="84" xfId="2" applyFont="1" applyBorder="1" applyAlignment="1">
      <alignment horizontal="left" vertical="center"/>
    </xf>
    <xf numFmtId="0" fontId="29" fillId="0" borderId="0" xfId="2" applyFont="1" applyAlignment="1">
      <alignment vertical="center"/>
    </xf>
    <xf numFmtId="3" fontId="9" fillId="0" borderId="84" xfId="2" applyNumberFormat="1" applyFont="1" applyBorder="1" applyAlignment="1">
      <alignment horizontal="left" vertical="center"/>
    </xf>
    <xf numFmtId="0" fontId="1" fillId="0" borderId="17" xfId="2" applyFont="1" applyFill="1" applyBorder="1" applyAlignment="1">
      <alignment horizontal="center" vertical="center"/>
    </xf>
    <xf numFmtId="0" fontId="14" fillId="0" borderId="16" xfId="2" applyFont="1" applyBorder="1" applyAlignment="1">
      <alignment vertical="center"/>
    </xf>
    <xf numFmtId="0" fontId="14" fillId="0" borderId="17" xfId="2" applyFont="1" applyBorder="1" applyAlignment="1">
      <alignment vertical="center"/>
    </xf>
    <xf numFmtId="0" fontId="34" fillId="3" borderId="28" xfId="10" applyFill="1" applyBorder="1" applyAlignment="1">
      <alignment horizontal="center" vertical="center"/>
    </xf>
    <xf numFmtId="0" fontId="34" fillId="3" borderId="28" xfId="10" applyFill="1" applyBorder="1" applyAlignment="1">
      <alignment horizontal="center" vertical="center" wrapText="1"/>
    </xf>
    <xf numFmtId="0" fontId="0" fillId="3" borderId="29" xfId="16" applyFont="1" applyFill="1" applyBorder="1" applyAlignment="1">
      <alignment horizontal="center" vertical="center" wrapText="1"/>
    </xf>
    <xf numFmtId="2" fontId="9" fillId="0" borderId="0" xfId="2" applyNumberFormat="1"/>
    <xf numFmtId="0" fontId="1" fillId="0" borderId="0" xfId="2" applyFont="1" applyAlignment="1">
      <alignment horizontal="center" vertical="center"/>
    </xf>
    <xf numFmtId="0" fontId="29" fillId="0" borderId="0" xfId="2" applyFont="1" applyBorder="1" applyAlignment="1">
      <alignment horizontal="center" vertical="center" wrapText="1"/>
    </xf>
    <xf numFmtId="0" fontId="52" fillId="0" borderId="0" xfId="10" applyFont="1" applyAlignment="1">
      <alignment horizontal="center" vertical="center"/>
    </xf>
    <xf numFmtId="0" fontId="0" fillId="0" borderId="0" xfId="2" applyFont="1"/>
    <xf numFmtId="0" fontId="0" fillId="0" borderId="0" xfId="2" applyFont="1" applyAlignment="1">
      <alignment horizontal="center"/>
    </xf>
    <xf numFmtId="0" fontId="0" fillId="0" borderId="0" xfId="2" applyFont="1" applyAlignment="1">
      <alignment horizontal="center" vertical="center"/>
    </xf>
    <xf numFmtId="0" fontId="0" fillId="0" borderId="0" xfId="2" quotePrefix="1" applyFont="1"/>
    <xf numFmtId="0" fontId="1" fillId="0" borderId="22" xfId="2" applyFont="1" applyBorder="1" applyAlignment="1">
      <alignment horizontal="center" vertical="center"/>
    </xf>
    <xf numFmtId="0" fontId="1" fillId="0" borderId="23" xfId="2" applyFont="1" applyBorder="1" applyAlignment="1">
      <alignment horizontal="center" vertical="center"/>
    </xf>
    <xf numFmtId="0" fontId="9" fillId="0" borderId="27" xfId="2" applyBorder="1" applyAlignment="1">
      <alignment horizontal="center" vertical="center"/>
    </xf>
    <xf numFmtId="0" fontId="0" fillId="0" borderId="28" xfId="2" applyFont="1" applyBorder="1" applyAlignment="1">
      <alignment horizontal="center" vertical="center"/>
    </xf>
    <xf numFmtId="0" fontId="9" fillId="0" borderId="28" xfId="2" applyBorder="1" applyAlignment="1">
      <alignment horizontal="center" vertical="center"/>
    </xf>
    <xf numFmtId="0" fontId="10" fillId="0" borderId="0" xfId="1" applyFont="1" applyAlignment="1">
      <alignment horizontal="center" vertical="center"/>
    </xf>
    <xf numFmtId="168" fontId="0" fillId="0" borderId="0" xfId="9" applyNumberFormat="1" applyFont="1" applyAlignment="1">
      <alignment vertical="center"/>
    </xf>
    <xf numFmtId="4" fontId="1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0" fontId="0" fillId="5" borderId="0" xfId="0" applyFont="1" applyFill="1" applyAlignment="1">
      <alignment vertical="center"/>
    </xf>
    <xf numFmtId="0" fontId="0" fillId="0" borderId="0" xfId="0" applyFont="1"/>
    <xf numFmtId="4" fontId="0" fillId="0" borderId="0" xfId="0" applyNumberFormat="1" applyFont="1" applyAlignment="1">
      <alignment vertical="center"/>
    </xf>
    <xf numFmtId="3" fontId="0" fillId="0" borderId="0" xfId="0" applyNumberFormat="1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3" borderId="28" xfId="10" applyFont="1" applyFill="1" applyBorder="1" applyAlignment="1">
      <alignment horizontal="center" vertical="center" wrapText="1"/>
    </xf>
    <xf numFmtId="0" fontId="1" fillId="3" borderId="29" xfId="16" applyFont="1" applyFill="1" applyBorder="1" applyAlignment="1">
      <alignment horizontal="center" vertical="center" wrapText="1"/>
    </xf>
    <xf numFmtId="4" fontId="0" fillId="0" borderId="0" xfId="0" applyNumberFormat="1" applyFont="1"/>
    <xf numFmtId="168" fontId="1" fillId="0" borderId="0" xfId="0" applyNumberFormat="1" applyFont="1" applyAlignment="1">
      <alignment vertical="center"/>
    </xf>
    <xf numFmtId="3" fontId="1" fillId="0" borderId="0" xfId="0" applyNumberFormat="1" applyFont="1" applyAlignment="1">
      <alignment vertical="center"/>
    </xf>
    <xf numFmtId="44" fontId="1" fillId="0" borderId="0" xfId="17" applyFont="1"/>
    <xf numFmtId="44" fontId="1" fillId="0" borderId="0" xfId="0" applyNumberFormat="1" applyFont="1"/>
    <xf numFmtId="0" fontId="1" fillId="0" borderId="0" xfId="0" applyFont="1" applyFill="1" applyAlignment="1">
      <alignment horizontal="center" vertical="center"/>
    </xf>
    <xf numFmtId="4" fontId="34" fillId="3" borderId="28" xfId="10" applyNumberFormat="1" applyFill="1" applyBorder="1" applyAlignment="1">
      <alignment horizontal="center" vertical="center" wrapText="1"/>
    </xf>
    <xf numFmtId="0" fontId="55" fillId="5" borderId="0" xfId="10" applyFont="1" applyFill="1" applyAlignment="1">
      <alignment horizontal="left" vertical="center"/>
    </xf>
    <xf numFmtId="0" fontId="55" fillId="5" borderId="0" xfId="10" applyFont="1" applyFill="1" applyAlignment="1">
      <alignment horizontal="center" vertical="center"/>
    </xf>
    <xf numFmtId="0" fontId="34" fillId="5" borderId="0" xfId="10" applyFill="1" applyAlignment="1">
      <alignment horizontal="center" vertical="center"/>
    </xf>
    <xf numFmtId="4" fontId="34" fillId="0" borderId="0" xfId="10" applyNumberFormat="1"/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9" fontId="3" fillId="0" borderId="53" xfId="12" applyFont="1" applyBorder="1" applyAlignment="1"/>
    <xf numFmtId="1" fontId="35" fillId="41" borderId="0" xfId="10" applyNumberFormat="1" applyFont="1" applyFill="1" applyAlignment="1">
      <alignment horizontal="center" vertical="center" wrapText="1"/>
    </xf>
    <xf numFmtId="0" fontId="35" fillId="42" borderId="0" xfId="10" applyFont="1" applyFill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87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0" fontId="1" fillId="33" borderId="1" xfId="0" applyFont="1" applyFill="1" applyBorder="1" applyAlignment="1">
      <alignment horizontal="center" vertical="center" wrapText="1"/>
    </xf>
    <xf numFmtId="0" fontId="1" fillId="33" borderId="0" xfId="0" applyFont="1" applyFill="1" applyAlignment="1">
      <alignment vertical="center"/>
    </xf>
    <xf numFmtId="0" fontId="1" fillId="0" borderId="28" xfId="0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8" xfId="0" applyFont="1" applyFill="1" applyBorder="1" applyAlignment="1">
      <alignment horizontal="center" vertical="center" wrapText="1"/>
    </xf>
    <xf numFmtId="177" fontId="0" fillId="25" borderId="0" xfId="0" applyNumberFormat="1" applyFill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29" borderId="7" xfId="0" applyFont="1" applyFill="1" applyBorder="1" applyAlignment="1">
      <alignment horizontal="center" vertical="center" wrapText="1"/>
    </xf>
    <xf numFmtId="0" fontId="1" fillId="29" borderId="9" xfId="0" applyFont="1" applyFill="1" applyBorder="1" applyAlignment="1">
      <alignment horizontal="center" vertical="center" wrapText="1"/>
    </xf>
    <xf numFmtId="0" fontId="1" fillId="29" borderId="8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11" xfId="0" applyFont="1" applyBorder="1" applyAlignment="1">
      <alignment horizontal="left" vertical="center" wrapText="1"/>
    </xf>
    <xf numFmtId="0" fontId="1" fillId="25" borderId="43" xfId="0" applyFont="1" applyFill="1" applyBorder="1" applyAlignment="1">
      <alignment horizontal="center" vertical="center" wrapText="1"/>
    </xf>
    <xf numFmtId="0" fontId="1" fillId="25" borderId="21" xfId="0" applyFont="1" applyFill="1" applyBorder="1" applyAlignment="1">
      <alignment horizontal="center" vertical="center" wrapText="1"/>
    </xf>
    <xf numFmtId="0" fontId="1" fillId="28" borderId="7" xfId="0" applyFont="1" applyFill="1" applyBorder="1" applyAlignment="1">
      <alignment horizontal="center" vertical="center" wrapText="1"/>
    </xf>
    <xf numFmtId="0" fontId="1" fillId="28" borderId="9" xfId="0" applyFont="1" applyFill="1" applyBorder="1" applyAlignment="1">
      <alignment horizontal="center" vertical="center" wrapText="1"/>
    </xf>
    <xf numFmtId="0" fontId="1" fillId="28" borderId="8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" fillId="33" borderId="7" xfId="0" applyFont="1" applyFill="1" applyBorder="1" applyAlignment="1">
      <alignment horizontal="center" vertical="center" wrapText="1"/>
    </xf>
    <xf numFmtId="0" fontId="1" fillId="33" borderId="8" xfId="0" applyFont="1" applyFill="1" applyBorder="1" applyAlignment="1">
      <alignment horizontal="center" vertical="center" wrapText="1"/>
    </xf>
    <xf numFmtId="0" fontId="1" fillId="33" borderId="43" xfId="0" applyFont="1" applyFill="1" applyBorder="1" applyAlignment="1">
      <alignment horizontal="center" vertical="center" wrapText="1"/>
    </xf>
    <xf numFmtId="0" fontId="1" fillId="33" borderId="21" xfId="0" applyFont="1" applyFill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168" fontId="0" fillId="0" borderId="0" xfId="9" applyNumberFormat="1" applyFont="1" applyAlignment="1">
      <alignment horizontal="center" vertical="center"/>
    </xf>
    <xf numFmtId="168" fontId="0" fillId="0" borderId="72" xfId="9" applyNumberFormat="1" applyFont="1" applyBorder="1" applyAlignment="1">
      <alignment horizontal="center" vertical="center"/>
    </xf>
    <xf numFmtId="168" fontId="0" fillId="0" borderId="80" xfId="9" applyNumberFormat="1" applyFont="1" applyBorder="1" applyAlignment="1">
      <alignment horizontal="center" vertical="center"/>
    </xf>
    <xf numFmtId="168" fontId="0" fillId="0" borderId="77" xfId="9" applyNumberFormat="1" applyFont="1" applyBorder="1" applyAlignment="1">
      <alignment horizontal="center" vertical="center"/>
    </xf>
    <xf numFmtId="168" fontId="0" fillId="0" borderId="78" xfId="9" applyNumberFormat="1" applyFont="1" applyBorder="1" applyAlignment="1">
      <alignment horizontal="center" vertical="center"/>
    </xf>
    <xf numFmtId="168" fontId="0" fillId="0" borderId="74" xfId="9" applyNumberFormat="1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/>
    </xf>
    <xf numFmtId="0" fontId="3" fillId="0" borderId="28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168" fontId="0" fillId="0" borderId="83" xfId="9" applyNumberFormat="1" applyFont="1" applyBorder="1" applyAlignment="1">
      <alignment horizontal="center" vertical="center"/>
    </xf>
    <xf numFmtId="0" fontId="53" fillId="0" borderId="28" xfId="0" applyFont="1" applyBorder="1" applyAlignment="1">
      <alignment horizontal="center" vertical="center"/>
    </xf>
    <xf numFmtId="0" fontId="16" fillId="19" borderId="71" xfId="1" applyFont="1" applyFill="1" applyBorder="1" applyAlignment="1">
      <alignment horizontal="center" vertical="center" wrapText="1"/>
    </xf>
    <xf numFmtId="0" fontId="16" fillId="0" borderId="0" xfId="1" applyFont="1" applyAlignment="1">
      <alignment horizontal="center" vertical="center"/>
    </xf>
    <xf numFmtId="0" fontId="50" fillId="0" borderId="52" xfId="10" applyFont="1" applyBorder="1" applyAlignment="1">
      <alignment horizontal="center" vertical="center"/>
    </xf>
    <xf numFmtId="0" fontId="48" fillId="30" borderId="0" xfId="0" applyFont="1" applyFill="1" applyAlignment="1">
      <alignment horizontal="center"/>
    </xf>
    <xf numFmtId="0" fontId="40" fillId="19" borderId="28" xfId="1" applyFont="1" applyFill="1" applyBorder="1" applyAlignment="1">
      <alignment horizontal="center" vertical="center" wrapText="1"/>
    </xf>
    <xf numFmtId="0" fontId="1" fillId="0" borderId="6" xfId="2" applyFont="1" applyBorder="1" applyAlignment="1">
      <alignment horizontal="center" vertical="center"/>
    </xf>
    <xf numFmtId="0" fontId="1" fillId="0" borderId="0" xfId="2" applyFont="1" applyAlignment="1">
      <alignment horizontal="center" vertical="center"/>
    </xf>
    <xf numFmtId="0" fontId="1" fillId="0" borderId="10" xfId="2" applyFont="1" applyBorder="1" applyAlignment="1">
      <alignment horizontal="center" vertical="center"/>
    </xf>
    <xf numFmtId="0" fontId="1" fillId="0" borderId="11" xfId="2" applyFont="1" applyBorder="1" applyAlignment="1">
      <alignment horizontal="center" vertical="center"/>
    </xf>
    <xf numFmtId="0" fontId="16" fillId="0" borderId="0" xfId="5" applyFont="1" applyFill="1" applyAlignment="1">
      <alignment horizontal="center" vertical="center"/>
    </xf>
    <xf numFmtId="0" fontId="5" fillId="0" borderId="0" xfId="5" applyFont="1" applyFill="1" applyAlignment="1">
      <alignment horizontal="left" wrapText="1"/>
    </xf>
    <xf numFmtId="0" fontId="5" fillId="0" borderId="0" xfId="5" applyFill="1" applyAlignment="1">
      <alignment horizontal="left" wrapText="1"/>
    </xf>
    <xf numFmtId="0" fontId="17" fillId="0" borderId="0" xfId="5" applyFont="1" applyFill="1" applyAlignment="1">
      <alignment horizontal="center" vertical="center" wrapText="1"/>
    </xf>
    <xf numFmtId="0" fontId="1" fillId="0" borderId="3" xfId="2" applyFont="1" applyBorder="1" applyAlignment="1">
      <alignment horizontal="center" vertical="center"/>
    </xf>
    <xf numFmtId="0" fontId="29" fillId="0" borderId="5" xfId="2" applyFont="1" applyBorder="1" applyAlignment="1">
      <alignment horizontal="center" vertical="center" wrapText="1"/>
    </xf>
    <xf numFmtId="0" fontId="29" fillId="0" borderId="6" xfId="2" applyFont="1" applyBorder="1" applyAlignment="1">
      <alignment horizontal="center" vertical="center" wrapText="1"/>
    </xf>
    <xf numFmtId="0" fontId="29" fillId="0" borderId="14" xfId="2" applyFont="1" applyBorder="1" applyAlignment="1">
      <alignment horizontal="center" vertical="center" wrapText="1"/>
    </xf>
    <xf numFmtId="0" fontId="1" fillId="0" borderId="17" xfId="2" applyFont="1" applyBorder="1" applyAlignment="1">
      <alignment horizontal="center" vertical="center"/>
    </xf>
    <xf numFmtId="0" fontId="29" fillId="14" borderId="5" xfId="2" applyFont="1" applyFill="1" applyBorder="1" applyAlignment="1">
      <alignment horizontal="center" vertical="center" wrapText="1"/>
    </xf>
    <xf numFmtId="0" fontId="29" fillId="14" borderId="6" xfId="2" applyFont="1" applyFill="1" applyBorder="1" applyAlignment="1">
      <alignment horizontal="center" vertical="center" wrapText="1"/>
    </xf>
    <xf numFmtId="0" fontId="29" fillId="14" borderId="14" xfId="2" applyFont="1" applyFill="1" applyBorder="1" applyAlignment="1">
      <alignment horizontal="center" vertical="center" wrapText="1"/>
    </xf>
    <xf numFmtId="0" fontId="1" fillId="14" borderId="17" xfId="2" applyFont="1" applyFill="1" applyBorder="1" applyAlignment="1">
      <alignment horizontal="center" vertical="center"/>
    </xf>
    <xf numFmtId="0" fontId="29" fillId="0" borderId="5" xfId="2" applyFont="1" applyFill="1" applyBorder="1" applyAlignment="1">
      <alignment horizontal="center" vertical="center" wrapText="1"/>
    </xf>
    <xf numFmtId="0" fontId="29" fillId="0" borderId="6" xfId="2" applyFont="1" applyFill="1" applyBorder="1" applyAlignment="1">
      <alignment horizontal="center" vertical="center" wrapText="1"/>
    </xf>
    <xf numFmtId="0" fontId="29" fillId="0" borderId="14" xfId="2" applyFont="1" applyFill="1" applyBorder="1" applyAlignment="1">
      <alignment horizontal="center" vertical="center" wrapText="1"/>
    </xf>
    <xf numFmtId="0" fontId="34" fillId="40" borderId="15" xfId="10" applyFont="1" applyFill="1" applyBorder="1" applyAlignment="1">
      <alignment horizontal="center" vertical="center"/>
    </xf>
    <xf numFmtId="0" fontId="34" fillId="40" borderId="18" xfId="10" applyFont="1" applyFill="1" applyBorder="1" applyAlignment="1">
      <alignment horizontal="center" vertical="center"/>
    </xf>
    <xf numFmtId="0" fontId="52" fillId="2" borderId="15" xfId="16" applyFont="1" applyFill="1" applyBorder="1" applyAlignment="1">
      <alignment horizontal="center" vertical="center" wrapText="1"/>
    </xf>
    <xf numFmtId="0" fontId="52" fillId="2" borderId="18" xfId="16" applyFont="1" applyFill="1" applyBorder="1" applyAlignment="1">
      <alignment horizontal="center" vertical="center" wrapText="1"/>
    </xf>
    <xf numFmtId="0" fontId="52" fillId="2" borderId="22" xfId="10" applyFont="1" applyFill="1" applyBorder="1" applyAlignment="1">
      <alignment horizontal="center" vertical="center" wrapText="1"/>
    </xf>
    <xf numFmtId="0" fontId="52" fillId="2" borderId="24" xfId="10" applyFont="1" applyFill="1" applyBorder="1" applyAlignment="1">
      <alignment horizontal="center" vertical="center" wrapText="1"/>
    </xf>
    <xf numFmtId="0" fontId="23" fillId="2" borderId="38" xfId="16" applyFont="1" applyFill="1" applyBorder="1" applyAlignment="1">
      <alignment horizontal="center" vertical="center" wrapText="1"/>
    </xf>
    <xf numFmtId="0" fontId="23" fillId="2" borderId="41" xfId="16" applyFont="1" applyFill="1" applyBorder="1" applyAlignment="1">
      <alignment horizontal="center" vertical="center" wrapText="1"/>
    </xf>
    <xf numFmtId="0" fontId="34" fillId="40" borderId="5" xfId="10" applyFill="1" applyBorder="1" applyAlignment="1">
      <alignment horizontal="center" vertical="center"/>
    </xf>
    <xf numFmtId="0" fontId="34" fillId="40" borderId="14" xfId="10" applyFill="1" applyBorder="1" applyAlignment="1">
      <alignment horizontal="center" vertical="center"/>
    </xf>
    <xf numFmtId="0" fontId="34" fillId="2" borderId="22" xfId="10" applyFill="1" applyBorder="1" applyAlignment="1">
      <alignment horizontal="center" vertical="center" textRotation="90"/>
    </xf>
    <xf numFmtId="0" fontId="34" fillId="2" borderId="27" xfId="10" applyFill="1" applyBorder="1" applyAlignment="1">
      <alignment horizontal="center" vertical="center" textRotation="90"/>
    </xf>
    <xf numFmtId="0" fontId="34" fillId="2" borderId="38" xfId="10" applyFill="1" applyBorder="1" applyAlignment="1">
      <alignment horizontal="center" vertical="center" textRotation="90"/>
    </xf>
    <xf numFmtId="0" fontId="34" fillId="40" borderId="22" xfId="10" applyFill="1" applyBorder="1" applyAlignment="1">
      <alignment horizontal="center" vertical="center" wrapText="1"/>
    </xf>
    <xf numFmtId="0" fontId="34" fillId="40" borderId="24" xfId="10" applyFill="1" applyBorder="1" applyAlignment="1">
      <alignment horizontal="center" vertical="center" wrapText="1"/>
    </xf>
    <xf numFmtId="0" fontId="34" fillId="2" borderId="38" xfId="10" applyFill="1" applyBorder="1" applyAlignment="1">
      <alignment horizontal="center" vertical="center" wrapText="1"/>
    </xf>
    <xf numFmtId="0" fontId="34" fillId="2" borderId="41" xfId="10" applyFill="1" applyBorder="1" applyAlignment="1">
      <alignment horizontal="center" vertical="center" wrapText="1"/>
    </xf>
    <xf numFmtId="0" fontId="1" fillId="3" borderId="85" xfId="2" applyFont="1" applyFill="1" applyBorder="1" applyAlignment="1">
      <alignment horizontal="center" vertical="center" wrapText="1"/>
    </xf>
    <xf numFmtId="0" fontId="1" fillId="3" borderId="73" xfId="2" applyFont="1" applyFill="1" applyBorder="1" applyAlignment="1">
      <alignment horizontal="center" vertical="center"/>
    </xf>
    <xf numFmtId="0" fontId="1" fillId="0" borderId="40" xfId="2" applyFont="1" applyBorder="1" applyAlignment="1">
      <alignment vertical="center"/>
    </xf>
  </cellXfs>
  <cellStyles count="18">
    <cellStyle name="Euro 2" xfId="14" xr:uid="{00000000-0005-0000-0000-000000000000}"/>
    <cellStyle name="Millares 2" xfId="12" xr:uid="{00000000-0005-0000-0000-000001000000}"/>
    <cellStyle name="Millares 3" xfId="15" xr:uid="{00000000-0005-0000-0000-000002000000}"/>
    <cellStyle name="Moneda" xfId="17" builtinId="4"/>
    <cellStyle name="Moneda 2" xfId="13" xr:uid="{00000000-0005-0000-0000-000004000000}"/>
    <cellStyle name="Normal" xfId="0" builtinId="0"/>
    <cellStyle name="Normal 2" xfId="10" xr:uid="{00000000-0005-0000-0000-000006000000}"/>
    <cellStyle name="Normal 2 2" xfId="1" xr:uid="{00000000-0005-0000-0000-000007000000}"/>
    <cellStyle name="Normal 2 2 2" xfId="6" xr:uid="{00000000-0005-0000-0000-000008000000}"/>
    <cellStyle name="Normal 2 3" xfId="16" xr:uid="{00000000-0005-0000-0000-000009000000}"/>
    <cellStyle name="Normal 3" xfId="2" xr:uid="{00000000-0005-0000-0000-00000A000000}"/>
    <cellStyle name="Normal 3 2" xfId="11" xr:uid="{00000000-0005-0000-0000-00000B000000}"/>
    <cellStyle name="Normal 3 3" xfId="3" xr:uid="{00000000-0005-0000-0000-00000C000000}"/>
    <cellStyle name="Normal 7" xfId="8" xr:uid="{00000000-0005-0000-0000-00000D000000}"/>
    <cellStyle name="Normal 8" xfId="5" xr:uid="{00000000-0005-0000-0000-00000E000000}"/>
    <cellStyle name="Porcentaje" xfId="9" builtinId="5"/>
    <cellStyle name="Porcentaje 2" xfId="4" xr:uid="{00000000-0005-0000-0000-000010000000}"/>
    <cellStyle name="Porcentaje 2 2" xfId="7" xr:uid="{00000000-0005-0000-0000-000011000000}"/>
  </cellStyles>
  <dxfs count="104"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9" formatCode="_-* #,##0.00\ _€_-;\-* #,##0.0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9" formatCode="_-* #,##0.00\ _€_-;\-* #,##0.00\ _€_-;_-* &quot;-&quot;??\ _€_-;_-@_-"/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9" formatCode="_-* #,##0\ _€_-;\-* #,##0\ _€_-;_-* &quot;-&quot;??\ _€_-;_-@_-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79" formatCode="_-* #,##0\ _€_-;\-* #,##0\ _€_-;_-* &quot;-&quot;??\ _€_-;_-@_-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8" formatCode="#,##0.000000"/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78" formatCode="#,##0.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8" formatCode="#,##0.000000"/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78" formatCode="#,##0.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4" formatCode="#,##0.00"/>
      <fill>
        <patternFill patternType="solid">
          <fgColor indexed="64"/>
          <bgColor theme="8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_-* #,##0.00\ _€_-;\-* #,##0.00\ _€_-;_-* &quot;-&quot;??\ _€_-;_-@_-"/>
      <alignment horizontal="general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4" formatCode="#,##0.00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rgb="FF9BC2E6"/>
        </top>
      </border>
    </dxf>
    <dxf>
      <border outline="0">
        <left style="thin">
          <color rgb="FF9BC2E6"/>
        </left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DC9230"/>
      <color rgb="FF996600"/>
      <color rgb="FFBB781F"/>
      <color rgb="FF00DA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87.xml"/><Relationship Id="rId299" Type="http://schemas.openxmlformats.org/officeDocument/2006/relationships/calcChain" Target="calcChain.xml"/><Relationship Id="rId21" Type="http://schemas.openxmlformats.org/officeDocument/2006/relationships/worksheet" Target="worksheets/sheet21.xml"/><Relationship Id="rId63" Type="http://schemas.openxmlformats.org/officeDocument/2006/relationships/externalLink" Target="externalLinks/externalLink33.xml"/><Relationship Id="rId159" Type="http://schemas.openxmlformats.org/officeDocument/2006/relationships/externalLink" Target="externalLinks/externalLink129.xml"/><Relationship Id="rId170" Type="http://schemas.openxmlformats.org/officeDocument/2006/relationships/externalLink" Target="externalLinks/externalLink140.xml"/><Relationship Id="rId226" Type="http://schemas.openxmlformats.org/officeDocument/2006/relationships/externalLink" Target="externalLinks/externalLink196.xml"/><Relationship Id="rId268" Type="http://schemas.openxmlformats.org/officeDocument/2006/relationships/externalLink" Target="externalLinks/externalLink238.xml"/><Relationship Id="rId32" Type="http://schemas.openxmlformats.org/officeDocument/2006/relationships/externalLink" Target="externalLinks/externalLink2.xml"/><Relationship Id="rId74" Type="http://schemas.openxmlformats.org/officeDocument/2006/relationships/externalLink" Target="externalLinks/externalLink44.xml"/><Relationship Id="rId128" Type="http://schemas.openxmlformats.org/officeDocument/2006/relationships/externalLink" Target="externalLinks/externalLink98.xml"/><Relationship Id="rId5" Type="http://schemas.openxmlformats.org/officeDocument/2006/relationships/worksheet" Target="worksheets/sheet5.xml"/><Relationship Id="rId181" Type="http://schemas.openxmlformats.org/officeDocument/2006/relationships/externalLink" Target="externalLinks/externalLink151.xml"/><Relationship Id="rId237" Type="http://schemas.openxmlformats.org/officeDocument/2006/relationships/externalLink" Target="externalLinks/externalLink207.xml"/><Relationship Id="rId279" Type="http://schemas.openxmlformats.org/officeDocument/2006/relationships/externalLink" Target="externalLinks/externalLink249.xml"/><Relationship Id="rId43" Type="http://schemas.openxmlformats.org/officeDocument/2006/relationships/externalLink" Target="externalLinks/externalLink13.xml"/><Relationship Id="rId139" Type="http://schemas.openxmlformats.org/officeDocument/2006/relationships/externalLink" Target="externalLinks/externalLink109.xml"/><Relationship Id="rId290" Type="http://schemas.openxmlformats.org/officeDocument/2006/relationships/externalLink" Target="externalLinks/externalLink260.xml"/><Relationship Id="rId85" Type="http://schemas.openxmlformats.org/officeDocument/2006/relationships/externalLink" Target="externalLinks/externalLink55.xml"/><Relationship Id="rId150" Type="http://schemas.openxmlformats.org/officeDocument/2006/relationships/externalLink" Target="externalLinks/externalLink120.xml"/><Relationship Id="rId192" Type="http://schemas.openxmlformats.org/officeDocument/2006/relationships/externalLink" Target="externalLinks/externalLink162.xml"/><Relationship Id="rId206" Type="http://schemas.openxmlformats.org/officeDocument/2006/relationships/externalLink" Target="externalLinks/externalLink176.xml"/><Relationship Id="rId248" Type="http://schemas.openxmlformats.org/officeDocument/2006/relationships/externalLink" Target="externalLinks/externalLink218.xml"/><Relationship Id="rId12" Type="http://schemas.openxmlformats.org/officeDocument/2006/relationships/worksheet" Target="worksheets/sheet12.xml"/><Relationship Id="rId108" Type="http://schemas.openxmlformats.org/officeDocument/2006/relationships/externalLink" Target="externalLinks/externalLink78.xml"/><Relationship Id="rId54" Type="http://schemas.openxmlformats.org/officeDocument/2006/relationships/externalLink" Target="externalLinks/externalLink24.xml"/><Relationship Id="rId75" Type="http://schemas.openxmlformats.org/officeDocument/2006/relationships/externalLink" Target="externalLinks/externalLink45.xml"/><Relationship Id="rId96" Type="http://schemas.openxmlformats.org/officeDocument/2006/relationships/externalLink" Target="externalLinks/externalLink66.xml"/><Relationship Id="rId140" Type="http://schemas.openxmlformats.org/officeDocument/2006/relationships/externalLink" Target="externalLinks/externalLink110.xml"/><Relationship Id="rId161" Type="http://schemas.openxmlformats.org/officeDocument/2006/relationships/externalLink" Target="externalLinks/externalLink131.xml"/><Relationship Id="rId182" Type="http://schemas.openxmlformats.org/officeDocument/2006/relationships/externalLink" Target="externalLinks/externalLink152.xml"/><Relationship Id="rId217" Type="http://schemas.openxmlformats.org/officeDocument/2006/relationships/externalLink" Target="externalLinks/externalLink187.xml"/><Relationship Id="rId6" Type="http://schemas.openxmlformats.org/officeDocument/2006/relationships/worksheet" Target="worksheets/sheet6.xml"/><Relationship Id="rId238" Type="http://schemas.openxmlformats.org/officeDocument/2006/relationships/externalLink" Target="externalLinks/externalLink208.xml"/><Relationship Id="rId259" Type="http://schemas.openxmlformats.org/officeDocument/2006/relationships/externalLink" Target="externalLinks/externalLink229.xml"/><Relationship Id="rId23" Type="http://schemas.openxmlformats.org/officeDocument/2006/relationships/worksheet" Target="worksheets/sheet23.xml"/><Relationship Id="rId119" Type="http://schemas.openxmlformats.org/officeDocument/2006/relationships/externalLink" Target="externalLinks/externalLink89.xml"/><Relationship Id="rId270" Type="http://schemas.openxmlformats.org/officeDocument/2006/relationships/externalLink" Target="externalLinks/externalLink240.xml"/><Relationship Id="rId291" Type="http://schemas.openxmlformats.org/officeDocument/2006/relationships/externalLink" Target="externalLinks/externalLink261.xml"/><Relationship Id="rId44" Type="http://schemas.openxmlformats.org/officeDocument/2006/relationships/externalLink" Target="externalLinks/externalLink14.xml"/><Relationship Id="rId65" Type="http://schemas.openxmlformats.org/officeDocument/2006/relationships/externalLink" Target="externalLinks/externalLink35.xml"/><Relationship Id="rId86" Type="http://schemas.openxmlformats.org/officeDocument/2006/relationships/externalLink" Target="externalLinks/externalLink56.xml"/><Relationship Id="rId130" Type="http://schemas.openxmlformats.org/officeDocument/2006/relationships/externalLink" Target="externalLinks/externalLink100.xml"/><Relationship Id="rId151" Type="http://schemas.openxmlformats.org/officeDocument/2006/relationships/externalLink" Target="externalLinks/externalLink121.xml"/><Relationship Id="rId172" Type="http://schemas.openxmlformats.org/officeDocument/2006/relationships/externalLink" Target="externalLinks/externalLink142.xml"/><Relationship Id="rId193" Type="http://schemas.openxmlformats.org/officeDocument/2006/relationships/externalLink" Target="externalLinks/externalLink163.xml"/><Relationship Id="rId207" Type="http://schemas.openxmlformats.org/officeDocument/2006/relationships/externalLink" Target="externalLinks/externalLink177.xml"/><Relationship Id="rId228" Type="http://schemas.openxmlformats.org/officeDocument/2006/relationships/externalLink" Target="externalLinks/externalLink198.xml"/><Relationship Id="rId249" Type="http://schemas.openxmlformats.org/officeDocument/2006/relationships/externalLink" Target="externalLinks/externalLink219.xml"/><Relationship Id="rId13" Type="http://schemas.openxmlformats.org/officeDocument/2006/relationships/worksheet" Target="worksheets/sheet13.xml"/><Relationship Id="rId109" Type="http://schemas.openxmlformats.org/officeDocument/2006/relationships/externalLink" Target="externalLinks/externalLink79.xml"/><Relationship Id="rId260" Type="http://schemas.openxmlformats.org/officeDocument/2006/relationships/externalLink" Target="externalLinks/externalLink230.xml"/><Relationship Id="rId281" Type="http://schemas.openxmlformats.org/officeDocument/2006/relationships/externalLink" Target="externalLinks/externalLink251.xml"/><Relationship Id="rId34" Type="http://schemas.openxmlformats.org/officeDocument/2006/relationships/externalLink" Target="externalLinks/externalLink4.xml"/><Relationship Id="rId55" Type="http://schemas.openxmlformats.org/officeDocument/2006/relationships/externalLink" Target="externalLinks/externalLink25.xml"/><Relationship Id="rId76" Type="http://schemas.openxmlformats.org/officeDocument/2006/relationships/externalLink" Target="externalLinks/externalLink46.xml"/><Relationship Id="rId97" Type="http://schemas.openxmlformats.org/officeDocument/2006/relationships/externalLink" Target="externalLinks/externalLink67.xml"/><Relationship Id="rId120" Type="http://schemas.openxmlformats.org/officeDocument/2006/relationships/externalLink" Target="externalLinks/externalLink90.xml"/><Relationship Id="rId141" Type="http://schemas.openxmlformats.org/officeDocument/2006/relationships/externalLink" Target="externalLinks/externalLink111.xml"/><Relationship Id="rId7" Type="http://schemas.openxmlformats.org/officeDocument/2006/relationships/worksheet" Target="worksheets/sheet7.xml"/><Relationship Id="rId162" Type="http://schemas.openxmlformats.org/officeDocument/2006/relationships/externalLink" Target="externalLinks/externalLink132.xml"/><Relationship Id="rId183" Type="http://schemas.openxmlformats.org/officeDocument/2006/relationships/externalLink" Target="externalLinks/externalLink153.xml"/><Relationship Id="rId218" Type="http://schemas.openxmlformats.org/officeDocument/2006/relationships/externalLink" Target="externalLinks/externalLink188.xml"/><Relationship Id="rId239" Type="http://schemas.openxmlformats.org/officeDocument/2006/relationships/externalLink" Target="externalLinks/externalLink209.xml"/><Relationship Id="rId250" Type="http://schemas.openxmlformats.org/officeDocument/2006/relationships/externalLink" Target="externalLinks/externalLink220.xml"/><Relationship Id="rId271" Type="http://schemas.openxmlformats.org/officeDocument/2006/relationships/externalLink" Target="externalLinks/externalLink241.xml"/><Relationship Id="rId292" Type="http://schemas.openxmlformats.org/officeDocument/2006/relationships/externalLink" Target="externalLinks/externalLink262.xml"/><Relationship Id="rId24" Type="http://schemas.openxmlformats.org/officeDocument/2006/relationships/worksheet" Target="worksheets/sheet24.xml"/><Relationship Id="rId45" Type="http://schemas.openxmlformats.org/officeDocument/2006/relationships/externalLink" Target="externalLinks/externalLink15.xml"/><Relationship Id="rId66" Type="http://schemas.openxmlformats.org/officeDocument/2006/relationships/externalLink" Target="externalLinks/externalLink36.xml"/><Relationship Id="rId87" Type="http://schemas.openxmlformats.org/officeDocument/2006/relationships/externalLink" Target="externalLinks/externalLink57.xml"/><Relationship Id="rId110" Type="http://schemas.openxmlformats.org/officeDocument/2006/relationships/externalLink" Target="externalLinks/externalLink80.xml"/><Relationship Id="rId131" Type="http://schemas.openxmlformats.org/officeDocument/2006/relationships/externalLink" Target="externalLinks/externalLink101.xml"/><Relationship Id="rId152" Type="http://schemas.openxmlformats.org/officeDocument/2006/relationships/externalLink" Target="externalLinks/externalLink122.xml"/><Relationship Id="rId173" Type="http://schemas.openxmlformats.org/officeDocument/2006/relationships/externalLink" Target="externalLinks/externalLink143.xml"/><Relationship Id="rId194" Type="http://schemas.openxmlformats.org/officeDocument/2006/relationships/externalLink" Target="externalLinks/externalLink164.xml"/><Relationship Id="rId208" Type="http://schemas.openxmlformats.org/officeDocument/2006/relationships/externalLink" Target="externalLinks/externalLink178.xml"/><Relationship Id="rId229" Type="http://schemas.openxmlformats.org/officeDocument/2006/relationships/externalLink" Target="externalLinks/externalLink199.xml"/><Relationship Id="rId240" Type="http://schemas.openxmlformats.org/officeDocument/2006/relationships/externalLink" Target="externalLinks/externalLink210.xml"/><Relationship Id="rId261" Type="http://schemas.openxmlformats.org/officeDocument/2006/relationships/externalLink" Target="externalLinks/externalLink231.xml"/><Relationship Id="rId14" Type="http://schemas.openxmlformats.org/officeDocument/2006/relationships/worksheet" Target="worksheets/sheet14.xml"/><Relationship Id="rId35" Type="http://schemas.openxmlformats.org/officeDocument/2006/relationships/externalLink" Target="externalLinks/externalLink5.xml"/><Relationship Id="rId56" Type="http://schemas.openxmlformats.org/officeDocument/2006/relationships/externalLink" Target="externalLinks/externalLink26.xml"/><Relationship Id="rId77" Type="http://schemas.openxmlformats.org/officeDocument/2006/relationships/externalLink" Target="externalLinks/externalLink47.xml"/><Relationship Id="rId100" Type="http://schemas.openxmlformats.org/officeDocument/2006/relationships/externalLink" Target="externalLinks/externalLink70.xml"/><Relationship Id="rId282" Type="http://schemas.openxmlformats.org/officeDocument/2006/relationships/externalLink" Target="externalLinks/externalLink252.xml"/><Relationship Id="rId8" Type="http://schemas.openxmlformats.org/officeDocument/2006/relationships/worksheet" Target="worksheets/sheet8.xml"/><Relationship Id="rId98" Type="http://schemas.openxmlformats.org/officeDocument/2006/relationships/externalLink" Target="externalLinks/externalLink68.xml"/><Relationship Id="rId121" Type="http://schemas.openxmlformats.org/officeDocument/2006/relationships/externalLink" Target="externalLinks/externalLink91.xml"/><Relationship Id="rId142" Type="http://schemas.openxmlformats.org/officeDocument/2006/relationships/externalLink" Target="externalLinks/externalLink112.xml"/><Relationship Id="rId163" Type="http://schemas.openxmlformats.org/officeDocument/2006/relationships/externalLink" Target="externalLinks/externalLink133.xml"/><Relationship Id="rId184" Type="http://schemas.openxmlformats.org/officeDocument/2006/relationships/externalLink" Target="externalLinks/externalLink154.xml"/><Relationship Id="rId219" Type="http://schemas.openxmlformats.org/officeDocument/2006/relationships/externalLink" Target="externalLinks/externalLink189.xml"/><Relationship Id="rId230" Type="http://schemas.openxmlformats.org/officeDocument/2006/relationships/externalLink" Target="externalLinks/externalLink200.xml"/><Relationship Id="rId251" Type="http://schemas.openxmlformats.org/officeDocument/2006/relationships/externalLink" Target="externalLinks/externalLink221.xml"/><Relationship Id="rId25" Type="http://schemas.openxmlformats.org/officeDocument/2006/relationships/worksheet" Target="worksheets/sheet25.xml"/><Relationship Id="rId46" Type="http://schemas.openxmlformats.org/officeDocument/2006/relationships/externalLink" Target="externalLinks/externalLink16.xml"/><Relationship Id="rId67" Type="http://schemas.openxmlformats.org/officeDocument/2006/relationships/externalLink" Target="externalLinks/externalLink37.xml"/><Relationship Id="rId272" Type="http://schemas.openxmlformats.org/officeDocument/2006/relationships/externalLink" Target="externalLinks/externalLink242.xml"/><Relationship Id="rId293" Type="http://schemas.openxmlformats.org/officeDocument/2006/relationships/externalLink" Target="externalLinks/externalLink263.xml"/><Relationship Id="rId88" Type="http://schemas.openxmlformats.org/officeDocument/2006/relationships/externalLink" Target="externalLinks/externalLink58.xml"/><Relationship Id="rId111" Type="http://schemas.openxmlformats.org/officeDocument/2006/relationships/externalLink" Target="externalLinks/externalLink81.xml"/><Relationship Id="rId132" Type="http://schemas.openxmlformats.org/officeDocument/2006/relationships/externalLink" Target="externalLinks/externalLink102.xml"/><Relationship Id="rId153" Type="http://schemas.openxmlformats.org/officeDocument/2006/relationships/externalLink" Target="externalLinks/externalLink123.xml"/><Relationship Id="rId174" Type="http://schemas.openxmlformats.org/officeDocument/2006/relationships/externalLink" Target="externalLinks/externalLink144.xml"/><Relationship Id="rId195" Type="http://schemas.openxmlformats.org/officeDocument/2006/relationships/externalLink" Target="externalLinks/externalLink165.xml"/><Relationship Id="rId209" Type="http://schemas.openxmlformats.org/officeDocument/2006/relationships/externalLink" Target="externalLinks/externalLink179.xml"/><Relationship Id="rId220" Type="http://schemas.openxmlformats.org/officeDocument/2006/relationships/externalLink" Target="externalLinks/externalLink190.xml"/><Relationship Id="rId241" Type="http://schemas.openxmlformats.org/officeDocument/2006/relationships/externalLink" Target="externalLinks/externalLink211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6.xml"/><Relationship Id="rId57" Type="http://schemas.openxmlformats.org/officeDocument/2006/relationships/externalLink" Target="externalLinks/externalLink27.xml"/><Relationship Id="rId262" Type="http://schemas.openxmlformats.org/officeDocument/2006/relationships/externalLink" Target="externalLinks/externalLink232.xml"/><Relationship Id="rId283" Type="http://schemas.openxmlformats.org/officeDocument/2006/relationships/externalLink" Target="externalLinks/externalLink253.xml"/><Relationship Id="rId78" Type="http://schemas.openxmlformats.org/officeDocument/2006/relationships/externalLink" Target="externalLinks/externalLink48.xml"/><Relationship Id="rId99" Type="http://schemas.openxmlformats.org/officeDocument/2006/relationships/externalLink" Target="externalLinks/externalLink69.xml"/><Relationship Id="rId101" Type="http://schemas.openxmlformats.org/officeDocument/2006/relationships/externalLink" Target="externalLinks/externalLink71.xml"/><Relationship Id="rId122" Type="http://schemas.openxmlformats.org/officeDocument/2006/relationships/externalLink" Target="externalLinks/externalLink92.xml"/><Relationship Id="rId143" Type="http://schemas.openxmlformats.org/officeDocument/2006/relationships/externalLink" Target="externalLinks/externalLink113.xml"/><Relationship Id="rId164" Type="http://schemas.openxmlformats.org/officeDocument/2006/relationships/externalLink" Target="externalLinks/externalLink134.xml"/><Relationship Id="rId185" Type="http://schemas.openxmlformats.org/officeDocument/2006/relationships/externalLink" Target="externalLinks/externalLink155.xml"/><Relationship Id="rId9" Type="http://schemas.openxmlformats.org/officeDocument/2006/relationships/worksheet" Target="worksheets/sheet9.xml"/><Relationship Id="rId210" Type="http://schemas.openxmlformats.org/officeDocument/2006/relationships/externalLink" Target="externalLinks/externalLink180.xml"/><Relationship Id="rId26" Type="http://schemas.openxmlformats.org/officeDocument/2006/relationships/worksheet" Target="worksheets/sheet26.xml"/><Relationship Id="rId231" Type="http://schemas.openxmlformats.org/officeDocument/2006/relationships/externalLink" Target="externalLinks/externalLink201.xml"/><Relationship Id="rId252" Type="http://schemas.openxmlformats.org/officeDocument/2006/relationships/externalLink" Target="externalLinks/externalLink222.xml"/><Relationship Id="rId273" Type="http://schemas.openxmlformats.org/officeDocument/2006/relationships/externalLink" Target="externalLinks/externalLink243.xml"/><Relationship Id="rId294" Type="http://schemas.openxmlformats.org/officeDocument/2006/relationships/externalLink" Target="externalLinks/externalLink264.xml"/><Relationship Id="rId47" Type="http://schemas.openxmlformats.org/officeDocument/2006/relationships/externalLink" Target="externalLinks/externalLink17.xml"/><Relationship Id="rId68" Type="http://schemas.openxmlformats.org/officeDocument/2006/relationships/externalLink" Target="externalLinks/externalLink38.xml"/><Relationship Id="rId89" Type="http://schemas.openxmlformats.org/officeDocument/2006/relationships/externalLink" Target="externalLinks/externalLink59.xml"/><Relationship Id="rId112" Type="http://schemas.openxmlformats.org/officeDocument/2006/relationships/externalLink" Target="externalLinks/externalLink82.xml"/><Relationship Id="rId133" Type="http://schemas.openxmlformats.org/officeDocument/2006/relationships/externalLink" Target="externalLinks/externalLink103.xml"/><Relationship Id="rId154" Type="http://schemas.openxmlformats.org/officeDocument/2006/relationships/externalLink" Target="externalLinks/externalLink124.xml"/><Relationship Id="rId175" Type="http://schemas.openxmlformats.org/officeDocument/2006/relationships/externalLink" Target="externalLinks/externalLink145.xml"/><Relationship Id="rId196" Type="http://schemas.openxmlformats.org/officeDocument/2006/relationships/externalLink" Target="externalLinks/externalLink166.xml"/><Relationship Id="rId200" Type="http://schemas.openxmlformats.org/officeDocument/2006/relationships/externalLink" Target="externalLinks/externalLink170.xml"/><Relationship Id="rId16" Type="http://schemas.openxmlformats.org/officeDocument/2006/relationships/worksheet" Target="worksheets/sheet16.xml"/><Relationship Id="rId221" Type="http://schemas.openxmlformats.org/officeDocument/2006/relationships/externalLink" Target="externalLinks/externalLink191.xml"/><Relationship Id="rId242" Type="http://schemas.openxmlformats.org/officeDocument/2006/relationships/externalLink" Target="externalLinks/externalLink212.xml"/><Relationship Id="rId263" Type="http://schemas.openxmlformats.org/officeDocument/2006/relationships/externalLink" Target="externalLinks/externalLink233.xml"/><Relationship Id="rId284" Type="http://schemas.openxmlformats.org/officeDocument/2006/relationships/externalLink" Target="externalLinks/externalLink254.xml"/><Relationship Id="rId37" Type="http://schemas.openxmlformats.org/officeDocument/2006/relationships/externalLink" Target="externalLinks/externalLink7.xml"/><Relationship Id="rId58" Type="http://schemas.openxmlformats.org/officeDocument/2006/relationships/externalLink" Target="externalLinks/externalLink28.xml"/><Relationship Id="rId79" Type="http://schemas.openxmlformats.org/officeDocument/2006/relationships/externalLink" Target="externalLinks/externalLink49.xml"/><Relationship Id="rId102" Type="http://schemas.openxmlformats.org/officeDocument/2006/relationships/externalLink" Target="externalLinks/externalLink72.xml"/><Relationship Id="rId123" Type="http://schemas.openxmlformats.org/officeDocument/2006/relationships/externalLink" Target="externalLinks/externalLink93.xml"/><Relationship Id="rId144" Type="http://schemas.openxmlformats.org/officeDocument/2006/relationships/externalLink" Target="externalLinks/externalLink114.xml"/><Relationship Id="rId90" Type="http://schemas.openxmlformats.org/officeDocument/2006/relationships/externalLink" Target="externalLinks/externalLink60.xml"/><Relationship Id="rId165" Type="http://schemas.openxmlformats.org/officeDocument/2006/relationships/externalLink" Target="externalLinks/externalLink135.xml"/><Relationship Id="rId186" Type="http://schemas.openxmlformats.org/officeDocument/2006/relationships/externalLink" Target="externalLinks/externalLink156.xml"/><Relationship Id="rId211" Type="http://schemas.openxmlformats.org/officeDocument/2006/relationships/externalLink" Target="externalLinks/externalLink181.xml"/><Relationship Id="rId232" Type="http://schemas.openxmlformats.org/officeDocument/2006/relationships/externalLink" Target="externalLinks/externalLink202.xml"/><Relationship Id="rId253" Type="http://schemas.openxmlformats.org/officeDocument/2006/relationships/externalLink" Target="externalLinks/externalLink223.xml"/><Relationship Id="rId274" Type="http://schemas.openxmlformats.org/officeDocument/2006/relationships/externalLink" Target="externalLinks/externalLink244.xml"/><Relationship Id="rId295" Type="http://schemas.openxmlformats.org/officeDocument/2006/relationships/externalLink" Target="externalLinks/externalLink265.xml"/><Relationship Id="rId27" Type="http://schemas.openxmlformats.org/officeDocument/2006/relationships/worksheet" Target="worksheets/sheet27.xml"/><Relationship Id="rId48" Type="http://schemas.openxmlformats.org/officeDocument/2006/relationships/externalLink" Target="externalLinks/externalLink18.xml"/><Relationship Id="rId69" Type="http://schemas.openxmlformats.org/officeDocument/2006/relationships/externalLink" Target="externalLinks/externalLink39.xml"/><Relationship Id="rId113" Type="http://schemas.openxmlformats.org/officeDocument/2006/relationships/externalLink" Target="externalLinks/externalLink83.xml"/><Relationship Id="rId134" Type="http://schemas.openxmlformats.org/officeDocument/2006/relationships/externalLink" Target="externalLinks/externalLink104.xml"/><Relationship Id="rId80" Type="http://schemas.openxmlformats.org/officeDocument/2006/relationships/externalLink" Target="externalLinks/externalLink50.xml"/><Relationship Id="rId155" Type="http://schemas.openxmlformats.org/officeDocument/2006/relationships/externalLink" Target="externalLinks/externalLink125.xml"/><Relationship Id="rId176" Type="http://schemas.openxmlformats.org/officeDocument/2006/relationships/externalLink" Target="externalLinks/externalLink146.xml"/><Relationship Id="rId197" Type="http://schemas.openxmlformats.org/officeDocument/2006/relationships/externalLink" Target="externalLinks/externalLink167.xml"/><Relationship Id="rId201" Type="http://schemas.openxmlformats.org/officeDocument/2006/relationships/externalLink" Target="externalLinks/externalLink171.xml"/><Relationship Id="rId222" Type="http://schemas.openxmlformats.org/officeDocument/2006/relationships/externalLink" Target="externalLinks/externalLink192.xml"/><Relationship Id="rId243" Type="http://schemas.openxmlformats.org/officeDocument/2006/relationships/externalLink" Target="externalLinks/externalLink213.xml"/><Relationship Id="rId264" Type="http://schemas.openxmlformats.org/officeDocument/2006/relationships/externalLink" Target="externalLinks/externalLink234.xml"/><Relationship Id="rId285" Type="http://schemas.openxmlformats.org/officeDocument/2006/relationships/externalLink" Target="externalLinks/externalLink255.xml"/><Relationship Id="rId17" Type="http://schemas.openxmlformats.org/officeDocument/2006/relationships/worksheet" Target="worksheets/sheet17.xml"/><Relationship Id="rId38" Type="http://schemas.openxmlformats.org/officeDocument/2006/relationships/externalLink" Target="externalLinks/externalLink8.xml"/><Relationship Id="rId59" Type="http://schemas.openxmlformats.org/officeDocument/2006/relationships/externalLink" Target="externalLinks/externalLink29.xml"/><Relationship Id="rId103" Type="http://schemas.openxmlformats.org/officeDocument/2006/relationships/externalLink" Target="externalLinks/externalLink73.xml"/><Relationship Id="rId124" Type="http://schemas.openxmlformats.org/officeDocument/2006/relationships/externalLink" Target="externalLinks/externalLink94.xml"/><Relationship Id="rId70" Type="http://schemas.openxmlformats.org/officeDocument/2006/relationships/externalLink" Target="externalLinks/externalLink40.xml"/><Relationship Id="rId91" Type="http://schemas.openxmlformats.org/officeDocument/2006/relationships/externalLink" Target="externalLinks/externalLink61.xml"/><Relationship Id="rId145" Type="http://schemas.openxmlformats.org/officeDocument/2006/relationships/externalLink" Target="externalLinks/externalLink115.xml"/><Relationship Id="rId166" Type="http://schemas.openxmlformats.org/officeDocument/2006/relationships/externalLink" Target="externalLinks/externalLink136.xml"/><Relationship Id="rId187" Type="http://schemas.openxmlformats.org/officeDocument/2006/relationships/externalLink" Target="externalLinks/externalLink157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182.xml"/><Relationship Id="rId233" Type="http://schemas.openxmlformats.org/officeDocument/2006/relationships/externalLink" Target="externalLinks/externalLink203.xml"/><Relationship Id="rId254" Type="http://schemas.openxmlformats.org/officeDocument/2006/relationships/externalLink" Target="externalLinks/externalLink224.xml"/><Relationship Id="rId28" Type="http://schemas.openxmlformats.org/officeDocument/2006/relationships/worksheet" Target="worksheets/sheet28.xml"/><Relationship Id="rId49" Type="http://schemas.openxmlformats.org/officeDocument/2006/relationships/externalLink" Target="externalLinks/externalLink19.xml"/><Relationship Id="rId114" Type="http://schemas.openxmlformats.org/officeDocument/2006/relationships/externalLink" Target="externalLinks/externalLink84.xml"/><Relationship Id="rId275" Type="http://schemas.openxmlformats.org/officeDocument/2006/relationships/externalLink" Target="externalLinks/externalLink245.xml"/><Relationship Id="rId296" Type="http://schemas.openxmlformats.org/officeDocument/2006/relationships/theme" Target="theme/theme1.xml"/><Relationship Id="rId60" Type="http://schemas.openxmlformats.org/officeDocument/2006/relationships/externalLink" Target="externalLinks/externalLink30.xml"/><Relationship Id="rId81" Type="http://schemas.openxmlformats.org/officeDocument/2006/relationships/externalLink" Target="externalLinks/externalLink51.xml"/><Relationship Id="rId135" Type="http://schemas.openxmlformats.org/officeDocument/2006/relationships/externalLink" Target="externalLinks/externalLink105.xml"/><Relationship Id="rId156" Type="http://schemas.openxmlformats.org/officeDocument/2006/relationships/externalLink" Target="externalLinks/externalLink126.xml"/><Relationship Id="rId177" Type="http://schemas.openxmlformats.org/officeDocument/2006/relationships/externalLink" Target="externalLinks/externalLink147.xml"/><Relationship Id="rId198" Type="http://schemas.openxmlformats.org/officeDocument/2006/relationships/externalLink" Target="externalLinks/externalLink168.xml"/><Relationship Id="rId202" Type="http://schemas.openxmlformats.org/officeDocument/2006/relationships/externalLink" Target="externalLinks/externalLink172.xml"/><Relationship Id="rId223" Type="http://schemas.openxmlformats.org/officeDocument/2006/relationships/externalLink" Target="externalLinks/externalLink193.xml"/><Relationship Id="rId244" Type="http://schemas.openxmlformats.org/officeDocument/2006/relationships/externalLink" Target="externalLinks/externalLink214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9.xml"/><Relationship Id="rId265" Type="http://schemas.openxmlformats.org/officeDocument/2006/relationships/externalLink" Target="externalLinks/externalLink235.xml"/><Relationship Id="rId286" Type="http://schemas.openxmlformats.org/officeDocument/2006/relationships/externalLink" Target="externalLinks/externalLink256.xml"/><Relationship Id="rId50" Type="http://schemas.openxmlformats.org/officeDocument/2006/relationships/externalLink" Target="externalLinks/externalLink20.xml"/><Relationship Id="rId104" Type="http://schemas.openxmlformats.org/officeDocument/2006/relationships/externalLink" Target="externalLinks/externalLink74.xml"/><Relationship Id="rId125" Type="http://schemas.openxmlformats.org/officeDocument/2006/relationships/externalLink" Target="externalLinks/externalLink95.xml"/><Relationship Id="rId146" Type="http://schemas.openxmlformats.org/officeDocument/2006/relationships/externalLink" Target="externalLinks/externalLink116.xml"/><Relationship Id="rId167" Type="http://schemas.openxmlformats.org/officeDocument/2006/relationships/externalLink" Target="externalLinks/externalLink137.xml"/><Relationship Id="rId188" Type="http://schemas.openxmlformats.org/officeDocument/2006/relationships/externalLink" Target="externalLinks/externalLink158.xml"/><Relationship Id="rId71" Type="http://schemas.openxmlformats.org/officeDocument/2006/relationships/externalLink" Target="externalLinks/externalLink41.xml"/><Relationship Id="rId92" Type="http://schemas.openxmlformats.org/officeDocument/2006/relationships/externalLink" Target="externalLinks/externalLink62.xml"/><Relationship Id="rId213" Type="http://schemas.openxmlformats.org/officeDocument/2006/relationships/externalLink" Target="externalLinks/externalLink183.xml"/><Relationship Id="rId234" Type="http://schemas.openxmlformats.org/officeDocument/2006/relationships/externalLink" Target="externalLinks/externalLink20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externalLink" Target="externalLinks/externalLink225.xml"/><Relationship Id="rId276" Type="http://schemas.openxmlformats.org/officeDocument/2006/relationships/externalLink" Target="externalLinks/externalLink246.xml"/><Relationship Id="rId297" Type="http://schemas.openxmlformats.org/officeDocument/2006/relationships/styles" Target="styles.xml"/><Relationship Id="rId40" Type="http://schemas.openxmlformats.org/officeDocument/2006/relationships/externalLink" Target="externalLinks/externalLink10.xml"/><Relationship Id="rId115" Type="http://schemas.openxmlformats.org/officeDocument/2006/relationships/externalLink" Target="externalLinks/externalLink85.xml"/><Relationship Id="rId136" Type="http://schemas.openxmlformats.org/officeDocument/2006/relationships/externalLink" Target="externalLinks/externalLink106.xml"/><Relationship Id="rId157" Type="http://schemas.openxmlformats.org/officeDocument/2006/relationships/externalLink" Target="externalLinks/externalLink127.xml"/><Relationship Id="rId178" Type="http://schemas.openxmlformats.org/officeDocument/2006/relationships/externalLink" Target="externalLinks/externalLink148.xml"/><Relationship Id="rId61" Type="http://schemas.openxmlformats.org/officeDocument/2006/relationships/externalLink" Target="externalLinks/externalLink31.xml"/><Relationship Id="rId82" Type="http://schemas.openxmlformats.org/officeDocument/2006/relationships/externalLink" Target="externalLinks/externalLink52.xml"/><Relationship Id="rId199" Type="http://schemas.openxmlformats.org/officeDocument/2006/relationships/externalLink" Target="externalLinks/externalLink169.xml"/><Relationship Id="rId203" Type="http://schemas.openxmlformats.org/officeDocument/2006/relationships/externalLink" Target="externalLinks/externalLink173.xml"/><Relationship Id="rId19" Type="http://schemas.openxmlformats.org/officeDocument/2006/relationships/worksheet" Target="worksheets/sheet19.xml"/><Relationship Id="rId224" Type="http://schemas.openxmlformats.org/officeDocument/2006/relationships/externalLink" Target="externalLinks/externalLink194.xml"/><Relationship Id="rId245" Type="http://schemas.openxmlformats.org/officeDocument/2006/relationships/externalLink" Target="externalLinks/externalLink215.xml"/><Relationship Id="rId266" Type="http://schemas.openxmlformats.org/officeDocument/2006/relationships/externalLink" Target="externalLinks/externalLink236.xml"/><Relationship Id="rId287" Type="http://schemas.openxmlformats.org/officeDocument/2006/relationships/externalLink" Target="externalLinks/externalLink257.xml"/><Relationship Id="rId30" Type="http://schemas.openxmlformats.org/officeDocument/2006/relationships/worksheet" Target="worksheets/sheet30.xml"/><Relationship Id="rId105" Type="http://schemas.openxmlformats.org/officeDocument/2006/relationships/externalLink" Target="externalLinks/externalLink75.xml"/><Relationship Id="rId126" Type="http://schemas.openxmlformats.org/officeDocument/2006/relationships/externalLink" Target="externalLinks/externalLink96.xml"/><Relationship Id="rId147" Type="http://schemas.openxmlformats.org/officeDocument/2006/relationships/externalLink" Target="externalLinks/externalLink117.xml"/><Relationship Id="rId168" Type="http://schemas.openxmlformats.org/officeDocument/2006/relationships/externalLink" Target="externalLinks/externalLink138.xml"/><Relationship Id="rId51" Type="http://schemas.openxmlformats.org/officeDocument/2006/relationships/externalLink" Target="externalLinks/externalLink21.xml"/><Relationship Id="rId72" Type="http://schemas.openxmlformats.org/officeDocument/2006/relationships/externalLink" Target="externalLinks/externalLink42.xml"/><Relationship Id="rId93" Type="http://schemas.openxmlformats.org/officeDocument/2006/relationships/externalLink" Target="externalLinks/externalLink63.xml"/><Relationship Id="rId189" Type="http://schemas.openxmlformats.org/officeDocument/2006/relationships/externalLink" Target="externalLinks/externalLink159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184.xml"/><Relationship Id="rId235" Type="http://schemas.openxmlformats.org/officeDocument/2006/relationships/externalLink" Target="externalLinks/externalLink205.xml"/><Relationship Id="rId256" Type="http://schemas.openxmlformats.org/officeDocument/2006/relationships/externalLink" Target="externalLinks/externalLink226.xml"/><Relationship Id="rId277" Type="http://schemas.openxmlformats.org/officeDocument/2006/relationships/externalLink" Target="externalLinks/externalLink247.xml"/><Relationship Id="rId298" Type="http://schemas.openxmlformats.org/officeDocument/2006/relationships/sharedStrings" Target="sharedStrings.xml"/><Relationship Id="rId116" Type="http://schemas.openxmlformats.org/officeDocument/2006/relationships/externalLink" Target="externalLinks/externalLink86.xml"/><Relationship Id="rId137" Type="http://schemas.openxmlformats.org/officeDocument/2006/relationships/externalLink" Target="externalLinks/externalLink107.xml"/><Relationship Id="rId158" Type="http://schemas.openxmlformats.org/officeDocument/2006/relationships/externalLink" Target="externalLinks/externalLink12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1.xml"/><Relationship Id="rId62" Type="http://schemas.openxmlformats.org/officeDocument/2006/relationships/externalLink" Target="externalLinks/externalLink32.xml"/><Relationship Id="rId83" Type="http://schemas.openxmlformats.org/officeDocument/2006/relationships/externalLink" Target="externalLinks/externalLink53.xml"/><Relationship Id="rId179" Type="http://schemas.openxmlformats.org/officeDocument/2006/relationships/externalLink" Target="externalLinks/externalLink149.xml"/><Relationship Id="rId190" Type="http://schemas.openxmlformats.org/officeDocument/2006/relationships/externalLink" Target="externalLinks/externalLink160.xml"/><Relationship Id="rId204" Type="http://schemas.openxmlformats.org/officeDocument/2006/relationships/externalLink" Target="externalLinks/externalLink174.xml"/><Relationship Id="rId225" Type="http://schemas.openxmlformats.org/officeDocument/2006/relationships/externalLink" Target="externalLinks/externalLink195.xml"/><Relationship Id="rId246" Type="http://schemas.openxmlformats.org/officeDocument/2006/relationships/externalLink" Target="externalLinks/externalLink216.xml"/><Relationship Id="rId267" Type="http://schemas.openxmlformats.org/officeDocument/2006/relationships/externalLink" Target="externalLinks/externalLink237.xml"/><Relationship Id="rId288" Type="http://schemas.openxmlformats.org/officeDocument/2006/relationships/externalLink" Target="externalLinks/externalLink258.xml"/><Relationship Id="rId106" Type="http://schemas.openxmlformats.org/officeDocument/2006/relationships/externalLink" Target="externalLinks/externalLink76.xml"/><Relationship Id="rId127" Type="http://schemas.openxmlformats.org/officeDocument/2006/relationships/externalLink" Target="externalLinks/externalLink97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.xml"/><Relationship Id="rId52" Type="http://schemas.openxmlformats.org/officeDocument/2006/relationships/externalLink" Target="externalLinks/externalLink22.xml"/><Relationship Id="rId73" Type="http://schemas.openxmlformats.org/officeDocument/2006/relationships/externalLink" Target="externalLinks/externalLink43.xml"/><Relationship Id="rId94" Type="http://schemas.openxmlformats.org/officeDocument/2006/relationships/externalLink" Target="externalLinks/externalLink64.xml"/><Relationship Id="rId148" Type="http://schemas.openxmlformats.org/officeDocument/2006/relationships/externalLink" Target="externalLinks/externalLink118.xml"/><Relationship Id="rId169" Type="http://schemas.openxmlformats.org/officeDocument/2006/relationships/externalLink" Target="externalLinks/externalLink139.xml"/><Relationship Id="rId4" Type="http://schemas.openxmlformats.org/officeDocument/2006/relationships/worksheet" Target="worksheets/sheet4.xml"/><Relationship Id="rId180" Type="http://schemas.openxmlformats.org/officeDocument/2006/relationships/externalLink" Target="externalLinks/externalLink150.xml"/><Relationship Id="rId215" Type="http://schemas.openxmlformats.org/officeDocument/2006/relationships/externalLink" Target="externalLinks/externalLink185.xml"/><Relationship Id="rId236" Type="http://schemas.openxmlformats.org/officeDocument/2006/relationships/externalLink" Target="externalLinks/externalLink206.xml"/><Relationship Id="rId257" Type="http://schemas.openxmlformats.org/officeDocument/2006/relationships/externalLink" Target="externalLinks/externalLink227.xml"/><Relationship Id="rId278" Type="http://schemas.openxmlformats.org/officeDocument/2006/relationships/externalLink" Target="externalLinks/externalLink248.xml"/><Relationship Id="rId42" Type="http://schemas.openxmlformats.org/officeDocument/2006/relationships/externalLink" Target="externalLinks/externalLink12.xml"/><Relationship Id="rId84" Type="http://schemas.openxmlformats.org/officeDocument/2006/relationships/externalLink" Target="externalLinks/externalLink54.xml"/><Relationship Id="rId138" Type="http://schemas.openxmlformats.org/officeDocument/2006/relationships/externalLink" Target="externalLinks/externalLink108.xml"/><Relationship Id="rId191" Type="http://schemas.openxmlformats.org/officeDocument/2006/relationships/externalLink" Target="externalLinks/externalLink161.xml"/><Relationship Id="rId205" Type="http://schemas.openxmlformats.org/officeDocument/2006/relationships/externalLink" Target="externalLinks/externalLink175.xml"/><Relationship Id="rId247" Type="http://schemas.openxmlformats.org/officeDocument/2006/relationships/externalLink" Target="externalLinks/externalLink217.xml"/><Relationship Id="rId107" Type="http://schemas.openxmlformats.org/officeDocument/2006/relationships/externalLink" Target="externalLinks/externalLink77.xml"/><Relationship Id="rId289" Type="http://schemas.openxmlformats.org/officeDocument/2006/relationships/externalLink" Target="externalLinks/externalLink259.xml"/><Relationship Id="rId11" Type="http://schemas.openxmlformats.org/officeDocument/2006/relationships/worksheet" Target="worksheets/sheet11.xml"/><Relationship Id="rId53" Type="http://schemas.openxmlformats.org/officeDocument/2006/relationships/externalLink" Target="externalLinks/externalLink23.xml"/><Relationship Id="rId149" Type="http://schemas.openxmlformats.org/officeDocument/2006/relationships/externalLink" Target="externalLinks/externalLink119.xml"/><Relationship Id="rId95" Type="http://schemas.openxmlformats.org/officeDocument/2006/relationships/externalLink" Target="externalLinks/externalLink65.xml"/><Relationship Id="rId160" Type="http://schemas.openxmlformats.org/officeDocument/2006/relationships/externalLink" Target="externalLinks/externalLink130.xml"/><Relationship Id="rId216" Type="http://schemas.openxmlformats.org/officeDocument/2006/relationships/externalLink" Target="externalLinks/externalLink186.xml"/><Relationship Id="rId258" Type="http://schemas.openxmlformats.org/officeDocument/2006/relationships/externalLink" Target="externalLinks/externalLink228.xml"/><Relationship Id="rId22" Type="http://schemas.openxmlformats.org/officeDocument/2006/relationships/worksheet" Target="worksheets/sheet22.xml"/><Relationship Id="rId64" Type="http://schemas.openxmlformats.org/officeDocument/2006/relationships/externalLink" Target="externalLinks/externalLink34.xml"/><Relationship Id="rId118" Type="http://schemas.openxmlformats.org/officeDocument/2006/relationships/externalLink" Target="externalLinks/externalLink88.xml"/><Relationship Id="rId171" Type="http://schemas.openxmlformats.org/officeDocument/2006/relationships/externalLink" Target="externalLinks/externalLink141.xml"/><Relationship Id="rId227" Type="http://schemas.openxmlformats.org/officeDocument/2006/relationships/externalLink" Target="externalLinks/externalLink197.xml"/><Relationship Id="rId269" Type="http://schemas.openxmlformats.org/officeDocument/2006/relationships/externalLink" Target="externalLinks/externalLink239.xml"/><Relationship Id="rId33" Type="http://schemas.openxmlformats.org/officeDocument/2006/relationships/externalLink" Target="externalLinks/externalLink3.xml"/><Relationship Id="rId129" Type="http://schemas.openxmlformats.org/officeDocument/2006/relationships/externalLink" Target="externalLinks/externalLink99.xml"/><Relationship Id="rId280" Type="http://schemas.openxmlformats.org/officeDocument/2006/relationships/externalLink" Target="externalLinks/externalLink25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b="1"/>
              <a:t>Inversiones para Alternativa seleccionada por </a:t>
            </a:r>
            <a:r>
              <a:rPr lang="es-AR" b="1" baseline="0"/>
              <a:t>Etapa de la GIRSU para cada Región</a:t>
            </a:r>
            <a:endParaRPr lang="es-AR" b="1"/>
          </a:p>
        </c:rich>
      </c:tx>
      <c:layout>
        <c:manualLayout>
          <c:xMode val="edge"/>
          <c:yMode val="edge"/>
          <c:x val="0.25789598206503778"/>
          <c:y val="2.90101224416481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'Costos de Inversión_xLocalidad'!$P$178</c:f>
              <c:strCache>
                <c:ptCount val="1"/>
                <c:pt idx="0">
                  <c:v>Recolección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('Costos de Inversión_xLocalidad'!$P$179:$P$207,'Costos de Inversión_xLocalidad'!$P$214:$P$219)</c:f>
              <c:numCache>
                <c:formatCode>#,##0.00</c:formatCode>
                <c:ptCount val="35"/>
                <c:pt idx="0">
                  <c:v>31465962.791609064</c:v>
                </c:pt>
                <c:pt idx="1">
                  <c:v>11682868.019018048</c:v>
                </c:pt>
                <c:pt idx="2">
                  <c:v>12916958.061333248</c:v>
                </c:pt>
                <c:pt idx="3">
                  <c:v>5955161.438071223</c:v>
                </c:pt>
                <c:pt idx="4">
                  <c:v>8508220.0776142776</c:v>
                </c:pt>
                <c:pt idx="5">
                  <c:v>8546704.3676449284</c:v>
                </c:pt>
                <c:pt idx="6">
                  <c:v>5435021.3178081047</c:v>
                </c:pt>
                <c:pt idx="7">
                  <c:v>8624604.8591662776</c:v>
                </c:pt>
                <c:pt idx="8">
                  <c:v>12797526.66572752</c:v>
                </c:pt>
                <c:pt idx="9">
                  <c:v>8205850.9942974504</c:v>
                </c:pt>
                <c:pt idx="10">
                  <c:v>12789457.20018081</c:v>
                </c:pt>
                <c:pt idx="11">
                  <c:v>9047207.5986279584</c:v>
                </c:pt>
                <c:pt idx="12">
                  <c:v>12705131.971848898</c:v>
                </c:pt>
                <c:pt idx="13">
                  <c:v>11260226.766607061</c:v>
                </c:pt>
                <c:pt idx="14">
                  <c:v>4819891.5742451204</c:v>
                </c:pt>
                <c:pt idx="15">
                  <c:v>17383640.250442978</c:v>
                </c:pt>
                <c:pt idx="16">
                  <c:v>5617743.4038319113</c:v>
                </c:pt>
                <c:pt idx="17">
                  <c:v>5755534.8936665282</c:v>
                </c:pt>
                <c:pt idx="18">
                  <c:v>17382142.644042108</c:v>
                </c:pt>
                <c:pt idx="19">
                  <c:v>9157757.0074833483</c:v>
                </c:pt>
                <c:pt idx="20">
                  <c:v>19396850.156166904</c:v>
                </c:pt>
                <c:pt idx="21">
                  <c:v>11762828.315912148</c:v>
                </c:pt>
                <c:pt idx="22">
                  <c:v>15159301.104878286</c:v>
                </c:pt>
                <c:pt idx="23">
                  <c:v>8875870.9741602838</c:v>
                </c:pt>
                <c:pt idx="24">
                  <c:v>8178209.8858103119</c:v>
                </c:pt>
                <c:pt idx="25">
                  <c:v>12876815.086193133</c:v>
                </c:pt>
                <c:pt idx="26">
                  <c:v>4601383.9718577713</c:v>
                </c:pt>
                <c:pt idx="27">
                  <c:v>12156823.805432057</c:v>
                </c:pt>
                <c:pt idx="28">
                  <c:v>34752179.877595939</c:v>
                </c:pt>
                <c:pt idx="29">
                  <c:v>8127639.0707180705</c:v>
                </c:pt>
                <c:pt idx="30">
                  <c:v>4058822.4916336392</c:v>
                </c:pt>
                <c:pt idx="31">
                  <c:v>4317650.2999366792</c:v>
                </c:pt>
                <c:pt idx="32">
                  <c:v>3197847.7022797675</c:v>
                </c:pt>
                <c:pt idx="33">
                  <c:v>7032116.0147735225</c:v>
                </c:pt>
                <c:pt idx="34">
                  <c:v>2278403.7847098256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6-49F7-9576-7A78436B8E7A}"/>
            </c:ext>
          </c:extLst>
        </c:ser>
        <c:ser>
          <c:idx val="1"/>
          <c:order val="1"/>
          <c:tx>
            <c:strRef>
              <c:f>'Costos de Inversión_xLocalidad'!$Q$178</c:f>
              <c:strCache>
                <c:ptCount val="1"/>
                <c:pt idx="0">
                  <c:v>Tratamiento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'Costos de Inversión_xLocalidad'!$Q$214:$Q$219</c:f>
              <c:numCache>
                <c:formatCode>#,##0.00</c:formatCode>
                <c:ptCount val="6"/>
                <c:pt idx="0">
                  <c:v>1857475.5023679007</c:v>
                </c:pt>
                <c:pt idx="1">
                  <c:v>1693523.4887600001</c:v>
                </c:pt>
                <c:pt idx="2">
                  <c:v>1160028.4113050001</c:v>
                </c:pt>
                <c:pt idx="3">
                  <c:v>1562020.8753000002</c:v>
                </c:pt>
                <c:pt idx="4">
                  <c:v>1710881.09632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96-49F7-9576-7A78436B8E7A}"/>
            </c:ext>
          </c:extLst>
        </c:ser>
        <c:ser>
          <c:idx val="2"/>
          <c:order val="2"/>
          <c:tx>
            <c:strRef>
              <c:f>'Costos de Inversión_xLocalidad'!$R$178</c:f>
              <c:strCache>
                <c:ptCount val="1"/>
                <c:pt idx="0">
                  <c:v>DF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('Costos de Inversión_xLocalidad'!$R$179:$R$207,'Costos de Inversión_xLocalidad'!$R$214:$R$219)</c:f>
              <c:numCache>
                <c:formatCode>#,##0.00</c:formatCode>
                <c:ptCount val="35"/>
                <c:pt idx="0">
                  <c:v>66772780.790399998</c:v>
                </c:pt>
                <c:pt idx="1">
                  <c:v>14579173.335200001</c:v>
                </c:pt>
                <c:pt idx="2">
                  <c:v>17835727.9472</c:v>
                </c:pt>
                <c:pt idx="3">
                  <c:v>8341824.2368000019</c:v>
                </c:pt>
                <c:pt idx="4">
                  <c:v>13704083.748880001</c:v>
                </c:pt>
                <c:pt idx="5">
                  <c:v>10755382.754400004</c:v>
                </c:pt>
                <c:pt idx="6">
                  <c:v>11240949.507200001</c:v>
                </c:pt>
                <c:pt idx="7">
                  <c:v>2664334.1100000003</c:v>
                </c:pt>
                <c:pt idx="8">
                  <c:v>16176295.961599998</c:v>
                </c:pt>
                <c:pt idx="9">
                  <c:v>9515490.8368000016</c:v>
                </c:pt>
                <c:pt idx="10">
                  <c:v>12743414.1664</c:v>
                </c:pt>
                <c:pt idx="11">
                  <c:v>11089020.5272</c:v>
                </c:pt>
                <c:pt idx="12">
                  <c:v>15455770.458400004</c:v>
                </c:pt>
                <c:pt idx="13">
                  <c:v>11513066.9824</c:v>
                </c:pt>
                <c:pt idx="14">
                  <c:v>751774.27319999994</c:v>
                </c:pt>
                <c:pt idx="15">
                  <c:v>24654628.280800004</c:v>
                </c:pt>
                <c:pt idx="16">
                  <c:v>9116815.72456</c:v>
                </c:pt>
                <c:pt idx="17">
                  <c:v>7811503.2125599999</c:v>
                </c:pt>
                <c:pt idx="18">
                  <c:v>21135403.0328</c:v>
                </c:pt>
                <c:pt idx="19">
                  <c:v>18883705.435040001</c:v>
                </c:pt>
                <c:pt idx="20">
                  <c:v>29783390.867200002</c:v>
                </c:pt>
                <c:pt idx="21">
                  <c:v>26846483.520800002</c:v>
                </c:pt>
                <c:pt idx="22">
                  <c:v>17388256.316</c:v>
                </c:pt>
                <c:pt idx="23">
                  <c:v>23255773.956160001</c:v>
                </c:pt>
                <c:pt idx="24">
                  <c:v>11436923.5</c:v>
                </c:pt>
                <c:pt idx="25">
                  <c:v>14286475.16</c:v>
                </c:pt>
                <c:pt idx="26">
                  <c:v>8869311.7992000002</c:v>
                </c:pt>
                <c:pt idx="27">
                  <c:v>30677819.999200001</c:v>
                </c:pt>
                <c:pt idx="28">
                  <c:v>122557492.82560001</c:v>
                </c:pt>
                <c:pt idx="29">
                  <c:v>20357939.674400002</c:v>
                </c:pt>
                <c:pt idx="30">
                  <c:v>9919404.8324000016</c:v>
                </c:pt>
                <c:pt idx="31">
                  <c:v>11171125.694</c:v>
                </c:pt>
                <c:pt idx="32">
                  <c:v>8815623.9896000009</c:v>
                </c:pt>
                <c:pt idx="33">
                  <c:v>17057085.960000001</c:v>
                </c:pt>
                <c:pt idx="34">
                  <c:v>677268.93015999999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96-49F7-9576-7A78436B8E7A}"/>
            </c:ext>
          </c:extLst>
        </c:ser>
        <c:ser>
          <c:idx val="3"/>
          <c:order val="3"/>
          <c:tx>
            <c:strRef>
              <c:f>'Costos de Inversión_xLocalidad'!$S$178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('Costos de Inversión_xLocalidad'!$S$179:$S$207,'Costos de Inversión_xLocalidad'!$S$214:$S$219)</c:f>
              <c:numCache>
                <c:formatCode>#,##0.00</c:formatCode>
                <c:ptCount val="35"/>
                <c:pt idx="0">
                  <c:v>12010446.7696</c:v>
                </c:pt>
                <c:pt idx="1">
                  <c:v>8187460.4927679999</c:v>
                </c:pt>
                <c:pt idx="2">
                  <c:v>7226624.7511999998</c:v>
                </c:pt>
                <c:pt idx="3">
                  <c:v>2646369.6272</c:v>
                </c:pt>
                <c:pt idx="4">
                  <c:v>1221401.3663999999</c:v>
                </c:pt>
                <c:pt idx="5">
                  <c:v>9730497.5523199998</c:v>
                </c:pt>
                <c:pt idx="6">
                  <c:v>0</c:v>
                </c:pt>
                <c:pt idx="7">
                  <c:v>9673498.8218879998</c:v>
                </c:pt>
                <c:pt idx="8">
                  <c:v>2182237.1079680002</c:v>
                </c:pt>
                <c:pt idx="9">
                  <c:v>7432227.3145439997</c:v>
                </c:pt>
                <c:pt idx="10">
                  <c:v>10829758.78208</c:v>
                </c:pt>
                <c:pt idx="11">
                  <c:v>5740586.4220799999</c:v>
                </c:pt>
                <c:pt idx="12">
                  <c:v>11481172.84416</c:v>
                </c:pt>
                <c:pt idx="13">
                  <c:v>6237289.6444159998</c:v>
                </c:pt>
                <c:pt idx="14">
                  <c:v>1628535.1551999999</c:v>
                </c:pt>
                <c:pt idx="15">
                  <c:v>20938890.757984001</c:v>
                </c:pt>
                <c:pt idx="16">
                  <c:v>6273931.6854079999</c:v>
                </c:pt>
                <c:pt idx="17">
                  <c:v>10648584.246064</c:v>
                </c:pt>
                <c:pt idx="18">
                  <c:v>6107006.8320000004</c:v>
                </c:pt>
                <c:pt idx="19">
                  <c:v>5492234.810912</c:v>
                </c:pt>
                <c:pt idx="20">
                  <c:v>9547287.34736</c:v>
                </c:pt>
                <c:pt idx="21">
                  <c:v>3745630.85696</c:v>
                </c:pt>
                <c:pt idx="22">
                  <c:v>14579460.976927999</c:v>
                </c:pt>
                <c:pt idx="23">
                  <c:v>488560.54655999999</c:v>
                </c:pt>
                <c:pt idx="24">
                  <c:v>10626191.88768</c:v>
                </c:pt>
                <c:pt idx="25">
                  <c:v>5496306.1488000005</c:v>
                </c:pt>
                <c:pt idx="26">
                  <c:v>0</c:v>
                </c:pt>
                <c:pt idx="27">
                  <c:v>569987.30432</c:v>
                </c:pt>
                <c:pt idx="28">
                  <c:v>3134930.1737600002</c:v>
                </c:pt>
                <c:pt idx="29">
                  <c:v>6188433.5897599999</c:v>
                </c:pt>
                <c:pt idx="30">
                  <c:v>7124841.3039999995</c:v>
                </c:pt>
                <c:pt idx="31">
                  <c:v>1302828.1241599999</c:v>
                </c:pt>
                <c:pt idx="32">
                  <c:v>6273931.6854079999</c:v>
                </c:pt>
                <c:pt idx="33">
                  <c:v>4775679.3426240003</c:v>
                </c:pt>
                <c:pt idx="34">
                  <c:v>1286542.7726080001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96-49F7-9576-7A78436B8E7A}"/>
            </c:ext>
          </c:extLst>
        </c:ser>
        <c:ser>
          <c:idx val="4"/>
          <c:order val="4"/>
          <c:tx>
            <c:strRef>
              <c:f>'Costos de Inversión_xLocalidad'!$T$178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('Costos de Inversión_xLocalidad'!$T$179:$T$207,'Costos de Inversión_xLocalidad'!$T$214:$T$219)</c:f>
              <c:numCache>
                <c:formatCode>#,##0.00</c:formatCode>
                <c:ptCount val="35"/>
                <c:pt idx="0">
                  <c:v>420943.22496607993</c:v>
                </c:pt>
                <c:pt idx="1">
                  <c:v>131669.11560712001</c:v>
                </c:pt>
                <c:pt idx="2">
                  <c:v>210275.4565588267</c:v>
                </c:pt>
                <c:pt idx="3">
                  <c:v>49761.067364560004</c:v>
                </c:pt>
                <c:pt idx="4">
                  <c:v>107932.0330064</c:v>
                </c:pt>
                <c:pt idx="5">
                  <c:v>93605.79907306665</c:v>
                </c:pt>
                <c:pt idx="6">
                  <c:v>48969.678948293324</c:v>
                </c:pt>
                <c:pt idx="7">
                  <c:v>44907.26677005332</c:v>
                </c:pt>
                <c:pt idx="8">
                  <c:v>145730.441154</c:v>
                </c:pt>
                <c:pt idx="9">
                  <c:v>75136.635899893328</c:v>
                </c:pt>
                <c:pt idx="10">
                  <c:v>129177.07628165334</c:v>
                </c:pt>
                <c:pt idx="11">
                  <c:v>67923.467786826659</c:v>
                </c:pt>
                <c:pt idx="12">
                  <c:v>153626.40845701331</c:v>
                </c:pt>
                <c:pt idx="13">
                  <c:v>102652.7251296</c:v>
                </c:pt>
                <c:pt idx="14">
                  <c:v>38711.732762559994</c:v>
                </c:pt>
                <c:pt idx="15">
                  <c:v>240688.22092615999</c:v>
                </c:pt>
                <c:pt idx="16">
                  <c:v>81808.163563440001</c:v>
                </c:pt>
                <c:pt idx="17">
                  <c:v>36978.43980136</c:v>
                </c:pt>
                <c:pt idx="18">
                  <c:v>245344.33631818666</c:v>
                </c:pt>
                <c:pt idx="19">
                  <c:v>132161.23436207999</c:v>
                </c:pt>
                <c:pt idx="20">
                  <c:v>263356.84354029334</c:v>
                </c:pt>
                <c:pt idx="21">
                  <c:v>245272.23066095999</c:v>
                </c:pt>
                <c:pt idx="22">
                  <c:v>187898.09676863998</c:v>
                </c:pt>
                <c:pt idx="23">
                  <c:v>140028.36822639997</c:v>
                </c:pt>
                <c:pt idx="24">
                  <c:v>92845.094185680005</c:v>
                </c:pt>
                <c:pt idx="25">
                  <c:v>140745.12935887999</c:v>
                </c:pt>
                <c:pt idx="26">
                  <c:v>35545.598794346668</c:v>
                </c:pt>
                <c:pt idx="27">
                  <c:v>241522.64824319998</c:v>
                </c:pt>
                <c:pt idx="28">
                  <c:v>539338.72494879994</c:v>
                </c:pt>
                <c:pt idx="29">
                  <c:v>121422.57806159998</c:v>
                </c:pt>
                <c:pt idx="30">
                  <c:v>71596.496553653327</c:v>
                </c:pt>
                <c:pt idx="31">
                  <c:v>78809.229439360002</c:v>
                </c:pt>
                <c:pt idx="32">
                  <c:v>63082.796551013344</c:v>
                </c:pt>
                <c:pt idx="33">
                  <c:v>122432.81255423998</c:v>
                </c:pt>
                <c:pt idx="34">
                  <c:v>16215.265751520001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96-49F7-9576-7A78436B8E7A}"/>
            </c:ext>
          </c:extLst>
        </c:ser>
        <c:ser>
          <c:idx val="5"/>
          <c:order val="5"/>
          <c:tx>
            <c:strRef>
              <c:f>'Costos de Inversión_xLocalidad'!$U$178</c:f>
              <c:strCache>
                <c:ptCount val="1"/>
                <c:pt idx="0">
                  <c:v>PCyEAS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('Costos de Inversión_xLocalidad'!$B$179:$B$207,'Costos de Inversión_xLocalidad'!$B$214:$B$219)</c:f>
              <c:strCache>
                <c:ptCount val="35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  <c:pt idx="29">
                  <c:v>Luján</c:v>
                </c:pt>
                <c:pt idx="30">
                  <c:v>Chascomús</c:v>
                </c:pt>
                <c:pt idx="31">
                  <c:v>Balcarce</c:v>
                </c:pt>
                <c:pt idx="32">
                  <c:v>Carmen de Patagones</c:v>
                </c:pt>
                <c:pt idx="33">
                  <c:v>Olavarría</c:v>
                </c:pt>
                <c:pt idx="34">
                  <c:v>Verónica</c:v>
                </c:pt>
              </c:strCache>
            </c:strRef>
          </c:cat>
          <c:val>
            <c:numRef>
              <c:f>('Costos de Inversión_xLocalidad'!$U$179:$U$207,'Costos de Inversión_xLocalidad'!$U$214:$U$219)</c:f>
              <c:numCache>
                <c:formatCode>#,##0.00</c:formatCode>
                <c:ptCount val="35"/>
                <c:pt idx="0">
                  <c:v>2175775.6498033144</c:v>
                </c:pt>
                <c:pt idx="1">
                  <c:v>927386.41285093979</c:v>
                </c:pt>
                <c:pt idx="2">
                  <c:v>898726.40029620752</c:v>
                </c:pt>
                <c:pt idx="3">
                  <c:v>581723.06344311254</c:v>
                </c:pt>
                <c:pt idx="4">
                  <c:v>574038.43608956388</c:v>
                </c:pt>
                <c:pt idx="5">
                  <c:v>679465.85890371422</c:v>
                </c:pt>
                <c:pt idx="6">
                  <c:v>572814.81950830936</c:v>
                </c:pt>
                <c:pt idx="7">
                  <c:v>890944.36958734272</c:v>
                </c:pt>
                <c:pt idx="8">
                  <c:v>876967.55904104596</c:v>
                </c:pt>
                <c:pt idx="9">
                  <c:v>655869.56411633897</c:v>
                </c:pt>
                <c:pt idx="10">
                  <c:v>1029585.6154391107</c:v>
                </c:pt>
                <c:pt idx="11">
                  <c:v>940462.78303385654</c:v>
                </c:pt>
                <c:pt idx="12">
                  <c:v>1068027.0683833167</c:v>
                </c:pt>
                <c:pt idx="13">
                  <c:v>969201.39964773168</c:v>
                </c:pt>
                <c:pt idx="14">
                  <c:v>487077.28260393022</c:v>
                </c:pt>
                <c:pt idx="15">
                  <c:v>1510211.0795902507</c:v>
                </c:pt>
                <c:pt idx="16">
                  <c:v>491905.66036319913</c:v>
                </c:pt>
                <c:pt idx="17">
                  <c:v>516181.14387248526</c:v>
                </c:pt>
                <c:pt idx="18">
                  <c:v>1289344.638081322</c:v>
                </c:pt>
                <c:pt idx="19">
                  <c:v>701479.41717864724</c:v>
                </c:pt>
                <c:pt idx="20">
                  <c:v>1587548.4383232426</c:v>
                </c:pt>
                <c:pt idx="21">
                  <c:v>955210.90249422553</c:v>
                </c:pt>
                <c:pt idx="22">
                  <c:v>1261425.5874675005</c:v>
                </c:pt>
                <c:pt idx="23">
                  <c:v>696474.19374978903</c:v>
                </c:pt>
                <c:pt idx="24">
                  <c:v>713782.16876639379</c:v>
                </c:pt>
                <c:pt idx="25">
                  <c:v>886044.4232380992</c:v>
                </c:pt>
                <c:pt idx="26">
                  <c:v>408748.68778285349</c:v>
                </c:pt>
                <c:pt idx="27">
                  <c:v>916781.51536001032</c:v>
                </c:pt>
                <c:pt idx="28">
                  <c:v>2796982.9590234435</c:v>
                </c:pt>
                <c:pt idx="29">
                  <c:v>589315.99796557461</c:v>
                </c:pt>
                <c:pt idx="30">
                  <c:v>360638.32116793643</c:v>
                </c:pt>
                <c:pt idx="31">
                  <c:v>357067.80661752098</c:v>
                </c:pt>
                <c:pt idx="32">
                  <c:v>331166.64252587769</c:v>
                </c:pt>
                <c:pt idx="33">
                  <c:v>514869.43017146911</c:v>
                </c:pt>
                <c:pt idx="34">
                  <c:v>175094.55487477826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96-49F7-9576-7A78436B8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553231"/>
        <c:axId val="1743548239"/>
      </c:barChart>
      <c:catAx>
        <c:axId val="1743553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48239"/>
        <c:crosses val="autoZero"/>
        <c:auto val="1"/>
        <c:lblAlgn val="ctr"/>
        <c:lblOffset val="100"/>
        <c:noMultiLvlLbl val="0"/>
      </c:catAx>
      <c:valAx>
        <c:axId val="174354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b="1"/>
              <a:t>Inversiones para Alternativa A. Individual por tipo</a:t>
            </a:r>
            <a:r>
              <a:rPr lang="es-AR" b="1" baseline="0"/>
              <a:t> de Etapa para cada Región</a:t>
            </a:r>
            <a:endParaRPr lang="es-A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'Costos de Inversión_xLocalidad'!$C$178</c:f>
              <c:strCache>
                <c:ptCount val="1"/>
                <c:pt idx="0">
                  <c:v>Recolección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Inversión_xLocalidad'!$C$179:$C$207</c:f>
              <c:numCache>
                <c:formatCode>#,##0.00</c:formatCode>
                <c:ptCount val="29"/>
                <c:pt idx="0">
                  <c:v>29715239.799930274</c:v>
                </c:pt>
                <c:pt idx="1">
                  <c:v>11564103.042159973</c:v>
                </c:pt>
                <c:pt idx="2">
                  <c:v>12177284.315928498</c:v>
                </c:pt>
                <c:pt idx="3">
                  <c:v>6026701.504587261</c:v>
                </c:pt>
                <c:pt idx="4">
                  <c:v>8508220.0776142776</c:v>
                </c:pt>
                <c:pt idx="5">
                  <c:v>8418705.775699418</c:v>
                </c:pt>
                <c:pt idx="6">
                  <c:v>5959222.5945749385</c:v>
                </c:pt>
                <c:pt idx="7">
                  <c:v>8624604.8591662776</c:v>
                </c:pt>
                <c:pt idx="8">
                  <c:v>11811201.106755413</c:v>
                </c:pt>
                <c:pt idx="9">
                  <c:v>8078235.8470378863</c:v>
                </c:pt>
                <c:pt idx="10">
                  <c:v>12825868.161119072</c:v>
                </c:pt>
                <c:pt idx="11">
                  <c:v>9153967.6324016601</c:v>
                </c:pt>
                <c:pt idx="12">
                  <c:v>12169568.089115664</c:v>
                </c:pt>
                <c:pt idx="13">
                  <c:v>11403490.980029164</c:v>
                </c:pt>
                <c:pt idx="14">
                  <c:v>4783047.9182650261</c:v>
                </c:pt>
                <c:pt idx="15">
                  <c:v>16456525.8896439</c:v>
                </c:pt>
                <c:pt idx="16">
                  <c:v>5617743.4038319113</c:v>
                </c:pt>
                <c:pt idx="17">
                  <c:v>5755534.8936665282</c:v>
                </c:pt>
                <c:pt idx="18">
                  <c:v>16458351.470521236</c:v>
                </c:pt>
                <c:pt idx="19">
                  <c:v>9157757.0074833483</c:v>
                </c:pt>
                <c:pt idx="20">
                  <c:v>18202490.486708451</c:v>
                </c:pt>
                <c:pt idx="21">
                  <c:v>11403032.468788374</c:v>
                </c:pt>
                <c:pt idx="22">
                  <c:v>14849860.506274357</c:v>
                </c:pt>
                <c:pt idx="23">
                  <c:v>8875870.9741602838</c:v>
                </c:pt>
                <c:pt idx="24">
                  <c:v>8060180.8556994181</c:v>
                </c:pt>
                <c:pt idx="25">
                  <c:v>12799199.540722214</c:v>
                </c:pt>
                <c:pt idx="26">
                  <c:v>4641565.8044273518</c:v>
                </c:pt>
                <c:pt idx="27">
                  <c:v>10708087.739040818</c:v>
                </c:pt>
                <c:pt idx="28">
                  <c:v>28380145.651575498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0-48AD-8F8A-84B8418DFE7B}"/>
            </c:ext>
          </c:extLst>
        </c:ser>
        <c:ser>
          <c:idx val="1"/>
          <c:order val="1"/>
          <c:tx>
            <c:strRef>
              <c:f>'Costos de Inversión_xLocalidad'!$D$178</c:f>
              <c:strCache>
                <c:ptCount val="1"/>
                <c:pt idx="0">
                  <c:v>Tratamiento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Inversión_xLocalidad'!$D$179:$D$207</c:f>
              <c:numCache>
                <c:formatCode>#,##0.00</c:formatCode>
                <c:ptCount val="29"/>
                <c:pt idx="0">
                  <c:v>3655359.9848920004</c:v>
                </c:pt>
                <c:pt idx="1">
                  <c:v>2714376.4844859997</c:v>
                </c:pt>
                <c:pt idx="2">
                  <c:v>2277037.3102299999</c:v>
                </c:pt>
                <c:pt idx="3">
                  <c:v>1616010.6618039999</c:v>
                </c:pt>
                <c:pt idx="4">
                  <c:v>2151292.0638560001</c:v>
                </c:pt>
                <c:pt idx="5">
                  <c:v>410477.13827200001</c:v>
                </c:pt>
                <c:pt idx="6">
                  <c:v>2041805.6604160001</c:v>
                </c:pt>
                <c:pt idx="7">
                  <c:v>1795799.16768</c:v>
                </c:pt>
                <c:pt idx="8">
                  <c:v>3471338.8965812009</c:v>
                </c:pt>
                <c:pt idx="9">
                  <c:v>1438086.9550119999</c:v>
                </c:pt>
                <c:pt idx="10">
                  <c:v>1772282.240952</c:v>
                </c:pt>
                <c:pt idx="11">
                  <c:v>1813083.8603440002</c:v>
                </c:pt>
                <c:pt idx="12">
                  <c:v>5427502.0149760004</c:v>
                </c:pt>
                <c:pt idx="13">
                  <c:v>2663890.1260879999</c:v>
                </c:pt>
                <c:pt idx="14">
                  <c:v>1077479.500608</c:v>
                </c:pt>
                <c:pt idx="15">
                  <c:v>4167590.1605020002</c:v>
                </c:pt>
                <c:pt idx="16">
                  <c:v>1647595.2225200001</c:v>
                </c:pt>
                <c:pt idx="17">
                  <c:v>868012.03495800018</c:v>
                </c:pt>
                <c:pt idx="18">
                  <c:v>4523550.9250120008</c:v>
                </c:pt>
                <c:pt idx="19">
                  <c:v>2447488.211776</c:v>
                </c:pt>
                <c:pt idx="20">
                  <c:v>7970166.8112300001</c:v>
                </c:pt>
                <c:pt idx="21">
                  <c:v>1486573.6247360001</c:v>
                </c:pt>
                <c:pt idx="22">
                  <c:v>4112261.0837877025</c:v>
                </c:pt>
                <c:pt idx="23">
                  <c:v>2632243.5026560002</c:v>
                </c:pt>
                <c:pt idx="24">
                  <c:v>1905834.8758999503</c:v>
                </c:pt>
                <c:pt idx="25">
                  <c:v>718319.66707199998</c:v>
                </c:pt>
                <c:pt idx="26">
                  <c:v>1212600.6044979999</c:v>
                </c:pt>
                <c:pt idx="27">
                  <c:v>4193722.50624</c:v>
                </c:pt>
                <c:pt idx="28">
                  <c:v>8463165.0021760017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30-48AD-8F8A-84B8418DFE7B}"/>
            </c:ext>
          </c:extLst>
        </c:ser>
        <c:ser>
          <c:idx val="2"/>
          <c:order val="2"/>
          <c:tx>
            <c:strRef>
              <c:f>'Costos de Inversión_xLocalidad'!$E$178</c:f>
              <c:strCache>
                <c:ptCount val="1"/>
                <c:pt idx="0">
                  <c:v>DF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Inversión_xLocalidad'!$E$179:$E$207</c:f>
              <c:numCache>
                <c:formatCode>#,##0.00</c:formatCode>
                <c:ptCount val="29"/>
                <c:pt idx="0">
                  <c:v>72508292.250239998</c:v>
                </c:pt>
                <c:pt idx="1">
                  <c:v>17203741.26568</c:v>
                </c:pt>
                <c:pt idx="2">
                  <c:v>22645294.347840004</c:v>
                </c:pt>
                <c:pt idx="3">
                  <c:v>8081504.5507200006</c:v>
                </c:pt>
                <c:pt idx="4">
                  <c:v>13704083.748880001</c:v>
                </c:pt>
                <c:pt idx="5">
                  <c:v>9585185.4240800012</c:v>
                </c:pt>
                <c:pt idx="6">
                  <c:v>9478733.6958400011</c:v>
                </c:pt>
                <c:pt idx="7">
                  <c:v>2664334.1100000003</c:v>
                </c:pt>
                <c:pt idx="8">
                  <c:v>26203625.511200003</c:v>
                </c:pt>
                <c:pt idx="9">
                  <c:v>8836686.2950400002</c:v>
                </c:pt>
                <c:pt idx="10">
                  <c:v>11194452.359759999</c:v>
                </c:pt>
                <c:pt idx="11">
                  <c:v>11002440.388560001</c:v>
                </c:pt>
                <c:pt idx="12">
                  <c:v>24655503.890080005</c:v>
                </c:pt>
                <c:pt idx="13">
                  <c:v>10279269.21424</c:v>
                </c:pt>
                <c:pt idx="14">
                  <c:v>1416945.6863199999</c:v>
                </c:pt>
                <c:pt idx="15">
                  <c:v>29067245.77352</c:v>
                </c:pt>
                <c:pt idx="16">
                  <c:v>9116815.72456</c:v>
                </c:pt>
                <c:pt idx="17">
                  <c:v>7811503.2125599999</c:v>
                </c:pt>
                <c:pt idx="18">
                  <c:v>30274955.031440005</c:v>
                </c:pt>
                <c:pt idx="19">
                  <c:v>18883705.435040001</c:v>
                </c:pt>
                <c:pt idx="20">
                  <c:v>50818599.38880001</c:v>
                </c:pt>
                <c:pt idx="21">
                  <c:v>31305981.652080003</c:v>
                </c:pt>
                <c:pt idx="22">
                  <c:v>26264776.179760002</c:v>
                </c:pt>
                <c:pt idx="23">
                  <c:v>23255773.956160001</c:v>
                </c:pt>
                <c:pt idx="24">
                  <c:v>10984289.25736</c:v>
                </c:pt>
                <c:pt idx="25">
                  <c:v>12706752.00736</c:v>
                </c:pt>
                <c:pt idx="26">
                  <c:v>8486222.3693599999</c:v>
                </c:pt>
                <c:pt idx="27">
                  <c:v>36643139.679200001</c:v>
                </c:pt>
                <c:pt idx="28">
                  <c:v>128363453.14024001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30-48AD-8F8A-84B8418DFE7B}"/>
            </c:ext>
          </c:extLst>
        </c:ser>
        <c:ser>
          <c:idx val="3"/>
          <c:order val="3"/>
          <c:tx>
            <c:strRef>
              <c:f>'Costos de Inversión_xLocalidad'!$F$178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Inversión_xLocalidad'!$F$179:$F$207</c:f>
              <c:numCache>
                <c:formatCode>#,##0.00</c:formatCode>
                <c:ptCount val="29"/>
                <c:pt idx="0">
                  <c:v>12010446.7696</c:v>
                </c:pt>
                <c:pt idx="1">
                  <c:v>8187460.4927679999</c:v>
                </c:pt>
                <c:pt idx="2">
                  <c:v>7226624.7511999998</c:v>
                </c:pt>
                <c:pt idx="3">
                  <c:v>2646369.6272</c:v>
                </c:pt>
                <c:pt idx="4">
                  <c:v>1221401.3663999999</c:v>
                </c:pt>
                <c:pt idx="5">
                  <c:v>9730497.5523199998</c:v>
                </c:pt>
                <c:pt idx="6">
                  <c:v>0</c:v>
                </c:pt>
                <c:pt idx="7">
                  <c:v>9673498.8218879998</c:v>
                </c:pt>
                <c:pt idx="8">
                  <c:v>2182237.1079680002</c:v>
                </c:pt>
                <c:pt idx="9">
                  <c:v>7432227.3145439997</c:v>
                </c:pt>
                <c:pt idx="10">
                  <c:v>10829758.78208</c:v>
                </c:pt>
                <c:pt idx="11">
                  <c:v>5740586.4220799999</c:v>
                </c:pt>
                <c:pt idx="12">
                  <c:v>11481172.84416</c:v>
                </c:pt>
                <c:pt idx="13">
                  <c:v>6237289.6444159998</c:v>
                </c:pt>
                <c:pt idx="14">
                  <c:v>1628535.1551999999</c:v>
                </c:pt>
                <c:pt idx="15">
                  <c:v>20938890.757984001</c:v>
                </c:pt>
                <c:pt idx="16">
                  <c:v>6273931.6854079999</c:v>
                </c:pt>
                <c:pt idx="17">
                  <c:v>10648584.246064</c:v>
                </c:pt>
                <c:pt idx="18">
                  <c:v>6107006.8320000004</c:v>
                </c:pt>
                <c:pt idx="19">
                  <c:v>5492234.810912</c:v>
                </c:pt>
                <c:pt idx="20">
                  <c:v>9547287.34736</c:v>
                </c:pt>
                <c:pt idx="21">
                  <c:v>3745630.85696</c:v>
                </c:pt>
                <c:pt idx="22">
                  <c:v>14579460.976927999</c:v>
                </c:pt>
                <c:pt idx="23">
                  <c:v>488560.54655999999</c:v>
                </c:pt>
                <c:pt idx="24">
                  <c:v>10626191.88768</c:v>
                </c:pt>
                <c:pt idx="25">
                  <c:v>5496306.1488000005</c:v>
                </c:pt>
                <c:pt idx="26">
                  <c:v>0</c:v>
                </c:pt>
                <c:pt idx="27">
                  <c:v>569987.30432</c:v>
                </c:pt>
                <c:pt idx="28">
                  <c:v>3134930.1737600002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30-48AD-8F8A-84B8418DF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553231"/>
        <c:axId val="1743548239"/>
      </c:barChart>
      <c:catAx>
        <c:axId val="1743553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48239"/>
        <c:crosses val="autoZero"/>
        <c:auto val="1"/>
        <c:lblAlgn val="ctr"/>
        <c:lblOffset val="100"/>
        <c:noMultiLvlLbl val="0"/>
      </c:catAx>
      <c:valAx>
        <c:axId val="174354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b="1"/>
              <a:t>Inversiones para Alternativa B. Regional por tipo</a:t>
            </a:r>
            <a:r>
              <a:rPr lang="es-AR" b="1" baseline="0"/>
              <a:t> de Etapa para cada Región</a:t>
            </a:r>
            <a:endParaRPr lang="es-A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'Costos de Inversión_xLocalidad'!$I$178</c:f>
              <c:strCache>
                <c:ptCount val="1"/>
                <c:pt idx="0">
                  <c:v>Recolección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Inversión_xLocalidad'!$I$179:$I$207</c:f>
              <c:numCache>
                <c:formatCode>#,##0.00</c:formatCode>
                <c:ptCount val="29"/>
                <c:pt idx="0">
                  <c:v>31465962.791609064</c:v>
                </c:pt>
                <c:pt idx="1">
                  <c:v>11682868.019018048</c:v>
                </c:pt>
                <c:pt idx="2">
                  <c:v>12916958.061333248</c:v>
                </c:pt>
                <c:pt idx="3">
                  <c:v>5955161.438071223</c:v>
                </c:pt>
                <c:pt idx="4">
                  <c:v>9764529.2417479847</c:v>
                </c:pt>
                <c:pt idx="5">
                  <c:v>8546704.3676449284</c:v>
                </c:pt>
                <c:pt idx="6">
                  <c:v>5435021.3178081047</c:v>
                </c:pt>
                <c:pt idx="7">
                  <c:v>8829747.7182694674</c:v>
                </c:pt>
                <c:pt idx="8">
                  <c:v>12797526.66572752</c:v>
                </c:pt>
                <c:pt idx="9">
                  <c:v>8205850.9942974504</c:v>
                </c:pt>
                <c:pt idx="10">
                  <c:v>12789457.20018081</c:v>
                </c:pt>
                <c:pt idx="11">
                  <c:v>9047207.5986279584</c:v>
                </c:pt>
                <c:pt idx="12">
                  <c:v>12705131.971848898</c:v>
                </c:pt>
                <c:pt idx="13">
                  <c:v>11260226.766607061</c:v>
                </c:pt>
                <c:pt idx="14">
                  <c:v>4819891.5742451204</c:v>
                </c:pt>
                <c:pt idx="15">
                  <c:v>17383640.250442978</c:v>
                </c:pt>
                <c:pt idx="16">
                  <c:v>6168410.200835811</c:v>
                </c:pt>
                <c:pt idx="17">
                  <c:v>6197686.8445474803</c:v>
                </c:pt>
                <c:pt idx="18">
                  <c:v>17382142.644042108</c:v>
                </c:pt>
                <c:pt idx="19">
                  <c:v>10659139.940925023</c:v>
                </c:pt>
                <c:pt idx="20">
                  <c:v>19396850.156166904</c:v>
                </c:pt>
                <c:pt idx="21">
                  <c:v>11762828.315912148</c:v>
                </c:pt>
                <c:pt idx="22">
                  <c:v>15159301.104878286</c:v>
                </c:pt>
                <c:pt idx="23">
                  <c:v>10492542.426132016</c:v>
                </c:pt>
                <c:pt idx="24">
                  <c:v>8178209.8858103119</c:v>
                </c:pt>
                <c:pt idx="25">
                  <c:v>12876815.086193133</c:v>
                </c:pt>
                <c:pt idx="26">
                  <c:v>4601383.9718577713</c:v>
                </c:pt>
                <c:pt idx="27">
                  <c:v>12156823.805432057</c:v>
                </c:pt>
                <c:pt idx="28">
                  <c:v>34752179.877595939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3-407B-80E7-AFA4DF84F837}"/>
            </c:ext>
          </c:extLst>
        </c:ser>
        <c:ser>
          <c:idx val="1"/>
          <c:order val="1"/>
          <c:tx>
            <c:strRef>
              <c:f>'Costos de Inversión_xLocalidad'!$J$178</c:f>
              <c:strCache>
                <c:ptCount val="1"/>
                <c:pt idx="0">
                  <c:v>Tratamiento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Inversión_xLocalidad'!$J$179:$J$207</c:f>
              <c:numCache>
                <c:formatCode>#,##0.00</c:formatCode>
                <c:ptCount val="29"/>
                <c:pt idx="0">
                  <c:v>1422640.5239000006</c:v>
                </c:pt>
                <c:pt idx="1">
                  <c:v>848493.29338163882</c:v>
                </c:pt>
                <c:pt idx="2">
                  <c:v>1158860.2348243417</c:v>
                </c:pt>
                <c:pt idx="3">
                  <c:v>939984.37457200023</c:v>
                </c:pt>
                <c:pt idx="4">
                  <c:v>1832385.14008</c:v>
                </c:pt>
                <c:pt idx="5">
                  <c:v>217855.42066003353</c:v>
                </c:pt>
                <c:pt idx="6">
                  <c:v>1354887.5523073408</c:v>
                </c:pt>
                <c:pt idx="7">
                  <c:v>1691364.1990399999</c:v>
                </c:pt>
                <c:pt idx="8">
                  <c:v>987047.34384089336</c:v>
                </c:pt>
                <c:pt idx="9">
                  <c:v>836386.70550000004</c:v>
                </c:pt>
                <c:pt idx="10">
                  <c:v>538318.99269940727</c:v>
                </c:pt>
                <c:pt idx="11">
                  <c:v>925559.56235679239</c:v>
                </c:pt>
                <c:pt idx="12">
                  <c:v>1972949.0700800002</c:v>
                </c:pt>
                <c:pt idx="13">
                  <c:v>1558325.5729691393</c:v>
                </c:pt>
                <c:pt idx="14">
                  <c:v>359159.83353599999</c:v>
                </c:pt>
                <c:pt idx="15">
                  <c:v>2078028.5679081099</c:v>
                </c:pt>
                <c:pt idx="16">
                  <c:v>1318300.4510640004</c:v>
                </c:pt>
                <c:pt idx="17">
                  <c:v>615888.28502199997</c:v>
                </c:pt>
                <c:pt idx="18">
                  <c:v>1647075.7137908058</c:v>
                </c:pt>
                <c:pt idx="19">
                  <c:v>2148614.9942399999</c:v>
                </c:pt>
                <c:pt idx="20">
                  <c:v>1684034.9865900006</c:v>
                </c:pt>
                <c:pt idx="21">
                  <c:v>905521.94486399996</c:v>
                </c:pt>
                <c:pt idx="22">
                  <c:v>764524.7339518799</c:v>
                </c:pt>
                <c:pt idx="23">
                  <c:v>2334668.76608</c:v>
                </c:pt>
                <c:pt idx="24">
                  <c:v>1381744.0580366401</c:v>
                </c:pt>
                <c:pt idx="25">
                  <c:v>414342.11645207636</c:v>
                </c:pt>
                <c:pt idx="26">
                  <c:v>888128.76232200023</c:v>
                </c:pt>
                <c:pt idx="27">
                  <c:v>2622189.55008</c:v>
                </c:pt>
                <c:pt idx="28">
                  <c:v>6563079.2636799999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73-407B-80E7-AFA4DF84F837}"/>
            </c:ext>
          </c:extLst>
        </c:ser>
        <c:ser>
          <c:idx val="2"/>
          <c:order val="2"/>
          <c:tx>
            <c:strRef>
              <c:f>'Costos de Inversión_xLocalidad'!$K$178</c:f>
              <c:strCache>
                <c:ptCount val="1"/>
                <c:pt idx="0">
                  <c:v>DF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Inversión_xLocalidad'!$K$179:$K$207</c:f>
              <c:numCache>
                <c:formatCode>#,##0.00</c:formatCode>
                <c:ptCount val="29"/>
                <c:pt idx="0">
                  <c:v>66772780.790399998</c:v>
                </c:pt>
                <c:pt idx="1">
                  <c:v>14579173.335200001</c:v>
                </c:pt>
                <c:pt idx="2">
                  <c:v>17835727.9472</c:v>
                </c:pt>
                <c:pt idx="3">
                  <c:v>8341824.2368000019</c:v>
                </c:pt>
                <c:pt idx="4">
                  <c:v>14049696.193599999</c:v>
                </c:pt>
                <c:pt idx="5">
                  <c:v>10755382.754400004</c:v>
                </c:pt>
                <c:pt idx="6">
                  <c:v>11240949.507200001</c:v>
                </c:pt>
                <c:pt idx="7">
                  <c:v>8027083.2943999991</c:v>
                </c:pt>
                <c:pt idx="8">
                  <c:v>16176295.961599998</c:v>
                </c:pt>
                <c:pt idx="9">
                  <c:v>9515490.8368000016</c:v>
                </c:pt>
                <c:pt idx="10">
                  <c:v>12743414.1664</c:v>
                </c:pt>
                <c:pt idx="11">
                  <c:v>11089020.5272</c:v>
                </c:pt>
                <c:pt idx="12">
                  <c:v>15455770.458400004</c:v>
                </c:pt>
                <c:pt idx="13">
                  <c:v>11513066.9824</c:v>
                </c:pt>
                <c:pt idx="14">
                  <c:v>751774.27319999994</c:v>
                </c:pt>
                <c:pt idx="15">
                  <c:v>24654628.280800004</c:v>
                </c:pt>
                <c:pt idx="16">
                  <c:v>9370703.5896000005</c:v>
                </c:pt>
                <c:pt idx="17">
                  <c:v>8417632.7647999991</c:v>
                </c:pt>
                <c:pt idx="18">
                  <c:v>21135403.0328</c:v>
                </c:pt>
                <c:pt idx="19">
                  <c:v>19506503.6536</c:v>
                </c:pt>
                <c:pt idx="20">
                  <c:v>29783390.867200002</c:v>
                </c:pt>
                <c:pt idx="21">
                  <c:v>26846483.520800002</c:v>
                </c:pt>
                <c:pt idx="22">
                  <c:v>17388256.316</c:v>
                </c:pt>
                <c:pt idx="23">
                  <c:v>23873795.3616</c:v>
                </c:pt>
                <c:pt idx="24">
                  <c:v>11436923.5</c:v>
                </c:pt>
                <c:pt idx="25">
                  <c:v>14286475.16</c:v>
                </c:pt>
                <c:pt idx="26">
                  <c:v>8869311.7992000002</c:v>
                </c:pt>
                <c:pt idx="27">
                  <c:v>30677819.999200001</c:v>
                </c:pt>
                <c:pt idx="28">
                  <c:v>122557492.82560001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73-407B-80E7-AFA4DF84F837}"/>
            </c:ext>
          </c:extLst>
        </c:ser>
        <c:ser>
          <c:idx val="3"/>
          <c:order val="3"/>
          <c:tx>
            <c:strRef>
              <c:f>'Costos de Inversión_xLocalidad'!$L$178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Inversión_xLocalidad'!$B$179:$B$207</c:f>
              <c:strCache>
                <c:ptCount val="29"/>
                <c:pt idx="0">
                  <c:v>REGIÓN BAHÍA BLANCA</c:v>
                </c:pt>
                <c:pt idx="1">
                  <c:v>REGIÓN SAN ANTONIO DE ARECO</c:v>
                </c:pt>
                <c:pt idx="2">
                  <c:v>REGIÓN ALBERTI</c:v>
                </c:pt>
                <c:pt idx="3">
                  <c:v>REGIÓN AYACUCHO</c:v>
                </c:pt>
                <c:pt idx="4">
                  <c:v>REGIÓN AZUL</c:v>
                </c:pt>
                <c:pt idx="5">
                  <c:v>REGIÓN BOLÍVAR</c:v>
                </c:pt>
                <c:pt idx="6">
                  <c:v>REGIÓN CAPILLA DEL SEÑOR</c:v>
                </c:pt>
                <c:pt idx="7">
                  <c:v>REGIÓN CARHUÉ</c:v>
                </c:pt>
                <c:pt idx="8">
                  <c:v>REGIÓN CARLOS CASARES</c:v>
                </c:pt>
                <c:pt idx="9">
                  <c:v>REGIÓN CORONEL PRINGLES</c:v>
                </c:pt>
                <c:pt idx="10">
                  <c:v>REGIÓN CORONEL SUÁREZ</c:v>
                </c:pt>
                <c:pt idx="11">
                  <c:v>REGIÓN DOLORES</c:v>
                </c:pt>
                <c:pt idx="12">
                  <c:v>REGIÓN GENERAL PAZ RANCHOS</c:v>
                </c:pt>
                <c:pt idx="13">
                  <c:v>REGIÓN GENERAL VILLEGAS</c:v>
                </c:pt>
                <c:pt idx="14">
                  <c:v>REGIÓN GENERAL ARENALES</c:v>
                </c:pt>
                <c:pt idx="15">
                  <c:v>REGIÓN JUNÍN</c:v>
                </c:pt>
                <c:pt idx="16">
                  <c:v>REGIÓN LINCOLN</c:v>
                </c:pt>
                <c:pt idx="17">
                  <c:v>REGIÓN MONTE HERMOSO</c:v>
                </c:pt>
                <c:pt idx="18">
                  <c:v>REGIÓN NAVARRO</c:v>
                </c:pt>
                <c:pt idx="19">
                  <c:v>REGIÓN NECOCHEA</c:v>
                </c:pt>
                <c:pt idx="20">
                  <c:v>REGIÓN PERGAMINO</c:v>
                </c:pt>
                <c:pt idx="21">
                  <c:v>REGIÓN SAN NICOLÁS DE LOS ARROYOS</c:v>
                </c:pt>
                <c:pt idx="22">
                  <c:v>REGIÓN SALADILLO</c:v>
                </c:pt>
                <c:pt idx="23">
                  <c:v>REGIÓN TANDIL</c:v>
                </c:pt>
                <c:pt idx="24">
                  <c:v>REGIÓN TRENQUE LAUQUEN</c:v>
                </c:pt>
                <c:pt idx="25">
                  <c:v>REGIÓN TRES ARROYOS</c:v>
                </c:pt>
                <c:pt idx="26">
                  <c:v>REGIÓN VILLARINO</c:v>
                </c:pt>
                <c:pt idx="27">
                  <c:v>REGIÓN ZÁRATE</c:v>
                </c:pt>
                <c:pt idx="28">
                  <c:v>REGIÓN GENERAL PUEYRREDÓN MDQ</c:v>
                </c:pt>
              </c:strCache>
            </c:strRef>
          </c:cat>
          <c:val>
            <c:numRef>
              <c:f>'Costos de Inversión_xLocalidad'!$L$179:$L$207</c:f>
              <c:numCache>
                <c:formatCode>#,##0.00</c:formatCode>
                <c:ptCount val="29"/>
                <c:pt idx="0">
                  <c:v>12010446.7696</c:v>
                </c:pt>
                <c:pt idx="1">
                  <c:v>8187460.4927679999</c:v>
                </c:pt>
                <c:pt idx="2">
                  <c:v>7226624.7511999998</c:v>
                </c:pt>
                <c:pt idx="3">
                  <c:v>2646369.6272</c:v>
                </c:pt>
                <c:pt idx="4">
                  <c:v>1221401.3663999999</c:v>
                </c:pt>
                <c:pt idx="5">
                  <c:v>9730497.5523199998</c:v>
                </c:pt>
                <c:pt idx="6">
                  <c:v>0</c:v>
                </c:pt>
                <c:pt idx="7">
                  <c:v>9673498.8218879998</c:v>
                </c:pt>
                <c:pt idx="8">
                  <c:v>2182237.1079680002</c:v>
                </c:pt>
                <c:pt idx="9">
                  <c:v>7432227.3145439997</c:v>
                </c:pt>
                <c:pt idx="10">
                  <c:v>10829758.78208</c:v>
                </c:pt>
                <c:pt idx="11">
                  <c:v>5740586.4220799999</c:v>
                </c:pt>
                <c:pt idx="12">
                  <c:v>11481172.84416</c:v>
                </c:pt>
                <c:pt idx="13">
                  <c:v>6237289.6444159998</c:v>
                </c:pt>
                <c:pt idx="14">
                  <c:v>1628535.1551999999</c:v>
                </c:pt>
                <c:pt idx="15">
                  <c:v>20938890.757984001</c:v>
                </c:pt>
                <c:pt idx="16">
                  <c:v>6273931.6854079999</c:v>
                </c:pt>
                <c:pt idx="17">
                  <c:v>10648584.246064</c:v>
                </c:pt>
                <c:pt idx="18">
                  <c:v>6107006.8320000004</c:v>
                </c:pt>
                <c:pt idx="19">
                  <c:v>5492234.810912</c:v>
                </c:pt>
                <c:pt idx="20">
                  <c:v>9547287.34736</c:v>
                </c:pt>
                <c:pt idx="21">
                  <c:v>3745630.85696</c:v>
                </c:pt>
                <c:pt idx="22">
                  <c:v>14579460.976927999</c:v>
                </c:pt>
                <c:pt idx="23">
                  <c:v>488560.54655999999</c:v>
                </c:pt>
                <c:pt idx="24">
                  <c:v>10626191.88768</c:v>
                </c:pt>
                <c:pt idx="25">
                  <c:v>5496306.1488000005</c:v>
                </c:pt>
                <c:pt idx="26">
                  <c:v>0</c:v>
                </c:pt>
                <c:pt idx="27">
                  <c:v>569987.30432</c:v>
                </c:pt>
                <c:pt idx="28">
                  <c:v>3134930.1737600002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73-407B-80E7-AFA4DF84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553231"/>
        <c:axId val="1743548239"/>
      </c:barChart>
      <c:catAx>
        <c:axId val="1743553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48239"/>
        <c:crosses val="autoZero"/>
        <c:auto val="1"/>
        <c:lblAlgn val="ctr"/>
        <c:lblOffset val="100"/>
        <c:noMultiLvlLbl val="0"/>
      </c:catAx>
      <c:valAx>
        <c:axId val="174354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b="1"/>
              <a:t>Inversiones para Alternativa seleccionada por </a:t>
            </a:r>
            <a:r>
              <a:rPr lang="es-AR" b="1" baseline="0"/>
              <a:t>Etapa de la GIRSU para Regiones CEAMSE, SAN PEDRO Y MADARIAGA</a:t>
            </a:r>
            <a:endParaRPr lang="es-AR" b="1"/>
          </a:p>
        </c:rich>
      </c:tx>
      <c:layout>
        <c:manualLayout>
          <c:xMode val="edge"/>
          <c:yMode val="edge"/>
          <c:x val="0.25789598206503778"/>
          <c:y val="2.90101224416481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'Costos de Inversión_xLocalidad'!$P$178</c:f>
              <c:strCache>
                <c:ptCount val="1"/>
                <c:pt idx="0">
                  <c:v>Recolección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Inversión_xLocalidad'!$P$208:$P$213</c:f>
              <c:numCache>
                <c:formatCode>#,##0.00</c:formatCode>
                <c:ptCount val="6"/>
                <c:pt idx="0">
                  <c:v>576491059.45833683</c:v>
                </c:pt>
                <c:pt idx="1">
                  <c:v>24377988.982286729</c:v>
                </c:pt>
                <c:pt idx="2">
                  <c:v>110890390.57221866</c:v>
                </c:pt>
                <c:pt idx="3">
                  <c:v>499716535.68562955</c:v>
                </c:pt>
                <c:pt idx="4">
                  <c:v>37234210.737107724</c:v>
                </c:pt>
                <c:pt idx="5">
                  <c:v>8642194.9438041449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BE-4A53-86FF-4FE9CCC718B4}"/>
            </c:ext>
          </c:extLst>
        </c:ser>
        <c:ser>
          <c:idx val="3"/>
          <c:order val="1"/>
          <c:tx>
            <c:strRef>
              <c:f>'Costos de Inversión_xLocalidad'!$Q$178</c:f>
              <c:strCache>
                <c:ptCount val="1"/>
                <c:pt idx="0">
                  <c:v>Tratamiento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Inversión_xLocalidad'!$Q$208:$Q$213</c:f>
              <c:numCache>
                <c:formatCode>#,##0.00</c:formatCode>
                <c:ptCount val="6"/>
                <c:pt idx="0">
                  <c:v>7473870.9084799998</c:v>
                </c:pt>
                <c:pt idx="1">
                  <c:v>4037348.2992000002</c:v>
                </c:pt>
                <c:pt idx="2">
                  <c:v>16773406.04672</c:v>
                </c:pt>
                <c:pt idx="3">
                  <c:v>100915123.9138</c:v>
                </c:pt>
                <c:pt idx="4">
                  <c:v>3100602.3861022899</c:v>
                </c:pt>
                <c:pt idx="5">
                  <c:v>958136.20498800022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BE-4A53-86FF-4FE9CCC718B4}"/>
            </c:ext>
          </c:extLst>
        </c:ser>
        <c:ser>
          <c:idx val="4"/>
          <c:order val="2"/>
          <c:tx>
            <c:strRef>
              <c:f>'Costos de Inversión_xLocalidad'!$R$178</c:f>
              <c:strCache>
                <c:ptCount val="1"/>
                <c:pt idx="0">
                  <c:v>DF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Inversión_xLocalidad'!$R$208:$R$213</c:f>
              <c:numCache>
                <c:formatCode>#,##0.00</c:formatCode>
                <c:ptCount val="6"/>
                <c:pt idx="0">
                  <c:v>147839339.19200003</c:v>
                </c:pt>
                <c:pt idx="1">
                  <c:v>64895221.468800001</c:v>
                </c:pt>
                <c:pt idx="2">
                  <c:v>354729598.93360001</c:v>
                </c:pt>
                <c:pt idx="3">
                  <c:v>2276766376.5840006</c:v>
                </c:pt>
                <c:pt idx="4">
                  <c:v>57654025.504799984</c:v>
                </c:pt>
                <c:pt idx="5">
                  <c:v>16427286.244800001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BE-4A53-86FF-4FE9CCC718B4}"/>
            </c:ext>
          </c:extLst>
        </c:ser>
        <c:ser>
          <c:idx val="5"/>
          <c:order val="3"/>
          <c:tx>
            <c:strRef>
              <c:f>'Costos de Inversión_xLocalidad'!$S$178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Inversión_xLocalidad'!$S$208:$S$213</c:f>
              <c:numCache>
                <c:formatCode>#,##0.00</c:formatCode>
                <c:ptCount val="6"/>
                <c:pt idx="0">
                  <c:v>5585875.5823360002</c:v>
                </c:pt>
                <c:pt idx="1">
                  <c:v>346063.72048000002</c:v>
                </c:pt>
                <c:pt idx="2">
                  <c:v>27583314.191199999</c:v>
                </c:pt>
                <c:pt idx="3">
                  <c:v>58073563.634432003</c:v>
                </c:pt>
                <c:pt idx="4">
                  <c:v>16692485.340799998</c:v>
                </c:pt>
                <c:pt idx="5">
                  <c:v>10178344.719999999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BE-4A53-86FF-4FE9CCC718B4}"/>
            </c:ext>
          </c:extLst>
        </c:ser>
        <c:ser>
          <c:idx val="0"/>
          <c:order val="4"/>
          <c:tx>
            <c:strRef>
              <c:f>'Costos de Inversión_xLocalidad'!$T$178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Inversión_xLocalidad'!$T$208:$T$213</c:f>
              <c:numCache>
                <c:formatCode>#,##0.00</c:formatCode>
                <c:ptCount val="6"/>
                <c:pt idx="0">
                  <c:v>822600.16608591995</c:v>
                </c:pt>
                <c:pt idx="1">
                  <c:v>539108.87928610668</c:v>
                </c:pt>
                <c:pt idx="2">
                  <c:v>1731632.9950751995</c:v>
                </c:pt>
                <c:pt idx="3">
                  <c:v>10834633.288504798</c:v>
                </c:pt>
                <c:pt idx="4">
                  <c:v>361779.40999597334</c:v>
                </c:pt>
                <c:pt idx="5">
                  <c:v>148595.88162432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BE-4A53-86FF-4FE9CCC718B4}"/>
            </c:ext>
          </c:extLst>
        </c:ser>
        <c:ser>
          <c:idx val="1"/>
          <c:order val="5"/>
          <c:tx>
            <c:strRef>
              <c:f>'Costos de Inversión_xLocalidad'!$U$178</c:f>
              <c:strCache>
                <c:ptCount val="1"/>
                <c:pt idx="0">
                  <c:v>PCyEAS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'Costos de Inversión_xLocalidad'!$B$208:$B$213</c:f>
              <c:strCache>
                <c:ptCount val="6"/>
                <c:pt idx="0">
                  <c:v>REGIÓN CEAMSE Ensenada</c:v>
                </c:pt>
                <c:pt idx="1">
                  <c:v>REGIÓN CEAMSE Ezeiza</c:v>
                </c:pt>
                <c:pt idx="2">
                  <c:v>REGIÓN CEAMSE González Catán</c:v>
                </c:pt>
                <c:pt idx="3">
                  <c:v>REGIÓN CEAMSE Norte III</c:v>
                </c:pt>
                <c:pt idx="4">
                  <c:v>REGIÓN MADARIAGA</c:v>
                </c:pt>
                <c:pt idx="5">
                  <c:v>REGIÓN SAN PEDRO</c:v>
                </c:pt>
              </c:strCache>
            </c:strRef>
          </c:cat>
          <c:val>
            <c:numRef>
              <c:f>'Costos de Inversión_xLocalidad'!$U$208:$U$213</c:f>
              <c:numCache>
                <c:formatCode>#,##0.00</c:formatCode>
                <c:ptCount val="6"/>
                <c:pt idx="0">
                  <c:v>11434988.885241896</c:v>
                </c:pt>
                <c:pt idx="1">
                  <c:v>1701397.3808845843</c:v>
                </c:pt>
                <c:pt idx="2">
                  <c:v>7782323.0461560795</c:v>
                </c:pt>
                <c:pt idx="3">
                  <c:v>47005491.861175127</c:v>
                </c:pt>
                <c:pt idx="4">
                  <c:v>2531941.7102719005</c:v>
                </c:pt>
                <c:pt idx="5">
                  <c:v>682184.75985039445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BE-4A53-86FF-4FE9CCC71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553231"/>
        <c:axId val="1743548239"/>
      </c:barChart>
      <c:catAx>
        <c:axId val="1743553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48239"/>
        <c:crosses val="autoZero"/>
        <c:auto val="1"/>
        <c:lblAlgn val="ctr"/>
        <c:lblOffset val="100"/>
        <c:noMultiLvlLbl val="0"/>
      </c:catAx>
      <c:valAx>
        <c:axId val="174354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435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2000" b="1"/>
              <a:t>Costos</a:t>
            </a:r>
            <a:r>
              <a:rPr lang="es-AR" sz="2000" b="1" baseline="0"/>
              <a:t> de Inversión totales</a:t>
            </a:r>
            <a:endParaRPr lang="es-AR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3627082556239475E-2"/>
          <c:y val="0.24454285945154713"/>
          <c:w val="0.93888888888888888"/>
          <c:h val="0.6714577865266842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47F-4DF2-A76A-6D132F6D6333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47F-4DF2-A76A-6D132F6D6333}"/>
              </c:ext>
            </c:extLst>
          </c:dPt>
          <c:dPt>
            <c:idx val="2"/>
            <c:bubble3D val="0"/>
            <c:spPr>
              <a:solidFill>
                <a:srgbClr val="00DA6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47F-4DF2-A76A-6D132F6D6333}"/>
              </c:ext>
            </c:extLst>
          </c:dPt>
          <c:dPt>
            <c:idx val="3"/>
            <c:bubble3D val="0"/>
            <c:spPr>
              <a:solidFill>
                <a:srgbClr val="7030A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47F-4DF2-A76A-6D132F6D6333}"/>
              </c:ext>
            </c:extLst>
          </c:dPt>
          <c:dPt>
            <c:idx val="4"/>
            <c:bubble3D val="0"/>
            <c:spPr>
              <a:solidFill>
                <a:srgbClr val="FFFF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47F-4DF2-A76A-6D132F6D6333}"/>
              </c:ext>
            </c:extLst>
          </c:dPt>
          <c:dPt>
            <c:idx val="5"/>
            <c:bubble3D val="0"/>
            <c:spPr>
              <a:solidFill>
                <a:schemeClr val="accent6">
                  <a:lumMod val="7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47F-4DF2-A76A-6D132F6D6333}"/>
              </c:ext>
            </c:extLst>
          </c:dPt>
          <c:dLbls>
            <c:dLbl>
              <c:idx val="0"/>
              <c:layout>
                <c:manualLayout>
                  <c:x val="-2.149707104750704E-2"/>
                  <c:y val="-4.356094599493865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7F-4DF2-A76A-6D132F6D6333}"/>
                </c:ext>
              </c:extLst>
            </c:dLbl>
            <c:dLbl>
              <c:idx val="1"/>
              <c:layout>
                <c:manualLayout>
                  <c:x val="8.7355305676091646E-3"/>
                  <c:y val="-0.2854555030129937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7F-4DF2-A76A-6D132F6D6333}"/>
                </c:ext>
              </c:extLst>
            </c:dLbl>
            <c:dLbl>
              <c:idx val="2"/>
              <c:layout>
                <c:manualLayout>
                  <c:x val="0.19667941432454447"/>
                  <c:y val="-0.27139915606141979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523625202044403"/>
                      <c:h val="0.175954615239949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47F-4DF2-A76A-6D132F6D6333}"/>
                </c:ext>
              </c:extLst>
            </c:dLbl>
            <c:dLbl>
              <c:idx val="3"/>
              <c:layout>
                <c:manualLayout>
                  <c:x val="-0.14114076493911787"/>
                  <c:y val="1.876390385593120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47F-4DF2-A76A-6D132F6D6333}"/>
                </c:ext>
              </c:extLst>
            </c:dLbl>
            <c:dLbl>
              <c:idx val="4"/>
              <c:layout>
                <c:manualLayout>
                  <c:x val="-4.2257423928871468E-2"/>
                  <c:y val="-6.0772945339924471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47F-4DF2-A76A-6D132F6D6333}"/>
                </c:ext>
              </c:extLst>
            </c:dLbl>
            <c:dLbl>
              <c:idx val="5"/>
              <c:layout>
                <c:manualLayout>
                  <c:x val="0.14028170288532463"/>
                  <c:y val="-1.434649106184521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47F-4DF2-A76A-6D132F6D633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'Costos de Inversión_xLocalidad'!$P$178:$U$178</c:f>
              <c:strCache>
                <c:ptCount val="6"/>
                <c:pt idx="0">
                  <c:v>Recolección</c:v>
                </c:pt>
                <c:pt idx="1">
                  <c:v>Tratamiento</c:v>
                </c:pt>
                <c:pt idx="2">
                  <c:v>DF</c:v>
                </c:pt>
                <c:pt idx="3">
                  <c:v>SB</c:v>
                </c:pt>
                <c:pt idx="4">
                  <c:v>PISO</c:v>
                </c:pt>
                <c:pt idx="5">
                  <c:v>PCyEAS</c:v>
                </c:pt>
              </c:strCache>
            </c:strRef>
          </c:cat>
          <c:val>
            <c:numRef>
              <c:f>'Costos de Inversión_xLocalidad'!$P$221:$U$221</c:f>
              <c:numCache>
                <c:formatCode>#,##0.00</c:formatCode>
                <c:ptCount val="6"/>
                <c:pt idx="0">
                  <c:v>1634182734.8247094</c:v>
                </c:pt>
                <c:pt idx="1">
                  <c:v>184853985.51509231</c:v>
                </c:pt>
                <c:pt idx="2">
                  <c:v>3576153370.2745605</c:v>
                </c:pt>
                <c:pt idx="3">
                  <c:v>339289014.23436797</c:v>
                </c:pt>
                <c:pt idx="4">
                  <c:v>19356465.05894807</c:v>
                </c:pt>
                <c:pt idx="5">
                  <c:v>101526667.49494244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7F-4DF2-A76A-6D132F6D633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816430</xdr:colOff>
      <xdr:row>223</xdr:row>
      <xdr:rowOff>90713</xdr:rowOff>
    </xdr:from>
    <xdr:to>
      <xdr:col>22</xdr:col>
      <xdr:colOff>199573</xdr:colOff>
      <xdr:row>257</xdr:row>
      <xdr:rowOff>90713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261</xdr:row>
      <xdr:rowOff>2720</xdr:rowOff>
    </xdr:from>
    <xdr:to>
      <xdr:col>16</xdr:col>
      <xdr:colOff>23479</xdr:colOff>
      <xdr:row>286</xdr:row>
      <xdr:rowOff>56029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1170214</xdr:colOff>
      <xdr:row>261</xdr:row>
      <xdr:rowOff>0</xdr:rowOff>
    </xdr:from>
    <xdr:to>
      <xdr:col>27</xdr:col>
      <xdr:colOff>589642</xdr:colOff>
      <xdr:row>286</xdr:row>
      <xdr:rowOff>56030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223</xdr:row>
      <xdr:rowOff>0</xdr:rowOff>
    </xdr:from>
    <xdr:to>
      <xdr:col>41</xdr:col>
      <xdr:colOff>249052</xdr:colOff>
      <xdr:row>257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34636</xdr:colOff>
      <xdr:row>170</xdr:row>
      <xdr:rowOff>103909</xdr:rowOff>
    </xdr:from>
    <xdr:to>
      <xdr:col>42</xdr:col>
      <xdr:colOff>692728</xdr:colOff>
      <xdr:row>199</xdr:row>
      <xdr:rowOff>173181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3-BBlanca_ALT%20A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4-M&#233;danos_ALT%20A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2-PAlta_ALT%20A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9-Tornquist_ALT%20A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3-BBlanca_ALT%20B%20(reg)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4-M&#233;danos_ALT%20B%20(reg)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2-PAlta_ALT%20B%20(reg)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9-Tornquist_ALT%20B%20(reg)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0-SAdeAreco_ALT%20A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19-SAdeGiles_ALT%20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3-CSarmiento_ALT%20A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6-CdeAreco_ALT%20A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0-SAdeAreco_ALT%20B%20(reg)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9-SAdeGiles_ALT%20B%20(reg)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3-CSarmiento_ALT%20B%20(reg)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6-CdeAreco_ALT%20B%20(reg)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0-Chivilcoy_ALT%20A.xlsm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9-Bragado_ALT%20A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29-Alberti_ALT%20A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0-Chivilcoy_ALT%20B%20(reg)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9-Bragado_ALT%20B%20(reg)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9-Alberti_ALT%20B%20(reg)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1-Ayacucho_ALT%20A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1-Maip&#250;_ALT%20A.xlsm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44-Labarden_ALT%20A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1-Ayacucho_ALT%20B%20(reg)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1-Maip&#250;_ALT%20B%20(reg)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4-Labarden_ALT%20B%20(reg).xlsm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2-Azul_ALT%20A.xlsm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7-Tapalqu&#233;_ALT%20A.xlsm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2-Azul_ALT%20B%20(reg).xlsm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7-Tapalqu&#233;_ALT%20B%20(reg).xlsm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6-Daireaux_ALT%20A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8-Henderson_ALT%20A.xlsm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8-SCdeBol&#237;var_ALT%20A.xlsm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6-Daireaux_ALT%20B%20(reg).xlsm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8-Henderson_ALT%20B%20(reg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8-SCdeBol&#237;var_ALT%20B%20(reg)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9-LosCardales_ALT%20A.xlsm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40-PRobles-Pavon_ALT%20A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0-CdelSe&#241;or_ALT%20A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9-LosCardales_ALT%20B%20(reg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0-PRobles-Pav&#243;n_ALT%20B%20(reg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0-CdelSe&#241;or_ALT%20B%20(reg).xlsm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46-Casbas_ALT%20A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37-Rivera_ALT%20A.xlsm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7-Salliquel&#243;_ALT%20A.xlsm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77-Guamin&#237;_ALT%20A.xlsm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27-Carhu&#233;_ALT%20A.xlsm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6-Casbas_ALT%20B%20(reg).xlsm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7-Rivera_ALT%20B%20(reg)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7-Salliquel&#243;_ALT%20B%20(reg).xlsm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7-Guamin&#237;_ALT%20B%20(reg)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7-Carhu&#233;_ALT%20B%20(reg).xlsm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26-9deJulio_ALT%20A.xlsm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1-Pehuaj&#243;_ALT%20A.xlsm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4-CCasares_ALT%20A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6-9deJulio_ALT%20B%20(reg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1-Pehuaj&#243;_ALT%20B%20(reg).xlsm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4-CCasares_ALT%20B%20(reg).xlsm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3-Laprida_ALT%20A.xlsm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52-SdelaVentana_ALT%20A.xlsm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4-CPringles_ALT%20A.xlsm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3-Laprida_ALT%20B%20(reg)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52-SdelaVentana_ALT%20B%20(reg).xlsm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4-CPringles_ALT%20B%20(reg).xlsm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50-Darregueira_ALT%20A.xlsm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8-Pu&#225;n_ALT%20A.xlsm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8-GLaMadrid_ALT%20A.xlsm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15-Pigu&#233;_ALT%20A.xlsm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5-CSu&#225;rez_ALT%20A.xlsm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50-Darregueira_ALT%20B%20(reg).xlsm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8-Pu&#225;n_ALT%20B%20(reg)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8-GLaMadrid_ALT%20B%20(reg)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5-Pigu&#233;_ALT%20B%20(reg).xlsm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5-CSu&#225;rez_ALT%20B%20(reg).xlsm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04-Pila_ALT%20A.xlsm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28-GConesa_ALT%20A.xlsm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66-GGuido_ALT%20A.xlsm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7-Castelli_ALT%20A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7-Dolores_ALT%20A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4-Pila_ALT%20B%20(reg).xlsm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8-GConesa_ALT%20B%20(reg).xlsm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6-GGuido_ALT%20B%20(reg)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7-Castelli_ALT%20B%20(reg).xlsm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7-Dolores_ALT%20B%20(reg).xlsm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5-SMdelMonte_ALT%20A.xlsm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40-CBrandsen_ALT%20A.xlsm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5-GBelgrano_ALT%20A.xlsm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1-Ranchos_ALT%20A.xlsm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5-SMdelMonte_ALT%20B%20(reg)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0-CBrandsen_ALT%20B%20(reg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5-GBelgrano_ALT%20B%20(reg).xlsm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1-Ranchos_ALT%20B%20(reg).xlsm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5-CTejedor_ALT%20A.xlsm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1-FAmeghino_ALT%20A.xlsm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2-Am&#233;rica_ALT%20A.xlsm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38-TresAlgarrobos_ALT%20A.xlsm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6-GVillegas_ALT%20A.xlsm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5-CTejedor_ALT%20B%20(reg).xlsm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1-FAmeghino_ALT%20B%20(reg).xlsm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2-Am&#233;rica_ALT%20B%20(reg).xlsm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8-TresAlgarrobos_ALT%20B%20(reg).xlsm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6-GVillegas_ALT%20B%20(reg).xlsm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43-Ascensi&#243;n_ALT%20A.xlsm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42-Arribe&#241;os_ALT%20A.xlsm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4-GArenales_ALT%20A.xlsm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3-Ascensi&#243;n_ALT%20B%20(reg).xlsm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2-Arribe&#241;os_ALT%20B%20(reg).xlsm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4-GArenales_ALT%20B%20(reg).xlsm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148-JBAlberdi_ALT%20A.xlsm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8-Chacabuco_ALT%20A.xlsm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5-Vedia_ALT%20A.xlsm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5-LosToldos_ALT%20A.xlsm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9-Jun&#237;n_ALT%20A.xlsm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8-JBAlberdi_ALT%20B%20(reg).xlsm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8-Chacabuco_ALT%20B%20(reg).xls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5-Vedia_ALT%20B%20(reg).xlsm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5-LosToldos_ALT%20B%20(reg).xlsm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9-Jun&#237;n_ALT%20B%20(reg).xlsm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2-GPinto_ALT%20A.xlsm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6-Lincoln_ALT%20A.xlsm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2-GPinto_ALT%20B%20(reg).xlsm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6-Lincoln_ALT%20B%20(reg).xlsm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53-CDorrego_ALT%20A.xlsm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6-MHermoso_ALT%20A_.xlsm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3-CDorrego_ALT%20B%20(reg).xlsm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6-MHermoso_ALT%20B%20(reg)_.xlsm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5-Suipacha_ALT%20A.xlsm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94-Mercedes_ALT%20A.xlsm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8-Lobos_ALT%20A.xlsm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69-GLasHeras_ALT%20A.xlsm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7-Navarro_ALT%20A.xlsm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5-Suipacha_ALT%20B%20(reg).xlsm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4-Mercedes_ALT%20B%20(reg).xlsm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8-Lobos_ALT%20B%20(reg).xlsm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9-GLasHeras_ALT%20B%20(reg).xlsm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7-Navarro_ALT%20B%20(reg).xlsm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8-Necochea_ALT%20A_.xlsm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7-Lober&#237;a_ALT%20A.xlsm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8-Necochea_ALT%20B%20(reg)_.xlsm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7-Lober&#237;a_ALT%20B%20(reg).xlsm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8-Salto_ALT%20A.xlsm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51-Col&#243;n_ALT%20A.xlsm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0-Arrecifes_ALT%20A.xlsm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3-Rojas_ALT%20A.xlsm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3-Pergamino_ALT%20A.xlsm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8-Salto_ALT%20B%20(reg).xlsm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1-Col&#243;n_ALT%20B%20(reg).xlsm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0-Arrecifes_ALT%20B%20(reg).xlsm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3-Rojas_ALT%20B%20(reg).xlsm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3-Pergamino_ALT%20B%20(reg).xlsm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0-Ramallo_ALT%20A.xlsm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51-VRamallo_ALT%20A.xlsm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2-SNdelosArroyos_ALT%20A.xlsm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0-Ramallo_ALT%20B%20(reg).xlsm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51-VRamallo_ALT%20B%20(reg).xlsm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2-SNdelosArroyos_ALT%20B%20(reg).xlsm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4-LasFlores_ALT%20A.xlsm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4-RP&#233;rez_ALT%20A.xlsm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3-GAlvear_ALT%20A.xlsm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25-25deMayo_ALT%20A.xlsm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6-Saladillo_ALT%20A.xlsm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4-LasFlores_ALT%20B%20(reg).xlsm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4-RP&#233;rez_ALT%20B%20(reg).xlsm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3-GAlvear_ALT%20B%20(reg).xlsm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5-25deMayo_ALT%20B%20(reg).xlsm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6-Saladillo_ALT%20B%20(reg).xlsm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11-Rauch_ALT%20A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6-Tandil_ALT%20A.xlsm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11-Rauch_ALT%20B%20(reg).xlsm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6-Tandil_ALT%20B%20(reg).xlsm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2-TresLomas_ALT%20A.xlsm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2-Pellegrini_ALT%20A.xlsm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0-TLauquen_ALT%20A.xlsm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2-TresLomas_ALT%20B%20(reg).xlsm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2-Pellegrini_ALT%20B%20(reg).xlsm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0-TLauquen_ALT%20B%20(reg).xlsm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6-BJu&#225;rez_ALT%20A.xlsm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21-SCayetano_ALT%20A.xlsm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28-AGChaves_ALT%20A.xlsm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1-TresArroyos_ALT%20A.xlsm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6-BJu&#225;rez_ALT%20B%20(reg).xlsm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1-SCayetano_ALT%20B%20(reg).xlsm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8-AGChaves_ALT%20B%20(reg).xlsm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1-TresArroyos_ALT%20B%20(reg).xlsm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53-MBuratovich_ALT%20A.xlsm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54-PLuro_ALT%20A.xlsm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53-MBuratovich_ALT%20B%20(reg).xlsm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54-PLuro_ALT%20B%20(reg).xlsm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35-Z&#225;rate_ALT%20A.xlsm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3.0-Loc041-Campana_ALT%20A.xlsm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5-Z&#225;rate_ALT%20B%20(reg).xlsm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1-Campana_ALT%20B%20(reg).xlsm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62-Miramar_ALT%20A_.xlsm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41-NOtamendi_ALT%20A.xlsm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73-MDQ_ALT%20A_.xlsm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2-Miramar_ALT%20B%20(reg)_.xlsm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1-NOtamendi_ALT%20B%20(reg).xlsm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3-MDQ_ALT%20B%20(reg)_.xlsm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0-Magdalena_ALT%20B%20(reg).xlsm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7-Berisso_ALT%20B%20(reg).xlsm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8-Ensenada_ALT%20B%20(reg).xlsm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2-LaPlata_ALT%20B%20(reg).xlsm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3-MPaz_ALT%20B%20(reg).xlsm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4-SVicente_ALT%20B%20(reg).xlsm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42-Ca&#241;uelas_ALT%20B%20(reg).xlsm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5-Ezeiza_ALT%20B%20(reg).xlsm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1-LaMatanza_ALT%20B%20(reg).xlsm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1-AlteBrown_ALT%20B%20(reg).xlsm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2-Avellaneda_ALT%20B%20(reg).xlsm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3-Berazategui_ALT%20B%20(reg).xlsm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59-Escobar_ALT%20B%20(reg).xlsm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4-EEcheverr&#237;a_ALT%20B%20(reg).xlsm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6-FVarela_ALT%20B%20(reg).xlsm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4-GRodr&#237;guez_ALT%20B%20(reg).xlsm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7-GSanMart&#237;n_ALT%20B%20(reg).xlsm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8-Hurlingham_ALT%20B%20(reg).xlsm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09-Ituzaing&#243;_ALT%20B%20(reg).xlsm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0-JCPaz_ALT%20B%20(reg).xlsm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2-Lan&#250;s_ALT%20B%20(reg).xlsm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3-LomasdeZamora_ALT%20B%20(reg).xlsm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4-MalvinasArgentinas_ALT%20B%20(reg).xlsm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5-Merlo_ALT%20B%20(reg).xlsm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6-Moreno_ALT%20B%20(reg).xlsm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7-Mor&#243;n_ALT%20B%20(reg).xlsm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5-Pilar_ALT%20B%20(reg).xlsm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7-PPer&#243;n_ALT%20B%20(reg).xlsm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8-Quilmes_ALT%20B%20(reg).xlsm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19-SFernando_ALT%20B%20(reg).xlsm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0-SIsidro_ALT%20B%20(reg).xlsm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1-SMiguel_ALT%20B%20(reg).xlsm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2-Tigre_ALT%20B%20(reg).xlsm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3-TresdeFebrero_ALT%20B%20(reg).xlsm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24-VicenteL&#243;pez_ALT%20B%20(reg).xlsm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6-caba_ALT%20B%20(reg).xlsm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70-GLavalle_ALT%20B%20(reg).xlsm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7-SClementedelTuy&#250;_ALT%20B%20(reg)_.xlsm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1-STeresita-MdelTuy&#250;_ALT%20B%20(reg)_.xlsm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80-MdeAj&#243;-SBernardo_ALT%20B%20(reg)_.xlsm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5-Pav&#243;n_ALT%20B%20(reg).xlsm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67-GMadariaga_ALT%20B%20(reg).xlsm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06-Pinamar_ALT%20B%20(reg)_.xlsm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33-VGesell_ALT%20B%20(reg)_.xlsm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49-SClaradelMar_ALT%20B%20(reg)_.xlsm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92-CVidal_ALT%20B%20(reg).xlsm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035-Baradero_ALT%20B%20(reg).xlsm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B\Macroruteo_V3.0-Loc123-SPedro_ALT%20B%20(reg).xlsm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89-lUJ&#193;N_ALT%20A.xlsm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49-Chascom&#250;s_ALT%20A.xlsm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34-Balcarce_ALT%20A.xlsm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0-CdePatagones_ALT%20A.xlsm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099-Olavarr&#237;a_ALT%20A.xlsm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MacroRuteo%20ALT_A\Macroruteo_V1.0-Loc109-Ver&#243;nica_ALT%20A.xlsm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62_Proyecci&#243;n%20de%20Poblaci&#243;n%20-%20Localidad%20Miramar-General%20Alvarado.xlsx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73_Proyecci&#243;n%20de%20Poblaci&#243;n%20-%20Localidad%20Mar%20del%20Plata-General%20Pueyrred&#243;n.xlsx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80_Proyecci&#243;n%20de%20Poblaci&#243;n%20-%20Localidad%20Mar%20de%20Aj&#243;%20S%20Bernardo-La%20Costa.xlsx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81_Proyecci&#243;n%20de%20Poblaci&#243;n%20-%20Localidad%20Santa%20Teresita%20Mar%20del%20Tuy&#250;-La%20Costa.xlsx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96_Proyecci&#243;n%20de%20Poblaci&#243;n%20-%20Localidad%20Monte%20Hermoso.xlsx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098_Proyecci&#243;n%20de%20Poblaci&#243;n%20-%20Localidad%20Necochea%20Quequ&#233;n-Necochea.xlsx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106_Proyecci&#243;n%20de%20Poblaci&#243;n%20-%20Localidad%20Pinamar.xlsx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133_Proyecci&#243;n%20de%20Poblaci&#243;n%20-%20Localidad%20Villa%20Gesell.xlsx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136_Proyecci&#243;n%20de%20Poblaci&#243;n%20-%20Localidad%20CABA.xlsx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147_Proyecci&#243;n%20de%20Poblaci&#243;n%20-%20Localidad%20S%20Clemente%20del%20Tuy&#250;-La%20Costa.xlsx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ntratos\C527%20ARG%20WASTE%20STUDY%20WB\05.%20Informes\3.%20Tercer%20Informe%20Task%202\Planillas\Pobl_Tur&#237;sticas\149_Proyecci&#243;n%20de%20Poblaci&#243;n%20-%20Localidad%20Santa%20Clara%20del%20Mar-Mar%20Chiqui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21085222.749070093</v>
          </cell>
        </row>
        <row r="46">
          <cell r="G46">
            <v>0</v>
          </cell>
        </row>
      </sheetData>
      <sheetData sheetId="1">
        <row r="23">
          <cell r="G23">
            <v>14932619.530986745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Bahía Blanca</v>
          </cell>
        </row>
      </sheetData>
      <sheetData sheetId="7">
        <row r="43">
          <cell r="D43">
            <v>2.0515672131147542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2124373.5982136764</v>
          </cell>
        </row>
        <row r="46">
          <cell r="G46">
            <v>0</v>
          </cell>
        </row>
      </sheetData>
      <sheetData sheetId="1">
        <row r="23">
          <cell r="G23">
            <v>731030.58529548766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Médanos</v>
          </cell>
        </row>
      </sheetData>
      <sheetData sheetId="7">
        <row r="43">
          <cell r="D43">
            <v>0.15796721311475409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4261533.3559366791</v>
          </cell>
        </row>
        <row r="46">
          <cell r="G46">
            <v>0</v>
          </cell>
        </row>
      </sheetData>
      <sheetData sheetId="1">
        <row r="23">
          <cell r="G23">
            <v>2317902.0533860647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Punta Alta</v>
          </cell>
        </row>
      </sheetData>
      <sheetData sheetId="7">
        <row r="43">
          <cell r="D43">
            <v>1.4897704918032786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2244110.0967098256</v>
          </cell>
        </row>
        <row r="46">
          <cell r="G46">
            <v>0</v>
          </cell>
        </row>
      </sheetData>
      <sheetData sheetId="1">
        <row r="23">
          <cell r="G23">
            <v>908748.53641931573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Tornquist</v>
          </cell>
        </row>
      </sheetData>
      <sheetData sheetId="7">
        <row r="43">
          <cell r="D43">
            <v>0.23593442622950822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20897047.983590201</v>
          </cell>
        </row>
        <row r="46">
          <cell r="G46">
            <v>0</v>
          </cell>
        </row>
      </sheetData>
      <sheetData sheetId="1">
        <row r="23">
          <cell r="G23">
            <v>15423766.640077982</v>
          </cell>
        </row>
        <row r="46">
          <cell r="G46">
            <v>0</v>
          </cell>
        </row>
      </sheetData>
      <sheetData sheetId="2">
        <row r="25">
          <cell r="L25">
            <v>15</v>
          </cell>
          <cell r="R25">
            <v>24</v>
          </cell>
        </row>
      </sheetData>
      <sheetData sheetId="3">
        <row r="27">
          <cell r="L27">
            <v>9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Bahía Blanca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1681766.2694860536</v>
          </cell>
        </row>
        <row r="46">
          <cell r="G46">
            <v>0</v>
          </cell>
        </row>
      </sheetData>
      <sheetData sheetId="1">
        <row r="23">
          <cell r="G23">
            <v>771039.72700563725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Médanos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3838865.0825232388</v>
          </cell>
        </row>
        <row r="46">
          <cell r="G46">
            <v>0</v>
          </cell>
        </row>
      </sheetData>
      <sheetData sheetId="1">
        <row r="23">
          <cell r="G23">
            <v>2333853.265156995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21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Punta Alta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1751654.9588091173</v>
          </cell>
        </row>
        <row r="46">
          <cell r="G46">
            <v>0</v>
          </cell>
        </row>
      </sheetData>
      <sheetData sheetId="1">
        <row r="23">
          <cell r="G23">
            <v>890127.07410039403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Tornquist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3231490.7336182352</v>
          </cell>
        </row>
        <row r="46">
          <cell r="G46">
            <v>0</v>
          </cell>
        </row>
      </sheetData>
      <sheetData sheetId="1">
        <row r="23">
          <cell r="G23">
            <v>1440772.4509840715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Antonio de Areco</v>
          </cell>
        </row>
      </sheetData>
      <sheetData sheetId="7">
        <row r="43">
          <cell r="D43">
            <v>0.57029508196721312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2322050.2967098258</v>
          </cell>
        </row>
        <row r="46">
          <cell r="G46">
            <v>0</v>
          </cell>
        </row>
      </sheetData>
      <sheetData sheetId="1">
        <row r="23">
          <cell r="G23">
            <v>982386.49016732955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Andrés de Giles</v>
          </cell>
        </row>
      </sheetData>
      <sheetData sheetId="7">
        <row r="43">
          <cell r="D43">
            <v>0.52478688524590167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2551485.894213676</v>
          </cell>
        </row>
        <row r="46">
          <cell r="G46">
            <v>0</v>
          </cell>
        </row>
      </sheetData>
      <sheetData sheetId="1">
        <row r="23">
          <cell r="G23">
            <v>1184009.5742717222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Capitán Sarmiento</v>
          </cell>
        </row>
      </sheetData>
      <sheetData sheetId="7">
        <row r="43">
          <cell r="D43">
            <v>0.39868852459016396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3459076.1176182353</v>
          </cell>
        </row>
        <row r="46">
          <cell r="G46">
            <v>0</v>
          </cell>
        </row>
      </sheetData>
      <sheetData sheetId="1">
        <row r="23">
          <cell r="G23">
            <v>1685475.9206969445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Carmen de Areco</v>
          </cell>
        </row>
      </sheetData>
      <sheetData sheetId="7">
        <row r="43">
          <cell r="D43">
            <v>0.41199999999999998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2679218.2247098256</v>
          </cell>
        </row>
        <row r="46">
          <cell r="G46">
            <v>0</v>
          </cell>
        </row>
      </sheetData>
      <sheetData sheetId="1">
        <row r="23">
          <cell r="G23">
            <v>1435463.0305314476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9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Antonio de Areco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1856180.6570347629</v>
          </cell>
        </row>
        <row r="46">
          <cell r="G46">
            <v>0</v>
          </cell>
        </row>
      </sheetData>
      <sheetData sheetId="1">
        <row r="23">
          <cell r="G23">
            <v>946519.45778874401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16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Andrés de Giles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2357702.8931275615</v>
          </cell>
        </row>
        <row r="46">
          <cell r="G46">
            <v>0</v>
          </cell>
        </row>
      </sheetData>
      <sheetData sheetId="1">
        <row r="23">
          <cell r="G23">
            <v>1245819.9478781733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17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Capitán Sarmiento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2976590.5415521446</v>
          </cell>
        </row>
        <row r="46">
          <cell r="G46">
            <v>0</v>
          </cell>
        </row>
      </sheetData>
      <sheetData sheetId="1">
        <row r="23">
          <cell r="G23">
            <v>1704254.8581300816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16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Carmen de Areco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5066299.6873689638</v>
          </cell>
        </row>
        <row r="46">
          <cell r="G46">
            <v>0</v>
          </cell>
        </row>
      </sheetData>
      <sheetData sheetId="1">
        <row r="23">
          <cell r="G23">
            <v>2903607.0170922675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Chivilcoy</v>
          </cell>
        </row>
      </sheetData>
      <sheetData sheetId="7">
        <row r="43">
          <cell r="D43">
            <v>1.9234098360655738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4841933.6678497093</v>
          </cell>
        </row>
        <row r="46">
          <cell r="G46">
            <v>0</v>
          </cell>
        </row>
      </sheetData>
      <sheetData sheetId="1">
        <row r="23">
          <cell r="G23">
            <v>2791942.8340293155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Bragado</v>
          </cell>
        </row>
      </sheetData>
      <sheetData sheetId="7">
        <row r="43">
          <cell r="D43">
            <v>0.9156065573770491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2269050.9607098256</v>
          </cell>
        </row>
        <row r="46">
          <cell r="G46">
            <v>0</v>
          </cell>
        </row>
      </sheetData>
      <sheetData sheetId="1">
        <row r="23">
          <cell r="G23">
            <v>928541.86139105028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Alberti</v>
          </cell>
        </row>
      </sheetData>
      <sheetData sheetId="7">
        <row r="43">
          <cell r="D43">
            <v>0.3212459016393443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4909071.4729229072</v>
          </cell>
        </row>
        <row r="46">
          <cell r="G46">
            <v>0</v>
          </cell>
        </row>
      </sheetData>
      <sheetData sheetId="1">
        <row r="23">
          <cell r="G23">
            <v>3075086.2953115329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16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Chivilcoy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4409295.9009567033</v>
          </cell>
        </row>
        <row r="46">
          <cell r="G46">
            <v>0</v>
          </cell>
        </row>
      </sheetData>
      <sheetData sheetId="1">
        <row r="23">
          <cell r="G23">
            <v>2845418.7937428085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15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Bragado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1756656.6991398837</v>
          </cell>
        </row>
        <row r="46">
          <cell r="G46">
            <v>0</v>
          </cell>
        </row>
      </sheetData>
      <sheetData sheetId="1">
        <row r="23">
          <cell r="G23">
            <v>911415.86891669314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Alberti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2861394.9873590353</v>
          </cell>
        </row>
        <row r="46">
          <cell r="G46">
            <v>0</v>
          </cell>
        </row>
      </sheetData>
      <sheetData sheetId="1">
        <row r="23">
          <cell r="G23">
            <v>1285728.7667570398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Ayacucho</v>
          </cell>
        </row>
      </sheetData>
      <sheetData sheetId="7">
        <row r="43">
          <cell r="D43">
            <v>0.51613114754098366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2318932.6887098253</v>
          </cell>
        </row>
        <row r="46">
          <cell r="G46">
            <v>0</v>
          </cell>
        </row>
      </sheetData>
      <sheetData sheetId="1">
        <row r="23">
          <cell r="G23">
            <v>984238.12503968715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Maipú</v>
          </cell>
        </row>
      </sheetData>
      <sheetData sheetId="7">
        <row r="43">
          <cell r="D43">
            <v>0.26924590163934425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846373.82851839997</v>
          </cell>
        </row>
        <row r="46">
          <cell r="G46">
            <v>0</v>
          </cell>
        </row>
      </sheetData>
      <sheetData sheetId="1">
        <row r="23">
          <cell r="G23">
            <v>382036.67927732819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Labarden</v>
          </cell>
        </row>
      </sheetData>
      <sheetData sheetId="7">
        <row r="43">
          <cell r="D43">
            <v>2.2688524590163933E-2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2408818.0967967948</v>
          </cell>
        </row>
        <row r="46">
          <cell r="G46">
            <v>0</v>
          </cell>
        </row>
      </sheetData>
      <sheetData sheetId="1">
        <row r="23">
          <cell r="G23">
            <v>1262562.522886089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Ayacucho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1846416.6744783516</v>
          </cell>
        </row>
        <row r="46">
          <cell r="G46">
            <v>0</v>
          </cell>
        </row>
      </sheetData>
      <sheetData sheetId="1">
        <row r="23">
          <cell r="G23">
            <v>954579.70519597037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Maipú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676208.61825920001</v>
          </cell>
        </row>
        <row r="46">
          <cell r="G46">
            <v>0</v>
          </cell>
        </row>
      </sheetData>
      <sheetData sheetId="1">
        <row r="23">
          <cell r="G23">
            <v>431582.532350761</v>
          </cell>
        </row>
        <row r="46">
          <cell r="G46">
            <v>0</v>
          </cell>
        </row>
      </sheetData>
      <sheetData sheetId="2">
        <row r="25">
          <cell r="L25">
            <v>1</v>
          </cell>
          <cell r="R25">
            <v>9</v>
          </cell>
        </row>
      </sheetData>
      <sheetData sheetId="3">
        <row r="27">
          <cell r="L27">
            <v>1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Labarden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6214228.2529044515</v>
          </cell>
        </row>
        <row r="46">
          <cell r="G46">
            <v>0</v>
          </cell>
        </row>
      </sheetData>
      <sheetData sheetId="1">
        <row r="23">
          <cell r="G23">
            <v>3871220.9156144788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Azul</v>
          </cell>
        </row>
      </sheetData>
      <sheetData sheetId="7">
        <row r="43">
          <cell r="D43">
            <v>1.8176393442622951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2293991.8247098257</v>
          </cell>
        </row>
        <row r="46">
          <cell r="G46">
            <v>0</v>
          </cell>
        </row>
      </sheetData>
      <sheetData sheetId="1">
        <row r="23">
          <cell r="G23">
            <v>967168.61573750991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Tapalqué</v>
          </cell>
        </row>
      </sheetData>
      <sheetData sheetId="7">
        <row r="43">
          <cell r="D43">
            <v>0.28885245901639345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5895617.3341958784</v>
          </cell>
        </row>
        <row r="46">
          <cell r="G46">
            <v>0</v>
          </cell>
        </row>
      </sheetData>
      <sheetData sheetId="1">
        <row r="23">
          <cell r="G23">
            <v>3961530.2093433216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15</v>
          </cell>
        </row>
      </sheetData>
      <sheetData sheetId="3">
        <row r="27">
          <cell r="L27">
            <v>5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Azul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1821475.8104783518</v>
          </cell>
        </row>
        <row r="46">
          <cell r="G46">
            <v>0</v>
          </cell>
        </row>
      </sheetData>
      <sheetData sheetId="1">
        <row r="23">
          <cell r="G23">
            <v>926563.94615751808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Tapalqué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2362579.2007098258</v>
          </cell>
        </row>
        <row r="46">
          <cell r="G46">
            <v>0</v>
          </cell>
        </row>
      </sheetData>
      <sheetData sheetId="1">
        <row r="23">
          <cell r="G23">
            <v>998835.52164645586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Daireaux</v>
          </cell>
        </row>
      </sheetData>
      <sheetData sheetId="7">
        <row r="43">
          <cell r="D43">
            <v>0.34891803278688527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2318932.6887098253</v>
          </cell>
        </row>
        <row r="46">
          <cell r="G46">
            <v>0</v>
          </cell>
        </row>
      </sheetData>
      <sheetData sheetId="1">
        <row r="23">
          <cell r="G23">
            <v>978783.85731422657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Henderson</v>
          </cell>
        </row>
      </sheetData>
      <sheetData sheetId="7">
        <row r="43">
          <cell r="D43">
            <v>0.25993442622950819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3737193.8862797669</v>
          </cell>
        </row>
        <row r="46">
          <cell r="G46">
            <v>0</v>
          </cell>
        </row>
      </sheetData>
      <sheetData sheetId="1">
        <row r="23">
          <cell r="G23">
            <v>2047058.3466823269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Carlos de Bolívar</v>
          </cell>
        </row>
      </sheetData>
      <sheetData sheetId="7">
        <row r="43">
          <cell r="D43">
            <v>0.85586885245901645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1929941.4338168197</v>
          </cell>
        </row>
        <row r="46">
          <cell r="G46">
            <v>0</v>
          </cell>
        </row>
      </sheetData>
      <sheetData sheetId="1">
        <row r="23">
          <cell r="G23">
            <v>990597.48348618275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21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Daireaux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1826477.5508091175</v>
          </cell>
        </row>
        <row r="46">
          <cell r="G46">
            <v>0</v>
          </cell>
        </row>
      </sheetData>
      <sheetData sheetId="1">
        <row r="23">
          <cell r="G23">
            <v>949315.92533540563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Henderson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3254708.3102136762</v>
          </cell>
        </row>
        <row r="46">
          <cell r="G46">
            <v>0</v>
          </cell>
        </row>
      </sheetData>
      <sheetData sheetId="1">
        <row r="23">
          <cell r="G23">
            <v>2039372.4407416927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12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Carlos de Bolívar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2194228.3687098254</v>
          </cell>
        </row>
        <row r="46">
          <cell r="G46">
            <v>0</v>
          </cell>
        </row>
      </sheetData>
      <sheetData sheetId="1">
        <row r="23">
          <cell r="G23">
            <v>842946.76582922798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Los Cardales</v>
          </cell>
        </row>
      </sheetData>
      <sheetData sheetId="7">
        <row r="43">
          <cell r="D43">
            <v>0.3700983606557377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1529654.1341475856</v>
          </cell>
        </row>
        <row r="46">
          <cell r="G46">
            <v>0</v>
          </cell>
        </row>
      </sheetData>
      <sheetData sheetId="1">
        <row r="23">
          <cell r="G23">
            <v>454334.8336390825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Parada Robles - Pavón</v>
          </cell>
        </row>
      </sheetData>
      <sheetData sheetId="7">
        <row r="43">
          <cell r="D43">
            <v>0.9883934426229507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2235340.0917175272</v>
          </cell>
        </row>
        <row r="46">
          <cell r="G46">
            <v>0</v>
          </cell>
        </row>
      </sheetData>
      <sheetData sheetId="1">
        <row r="23">
          <cell r="G23">
            <v>832140.13018982182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Capilla del Señor</v>
          </cell>
        </row>
      </sheetData>
      <sheetData sheetId="7">
        <row r="43">
          <cell r="D43">
            <v>0.35757377049180328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1701773.2308091174</v>
          </cell>
        </row>
        <row r="46">
          <cell r="G46">
            <v>0</v>
          </cell>
        </row>
      </sheetData>
      <sheetData sheetId="1">
        <row r="23">
          <cell r="G23">
            <v>831912.03910133126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Los Cardales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1027229.3888422268</v>
          </cell>
        </row>
        <row r="46">
          <cell r="G46">
            <v>0</v>
          </cell>
        </row>
      </sheetData>
      <sheetData sheetId="1">
        <row r="23">
          <cell r="G23">
            <v>445998.77163066046</v>
          </cell>
        </row>
        <row r="46">
          <cell r="G46">
            <v>0</v>
          </cell>
        </row>
      </sheetData>
      <sheetData sheetId="2">
        <row r="25">
          <cell r="L25">
            <v>1</v>
          </cell>
          <cell r="R25">
            <v>24</v>
          </cell>
        </row>
      </sheetData>
      <sheetData sheetId="3">
        <row r="27">
          <cell r="L27">
            <v>1</v>
          </cell>
          <cell r="Q27">
            <v>12</v>
          </cell>
        </row>
      </sheetData>
      <sheetData sheetId="4"/>
      <sheetData sheetId="5"/>
      <sheetData sheetId="6">
        <row r="2">
          <cell r="C2" t="str">
            <v>Parada Robles - Pavón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1663128.4591398838</v>
          </cell>
        </row>
        <row r="46">
          <cell r="G46">
            <v>0</v>
          </cell>
        </row>
      </sheetData>
      <sheetData sheetId="1">
        <row r="23">
          <cell r="G23">
            <v>829067.02847997798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Capilla del Señor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2134993.8167098258</v>
          </cell>
        </row>
        <row r="46">
          <cell r="G46">
            <v>0</v>
          </cell>
        </row>
      </sheetData>
      <sheetData sheetId="1">
        <row r="23">
          <cell r="G23">
            <v>770869.05091874569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Casbas</v>
          </cell>
        </row>
      </sheetData>
      <sheetData sheetId="7">
        <row r="43">
          <cell r="D43">
            <v>0.13914754098360654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911843.59651839989</v>
          </cell>
        </row>
        <row r="46">
          <cell r="G46">
            <v>0</v>
          </cell>
        </row>
      </sheetData>
      <sheetData sheetId="1">
        <row r="23">
          <cell r="G23">
            <v>461016.70672928961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Rivera</v>
          </cell>
        </row>
      </sheetData>
      <sheetData sheetId="7">
        <row r="43">
          <cell r="D43">
            <v>0.10144262295081968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2212934.0167098255</v>
          </cell>
        </row>
        <row r="46">
          <cell r="G46">
            <v>0</v>
          </cell>
        </row>
      </sheetData>
      <sheetData sheetId="1">
        <row r="23">
          <cell r="G23">
            <v>875325.33127748361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Salliqueló</v>
          </cell>
        </row>
      </sheetData>
      <sheetData sheetId="7">
        <row r="43">
          <cell r="D43">
            <v>0.24295081967213117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933666.85251839994</v>
          </cell>
        </row>
        <row r="46">
          <cell r="G46">
            <v>0</v>
          </cell>
        </row>
      </sheetData>
      <sheetData sheetId="1">
        <row r="23">
          <cell r="G23">
            <v>477973.46073575999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Guaminí</v>
          </cell>
        </row>
      </sheetData>
      <sheetData sheetId="7">
        <row r="43">
          <cell r="D43">
            <v>8.4786885245901639E-2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2431166.5767098255</v>
          </cell>
        </row>
        <row r="46">
          <cell r="G46">
            <v>0</v>
          </cell>
        </row>
      </sheetData>
      <sheetData sheetId="1">
        <row r="23">
          <cell r="G23">
            <v>1093664.9879980669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Carhué</v>
          </cell>
        </row>
      </sheetData>
      <sheetData sheetId="7">
        <row r="43">
          <cell r="D43">
            <v>0.29927868852459016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1662477.8024783516</v>
          </cell>
        </row>
        <row r="46">
          <cell r="G46">
            <v>0</v>
          </cell>
        </row>
      </sheetData>
      <sheetData sheetId="1">
        <row r="23">
          <cell r="G23">
            <v>802735.0572065725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Casbas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985309.19651839999</v>
          </cell>
        </row>
        <row r="46">
          <cell r="G46">
            <v>0</v>
          </cell>
        </row>
      </sheetData>
      <sheetData sheetId="1">
        <row r="23">
          <cell r="G23">
            <v>685189.79609602131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18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Rivera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1720478.8788091175</v>
          </cell>
        </row>
        <row r="46">
          <cell r="G46">
            <v>0</v>
          </cell>
        </row>
      </sheetData>
      <sheetData sheetId="1">
        <row r="23">
          <cell r="G23">
            <v>849316.26793690166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Salliqueló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1007132.4525183999</v>
          </cell>
        </row>
        <row r="46">
          <cell r="G46">
            <v>0</v>
          </cell>
        </row>
      </sheetData>
      <sheetData sheetId="1">
        <row r="23">
          <cell r="G23">
            <v>689602.51739436691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16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Guaminí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1918772.3151398837</v>
          </cell>
        </row>
        <row r="46">
          <cell r="G46">
            <v>0</v>
          </cell>
        </row>
      </sheetData>
      <sheetData sheetId="1">
        <row r="23">
          <cell r="G23">
            <v>1077149.2170413726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Carhué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4904217.9901958788</v>
          </cell>
        </row>
        <row r="46">
          <cell r="G46">
            <v>0</v>
          </cell>
        </row>
      </sheetData>
      <sheetData sheetId="1">
        <row r="23">
          <cell r="G23">
            <v>2762436.9234126438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9 de Julio</v>
          </cell>
        </row>
      </sheetData>
      <sheetData sheetId="7">
        <row r="43">
          <cell r="D43">
            <v>1.1945573770491804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3671724.1182797672</v>
          </cell>
        </row>
        <row r="46">
          <cell r="G46">
            <v>0</v>
          </cell>
        </row>
      </sheetData>
      <sheetData sheetId="1">
        <row r="23">
          <cell r="G23">
            <v>1970375.3252498843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Pehuajó</v>
          </cell>
        </row>
      </sheetData>
      <sheetData sheetId="7">
        <row r="43">
          <cell r="D43">
            <v>0.97573770491803291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3235258.9982797671</v>
          </cell>
        </row>
        <row r="46">
          <cell r="G46">
            <v>0</v>
          </cell>
        </row>
      </sheetData>
      <sheetData sheetId="1">
        <row r="23">
          <cell r="G23">
            <v>1509603.8655466801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Carlos Casares</v>
          </cell>
        </row>
      </sheetData>
      <sheetData sheetId="7">
        <row r="43">
          <cell r="D43">
            <v>0.57252459016393442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4727050.9255007925</v>
          </cell>
        </row>
        <row r="46">
          <cell r="G46">
            <v>0</v>
          </cell>
        </row>
      </sheetData>
      <sheetData sheetId="1">
        <row r="23">
          <cell r="G23">
            <v>3021914.3398721609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19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9 de Julio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3534435.3009231486</v>
          </cell>
        </row>
        <row r="46">
          <cell r="G46">
            <v>0</v>
          </cell>
        </row>
      </sheetData>
      <sheetData sheetId="1">
        <row r="23">
          <cell r="G23">
            <v>2165386.1301974207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17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Pehuajó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2722864.7367098257</v>
          </cell>
        </row>
        <row r="46">
          <cell r="G46">
            <v>0</v>
          </cell>
        </row>
      </sheetData>
      <sheetData sheetId="1">
        <row r="23">
          <cell r="G23">
            <v>1517580.5869679472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9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Carlos Casares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2322050.2967098258</v>
          </cell>
        </row>
        <row r="46">
          <cell r="G46">
            <v>0</v>
          </cell>
        </row>
      </sheetData>
      <sheetData sheetId="1">
        <row r="23">
          <cell r="G23">
            <v>983925.80417262437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Laprida</v>
          </cell>
        </row>
      </sheetData>
      <sheetData sheetId="7">
        <row r="43">
          <cell r="D43">
            <v>0.28380327868852462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2222286.8407098255</v>
          </cell>
        </row>
        <row r="46">
          <cell r="G46">
            <v>0</v>
          </cell>
        </row>
      </sheetData>
      <sheetData sheetId="1">
        <row r="23">
          <cell r="G23">
            <v>877890.21118405764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Sierra de la Ventana</v>
          </cell>
        </row>
      </sheetData>
      <sheetData sheetId="7">
        <row r="43">
          <cell r="D43">
            <v>0.34622950819672133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3533898.709618235</v>
          </cell>
        </row>
        <row r="46">
          <cell r="G46">
            <v>0</v>
          </cell>
        </row>
      </sheetData>
      <sheetData sheetId="1">
        <row r="23">
          <cell r="G23">
            <v>1811634.9560482756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Coronel Pringles</v>
          </cell>
        </row>
      </sheetData>
      <sheetData sheetId="7">
        <row r="43">
          <cell r="D43">
            <v>0.64485245901639343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1849534.2824783516</v>
          </cell>
        </row>
        <row r="46">
          <cell r="G46">
            <v>0</v>
          </cell>
        </row>
      </sheetData>
      <sheetData sheetId="1">
        <row r="23">
          <cell r="G23">
            <v>974047.15525878081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Laprida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1749770.8264783516</v>
          </cell>
        </row>
        <row r="46">
          <cell r="G46">
            <v>0</v>
          </cell>
        </row>
      </sheetData>
      <sheetData sheetId="1">
        <row r="23">
          <cell r="G23">
            <v>857121.90184377367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Sierra de la Ventana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3061382.6953867613</v>
          </cell>
        </row>
        <row r="46">
          <cell r="G46">
            <v>0</v>
          </cell>
        </row>
      </sheetData>
      <sheetData sheetId="1">
        <row r="23">
          <cell r="G23">
            <v>1803718.2206897982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17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Coronel Pringles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2240992.4887098256</v>
          </cell>
        </row>
        <row r="46">
          <cell r="G46">
            <v>0</v>
          </cell>
        </row>
      </sheetData>
      <sheetData sheetId="1">
        <row r="23">
          <cell r="G23">
            <v>899840.96615213947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Darregueira</v>
          </cell>
        </row>
      </sheetData>
      <sheetData sheetId="7">
        <row r="43">
          <cell r="D43">
            <v>0.1839344262295082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2128758.6007098258</v>
          </cell>
        </row>
        <row r="46">
          <cell r="G46">
            <v>0</v>
          </cell>
        </row>
      </sheetData>
      <sheetData sheetId="1">
        <row r="23">
          <cell r="G23">
            <v>758897.00989366113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Puán</v>
          </cell>
        </row>
      </sheetData>
      <sheetData sheetId="7">
        <row r="43">
          <cell r="D43">
            <v>0.16845901639344263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2300227.0407098257</v>
          </cell>
        </row>
        <row r="46">
          <cell r="G46">
            <v>0</v>
          </cell>
        </row>
      </sheetData>
      <sheetData sheetId="1">
        <row r="23">
          <cell r="G23">
            <v>965333.8935149035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La Madrid</v>
          </cell>
        </row>
      </sheetData>
      <sheetData sheetId="7">
        <row r="43">
          <cell r="D43">
            <v>0.29121311475409839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2471695.4807098256</v>
          </cell>
        </row>
        <row r="46">
          <cell r="G46">
            <v>0</v>
          </cell>
        </row>
      </sheetData>
      <sheetData sheetId="1">
        <row r="23">
          <cell r="G23">
            <v>1124012.9814385131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Pigüé</v>
          </cell>
        </row>
      </sheetData>
      <sheetData sheetId="7">
        <row r="43">
          <cell r="D43">
            <v>0.44596721311475412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3684194.5502797677</v>
          </cell>
        </row>
        <row r="46">
          <cell r="G46">
            <v>0</v>
          </cell>
        </row>
      </sheetData>
      <sheetData sheetId="1">
        <row r="23">
          <cell r="G23">
            <v>1991217.9029103273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Coronel Suárez</v>
          </cell>
        </row>
      </sheetData>
      <sheetData sheetId="7">
        <row r="43">
          <cell r="D43">
            <v>0.80268852459016393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1768476.4744783517</v>
          </cell>
        </row>
        <row r="46">
          <cell r="G46">
            <v>0</v>
          </cell>
        </row>
      </sheetData>
      <sheetData sheetId="1">
        <row r="23">
          <cell r="G23">
            <v>897025.13018349453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Darregueira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1656242.5864783516</v>
          </cell>
        </row>
        <row r="46">
          <cell r="G46">
            <v>0</v>
          </cell>
        </row>
      </sheetData>
      <sheetData sheetId="1">
        <row r="23">
          <cell r="G23">
            <v>794622.96399114456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Puán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1827711.0264783516</v>
          </cell>
        </row>
        <row r="46">
          <cell r="G46">
            <v>0</v>
          </cell>
        </row>
      </sheetData>
      <sheetData sheetId="1">
        <row r="23">
          <cell r="G23">
            <v>931982.34817085788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La Madrid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2287882.0414583273</v>
          </cell>
        </row>
        <row r="46">
          <cell r="G46">
            <v>0</v>
          </cell>
        </row>
      </sheetData>
      <sheetData sheetId="1">
        <row r="23">
          <cell r="G23">
            <v>1196824.1938886009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Pigüé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3201708.9742136761</v>
          </cell>
        </row>
        <row r="46">
          <cell r="G46">
            <v>0</v>
          </cell>
        </row>
      </sheetData>
      <sheetData sheetId="1">
        <row r="23">
          <cell r="G23">
            <v>1982730.4814772452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12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Coronel Suárez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1285056.9507775998</v>
          </cell>
        </row>
        <row r="46">
          <cell r="G46">
            <v>0</v>
          </cell>
        </row>
      </sheetData>
      <sheetData sheetId="1">
        <row r="23">
          <cell r="G23">
            <v>701097.10908238252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Pila</v>
          </cell>
        </row>
      </sheetData>
      <sheetData sheetId="7">
        <row r="43">
          <cell r="D43">
            <v>0.10826229508196722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1338056.2867775999</v>
          </cell>
        </row>
        <row r="46">
          <cell r="G46">
            <v>0</v>
          </cell>
        </row>
      </sheetData>
      <sheetData sheetId="1">
        <row r="23">
          <cell r="G23">
            <v>753699.98994498781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Conesa</v>
          </cell>
        </row>
      </sheetData>
      <sheetData sheetId="7">
        <row r="43">
          <cell r="D43">
            <v>7.4819672131147541E-2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877549.90851840004</v>
          </cell>
        </row>
        <row r="46">
          <cell r="G46">
            <v>0</v>
          </cell>
        </row>
      </sheetData>
      <sheetData sheetId="1">
        <row r="23">
          <cell r="G23">
            <v>411574.174930471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Guido</v>
          </cell>
        </row>
      </sheetData>
      <sheetData sheetId="7">
        <row r="43">
          <cell r="D43">
            <v>4.8983606557377046E-2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2206698.8007098255</v>
          </cell>
        </row>
        <row r="46">
          <cell r="G46">
            <v>0</v>
          </cell>
        </row>
      </sheetData>
      <sheetData sheetId="1">
        <row r="23">
          <cell r="G23">
            <v>859059.82779555791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Castelli</v>
          </cell>
        </row>
      </sheetData>
      <sheetData sheetId="7">
        <row r="43">
          <cell r="D43">
            <v>0.2752786885245902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3446605.6856182353</v>
          </cell>
        </row>
        <row r="46">
          <cell r="G46">
            <v>0</v>
          </cell>
        </row>
      </sheetData>
      <sheetData sheetId="1">
        <row r="23">
          <cell r="G23">
            <v>1686775.5080934735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Dolores</v>
          </cell>
        </row>
      </sheetData>
      <sheetData sheetId="7">
        <row r="43">
          <cell r="D43">
            <v>0.90301639344262297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1041426.1405183999</v>
          </cell>
        </row>
        <row r="46">
          <cell r="G46">
            <v>0</v>
          </cell>
        </row>
      </sheetData>
      <sheetData sheetId="1">
        <row r="23">
          <cell r="G23">
            <v>758392.05006214103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Pila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1094425.4765184</v>
          </cell>
        </row>
        <row r="46">
          <cell r="G46">
            <v>0</v>
          </cell>
        </row>
      </sheetData>
      <sheetData sheetId="1">
        <row r="23">
          <cell r="G23">
            <v>769466.64984796068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Conesa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707384.69825919997</v>
          </cell>
        </row>
        <row r="46">
          <cell r="G46">
            <v>0</v>
          </cell>
        </row>
      </sheetData>
      <sheetData sheetId="1">
        <row r="23">
          <cell r="G23">
            <v>445564.31122410513</v>
          </cell>
        </row>
        <row r="46">
          <cell r="G46">
            <v>0</v>
          </cell>
        </row>
      </sheetData>
      <sheetData sheetId="2">
        <row r="25">
          <cell r="L25">
            <v>1</v>
          </cell>
          <cell r="R25">
            <v>9</v>
          </cell>
        </row>
      </sheetData>
      <sheetData sheetId="3">
        <row r="27">
          <cell r="L27">
            <v>1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Guido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1694304.5391398836</v>
          </cell>
        </row>
        <row r="46">
          <cell r="G46">
            <v>0</v>
          </cell>
        </row>
      </sheetData>
      <sheetData sheetId="1">
        <row r="23">
          <cell r="G23">
            <v>830273.895577705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Castelli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2974089.6713867611</v>
          </cell>
        </row>
        <row r="46">
          <cell r="G46">
            <v>0</v>
          </cell>
        </row>
      </sheetData>
      <sheetData sheetId="1">
        <row r="23">
          <cell r="G23">
            <v>1680554.9783776975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17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Dolores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3409845.0462797675</v>
          </cell>
        </row>
        <row r="46">
          <cell r="G46">
            <v>0</v>
          </cell>
        </row>
      </sheetData>
      <sheetData sheetId="1">
        <row r="23">
          <cell r="G23">
            <v>1676198.150281623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Miguel del Monte</v>
          </cell>
        </row>
      </sheetData>
      <sheetData sheetId="7">
        <row r="43">
          <cell r="D43">
            <v>0.63186885245901636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2919362.0765078356</v>
          </cell>
        </row>
        <row r="46">
          <cell r="G46">
            <v>0</v>
          </cell>
        </row>
      </sheetData>
      <sheetData sheetId="1">
        <row r="23">
          <cell r="G23">
            <v>1294679.0151194716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Coronel Brandsen</v>
          </cell>
        </row>
      </sheetData>
      <sheetData sheetId="7">
        <row r="43">
          <cell r="D43">
            <v>0.74085245901639352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3484016.9816182349</v>
          </cell>
        </row>
        <row r="46">
          <cell r="G46">
            <v>0</v>
          </cell>
        </row>
      </sheetData>
      <sheetData sheetId="1">
        <row r="23">
          <cell r="G23">
            <v>1724584.2153786202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Belgrano</v>
          </cell>
        </row>
      </sheetData>
      <sheetData sheetId="7">
        <row r="43">
          <cell r="D43">
            <v>0.65029508196721308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2356343.9847098258</v>
          </cell>
        </row>
        <row r="46">
          <cell r="G46">
            <v>0</v>
          </cell>
        </row>
      </sheetData>
      <sheetData sheetId="1">
        <row r="23">
          <cell r="G23">
            <v>998951.15498906153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Ranchos</v>
          </cell>
        </row>
      </sheetData>
      <sheetData sheetId="7">
        <row r="43">
          <cell r="D43">
            <v>0.32806557377049184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2987176.8412213787</v>
          </cell>
        </row>
        <row r="46">
          <cell r="G46">
            <v>0</v>
          </cell>
        </row>
      </sheetData>
      <sheetData sheetId="1">
        <row r="23">
          <cell r="G23">
            <v>1689728.4764966078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18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Miguel del Monte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2773912.0343701788</v>
          </cell>
        </row>
        <row r="46">
          <cell r="G46">
            <v>0</v>
          </cell>
        </row>
      </sheetData>
      <sheetData sheetId="1">
        <row r="23">
          <cell r="G23">
            <v>1445379.5930279288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18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Coronel Brandsen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3001531.4055521442</v>
          </cell>
        </row>
        <row r="46">
          <cell r="G46">
            <v>0</v>
          </cell>
        </row>
      </sheetData>
      <sheetData sheetId="1">
        <row r="23">
          <cell r="G23">
            <v>1771079.0590597331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16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Belgrano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1843949.7231398835</v>
          </cell>
        </row>
        <row r="46">
          <cell r="G46">
            <v>0</v>
          </cell>
        </row>
      </sheetData>
      <sheetData sheetId="1">
        <row r="23">
          <cell r="G23">
            <v>982336.97850251431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Ranchos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2144346.6407098258</v>
          </cell>
        </row>
        <row r="46">
          <cell r="G46">
            <v>0</v>
          </cell>
        </row>
      </sheetData>
      <sheetData sheetId="1">
        <row r="23">
          <cell r="G23">
            <v>797158.61560722918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Carlos Tejedor</v>
          </cell>
        </row>
      </sheetData>
      <sheetData sheetId="7">
        <row r="43">
          <cell r="D43">
            <v>0.1519344262295082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2208549.0142136766</v>
          </cell>
        </row>
        <row r="46">
          <cell r="G46">
            <v>0</v>
          </cell>
        </row>
      </sheetData>
      <sheetData sheetId="1">
        <row r="23">
          <cell r="G23">
            <v>828669.0501491637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Florentino Ameghino</v>
          </cell>
        </row>
      </sheetData>
      <sheetData sheetId="7">
        <row r="43">
          <cell r="D43">
            <v>0.25659016393442624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2371932.0247098259</v>
          </cell>
        </row>
        <row r="46">
          <cell r="G46">
            <v>0</v>
          </cell>
        </row>
      </sheetData>
      <sheetData sheetId="1">
        <row r="23">
          <cell r="G23">
            <v>1017087.2115367067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América</v>
          </cell>
        </row>
      </sheetData>
      <sheetData sheetId="7">
        <row r="43">
          <cell r="D43">
            <v>0.34406557377049179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1303762.5987776001</v>
          </cell>
        </row>
        <row r="46">
          <cell r="G46">
            <v>0</v>
          </cell>
        </row>
      </sheetData>
      <sheetData sheetId="1">
        <row r="23">
          <cell r="G23">
            <v>720842.21338039811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Tres Algarrobos</v>
          </cell>
        </row>
      </sheetData>
      <sheetData sheetId="7">
        <row r="43">
          <cell r="D43">
            <v>9.5016393442622957E-2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3374900.7016182351</v>
          </cell>
        </row>
        <row r="46">
          <cell r="G46">
            <v>0</v>
          </cell>
        </row>
      </sheetData>
      <sheetData sheetId="1">
        <row r="23">
          <cell r="G23">
            <v>1591246.7336687413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Villegas</v>
          </cell>
        </row>
      </sheetData>
      <sheetData sheetId="7">
        <row r="43">
          <cell r="D43">
            <v>0.6224262295081967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1671830.6264783517</v>
          </cell>
        </row>
        <row r="46">
          <cell r="G46">
            <v>0</v>
          </cell>
        </row>
      </sheetData>
      <sheetData sheetId="1">
        <row r="23">
          <cell r="G23">
            <v>811530.43005918013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Carlos Tejedor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1686185.1908091174</v>
          </cell>
        </row>
        <row r="46">
          <cell r="G46">
            <v>0</v>
          </cell>
        </row>
      </sheetData>
      <sheetData sheetId="1">
        <row r="23">
          <cell r="G23">
            <v>831941.88907815213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Florentino Ameghino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1899416.0104783517</v>
          </cell>
        </row>
        <row r="46">
          <cell r="G46">
            <v>0</v>
          </cell>
        </row>
      </sheetData>
      <sheetData sheetId="1">
        <row r="23">
          <cell r="G23">
            <v>985732.54759661853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América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1060131.7885183999</v>
          </cell>
        </row>
        <row r="46">
          <cell r="G46">
            <v>0</v>
          </cell>
        </row>
      </sheetData>
      <sheetData sheetId="1">
        <row r="23">
          <cell r="G23">
            <v>720238.30879729078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21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Tres Algarrobos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2882445.5637175273</v>
          </cell>
        </row>
        <row r="46">
          <cell r="G46">
            <v>0</v>
          </cell>
        </row>
      </sheetData>
      <sheetData sheetId="1">
        <row r="23">
          <cell r="G23">
            <v>1585161.7203937971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15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Villegas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1338056.2867775999</v>
          </cell>
        </row>
        <row r="46">
          <cell r="G46">
            <v>0</v>
          </cell>
        </row>
      </sheetData>
      <sheetData sheetId="1">
        <row r="23">
          <cell r="G23">
            <v>753927.08164879878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Ascensión</v>
          </cell>
        </row>
      </sheetData>
      <sheetData sheetId="7">
        <row r="43">
          <cell r="D43">
            <v>0.12354098360655738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1313115.4227775999</v>
          </cell>
        </row>
        <row r="46">
          <cell r="G46">
            <v>0</v>
          </cell>
        </row>
      </sheetData>
      <sheetData sheetId="1">
        <row r="23">
          <cell r="G23">
            <v>729223.97875654791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Arribeños</v>
          </cell>
        </row>
      </sheetData>
      <sheetData sheetId="7">
        <row r="43">
          <cell r="D43">
            <v>8.7672131147540994E-2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2131876.2087098258</v>
          </cell>
        </row>
        <row r="46">
          <cell r="G46">
            <v>0</v>
          </cell>
        </row>
      </sheetData>
      <sheetData sheetId="1">
        <row r="23">
          <cell r="G23">
            <v>767825.00920547498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Arenales</v>
          </cell>
        </row>
      </sheetData>
      <sheetData sheetId="7">
        <row r="43">
          <cell r="D43">
            <v>0.15304918032786885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1094425.4765184</v>
          </cell>
        </row>
        <row r="46">
          <cell r="G46">
            <v>0</v>
          </cell>
        </row>
      </sheetData>
      <sheetData sheetId="1">
        <row r="23">
          <cell r="G23">
            <v>747080.43587804888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Ascensión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1069484.6125184</v>
          </cell>
        </row>
        <row r="46">
          <cell r="G46">
            <v>0</v>
          </cell>
        </row>
      </sheetData>
      <sheetData sheetId="1">
        <row r="23">
          <cell r="G23">
            <v>709754.44392633648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16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Arribeños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1619481.9471398836</v>
          </cell>
        </row>
        <row r="46">
          <cell r="G46">
            <v>0</v>
          </cell>
        </row>
      </sheetData>
      <sheetData sheetId="1">
        <row r="23">
          <cell r="G23">
            <v>760170.17874549376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Arenales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1281939.3427775998</v>
          </cell>
        </row>
        <row r="46">
          <cell r="G46">
            <v>0</v>
          </cell>
        </row>
      </sheetData>
      <sheetData sheetId="1">
        <row r="23">
          <cell r="G23">
            <v>700501.52041207952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Juan Bautista Alberdi</v>
          </cell>
        </row>
      </sheetData>
      <sheetData sheetId="7">
        <row r="43">
          <cell r="D43">
            <v>8.6229508196721316E-2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4707842.6050227936</v>
          </cell>
        </row>
        <row r="46">
          <cell r="G46">
            <v>0</v>
          </cell>
        </row>
      </sheetData>
      <sheetData sheetId="1">
        <row r="23">
          <cell r="G23">
            <v>2648249.3613163503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Chacabuco</v>
          </cell>
        </row>
      </sheetData>
      <sheetData sheetId="7">
        <row r="43">
          <cell r="D43">
            <v>1.1971803278688524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2272168.5687098252</v>
          </cell>
        </row>
        <row r="46">
          <cell r="G46">
            <v>0</v>
          </cell>
        </row>
      </sheetData>
      <sheetData sheetId="1">
        <row r="23">
          <cell r="G23">
            <v>943421.56251513364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Vedia</v>
          </cell>
        </row>
      </sheetData>
      <sheetData sheetId="7">
        <row r="43">
          <cell r="D43">
            <v>0.28045901639344262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2443637.0087098256</v>
          </cell>
        </row>
        <row r="46">
          <cell r="G46">
            <v>0</v>
          </cell>
        </row>
      </sheetData>
      <sheetData sheetId="1">
        <row r="23">
          <cell r="G23">
            <v>1111918.7444559573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Los Toldos</v>
          </cell>
        </row>
      </sheetData>
      <sheetData sheetId="7">
        <row r="43">
          <cell r="D43">
            <v>0.46216393442622955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5750938.3644238552</v>
          </cell>
        </row>
        <row r="46">
          <cell r="G46">
            <v>0</v>
          </cell>
        </row>
      </sheetData>
      <sheetData sheetId="1">
        <row r="23">
          <cell r="G23">
            <v>3407698.8555898853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Junín</v>
          </cell>
        </row>
      </sheetData>
      <sheetData sheetId="7">
        <row r="43">
          <cell r="D43">
            <v>2.6733770491803277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1038308.5325184</v>
          </cell>
        </row>
        <row r="46">
          <cell r="G46">
            <v>0</v>
          </cell>
        </row>
      </sheetData>
      <sheetData sheetId="1">
        <row r="23">
          <cell r="G23">
            <v>758545.50785256969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18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Juan Bautista Alberdi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4344991.7709721066</v>
          </cell>
        </row>
        <row r="46">
          <cell r="G46">
            <v>0</v>
          </cell>
        </row>
      </sheetData>
      <sheetData sheetId="1">
        <row r="23">
          <cell r="G23">
            <v>2758597.0180224897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24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Chacabuco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1759774.3071398835</v>
          </cell>
        </row>
        <row r="46">
          <cell r="G46">
            <v>0</v>
          </cell>
        </row>
      </sheetData>
      <sheetData sheetId="1">
        <row r="23">
          <cell r="G23">
            <v>911022.26641415618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Vedia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2279762.6931275614</v>
          </cell>
        </row>
        <row r="46">
          <cell r="G46">
            <v>0</v>
          </cell>
        </row>
      </sheetData>
      <sheetData sheetId="1">
        <row r="23">
          <cell r="G23">
            <v>1183500.80272752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17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Los Toldos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5321623.6253139358</v>
          </cell>
        </row>
        <row r="46">
          <cell r="G46">
            <v>0</v>
          </cell>
        </row>
      </sheetData>
      <sheetData sheetId="1">
        <row r="23">
          <cell r="G23">
            <v>3427409.5671868431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17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Junín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2217901.8382136761</v>
          </cell>
        </row>
        <row r="46">
          <cell r="G46">
            <v>0</v>
          </cell>
        </row>
      </sheetData>
      <sheetData sheetId="1">
        <row r="23">
          <cell r="G23">
            <v>837335.1494937127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Pinto</v>
          </cell>
        </row>
      </sheetData>
      <sheetData sheetId="7">
        <row r="43">
          <cell r="D43">
            <v>0.21540983606557379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3399841.5656182352</v>
          </cell>
        </row>
        <row r="46">
          <cell r="G46">
            <v>0</v>
          </cell>
        </row>
      </sheetData>
      <sheetData sheetId="1">
        <row r="23">
          <cell r="G23">
            <v>1644626.8972191433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Lincoln</v>
          </cell>
        </row>
      </sheetData>
      <sheetData sheetId="7">
        <row r="43">
          <cell r="D43">
            <v>0.81829508196721312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1695538.0148091177</v>
          </cell>
        </row>
        <row r="46">
          <cell r="G46">
            <v>0</v>
          </cell>
        </row>
      </sheetData>
      <sheetData sheetId="1">
        <row r="23">
          <cell r="G23">
            <v>825592.603812129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Pinto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2937295.1132213781</v>
          </cell>
        </row>
        <row r="46">
          <cell r="G46">
            <v>0</v>
          </cell>
        </row>
      </sheetData>
      <sheetData sheetId="1">
        <row r="23">
          <cell r="G23">
            <v>1637966.2410155702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18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Lincoln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2412460.9287098255</v>
          </cell>
        </row>
        <row r="46">
          <cell r="G46">
            <v>0</v>
          </cell>
        </row>
      </sheetData>
      <sheetData sheetId="1">
        <row r="23">
          <cell r="G23">
            <v>1051748.9895826047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Coronel Dorrego</v>
          </cell>
        </row>
      </sheetData>
      <sheetData sheetId="7">
        <row r="43">
          <cell r="D43">
            <v>0.31488524590163935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3343073.9649567031</v>
          </cell>
        </row>
        <row r="46">
          <cell r="G46">
            <v>0</v>
          </cell>
        </row>
      </sheetData>
      <sheetData sheetId="1">
        <row r="23">
          <cell r="G23">
            <v>1553195.5879469644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Monte Hermoso</v>
          </cell>
        </row>
      </sheetData>
      <sheetData sheetId="7">
        <row r="43">
          <cell r="D43">
            <v>0.63383606557377048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1939944.9144783516</v>
          </cell>
        </row>
        <row r="46">
          <cell r="G46">
            <v>0</v>
          </cell>
        </row>
      </sheetData>
      <sheetData sheetId="1">
        <row r="23">
          <cell r="G23">
            <v>1013438.8371357837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Coronel Dorrego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2750923.2087098253</v>
          </cell>
        </row>
        <row r="46">
          <cell r="G46">
            <v>0</v>
          </cell>
        </row>
      </sheetData>
      <sheetData sheetId="1">
        <row r="23">
          <cell r="G23">
            <v>1567624.5169445437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9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Monte Hermoso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2300227.0407098257</v>
          </cell>
        </row>
        <row r="46">
          <cell r="G46">
            <v>0</v>
          </cell>
        </row>
      </sheetData>
      <sheetData sheetId="1">
        <row r="23">
          <cell r="G23">
            <v>963546.56240623328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Suipacha</v>
          </cell>
        </row>
      </sheetData>
      <sheetData sheetId="7">
        <row r="43">
          <cell r="D43">
            <v>0.27632786885245902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4798219.3181958785</v>
          </cell>
        </row>
        <row r="46">
          <cell r="G46">
            <v>0</v>
          </cell>
        </row>
      </sheetData>
      <sheetData sheetId="1">
        <row r="23">
          <cell r="G23">
            <v>2670227.1264396827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Mercedes</v>
          </cell>
        </row>
      </sheetData>
      <sheetData sheetId="7">
        <row r="43">
          <cell r="D43">
            <v>1.6528524590163935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3605603.6936182352</v>
          </cell>
        </row>
        <row r="46">
          <cell r="G46">
            <v>0</v>
          </cell>
        </row>
      </sheetData>
      <sheetData sheetId="1">
        <row r="23">
          <cell r="G23">
            <v>1877073.4540470568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Lobos</v>
          </cell>
        </row>
      </sheetData>
      <sheetData sheetId="7">
        <row r="43">
          <cell r="D43">
            <v>0.942360655737705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2484748.7317175274</v>
          </cell>
        </row>
        <row r="46">
          <cell r="G46">
            <v>0</v>
          </cell>
        </row>
      </sheetData>
      <sheetData sheetId="1">
        <row r="23">
          <cell r="G23">
            <v>1076444.4614672498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Las Heras</v>
          </cell>
        </row>
      </sheetData>
      <sheetData sheetId="7">
        <row r="43">
          <cell r="D43">
            <v>0.36708196721311476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3269552.6862797677</v>
          </cell>
        </row>
        <row r="46">
          <cell r="G46">
            <v>0</v>
          </cell>
        </row>
      </sheetData>
      <sheetData sheetId="1">
        <row r="23">
          <cell r="G23">
            <v>1543884.2242898394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Navarro</v>
          </cell>
        </row>
      </sheetData>
      <sheetData sheetId="7">
        <row r="43">
          <cell r="D43">
            <v>0.45888524590163937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1827711.0264783516</v>
          </cell>
        </row>
        <row r="46">
          <cell r="G46">
            <v>0</v>
          </cell>
        </row>
      </sheetData>
      <sheetData sheetId="1">
        <row r="23">
          <cell r="G23">
            <v>936302.61581151746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Suipacha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4660930.4096991923</v>
          </cell>
        </row>
        <row r="46">
          <cell r="G46">
            <v>0</v>
          </cell>
        </row>
      </sheetData>
      <sheetData sheetId="1">
        <row r="23">
          <cell r="G23">
            <v>2865694.1068767202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19</v>
          </cell>
        </row>
      </sheetData>
      <sheetData sheetId="3">
        <row r="27">
          <cell r="L27">
            <v>4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Mercedes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3484930.7442975938</v>
          </cell>
        </row>
        <row r="46">
          <cell r="G46">
            <v>0</v>
          </cell>
        </row>
      </sheetData>
      <sheetData sheetId="1">
        <row r="23">
          <cell r="G23">
            <v>2006391.7719001852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19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Lobos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1952415.3464783516</v>
          </cell>
        </row>
        <row r="46">
          <cell r="G46">
            <v>0</v>
          </cell>
        </row>
      </sheetData>
      <sheetData sheetId="1">
        <row r="23">
          <cell r="G23">
            <v>1057296.1238175405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Las Heras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2816975.7957175272</v>
          </cell>
        </row>
        <row r="46">
          <cell r="G46">
            <v>0</v>
          </cell>
        </row>
      </sheetData>
      <sheetData sheetId="1">
        <row r="23">
          <cell r="G23">
            <v>1528599.2591643201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15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Navarro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6729708.0387735227</v>
          </cell>
        </row>
        <row r="46">
          <cell r="G46">
            <v>0</v>
          </cell>
        </row>
      </sheetData>
      <sheetData sheetId="1">
        <row r="23">
          <cell r="G23">
            <v>4262465.0678163618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Necochea - Quequén</v>
          </cell>
        </row>
      </sheetData>
      <sheetData sheetId="7">
        <row r="43">
          <cell r="D43">
            <v>2.4934426229508198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2428048.9687098255</v>
          </cell>
        </row>
        <row r="46">
          <cell r="G46">
            <v>0</v>
          </cell>
        </row>
      </sheetData>
      <sheetData sheetId="1">
        <row r="23">
          <cell r="G23">
            <v>1091157.3037871043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Lobería</v>
          </cell>
        </row>
      </sheetData>
      <sheetData sheetId="7">
        <row r="43">
          <cell r="D43">
            <v>0.37331147540983606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6519664.5811758544</v>
          </cell>
        </row>
        <row r="46">
          <cell r="G46">
            <v>0</v>
          </cell>
        </row>
      </sheetData>
      <sheetData sheetId="1">
        <row r="23">
          <cell r="G23">
            <v>4423281.6153089572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15</v>
          </cell>
        </row>
      </sheetData>
      <sheetData sheetId="3">
        <row r="27">
          <cell r="L27">
            <v>5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Necochea - Quequén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2015350.3254860535</v>
          </cell>
        </row>
        <row r="46">
          <cell r="G46">
            <v>0</v>
          </cell>
        </row>
      </sheetData>
      <sheetData sheetId="1">
        <row r="23">
          <cell r="G23">
            <v>1072982.1780975978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Lobería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3334371.7976182355</v>
          </cell>
        </row>
        <row r="46">
          <cell r="G46">
            <v>0</v>
          </cell>
        </row>
      </sheetData>
      <sheetData sheetId="1">
        <row r="23">
          <cell r="G23">
            <v>1583491.8459045743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Salto</v>
          </cell>
        </row>
      </sheetData>
      <sheetData sheetId="7">
        <row r="43">
          <cell r="D43">
            <v>0.93462295081967217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3250847.0382797671</v>
          </cell>
        </row>
        <row r="46">
          <cell r="G46">
            <v>0</v>
          </cell>
        </row>
      </sheetData>
      <sheetData sheetId="1">
        <row r="23">
          <cell r="G23">
            <v>1535943.4348162354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Colón</v>
          </cell>
        </row>
      </sheetData>
      <sheetData sheetId="7">
        <row r="43">
          <cell r="D43">
            <v>0.69062295081967218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3421664.8216182347</v>
          </cell>
        </row>
        <row r="46">
          <cell r="G46">
            <v>0</v>
          </cell>
        </row>
      </sheetData>
      <sheetData sheetId="1">
        <row r="23">
          <cell r="G23">
            <v>1661573.7630132395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Arrecifes</v>
          </cell>
        </row>
      </sheetData>
      <sheetData sheetId="7">
        <row r="43">
          <cell r="D43">
            <v>0.78603278688524592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2686708.6762290802</v>
          </cell>
        </row>
        <row r="46">
          <cell r="G46">
            <v>0</v>
          </cell>
        </row>
      </sheetData>
      <sheetData sheetId="1">
        <row r="23">
          <cell r="G23">
            <v>1191028.4764311931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Rojas</v>
          </cell>
        </row>
      </sheetData>
      <sheetData sheetId="7">
        <row r="43">
          <cell r="D43">
            <v>0.59803278688524597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5508898.1529631335</v>
          </cell>
        </row>
        <row r="46">
          <cell r="G46">
            <v>0</v>
          </cell>
        </row>
      </sheetData>
      <sheetData sheetId="1">
        <row r="23">
          <cell r="G23">
            <v>3228914.2735003131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Pergamino</v>
          </cell>
        </row>
      </sheetData>
      <sheetData sheetId="7">
        <row r="43">
          <cell r="D43">
            <v>2.5925901639344264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2911703.5242047952</v>
          </cell>
        </row>
        <row r="46">
          <cell r="G46">
            <v>0</v>
          </cell>
        </row>
      </sheetData>
      <sheetData sheetId="1">
        <row r="23">
          <cell r="G23">
            <v>1613782.4507592293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19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Salto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2848117.888535561</v>
          </cell>
        </row>
        <row r="46">
          <cell r="G46">
            <v>0</v>
          </cell>
        </row>
      </sheetData>
      <sheetData sheetId="1">
        <row r="23">
          <cell r="G23">
            <v>1562268.4501141631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17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Colón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2998996.5482047955</v>
          </cell>
        </row>
        <row r="46">
          <cell r="G46">
            <v>0</v>
          </cell>
        </row>
      </sheetData>
      <sheetData sheetId="1">
        <row r="23">
          <cell r="G23">
            <v>1676632.0451414578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19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Arrecifes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2443077.86596988</v>
          </cell>
        </row>
        <row r="46">
          <cell r="G46">
            <v>0</v>
          </cell>
        </row>
      </sheetData>
      <sheetData sheetId="1">
        <row r="23">
          <cell r="G23">
            <v>1268697.9158133767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Rojas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5185510.6885318784</v>
          </cell>
        </row>
        <row r="46">
          <cell r="G46">
            <v>0</v>
          </cell>
        </row>
      </sheetData>
      <sheetData sheetId="1">
        <row r="23">
          <cell r="G23">
            <v>3329915.6053165519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15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Pergamino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2287756.6087098252</v>
          </cell>
        </row>
        <row r="46">
          <cell r="G46">
            <v>0</v>
          </cell>
        </row>
      </sheetData>
      <sheetData sheetId="1">
        <row r="23">
          <cell r="G23">
            <v>951668.13238528091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Ramallo</v>
          </cell>
        </row>
      </sheetData>
      <sheetData sheetId="7">
        <row r="43">
          <cell r="D43">
            <v>0.39311475409836066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2362579.2007098258</v>
          </cell>
        </row>
        <row r="46">
          <cell r="G46">
            <v>0</v>
          </cell>
        </row>
      </sheetData>
      <sheetData sheetId="1">
        <row r="23">
          <cell r="G23">
            <v>990640.11106081447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Villa Ramallo</v>
          </cell>
        </row>
      </sheetData>
      <sheetData sheetId="7">
        <row r="43">
          <cell r="D43">
            <v>0.31265573770491806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6752696.6593687227</v>
          </cell>
        </row>
        <row r="46">
          <cell r="G46">
            <v>0</v>
          </cell>
        </row>
      </sheetData>
      <sheetData sheetId="1">
        <row r="23">
          <cell r="G23">
            <v>4137972.202804218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Nicolás de los Arroyos</v>
          </cell>
        </row>
      </sheetData>
      <sheetData sheetId="7">
        <row r="43">
          <cell r="D43">
            <v>3.7959344262295081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1835179.7181475854</v>
          </cell>
        </row>
        <row r="46">
          <cell r="G46">
            <v>0</v>
          </cell>
        </row>
      </sheetData>
      <sheetData sheetId="1">
        <row r="23">
          <cell r="G23">
            <v>927346.34717199416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18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Ramallo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1870124.0628091176</v>
          </cell>
        </row>
        <row r="46">
          <cell r="G46">
            <v>0</v>
          </cell>
        </row>
      </sheetData>
      <sheetData sheetId="1">
        <row r="23">
          <cell r="G23">
            <v>962837.13033436914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Villa Ramallo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6502775.2278527906</v>
          </cell>
        </row>
        <row r="46">
          <cell r="G46">
            <v>0</v>
          </cell>
        </row>
      </sheetData>
      <sheetData sheetId="1">
        <row r="23">
          <cell r="G23">
            <v>4345368.3915134724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19</v>
          </cell>
        </row>
      </sheetData>
      <sheetData sheetId="3">
        <row r="27">
          <cell r="L27">
            <v>5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Nicolás de los Arroyos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3222137.9096182352</v>
          </cell>
        </row>
        <row r="46">
          <cell r="G46">
            <v>0</v>
          </cell>
        </row>
      </sheetData>
      <sheetData sheetId="1">
        <row r="23">
          <cell r="G23">
            <v>1468290.762718054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Las Flores</v>
          </cell>
        </row>
      </sheetData>
      <sheetData sheetId="7">
        <row r="43">
          <cell r="D43">
            <v>0.71849180327868856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2406225.7127098255</v>
          </cell>
        </row>
        <row r="46">
          <cell r="G46">
            <v>0</v>
          </cell>
        </row>
      </sheetData>
      <sheetData sheetId="1">
        <row r="23">
          <cell r="G23">
            <v>1055102.6128738597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Roque Pérez</v>
          </cell>
        </row>
      </sheetData>
      <sheetData sheetId="7">
        <row r="43">
          <cell r="D43">
            <v>0.40990163934426227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2309579.8647098257</v>
          </cell>
        </row>
        <row r="46">
          <cell r="G46">
            <v>0</v>
          </cell>
        </row>
      </sheetData>
      <sheetData sheetId="1">
        <row r="23">
          <cell r="G23">
            <v>967123.29766280018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General Alvear</v>
          </cell>
        </row>
      </sheetData>
      <sheetData sheetId="7">
        <row r="43">
          <cell r="D43">
            <v>0.2337049180327869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3403609.8302797675</v>
          </cell>
        </row>
        <row r="46">
          <cell r="G46">
            <v>0</v>
          </cell>
        </row>
      </sheetData>
      <sheetData sheetId="1">
        <row r="23">
          <cell r="G23">
            <v>1682867.9803502634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25 de Mayo</v>
          </cell>
        </row>
      </sheetData>
      <sheetData sheetId="7">
        <row r="43">
          <cell r="D43">
            <v>0.67180327868852463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3508307.1889567031</v>
          </cell>
        </row>
        <row r="46">
          <cell r="G46">
            <v>0</v>
          </cell>
        </row>
      </sheetData>
      <sheetData sheetId="1">
        <row r="23">
          <cell r="G23">
            <v>1711243.7547334253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Saladillo</v>
          </cell>
        </row>
      </sheetData>
      <sheetData sheetId="7">
        <row r="43">
          <cell r="D43">
            <v>0.93822950819672135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2849317.4453778807</v>
          </cell>
        </row>
        <row r="46">
          <cell r="G46">
            <v>0</v>
          </cell>
        </row>
      </sheetData>
      <sheetData sheetId="1">
        <row r="23">
          <cell r="G23">
            <v>1556198.4736167486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24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Las Flores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2222412.2734583272</v>
          </cell>
        </row>
        <row r="46">
          <cell r="G46">
            <v>0</v>
          </cell>
        </row>
      </sheetData>
      <sheetData sheetId="1">
        <row r="23">
          <cell r="G23">
            <v>1153980.7468838012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Roque Pérez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1797185.6031398836</v>
          </cell>
        </row>
        <row r="46">
          <cell r="G46">
            <v>0</v>
          </cell>
        </row>
      </sheetData>
      <sheetData sheetId="1">
        <row r="23">
          <cell r="G23">
            <v>930632.97698952025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Alvear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3010850.2423701785</v>
          </cell>
        </row>
        <row r="46">
          <cell r="G46">
            <v>0</v>
          </cell>
        </row>
      </sheetData>
      <sheetData sheetId="1">
        <row r="23">
          <cell r="G23">
            <v>1698226.0366101677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18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25 de Mayo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2916156.4327098252</v>
          </cell>
        </row>
        <row r="46">
          <cell r="G46">
            <v>0</v>
          </cell>
        </row>
      </sheetData>
      <sheetData sheetId="1">
        <row r="23">
          <cell r="G23">
            <v>1721090.3181464234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9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Saladillo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2212934.0167098255</v>
          </cell>
        </row>
        <row r="46">
          <cell r="G46">
            <v>0</v>
          </cell>
        </row>
      </sheetData>
      <sheetData sheetId="1">
        <row r="23">
          <cell r="G23">
            <v>875950.17358708684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Rauch</v>
          </cell>
        </row>
      </sheetData>
      <sheetData sheetId="7">
        <row r="43">
          <cell r="D43">
            <v>0.41075409836065574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6662936.9574504588</v>
          </cell>
        </row>
        <row r="46">
          <cell r="G46">
            <v>0</v>
          </cell>
        </row>
      </sheetData>
      <sheetData sheetId="1">
        <row r="23">
          <cell r="G23">
            <v>4151647.6247418788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Tandil</v>
          </cell>
        </row>
      </sheetData>
      <sheetData sheetId="7">
        <row r="43">
          <cell r="D43">
            <v>4.338032786885246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1740418.0024783516</v>
          </cell>
        </row>
        <row r="46">
          <cell r="G46">
            <v>0</v>
          </cell>
        </row>
      </sheetData>
      <sheetData sheetId="1">
        <row r="23">
          <cell r="G23">
            <v>868013.55055266269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Rauch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6602436.5855967905</v>
          </cell>
        </row>
        <row r="46">
          <cell r="G46">
            <v>0</v>
          </cell>
        </row>
      </sheetData>
      <sheetData sheetId="1">
        <row r="23">
          <cell r="G23">
            <v>4247011.7971356139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19</v>
          </cell>
        </row>
      </sheetData>
      <sheetData sheetId="3">
        <row r="27">
          <cell r="L27">
            <v>5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Tandil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2281521.3927098257</v>
          </cell>
        </row>
        <row r="46">
          <cell r="G46">
            <v>0</v>
          </cell>
        </row>
      </sheetData>
      <sheetData sheetId="1">
        <row r="23">
          <cell r="G23">
            <v>945643.46136655379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Tres Lomas</v>
          </cell>
        </row>
      </sheetData>
      <sheetData sheetId="7">
        <row r="43">
          <cell r="D43">
            <v>0.23973770491803281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2163052.2887098254</v>
          </cell>
        </row>
        <row r="46">
          <cell r="G46">
            <v>0</v>
          </cell>
        </row>
      </sheetData>
      <sheetData sheetId="1">
        <row r="23">
          <cell r="G23">
            <v>812259.2338966853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Pellegrini</v>
          </cell>
        </row>
      </sheetData>
      <sheetData sheetId="7">
        <row r="43">
          <cell r="D43">
            <v>0.15698360655737706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3615607.1742797671</v>
          </cell>
        </row>
        <row r="46">
          <cell r="G46">
            <v>0</v>
          </cell>
        </row>
      </sheetData>
      <sheetData sheetId="1">
        <row r="23">
          <cell r="G23">
            <v>1931868.094578885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Trenque Lauquen</v>
          </cell>
        </row>
      </sheetData>
      <sheetData sheetId="7">
        <row r="43">
          <cell r="D43">
            <v>1.0748852459016394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1789066.2548091176</v>
          </cell>
        </row>
        <row r="46">
          <cell r="G46">
            <v>0</v>
          </cell>
        </row>
      </sheetData>
      <sheetData sheetId="1">
        <row r="23">
          <cell r="G23">
            <v>913770.42322432308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Tres Lomas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1690536.2744783517</v>
          </cell>
        </row>
        <row r="46">
          <cell r="G46">
            <v>0</v>
          </cell>
        </row>
      </sheetData>
      <sheetData sheetId="1">
        <row r="23">
          <cell r="G23">
            <v>824605.82690545567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Pellegrini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3163030.2837175271</v>
          </cell>
        </row>
        <row r="46">
          <cell r="G46">
            <v>0</v>
          </cell>
        </row>
      </sheetData>
      <sheetData sheetId="1">
        <row r="23">
          <cell r="G23">
            <v>1925626.5433653006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15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Trenque Lauquen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3363080.9262797674</v>
          </cell>
        </row>
        <row r="46">
          <cell r="G46">
            <v>0</v>
          </cell>
        </row>
      </sheetData>
      <sheetData sheetId="1">
        <row r="23">
          <cell r="G23">
            <v>1630320.2013767203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Benito Juárez</v>
          </cell>
        </row>
      </sheetData>
      <sheetData sheetId="7">
        <row r="43">
          <cell r="D43">
            <v>0.43895081967213112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2306462.2567098257</v>
          </cell>
        </row>
        <row r="46">
          <cell r="G46">
            <v>0</v>
          </cell>
        </row>
      </sheetData>
      <sheetData sheetId="1">
        <row r="23">
          <cell r="G23">
            <v>957507.43624639092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San Cayetano</v>
          </cell>
        </row>
      </sheetData>
      <sheetData sheetId="7">
        <row r="43">
          <cell r="D43">
            <v>0.24340983606557376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2415578.5367098255</v>
          </cell>
        </row>
        <row r="46">
          <cell r="G46">
            <v>0</v>
          </cell>
        </row>
      </sheetData>
      <sheetData sheetId="1">
        <row r="23">
          <cell r="G23">
            <v>1090992.7990073115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Adolfo Gonzáles Chaves</v>
          </cell>
        </row>
      </sheetData>
      <sheetData sheetId="7">
        <row r="43">
          <cell r="D43">
            <v>0.27318032786885249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4714077.8210227937</v>
          </cell>
        </row>
        <row r="46">
          <cell r="G46">
            <v>0</v>
          </cell>
        </row>
      </sheetData>
      <sheetData sheetId="1">
        <row r="23">
          <cell r="G23">
            <v>2641955.2051032032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Tres Arroyos</v>
          </cell>
        </row>
      </sheetData>
      <sheetData sheetId="7">
        <row r="43">
          <cell r="D43">
            <v>1.4130491803278689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2920473.5975521444</v>
          </cell>
        </row>
        <row r="46">
          <cell r="G46">
            <v>0</v>
          </cell>
        </row>
      </sheetData>
      <sheetData sheetId="1">
        <row r="23">
          <cell r="G23">
            <v>1679558.9922729018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16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Benito Juárez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1814007.1188091175</v>
          </cell>
        </row>
        <row r="46">
          <cell r="G46">
            <v>0</v>
          </cell>
        </row>
      </sheetData>
      <sheetData sheetId="1">
        <row r="23">
          <cell r="G23">
            <v>930280.09656611923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Cayetano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1943062.5224783516</v>
          </cell>
        </row>
        <row r="46">
          <cell r="G46">
            <v>0</v>
          </cell>
        </row>
      </sheetData>
      <sheetData sheetId="1">
        <row r="23">
          <cell r="G23">
            <v>1055729.3923712512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Adolfo Gonzáles Chaves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4151835.7502797674</v>
          </cell>
        </row>
        <row r="46">
          <cell r="G46">
            <v>0</v>
          </cell>
        </row>
      </sheetData>
      <sheetData sheetId="1">
        <row r="23">
          <cell r="G23">
            <v>2665821.9879375827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9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Tres Arroyos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2224137.0542136761</v>
          </cell>
        </row>
        <row r="46">
          <cell r="G46">
            <v>0</v>
          </cell>
        </row>
      </sheetData>
      <sheetData sheetId="1">
        <row r="23">
          <cell r="G23">
            <v>848364.6427963645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Mayor Buratovich</v>
          </cell>
        </row>
      </sheetData>
      <sheetData sheetId="7">
        <row r="43">
          <cell r="D43">
            <v>0.19665573770491804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2417428.7502136761</v>
          </cell>
        </row>
        <row r="46">
          <cell r="G46">
            <v>0</v>
          </cell>
        </row>
      </sheetData>
      <sheetData sheetId="1">
        <row r="23">
          <cell r="G23">
            <v>1014104.1830308607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Pedro Luro</v>
          </cell>
        </row>
      </sheetData>
      <sheetData sheetId="7">
        <row r="43">
          <cell r="D43">
            <v>0.56400000000000006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1681834.1071398836</v>
          </cell>
        </row>
        <row r="46">
          <cell r="G46">
            <v>0</v>
          </cell>
        </row>
      </sheetData>
      <sheetData sheetId="1">
        <row r="23">
          <cell r="G23">
            <v>820891.63214100036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Mayor Buratovich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1915004.0504783518</v>
          </cell>
        </row>
        <row r="46">
          <cell r="G46">
            <v>0</v>
          </cell>
        </row>
      </sheetData>
      <sheetData sheetId="1">
        <row r="23">
          <cell r="G23">
            <v>999567.4468168848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15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Pedro Luro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4776362.1433689632</v>
          </cell>
        </row>
        <row r="46">
          <cell r="G46">
            <v>0</v>
          </cell>
        </row>
      </sheetData>
      <sheetData sheetId="1">
        <row r="23">
          <cell r="G23">
            <v>2672050.674685196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Zárate</v>
          </cell>
        </row>
      </sheetData>
      <sheetData sheetId="7">
        <row r="43">
          <cell r="D43">
            <v>2.6759344262295079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5931725.5956718549</v>
          </cell>
        </row>
        <row r="46">
          <cell r="G46">
            <v>0</v>
          </cell>
        </row>
      </sheetData>
      <sheetData sheetId="1">
        <row r="23">
          <cell r="G23">
            <v>3541079.2166838166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Campana</v>
          </cell>
        </row>
      </sheetData>
      <sheetData sheetId="7">
        <row r="43">
          <cell r="D43">
            <v>2.3847868852459015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4516115.3967187358</v>
          </cell>
        </row>
        <row r="46">
          <cell r="G46">
            <v>0</v>
          </cell>
        </row>
      </sheetData>
      <sheetData sheetId="1">
        <row r="23">
          <cell r="G23">
            <v>2805566.1610112451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17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Zárate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5299696.8199366797</v>
          </cell>
        </row>
        <row r="46">
          <cell r="G46">
            <v>0</v>
          </cell>
        </row>
      </sheetData>
      <sheetData sheetId="1">
        <row r="23">
          <cell r="G23">
            <v>3595492.0877668094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15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Campana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5260619.2797599919</v>
          </cell>
        </row>
        <row r="46">
          <cell r="G46">
            <v>0</v>
          </cell>
        </row>
      </sheetData>
      <sheetData sheetId="1">
        <row r="23">
          <cell r="G23">
            <v>3069942.0999393365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Miramar</v>
          </cell>
        </row>
      </sheetData>
      <sheetData sheetId="7">
        <row r="43">
          <cell r="D43">
            <v>1.348983606557377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2212934.0167098255</v>
          </cell>
        </row>
        <row r="46">
          <cell r="G46">
            <v>0</v>
          </cell>
        </row>
      </sheetData>
      <sheetData sheetId="1">
        <row r="23">
          <cell r="G23">
            <v>864457.86238639452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Comandante Nicanor Otamendi</v>
          </cell>
        </row>
      </sheetData>
      <sheetData sheetId="7">
        <row r="43">
          <cell r="D43">
            <v>0.16636065573770492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20906592.355105683</v>
          </cell>
        </row>
        <row r="46">
          <cell r="G46">
            <v>0</v>
          </cell>
        </row>
      </sheetData>
      <sheetData sheetId="1">
        <row r="23">
          <cell r="G23">
            <v>14240947.604024746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Mar del Plata</v>
          </cell>
        </row>
      </sheetData>
      <sheetData sheetId="7">
        <row r="43">
          <cell r="D43">
            <v>5.4859803278688526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5023634.7529171361</v>
          </cell>
        </row>
        <row r="46">
          <cell r="G46">
            <v>0</v>
          </cell>
        </row>
      </sheetData>
      <sheetData sheetId="1">
        <row r="23">
          <cell r="G23">
            <v>3217138.9359132922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17</v>
          </cell>
        </row>
      </sheetData>
      <sheetData sheetId="3">
        <row r="27">
          <cell r="L27">
            <v>4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Miramar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1700539.7551398836</v>
          </cell>
        </row>
        <row r="46">
          <cell r="G46">
            <v>0</v>
          </cell>
        </row>
      </sheetData>
      <sheetData sheetId="1">
        <row r="23">
          <cell r="G23">
            <v>845349.47971256962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9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Comandante Nicanor Otamendi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23684889.80084252</v>
          </cell>
        </row>
        <row r="46">
          <cell r="G46">
            <v>0</v>
          </cell>
        </row>
      </sheetData>
      <sheetData sheetId="1">
        <row r="23">
          <cell r="G23">
            <v>16276163.525221255</v>
          </cell>
        </row>
        <row r="46">
          <cell r="G46">
            <v>0</v>
          </cell>
        </row>
      </sheetData>
      <sheetData sheetId="2">
        <row r="25">
          <cell r="L25">
            <v>27</v>
          </cell>
          <cell r="R25">
            <v>24</v>
          </cell>
        </row>
      </sheetData>
      <sheetData sheetId="3">
        <row r="27">
          <cell r="L27">
            <v>9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Mar del Plata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4120659.6702797674</v>
          </cell>
        </row>
        <row r="46">
          <cell r="G46">
            <v>0</v>
          </cell>
        </row>
      </sheetData>
      <sheetData sheetId="1">
        <row r="23">
          <cell r="G23">
            <v>2633710.3732079063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9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Magdalena</v>
          </cell>
        </row>
      </sheetData>
      <sheetData sheetId="7">
        <row r="43">
          <cell r="D43">
            <v>0.36629508196721311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5167387.9506796487</v>
          </cell>
        </row>
        <row r="46">
          <cell r="G46">
            <v>0</v>
          </cell>
        </row>
      </sheetData>
      <sheetData sheetId="1">
        <row r="23">
          <cell r="G23">
            <v>3301034.8102322803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21</v>
          </cell>
        </row>
      </sheetData>
      <sheetData sheetId="3">
        <row r="27">
          <cell r="L27">
            <v>4</v>
          </cell>
          <cell r="Q27">
            <v>12</v>
          </cell>
        </row>
      </sheetData>
      <sheetData sheetId="4"/>
      <sheetData sheetId="5"/>
      <sheetData sheetId="6">
        <row r="2">
          <cell r="C2" t="str">
            <v>Berisso</v>
          </cell>
        </row>
      </sheetData>
      <sheetData sheetId="7">
        <row r="43">
          <cell r="D43">
            <v>2.4341639344262296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3823893.8487129067</v>
          </cell>
        </row>
        <row r="46">
          <cell r="G46">
            <v>0</v>
          </cell>
        </row>
      </sheetData>
      <sheetData sheetId="1">
        <row r="23">
          <cell r="G23">
            <v>2297941.5191338016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24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Ensenada</v>
          </cell>
        </row>
      </sheetData>
      <sheetData sheetId="7">
        <row r="43">
          <cell r="D43">
            <v>1.5670163934426229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448918838.09960014</v>
          </cell>
        </row>
        <row r="46">
          <cell r="G46">
            <v>0</v>
          </cell>
        </row>
      </sheetData>
      <sheetData sheetId="1">
        <row r="23">
          <cell r="G23">
            <v>205264865.64400089</v>
          </cell>
        </row>
        <row r="46">
          <cell r="G46">
            <v>0</v>
          </cell>
        </row>
      </sheetData>
      <sheetData sheetId="2">
        <row r="25">
          <cell r="L25">
            <v>1246</v>
          </cell>
          <cell r="R25">
            <v>24</v>
          </cell>
        </row>
      </sheetData>
      <sheetData sheetId="3">
        <row r="27">
          <cell r="L27">
            <v>19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La Plata</v>
          </cell>
        </row>
      </sheetData>
      <sheetData sheetId="7">
        <row r="43">
          <cell r="D43">
            <v>4.4308327868852464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5158033.5421887897</v>
          </cell>
        </row>
        <row r="46">
          <cell r="G46">
            <v>0</v>
          </cell>
        </row>
      </sheetData>
      <sheetData sheetId="1">
        <row r="23">
          <cell r="G23">
            <v>3165188.5730881114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19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Marcos Paz</v>
          </cell>
        </row>
      </sheetData>
      <sheetData sheetId="7">
        <row r="43">
          <cell r="D43">
            <v>1.7375081967213117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6479089.7490187874</v>
          </cell>
        </row>
        <row r="46">
          <cell r="G46">
            <v>0</v>
          </cell>
        </row>
      </sheetData>
      <sheetData sheetId="1">
        <row r="23">
          <cell r="G23">
            <v>4183104.0883272747</v>
          </cell>
        </row>
        <row r="46">
          <cell r="G46">
            <v>0</v>
          </cell>
        </row>
      </sheetData>
      <sheetData sheetId="2">
        <row r="25">
          <cell r="L25">
            <v>7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San Vicente</v>
          </cell>
        </row>
      </sheetData>
      <sheetData sheetId="7">
        <row r="43">
          <cell r="D43">
            <v>3.1047868852459017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3390580.1871847715</v>
          </cell>
        </row>
        <row r="46">
          <cell r="G46">
            <v>0</v>
          </cell>
        </row>
      </sheetData>
      <sheetData sheetId="1">
        <row r="23">
          <cell r="G23">
            <v>1929375.0019401074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18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Cañuelas</v>
          </cell>
        </row>
      </sheetData>
      <sheetData sheetId="7">
        <row r="43">
          <cell r="D43">
            <v>1.2925901639344262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5584336.2530187881</v>
          </cell>
        </row>
        <row r="46">
          <cell r="G46">
            <v>0</v>
          </cell>
        </row>
      </sheetData>
      <sheetData sheetId="1">
        <row r="23">
          <cell r="G23">
            <v>3240365.7462649378</v>
          </cell>
        </row>
        <row r="46">
          <cell r="G46">
            <v>0</v>
          </cell>
        </row>
      </sheetData>
      <sheetData sheetId="2">
        <row r="25">
          <cell r="L25">
            <v>7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Ezeiza</v>
          </cell>
        </row>
      </sheetData>
      <sheetData sheetId="7">
        <row r="43">
          <cell r="D43">
            <v>5.5277377049180325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67251706.585836962</v>
          </cell>
        </row>
        <row r="46">
          <cell r="G46">
            <v>0</v>
          </cell>
        </row>
      </sheetData>
      <sheetData sheetId="1">
        <row r="23">
          <cell r="G23">
            <v>38976235.773238689</v>
          </cell>
        </row>
        <row r="46">
          <cell r="G46">
            <v>0</v>
          </cell>
        </row>
      </sheetData>
      <sheetData sheetId="2">
        <row r="25">
          <cell r="L25">
            <v>133</v>
          </cell>
          <cell r="R25">
            <v>24</v>
          </cell>
        </row>
      </sheetData>
      <sheetData sheetId="3">
        <row r="27">
          <cell r="L27">
            <v>11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La Matanza</v>
          </cell>
        </row>
      </sheetData>
      <sheetData sheetId="7">
        <row r="43">
          <cell r="D43">
            <v>8.4436852459016407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29462487.946992721</v>
          </cell>
        </row>
        <row r="46">
          <cell r="G46">
            <v>0</v>
          </cell>
        </row>
      </sheetData>
      <sheetData sheetId="1">
        <row r="23">
          <cell r="G23">
            <v>20030164.200893793</v>
          </cell>
        </row>
        <row r="46">
          <cell r="G46">
            <v>0</v>
          </cell>
        </row>
      </sheetData>
      <sheetData sheetId="2">
        <row r="25">
          <cell r="L25">
            <v>42</v>
          </cell>
          <cell r="R25">
            <v>24</v>
          </cell>
        </row>
      </sheetData>
      <sheetData sheetId="3">
        <row r="27">
          <cell r="L27">
            <v>9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Almirante Brown</v>
          </cell>
        </row>
      </sheetData>
      <sheetData sheetId="7">
        <row r="43">
          <cell r="D43">
            <v>2.5036327868852464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15414578.355217684</v>
          </cell>
        </row>
        <row r="46">
          <cell r="G46">
            <v>0</v>
          </cell>
        </row>
      </sheetData>
      <sheetData sheetId="1">
        <row r="23">
          <cell r="G23">
            <v>10607436.891573912</v>
          </cell>
        </row>
        <row r="46">
          <cell r="G46">
            <v>0</v>
          </cell>
        </row>
      </sheetData>
      <sheetData sheetId="2">
        <row r="25">
          <cell r="L25">
            <v>18</v>
          </cell>
          <cell r="R25">
            <v>24</v>
          </cell>
        </row>
      </sheetData>
      <sheetData sheetId="3">
        <row r="27">
          <cell r="L27">
            <v>7</v>
          </cell>
          <cell r="Q27">
            <v>12</v>
          </cell>
        </row>
      </sheetData>
      <sheetData sheetId="4"/>
      <sheetData sheetId="5"/>
      <sheetData sheetId="6">
        <row r="2">
          <cell r="C2" t="str">
            <v>Avellaneda</v>
          </cell>
        </row>
      </sheetData>
      <sheetData sheetId="7">
        <row r="43">
          <cell r="D43">
            <v>1.9217573770491805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16491849.411426242</v>
          </cell>
        </row>
        <row r="46">
          <cell r="G46">
            <v>0</v>
          </cell>
        </row>
      </sheetData>
      <sheetData sheetId="1">
        <row r="23">
          <cell r="G23">
            <v>11071764.496368261</v>
          </cell>
        </row>
        <row r="46">
          <cell r="G46">
            <v>0</v>
          </cell>
        </row>
      </sheetData>
      <sheetData sheetId="2">
        <row r="25">
          <cell r="L25">
            <v>24</v>
          </cell>
          <cell r="R25">
            <v>24</v>
          </cell>
        </row>
      </sheetData>
      <sheetData sheetId="3">
        <row r="27">
          <cell r="L27">
            <v>7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Berazategui</v>
          </cell>
        </row>
      </sheetData>
      <sheetData sheetId="7">
        <row r="43">
          <cell r="D43">
            <v>1.6704262295081969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8418637.9326180946</v>
          </cell>
        </row>
        <row r="46">
          <cell r="G46">
            <v>0</v>
          </cell>
        </row>
      </sheetData>
      <sheetData sheetId="1">
        <row r="23">
          <cell r="G23">
            <v>5456605.886908344</v>
          </cell>
        </row>
        <row r="46">
          <cell r="G46">
            <v>0</v>
          </cell>
        </row>
      </sheetData>
      <sheetData sheetId="2">
        <row r="25">
          <cell r="L25">
            <v>11</v>
          </cell>
          <cell r="R25">
            <v>24</v>
          </cell>
        </row>
      </sheetData>
      <sheetData sheetId="3">
        <row r="27">
          <cell r="L27">
            <v>5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Escobar</v>
          </cell>
        </row>
      </sheetData>
      <sheetData sheetId="7">
        <row r="43">
          <cell r="D43">
            <v>1.3296786885245901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16872197.587426241</v>
          </cell>
        </row>
        <row r="46">
          <cell r="G46">
            <v>0</v>
          </cell>
        </row>
      </sheetData>
      <sheetData sheetId="1">
        <row r="23">
          <cell r="G23">
            <v>11396196.614895837</v>
          </cell>
        </row>
        <row r="46">
          <cell r="G46">
            <v>0</v>
          </cell>
        </row>
      </sheetData>
      <sheetData sheetId="2">
        <row r="25">
          <cell r="L25">
            <v>24</v>
          </cell>
          <cell r="R25">
            <v>24</v>
          </cell>
        </row>
      </sheetData>
      <sheetData sheetId="3">
        <row r="27">
          <cell r="L27">
            <v>7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Esteban Echeverría</v>
          </cell>
        </row>
      </sheetData>
      <sheetData sheetId="7">
        <row r="43">
          <cell r="D43">
            <v>1.6674622950819673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19827352.987205874</v>
          </cell>
        </row>
        <row r="46">
          <cell r="G46">
            <v>0</v>
          </cell>
        </row>
      </sheetData>
      <sheetData sheetId="1">
        <row r="23">
          <cell r="G23">
            <v>12013940.613798914</v>
          </cell>
        </row>
        <row r="46">
          <cell r="G46">
            <v>0</v>
          </cell>
        </row>
      </sheetData>
      <sheetData sheetId="2">
        <row r="25">
          <cell r="L25">
            <v>40</v>
          </cell>
          <cell r="R25">
            <v>24</v>
          </cell>
        </row>
      </sheetData>
      <sheetData sheetId="3">
        <row r="27">
          <cell r="L27">
            <v>6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Florencio Varela</v>
          </cell>
        </row>
      </sheetData>
      <sheetData sheetId="7">
        <row r="43">
          <cell r="D43">
            <v>2.3092196721311478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3567565.2121593067</v>
          </cell>
        </row>
        <row r="46">
          <cell r="G46">
            <v>0</v>
          </cell>
        </row>
      </sheetData>
      <sheetData sheetId="1">
        <row r="23">
          <cell r="G23">
            <v>2017111.5043779952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24</v>
          </cell>
        </row>
      </sheetData>
      <sheetData sheetId="3">
        <row r="27">
          <cell r="L27">
            <v>3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General Rodríguez</v>
          </cell>
        </row>
      </sheetData>
      <sheetData sheetId="7">
        <row r="43">
          <cell r="D43">
            <v>4.429901639344263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6477266.5473649492</v>
          </cell>
        </row>
        <row r="46">
          <cell r="G46">
            <v>0</v>
          </cell>
        </row>
      </sheetData>
      <sheetData sheetId="1">
        <row r="23">
          <cell r="G23">
            <v>3287092.733726888</v>
          </cell>
        </row>
        <row r="46">
          <cell r="G46">
            <v>0</v>
          </cell>
        </row>
      </sheetData>
      <sheetData sheetId="2">
        <row r="25">
          <cell r="L25">
            <v>13</v>
          </cell>
          <cell r="R25">
            <v>24</v>
          </cell>
        </row>
      </sheetData>
      <sheetData sheetId="3">
        <row r="27">
          <cell r="L27">
            <v>3</v>
          </cell>
          <cell r="Q27">
            <v>12</v>
          </cell>
        </row>
      </sheetData>
      <sheetData sheetId="4"/>
      <sheetData sheetId="5"/>
      <sheetData sheetId="6">
        <row r="2">
          <cell r="C2" t="str">
            <v>General San Martín</v>
          </cell>
        </row>
      </sheetData>
      <sheetData sheetId="7">
        <row r="43">
          <cell r="D43">
            <v>2.062754098360656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6654785.2649352597</v>
          </cell>
        </row>
        <row r="46">
          <cell r="G46">
            <v>0</v>
          </cell>
        </row>
      </sheetData>
      <sheetData sheetId="1">
        <row r="23">
          <cell r="G23">
            <v>4277968.1748300958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21</v>
          </cell>
        </row>
      </sheetData>
      <sheetData sheetId="3">
        <row r="27">
          <cell r="L27">
            <v>5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Hurlingham</v>
          </cell>
        </row>
      </sheetData>
      <sheetData sheetId="7">
        <row r="43">
          <cell r="D43">
            <v>3.9980983606557379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6416737.5890187873</v>
          </cell>
        </row>
        <row r="46">
          <cell r="G46">
            <v>0</v>
          </cell>
        </row>
      </sheetData>
      <sheetData sheetId="1">
        <row r="23">
          <cell r="G23">
            <v>4035276.9211492292</v>
          </cell>
        </row>
        <row r="46">
          <cell r="G46">
            <v>0</v>
          </cell>
        </row>
      </sheetData>
      <sheetData sheetId="2">
        <row r="25">
          <cell r="L25">
            <v>7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Ituzaingó</v>
          </cell>
        </row>
      </sheetData>
      <sheetData sheetId="7">
        <row r="43">
          <cell r="D43">
            <v>4.2108196721311471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12199355.445296429</v>
          </cell>
        </row>
        <row r="46">
          <cell r="G46">
            <v>0</v>
          </cell>
        </row>
      </sheetData>
      <sheetData sheetId="1">
        <row r="23">
          <cell r="G23">
            <v>7972933.7419534139</v>
          </cell>
        </row>
        <row r="46">
          <cell r="G46">
            <v>0</v>
          </cell>
        </row>
      </sheetData>
      <sheetData sheetId="2">
        <row r="25">
          <cell r="L25">
            <v>16</v>
          </cell>
          <cell r="R25">
            <v>24</v>
          </cell>
        </row>
      </sheetData>
      <sheetData sheetId="3">
        <row r="27">
          <cell r="L27">
            <v>6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José C. Paz</v>
          </cell>
        </row>
      </sheetData>
      <sheetData sheetId="7">
        <row r="43">
          <cell r="D43">
            <v>1.4156852459016396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12666965.290104149</v>
          </cell>
        </row>
        <row r="46">
          <cell r="G46">
            <v>0</v>
          </cell>
        </row>
      </sheetData>
      <sheetData sheetId="1">
        <row r="23">
          <cell r="G23">
            <v>8944243.8282905631</v>
          </cell>
        </row>
        <row r="46">
          <cell r="G46">
            <v>0</v>
          </cell>
        </row>
      </sheetData>
      <sheetData sheetId="2">
        <row r="25">
          <cell r="L25">
            <v>13</v>
          </cell>
          <cell r="R25">
            <v>24</v>
          </cell>
        </row>
      </sheetData>
      <sheetData sheetId="3">
        <row r="27">
          <cell r="L27">
            <v>7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Lanús</v>
          </cell>
        </row>
      </sheetData>
      <sheetData sheetId="7">
        <row r="43">
          <cell r="D43">
            <v>2.0244459016393446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19568760.61881303</v>
          </cell>
        </row>
        <row r="46">
          <cell r="G46">
            <v>0</v>
          </cell>
        </row>
      </sheetData>
      <sheetData sheetId="1">
        <row r="23">
          <cell r="G23">
            <v>13124069.244155344</v>
          </cell>
        </row>
        <row r="46">
          <cell r="G46">
            <v>0</v>
          </cell>
        </row>
      </sheetData>
      <sheetData sheetId="2">
        <row r="25">
          <cell r="L25">
            <v>31</v>
          </cell>
          <cell r="R25">
            <v>24</v>
          </cell>
        </row>
      </sheetData>
      <sheetData sheetId="3">
        <row r="27">
          <cell r="L27">
            <v>7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Lomas de Zamora</v>
          </cell>
        </row>
      </sheetData>
      <sheetData sheetId="7">
        <row r="43">
          <cell r="D43">
            <v>2.9880393442622952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10973031.515361123</v>
          </cell>
        </row>
        <row r="46">
          <cell r="G46">
            <v>0</v>
          </cell>
        </row>
      </sheetData>
      <sheetData sheetId="1">
        <row r="23">
          <cell r="G23">
            <v>7496290.2595463973</v>
          </cell>
        </row>
        <row r="46">
          <cell r="G46">
            <v>0</v>
          </cell>
        </row>
      </sheetData>
      <sheetData sheetId="2">
        <row r="25">
          <cell r="L25">
            <v>12</v>
          </cell>
          <cell r="R25">
            <v>24</v>
          </cell>
        </row>
      </sheetData>
      <sheetData sheetId="3">
        <row r="27">
          <cell r="L27">
            <v>6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Malvinas Argentinas</v>
          </cell>
        </row>
      </sheetData>
      <sheetData sheetId="7">
        <row r="43">
          <cell r="D43">
            <v>1.5265967213114755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17123547.372289617</v>
          </cell>
        </row>
        <row r="46">
          <cell r="G46">
            <v>0</v>
          </cell>
        </row>
      </sheetData>
      <sheetData sheetId="1">
        <row r="23">
          <cell r="G23">
            <v>11385539.651384654</v>
          </cell>
        </row>
        <row r="46">
          <cell r="G46">
            <v>0</v>
          </cell>
        </row>
      </sheetData>
      <sheetData sheetId="2">
        <row r="25">
          <cell r="L25">
            <v>23</v>
          </cell>
          <cell r="R25">
            <v>24</v>
          </cell>
        </row>
      </sheetData>
      <sheetData sheetId="3">
        <row r="27">
          <cell r="L27">
            <v>7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Merlo</v>
          </cell>
        </row>
      </sheetData>
      <sheetData sheetId="7">
        <row r="43">
          <cell r="D43">
            <v>2.6059672131147544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10809675.380004883</v>
          </cell>
        </row>
        <row r="46">
          <cell r="G46">
            <v>0</v>
          </cell>
        </row>
      </sheetData>
      <sheetData sheetId="1">
        <row r="23">
          <cell r="G23">
            <v>6764178.9168795161</v>
          </cell>
        </row>
        <row r="46">
          <cell r="G46">
            <v>0</v>
          </cell>
        </row>
      </sheetData>
      <sheetData sheetId="2">
        <row r="25">
          <cell r="L25">
            <v>18</v>
          </cell>
          <cell r="R25">
            <v>24</v>
          </cell>
        </row>
      </sheetData>
      <sheetData sheetId="3">
        <row r="27">
          <cell r="L27">
            <v>5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Moreno</v>
          </cell>
        </row>
      </sheetData>
      <sheetData sheetId="7">
        <row r="43">
          <cell r="D43">
            <v>2.7754885245901639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13054712.839705402</v>
          </cell>
        </row>
        <row r="46">
          <cell r="G46">
            <v>0</v>
          </cell>
        </row>
      </sheetData>
      <sheetData sheetId="1">
        <row r="23">
          <cell r="G23">
            <v>8832004.3282743655</v>
          </cell>
        </row>
        <row r="46">
          <cell r="G46">
            <v>0</v>
          </cell>
        </row>
      </sheetData>
      <sheetData sheetId="2">
        <row r="25">
          <cell r="L25">
            <v>15</v>
          </cell>
          <cell r="R25">
            <v>24</v>
          </cell>
        </row>
      </sheetData>
      <sheetData sheetId="3">
        <row r="27">
          <cell r="L27">
            <v>6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Morón</v>
          </cell>
        </row>
      </sheetData>
      <sheetData sheetId="7">
        <row r="43">
          <cell r="D43">
            <v>1.8312655737704919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8989826.7893732283</v>
          </cell>
        </row>
        <row r="46">
          <cell r="G46">
            <v>0</v>
          </cell>
        </row>
      </sheetData>
      <sheetData sheetId="1">
        <row r="23">
          <cell r="G23">
            <v>5423326.3585196827</v>
          </cell>
        </row>
        <row r="46">
          <cell r="G46">
            <v>0</v>
          </cell>
        </row>
      </sheetData>
      <sheetData sheetId="2">
        <row r="25">
          <cell r="L25">
            <v>16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Pilar</v>
          </cell>
        </row>
      </sheetData>
      <sheetData sheetId="7">
        <row r="43">
          <cell r="D43">
            <v>2.0920524590163936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4717767.7320511341</v>
          </cell>
        </row>
        <row r="46">
          <cell r="G46">
            <v>0</v>
          </cell>
        </row>
      </sheetData>
      <sheetData sheetId="1">
        <row r="23">
          <cell r="G23">
            <v>2845757.1141259177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Presidente Perón</v>
          </cell>
        </row>
      </sheetData>
      <sheetData sheetId="7">
        <row r="43">
          <cell r="D43">
            <v>2.413770491803279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23285723.848197941</v>
          </cell>
        </row>
        <row r="46">
          <cell r="G46">
            <v>0</v>
          </cell>
        </row>
      </sheetData>
      <sheetData sheetId="1">
        <row r="23">
          <cell r="G23">
            <v>15457172.569138572</v>
          </cell>
        </row>
        <row r="46">
          <cell r="G46">
            <v>0</v>
          </cell>
        </row>
      </sheetData>
      <sheetData sheetId="2">
        <row r="25">
          <cell r="L25">
            <v>35</v>
          </cell>
          <cell r="R25">
            <v>24</v>
          </cell>
        </row>
      </sheetData>
      <sheetData sheetId="3">
        <row r="27">
          <cell r="L27">
            <v>8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Quilmes</v>
          </cell>
        </row>
      </sheetData>
      <sheetData sheetId="7">
        <row r="43">
          <cell r="D43">
            <v>2.8649180327868855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5460441.5181887904</v>
          </cell>
        </row>
        <row r="46">
          <cell r="G46">
            <v>0</v>
          </cell>
        </row>
      </sheetData>
      <sheetData sheetId="1">
        <row r="23">
          <cell r="G23">
            <v>3403456.6861068588</v>
          </cell>
        </row>
        <row r="46">
          <cell r="G46">
            <v>0</v>
          </cell>
        </row>
      </sheetData>
      <sheetData sheetId="2">
        <row r="25">
          <cell r="L25">
            <v>6</v>
          </cell>
          <cell r="R25">
            <v>19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San Fernando</v>
          </cell>
        </row>
      </sheetData>
      <sheetData sheetId="7">
        <row r="43">
          <cell r="D43">
            <v>3.7476065573770492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5402864.2412171876</v>
          </cell>
        </row>
        <row r="46">
          <cell r="G46">
            <v>0</v>
          </cell>
        </row>
      </sheetData>
      <sheetData sheetId="1">
        <row r="23">
          <cell r="G23">
            <v>3033110.0936522214</v>
          </cell>
        </row>
        <row r="46">
          <cell r="G46">
            <v>0</v>
          </cell>
        </row>
      </sheetData>
      <sheetData sheetId="2">
        <row r="25">
          <cell r="L25">
            <v>7</v>
          </cell>
          <cell r="R25">
            <v>24</v>
          </cell>
        </row>
      </sheetData>
      <sheetData sheetId="3">
        <row r="27">
          <cell r="L27">
            <v>4</v>
          </cell>
          <cell r="Q27">
            <v>18</v>
          </cell>
        </row>
      </sheetData>
      <sheetData sheetId="4"/>
      <sheetData sheetId="5"/>
      <sheetData sheetId="6">
        <row r="2">
          <cell r="C2" t="str">
            <v>San Isidro</v>
          </cell>
        </row>
      </sheetData>
      <sheetData sheetId="7">
        <row r="43">
          <cell r="D43">
            <v>7.2349508196721306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10930000.247844949</v>
          </cell>
        </row>
        <row r="46">
          <cell r="G46">
            <v>0</v>
          </cell>
        </row>
      </sheetData>
      <sheetData sheetId="1">
        <row r="23">
          <cell r="G23">
            <v>7239867.2617424931</v>
          </cell>
        </row>
        <row r="46">
          <cell r="G46">
            <v>0</v>
          </cell>
        </row>
      </sheetData>
      <sheetData sheetId="2">
        <row r="25">
          <cell r="L25">
            <v>13</v>
          </cell>
          <cell r="R25">
            <v>24</v>
          </cell>
        </row>
      </sheetData>
      <sheetData sheetId="3">
        <row r="27">
          <cell r="L27">
            <v>6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Miguel</v>
          </cell>
        </row>
      </sheetData>
      <sheetData sheetId="7">
        <row r="43">
          <cell r="D43">
            <v>1.5597901639344263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6534125.2388811223</v>
          </cell>
        </row>
        <row r="46">
          <cell r="G46">
            <v>0</v>
          </cell>
        </row>
      </sheetData>
      <sheetData sheetId="1">
        <row r="23">
          <cell r="G23">
            <v>3711957.4862663122</v>
          </cell>
        </row>
        <row r="46">
          <cell r="G46">
            <v>0</v>
          </cell>
        </row>
      </sheetData>
      <sheetData sheetId="2">
        <row r="25">
          <cell r="L25">
            <v>12</v>
          </cell>
          <cell r="R25">
            <v>24</v>
          </cell>
        </row>
      </sheetData>
      <sheetData sheetId="3">
        <row r="27">
          <cell r="L27">
            <v>3</v>
          </cell>
          <cell r="Q27">
            <v>12</v>
          </cell>
        </row>
      </sheetData>
      <sheetData sheetId="4"/>
      <sheetData sheetId="5"/>
      <sheetData sheetId="6">
        <row r="2">
          <cell r="C2" t="str">
            <v>Tigre</v>
          </cell>
        </row>
      </sheetData>
      <sheetData sheetId="7">
        <row r="43">
          <cell r="D43">
            <v>2.0436983606557382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10408744.467361122</v>
          </cell>
        </row>
        <row r="46">
          <cell r="G46">
            <v>0</v>
          </cell>
        </row>
      </sheetData>
      <sheetData sheetId="1">
        <row r="23">
          <cell r="G23">
            <v>7024516.7485754155</v>
          </cell>
        </row>
        <row r="46">
          <cell r="G46">
            <v>0</v>
          </cell>
        </row>
      </sheetData>
      <sheetData sheetId="2">
        <row r="25">
          <cell r="L25">
            <v>12</v>
          </cell>
          <cell r="R25">
            <v>24</v>
          </cell>
        </row>
      </sheetData>
      <sheetData sheetId="3">
        <row r="27">
          <cell r="L27">
            <v>6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Tres de Febrero</v>
          </cell>
        </row>
      </sheetData>
      <sheetData sheetId="7">
        <row r="43">
          <cell r="D43">
            <v>1.6603803278688525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2993055.3399679344</v>
          </cell>
        </row>
        <row r="46">
          <cell r="G46">
            <v>0</v>
          </cell>
        </row>
      </sheetData>
      <sheetData sheetId="1">
        <row r="23">
          <cell r="G23">
            <v>1475624.566545526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24</v>
          </cell>
        </row>
      </sheetData>
      <sheetData sheetId="3">
        <row r="27">
          <cell r="L27">
            <v>2</v>
          </cell>
          <cell r="Q27">
            <v>17</v>
          </cell>
        </row>
      </sheetData>
      <sheetData sheetId="4"/>
      <sheetData sheetId="5"/>
      <sheetData sheetId="6">
        <row r="2">
          <cell r="C2" t="str">
            <v>Vicente López</v>
          </cell>
        </row>
      </sheetData>
      <sheetData sheetId="7">
        <row r="43">
          <cell r="D43">
            <v>6.8534426229508201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113687696.52567752</v>
          </cell>
        </row>
        <row r="46">
          <cell r="G46">
            <v>0</v>
          </cell>
        </row>
      </sheetData>
      <sheetData sheetId="1">
        <row r="23">
          <cell r="G23">
            <v>55858409.050244436</v>
          </cell>
        </row>
        <row r="46">
          <cell r="G46">
            <v>0</v>
          </cell>
        </row>
      </sheetData>
      <sheetData sheetId="2">
        <row r="25">
          <cell r="L25">
            <v>333</v>
          </cell>
          <cell r="R25">
            <v>24</v>
          </cell>
        </row>
      </sheetData>
      <sheetData sheetId="3">
        <row r="27">
          <cell r="L27">
            <v>4</v>
          </cell>
          <cell r="Q27">
            <v>19</v>
          </cell>
        </row>
      </sheetData>
      <sheetData sheetId="4"/>
      <sheetData sheetId="5"/>
      <sheetData sheetId="6">
        <row r="2">
          <cell r="C2" t="str">
            <v>CABA</v>
          </cell>
        </row>
      </sheetData>
      <sheetData sheetId="7">
        <row r="43">
          <cell r="D43">
            <v>39.572603278688526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1013367.6685183999</v>
          </cell>
        </row>
        <row r="46">
          <cell r="G46">
            <v>0</v>
          </cell>
        </row>
      </sheetData>
      <sheetData sheetId="1">
        <row r="23">
          <cell r="G23">
            <v>775255.76531559054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18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Lavalle</v>
          </cell>
        </row>
      </sheetData>
      <sheetData sheetId="7">
        <row r="43">
          <cell r="D43">
            <v>8.7147540983606567E-2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3823241.6303455345</v>
          </cell>
        </row>
        <row r="46">
          <cell r="G46">
            <v>0</v>
          </cell>
        </row>
      </sheetData>
      <sheetData sheetId="1">
        <row r="23">
          <cell r="G23">
            <v>2266520.6677684225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24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San Clemente del Tuyú</v>
          </cell>
        </row>
      </sheetData>
      <sheetData sheetId="7">
        <row r="43">
          <cell r="D43">
            <v>0.87272131147540988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5500160.8370187869</v>
          </cell>
        </row>
        <row r="46">
          <cell r="G46">
            <v>0</v>
          </cell>
        </row>
      </sheetData>
      <sheetData sheetId="1">
        <row r="23">
          <cell r="G23">
            <v>3359976.6342842286</v>
          </cell>
        </row>
        <row r="46">
          <cell r="G46">
            <v>0</v>
          </cell>
        </row>
      </sheetData>
      <sheetData sheetId="2">
        <row r="25">
          <cell r="L25">
            <v>7</v>
          </cell>
          <cell r="R25">
            <v>24</v>
          </cell>
        </row>
      </sheetData>
      <sheetData sheetId="3">
        <row r="27">
          <cell r="L27">
            <v>4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Santa Teresita - Mar del Tuyú</v>
          </cell>
        </row>
      </sheetData>
      <sheetData sheetId="7">
        <row r="43">
          <cell r="D43">
            <v>2.2092459016393446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5402437.9465784412</v>
          </cell>
        </row>
        <row r="46">
          <cell r="G46">
            <v>0</v>
          </cell>
        </row>
      </sheetData>
      <sheetData sheetId="1">
        <row r="23">
          <cell r="G23">
            <v>3157647.3426286913</v>
          </cell>
        </row>
        <row r="46">
          <cell r="G46">
            <v>0</v>
          </cell>
        </row>
      </sheetData>
      <sheetData sheetId="2">
        <row r="25">
          <cell r="L25">
            <v>9</v>
          </cell>
          <cell r="R25">
            <v>24</v>
          </cell>
        </row>
      </sheetData>
      <sheetData sheetId="3">
        <row r="27">
          <cell r="L27">
            <v>3</v>
          </cell>
          <cell r="Q27">
            <v>15</v>
          </cell>
        </row>
      </sheetData>
      <sheetData sheetId="4"/>
      <sheetData sheetId="5"/>
      <sheetData sheetId="6">
        <row r="2">
          <cell r="C2" t="str">
            <v>Mar de Ajó - San Bernardo</v>
          </cell>
        </row>
      </sheetData>
      <sheetData sheetId="7">
        <row r="43">
          <cell r="D43">
            <v>2.7637377049180332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732325.56225919991</v>
          </cell>
        </row>
        <row r="46">
          <cell r="G46">
            <v>0</v>
          </cell>
        </row>
      </sheetData>
      <sheetData sheetId="1">
        <row r="23">
          <cell r="G23">
            <v>484352.00895993883</v>
          </cell>
        </row>
        <row r="46">
          <cell r="G46">
            <v>0</v>
          </cell>
        </row>
      </sheetData>
      <sheetData sheetId="2">
        <row r="25">
          <cell r="L25">
            <v>1</v>
          </cell>
          <cell r="R25">
            <v>9</v>
          </cell>
        </row>
      </sheetData>
      <sheetData sheetId="3">
        <row r="27">
          <cell r="L27">
            <v>1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Pavón</v>
          </cell>
        </row>
      </sheetData>
      <sheetData sheetId="7">
        <row r="43">
          <cell r="D43">
            <v>4.5967213114754095E-2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2902418.6062136763</v>
          </cell>
        </row>
        <row r="46">
          <cell r="G46">
            <v>0</v>
          </cell>
        </row>
      </sheetData>
      <sheetData sheetId="1">
        <row r="23">
          <cell r="G23">
            <v>1666679.8290265594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12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General Juan Madariaga</v>
          </cell>
        </row>
      </sheetData>
      <sheetData sheetId="7">
        <row r="43">
          <cell r="D43">
            <v>0.60347540983606562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2315255.9379698802</v>
          </cell>
        </row>
        <row r="46">
          <cell r="G46">
            <v>0</v>
          </cell>
        </row>
      </sheetData>
      <sheetData sheetId="1">
        <row r="23">
          <cell r="G23">
            <v>1237006.9575364697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24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Pinamar</v>
          </cell>
        </row>
      </sheetData>
      <sheetData sheetId="7">
        <row r="43">
          <cell r="D43">
            <v>1.5904918032786886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4690701.4447187362</v>
          </cell>
        </row>
        <row r="46">
          <cell r="G46">
            <v>0</v>
          </cell>
        </row>
      </sheetData>
      <sheetData sheetId="1">
        <row r="23">
          <cell r="G23">
            <v>2954355.9525509402</v>
          </cell>
        </row>
        <row r="46">
          <cell r="G46">
            <v>0</v>
          </cell>
        </row>
      </sheetData>
      <sheetData sheetId="2">
        <row r="25">
          <cell r="L25">
            <v>5</v>
          </cell>
          <cell r="R25">
            <v>17</v>
          </cell>
        </row>
      </sheetData>
      <sheetData sheetId="3">
        <row r="27">
          <cell r="L27">
            <v>4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Villa Gesell</v>
          </cell>
        </row>
      </sheetData>
      <sheetData sheetId="7">
        <row r="43">
          <cell r="D43">
            <v>1.7795409836065574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3136203.7940359712</v>
          </cell>
        </row>
        <row r="46">
          <cell r="G46">
            <v>0</v>
          </cell>
        </row>
      </sheetData>
      <sheetData sheetId="1">
        <row r="23">
          <cell r="G23">
            <v>1799687.6435405305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18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Santa Clara del Mar</v>
          </cell>
        </row>
      </sheetData>
      <sheetData sheetId="7">
        <row r="43">
          <cell r="D43">
            <v>0.49560655737704917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1748537.3508091175</v>
          </cell>
        </row>
        <row r="46">
          <cell r="G46">
            <v>0</v>
          </cell>
        </row>
      </sheetData>
      <sheetData sheetId="1">
        <row r="23">
          <cell r="G23">
            <v>920144.24542909313</v>
          </cell>
        </row>
        <row r="46">
          <cell r="G46">
            <v>0</v>
          </cell>
        </row>
      </sheetData>
      <sheetData sheetId="2">
        <row r="25">
          <cell r="L25">
            <v>2</v>
          </cell>
          <cell r="R25">
            <v>12</v>
          </cell>
        </row>
      </sheetData>
      <sheetData sheetId="3">
        <row r="27">
          <cell r="L27">
            <v>2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Coronel Vidal</v>
          </cell>
        </row>
      </sheetData>
      <sheetData sheetId="7">
        <row r="43">
          <cell r="D43">
            <v>0.19888524590163936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3492638.9340719488</v>
          </cell>
        </row>
        <row r="46">
          <cell r="G46">
            <v>0</v>
          </cell>
        </row>
      </sheetData>
      <sheetData sheetId="1">
        <row r="23">
          <cell r="G23">
            <v>2053371.7137821005</v>
          </cell>
        </row>
        <row r="46">
          <cell r="G46">
            <v>0</v>
          </cell>
        </row>
      </sheetData>
      <sheetData sheetId="2">
        <row r="25">
          <cell r="L25">
            <v>4</v>
          </cell>
          <cell r="R25">
            <v>17</v>
          </cell>
        </row>
      </sheetData>
      <sheetData sheetId="3">
        <row r="27">
          <cell r="L27">
            <v>3</v>
          </cell>
          <cell r="Q27">
            <v>9</v>
          </cell>
        </row>
      </sheetData>
      <sheetData sheetId="4"/>
      <sheetData sheetId="5"/>
      <sheetData sheetId="6">
        <row r="2">
          <cell r="C2" t="str">
            <v>Baradero</v>
          </cell>
        </row>
      </sheetData>
      <sheetData sheetId="7">
        <row r="43">
          <cell r="D43">
            <v>0.86924590163934423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3230933.0842290805</v>
          </cell>
        </row>
        <row r="46">
          <cell r="G46">
            <v>0</v>
          </cell>
        </row>
      </sheetData>
      <sheetData sheetId="1">
        <row r="23">
          <cell r="G23">
            <v>1905368.3477216</v>
          </cell>
        </row>
        <row r="46">
          <cell r="G46">
            <v>0</v>
          </cell>
        </row>
      </sheetData>
      <sheetData sheetId="2">
        <row r="25">
          <cell r="L25">
            <v>3</v>
          </cell>
          <cell r="R25">
            <v>24</v>
          </cell>
        </row>
      </sheetData>
      <sheetData sheetId="3">
        <row r="27">
          <cell r="L27">
            <v>3</v>
          </cell>
          <cell r="Q27">
            <v>6</v>
          </cell>
        </row>
      </sheetData>
      <sheetData sheetId="4"/>
      <sheetData sheetId="5"/>
      <sheetData sheetId="6">
        <row r="2">
          <cell r="C2" t="str">
            <v>San Pedro</v>
          </cell>
        </row>
      </sheetData>
      <sheetData sheetId="7">
        <row r="43">
          <cell r="D43">
            <v>1.4832131147540983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8127639.0707180705</v>
          </cell>
        </row>
        <row r="46">
          <cell r="G46">
            <v>0</v>
          </cell>
        </row>
      </sheetData>
      <sheetData sheetId="1">
        <row r="23">
          <cell r="G23">
            <v>5211426.8558210367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Luján</v>
          </cell>
        </row>
      </sheetData>
      <sheetData sheetId="7">
        <row r="43">
          <cell r="D43">
            <v>3.3205901639344262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4058822.4916336392</v>
          </cell>
        </row>
        <row r="46">
          <cell r="G46">
            <v>0</v>
          </cell>
        </row>
      </sheetData>
      <sheetData sheetId="1">
        <row r="23">
          <cell r="G23">
            <v>2229123.6915677134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Chascomús</v>
          </cell>
        </row>
      </sheetData>
      <sheetData sheetId="7">
        <row r="43">
          <cell r="D43">
            <v>1.1277377049180328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4317650.2999366792</v>
          </cell>
        </row>
        <row r="46">
          <cell r="G46">
            <v>0</v>
          </cell>
        </row>
      </sheetData>
      <sheetData sheetId="1">
        <row r="23">
          <cell r="G23">
            <v>2354401.2110849344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Balcarce</v>
          </cell>
        </row>
      </sheetData>
      <sheetData sheetId="7">
        <row r="43">
          <cell r="D43">
            <v>1.3443278688524589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3197847.7022797675</v>
          </cell>
        </row>
        <row r="46">
          <cell r="G46">
            <v>0</v>
          </cell>
        </row>
      </sheetData>
      <sheetData sheetId="1">
        <row r="23">
          <cell r="G23">
            <v>1464223.9920381578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Carmen de Patagones</v>
          </cell>
        </row>
      </sheetData>
      <sheetData sheetId="7">
        <row r="43">
          <cell r="D43">
            <v>0.81554098360655736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7032116.0147735225</v>
          </cell>
        </row>
        <row r="46">
          <cell r="G46">
            <v>0</v>
          </cell>
        </row>
      </sheetData>
      <sheetData sheetId="1">
        <row r="23">
          <cell r="G23">
            <v>4534760.9075348172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Olavarría</v>
          </cell>
        </row>
      </sheetData>
      <sheetData sheetId="7">
        <row r="43">
          <cell r="D43">
            <v>2.7883278688524591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rsion rec-TA"/>
      <sheetName val="Costos Operativos Rec-TA"/>
      <sheetName val="Evaluacion Economica"/>
      <sheetName val="P_Evaluacion Economica"/>
      <sheetName val="TA_Evaluacion Economica"/>
      <sheetName val="INPUTS"/>
      <sheetName val="Datos"/>
      <sheetName val="P_Datos"/>
      <sheetName val="TA_Datos"/>
      <sheetName val="P_Barrenderos"/>
      <sheetName val="TR_1"/>
      <sheetName val="Mano de Obra"/>
      <sheetName val="CONVENIOJULIO-2014"/>
      <sheetName val="OF. ESPECIALIZADO"/>
      <sheetName val="OFICIAL"/>
      <sheetName val="MEDIO OFICIAL"/>
      <sheetName val="AYUDANTE"/>
      <sheetName val="CoeficientePase"/>
      <sheetName val="Costos unitarios ET"/>
      <sheetName val="9m3-2T"/>
      <sheetName val="9m3-1T"/>
      <sheetName val="12m3-2T"/>
      <sheetName val="12m3-1T"/>
      <sheetName val="15m3-2T"/>
      <sheetName val="15m3-1T"/>
      <sheetName val="16m3-2T"/>
      <sheetName val="16m3-1T"/>
      <sheetName val="17m3-2T"/>
      <sheetName val="17m3-1T"/>
      <sheetName val="18m3-2T"/>
      <sheetName val="18m3-1T"/>
      <sheetName val="19m3-2T"/>
      <sheetName val="19m3-1T"/>
      <sheetName val="21m3-2T"/>
      <sheetName val="21m3-1T"/>
      <sheetName val="24m3-2T"/>
      <sheetName val="24m3-1T"/>
      <sheetName val="Generación crítica "/>
      <sheetName val="Costos 9m3-2T"/>
      <sheetName val="Costos 9m3-1T"/>
      <sheetName val="Costos 12m3-2T"/>
      <sheetName val="Costos 12m3-1T"/>
      <sheetName val="Costos 15m3-2T"/>
      <sheetName val="Costos 15m3-1T"/>
      <sheetName val="Costos 16m3-2T"/>
      <sheetName val="Costos 16m3-1T"/>
      <sheetName val="Costos 17m3-2T"/>
      <sheetName val="Costos 17m3-1T"/>
      <sheetName val="Costos 18m3-2T"/>
      <sheetName val="Costos 18m3-1T"/>
      <sheetName val="Costos 19m3-2T"/>
      <sheetName val="Costos 19m3-1T"/>
      <sheetName val="Costos 21m3-2T"/>
      <sheetName val="Costos 21m3-1T"/>
      <sheetName val="Costos 24m3-2T"/>
      <sheetName val="Costos 24m3-1T"/>
      <sheetName val="Gráficos"/>
      <sheetName val="P_6m3-2T"/>
      <sheetName val="P_6m3-1T"/>
      <sheetName val="P_9m3-2T"/>
      <sheetName val="P_9m3-1T"/>
      <sheetName val="P_12m3-2T"/>
      <sheetName val="P_12m3-1T"/>
      <sheetName val="P_15m3-2T"/>
      <sheetName val="P_15m3-1T"/>
      <sheetName val="P_16m3-2T"/>
      <sheetName val="P_16m3-1T"/>
      <sheetName val="P_17m3-2T"/>
      <sheetName val="P_17m3-1T"/>
      <sheetName val="P_18m3-2T"/>
      <sheetName val="P_18m3-1T"/>
      <sheetName val="P_19m3-2T"/>
      <sheetName val="P_19m3-1T"/>
      <sheetName val="P_21m3-2T"/>
      <sheetName val="P_21m3-1T"/>
      <sheetName val="P_24m3-2T"/>
      <sheetName val="P_24m3-1T"/>
      <sheetName val="P_Generación crítica "/>
      <sheetName val="P_Costos 6m3-2T"/>
      <sheetName val="P_Costos 6m3-1T"/>
      <sheetName val="P_Costos 9m3-2T"/>
      <sheetName val="P_Costos 9m3-1T"/>
      <sheetName val="P_Costos 12m3-2T"/>
      <sheetName val="P_Costos 12m3-1T"/>
      <sheetName val="P_Costos 15m3-2T"/>
      <sheetName val="P_Costos 15m3-1T"/>
      <sheetName val="P_Costos 16m3-2T"/>
      <sheetName val="P_Costos 16m3-1T"/>
      <sheetName val="P_Costos 17m3-2T"/>
      <sheetName val="P_Costos 17m3-1T"/>
      <sheetName val="P_Costos 18m3-2T"/>
      <sheetName val="P_Costos 18m3-1T"/>
      <sheetName val="P_Costos 19m3-2T"/>
      <sheetName val="P_Costos 19m3-1T"/>
      <sheetName val="P_Costos 21m3-2T"/>
      <sheetName val="P_Costos 21m3-1T"/>
      <sheetName val="P_Costos 24m3-2T"/>
      <sheetName val="P_Costos 24m3-1T"/>
      <sheetName val="P_Gráficos"/>
      <sheetName val="TA_25m3-2T"/>
      <sheetName val="TA_25m3-1T"/>
      <sheetName val="TA_30m3-2T"/>
      <sheetName val="TA_30m3-1T"/>
      <sheetName val="TA_35m3-2T"/>
      <sheetName val="TA_35m3-1T"/>
      <sheetName val="TA_40m3-2T"/>
      <sheetName val="TA_40m3-1T"/>
      <sheetName val="TA_45m3-2T"/>
      <sheetName val="TA_45m3-1T"/>
      <sheetName val="TA_50m3-2T"/>
      <sheetName val="TA_50m3-1T"/>
      <sheetName val="TA_Costos 25m3-2T"/>
      <sheetName val="TA_Costos 25m3-1T"/>
      <sheetName val="TA_Costos 30m3-2T"/>
      <sheetName val="TA_Costos 30m3-1T"/>
      <sheetName val="TA_Costos 35m3-2T"/>
      <sheetName val="TA_Costos 35m3-1T"/>
      <sheetName val="TA_Costos 40m3-2T"/>
      <sheetName val="TA_Costos 40m3-1T"/>
      <sheetName val="TA_Costos 45m3-2T"/>
      <sheetName val="TA_Costos 45m3-1T"/>
      <sheetName val="TA_Costos 50m3-2T"/>
      <sheetName val="TA_Costos 50m3-1T"/>
      <sheetName val="TA_Gráficos"/>
    </sheetNames>
    <sheetDataSet>
      <sheetData sheetId="0">
        <row r="21">
          <cell r="G21">
            <v>2278403.7847098256</v>
          </cell>
        </row>
        <row r="46">
          <cell r="G46">
            <v>0</v>
          </cell>
        </row>
      </sheetData>
      <sheetData sheetId="1">
        <row r="23">
          <cell r="G23">
            <v>931406.31989211636</v>
          </cell>
        </row>
        <row r="46">
          <cell r="G46">
            <v>0</v>
          </cell>
        </row>
      </sheetData>
      <sheetData sheetId="2"/>
      <sheetData sheetId="3"/>
      <sheetData sheetId="4"/>
      <sheetData sheetId="5"/>
      <sheetData sheetId="6">
        <row r="2">
          <cell r="C2" t="str">
            <v>Verónica</v>
          </cell>
        </row>
      </sheetData>
      <sheetData sheetId="7">
        <row r="43">
          <cell r="D43">
            <v>0.2861639344262295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Gral_Alvarado"/>
      <sheetName val="Plazas turísticas_Bs As"/>
      <sheetName val="Plazas turísticas_Gral Alvarado"/>
      <sheetName val="Miramar"/>
      <sheetName val="Plazas turísticas_Miramar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34460.896678966703</v>
          </cell>
          <cell r="C37">
            <v>1.0152710793240556</v>
          </cell>
          <cell r="D37">
            <v>42215</v>
          </cell>
          <cell r="E37">
            <v>34711</v>
          </cell>
          <cell r="F37">
            <v>42015</v>
          </cell>
          <cell r="G37">
            <v>84230</v>
          </cell>
        </row>
        <row r="38">
          <cell r="A38">
            <v>2021</v>
          </cell>
          <cell r="B38">
            <v>34979.236162361456</v>
          </cell>
          <cell r="C38">
            <v>1.0150413811986245</v>
          </cell>
          <cell r="D38">
            <v>42850</v>
          </cell>
          <cell r="E38"/>
          <cell r="F38">
            <v>42647</v>
          </cell>
          <cell r="G38">
            <v>85497</v>
          </cell>
        </row>
        <row r="39">
          <cell r="A39">
            <v>2022</v>
          </cell>
          <cell r="B39">
            <v>35497.575645756326</v>
          </cell>
          <cell r="C39">
            <v>1.0148184906322402</v>
          </cell>
          <cell r="D39">
            <v>43485</v>
          </cell>
          <cell r="E39"/>
          <cell r="F39">
            <v>43279</v>
          </cell>
          <cell r="G39">
            <v>86764</v>
          </cell>
        </row>
        <row r="40">
          <cell r="A40">
            <v>2023</v>
          </cell>
          <cell r="B40">
            <v>36015.915129151079</v>
          </cell>
          <cell r="C40">
            <v>1.0146021094107232</v>
          </cell>
          <cell r="D40">
            <v>44120</v>
          </cell>
          <cell r="E40"/>
          <cell r="F40">
            <v>43911</v>
          </cell>
          <cell r="G40">
            <v>88031</v>
          </cell>
        </row>
        <row r="41">
          <cell r="A41">
            <v>2024</v>
          </cell>
          <cell r="B41">
            <v>36534.254612546065</v>
          </cell>
          <cell r="C41">
            <v>1.0143919564874653</v>
          </cell>
          <cell r="D41">
            <v>44755</v>
          </cell>
          <cell r="E41"/>
          <cell r="F41">
            <v>44543</v>
          </cell>
          <cell r="G41">
            <v>89298</v>
          </cell>
        </row>
        <row r="42">
          <cell r="A42">
            <v>2025</v>
          </cell>
          <cell r="B42">
            <v>37052.594095940818</v>
          </cell>
          <cell r="C42">
            <v>1.0141877667655153</v>
          </cell>
          <cell r="D42">
            <v>45390</v>
          </cell>
          <cell r="E42"/>
          <cell r="F42">
            <v>45175</v>
          </cell>
          <cell r="G42">
            <v>90565</v>
          </cell>
        </row>
        <row r="43">
          <cell r="A43">
            <v>2026</v>
          </cell>
          <cell r="B43">
            <v>37570.933579335571</v>
          </cell>
          <cell r="C43">
            <v>1.0139892899820351</v>
          </cell>
          <cell r="D43">
            <v>46025</v>
          </cell>
          <cell r="E43"/>
          <cell r="F43">
            <v>45807</v>
          </cell>
          <cell r="G43">
            <v>91832</v>
          </cell>
        </row>
        <row r="44">
          <cell r="A44">
            <v>2027</v>
          </cell>
          <cell r="B44">
            <v>38089.273062730557</v>
          </cell>
          <cell r="C44">
            <v>1.0137962896849622</v>
          </cell>
          <cell r="D44">
            <v>46660</v>
          </cell>
          <cell r="E44"/>
          <cell r="F44">
            <v>46439</v>
          </cell>
          <cell r="G44">
            <v>93099</v>
          </cell>
        </row>
        <row r="45">
          <cell r="A45">
            <v>2028</v>
          </cell>
          <cell r="B45">
            <v>38607.61254612531</v>
          </cell>
          <cell r="C45">
            <v>1.0136085422932877</v>
          </cell>
          <cell r="D45">
            <v>47295</v>
          </cell>
          <cell r="E45"/>
          <cell r="F45">
            <v>47071</v>
          </cell>
          <cell r="G45">
            <v>94366</v>
          </cell>
        </row>
        <row r="46">
          <cell r="A46">
            <v>2029</v>
          </cell>
          <cell r="B46">
            <v>39125.952029520064</v>
          </cell>
          <cell r="C46">
            <v>1.013425836233087</v>
          </cell>
          <cell r="D46">
            <v>47930</v>
          </cell>
          <cell r="E46"/>
          <cell r="F46">
            <v>47703</v>
          </cell>
          <cell r="G46">
            <v>95633</v>
          </cell>
        </row>
        <row r="47">
          <cell r="A47">
            <v>2030</v>
          </cell>
          <cell r="B47">
            <v>39644.29151291505</v>
          </cell>
          <cell r="C47">
            <v>1.0132479711421183</v>
          </cell>
          <cell r="D47">
            <v>48565</v>
          </cell>
          <cell r="E47"/>
          <cell r="F47">
            <v>48335</v>
          </cell>
          <cell r="G47">
            <v>96900</v>
          </cell>
        </row>
        <row r="48">
          <cell r="A48">
            <v>2031</v>
          </cell>
          <cell r="B48">
            <v>40162.630996309803</v>
          </cell>
          <cell r="C48">
            <v>1.0130747571368728</v>
          </cell>
          <cell r="D48">
            <v>49200</v>
          </cell>
          <cell r="E48"/>
          <cell r="F48">
            <v>48967</v>
          </cell>
          <cell r="G48">
            <v>98167</v>
          </cell>
        </row>
        <row r="49">
          <cell r="A49">
            <v>2032</v>
          </cell>
          <cell r="B49">
            <v>40680.970479704556</v>
          </cell>
          <cell r="C49">
            <v>1.0129060141364339</v>
          </cell>
          <cell r="D49">
            <v>49835</v>
          </cell>
          <cell r="E49"/>
          <cell r="F49">
            <v>49599</v>
          </cell>
          <cell r="G49">
            <v>99434</v>
          </cell>
        </row>
        <row r="50">
          <cell r="A50">
            <v>2033</v>
          </cell>
          <cell r="B50">
            <v>41199.309963099542</v>
          </cell>
          <cell r="C50">
            <v>1.0127415712379226</v>
          </cell>
          <cell r="D50">
            <v>50470</v>
          </cell>
          <cell r="E50"/>
          <cell r="F50">
            <v>50231</v>
          </cell>
          <cell r="G50">
            <v>100701</v>
          </cell>
        </row>
        <row r="51">
          <cell r="A51">
            <v>2034</v>
          </cell>
          <cell r="B51">
            <v>41717.649446494295</v>
          </cell>
          <cell r="C51">
            <v>1.0125812661391418</v>
          </cell>
          <cell r="D51">
            <v>51105</v>
          </cell>
          <cell r="E51"/>
          <cell r="F51">
            <v>50863</v>
          </cell>
          <cell r="G51">
            <v>101968</v>
          </cell>
        </row>
        <row r="52">
          <cell r="A52">
            <v>2035</v>
          </cell>
          <cell r="B52">
            <v>42235.988929889048</v>
          </cell>
          <cell r="C52">
            <v>1.012424944604311</v>
          </cell>
          <cell r="D52">
            <v>51740</v>
          </cell>
          <cell r="E52"/>
          <cell r="F52">
            <v>51495</v>
          </cell>
          <cell r="G52">
            <v>103235</v>
          </cell>
        </row>
        <row r="53">
          <cell r="A53">
            <v>2036</v>
          </cell>
          <cell r="B53">
            <v>42754.328413284034</v>
          </cell>
          <cell r="C53">
            <v>1.0122724599690425</v>
          </cell>
          <cell r="D53">
            <v>52375</v>
          </cell>
          <cell r="E53"/>
          <cell r="F53">
            <v>52127</v>
          </cell>
          <cell r="G53">
            <v>104502</v>
          </cell>
        </row>
        <row r="54">
          <cell r="A54">
            <v>2037</v>
          </cell>
          <cell r="B54">
            <v>43272.667896678788</v>
          </cell>
          <cell r="C54">
            <v>1.0121236726813769</v>
          </cell>
          <cell r="D54">
            <v>53010</v>
          </cell>
          <cell r="E54"/>
          <cell r="F54">
            <v>52759</v>
          </cell>
          <cell r="G54">
            <v>105769</v>
          </cell>
        </row>
        <row r="55">
          <cell r="A55">
            <v>2038</v>
          </cell>
          <cell r="B55">
            <v>43791.007380073774</v>
          </cell>
          <cell r="C55">
            <v>1.0119784498758573</v>
          </cell>
          <cell r="D55">
            <v>53645</v>
          </cell>
          <cell r="E55"/>
          <cell r="F55">
            <v>53391</v>
          </cell>
          <cell r="G55">
            <v>107036</v>
          </cell>
        </row>
        <row r="56">
          <cell r="A56">
            <v>2039</v>
          </cell>
          <cell r="B56">
            <v>44309.346863468527</v>
          </cell>
          <cell r="C56">
            <v>1.0118366649777191</v>
          </cell>
          <cell r="D56">
            <v>54280</v>
          </cell>
          <cell r="E56"/>
          <cell r="F56">
            <v>54023</v>
          </cell>
          <cell r="G56">
            <v>108303</v>
          </cell>
        </row>
        <row r="57">
          <cell r="A57">
            <v>2040</v>
          </cell>
          <cell r="B57">
            <v>44827.68634686328</v>
          </cell>
          <cell r="C57">
            <v>1.0116981973350212</v>
          </cell>
          <cell r="D57">
            <v>54915</v>
          </cell>
          <cell r="E57"/>
          <cell r="F57">
            <v>54655</v>
          </cell>
          <cell r="G57">
            <v>109570</v>
          </cell>
        </row>
        <row r="58">
          <cell r="A58">
            <v>2041</v>
          </cell>
          <cell r="B58">
            <v>45346.025830258266</v>
          </cell>
          <cell r="C58">
            <v>1.0115629318761676</v>
          </cell>
          <cell r="D58">
            <v>55550</v>
          </cell>
          <cell r="E58"/>
          <cell r="F58">
            <v>55287</v>
          </cell>
          <cell r="G58">
            <v>110837</v>
          </cell>
        </row>
        <row r="59">
          <cell r="A59">
            <v>2042</v>
          </cell>
          <cell r="B59">
            <v>45864.365313653019</v>
          </cell>
          <cell r="C59">
            <v>1.0114307587909694</v>
          </cell>
          <cell r="D59">
            <v>56185</v>
          </cell>
          <cell r="E59"/>
          <cell r="F59">
            <v>55919</v>
          </cell>
          <cell r="G59">
            <v>112104</v>
          </cell>
        </row>
        <row r="60">
          <cell r="A60">
            <v>2043</v>
          </cell>
          <cell r="B60">
            <v>46382.704797047772</v>
          </cell>
          <cell r="C60">
            <v>1.0113015732333803</v>
          </cell>
          <cell r="D60">
            <v>56820</v>
          </cell>
          <cell r="E60"/>
          <cell r="F60">
            <v>56551</v>
          </cell>
          <cell r="G60">
            <v>113371</v>
          </cell>
        </row>
        <row r="61">
          <cell r="A61">
            <v>2044</v>
          </cell>
          <cell r="B61">
            <v>46901.044280442758</v>
          </cell>
          <cell r="C61">
            <v>1.0111752750440715</v>
          </cell>
          <cell r="D61">
            <v>57455</v>
          </cell>
          <cell r="E61"/>
          <cell r="F61">
            <v>57183</v>
          </cell>
          <cell r="G61">
            <v>114638</v>
          </cell>
        </row>
        <row r="62">
          <cell r="A62">
            <v>2045</v>
          </cell>
          <cell r="B62">
            <v>47419.383763837512</v>
          </cell>
          <cell r="C62">
            <v>1.0110517684914511</v>
          </cell>
          <cell r="D62">
            <v>58090</v>
          </cell>
          <cell r="E62"/>
          <cell r="F62">
            <v>57815</v>
          </cell>
          <cell r="G62">
            <v>115905</v>
          </cell>
        </row>
      </sheetData>
      <sheetData sheetId="2"/>
      <sheetData sheetId="3"/>
      <sheetData sheetId="4">
        <row r="36">
          <cell r="A36">
            <v>2020</v>
          </cell>
          <cell r="B36">
            <v>34460.896678966703</v>
          </cell>
          <cell r="C36">
            <v>1.0152710793240556</v>
          </cell>
          <cell r="D36">
            <v>31665</v>
          </cell>
          <cell r="E36">
            <v>38627</v>
          </cell>
        </row>
        <row r="37">
          <cell r="A37">
            <v>2021</v>
          </cell>
          <cell r="B37">
            <v>34979.236162361456</v>
          </cell>
          <cell r="C37">
            <v>1.0150413811986245</v>
          </cell>
          <cell r="D37">
            <v>32141</v>
          </cell>
          <cell r="E37">
            <v>39208</v>
          </cell>
        </row>
        <row r="38">
          <cell r="A38">
            <v>2022</v>
          </cell>
          <cell r="B38">
            <v>35497.575645756326</v>
          </cell>
          <cell r="C38">
            <v>1.0148184906322402</v>
          </cell>
          <cell r="D38">
            <v>32617</v>
          </cell>
          <cell r="E38">
            <v>39789</v>
          </cell>
        </row>
        <row r="39">
          <cell r="A39">
            <v>2023</v>
          </cell>
          <cell r="B39">
            <v>36015.915129151079</v>
          </cell>
          <cell r="C39">
            <v>1.0146021094107232</v>
          </cell>
          <cell r="D39">
            <v>33093</v>
          </cell>
          <cell r="E39">
            <v>40370</v>
          </cell>
        </row>
        <row r="40">
          <cell r="A40">
            <v>2024</v>
          </cell>
          <cell r="B40">
            <v>36534.254612546065</v>
          </cell>
          <cell r="C40">
            <v>1.0143919564874653</v>
          </cell>
          <cell r="D40">
            <v>33569</v>
          </cell>
          <cell r="E40">
            <v>40951</v>
          </cell>
        </row>
        <row r="41">
          <cell r="A41">
            <v>2025</v>
          </cell>
          <cell r="B41">
            <v>37052.594095940818</v>
          </cell>
          <cell r="C41">
            <v>1.0141877667655153</v>
          </cell>
          <cell r="D41">
            <v>34045</v>
          </cell>
          <cell r="E41">
            <v>41532</v>
          </cell>
        </row>
        <row r="42">
          <cell r="A42">
            <v>2026</v>
          </cell>
          <cell r="B42">
            <v>37570.933579335571</v>
          </cell>
          <cell r="C42">
            <v>1.0139892899820351</v>
          </cell>
          <cell r="D42">
            <v>34521</v>
          </cell>
          <cell r="E42">
            <v>42113</v>
          </cell>
        </row>
        <row r="43">
          <cell r="A43">
            <v>2027</v>
          </cell>
          <cell r="B43">
            <v>38089.273062730557</v>
          </cell>
          <cell r="C43">
            <v>1.0137962896849622</v>
          </cell>
          <cell r="D43">
            <v>34997</v>
          </cell>
          <cell r="E43">
            <v>42694</v>
          </cell>
        </row>
        <row r="44">
          <cell r="A44">
            <v>2028</v>
          </cell>
          <cell r="B44">
            <v>38607.61254612531</v>
          </cell>
          <cell r="C44">
            <v>1.0136085422932877</v>
          </cell>
          <cell r="D44">
            <v>35473</v>
          </cell>
          <cell r="E44">
            <v>43275</v>
          </cell>
        </row>
        <row r="45">
          <cell r="A45">
            <v>2029</v>
          </cell>
          <cell r="B45">
            <v>39125.952029520064</v>
          </cell>
          <cell r="C45">
            <v>1.013425836233087</v>
          </cell>
          <cell r="D45">
            <v>35949</v>
          </cell>
          <cell r="E45">
            <v>43856</v>
          </cell>
        </row>
        <row r="46">
          <cell r="A46">
            <v>2030</v>
          </cell>
          <cell r="B46">
            <v>39644.29151291505</v>
          </cell>
          <cell r="C46">
            <v>1.0132479711421183</v>
          </cell>
          <cell r="D46">
            <v>36425</v>
          </cell>
          <cell r="E46">
            <v>44437</v>
          </cell>
        </row>
        <row r="47">
          <cell r="A47">
            <v>2031</v>
          </cell>
          <cell r="B47">
            <v>40162.630996309803</v>
          </cell>
          <cell r="C47">
            <v>1.0130747571368728</v>
          </cell>
          <cell r="D47">
            <v>36901</v>
          </cell>
          <cell r="E47">
            <v>45018</v>
          </cell>
        </row>
        <row r="48">
          <cell r="A48">
            <v>2032</v>
          </cell>
          <cell r="B48">
            <v>40680.970479704556</v>
          </cell>
          <cell r="C48">
            <v>1.0129060141364339</v>
          </cell>
          <cell r="D48">
            <v>37377</v>
          </cell>
          <cell r="E48">
            <v>45599</v>
          </cell>
        </row>
        <row r="49">
          <cell r="A49">
            <v>2033</v>
          </cell>
          <cell r="B49">
            <v>41199.309963099542</v>
          </cell>
          <cell r="C49">
            <v>1.0127415712379226</v>
          </cell>
          <cell r="D49">
            <v>37853</v>
          </cell>
          <cell r="E49">
            <v>46180</v>
          </cell>
        </row>
        <row r="50">
          <cell r="A50">
            <v>2034</v>
          </cell>
          <cell r="B50">
            <v>41717.649446494295</v>
          </cell>
          <cell r="C50">
            <v>1.0125812661391418</v>
          </cell>
          <cell r="D50">
            <v>38329</v>
          </cell>
          <cell r="E50">
            <v>46761</v>
          </cell>
        </row>
        <row r="51">
          <cell r="A51">
            <v>2035</v>
          </cell>
          <cell r="B51">
            <v>42235.988929889048</v>
          </cell>
          <cell r="C51">
            <v>1.012424944604311</v>
          </cell>
          <cell r="D51">
            <v>38805</v>
          </cell>
          <cell r="E51">
            <v>47342</v>
          </cell>
        </row>
        <row r="52">
          <cell r="A52">
            <v>2036</v>
          </cell>
          <cell r="B52">
            <v>42754.328413284034</v>
          </cell>
          <cell r="C52">
            <v>1.0122724599690425</v>
          </cell>
          <cell r="D52">
            <v>39281</v>
          </cell>
          <cell r="E52">
            <v>47923</v>
          </cell>
        </row>
        <row r="53">
          <cell r="A53">
            <v>2037</v>
          </cell>
          <cell r="B53">
            <v>43272.667896678788</v>
          </cell>
          <cell r="C53">
            <v>1.0121236726813769</v>
          </cell>
          <cell r="D53">
            <v>39757</v>
          </cell>
          <cell r="E53">
            <v>48504</v>
          </cell>
        </row>
        <row r="54">
          <cell r="A54">
            <v>2038</v>
          </cell>
          <cell r="B54">
            <v>43791.007380073774</v>
          </cell>
          <cell r="C54">
            <v>1.0119784498758573</v>
          </cell>
          <cell r="D54">
            <v>40233</v>
          </cell>
          <cell r="E54">
            <v>49085</v>
          </cell>
        </row>
        <row r="55">
          <cell r="A55">
            <v>2039</v>
          </cell>
          <cell r="B55">
            <v>44309.346863468527</v>
          </cell>
          <cell r="C55">
            <v>1.0118366649777191</v>
          </cell>
          <cell r="D55">
            <v>40709</v>
          </cell>
          <cell r="E55">
            <v>49666</v>
          </cell>
        </row>
        <row r="56">
          <cell r="A56">
            <v>2040</v>
          </cell>
          <cell r="B56">
            <v>44827.68634686328</v>
          </cell>
          <cell r="C56">
            <v>1.0116981973350212</v>
          </cell>
          <cell r="D56">
            <v>41185</v>
          </cell>
          <cell r="E56">
            <v>50247</v>
          </cell>
        </row>
        <row r="57">
          <cell r="A57">
            <v>2041</v>
          </cell>
          <cell r="B57">
            <v>45346.025830258266</v>
          </cell>
          <cell r="C57">
            <v>1.0115629318761676</v>
          </cell>
          <cell r="D57">
            <v>41661</v>
          </cell>
          <cell r="E57">
            <v>50828</v>
          </cell>
        </row>
        <row r="58">
          <cell r="A58">
            <v>2042</v>
          </cell>
          <cell r="B58">
            <v>45864.365313653019</v>
          </cell>
          <cell r="C58">
            <v>1.0114307587909694</v>
          </cell>
          <cell r="D58">
            <v>42137</v>
          </cell>
          <cell r="E58">
            <v>51409</v>
          </cell>
        </row>
        <row r="59">
          <cell r="A59">
            <v>2043</v>
          </cell>
          <cell r="B59">
            <v>46382.704797047772</v>
          </cell>
          <cell r="C59">
            <v>1.0113015732333803</v>
          </cell>
          <cell r="D59">
            <v>42613</v>
          </cell>
          <cell r="E59">
            <v>51990</v>
          </cell>
        </row>
        <row r="60">
          <cell r="A60">
            <v>2044</v>
          </cell>
          <cell r="B60">
            <v>46901.044280442758</v>
          </cell>
          <cell r="C60">
            <v>1.0111752750440715</v>
          </cell>
          <cell r="D60">
            <v>43089</v>
          </cell>
          <cell r="E60">
            <v>52571</v>
          </cell>
        </row>
        <row r="61">
          <cell r="A61">
            <v>2045</v>
          </cell>
          <cell r="B61">
            <v>47419.383763837512</v>
          </cell>
          <cell r="C61">
            <v>1.0110517684914511</v>
          </cell>
          <cell r="D61">
            <v>43565</v>
          </cell>
          <cell r="E61">
            <v>53152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Gral Pueyrredón"/>
      <sheetName val="Plazas turísticas_Bs As"/>
      <sheetName val="Plazas turís_Gral Pueyrredón"/>
      <sheetName val="Mar del Plata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641477</v>
          </cell>
          <cell r="C37">
            <v>1.0078319916039793</v>
          </cell>
          <cell r="D37">
            <v>657046</v>
          </cell>
          <cell r="E37">
            <v>212058</v>
          </cell>
          <cell r="F37">
            <v>265515</v>
          </cell>
          <cell r="G37">
            <v>922561</v>
          </cell>
        </row>
        <row r="38">
          <cell r="A38">
            <v>2021</v>
          </cell>
          <cell r="B38">
            <v>646501</v>
          </cell>
          <cell r="C38">
            <v>1.0078319253846981</v>
          </cell>
          <cell r="D38">
            <v>662192</v>
          </cell>
          <cell r="E38"/>
          <cell r="F38">
            <v>267594</v>
          </cell>
          <cell r="G38">
            <v>929786</v>
          </cell>
        </row>
        <row r="39">
          <cell r="A39">
            <v>2022</v>
          </cell>
          <cell r="B39">
            <v>651564</v>
          </cell>
          <cell r="C39">
            <v>1.0078313877318055</v>
          </cell>
          <cell r="D39">
            <v>667378</v>
          </cell>
          <cell r="E39"/>
          <cell r="F39">
            <v>269690</v>
          </cell>
          <cell r="G39">
            <v>937068</v>
          </cell>
        </row>
        <row r="40">
          <cell r="A40">
            <v>2023</v>
          </cell>
          <cell r="B40">
            <v>656667</v>
          </cell>
          <cell r="C40">
            <v>1.0078319244157137</v>
          </cell>
          <cell r="D40">
            <v>672605</v>
          </cell>
          <cell r="E40"/>
          <cell r="F40">
            <v>271802</v>
          </cell>
          <cell r="G40">
            <v>944407</v>
          </cell>
        </row>
        <row r="41">
          <cell r="A41">
            <v>2024</v>
          </cell>
          <cell r="B41">
            <v>661810</v>
          </cell>
          <cell r="C41">
            <v>1.0078319757198093</v>
          </cell>
          <cell r="D41">
            <v>677873</v>
          </cell>
          <cell r="E41"/>
          <cell r="F41">
            <v>273931</v>
          </cell>
          <cell r="G41">
            <v>951804</v>
          </cell>
        </row>
        <row r="42">
          <cell r="A42">
            <v>2025</v>
          </cell>
          <cell r="B42">
            <v>666993</v>
          </cell>
          <cell r="C42">
            <v>1.0078315528626041</v>
          </cell>
          <cell r="D42">
            <v>683182</v>
          </cell>
          <cell r="E42"/>
          <cell r="F42">
            <v>276076</v>
          </cell>
          <cell r="G42">
            <v>959258</v>
          </cell>
        </row>
        <row r="43">
          <cell r="A43">
            <v>2026</v>
          </cell>
          <cell r="B43">
            <v>672217</v>
          </cell>
          <cell r="C43">
            <v>1.0078321661546672</v>
          </cell>
          <cell r="D43">
            <v>688533</v>
          </cell>
          <cell r="E43"/>
          <cell r="F43">
            <v>278238</v>
          </cell>
          <cell r="G43">
            <v>966771</v>
          </cell>
        </row>
        <row r="44">
          <cell r="A44">
            <v>2027</v>
          </cell>
          <cell r="B44">
            <v>677481</v>
          </cell>
          <cell r="C44">
            <v>1.0078308046360029</v>
          </cell>
          <cell r="D44">
            <v>693925</v>
          </cell>
          <cell r="E44"/>
          <cell r="F44">
            <v>280417</v>
          </cell>
          <cell r="G44">
            <v>974342</v>
          </cell>
        </row>
        <row r="45">
          <cell r="A45">
            <v>2028</v>
          </cell>
          <cell r="B45">
            <v>682787</v>
          </cell>
          <cell r="C45">
            <v>1.0078319539588565</v>
          </cell>
          <cell r="D45">
            <v>699360</v>
          </cell>
          <cell r="E45"/>
          <cell r="F45">
            <v>282613</v>
          </cell>
          <cell r="G45">
            <v>981973</v>
          </cell>
        </row>
        <row r="46">
          <cell r="A46">
            <v>2029</v>
          </cell>
          <cell r="B46">
            <v>688134</v>
          </cell>
          <cell r="C46">
            <v>1.0078311391400245</v>
          </cell>
          <cell r="D46">
            <v>704837</v>
          </cell>
          <cell r="E46"/>
          <cell r="F46">
            <v>284826</v>
          </cell>
          <cell r="G46">
            <v>989663</v>
          </cell>
        </row>
        <row r="47">
          <cell r="A47">
            <v>2030</v>
          </cell>
          <cell r="B47">
            <v>693523</v>
          </cell>
          <cell r="C47">
            <v>1.0078313235503551</v>
          </cell>
          <cell r="D47">
            <v>710357</v>
          </cell>
          <cell r="E47"/>
          <cell r="F47">
            <v>287057</v>
          </cell>
          <cell r="G47">
            <v>997414</v>
          </cell>
        </row>
        <row r="48">
          <cell r="A48">
            <v>2031</v>
          </cell>
          <cell r="B48">
            <v>698955</v>
          </cell>
          <cell r="C48">
            <v>1.0078324727514445</v>
          </cell>
          <cell r="D48">
            <v>715921</v>
          </cell>
          <cell r="E48"/>
          <cell r="F48">
            <v>289305</v>
          </cell>
          <cell r="G48">
            <v>1005226</v>
          </cell>
        </row>
        <row r="49">
          <cell r="A49">
            <v>2032</v>
          </cell>
          <cell r="B49">
            <v>704429</v>
          </cell>
          <cell r="C49">
            <v>1.0078316915967409</v>
          </cell>
          <cell r="D49">
            <v>721528</v>
          </cell>
          <cell r="E49"/>
          <cell r="F49">
            <v>291571</v>
          </cell>
          <cell r="G49">
            <v>1013099</v>
          </cell>
        </row>
        <row r="50">
          <cell r="A50">
            <v>2033</v>
          </cell>
          <cell r="B50">
            <v>709946</v>
          </cell>
          <cell r="C50">
            <v>1.0078318751783359</v>
          </cell>
          <cell r="D50">
            <v>727179</v>
          </cell>
          <cell r="E50"/>
          <cell r="F50">
            <v>293855</v>
          </cell>
          <cell r="G50">
            <v>1021034</v>
          </cell>
        </row>
        <row r="51">
          <cell r="A51">
            <v>2034</v>
          </cell>
          <cell r="B51">
            <v>715506</v>
          </cell>
          <cell r="C51">
            <v>1.0078315815569072</v>
          </cell>
          <cell r="D51">
            <v>732874</v>
          </cell>
          <cell r="E51"/>
          <cell r="F51">
            <v>296156</v>
          </cell>
          <cell r="G51">
            <v>1029030</v>
          </cell>
        </row>
        <row r="52">
          <cell r="A52">
            <v>2035</v>
          </cell>
          <cell r="B52">
            <v>721109</v>
          </cell>
          <cell r="C52">
            <v>1.007830821823996</v>
          </cell>
          <cell r="D52">
            <v>738613</v>
          </cell>
          <cell r="E52"/>
          <cell r="F52">
            <v>298475</v>
          </cell>
          <cell r="G52">
            <v>1037088</v>
          </cell>
        </row>
        <row r="53">
          <cell r="A53">
            <v>2036</v>
          </cell>
          <cell r="B53">
            <v>726757</v>
          </cell>
          <cell r="C53">
            <v>1.0078323804029627</v>
          </cell>
          <cell r="D53">
            <v>744398</v>
          </cell>
          <cell r="E53"/>
          <cell r="F53">
            <v>300813</v>
          </cell>
          <cell r="G53">
            <v>1045211</v>
          </cell>
        </row>
        <row r="54">
          <cell r="A54">
            <v>2037</v>
          </cell>
          <cell r="B54">
            <v>732448</v>
          </cell>
          <cell r="C54">
            <v>1.0078306779294868</v>
          </cell>
          <cell r="D54">
            <v>750227</v>
          </cell>
          <cell r="E54"/>
          <cell r="F54">
            <v>303169</v>
          </cell>
          <cell r="G54">
            <v>1053396</v>
          </cell>
        </row>
        <row r="55">
          <cell r="A55">
            <v>2038</v>
          </cell>
          <cell r="B55">
            <v>738185</v>
          </cell>
          <cell r="C55">
            <v>1.0078326379483595</v>
          </cell>
          <cell r="D55">
            <v>756103</v>
          </cell>
          <cell r="E55"/>
          <cell r="F55">
            <v>305544</v>
          </cell>
          <cell r="G55">
            <v>1061647</v>
          </cell>
        </row>
        <row r="56">
          <cell r="A56">
            <v>2039</v>
          </cell>
          <cell r="B56">
            <v>743966</v>
          </cell>
          <cell r="C56">
            <v>1.0078313701849808</v>
          </cell>
          <cell r="D56">
            <v>762024</v>
          </cell>
          <cell r="E56"/>
          <cell r="F56">
            <v>307937</v>
          </cell>
          <cell r="G56">
            <v>1069961</v>
          </cell>
        </row>
        <row r="57">
          <cell r="A57">
            <v>2040</v>
          </cell>
          <cell r="B57">
            <v>749792</v>
          </cell>
          <cell r="C57">
            <v>1.0078310030297084</v>
          </cell>
          <cell r="D57">
            <v>767991</v>
          </cell>
          <cell r="E57"/>
          <cell r="F57">
            <v>310348</v>
          </cell>
          <cell r="G57">
            <v>1078339</v>
          </cell>
        </row>
        <row r="58">
          <cell r="A58">
            <v>2041</v>
          </cell>
          <cell r="B58">
            <v>755664</v>
          </cell>
          <cell r="C58">
            <v>1.0078315052707951</v>
          </cell>
          <cell r="D58">
            <v>774006</v>
          </cell>
          <cell r="E58"/>
          <cell r="F58">
            <v>312778</v>
          </cell>
          <cell r="G58">
            <v>1086784</v>
          </cell>
        </row>
        <row r="59">
          <cell r="A59">
            <v>2042</v>
          </cell>
          <cell r="B59">
            <v>761582</v>
          </cell>
          <cell r="C59">
            <v>1.0078315230049335</v>
          </cell>
          <cell r="D59">
            <v>780068</v>
          </cell>
          <cell r="E59"/>
          <cell r="F59">
            <v>315228</v>
          </cell>
          <cell r="G59">
            <v>1095296</v>
          </cell>
        </row>
        <row r="60">
          <cell r="A60">
            <v>2043</v>
          </cell>
          <cell r="B60">
            <v>767547</v>
          </cell>
          <cell r="C60">
            <v>1.007832380492186</v>
          </cell>
          <cell r="D60">
            <v>786178</v>
          </cell>
          <cell r="E60"/>
          <cell r="F60">
            <v>317697</v>
          </cell>
          <cell r="G60">
            <v>1103875</v>
          </cell>
        </row>
        <row r="61">
          <cell r="A61">
            <v>2044</v>
          </cell>
          <cell r="B61">
            <v>773558</v>
          </cell>
          <cell r="C61">
            <v>1.0078314422439278</v>
          </cell>
          <cell r="D61">
            <v>792335</v>
          </cell>
          <cell r="E61"/>
          <cell r="F61">
            <v>320185</v>
          </cell>
          <cell r="G61">
            <v>1112520</v>
          </cell>
        </row>
        <row r="62">
          <cell r="A62">
            <v>2045</v>
          </cell>
          <cell r="B62">
            <v>779616</v>
          </cell>
          <cell r="C62">
            <v>1.00783134554875</v>
          </cell>
          <cell r="D62">
            <v>798540</v>
          </cell>
          <cell r="E62"/>
          <cell r="F62">
            <v>322692</v>
          </cell>
          <cell r="G62">
            <v>1121232</v>
          </cell>
        </row>
      </sheetData>
      <sheetData sheetId="2"/>
      <sheetData sheetId="3"/>
      <sheetData sheetId="4">
        <row r="36">
          <cell r="A36">
            <v>2020</v>
          </cell>
          <cell r="B36">
            <v>641477</v>
          </cell>
          <cell r="C36">
            <v>1.0078319916039793</v>
          </cell>
          <cell r="D36">
            <v>204602</v>
          </cell>
          <cell r="E36">
            <v>253751</v>
          </cell>
        </row>
        <row r="37">
          <cell r="A37">
            <v>2021</v>
          </cell>
          <cell r="B37">
            <v>646501</v>
          </cell>
          <cell r="C37">
            <v>1.0078319253846981</v>
          </cell>
          <cell r="D37">
            <v>206204</v>
          </cell>
          <cell r="E37">
            <v>255738</v>
          </cell>
        </row>
        <row r="38">
          <cell r="A38">
            <v>2022</v>
          </cell>
          <cell r="B38">
            <v>651564</v>
          </cell>
          <cell r="C38">
            <v>1.0078313877318055</v>
          </cell>
          <cell r="D38">
            <v>207819</v>
          </cell>
          <cell r="E38">
            <v>257741</v>
          </cell>
        </row>
        <row r="39">
          <cell r="A39">
            <v>2023</v>
          </cell>
          <cell r="B39">
            <v>656667</v>
          </cell>
          <cell r="C39">
            <v>1.0078319244157137</v>
          </cell>
          <cell r="D39">
            <v>209447</v>
          </cell>
          <cell r="E39">
            <v>259760</v>
          </cell>
        </row>
        <row r="40">
          <cell r="A40">
            <v>2024</v>
          </cell>
          <cell r="B40">
            <v>661810</v>
          </cell>
          <cell r="C40">
            <v>1.0078319757198093</v>
          </cell>
          <cell r="D40">
            <v>211087</v>
          </cell>
          <cell r="E40">
            <v>261794</v>
          </cell>
        </row>
        <row r="41">
          <cell r="A41">
            <v>2025</v>
          </cell>
          <cell r="B41">
            <v>666993</v>
          </cell>
          <cell r="C41">
            <v>1.0078315528626041</v>
          </cell>
          <cell r="D41">
            <v>212740</v>
          </cell>
          <cell r="E41">
            <v>263844</v>
          </cell>
        </row>
        <row r="42">
          <cell r="A42">
            <v>2026</v>
          </cell>
          <cell r="B42">
            <v>672217</v>
          </cell>
          <cell r="C42">
            <v>1.0078321661546672</v>
          </cell>
          <cell r="D42">
            <v>214406</v>
          </cell>
          <cell r="E42">
            <v>265910</v>
          </cell>
        </row>
        <row r="43">
          <cell r="A43">
            <v>2027</v>
          </cell>
          <cell r="B43">
            <v>677481</v>
          </cell>
          <cell r="C43">
            <v>1.0078308046360029</v>
          </cell>
          <cell r="D43">
            <v>216085</v>
          </cell>
          <cell r="E43">
            <v>267992</v>
          </cell>
        </row>
        <row r="44">
          <cell r="A44">
            <v>2028</v>
          </cell>
          <cell r="B44">
            <v>682787</v>
          </cell>
          <cell r="C44">
            <v>1.0078319539588565</v>
          </cell>
          <cell r="D44">
            <v>217777</v>
          </cell>
          <cell r="E44">
            <v>270091</v>
          </cell>
        </row>
        <row r="45">
          <cell r="A45">
            <v>2029</v>
          </cell>
          <cell r="B45">
            <v>688134</v>
          </cell>
          <cell r="C45">
            <v>1.0078311391400245</v>
          </cell>
          <cell r="D45">
            <v>219482</v>
          </cell>
          <cell r="E45">
            <v>272206</v>
          </cell>
        </row>
        <row r="46">
          <cell r="A46">
            <v>2030</v>
          </cell>
          <cell r="B46">
            <v>693523</v>
          </cell>
          <cell r="C46">
            <v>1.0078313235503551</v>
          </cell>
          <cell r="D46">
            <v>221201</v>
          </cell>
          <cell r="E46">
            <v>274338</v>
          </cell>
        </row>
        <row r="47">
          <cell r="A47">
            <v>2031</v>
          </cell>
          <cell r="B47">
            <v>698955</v>
          </cell>
          <cell r="C47">
            <v>1.0078324727514445</v>
          </cell>
          <cell r="D47">
            <v>222934</v>
          </cell>
          <cell r="E47">
            <v>276487</v>
          </cell>
        </row>
        <row r="48">
          <cell r="A48">
            <v>2032</v>
          </cell>
          <cell r="B48">
            <v>704429</v>
          </cell>
          <cell r="C48">
            <v>1.0078316915967409</v>
          </cell>
          <cell r="D48">
            <v>224680</v>
          </cell>
          <cell r="E48">
            <v>278652</v>
          </cell>
        </row>
        <row r="49">
          <cell r="A49">
            <v>2033</v>
          </cell>
          <cell r="B49">
            <v>709946</v>
          </cell>
          <cell r="C49">
            <v>1.0078318751783359</v>
          </cell>
          <cell r="D49">
            <v>226440</v>
          </cell>
          <cell r="E49">
            <v>280834</v>
          </cell>
        </row>
        <row r="50">
          <cell r="A50">
            <v>2034</v>
          </cell>
          <cell r="B50">
            <v>715506</v>
          </cell>
          <cell r="C50">
            <v>1.0078315815569072</v>
          </cell>
          <cell r="D50">
            <v>228213</v>
          </cell>
          <cell r="E50">
            <v>283033</v>
          </cell>
        </row>
        <row r="51">
          <cell r="A51">
            <v>2035</v>
          </cell>
          <cell r="B51">
            <v>721109</v>
          </cell>
          <cell r="C51">
            <v>1.007830821823996</v>
          </cell>
          <cell r="D51">
            <v>230000</v>
          </cell>
          <cell r="E51">
            <v>285249</v>
          </cell>
        </row>
        <row r="52">
          <cell r="A52">
            <v>2036</v>
          </cell>
          <cell r="B52">
            <v>726757</v>
          </cell>
          <cell r="C52">
            <v>1.0078323804029627</v>
          </cell>
          <cell r="D52">
            <v>231801</v>
          </cell>
          <cell r="E52">
            <v>287483</v>
          </cell>
        </row>
        <row r="53">
          <cell r="A53">
            <v>2037</v>
          </cell>
          <cell r="B53">
            <v>732448</v>
          </cell>
          <cell r="C53">
            <v>1.0078306779294868</v>
          </cell>
          <cell r="D53">
            <v>233616</v>
          </cell>
          <cell r="E53">
            <v>289734</v>
          </cell>
        </row>
        <row r="54">
          <cell r="A54">
            <v>2038</v>
          </cell>
          <cell r="B54">
            <v>738185</v>
          </cell>
          <cell r="C54">
            <v>1.0078326379483595</v>
          </cell>
          <cell r="D54">
            <v>235446</v>
          </cell>
          <cell r="E54">
            <v>292003</v>
          </cell>
        </row>
        <row r="55">
          <cell r="A55">
            <v>2039</v>
          </cell>
          <cell r="B55">
            <v>743966</v>
          </cell>
          <cell r="C55">
            <v>1.0078313701849808</v>
          </cell>
          <cell r="D55">
            <v>237290</v>
          </cell>
          <cell r="E55">
            <v>294290</v>
          </cell>
        </row>
        <row r="56">
          <cell r="A56">
            <v>2040</v>
          </cell>
          <cell r="B56">
            <v>749792</v>
          </cell>
          <cell r="C56">
            <v>1.0078310030297084</v>
          </cell>
          <cell r="D56">
            <v>239148</v>
          </cell>
          <cell r="E56">
            <v>296595</v>
          </cell>
        </row>
        <row r="57">
          <cell r="A57">
            <v>2041</v>
          </cell>
          <cell r="B57">
            <v>755664</v>
          </cell>
          <cell r="C57">
            <v>1.0078315052707951</v>
          </cell>
          <cell r="D57">
            <v>241021</v>
          </cell>
          <cell r="E57">
            <v>298918</v>
          </cell>
        </row>
        <row r="58">
          <cell r="A58">
            <v>2042</v>
          </cell>
          <cell r="B58">
            <v>761582</v>
          </cell>
          <cell r="C58">
            <v>1.0078315230049335</v>
          </cell>
          <cell r="D58">
            <v>242909</v>
          </cell>
          <cell r="E58">
            <v>301259</v>
          </cell>
        </row>
        <row r="59">
          <cell r="A59">
            <v>2043</v>
          </cell>
          <cell r="B59">
            <v>767547</v>
          </cell>
          <cell r="C59">
            <v>1.007832380492186</v>
          </cell>
          <cell r="D59">
            <v>244812</v>
          </cell>
          <cell r="E59">
            <v>303619</v>
          </cell>
        </row>
        <row r="60">
          <cell r="A60">
            <v>2044</v>
          </cell>
          <cell r="B60">
            <v>773558</v>
          </cell>
          <cell r="C60">
            <v>1.0078314422439278</v>
          </cell>
          <cell r="D60">
            <v>246729</v>
          </cell>
          <cell r="E60">
            <v>305997</v>
          </cell>
        </row>
        <row r="61">
          <cell r="A61">
            <v>2045</v>
          </cell>
          <cell r="B61">
            <v>779616</v>
          </cell>
          <cell r="C61">
            <v>1.00783134554875</v>
          </cell>
          <cell r="D61">
            <v>248661</v>
          </cell>
          <cell r="E61">
            <v>308393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La Costa"/>
      <sheetName val="Plazas turísticas_Bs As"/>
      <sheetName val="Plazas turísticas_La Costa"/>
      <sheetName val="Mar de Ajó S Bernardo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41228.204128147438</v>
          </cell>
          <cell r="C37">
            <v>1.0365374358584394</v>
          </cell>
          <cell r="D37">
            <v>100591</v>
          </cell>
          <cell r="E37">
            <v>251946</v>
          </cell>
          <cell r="F37">
            <v>281926</v>
          </cell>
          <cell r="G37">
            <v>382517</v>
          </cell>
        </row>
        <row r="38">
          <cell r="A38">
            <v>2021</v>
          </cell>
          <cell r="B38">
            <v>42600.960971931345</v>
          </cell>
          <cell r="C38">
            <v>1.0332965471771955</v>
          </cell>
          <cell r="D38">
            <v>103940</v>
          </cell>
          <cell r="E38"/>
          <cell r="F38">
            <v>291313</v>
          </cell>
          <cell r="G38">
            <v>395253</v>
          </cell>
        </row>
        <row r="39">
          <cell r="A39">
            <v>2022</v>
          </cell>
          <cell r="B39">
            <v>43973.717815715259</v>
          </cell>
          <cell r="C39">
            <v>1.0322236121548616</v>
          </cell>
          <cell r="D39">
            <v>107289</v>
          </cell>
          <cell r="E39"/>
          <cell r="F39">
            <v>300700</v>
          </cell>
          <cell r="G39">
            <v>407989</v>
          </cell>
        </row>
        <row r="40">
          <cell r="A40">
            <v>2023</v>
          </cell>
          <cell r="B40">
            <v>45346.474659499167</v>
          </cell>
          <cell r="C40">
            <v>1.0312176661872632</v>
          </cell>
          <cell r="D40">
            <v>110638</v>
          </cell>
          <cell r="E40"/>
          <cell r="F40">
            <v>310087</v>
          </cell>
          <cell r="G40">
            <v>420725</v>
          </cell>
        </row>
        <row r="41">
          <cell r="A41">
            <v>2024</v>
          </cell>
          <cell r="B41">
            <v>46719.231503283081</v>
          </cell>
          <cell r="C41">
            <v>1.0302726254707069</v>
          </cell>
          <cell r="D41">
            <v>113987</v>
          </cell>
          <cell r="E41"/>
          <cell r="F41">
            <v>319474</v>
          </cell>
          <cell r="G41">
            <v>433461</v>
          </cell>
        </row>
        <row r="42">
          <cell r="A42">
            <v>2025</v>
          </cell>
          <cell r="B42">
            <v>48091.988347066988</v>
          </cell>
          <cell r="C42">
            <v>1.0293831212460642</v>
          </cell>
          <cell r="D42">
            <v>117336</v>
          </cell>
          <cell r="E42"/>
          <cell r="F42">
            <v>328861</v>
          </cell>
          <cell r="G42">
            <v>446197</v>
          </cell>
        </row>
        <row r="43">
          <cell r="A43">
            <v>2026</v>
          </cell>
          <cell r="B43">
            <v>49464.745190850896</v>
          </cell>
          <cell r="C43">
            <v>1.0285443977461919</v>
          </cell>
          <cell r="D43">
            <v>120685</v>
          </cell>
          <cell r="E43"/>
          <cell r="F43">
            <v>338248</v>
          </cell>
          <cell r="G43">
            <v>458933</v>
          </cell>
        </row>
        <row r="44">
          <cell r="A44">
            <v>2027</v>
          </cell>
          <cell r="B44">
            <v>50837.50203463481</v>
          </cell>
          <cell r="C44">
            <v>1.0277522271364661</v>
          </cell>
          <cell r="D44">
            <v>124034</v>
          </cell>
          <cell r="E44"/>
          <cell r="F44">
            <v>347635</v>
          </cell>
          <cell r="G44">
            <v>471669</v>
          </cell>
        </row>
        <row r="45">
          <cell r="A45">
            <v>2028</v>
          </cell>
          <cell r="B45">
            <v>52210.258878418717</v>
          </cell>
          <cell r="C45">
            <v>1.0270028382364</v>
          </cell>
          <cell r="D45">
            <v>127383</v>
          </cell>
          <cell r="E45"/>
          <cell r="F45">
            <v>357022</v>
          </cell>
          <cell r="G45">
            <v>484405</v>
          </cell>
        </row>
        <row r="46">
          <cell r="A46">
            <v>2029</v>
          </cell>
          <cell r="B46">
            <v>53583.015722202632</v>
          </cell>
          <cell r="C46">
            <v>1.0262928564859377</v>
          </cell>
          <cell r="D46">
            <v>130732</v>
          </cell>
          <cell r="E46"/>
          <cell r="F46">
            <v>366409</v>
          </cell>
          <cell r="G46">
            <v>497141</v>
          </cell>
        </row>
        <row r="47">
          <cell r="A47">
            <v>2030</v>
          </cell>
          <cell r="B47">
            <v>54955.772565986539</v>
          </cell>
          <cell r="C47">
            <v>1.0256192531398545</v>
          </cell>
          <cell r="D47">
            <v>134081</v>
          </cell>
          <cell r="E47"/>
          <cell r="F47">
            <v>375796</v>
          </cell>
          <cell r="G47">
            <v>509877</v>
          </cell>
        </row>
        <row r="48">
          <cell r="A48">
            <v>2031</v>
          </cell>
          <cell r="B48">
            <v>56638.185932228684</v>
          </cell>
          <cell r="C48">
            <v>1.0306139516867321</v>
          </cell>
          <cell r="D48">
            <v>138186</v>
          </cell>
          <cell r="E48"/>
          <cell r="F48">
            <v>387301</v>
          </cell>
          <cell r="G48">
            <v>525487</v>
          </cell>
        </row>
        <row r="49">
          <cell r="A49">
            <v>2032</v>
          </cell>
          <cell r="B49">
            <v>58320.599298470828</v>
          </cell>
          <cell r="C49">
            <v>1.0297045771955913</v>
          </cell>
          <cell r="D49">
            <v>142291</v>
          </cell>
          <cell r="E49"/>
          <cell r="F49">
            <v>398806</v>
          </cell>
          <cell r="G49">
            <v>541097</v>
          </cell>
        </row>
        <row r="50">
          <cell r="A50">
            <v>2033</v>
          </cell>
          <cell r="B50">
            <v>60003.012664712973</v>
          </cell>
          <cell r="C50">
            <v>1.0288476693737654</v>
          </cell>
          <cell r="D50">
            <v>146396</v>
          </cell>
          <cell r="E50"/>
          <cell r="F50">
            <v>410311</v>
          </cell>
          <cell r="G50">
            <v>556707</v>
          </cell>
        </row>
        <row r="51">
          <cell r="A51">
            <v>2034</v>
          </cell>
          <cell r="B51">
            <v>61685.426030955117</v>
          </cell>
          <cell r="C51">
            <v>1.0280388149115645</v>
          </cell>
          <cell r="D51">
            <v>150501</v>
          </cell>
          <cell r="E51"/>
          <cell r="F51">
            <v>421816</v>
          </cell>
          <cell r="G51">
            <v>572317</v>
          </cell>
        </row>
        <row r="52">
          <cell r="A52">
            <v>2035</v>
          </cell>
          <cell r="B52">
            <v>63367.839397197269</v>
          </cell>
          <cell r="C52">
            <v>1.0272740819751798</v>
          </cell>
          <cell r="D52">
            <v>154606</v>
          </cell>
          <cell r="E52"/>
          <cell r="F52">
            <v>433321</v>
          </cell>
          <cell r="G52">
            <v>587927</v>
          </cell>
        </row>
        <row r="53">
          <cell r="A53">
            <v>2036</v>
          </cell>
          <cell r="B53">
            <v>65050.252763439406</v>
          </cell>
          <cell r="C53">
            <v>1.0265499562908649</v>
          </cell>
          <cell r="D53">
            <v>158711</v>
          </cell>
          <cell r="E53"/>
          <cell r="F53">
            <v>444826</v>
          </cell>
          <cell r="G53">
            <v>603537</v>
          </cell>
        </row>
        <row r="54">
          <cell r="A54">
            <v>2037</v>
          </cell>
          <cell r="B54">
            <v>66732.666129681558</v>
          </cell>
          <cell r="C54">
            <v>1.0258632871475595</v>
          </cell>
          <cell r="D54">
            <v>162816</v>
          </cell>
          <cell r="E54"/>
          <cell r="F54">
            <v>456331</v>
          </cell>
          <cell r="G54">
            <v>619147</v>
          </cell>
        </row>
        <row r="55">
          <cell r="A55">
            <v>2038</v>
          </cell>
          <cell r="B55">
            <v>68415.079495923696</v>
          </cell>
          <cell r="C55">
            <v>1.0252112415675512</v>
          </cell>
          <cell r="D55">
            <v>166921</v>
          </cell>
          <cell r="E55"/>
          <cell r="F55">
            <v>467836</v>
          </cell>
          <cell r="G55">
            <v>634757</v>
          </cell>
        </row>
        <row r="56">
          <cell r="A56">
            <v>2039</v>
          </cell>
          <cell r="B56">
            <v>70097.492862165847</v>
          </cell>
          <cell r="C56">
            <v>1.0245912652391553</v>
          </cell>
          <cell r="D56">
            <v>171026</v>
          </cell>
          <cell r="E56"/>
          <cell r="F56">
            <v>479341</v>
          </cell>
          <cell r="G56">
            <v>650367</v>
          </cell>
        </row>
        <row r="57">
          <cell r="A57">
            <v>2040</v>
          </cell>
          <cell r="B57">
            <v>71779.906228407985</v>
          </cell>
          <cell r="C57">
            <v>1.0240010490753257</v>
          </cell>
          <cell r="D57">
            <v>175131</v>
          </cell>
          <cell r="E57"/>
          <cell r="F57">
            <v>490846</v>
          </cell>
          <cell r="G57">
            <v>665977</v>
          </cell>
        </row>
        <row r="58">
          <cell r="A58">
            <v>2041</v>
          </cell>
          <cell r="B58">
            <v>73462.319594650136</v>
          </cell>
          <cell r="C58">
            <v>1.0234385004751694</v>
          </cell>
          <cell r="D58">
            <v>179236</v>
          </cell>
          <cell r="E58"/>
          <cell r="F58">
            <v>502351</v>
          </cell>
          <cell r="G58">
            <v>681587</v>
          </cell>
        </row>
        <row r="59">
          <cell r="A59">
            <v>2042</v>
          </cell>
          <cell r="B59">
            <v>75144.732960892274</v>
          </cell>
          <cell r="C59">
            <v>1.022901718534418</v>
          </cell>
          <cell r="D59">
            <v>183341</v>
          </cell>
          <cell r="E59"/>
          <cell r="F59">
            <v>513856</v>
          </cell>
          <cell r="G59">
            <v>697197</v>
          </cell>
        </row>
        <row r="60">
          <cell r="A60">
            <v>2043</v>
          </cell>
          <cell r="B60">
            <v>76827.146327134426</v>
          </cell>
          <cell r="C60">
            <v>1.0223889725859794</v>
          </cell>
          <cell r="D60">
            <v>187446</v>
          </cell>
          <cell r="E60"/>
          <cell r="F60">
            <v>525361</v>
          </cell>
          <cell r="G60">
            <v>712807</v>
          </cell>
        </row>
        <row r="61">
          <cell r="A61">
            <v>2044</v>
          </cell>
          <cell r="B61">
            <v>78509.559693376563</v>
          </cell>
          <cell r="C61">
            <v>1.0218986835600834</v>
          </cell>
          <cell r="D61">
            <v>191551</v>
          </cell>
          <cell r="E61"/>
          <cell r="F61">
            <v>536866</v>
          </cell>
          <cell r="G61">
            <v>728417</v>
          </cell>
        </row>
        <row r="62">
          <cell r="A62">
            <v>2045</v>
          </cell>
          <cell r="B62">
            <v>80191.973059618715</v>
          </cell>
          <cell r="C62">
            <v>1.0214294077410817</v>
          </cell>
          <cell r="D62">
            <v>195656</v>
          </cell>
          <cell r="E62"/>
          <cell r="F62">
            <v>548371</v>
          </cell>
          <cell r="G62">
            <v>744027</v>
          </cell>
        </row>
      </sheetData>
      <sheetData sheetId="2"/>
      <sheetData sheetId="3"/>
      <sheetData sheetId="4">
        <row r="36">
          <cell r="A36">
            <v>2020</v>
          </cell>
          <cell r="B36">
            <v>41228.204128147438</v>
          </cell>
          <cell r="C36">
            <v>1.0365374358584394</v>
          </cell>
          <cell r="D36">
            <v>112791</v>
          </cell>
          <cell r="E36">
            <v>125310</v>
          </cell>
        </row>
        <row r="37">
          <cell r="A37">
            <v>2021</v>
          </cell>
          <cell r="B37">
            <v>42600.960971931345</v>
          </cell>
          <cell r="C37">
            <v>1.0332965471771955</v>
          </cell>
          <cell r="D37">
            <v>116547</v>
          </cell>
          <cell r="E37">
            <v>129482</v>
          </cell>
        </row>
        <row r="38">
          <cell r="A38">
            <v>2022</v>
          </cell>
          <cell r="B38">
            <v>43973.717815715259</v>
          </cell>
          <cell r="C38">
            <v>1.0322236121548616</v>
          </cell>
          <cell r="D38">
            <v>120303</v>
          </cell>
          <cell r="E38">
            <v>133654</v>
          </cell>
        </row>
        <row r="39">
          <cell r="A39">
            <v>2023</v>
          </cell>
          <cell r="B39">
            <v>45346.474659499167</v>
          </cell>
          <cell r="C39">
            <v>1.0312176661872632</v>
          </cell>
          <cell r="D39">
            <v>124059</v>
          </cell>
          <cell r="E39">
            <v>137826</v>
          </cell>
        </row>
        <row r="40">
          <cell r="A40">
            <v>2024</v>
          </cell>
          <cell r="B40">
            <v>46719.231503283081</v>
          </cell>
          <cell r="C40">
            <v>1.0302726254707069</v>
          </cell>
          <cell r="D40">
            <v>127815</v>
          </cell>
          <cell r="E40">
            <v>141998</v>
          </cell>
        </row>
        <row r="41">
          <cell r="A41">
            <v>2025</v>
          </cell>
          <cell r="B41">
            <v>48091.988347066988</v>
          </cell>
          <cell r="C41">
            <v>1.0293831212460642</v>
          </cell>
          <cell r="D41">
            <v>131571</v>
          </cell>
          <cell r="E41">
            <v>146170</v>
          </cell>
        </row>
        <row r="42">
          <cell r="A42">
            <v>2026</v>
          </cell>
          <cell r="B42">
            <v>49464.745190850896</v>
          </cell>
          <cell r="C42">
            <v>1.0285443977461919</v>
          </cell>
          <cell r="D42">
            <v>135327</v>
          </cell>
          <cell r="E42">
            <v>150342</v>
          </cell>
        </row>
        <row r="43">
          <cell r="A43">
            <v>2027</v>
          </cell>
          <cell r="B43">
            <v>50837.50203463481</v>
          </cell>
          <cell r="C43">
            <v>1.0277522271364661</v>
          </cell>
          <cell r="D43">
            <v>139083</v>
          </cell>
          <cell r="E43">
            <v>154514</v>
          </cell>
        </row>
        <row r="44">
          <cell r="A44">
            <v>2028</v>
          </cell>
          <cell r="B44">
            <v>52210.258878418717</v>
          </cell>
          <cell r="C44">
            <v>1.0270028382364</v>
          </cell>
          <cell r="D44">
            <v>142839</v>
          </cell>
          <cell r="E44">
            <v>158686</v>
          </cell>
        </row>
        <row r="45">
          <cell r="A45">
            <v>2029</v>
          </cell>
          <cell r="B45">
            <v>53583.015722202632</v>
          </cell>
          <cell r="C45">
            <v>1.0262928564859377</v>
          </cell>
          <cell r="D45">
            <v>146595</v>
          </cell>
          <cell r="E45">
            <v>162858</v>
          </cell>
        </row>
        <row r="46">
          <cell r="A46">
            <v>2030</v>
          </cell>
          <cell r="B46">
            <v>54955.772565986539</v>
          </cell>
          <cell r="C46">
            <v>1.0256192531398545</v>
          </cell>
          <cell r="D46">
            <v>150351</v>
          </cell>
          <cell r="E46">
            <v>167030</v>
          </cell>
        </row>
        <row r="47">
          <cell r="A47">
            <v>2031</v>
          </cell>
          <cell r="B47">
            <v>56638.185932228684</v>
          </cell>
          <cell r="C47">
            <v>1.0306139516867321</v>
          </cell>
          <cell r="D47">
            <v>154954</v>
          </cell>
          <cell r="E47">
            <v>172143</v>
          </cell>
        </row>
        <row r="48">
          <cell r="A48">
            <v>2032</v>
          </cell>
          <cell r="B48">
            <v>58320.599298470828</v>
          </cell>
          <cell r="C48">
            <v>1.0297045771955913</v>
          </cell>
          <cell r="D48">
            <v>159557</v>
          </cell>
          <cell r="E48">
            <v>177256</v>
          </cell>
        </row>
        <row r="49">
          <cell r="A49">
            <v>2033</v>
          </cell>
          <cell r="B49">
            <v>60003.012664712973</v>
          </cell>
          <cell r="C49">
            <v>1.0288476693737654</v>
          </cell>
          <cell r="D49">
            <v>164160</v>
          </cell>
          <cell r="E49">
            <v>182369</v>
          </cell>
        </row>
        <row r="50">
          <cell r="A50">
            <v>2034</v>
          </cell>
          <cell r="B50">
            <v>61685.426030955117</v>
          </cell>
          <cell r="C50">
            <v>1.0280388149115645</v>
          </cell>
          <cell r="D50">
            <v>168763</v>
          </cell>
          <cell r="E50">
            <v>187482</v>
          </cell>
        </row>
        <row r="51">
          <cell r="A51">
            <v>2035</v>
          </cell>
          <cell r="B51">
            <v>63367.839397197269</v>
          </cell>
          <cell r="C51">
            <v>1.0272740819751798</v>
          </cell>
          <cell r="D51">
            <v>173366</v>
          </cell>
          <cell r="E51">
            <v>192595</v>
          </cell>
        </row>
        <row r="52">
          <cell r="A52">
            <v>2036</v>
          </cell>
          <cell r="B52">
            <v>65050.252763439406</v>
          </cell>
          <cell r="C52">
            <v>1.0265499562908649</v>
          </cell>
          <cell r="D52">
            <v>177969</v>
          </cell>
          <cell r="E52">
            <v>197708</v>
          </cell>
        </row>
        <row r="53">
          <cell r="A53">
            <v>2037</v>
          </cell>
          <cell r="B53">
            <v>66732.666129681558</v>
          </cell>
          <cell r="C53">
            <v>1.0258632871475595</v>
          </cell>
          <cell r="D53">
            <v>182572</v>
          </cell>
          <cell r="E53">
            <v>202821</v>
          </cell>
        </row>
        <row r="54">
          <cell r="A54">
            <v>2038</v>
          </cell>
          <cell r="B54">
            <v>68415.079495923696</v>
          </cell>
          <cell r="C54">
            <v>1.0252112415675512</v>
          </cell>
          <cell r="D54">
            <v>187175</v>
          </cell>
          <cell r="E54">
            <v>207934</v>
          </cell>
        </row>
        <row r="55">
          <cell r="A55">
            <v>2039</v>
          </cell>
          <cell r="B55">
            <v>70097.492862165847</v>
          </cell>
          <cell r="C55">
            <v>1.0245912652391553</v>
          </cell>
          <cell r="D55">
            <v>191778</v>
          </cell>
          <cell r="E55">
            <v>213047</v>
          </cell>
        </row>
        <row r="56">
          <cell r="A56">
            <v>2040</v>
          </cell>
          <cell r="B56">
            <v>71779.906228407985</v>
          </cell>
          <cell r="C56">
            <v>1.0240010490753257</v>
          </cell>
          <cell r="D56">
            <v>196381</v>
          </cell>
          <cell r="E56">
            <v>218160</v>
          </cell>
        </row>
        <row r="57">
          <cell r="A57">
            <v>2041</v>
          </cell>
          <cell r="B57">
            <v>73462.319594650136</v>
          </cell>
          <cell r="C57">
            <v>1.0234385004751694</v>
          </cell>
          <cell r="D57">
            <v>200984</v>
          </cell>
          <cell r="E57">
            <v>223273</v>
          </cell>
        </row>
        <row r="58">
          <cell r="A58">
            <v>2042</v>
          </cell>
          <cell r="B58">
            <v>75144.732960892274</v>
          </cell>
          <cell r="C58">
            <v>1.022901718534418</v>
          </cell>
          <cell r="D58">
            <v>205587</v>
          </cell>
          <cell r="E58">
            <v>228386</v>
          </cell>
        </row>
        <row r="59">
          <cell r="A59">
            <v>2043</v>
          </cell>
          <cell r="B59">
            <v>76827.146327134426</v>
          </cell>
          <cell r="C59">
            <v>1.0223889725859794</v>
          </cell>
          <cell r="D59">
            <v>210190</v>
          </cell>
          <cell r="E59">
            <v>233499</v>
          </cell>
        </row>
        <row r="60">
          <cell r="A60">
            <v>2044</v>
          </cell>
          <cell r="B60">
            <v>78509.559693376563</v>
          </cell>
          <cell r="C60">
            <v>1.0218986835600834</v>
          </cell>
          <cell r="D60">
            <v>214793</v>
          </cell>
          <cell r="E60">
            <v>238612</v>
          </cell>
        </row>
        <row r="61">
          <cell r="A61">
            <v>2045</v>
          </cell>
          <cell r="B61">
            <v>80191.973059618715</v>
          </cell>
          <cell r="C61">
            <v>1.0214294077410817</v>
          </cell>
          <cell r="D61">
            <v>219396</v>
          </cell>
          <cell r="E61">
            <v>243725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Santa Teresita-Mar del Tuyú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6">
          <cell r="A36">
            <v>2020</v>
          </cell>
          <cell r="B36">
            <v>30457.420664206613</v>
          </cell>
          <cell r="C36">
            <v>1.0207906378685456</v>
          </cell>
          <cell r="D36">
            <v>72277</v>
          </cell>
          <cell r="E36">
            <v>78125</v>
          </cell>
        </row>
        <row r="37">
          <cell r="A37">
            <v>2021</v>
          </cell>
          <cell r="B37">
            <v>31077.752767527476</v>
          </cell>
          <cell r="C37">
            <v>1.020367190976545</v>
          </cell>
          <cell r="D37">
            <v>73749</v>
          </cell>
          <cell r="E37">
            <v>79716</v>
          </cell>
        </row>
        <row r="38">
          <cell r="A38">
            <v>2022</v>
          </cell>
          <cell r="B38">
            <v>31698.084870848572</v>
          </cell>
          <cell r="C38">
            <v>1.019960648633812</v>
          </cell>
          <cell r="D38">
            <v>75221</v>
          </cell>
          <cell r="E38">
            <v>81307</v>
          </cell>
        </row>
        <row r="39">
          <cell r="A39">
            <v>2023</v>
          </cell>
          <cell r="B39">
            <v>32318.416974169668</v>
          </cell>
          <cell r="C39">
            <v>1.0195700183733052</v>
          </cell>
          <cell r="D39">
            <v>76693</v>
          </cell>
          <cell r="E39">
            <v>82898</v>
          </cell>
        </row>
        <row r="40">
          <cell r="A40">
            <v>2024</v>
          </cell>
          <cell r="B40">
            <v>32938.749077490531</v>
          </cell>
          <cell r="C40">
            <v>1.0191943839271786</v>
          </cell>
          <cell r="D40">
            <v>78165</v>
          </cell>
          <cell r="E40">
            <v>84489</v>
          </cell>
        </row>
        <row r="41">
          <cell r="A41">
            <v>2025</v>
          </cell>
          <cell r="B41">
            <v>33559.081180811627</v>
          </cell>
          <cell r="C41">
            <v>1.0188328980515236</v>
          </cell>
          <cell r="D41">
            <v>79637</v>
          </cell>
          <cell r="E41">
            <v>86080</v>
          </cell>
        </row>
        <row r="42">
          <cell r="A42">
            <v>2026</v>
          </cell>
          <cell r="B42">
            <v>34179.413284132723</v>
          </cell>
          <cell r="C42">
            <v>1.0184847761468447</v>
          </cell>
          <cell r="D42">
            <v>81109</v>
          </cell>
          <cell r="E42">
            <v>87671</v>
          </cell>
        </row>
        <row r="43">
          <cell r="A43">
            <v>2027</v>
          </cell>
          <cell r="B43">
            <v>34799.745387453819</v>
          </cell>
          <cell r="C43">
            <v>1.018149290573372</v>
          </cell>
          <cell r="D43">
            <v>82581</v>
          </cell>
          <cell r="E43">
            <v>89262</v>
          </cell>
        </row>
        <row r="44">
          <cell r="A44">
            <v>2028</v>
          </cell>
          <cell r="B44">
            <v>35420.077490774682</v>
          </cell>
          <cell r="C44">
            <v>1.0178257655742651</v>
          </cell>
          <cell r="D44">
            <v>84053</v>
          </cell>
          <cell r="E44">
            <v>90853</v>
          </cell>
        </row>
        <row r="45">
          <cell r="A45">
            <v>2029</v>
          </cell>
          <cell r="B45">
            <v>36040.409594095778</v>
          </cell>
          <cell r="C45">
            <v>1.0175135727323765</v>
          </cell>
          <cell r="D45">
            <v>85525</v>
          </cell>
          <cell r="E45">
            <v>92444</v>
          </cell>
        </row>
        <row r="46">
          <cell r="A46">
            <v>2030</v>
          </cell>
          <cell r="B46">
            <v>36660.741697416874</v>
          </cell>
          <cell r="C46">
            <v>1.0172121268961027</v>
          </cell>
          <cell r="D46">
            <v>86997</v>
          </cell>
          <cell r="E46">
            <v>94035</v>
          </cell>
        </row>
        <row r="47">
          <cell r="A47">
            <v>2031</v>
          </cell>
          <cell r="B47">
            <v>37281.07380073797</v>
          </cell>
          <cell r="C47">
            <v>1.0169208825189919</v>
          </cell>
          <cell r="D47">
            <v>88469</v>
          </cell>
          <cell r="E47">
            <v>95626</v>
          </cell>
        </row>
        <row r="48">
          <cell r="A48">
            <v>2032</v>
          </cell>
          <cell r="B48">
            <v>37901.405904058833</v>
          </cell>
          <cell r="C48">
            <v>1.0166393303646899</v>
          </cell>
          <cell r="D48">
            <v>89941</v>
          </cell>
          <cell r="E48">
            <v>97217</v>
          </cell>
        </row>
        <row r="49">
          <cell r="A49">
            <v>2033</v>
          </cell>
          <cell r="B49">
            <v>38521.738007379929</v>
          </cell>
          <cell r="C49">
            <v>1.0163669945355422</v>
          </cell>
          <cell r="D49">
            <v>91413</v>
          </cell>
          <cell r="E49">
            <v>98808</v>
          </cell>
        </row>
        <row r="50">
          <cell r="A50">
            <v>2034</v>
          </cell>
          <cell r="B50">
            <v>39142.070110701025</v>
          </cell>
          <cell r="C50">
            <v>1.0161034297881952</v>
          </cell>
          <cell r="D50">
            <v>92885</v>
          </cell>
          <cell r="E50">
            <v>100399</v>
          </cell>
        </row>
        <row r="51">
          <cell r="A51">
            <v>2035</v>
          </cell>
          <cell r="B51">
            <v>39762.402214021888</v>
          </cell>
          <cell r="C51">
            <v>1.0158482191045708</v>
          </cell>
          <cell r="D51">
            <v>94357</v>
          </cell>
          <cell r="E51">
            <v>101990</v>
          </cell>
        </row>
        <row r="52">
          <cell r="A52">
            <v>2036</v>
          </cell>
          <cell r="B52">
            <v>40382.734317342984</v>
          </cell>
          <cell r="C52">
            <v>1.0156009714901566</v>
          </cell>
          <cell r="D52">
            <v>95829</v>
          </cell>
          <cell r="E52">
            <v>103581</v>
          </cell>
        </row>
        <row r="53">
          <cell r="A53">
            <v>2037</v>
          </cell>
          <cell r="B53">
            <v>41003.066420664079</v>
          </cell>
          <cell r="C53">
            <v>1.0153613199751728</v>
          </cell>
          <cell r="D53">
            <v>97301</v>
          </cell>
          <cell r="E53">
            <v>105172</v>
          </cell>
        </row>
        <row r="54">
          <cell r="A54">
            <v>2038</v>
          </cell>
          <cell r="B54">
            <v>41623.398523985175</v>
          </cell>
          <cell r="C54">
            <v>1.0151289197972879</v>
          </cell>
          <cell r="D54">
            <v>98773</v>
          </cell>
          <cell r="E54">
            <v>106763</v>
          </cell>
        </row>
        <row r="55">
          <cell r="A55">
            <v>2039</v>
          </cell>
          <cell r="B55">
            <v>42243.730627306039</v>
          </cell>
          <cell r="C55">
            <v>1.0149034467467475</v>
          </cell>
          <cell r="D55">
            <v>100245</v>
          </cell>
          <cell r="E55">
            <v>108354</v>
          </cell>
        </row>
        <row r="56">
          <cell r="A56">
            <v>2040</v>
          </cell>
          <cell r="B56">
            <v>42864.062730627134</v>
          </cell>
          <cell r="C56">
            <v>1.014684595657376</v>
          </cell>
          <cell r="D56">
            <v>101717</v>
          </cell>
          <cell r="E56">
            <v>109945</v>
          </cell>
        </row>
        <row r="57">
          <cell r="A57">
            <v>2041</v>
          </cell>
          <cell r="B57">
            <v>43484.39483394823</v>
          </cell>
          <cell r="C57">
            <v>1.0144720790285204</v>
          </cell>
          <cell r="D57">
            <v>103189</v>
          </cell>
          <cell r="E57">
            <v>111536</v>
          </cell>
        </row>
        <row r="58">
          <cell r="A58">
            <v>2042</v>
          </cell>
          <cell r="B58">
            <v>44104.726937269326</v>
          </cell>
          <cell r="C58">
            <v>1.0142656257650573</v>
          </cell>
          <cell r="D58">
            <v>104661</v>
          </cell>
          <cell r="E58">
            <v>113127</v>
          </cell>
        </row>
        <row r="59">
          <cell r="A59">
            <v>2043</v>
          </cell>
          <cell r="B59">
            <v>44725.059040590189</v>
          </cell>
          <cell r="C59">
            <v>1.0140649800236416</v>
          </cell>
          <cell r="D59">
            <v>106133</v>
          </cell>
          <cell r="E59">
            <v>114718</v>
          </cell>
        </row>
        <row r="60">
          <cell r="A60">
            <v>2044</v>
          </cell>
          <cell r="B60">
            <v>45345.391143911285</v>
          </cell>
          <cell r="C60">
            <v>1.0138699001550364</v>
          </cell>
          <cell r="D60">
            <v>107605</v>
          </cell>
          <cell r="E60">
            <v>116309</v>
          </cell>
        </row>
        <row r="61">
          <cell r="A61">
            <v>2045</v>
          </cell>
          <cell r="B61">
            <v>45965.723247232381</v>
          </cell>
          <cell r="C61">
            <v>1.0136801577331722</v>
          </cell>
          <cell r="D61">
            <v>109077</v>
          </cell>
          <cell r="E61">
            <v>117900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Monte Hermoso_Depto"/>
      <sheetName val="Plazas turísticas_Bs As"/>
      <sheetName val="Plazas turísticas_Departamento"/>
      <sheetName val="Monte Hermoso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8099.2802914170579</v>
          </cell>
          <cell r="C37">
            <v>1.0237415938306151</v>
          </cell>
          <cell r="D37">
            <v>8101</v>
          </cell>
          <cell r="E37">
            <v>28485</v>
          </cell>
          <cell r="F37">
            <v>32311</v>
          </cell>
          <cell r="G37">
            <v>40412</v>
          </cell>
        </row>
        <row r="38">
          <cell r="A38">
            <v>2021</v>
          </cell>
          <cell r="B38">
            <v>8290.1747326172299</v>
          </cell>
          <cell r="C38">
            <v>1.0235693091647249</v>
          </cell>
          <cell r="D38">
            <v>8292</v>
          </cell>
          <cell r="E38"/>
          <cell r="F38">
            <v>33073</v>
          </cell>
          <cell r="G38">
            <v>41365</v>
          </cell>
        </row>
        <row r="39">
          <cell r="A39">
            <v>2022</v>
          </cell>
          <cell r="B39">
            <v>8484.1831679317147</v>
          </cell>
          <cell r="C39">
            <v>1.023402213050006</v>
          </cell>
          <cell r="D39">
            <v>8486</v>
          </cell>
          <cell r="E39"/>
          <cell r="F39">
            <v>33847</v>
          </cell>
          <cell r="G39">
            <v>42333</v>
          </cell>
        </row>
        <row r="40">
          <cell r="A40">
            <v>2023</v>
          </cell>
          <cell r="B40">
            <v>8681.3563948550945</v>
          </cell>
          <cell r="C40">
            <v>1.0232400954836347</v>
          </cell>
          <cell r="D40">
            <v>8683</v>
          </cell>
          <cell r="E40"/>
          <cell r="F40">
            <v>34634</v>
          </cell>
          <cell r="G40">
            <v>43317</v>
          </cell>
        </row>
        <row r="41">
          <cell r="A41">
            <v>2024</v>
          </cell>
          <cell r="B41">
            <v>8881.7460395236922</v>
          </cell>
          <cell r="C41">
            <v>1.0230827575270791</v>
          </cell>
          <cell r="D41">
            <v>8883</v>
          </cell>
          <cell r="E41"/>
          <cell r="F41">
            <v>35433</v>
          </cell>
          <cell r="G41">
            <v>44316</v>
          </cell>
        </row>
        <row r="42">
          <cell r="A42">
            <v>2025</v>
          </cell>
          <cell r="B42">
            <v>9085.4045702328804</v>
          </cell>
          <cell r="C42">
            <v>1.0229300105860841</v>
          </cell>
          <cell r="D42">
            <v>9087</v>
          </cell>
          <cell r="E42"/>
          <cell r="F42">
            <v>36245</v>
          </cell>
          <cell r="G42">
            <v>45332</v>
          </cell>
        </row>
        <row r="43">
          <cell r="A43">
            <v>2026</v>
          </cell>
          <cell r="B43">
            <v>9292.3853111749668</v>
          </cell>
          <cell r="C43">
            <v>1.0227816757461996</v>
          </cell>
          <cell r="D43">
            <v>9294</v>
          </cell>
          <cell r="E43"/>
          <cell r="F43">
            <v>37071</v>
          </cell>
          <cell r="G43">
            <v>46365</v>
          </cell>
        </row>
        <row r="44">
          <cell r="A44">
            <v>2027</v>
          </cell>
          <cell r="B44">
            <v>9502.742456401098</v>
          </cell>
          <cell r="C44">
            <v>1.0226375831588856</v>
          </cell>
          <cell r="D44">
            <v>9504</v>
          </cell>
          <cell r="E44"/>
          <cell r="F44">
            <v>37910</v>
          </cell>
          <cell r="G44">
            <v>47414</v>
          </cell>
        </row>
        <row r="45">
          <cell r="A45">
            <v>2028</v>
          </cell>
          <cell r="B45">
            <v>9716.531084010996</v>
          </cell>
          <cell r="C45">
            <v>1.0224975714737896</v>
          </cell>
          <cell r="D45">
            <v>9718</v>
          </cell>
          <cell r="E45"/>
          <cell r="F45">
            <v>38763</v>
          </cell>
          <cell r="G45">
            <v>48481</v>
          </cell>
        </row>
        <row r="46">
          <cell r="A46">
            <v>2029</v>
          </cell>
          <cell r="B46">
            <v>9933.8071705741131</v>
          </cell>
          <cell r="C46">
            <v>1.0223614873131683</v>
          </cell>
          <cell r="D46">
            <v>9935</v>
          </cell>
          <cell r="E46"/>
          <cell r="F46">
            <v>39630</v>
          </cell>
          <cell r="G46">
            <v>49565</v>
          </cell>
        </row>
        <row r="47">
          <cell r="A47">
            <v>2030</v>
          </cell>
          <cell r="B47">
            <v>10154.627605786067</v>
          </cell>
          <cell r="C47">
            <v>1.0222291847848695</v>
          </cell>
          <cell r="D47">
            <v>10156</v>
          </cell>
          <cell r="E47"/>
          <cell r="F47">
            <v>40511</v>
          </cell>
          <cell r="G47">
            <v>50667</v>
          </cell>
        </row>
        <row r="48">
          <cell r="A48">
            <v>2031</v>
          </cell>
          <cell r="B48">
            <v>10379.050207364133</v>
          </cell>
          <cell r="C48">
            <v>1.022100525030597</v>
          </cell>
          <cell r="D48">
            <v>10380</v>
          </cell>
          <cell r="E48"/>
          <cell r="F48">
            <v>41406</v>
          </cell>
          <cell r="G48">
            <v>51786</v>
          </cell>
        </row>
        <row r="49">
          <cell r="A49">
            <v>2032</v>
          </cell>
          <cell r="B49">
            <v>10607.133736185751</v>
          </cell>
          <cell r="C49">
            <v>1.0219753758065251</v>
          </cell>
          <cell r="D49">
            <v>10608</v>
          </cell>
          <cell r="E49"/>
          <cell r="F49">
            <v>42316</v>
          </cell>
          <cell r="G49">
            <v>52924</v>
          </cell>
        </row>
        <row r="50">
          <cell r="A50">
            <v>2033</v>
          </cell>
          <cell r="B50">
            <v>10838.937911673955</v>
          </cell>
          <cell r="C50">
            <v>1.0218536110935807</v>
          </cell>
          <cell r="D50">
            <v>10840</v>
          </cell>
          <cell r="E50"/>
          <cell r="F50">
            <v>43241</v>
          </cell>
          <cell r="G50">
            <v>54081</v>
          </cell>
        </row>
        <row r="51">
          <cell r="A51">
            <v>2034</v>
          </cell>
          <cell r="B51">
            <v>11074.523427433804</v>
          </cell>
          <cell r="C51">
            <v>1.0217351107349839</v>
          </cell>
          <cell r="D51">
            <v>11076</v>
          </cell>
          <cell r="E51"/>
          <cell r="F51">
            <v>44181</v>
          </cell>
          <cell r="G51">
            <v>55257</v>
          </cell>
        </row>
        <row r="52">
          <cell r="A52">
            <v>2035</v>
          </cell>
          <cell r="B52">
            <v>11313.951967143854</v>
          </cell>
          <cell r="C52">
            <v>1.0216197600988353</v>
          </cell>
          <cell r="D52">
            <v>11315</v>
          </cell>
          <cell r="E52"/>
          <cell r="F52">
            <v>45136</v>
          </cell>
          <cell r="G52">
            <v>56451</v>
          </cell>
        </row>
        <row r="53">
          <cell r="A53">
            <v>2036</v>
          </cell>
          <cell r="B53">
            <v>11557.286220706894</v>
          </cell>
          <cell r="C53">
            <v>1.0215074497637688</v>
          </cell>
          <cell r="D53">
            <v>11558</v>
          </cell>
          <cell r="E53"/>
          <cell r="F53">
            <v>46107</v>
          </cell>
          <cell r="G53">
            <v>57665</v>
          </cell>
        </row>
        <row r="54">
          <cell r="A54">
            <v>2037</v>
          </cell>
          <cell r="B54">
            <v>11804.589900664134</v>
          </cell>
          <cell r="C54">
            <v>1.0213980752258391</v>
          </cell>
          <cell r="D54">
            <v>11805</v>
          </cell>
          <cell r="E54"/>
          <cell r="F54">
            <v>47094</v>
          </cell>
          <cell r="G54">
            <v>58899</v>
          </cell>
        </row>
        <row r="55">
          <cell r="A55">
            <v>2038</v>
          </cell>
          <cell r="B55">
            <v>12055.927758877126</v>
          </cell>
          <cell r="C55">
            <v>1.0212915366249913</v>
          </cell>
          <cell r="D55">
            <v>12056</v>
          </cell>
          <cell r="E55"/>
          <cell r="F55">
            <v>48097</v>
          </cell>
          <cell r="G55">
            <v>60153</v>
          </cell>
        </row>
        <row r="56">
          <cell r="A56">
            <v>2039</v>
          </cell>
          <cell r="B56">
            <v>12311.365603481852</v>
          </cell>
          <cell r="C56">
            <v>1.0211877384896106</v>
          </cell>
          <cell r="D56">
            <v>12311</v>
          </cell>
          <cell r="E56"/>
          <cell r="F56">
            <v>49116</v>
          </cell>
          <cell r="G56">
            <v>61427</v>
          </cell>
        </row>
        <row r="57">
          <cell r="A57">
            <v>2040</v>
          </cell>
          <cell r="B57">
            <v>12570.970316119354</v>
          </cell>
          <cell r="C57">
            <v>1.021086589497763</v>
          </cell>
          <cell r="D57">
            <v>12571</v>
          </cell>
          <cell r="E57"/>
          <cell r="F57">
            <v>50152</v>
          </cell>
          <cell r="G57">
            <v>62723</v>
          </cell>
        </row>
        <row r="58">
          <cell r="A58">
            <v>2041</v>
          </cell>
          <cell r="B58">
            <v>12834.809869447436</v>
          </cell>
          <cell r="C58">
            <v>1.0209880022538729</v>
          </cell>
          <cell r="D58">
            <v>12835</v>
          </cell>
          <cell r="E58"/>
          <cell r="F58">
            <v>51205</v>
          </cell>
          <cell r="G58">
            <v>64040</v>
          </cell>
        </row>
        <row r="59">
          <cell r="A59">
            <v>2042</v>
          </cell>
          <cell r="B59">
            <v>13102.953344938051</v>
          </cell>
          <cell r="C59">
            <v>1.0208918930796875</v>
          </cell>
          <cell r="D59">
            <v>13103</v>
          </cell>
          <cell r="E59"/>
          <cell r="F59">
            <v>52275</v>
          </cell>
          <cell r="G59">
            <v>65378</v>
          </cell>
        </row>
        <row r="60">
          <cell r="A60">
            <v>2043</v>
          </cell>
          <cell r="B60">
            <v>13375.470950964987</v>
          </cell>
          <cell r="C60">
            <v>1.0207981818184688</v>
          </cell>
          <cell r="D60">
            <v>13376</v>
          </cell>
          <cell r="E60"/>
          <cell r="F60">
            <v>53362</v>
          </cell>
          <cell r="G60">
            <v>66738</v>
          </cell>
        </row>
        <row r="61">
          <cell r="A61">
            <v>2044</v>
          </cell>
          <cell r="B61">
            <v>13652.43404118664</v>
          </cell>
          <cell r="C61">
            <v>1.0207067916514498</v>
          </cell>
          <cell r="D61">
            <v>13653</v>
          </cell>
          <cell r="E61"/>
          <cell r="F61">
            <v>54467</v>
          </cell>
          <cell r="G61">
            <v>68120</v>
          </cell>
        </row>
        <row r="62">
          <cell r="A62">
            <v>2045</v>
          </cell>
          <cell r="B62">
            <v>13933.915133228609</v>
          </cell>
          <cell r="C62">
            <v>1.020617648925664</v>
          </cell>
          <cell r="D62">
            <v>13934</v>
          </cell>
          <cell r="E62"/>
          <cell r="F62">
            <v>55590</v>
          </cell>
          <cell r="G62">
            <v>69524</v>
          </cell>
        </row>
      </sheetData>
      <sheetData sheetId="2"/>
      <sheetData sheetId="3"/>
      <sheetData sheetId="4">
        <row r="36">
          <cell r="A36">
            <v>2020</v>
          </cell>
          <cell r="B36">
            <v>8099.2802914170579</v>
          </cell>
          <cell r="C36">
            <v>1.0237415938306151</v>
          </cell>
          <cell r="D36">
            <v>27354</v>
          </cell>
          <cell r="E36">
            <v>31180</v>
          </cell>
        </row>
        <row r="37">
          <cell r="A37">
            <v>2021</v>
          </cell>
          <cell r="B37">
            <v>8290.1747326172299</v>
          </cell>
          <cell r="C37">
            <v>1.0235693091647249</v>
          </cell>
          <cell r="D37">
            <v>27999</v>
          </cell>
          <cell r="E37">
            <v>31915</v>
          </cell>
        </row>
        <row r="38">
          <cell r="A38">
            <v>2022</v>
          </cell>
          <cell r="B38">
            <v>8484.1831679317147</v>
          </cell>
          <cell r="C38">
            <v>1.023402213050006</v>
          </cell>
          <cell r="D38">
            <v>28654</v>
          </cell>
          <cell r="E38">
            <v>32662</v>
          </cell>
        </row>
        <row r="39">
          <cell r="A39">
            <v>2023</v>
          </cell>
          <cell r="B39">
            <v>8681.3563948550945</v>
          </cell>
          <cell r="C39">
            <v>1.0232400954836347</v>
          </cell>
          <cell r="D39">
            <v>29320</v>
          </cell>
          <cell r="E39">
            <v>33421</v>
          </cell>
        </row>
        <row r="40">
          <cell r="A40">
            <v>2024</v>
          </cell>
          <cell r="B40">
            <v>8881.7460395236922</v>
          </cell>
          <cell r="C40">
            <v>1.0230827575270791</v>
          </cell>
          <cell r="D40">
            <v>29997</v>
          </cell>
          <cell r="E40">
            <v>34192</v>
          </cell>
        </row>
        <row r="41">
          <cell r="A41">
            <v>2025</v>
          </cell>
          <cell r="B41">
            <v>9085.4045702328804</v>
          </cell>
          <cell r="C41">
            <v>1.0229300105860841</v>
          </cell>
          <cell r="D41">
            <v>30685</v>
          </cell>
          <cell r="E41">
            <v>34976</v>
          </cell>
        </row>
        <row r="42">
          <cell r="A42">
            <v>2026</v>
          </cell>
          <cell r="B42">
            <v>9292.3853111749668</v>
          </cell>
          <cell r="C42">
            <v>1.0227816757461996</v>
          </cell>
          <cell r="D42">
            <v>31384</v>
          </cell>
          <cell r="E42">
            <v>35773</v>
          </cell>
        </row>
        <row r="43">
          <cell r="A43">
            <v>2027</v>
          </cell>
          <cell r="B43">
            <v>9502.742456401098</v>
          </cell>
          <cell r="C43">
            <v>1.0226375831588856</v>
          </cell>
          <cell r="D43">
            <v>32094</v>
          </cell>
          <cell r="E43">
            <v>36583</v>
          </cell>
        </row>
        <row r="44">
          <cell r="A44">
            <v>2028</v>
          </cell>
          <cell r="B44">
            <v>9716.531084010996</v>
          </cell>
          <cell r="C44">
            <v>1.0224975714737896</v>
          </cell>
          <cell r="D44">
            <v>32816</v>
          </cell>
          <cell r="E44">
            <v>37406</v>
          </cell>
        </row>
        <row r="45">
          <cell r="A45">
            <v>2029</v>
          </cell>
          <cell r="B45">
            <v>9933.8071705741131</v>
          </cell>
          <cell r="C45">
            <v>1.0223614873131683</v>
          </cell>
          <cell r="D45">
            <v>33550</v>
          </cell>
          <cell r="E45">
            <v>38242</v>
          </cell>
        </row>
        <row r="46">
          <cell r="A46">
            <v>2030</v>
          </cell>
          <cell r="B46">
            <v>10154.627605786067</v>
          </cell>
          <cell r="C46">
            <v>1.0222291847848695</v>
          </cell>
          <cell r="D46">
            <v>34296</v>
          </cell>
          <cell r="E46">
            <v>39092</v>
          </cell>
        </row>
        <row r="47">
          <cell r="A47">
            <v>2031</v>
          </cell>
          <cell r="B47">
            <v>10379.050207364133</v>
          </cell>
          <cell r="C47">
            <v>1.022100525030597</v>
          </cell>
          <cell r="D47">
            <v>35054</v>
          </cell>
          <cell r="E47">
            <v>39956</v>
          </cell>
        </row>
        <row r="48">
          <cell r="A48">
            <v>2032</v>
          </cell>
          <cell r="B48">
            <v>10607.133736185751</v>
          </cell>
          <cell r="C48">
            <v>1.0219753758065251</v>
          </cell>
          <cell r="D48">
            <v>35824</v>
          </cell>
          <cell r="E48">
            <v>40834</v>
          </cell>
        </row>
        <row r="49">
          <cell r="A49">
            <v>2033</v>
          </cell>
          <cell r="B49">
            <v>10838.937911673955</v>
          </cell>
          <cell r="C49">
            <v>1.0218536110935807</v>
          </cell>
          <cell r="D49">
            <v>36607</v>
          </cell>
          <cell r="E49">
            <v>41726</v>
          </cell>
        </row>
        <row r="50">
          <cell r="A50">
            <v>2034</v>
          </cell>
          <cell r="B50">
            <v>11074.523427433804</v>
          </cell>
          <cell r="C50">
            <v>1.0217351107349839</v>
          </cell>
          <cell r="D50">
            <v>37403</v>
          </cell>
          <cell r="E50">
            <v>42633</v>
          </cell>
        </row>
        <row r="51">
          <cell r="A51">
            <v>2035</v>
          </cell>
          <cell r="B51">
            <v>11313.951967143854</v>
          </cell>
          <cell r="C51">
            <v>1.0216197600988353</v>
          </cell>
          <cell r="D51">
            <v>38212</v>
          </cell>
          <cell r="E51">
            <v>43555</v>
          </cell>
        </row>
        <row r="52">
          <cell r="A52">
            <v>2036</v>
          </cell>
          <cell r="B52">
            <v>11557.286220706894</v>
          </cell>
          <cell r="C52">
            <v>1.0215074497637688</v>
          </cell>
          <cell r="D52">
            <v>39034</v>
          </cell>
          <cell r="E52">
            <v>44492</v>
          </cell>
        </row>
        <row r="53">
          <cell r="A53">
            <v>2037</v>
          </cell>
          <cell r="B53">
            <v>11804.589900664134</v>
          </cell>
          <cell r="C53">
            <v>1.0213980752258391</v>
          </cell>
          <cell r="D53">
            <v>39869</v>
          </cell>
          <cell r="E53">
            <v>45444</v>
          </cell>
        </row>
        <row r="54">
          <cell r="A54">
            <v>2038</v>
          </cell>
          <cell r="B54">
            <v>12055.927758877126</v>
          </cell>
          <cell r="C54">
            <v>1.0212915366249913</v>
          </cell>
          <cell r="D54">
            <v>40718</v>
          </cell>
          <cell r="E54">
            <v>46412</v>
          </cell>
        </row>
        <row r="55">
          <cell r="A55">
            <v>2039</v>
          </cell>
          <cell r="B55">
            <v>12311.365603481852</v>
          </cell>
          <cell r="C55">
            <v>1.0211877384896106</v>
          </cell>
          <cell r="D55">
            <v>41581</v>
          </cell>
          <cell r="E55">
            <v>47395</v>
          </cell>
        </row>
        <row r="56">
          <cell r="A56">
            <v>2040</v>
          </cell>
          <cell r="B56">
            <v>12570.970316119354</v>
          </cell>
          <cell r="C56">
            <v>1.021086589497763</v>
          </cell>
          <cell r="D56">
            <v>42458</v>
          </cell>
          <cell r="E56">
            <v>48394</v>
          </cell>
        </row>
        <row r="57">
          <cell r="A57">
            <v>2041</v>
          </cell>
          <cell r="B57">
            <v>12834.809869447436</v>
          </cell>
          <cell r="C57">
            <v>1.0209880022538729</v>
          </cell>
          <cell r="D57">
            <v>43349</v>
          </cell>
          <cell r="E57">
            <v>49410</v>
          </cell>
        </row>
        <row r="58">
          <cell r="A58">
            <v>2042</v>
          </cell>
          <cell r="B58">
            <v>13102.953344938051</v>
          </cell>
          <cell r="C58">
            <v>1.0208918930796875</v>
          </cell>
          <cell r="D58">
            <v>44255</v>
          </cell>
          <cell r="E58">
            <v>50442</v>
          </cell>
        </row>
        <row r="59">
          <cell r="A59">
            <v>2043</v>
          </cell>
          <cell r="B59">
            <v>13375.470950964987</v>
          </cell>
          <cell r="C59">
            <v>1.0207981818184688</v>
          </cell>
          <cell r="D59">
            <v>45175</v>
          </cell>
          <cell r="E59">
            <v>51491</v>
          </cell>
        </row>
        <row r="60">
          <cell r="A60">
            <v>2044</v>
          </cell>
          <cell r="B60">
            <v>13652.43404118664</v>
          </cell>
          <cell r="C60">
            <v>1.0207067916514498</v>
          </cell>
          <cell r="D60">
            <v>46110</v>
          </cell>
          <cell r="E60">
            <v>52557</v>
          </cell>
        </row>
        <row r="61">
          <cell r="A61">
            <v>2045</v>
          </cell>
          <cell r="B61">
            <v>13933.915133228609</v>
          </cell>
          <cell r="C61">
            <v>1.020617648925664</v>
          </cell>
          <cell r="D61">
            <v>47061</v>
          </cell>
          <cell r="E61">
            <v>53641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Necochea_depto"/>
      <sheetName val="Plazas turísticas_Bs As"/>
      <sheetName val="Plazas turísticas_depto"/>
      <sheetName val="Quequén-Necochea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93554.630803650274</v>
          </cell>
          <cell r="C37">
            <v>1.0101745888698412</v>
          </cell>
          <cell r="D37">
            <v>98910</v>
          </cell>
          <cell r="E37">
            <v>20678</v>
          </cell>
          <cell r="F37">
            <v>26430</v>
          </cell>
          <cell r="G37">
            <v>125340</v>
          </cell>
        </row>
        <row r="38">
          <cell r="A38">
            <v>2021</v>
          </cell>
          <cell r="B38">
            <v>94512.294557257395</v>
          </cell>
          <cell r="C38">
            <v>1.0102364120875753</v>
          </cell>
          <cell r="D38">
            <v>99922</v>
          </cell>
          <cell r="E38"/>
          <cell r="F38">
            <v>26701</v>
          </cell>
          <cell r="G38">
            <v>126623</v>
          </cell>
        </row>
        <row r="39">
          <cell r="A39">
            <v>2022</v>
          </cell>
          <cell r="B39">
            <v>95485.580344033602</v>
          </cell>
          <cell r="C39">
            <v>1.0102979807160071</v>
          </cell>
          <cell r="D39">
            <v>100951</v>
          </cell>
          <cell r="E39"/>
          <cell r="F39">
            <v>26976</v>
          </cell>
          <cell r="G39">
            <v>127927</v>
          </cell>
        </row>
        <row r="40">
          <cell r="A40">
            <v>2023</v>
          </cell>
          <cell r="B40">
            <v>96474.743000730741</v>
          </cell>
          <cell r="C40">
            <v>1.0103592883148764</v>
          </cell>
          <cell r="D40">
            <v>101997</v>
          </cell>
          <cell r="E40"/>
          <cell r="F40">
            <v>27255</v>
          </cell>
          <cell r="G40">
            <v>129252</v>
          </cell>
        </row>
        <row r="41">
          <cell r="A41">
            <v>2024</v>
          </cell>
          <cell r="B41">
            <v>97480.041521163264</v>
          </cell>
          <cell r="C41">
            <v>1.0104203285664612</v>
          </cell>
          <cell r="D41">
            <v>103060</v>
          </cell>
          <cell r="E41"/>
          <cell r="F41">
            <v>27539</v>
          </cell>
          <cell r="G41">
            <v>130599</v>
          </cell>
        </row>
        <row r="42">
          <cell r="A42">
            <v>2025</v>
          </cell>
          <cell r="B42">
            <v>98501.739124020984</v>
          </cell>
          <cell r="C42">
            <v>1.0104810952777026</v>
          </cell>
          <cell r="D42">
            <v>104140</v>
          </cell>
          <cell r="E42"/>
          <cell r="F42">
            <v>27828</v>
          </cell>
          <cell r="G42">
            <v>131968</v>
          </cell>
        </row>
        <row r="43">
          <cell r="A43">
            <v>2026</v>
          </cell>
          <cell r="B43">
            <v>99540.103321787901</v>
          </cell>
          <cell r="C43">
            <v>1.010541582382211</v>
          </cell>
          <cell r="D43">
            <v>105238</v>
          </cell>
          <cell r="E43"/>
          <cell r="F43">
            <v>28121</v>
          </cell>
          <cell r="G43">
            <v>133359</v>
          </cell>
        </row>
        <row r="44">
          <cell r="A44">
            <v>2027</v>
          </cell>
          <cell r="B44">
            <v>100595.40599078547</v>
          </cell>
          <cell r="C44">
            <v>1.0106017839421568</v>
          </cell>
          <cell r="D44">
            <v>106354</v>
          </cell>
          <cell r="E44"/>
          <cell r="F44">
            <v>28419</v>
          </cell>
          <cell r="G44">
            <v>134773</v>
          </cell>
        </row>
        <row r="45">
          <cell r="A45">
            <v>2028</v>
          </cell>
          <cell r="B45">
            <v>101667.92344235819</v>
          </cell>
          <cell r="C45">
            <v>1.0106616941500388</v>
          </cell>
          <cell r="D45">
            <v>107488</v>
          </cell>
          <cell r="E45"/>
          <cell r="F45">
            <v>28722</v>
          </cell>
          <cell r="G45">
            <v>136210</v>
          </cell>
        </row>
        <row r="46">
          <cell r="A46">
            <v>2029</v>
          </cell>
          <cell r="B46">
            <v>102757.93649522083</v>
          </cell>
          <cell r="C46">
            <v>1.0107213073303363</v>
          </cell>
          <cell r="D46">
            <v>108640</v>
          </cell>
          <cell r="E46"/>
          <cell r="F46">
            <v>29030</v>
          </cell>
          <cell r="G46">
            <v>137670</v>
          </cell>
        </row>
        <row r="47">
          <cell r="A47">
            <v>2030</v>
          </cell>
          <cell r="B47">
            <v>103865.73054898529</v>
          </cell>
          <cell r="C47">
            <v>1.0107806179410384</v>
          </cell>
          <cell r="D47">
            <v>109811</v>
          </cell>
          <cell r="E47"/>
          <cell r="F47">
            <v>29343</v>
          </cell>
          <cell r="G47">
            <v>139154</v>
          </cell>
        </row>
        <row r="48">
          <cell r="A48">
            <v>2031</v>
          </cell>
          <cell r="B48">
            <v>104991.59565888737</v>
          </cell>
          <cell r="C48">
            <v>1.0108396205750567</v>
          </cell>
          <cell r="D48">
            <v>111001</v>
          </cell>
          <cell r="E48"/>
          <cell r="F48">
            <v>29661</v>
          </cell>
          <cell r="G48">
            <v>140662</v>
          </cell>
        </row>
        <row r="49">
          <cell r="A49">
            <v>2032</v>
          </cell>
          <cell r="B49">
            <v>106135.82661173229</v>
          </cell>
          <cell r="C49">
            <v>1.0108983099615181</v>
          </cell>
          <cell r="D49">
            <v>112211</v>
          </cell>
          <cell r="E49"/>
          <cell r="F49">
            <v>29984</v>
          </cell>
          <cell r="G49">
            <v>142195</v>
          </cell>
        </row>
        <row r="50">
          <cell r="A50">
            <v>2033</v>
          </cell>
          <cell r="B50">
            <v>107298.72300307908</v>
          </cell>
          <cell r="C50">
            <v>1.0109566809669359</v>
          </cell>
          <cell r="D50">
            <v>113440</v>
          </cell>
          <cell r="E50"/>
          <cell r="F50">
            <v>30313</v>
          </cell>
          <cell r="G50">
            <v>143753</v>
          </cell>
        </row>
        <row r="51">
          <cell r="A51">
            <v>2034</v>
          </cell>
          <cell r="B51">
            <v>108480.58931568412</v>
          </cell>
          <cell r="C51">
            <v>1.0110147285962678</v>
          </cell>
          <cell r="D51">
            <v>114690</v>
          </cell>
          <cell r="E51"/>
          <cell r="F51">
            <v>30647</v>
          </cell>
          <cell r="G51">
            <v>145337</v>
          </cell>
        </row>
        <row r="52">
          <cell r="A52">
            <v>2035</v>
          </cell>
          <cell r="B52">
            <v>109681.7349992243</v>
          </cell>
          <cell r="C52">
            <v>1.0110724479938507</v>
          </cell>
          <cell r="D52">
            <v>115960</v>
          </cell>
          <cell r="E52"/>
          <cell r="F52">
            <v>30986</v>
          </cell>
          <cell r="G52">
            <v>146946</v>
          </cell>
        </row>
        <row r="53">
          <cell r="A53">
            <v>2036</v>
          </cell>
          <cell r="B53">
            <v>110902.47455132061</v>
          </cell>
          <cell r="C53">
            <v>1.0111298344442212</v>
          </cell>
          <cell r="D53">
            <v>117251</v>
          </cell>
          <cell r="E53"/>
          <cell r="F53">
            <v>31331</v>
          </cell>
          <cell r="G53">
            <v>148582</v>
          </cell>
        </row>
        <row r="54">
          <cell r="A54">
            <v>2037</v>
          </cell>
          <cell r="B54">
            <v>112143.12759988352</v>
          </cell>
          <cell r="C54">
            <v>1.0111868833728213</v>
          </cell>
          <cell r="D54">
            <v>118563</v>
          </cell>
          <cell r="E54"/>
          <cell r="F54">
            <v>31681</v>
          </cell>
          <cell r="G54">
            <v>150244</v>
          </cell>
        </row>
        <row r="55">
          <cell r="A55">
            <v>2038</v>
          </cell>
          <cell r="B55">
            <v>113404.01898680154</v>
          </cell>
          <cell r="C55">
            <v>1.0112435903465862</v>
          </cell>
          <cell r="D55">
            <v>119896</v>
          </cell>
          <cell r="E55"/>
          <cell r="F55">
            <v>32037</v>
          </cell>
          <cell r="G55">
            <v>151933</v>
          </cell>
        </row>
        <row r="56">
          <cell r="A56">
            <v>2039</v>
          </cell>
          <cell r="B56">
            <v>114685.47885299516</v>
          </cell>
          <cell r="C56">
            <v>1.0112999510744214</v>
          </cell>
          <cell r="D56">
            <v>121251</v>
          </cell>
          <cell r="E56"/>
          <cell r="F56">
            <v>32399</v>
          </cell>
          <cell r="G56">
            <v>153650</v>
          </cell>
        </row>
        <row r="57">
          <cell r="A57">
            <v>2040</v>
          </cell>
          <cell r="B57">
            <v>115987.84272485792</v>
          </cell>
          <cell r="C57">
            <v>1.0113559614075653</v>
          </cell>
          <cell r="D57">
            <v>122628</v>
          </cell>
          <cell r="E57"/>
          <cell r="F57">
            <v>32767</v>
          </cell>
          <cell r="G57">
            <v>155395</v>
          </cell>
        </row>
        <row r="58">
          <cell r="A58">
            <v>2041</v>
          </cell>
          <cell r="B58">
            <v>117311.45160210777</v>
          </cell>
          <cell r="C58">
            <v>1.011411617339842</v>
          </cell>
          <cell r="D58">
            <v>124027</v>
          </cell>
          <cell r="E58"/>
          <cell r="F58">
            <v>33141</v>
          </cell>
          <cell r="G58">
            <v>157168</v>
          </cell>
        </row>
        <row r="59">
          <cell r="A59">
            <v>2042</v>
          </cell>
          <cell r="B59">
            <v>118656.65204707168</v>
          </cell>
          <cell r="C59">
            <v>1.0114669150078077</v>
          </cell>
          <cell r="D59">
            <v>125449</v>
          </cell>
          <cell r="E59"/>
          <cell r="F59">
            <v>33521</v>
          </cell>
          <cell r="G59">
            <v>158970</v>
          </cell>
        </row>
        <row r="60">
          <cell r="A60">
            <v>2043</v>
          </cell>
          <cell r="B60">
            <v>120023.79627542627</v>
          </cell>
          <cell r="C60">
            <v>1.0115218506907833</v>
          </cell>
          <cell r="D60">
            <v>126894</v>
          </cell>
          <cell r="E60"/>
          <cell r="F60">
            <v>33907</v>
          </cell>
          <cell r="G60">
            <v>160801</v>
          </cell>
        </row>
        <row r="61">
          <cell r="A61">
            <v>2044</v>
          </cell>
          <cell r="B61">
            <v>121413.24224841908</v>
          </cell>
          <cell r="C61">
            <v>1.0115764208107896</v>
          </cell>
          <cell r="D61">
            <v>128363</v>
          </cell>
          <cell r="E61"/>
          <cell r="F61">
            <v>34300</v>
          </cell>
          <cell r="G61">
            <v>162663</v>
          </cell>
        </row>
        <row r="62">
          <cell r="A62">
            <v>2045</v>
          </cell>
          <cell r="B62">
            <v>122825.35376659413</v>
          </cell>
          <cell r="C62">
            <v>1.0116306219323736</v>
          </cell>
          <cell r="D62">
            <v>129856</v>
          </cell>
          <cell r="E62"/>
          <cell r="F62">
            <v>34699</v>
          </cell>
          <cell r="G62">
            <v>164555</v>
          </cell>
        </row>
      </sheetData>
      <sheetData sheetId="2"/>
      <sheetData sheetId="3"/>
      <sheetData sheetId="4">
        <row r="36">
          <cell r="A36">
            <v>2020</v>
          </cell>
          <cell r="B36">
            <v>93554.630803650274</v>
          </cell>
          <cell r="C36">
            <v>1.0101745888698412</v>
          </cell>
          <cell r="D36">
            <v>19722</v>
          </cell>
          <cell r="E36">
            <v>25474</v>
          </cell>
        </row>
        <row r="37">
          <cell r="A37">
            <v>2021</v>
          </cell>
          <cell r="B37">
            <v>94512.294557257395</v>
          </cell>
          <cell r="C37">
            <v>1.0102364120875753</v>
          </cell>
          <cell r="D37">
            <v>19924</v>
          </cell>
          <cell r="E37">
            <v>25735</v>
          </cell>
        </row>
        <row r="38">
          <cell r="A38">
            <v>2022</v>
          </cell>
          <cell r="B38">
            <v>95485.580344033602</v>
          </cell>
          <cell r="C38">
            <v>1.0102979807160071</v>
          </cell>
          <cell r="D38">
            <v>20129</v>
          </cell>
          <cell r="E38">
            <v>26000</v>
          </cell>
        </row>
        <row r="39">
          <cell r="A39">
            <v>2023</v>
          </cell>
          <cell r="B39">
            <v>96474.743000730741</v>
          </cell>
          <cell r="C39">
            <v>1.0103592883148764</v>
          </cell>
          <cell r="D39">
            <v>20338</v>
          </cell>
          <cell r="E39">
            <v>26269</v>
          </cell>
        </row>
        <row r="40">
          <cell r="A40">
            <v>2024</v>
          </cell>
          <cell r="B40">
            <v>97480.041521163264</v>
          </cell>
          <cell r="C40">
            <v>1.0104203285664612</v>
          </cell>
          <cell r="D40">
            <v>20550</v>
          </cell>
          <cell r="E40">
            <v>26543</v>
          </cell>
        </row>
        <row r="41">
          <cell r="A41">
            <v>2025</v>
          </cell>
          <cell r="B41">
            <v>98501.739124020984</v>
          </cell>
          <cell r="C41">
            <v>1.0104810952777026</v>
          </cell>
          <cell r="D41">
            <v>20765</v>
          </cell>
          <cell r="E41">
            <v>26821</v>
          </cell>
        </row>
        <row r="42">
          <cell r="A42">
            <v>2026</v>
          </cell>
          <cell r="B42">
            <v>99540.103321787901</v>
          </cell>
          <cell r="C42">
            <v>1.010541582382211</v>
          </cell>
          <cell r="D42">
            <v>20984</v>
          </cell>
          <cell r="E42">
            <v>27104</v>
          </cell>
        </row>
        <row r="43">
          <cell r="A43">
            <v>2027</v>
          </cell>
          <cell r="B43">
            <v>100595.40599078547</v>
          </cell>
          <cell r="C43">
            <v>1.0106017839421568</v>
          </cell>
          <cell r="D43">
            <v>21206</v>
          </cell>
          <cell r="E43">
            <v>27391</v>
          </cell>
        </row>
        <row r="44">
          <cell r="A44">
            <v>2028</v>
          </cell>
          <cell r="B44">
            <v>101667.92344235819</v>
          </cell>
          <cell r="C44">
            <v>1.0106616941500388</v>
          </cell>
          <cell r="D44">
            <v>21432</v>
          </cell>
          <cell r="E44">
            <v>27683</v>
          </cell>
        </row>
        <row r="45">
          <cell r="A45">
            <v>2029</v>
          </cell>
          <cell r="B45">
            <v>102757.93649522083</v>
          </cell>
          <cell r="C45">
            <v>1.0107213073303363</v>
          </cell>
          <cell r="D45">
            <v>21662</v>
          </cell>
          <cell r="E45">
            <v>27980</v>
          </cell>
        </row>
        <row r="46">
          <cell r="A46">
            <v>2030</v>
          </cell>
          <cell r="B46">
            <v>103865.73054898529</v>
          </cell>
          <cell r="C46">
            <v>1.0107806179410384</v>
          </cell>
          <cell r="D46">
            <v>21896</v>
          </cell>
          <cell r="E46">
            <v>28282</v>
          </cell>
        </row>
        <row r="47">
          <cell r="A47">
            <v>2031</v>
          </cell>
          <cell r="B47">
            <v>104991.59565888737</v>
          </cell>
          <cell r="C47">
            <v>1.0108396205750567</v>
          </cell>
          <cell r="D47">
            <v>22133</v>
          </cell>
          <cell r="E47">
            <v>28589</v>
          </cell>
        </row>
        <row r="48">
          <cell r="A48">
            <v>2032</v>
          </cell>
          <cell r="B48">
            <v>106135.82661173229</v>
          </cell>
          <cell r="C48">
            <v>1.0108983099615181</v>
          </cell>
          <cell r="D48">
            <v>22374</v>
          </cell>
          <cell r="E48">
            <v>28901</v>
          </cell>
        </row>
        <row r="49">
          <cell r="A49">
            <v>2033</v>
          </cell>
          <cell r="B49">
            <v>107298.72300307908</v>
          </cell>
          <cell r="C49">
            <v>1.0109566809669359</v>
          </cell>
          <cell r="D49">
            <v>22619</v>
          </cell>
          <cell r="E49">
            <v>29218</v>
          </cell>
        </row>
        <row r="50">
          <cell r="A50">
            <v>2034</v>
          </cell>
          <cell r="B50">
            <v>108480.58931568412</v>
          </cell>
          <cell r="C50">
            <v>1.0110147285962678</v>
          </cell>
          <cell r="D50">
            <v>22868</v>
          </cell>
          <cell r="E50">
            <v>29540</v>
          </cell>
        </row>
        <row r="51">
          <cell r="A51">
            <v>2035</v>
          </cell>
          <cell r="B51">
            <v>109681.7349992243</v>
          </cell>
          <cell r="C51">
            <v>1.0110724479938507</v>
          </cell>
          <cell r="D51">
            <v>23121</v>
          </cell>
          <cell r="E51">
            <v>29867</v>
          </cell>
        </row>
        <row r="52">
          <cell r="A52">
            <v>2036</v>
          </cell>
          <cell r="B52">
            <v>110902.47455132061</v>
          </cell>
          <cell r="C52">
            <v>1.0111298344442212</v>
          </cell>
          <cell r="D52">
            <v>23378</v>
          </cell>
          <cell r="E52">
            <v>30199</v>
          </cell>
        </row>
        <row r="53">
          <cell r="A53">
            <v>2037</v>
          </cell>
          <cell r="B53">
            <v>112143.12759988352</v>
          </cell>
          <cell r="C53">
            <v>1.0111868833728213</v>
          </cell>
          <cell r="D53">
            <v>23640</v>
          </cell>
          <cell r="E53">
            <v>30537</v>
          </cell>
        </row>
        <row r="54">
          <cell r="A54">
            <v>2038</v>
          </cell>
          <cell r="B54">
            <v>113404.01898680154</v>
          </cell>
          <cell r="C54">
            <v>1.0112435903465862</v>
          </cell>
          <cell r="D54">
            <v>23906</v>
          </cell>
          <cell r="E54">
            <v>30880</v>
          </cell>
        </row>
        <row r="55">
          <cell r="A55">
            <v>2039</v>
          </cell>
          <cell r="B55">
            <v>114685.47885299516</v>
          </cell>
          <cell r="C55">
            <v>1.0112999510744214</v>
          </cell>
          <cell r="D55">
            <v>24176</v>
          </cell>
          <cell r="E55">
            <v>31229</v>
          </cell>
        </row>
        <row r="56">
          <cell r="A56">
            <v>2040</v>
          </cell>
          <cell r="B56">
            <v>115987.84272485792</v>
          </cell>
          <cell r="C56">
            <v>1.0113559614075653</v>
          </cell>
          <cell r="D56">
            <v>24451</v>
          </cell>
          <cell r="E56">
            <v>31584</v>
          </cell>
        </row>
        <row r="57">
          <cell r="A57">
            <v>2041</v>
          </cell>
          <cell r="B57">
            <v>117311.45160210777</v>
          </cell>
          <cell r="C57">
            <v>1.011411617339842</v>
          </cell>
          <cell r="D57">
            <v>24730</v>
          </cell>
          <cell r="E57">
            <v>31944</v>
          </cell>
        </row>
        <row r="58">
          <cell r="A58">
            <v>2042</v>
          </cell>
          <cell r="B58">
            <v>118656.65204707168</v>
          </cell>
          <cell r="C58">
            <v>1.0114669150078077</v>
          </cell>
          <cell r="D58">
            <v>25014</v>
          </cell>
          <cell r="E58">
            <v>32310</v>
          </cell>
        </row>
        <row r="59">
          <cell r="A59">
            <v>2043</v>
          </cell>
          <cell r="B59">
            <v>120023.79627542627</v>
          </cell>
          <cell r="C59">
            <v>1.0115218506907833</v>
          </cell>
          <cell r="D59">
            <v>25302</v>
          </cell>
          <cell r="E59">
            <v>32682</v>
          </cell>
        </row>
        <row r="60">
          <cell r="A60">
            <v>2044</v>
          </cell>
          <cell r="B60">
            <v>121413.24224841908</v>
          </cell>
          <cell r="C60">
            <v>1.0115764208107896</v>
          </cell>
          <cell r="D60">
            <v>25595</v>
          </cell>
          <cell r="E60">
            <v>33060</v>
          </cell>
        </row>
        <row r="61">
          <cell r="A61">
            <v>2045</v>
          </cell>
          <cell r="B61">
            <v>122825.35376659413</v>
          </cell>
          <cell r="C61">
            <v>1.0116306219323736</v>
          </cell>
          <cell r="D61">
            <v>25893</v>
          </cell>
          <cell r="E61">
            <v>33445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Pinamar_Depto"/>
      <sheetName val="Plazas turísticas_Bs As"/>
      <sheetName val="Plazas turísticas_Depto"/>
      <sheetName val="Pinamar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34174.938140291502</v>
          </cell>
          <cell r="C37">
            <v>1.0283787163938212</v>
          </cell>
          <cell r="D37">
            <v>34173</v>
          </cell>
          <cell r="E37">
            <v>54696</v>
          </cell>
          <cell r="F37">
            <v>77329</v>
          </cell>
          <cell r="G37">
            <v>111502</v>
          </cell>
        </row>
        <row r="38">
          <cell r="A38">
            <v>2021</v>
          </cell>
          <cell r="B38">
            <v>35133.399780800202</v>
          </cell>
          <cell r="C38">
            <v>1.0280457461714816</v>
          </cell>
          <cell r="D38">
            <v>35131</v>
          </cell>
          <cell r="E38"/>
          <cell r="F38">
            <v>79498</v>
          </cell>
          <cell r="G38">
            <v>114629</v>
          </cell>
        </row>
        <row r="39">
          <cell r="A39">
            <v>2022</v>
          </cell>
          <cell r="B39">
            <v>36107.496470127357</v>
          </cell>
          <cell r="C39">
            <v>1.0277256597825606</v>
          </cell>
          <cell r="D39">
            <v>36105</v>
          </cell>
          <cell r="E39"/>
          <cell r="F39">
            <v>81702</v>
          </cell>
          <cell r="G39">
            <v>117807</v>
          </cell>
        </row>
        <row r="40">
          <cell r="A40">
            <v>2023</v>
          </cell>
          <cell r="B40">
            <v>37097.483257344546</v>
          </cell>
          <cell r="C40">
            <v>1.0274177631793506</v>
          </cell>
          <cell r="D40">
            <v>37095</v>
          </cell>
          <cell r="E40"/>
          <cell r="F40">
            <v>83942</v>
          </cell>
          <cell r="G40">
            <v>121037</v>
          </cell>
        </row>
        <row r="41">
          <cell r="A41">
            <v>2024</v>
          </cell>
          <cell r="B41">
            <v>38103.619352049456</v>
          </cell>
          <cell r="C41">
            <v>1.0271214111136695</v>
          </cell>
          <cell r="D41">
            <v>38101</v>
          </cell>
          <cell r="E41"/>
          <cell r="F41">
            <v>86219</v>
          </cell>
          <cell r="G41">
            <v>124320</v>
          </cell>
        </row>
        <row r="42">
          <cell r="A42">
            <v>2025</v>
          </cell>
          <cell r="B42">
            <v>39126.168192235113</v>
          </cell>
          <cell r="C42">
            <v>1.0268360029197767</v>
          </cell>
          <cell r="D42">
            <v>39123</v>
          </cell>
          <cell r="E42"/>
          <cell r="F42">
            <v>88533</v>
          </cell>
          <cell r="G42">
            <v>127656</v>
          </cell>
        </row>
        <row r="43">
          <cell r="A43">
            <v>2026</v>
          </cell>
          <cell r="B43">
            <v>40165.397513266158</v>
          </cell>
          <cell r="C43">
            <v>1.0265609787272061</v>
          </cell>
          <cell r="D43">
            <v>40162</v>
          </cell>
          <cell r="E43"/>
          <cell r="F43">
            <v>90885</v>
          </cell>
          <cell r="G43">
            <v>131047</v>
          </cell>
        </row>
        <row r="44">
          <cell r="A44">
            <v>2027</v>
          </cell>
          <cell r="B44">
            <v>41221.579417980436</v>
          </cell>
          <cell r="C44">
            <v>1.0262958160532443</v>
          </cell>
          <cell r="D44">
            <v>41218</v>
          </cell>
          <cell r="E44"/>
          <cell r="F44">
            <v>93275</v>
          </cell>
          <cell r="G44">
            <v>134493</v>
          </cell>
        </row>
        <row r="45">
          <cell r="A45">
            <v>2028</v>
          </cell>
          <cell r="B45">
            <v>42294.990447933989</v>
          </cell>
          <cell r="C45">
            <v>1.0260400267313712</v>
          </cell>
          <cell r="D45">
            <v>42291</v>
          </cell>
          <cell r="E45"/>
          <cell r="F45">
            <v>95704</v>
          </cell>
          <cell r="G45">
            <v>137995</v>
          </cell>
        </row>
        <row r="46">
          <cell r="A46">
            <v>2029</v>
          </cell>
          <cell r="B46">
            <v>43385.911655808377</v>
          </cell>
          <cell r="C46">
            <v>1.0257931541376593</v>
          </cell>
          <cell r="D46">
            <v>43382</v>
          </cell>
          <cell r="E46"/>
          <cell r="F46">
            <v>98173</v>
          </cell>
          <cell r="G46">
            <v>141555</v>
          </cell>
        </row>
        <row r="47">
          <cell r="A47">
            <v>2030</v>
          </cell>
          <cell r="B47">
            <v>44494.628678999012</v>
          </cell>
          <cell r="C47">
            <v>1.0255547706819295</v>
          </cell>
          <cell r="D47">
            <v>44491</v>
          </cell>
          <cell r="E47"/>
          <cell r="F47">
            <v>100682</v>
          </cell>
          <cell r="G47">
            <v>145173</v>
          </cell>
        </row>
        <row r="48">
          <cell r="A48">
            <v>2031</v>
          </cell>
          <cell r="B48">
            <v>45621.43181440403</v>
          </cell>
          <cell r="C48">
            <v>1.0253244755346584</v>
          </cell>
          <cell r="D48">
            <v>45618</v>
          </cell>
          <cell r="E48"/>
          <cell r="F48">
            <v>103232</v>
          </cell>
          <cell r="G48">
            <v>148850</v>
          </cell>
        </row>
        <row r="49">
          <cell r="A49">
            <v>2032</v>
          </cell>
          <cell r="B49">
            <v>46766.61609443315</v>
          </cell>
          <cell r="C49">
            <v>1.0251018925641775</v>
          </cell>
          <cell r="D49">
            <v>46763</v>
          </cell>
          <cell r="E49"/>
          <cell r="F49">
            <v>105823</v>
          </cell>
          <cell r="G49">
            <v>152586</v>
          </cell>
        </row>
        <row r="50">
          <cell r="A50">
            <v>2033</v>
          </cell>
          <cell r="B50">
            <v>47930.481364256382</v>
          </cell>
          <cell r="C50">
            <v>1.024886668461817</v>
          </cell>
          <cell r="D50">
            <v>47927</v>
          </cell>
          <cell r="E50"/>
          <cell r="F50">
            <v>108457</v>
          </cell>
          <cell r="G50">
            <v>156384</v>
          </cell>
        </row>
        <row r="51">
          <cell r="A51">
            <v>2034</v>
          </cell>
          <cell r="B51">
            <v>49113.332360312881</v>
          </cell>
          <cell r="C51">
            <v>1.0246784710353147</v>
          </cell>
          <cell r="D51">
            <v>49110</v>
          </cell>
          <cell r="E51"/>
          <cell r="F51">
            <v>111134</v>
          </cell>
          <cell r="G51">
            <v>160244</v>
          </cell>
        </row>
        <row r="52">
          <cell r="A52">
            <v>2035</v>
          </cell>
          <cell r="B52">
            <v>50315.478790100533</v>
          </cell>
          <cell r="C52">
            <v>1.0244769876531341</v>
          </cell>
          <cell r="D52">
            <v>50312</v>
          </cell>
          <cell r="E52"/>
          <cell r="F52">
            <v>113854</v>
          </cell>
          <cell r="G52">
            <v>164166</v>
          </cell>
        </row>
        <row r="53">
          <cell r="A53">
            <v>2036</v>
          </cell>
          <cell r="B53">
            <v>51537.235413267103</v>
          </cell>
          <cell r="C53">
            <v>1.024281923824343</v>
          </cell>
          <cell r="D53">
            <v>51534</v>
          </cell>
          <cell r="E53"/>
          <cell r="F53">
            <v>116619</v>
          </cell>
          <cell r="G53">
            <v>168153</v>
          </cell>
        </row>
        <row r="54">
          <cell r="A54">
            <v>2037</v>
          </cell>
          <cell r="B54">
            <v>52778.922124024204</v>
          </cell>
          <cell r="C54">
            <v>1.0240930019004755</v>
          </cell>
          <cell r="D54">
            <v>52776</v>
          </cell>
          <cell r="E54"/>
          <cell r="F54">
            <v>119429</v>
          </cell>
          <cell r="G54">
            <v>172205</v>
          </cell>
        </row>
        <row r="55">
          <cell r="A55">
            <v>2038</v>
          </cell>
          <cell r="B55">
            <v>54040.86403490552</v>
          </cell>
          <cell r="C55">
            <v>1.0239099598873183</v>
          </cell>
          <cell r="D55">
            <v>54038</v>
          </cell>
          <cell r="E55"/>
          <cell r="F55">
            <v>122285</v>
          </cell>
          <cell r="G55">
            <v>176323</v>
          </cell>
        </row>
        <row r="56">
          <cell r="A56">
            <v>2039</v>
          </cell>
          <cell r="B56">
            <v>55323.391561891651</v>
          </cell>
          <cell r="C56">
            <v>1.0237325503559258</v>
          </cell>
          <cell r="D56">
            <v>55320</v>
          </cell>
          <cell r="E56"/>
          <cell r="F56">
            <v>125187</v>
          </cell>
          <cell r="G56">
            <v>180507</v>
          </cell>
        </row>
        <row r="57">
          <cell r="A57">
            <v>2040</v>
          </cell>
          <cell r="B57">
            <v>56626.840510923197</v>
          </cell>
          <cell r="C57">
            <v>1.0235605394433085</v>
          </cell>
          <cell r="D57">
            <v>56623</v>
          </cell>
          <cell r="E57"/>
          <cell r="F57">
            <v>128136</v>
          </cell>
          <cell r="G57">
            <v>184759</v>
          </cell>
        </row>
        <row r="58">
          <cell r="A58">
            <v>2041</v>
          </cell>
          <cell r="B58">
            <v>57951.552165825415</v>
          </cell>
          <cell r="C58">
            <v>1.0233937059343208</v>
          </cell>
          <cell r="D58">
            <v>57948</v>
          </cell>
          <cell r="E58"/>
          <cell r="F58">
            <v>131134</v>
          </cell>
          <cell r="G58">
            <v>189082</v>
          </cell>
        </row>
        <row r="59">
          <cell r="A59">
            <v>2042</v>
          </cell>
          <cell r="B59">
            <v>59297.873377667012</v>
          </cell>
          <cell r="C59">
            <v>1.0232318404171328</v>
          </cell>
          <cell r="D59">
            <v>59294</v>
          </cell>
          <cell r="E59"/>
          <cell r="F59">
            <v>134180</v>
          </cell>
          <cell r="G59">
            <v>193474</v>
          </cell>
        </row>
        <row r="60">
          <cell r="A60">
            <v>2043</v>
          </cell>
          <cell r="B60">
            <v>60666.156655576546</v>
          </cell>
          <cell r="C60">
            <v>1.0230747445055064</v>
          </cell>
          <cell r="D60">
            <v>60662</v>
          </cell>
          <cell r="E60"/>
          <cell r="F60">
            <v>137276</v>
          </cell>
          <cell r="G60">
            <v>197938</v>
          </cell>
        </row>
        <row r="61">
          <cell r="A61">
            <v>2044</v>
          </cell>
          <cell r="B61">
            <v>62056.760259040559</v>
          </cell>
          <cell r="C61">
            <v>1.0229222301217953</v>
          </cell>
          <cell r="D61">
            <v>62053</v>
          </cell>
          <cell r="E61"/>
          <cell r="F61">
            <v>140423</v>
          </cell>
          <cell r="G61">
            <v>202476</v>
          </cell>
        </row>
        <row r="62">
          <cell r="A62">
            <v>2045</v>
          </cell>
          <cell r="B62">
            <v>63470.048291706873</v>
          </cell>
          <cell r="C62">
            <v>1.0227741188351904</v>
          </cell>
          <cell r="D62">
            <v>63466</v>
          </cell>
          <cell r="E62"/>
          <cell r="F62">
            <v>143621</v>
          </cell>
          <cell r="G62">
            <v>207087</v>
          </cell>
        </row>
      </sheetData>
      <sheetData sheetId="2"/>
      <sheetData sheetId="3"/>
      <sheetData sheetId="4">
        <row r="36">
          <cell r="A36">
            <v>2020</v>
          </cell>
          <cell r="B36">
            <v>34174.938140291502</v>
          </cell>
          <cell r="C36">
            <v>1.0283787163938212</v>
          </cell>
          <cell r="D36">
            <v>54207</v>
          </cell>
          <cell r="E36">
            <v>62879</v>
          </cell>
        </row>
        <row r="37">
          <cell r="A37">
            <v>2021</v>
          </cell>
          <cell r="B37">
            <v>35133.399780800202</v>
          </cell>
          <cell r="C37">
            <v>1.0280457461714816</v>
          </cell>
          <cell r="D37">
            <v>55727</v>
          </cell>
          <cell r="E37">
            <v>64642</v>
          </cell>
        </row>
        <row r="38">
          <cell r="A38">
            <v>2022</v>
          </cell>
          <cell r="B38">
            <v>36107.496470127357</v>
          </cell>
          <cell r="C38">
            <v>1.0277256597825606</v>
          </cell>
          <cell r="D38">
            <v>57272</v>
          </cell>
          <cell r="E38">
            <v>66434</v>
          </cell>
        </row>
        <row r="39">
          <cell r="A39">
            <v>2023</v>
          </cell>
          <cell r="B39">
            <v>37097.483257344546</v>
          </cell>
          <cell r="C39">
            <v>1.0274177631793506</v>
          </cell>
          <cell r="D39">
            <v>58842</v>
          </cell>
          <cell r="E39">
            <v>68255</v>
          </cell>
        </row>
        <row r="40">
          <cell r="A40">
            <v>2024</v>
          </cell>
          <cell r="B40">
            <v>38103.619352049456</v>
          </cell>
          <cell r="C40">
            <v>1.0271214111136695</v>
          </cell>
          <cell r="D40">
            <v>60438</v>
          </cell>
          <cell r="E40">
            <v>70106</v>
          </cell>
        </row>
        <row r="41">
          <cell r="A41">
            <v>2025</v>
          </cell>
          <cell r="B41">
            <v>39126.168192235113</v>
          </cell>
          <cell r="C41">
            <v>1.0268360029197767</v>
          </cell>
          <cell r="D41">
            <v>62060</v>
          </cell>
          <cell r="E41">
            <v>71987</v>
          </cell>
        </row>
        <row r="42">
          <cell r="A42">
            <v>2026</v>
          </cell>
          <cell r="B42">
            <v>40165.397513266158</v>
          </cell>
          <cell r="C42">
            <v>1.0265609787272061</v>
          </cell>
          <cell r="D42">
            <v>63708</v>
          </cell>
          <cell r="E42">
            <v>73899</v>
          </cell>
        </row>
        <row r="43">
          <cell r="A43">
            <v>2027</v>
          </cell>
          <cell r="B43">
            <v>41221.579417980436</v>
          </cell>
          <cell r="C43">
            <v>1.0262958160532443</v>
          </cell>
          <cell r="D43">
            <v>65383</v>
          </cell>
          <cell r="E43">
            <v>75842</v>
          </cell>
        </row>
        <row r="44">
          <cell r="A44">
            <v>2028</v>
          </cell>
          <cell r="B44">
            <v>42294.990447933989</v>
          </cell>
          <cell r="C44">
            <v>1.0260400267313712</v>
          </cell>
          <cell r="D44">
            <v>67086</v>
          </cell>
          <cell r="E44">
            <v>77817</v>
          </cell>
        </row>
        <row r="45">
          <cell r="A45">
            <v>2029</v>
          </cell>
          <cell r="B45">
            <v>43385.911655808377</v>
          </cell>
          <cell r="C45">
            <v>1.0257931541376593</v>
          </cell>
          <cell r="D45">
            <v>68816</v>
          </cell>
          <cell r="E45">
            <v>79824</v>
          </cell>
        </row>
        <row r="46">
          <cell r="A46">
            <v>2030</v>
          </cell>
          <cell r="B46">
            <v>44494.628678999012</v>
          </cell>
          <cell r="C46">
            <v>1.0255547706819295</v>
          </cell>
          <cell r="D46">
            <v>70575</v>
          </cell>
          <cell r="E46">
            <v>81864</v>
          </cell>
        </row>
        <row r="47">
          <cell r="A47">
            <v>2031</v>
          </cell>
          <cell r="B47">
            <v>45621.43181440403</v>
          </cell>
          <cell r="C47">
            <v>1.0253244755346584</v>
          </cell>
          <cell r="D47">
            <v>72362</v>
          </cell>
          <cell r="E47">
            <v>83937</v>
          </cell>
        </row>
        <row r="48">
          <cell r="A48">
            <v>2032</v>
          </cell>
          <cell r="B48">
            <v>46766.61609443315</v>
          </cell>
          <cell r="C48">
            <v>1.0251018925641775</v>
          </cell>
          <cell r="D48">
            <v>74178</v>
          </cell>
          <cell r="E48">
            <v>86044</v>
          </cell>
        </row>
        <row r="49">
          <cell r="A49">
            <v>2033</v>
          </cell>
          <cell r="B49">
            <v>47930.481364256382</v>
          </cell>
          <cell r="C49">
            <v>1.024886668461817</v>
          </cell>
          <cell r="D49">
            <v>76024</v>
          </cell>
          <cell r="E49">
            <v>88185</v>
          </cell>
        </row>
        <row r="50">
          <cell r="A50">
            <v>2034</v>
          </cell>
          <cell r="B50">
            <v>49113.332360312881</v>
          </cell>
          <cell r="C50">
            <v>1.0246784710353147</v>
          </cell>
          <cell r="D50">
            <v>77900</v>
          </cell>
          <cell r="E50">
            <v>90361</v>
          </cell>
        </row>
        <row r="51">
          <cell r="A51">
            <v>2035</v>
          </cell>
          <cell r="B51">
            <v>50315.478790100533</v>
          </cell>
          <cell r="C51">
            <v>1.0244769876531341</v>
          </cell>
          <cell r="D51">
            <v>79807</v>
          </cell>
          <cell r="E51">
            <v>92573</v>
          </cell>
        </row>
        <row r="52">
          <cell r="A52">
            <v>2036</v>
          </cell>
          <cell r="B52">
            <v>51537.235413267103</v>
          </cell>
          <cell r="C52">
            <v>1.024281923824343</v>
          </cell>
          <cell r="D52">
            <v>81745</v>
          </cell>
          <cell r="E52">
            <v>94821</v>
          </cell>
        </row>
        <row r="53">
          <cell r="A53">
            <v>2037</v>
          </cell>
          <cell r="B53">
            <v>52778.922124024204</v>
          </cell>
          <cell r="C53">
            <v>1.0240930019004755</v>
          </cell>
          <cell r="D53">
            <v>83714</v>
          </cell>
          <cell r="E53">
            <v>97106</v>
          </cell>
        </row>
        <row r="54">
          <cell r="A54">
            <v>2038</v>
          </cell>
          <cell r="B54">
            <v>54040.86403490552</v>
          </cell>
          <cell r="C54">
            <v>1.0239099598873183</v>
          </cell>
          <cell r="D54">
            <v>85716</v>
          </cell>
          <cell r="E54">
            <v>99428</v>
          </cell>
        </row>
        <row r="55">
          <cell r="A55">
            <v>2039</v>
          </cell>
          <cell r="B55">
            <v>55323.391561891651</v>
          </cell>
          <cell r="C55">
            <v>1.0237325503559258</v>
          </cell>
          <cell r="D55">
            <v>87750</v>
          </cell>
          <cell r="E55">
            <v>101788</v>
          </cell>
        </row>
        <row r="56">
          <cell r="A56">
            <v>2040</v>
          </cell>
          <cell r="B56">
            <v>56626.840510923197</v>
          </cell>
          <cell r="C56">
            <v>1.0235605394433085</v>
          </cell>
          <cell r="D56">
            <v>89817</v>
          </cell>
          <cell r="E56">
            <v>104186</v>
          </cell>
        </row>
        <row r="57">
          <cell r="A57">
            <v>2041</v>
          </cell>
          <cell r="B57">
            <v>57951.552165825415</v>
          </cell>
          <cell r="C57">
            <v>1.0233937059343208</v>
          </cell>
          <cell r="D57">
            <v>91918</v>
          </cell>
          <cell r="E57">
            <v>106623</v>
          </cell>
        </row>
        <row r="58">
          <cell r="A58">
            <v>2042</v>
          </cell>
          <cell r="B58">
            <v>59297.873377667012</v>
          </cell>
          <cell r="C58">
            <v>1.0232318404171328</v>
          </cell>
          <cell r="D58">
            <v>94053</v>
          </cell>
          <cell r="E58">
            <v>109100</v>
          </cell>
        </row>
        <row r="59">
          <cell r="A59">
            <v>2043</v>
          </cell>
          <cell r="B59">
            <v>60666.156655576546</v>
          </cell>
          <cell r="C59">
            <v>1.0230747445055064</v>
          </cell>
          <cell r="D59">
            <v>96223</v>
          </cell>
          <cell r="E59">
            <v>111617</v>
          </cell>
        </row>
        <row r="60">
          <cell r="A60">
            <v>2044</v>
          </cell>
          <cell r="B60">
            <v>62056.760259040559</v>
          </cell>
          <cell r="C60">
            <v>1.0229222301217953</v>
          </cell>
          <cell r="D60">
            <v>98429</v>
          </cell>
          <cell r="E60">
            <v>114176</v>
          </cell>
        </row>
        <row r="61">
          <cell r="A61">
            <v>2045</v>
          </cell>
          <cell r="B61">
            <v>63470.048291706873</v>
          </cell>
          <cell r="C61">
            <v>1.0227741188351904</v>
          </cell>
          <cell r="D61">
            <v>100671</v>
          </cell>
          <cell r="E61">
            <v>116776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Villa Gesell_Depto"/>
      <sheetName val="Plazas turísticas_Bs As"/>
      <sheetName val="Plazas turísticas_Depto"/>
      <sheetName val="Villa Gesell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37097.132841328392</v>
          </cell>
          <cell r="C37">
            <v>1.0203373815328209</v>
          </cell>
          <cell r="D37">
            <v>37093</v>
          </cell>
          <cell r="E37">
            <v>62154</v>
          </cell>
          <cell r="F37">
            <v>88206</v>
          </cell>
          <cell r="G37">
            <v>125299</v>
          </cell>
        </row>
        <row r="38">
          <cell r="A38">
            <v>2021</v>
          </cell>
          <cell r="B38">
            <v>37836.553505535237</v>
          </cell>
          <cell r="C38">
            <v>1.0199320165083778</v>
          </cell>
          <cell r="D38">
            <v>37832</v>
          </cell>
          <cell r="E38"/>
          <cell r="F38">
            <v>89964</v>
          </cell>
          <cell r="G38">
            <v>127796</v>
          </cell>
        </row>
        <row r="39">
          <cell r="A39">
            <v>2022</v>
          </cell>
          <cell r="B39">
            <v>38575.97416974185</v>
          </cell>
          <cell r="C39">
            <v>1.0195424951719887</v>
          </cell>
          <cell r="D39">
            <v>38571</v>
          </cell>
          <cell r="E39"/>
          <cell r="F39">
            <v>91722</v>
          </cell>
          <cell r="G39">
            <v>130293</v>
          </cell>
        </row>
        <row r="40">
          <cell r="A40">
            <v>2023</v>
          </cell>
          <cell r="B40">
            <v>39315.394833948463</v>
          </cell>
          <cell r="C40">
            <v>1.01916790645268</v>
          </cell>
          <cell r="D40">
            <v>39310</v>
          </cell>
          <cell r="E40"/>
          <cell r="F40">
            <v>93480</v>
          </cell>
          <cell r="G40">
            <v>132790</v>
          </cell>
        </row>
        <row r="41">
          <cell r="A41">
            <v>2024</v>
          </cell>
          <cell r="B41">
            <v>40054.815498155076</v>
          </cell>
          <cell r="C41">
            <v>1.0188074078189882</v>
          </cell>
          <cell r="D41">
            <v>40049</v>
          </cell>
          <cell r="E41"/>
          <cell r="F41">
            <v>95238</v>
          </cell>
          <cell r="G41">
            <v>135287</v>
          </cell>
        </row>
        <row r="42">
          <cell r="A42">
            <v>2025</v>
          </cell>
          <cell r="B42">
            <v>40794.236162361689</v>
          </cell>
          <cell r="C42">
            <v>1.0184602189527168</v>
          </cell>
          <cell r="D42">
            <v>40788</v>
          </cell>
          <cell r="E42"/>
          <cell r="F42">
            <v>96996</v>
          </cell>
          <cell r="G42">
            <v>137784</v>
          </cell>
        </row>
        <row r="43">
          <cell r="A43">
            <v>2026</v>
          </cell>
          <cell r="B43">
            <v>41533.656826568302</v>
          </cell>
          <cell r="C43">
            <v>1.0181256161106611</v>
          </cell>
          <cell r="D43">
            <v>41527</v>
          </cell>
          <cell r="E43"/>
          <cell r="F43">
            <v>98754</v>
          </cell>
          <cell r="G43">
            <v>140281</v>
          </cell>
        </row>
        <row r="44">
          <cell r="A44">
            <v>2027</v>
          </cell>
          <cell r="B44">
            <v>42273.077490774915</v>
          </cell>
          <cell r="C44">
            <v>1.0178029270886069</v>
          </cell>
          <cell r="D44">
            <v>42266</v>
          </cell>
          <cell r="E44"/>
          <cell r="F44">
            <v>100512</v>
          </cell>
          <cell r="G44">
            <v>142778</v>
          </cell>
        </row>
        <row r="45">
          <cell r="A45">
            <v>2028</v>
          </cell>
          <cell r="B45">
            <v>43012.498154981527</v>
          </cell>
          <cell r="C45">
            <v>1.0174915267138518</v>
          </cell>
          <cell r="D45">
            <v>43005</v>
          </cell>
          <cell r="E45"/>
          <cell r="F45">
            <v>102270</v>
          </cell>
          <cell r="G45">
            <v>145275</v>
          </cell>
        </row>
        <row r="46">
          <cell r="A46">
            <v>2029</v>
          </cell>
          <cell r="B46">
            <v>43751.918819188373</v>
          </cell>
          <cell r="C46">
            <v>1.0171908328026562</v>
          </cell>
          <cell r="D46">
            <v>43744</v>
          </cell>
          <cell r="E46"/>
          <cell r="F46">
            <v>104028</v>
          </cell>
          <cell r="G46">
            <v>147772</v>
          </cell>
        </row>
        <row r="47">
          <cell r="A47">
            <v>2030</v>
          </cell>
          <cell r="B47">
            <v>44491.339483394986</v>
          </cell>
          <cell r="C47">
            <v>1.0169003025275847</v>
          </cell>
          <cell r="D47">
            <v>44483</v>
          </cell>
          <cell r="E47"/>
          <cell r="F47">
            <v>105786</v>
          </cell>
          <cell r="G47">
            <v>150269</v>
          </cell>
        </row>
        <row r="48">
          <cell r="A48">
            <v>2031</v>
          </cell>
          <cell r="B48">
            <v>45230.760147601599</v>
          </cell>
          <cell r="C48">
            <v>1.016619429147162</v>
          </cell>
          <cell r="D48">
            <v>45222</v>
          </cell>
          <cell r="E48"/>
          <cell r="F48">
            <v>107544</v>
          </cell>
          <cell r="G48">
            <v>152766</v>
          </cell>
        </row>
        <row r="49">
          <cell r="A49">
            <v>2032</v>
          </cell>
          <cell r="B49">
            <v>45970.180811808212</v>
          </cell>
          <cell r="C49">
            <v>1.0163477390562012</v>
          </cell>
          <cell r="D49">
            <v>45961</v>
          </cell>
          <cell r="E49"/>
          <cell r="F49">
            <v>109302</v>
          </cell>
          <cell r="G49">
            <v>155263</v>
          </cell>
        </row>
        <row r="50">
          <cell r="A50">
            <v>2033</v>
          </cell>
          <cell r="B50">
            <v>46709.601476014825</v>
          </cell>
          <cell r="C50">
            <v>1.0160847891208791</v>
          </cell>
          <cell r="D50">
            <v>46700</v>
          </cell>
          <cell r="E50"/>
          <cell r="F50">
            <v>111060</v>
          </cell>
          <cell r="G50">
            <v>157760</v>
          </cell>
        </row>
        <row r="51">
          <cell r="A51">
            <v>2034</v>
          </cell>
          <cell r="B51">
            <v>47449.022140221437</v>
          </cell>
          <cell r="C51">
            <v>1.015830164266897</v>
          </cell>
          <cell r="D51">
            <v>47439</v>
          </cell>
          <cell r="E51"/>
          <cell r="F51">
            <v>112818</v>
          </cell>
          <cell r="G51">
            <v>160257</v>
          </cell>
        </row>
        <row r="52">
          <cell r="A52">
            <v>2035</v>
          </cell>
          <cell r="B52">
            <v>48188.44280442805</v>
          </cell>
          <cell r="C52">
            <v>1.0155834752931572</v>
          </cell>
          <cell r="D52">
            <v>48178</v>
          </cell>
          <cell r="E52"/>
          <cell r="F52">
            <v>114576</v>
          </cell>
          <cell r="G52">
            <v>162754</v>
          </cell>
        </row>
        <row r="53">
          <cell r="A53">
            <v>2036</v>
          </cell>
          <cell r="B53">
            <v>48927.863468634663</v>
          </cell>
          <cell r="C53">
            <v>1.0153443568867235</v>
          </cell>
          <cell r="D53">
            <v>48917</v>
          </cell>
          <cell r="E53"/>
          <cell r="F53">
            <v>116334</v>
          </cell>
          <cell r="G53">
            <v>165251</v>
          </cell>
        </row>
        <row r="54">
          <cell r="A54">
            <v>2037</v>
          </cell>
          <cell r="B54">
            <v>49667.284132841509</v>
          </cell>
          <cell r="C54">
            <v>1.0151124658177819</v>
          </cell>
          <cell r="D54">
            <v>49656</v>
          </cell>
          <cell r="E54"/>
          <cell r="F54">
            <v>118092</v>
          </cell>
          <cell r="G54">
            <v>167748</v>
          </cell>
        </row>
        <row r="55">
          <cell r="A55">
            <v>2038</v>
          </cell>
          <cell r="B55">
            <v>50406.704797048122</v>
          </cell>
          <cell r="C55">
            <v>1.0148874792958065</v>
          </cell>
          <cell r="D55">
            <v>50395</v>
          </cell>
          <cell r="E55"/>
          <cell r="F55">
            <v>119850</v>
          </cell>
          <cell r="G55">
            <v>170245</v>
          </cell>
        </row>
        <row r="56">
          <cell r="A56">
            <v>2039</v>
          </cell>
          <cell r="B56">
            <v>51146.125461254735</v>
          </cell>
          <cell r="C56">
            <v>1.0146690934704765</v>
          </cell>
          <cell r="D56">
            <v>51134</v>
          </cell>
          <cell r="E56"/>
          <cell r="F56">
            <v>121608</v>
          </cell>
          <cell r="G56">
            <v>172742</v>
          </cell>
        </row>
        <row r="57">
          <cell r="A57">
            <v>2040</v>
          </cell>
          <cell r="B57">
            <v>51885.546125461347</v>
          </cell>
          <cell r="C57">
            <v>1.0144570220625364</v>
          </cell>
          <cell r="D57">
            <v>51873</v>
          </cell>
          <cell r="E57"/>
          <cell r="F57">
            <v>123366</v>
          </cell>
          <cell r="G57">
            <v>175239</v>
          </cell>
        </row>
        <row r="58">
          <cell r="A58">
            <v>2041</v>
          </cell>
          <cell r="B58">
            <v>52624.96678966796</v>
          </cell>
          <cell r="C58">
            <v>1.0142509951117922</v>
          </cell>
          <cell r="D58">
            <v>52612</v>
          </cell>
          <cell r="E58"/>
          <cell r="F58">
            <v>125124</v>
          </cell>
          <cell r="G58">
            <v>177736</v>
          </cell>
        </row>
        <row r="59">
          <cell r="A59">
            <v>2042</v>
          </cell>
          <cell r="B59">
            <v>53364.387453874573</v>
          </cell>
          <cell r="C59">
            <v>1.0140507578306308</v>
          </cell>
          <cell r="D59">
            <v>53351</v>
          </cell>
          <cell r="E59"/>
          <cell r="F59">
            <v>126882</v>
          </cell>
          <cell r="G59">
            <v>180233</v>
          </cell>
        </row>
        <row r="60">
          <cell r="A60">
            <v>2043</v>
          </cell>
          <cell r="B60">
            <v>54103.808118081186</v>
          </cell>
          <cell r="C60">
            <v>1.0138560695528591</v>
          </cell>
          <cell r="D60">
            <v>54090</v>
          </cell>
          <cell r="E60"/>
          <cell r="F60">
            <v>128640</v>
          </cell>
          <cell r="G60">
            <v>182730</v>
          </cell>
        </row>
        <row r="61">
          <cell r="A61">
            <v>2044</v>
          </cell>
          <cell r="B61">
            <v>54843.228782287799</v>
          </cell>
          <cell r="C61">
            <v>1.0136667027687374</v>
          </cell>
          <cell r="D61">
            <v>54829</v>
          </cell>
          <cell r="E61"/>
          <cell r="F61">
            <v>130398</v>
          </cell>
          <cell r="G61">
            <v>185227</v>
          </cell>
        </row>
        <row r="62">
          <cell r="A62">
            <v>2045</v>
          </cell>
          <cell r="B62">
            <v>55582.649446494645</v>
          </cell>
          <cell r="C62">
            <v>1.0134824422380773</v>
          </cell>
          <cell r="D62">
            <v>55568</v>
          </cell>
          <cell r="E62"/>
          <cell r="F62">
            <v>132156</v>
          </cell>
          <cell r="G62">
            <v>187724</v>
          </cell>
        </row>
      </sheetData>
      <sheetData sheetId="2"/>
      <sheetData sheetId="3"/>
      <sheetData sheetId="4">
        <row r="36">
          <cell r="A36">
            <v>2020</v>
          </cell>
          <cell r="B36">
            <v>37097.132841328392</v>
          </cell>
          <cell r="C36">
            <v>1.0203373815328209</v>
          </cell>
          <cell r="D36">
            <v>52058</v>
          </cell>
          <cell r="E36">
            <v>70190</v>
          </cell>
        </row>
        <row r="37">
          <cell r="A37">
            <v>2021</v>
          </cell>
          <cell r="B37">
            <v>37836.553505535237</v>
          </cell>
          <cell r="C37">
            <v>1.0199320165083778</v>
          </cell>
          <cell r="D37">
            <v>53096</v>
          </cell>
          <cell r="E37">
            <v>71589</v>
          </cell>
        </row>
        <row r="38">
          <cell r="A38">
            <v>2022</v>
          </cell>
          <cell r="B38">
            <v>38575.97416974185</v>
          </cell>
          <cell r="C38">
            <v>1.0195424951719887</v>
          </cell>
          <cell r="D38">
            <v>54134</v>
          </cell>
          <cell r="E38">
            <v>72988</v>
          </cell>
        </row>
        <row r="39">
          <cell r="A39">
            <v>2023</v>
          </cell>
          <cell r="B39">
            <v>39315.394833948463</v>
          </cell>
          <cell r="C39">
            <v>1.01916790645268</v>
          </cell>
          <cell r="D39">
            <v>55172</v>
          </cell>
          <cell r="E39">
            <v>74387</v>
          </cell>
        </row>
        <row r="40">
          <cell r="A40">
            <v>2024</v>
          </cell>
          <cell r="B40">
            <v>40054.815498155076</v>
          </cell>
          <cell r="C40">
            <v>1.0188074078189882</v>
          </cell>
          <cell r="D40">
            <v>56210</v>
          </cell>
          <cell r="E40">
            <v>75786</v>
          </cell>
        </row>
        <row r="41">
          <cell r="A41">
            <v>2025</v>
          </cell>
          <cell r="B41">
            <v>40794.236162361689</v>
          </cell>
          <cell r="C41">
            <v>1.0184602189527168</v>
          </cell>
          <cell r="D41">
            <v>57248</v>
          </cell>
          <cell r="E41">
            <v>77185</v>
          </cell>
        </row>
        <row r="42">
          <cell r="A42">
            <v>2026</v>
          </cell>
          <cell r="B42">
            <v>41533.656826568302</v>
          </cell>
          <cell r="C42">
            <v>1.0181256161106611</v>
          </cell>
          <cell r="D42">
            <v>58286</v>
          </cell>
          <cell r="E42">
            <v>78584</v>
          </cell>
        </row>
        <row r="43">
          <cell r="A43">
            <v>2027</v>
          </cell>
          <cell r="B43">
            <v>42273.077490774915</v>
          </cell>
          <cell r="C43">
            <v>1.0178029270886069</v>
          </cell>
          <cell r="D43">
            <v>59324</v>
          </cell>
          <cell r="E43">
            <v>79983</v>
          </cell>
        </row>
        <row r="44">
          <cell r="A44">
            <v>2028</v>
          </cell>
          <cell r="B44">
            <v>43012.498154981527</v>
          </cell>
          <cell r="C44">
            <v>1.0174915267138518</v>
          </cell>
          <cell r="D44">
            <v>60362</v>
          </cell>
          <cell r="E44">
            <v>81382</v>
          </cell>
        </row>
        <row r="45">
          <cell r="A45">
            <v>2029</v>
          </cell>
          <cell r="B45">
            <v>43751.918819188373</v>
          </cell>
          <cell r="C45">
            <v>1.0171908328026562</v>
          </cell>
          <cell r="D45">
            <v>61400</v>
          </cell>
          <cell r="E45">
            <v>82781</v>
          </cell>
        </row>
        <row r="46">
          <cell r="A46">
            <v>2030</v>
          </cell>
          <cell r="B46">
            <v>44491.339483394986</v>
          </cell>
          <cell r="C46">
            <v>1.0169003025275847</v>
          </cell>
          <cell r="D46">
            <v>62438</v>
          </cell>
          <cell r="E46">
            <v>84180</v>
          </cell>
        </row>
        <row r="47">
          <cell r="A47">
            <v>2031</v>
          </cell>
          <cell r="B47">
            <v>45230.760147601599</v>
          </cell>
          <cell r="C47">
            <v>1.016619429147162</v>
          </cell>
          <cell r="D47">
            <v>63476</v>
          </cell>
          <cell r="E47">
            <v>85579</v>
          </cell>
        </row>
        <row r="48">
          <cell r="A48">
            <v>2032</v>
          </cell>
          <cell r="B48">
            <v>45970.180811808212</v>
          </cell>
          <cell r="C48">
            <v>1.0163477390562012</v>
          </cell>
          <cell r="D48">
            <v>64514</v>
          </cell>
          <cell r="E48">
            <v>86978</v>
          </cell>
        </row>
        <row r="49">
          <cell r="A49">
            <v>2033</v>
          </cell>
          <cell r="B49">
            <v>46709.601476014825</v>
          </cell>
          <cell r="C49">
            <v>1.0160847891208791</v>
          </cell>
          <cell r="D49">
            <v>65552</v>
          </cell>
          <cell r="E49">
            <v>88377</v>
          </cell>
        </row>
        <row r="50">
          <cell r="A50">
            <v>2034</v>
          </cell>
          <cell r="B50">
            <v>47449.022140221437</v>
          </cell>
          <cell r="C50">
            <v>1.015830164266897</v>
          </cell>
          <cell r="D50">
            <v>66590</v>
          </cell>
          <cell r="E50">
            <v>89776</v>
          </cell>
        </row>
        <row r="51">
          <cell r="A51">
            <v>2035</v>
          </cell>
          <cell r="B51">
            <v>48188.44280442805</v>
          </cell>
          <cell r="C51">
            <v>1.0155834752931572</v>
          </cell>
          <cell r="D51">
            <v>67628</v>
          </cell>
          <cell r="E51">
            <v>91175</v>
          </cell>
        </row>
        <row r="52">
          <cell r="A52">
            <v>2036</v>
          </cell>
          <cell r="B52">
            <v>48927.863468634663</v>
          </cell>
          <cell r="C52">
            <v>1.0153443568867235</v>
          </cell>
          <cell r="D52">
            <v>68666</v>
          </cell>
          <cell r="E52">
            <v>92574</v>
          </cell>
        </row>
        <row r="53">
          <cell r="A53">
            <v>2037</v>
          </cell>
          <cell r="B53">
            <v>49667.284132841509</v>
          </cell>
          <cell r="C53">
            <v>1.0151124658177819</v>
          </cell>
          <cell r="D53">
            <v>69704</v>
          </cell>
          <cell r="E53">
            <v>93973</v>
          </cell>
        </row>
        <row r="54">
          <cell r="A54">
            <v>2038</v>
          </cell>
          <cell r="B54">
            <v>50406.704797048122</v>
          </cell>
          <cell r="C54">
            <v>1.0148874792958065</v>
          </cell>
          <cell r="D54">
            <v>70742</v>
          </cell>
          <cell r="E54">
            <v>95372</v>
          </cell>
        </row>
        <row r="55">
          <cell r="A55">
            <v>2039</v>
          </cell>
          <cell r="B55">
            <v>51146.125461254735</v>
          </cell>
          <cell r="C55">
            <v>1.0146690934704765</v>
          </cell>
          <cell r="D55">
            <v>71780</v>
          </cell>
          <cell r="E55">
            <v>96771</v>
          </cell>
        </row>
        <row r="56">
          <cell r="A56">
            <v>2040</v>
          </cell>
          <cell r="B56">
            <v>51885.546125461347</v>
          </cell>
          <cell r="C56">
            <v>1.0144570220625364</v>
          </cell>
          <cell r="D56">
            <v>72818</v>
          </cell>
          <cell r="E56">
            <v>98170</v>
          </cell>
        </row>
        <row r="57">
          <cell r="A57">
            <v>2041</v>
          </cell>
          <cell r="B57">
            <v>52624.96678966796</v>
          </cell>
          <cell r="C57">
            <v>1.0142509951117922</v>
          </cell>
          <cell r="D57">
            <v>73856</v>
          </cell>
          <cell r="E57">
            <v>99569</v>
          </cell>
        </row>
        <row r="58">
          <cell r="A58">
            <v>2042</v>
          </cell>
          <cell r="B58">
            <v>53364.387453874573</v>
          </cell>
          <cell r="C58">
            <v>1.0140507578306308</v>
          </cell>
          <cell r="D58">
            <v>74894</v>
          </cell>
          <cell r="E58">
            <v>100968</v>
          </cell>
        </row>
        <row r="59">
          <cell r="A59">
            <v>2043</v>
          </cell>
          <cell r="B59">
            <v>54103.808118081186</v>
          </cell>
          <cell r="C59">
            <v>1.0138560695528591</v>
          </cell>
          <cell r="D59">
            <v>75932</v>
          </cell>
          <cell r="E59">
            <v>102367</v>
          </cell>
        </row>
        <row r="60">
          <cell r="A60">
            <v>2044</v>
          </cell>
          <cell r="B60">
            <v>54843.228782287799</v>
          </cell>
          <cell r="C60">
            <v>1.0136667027687374</v>
          </cell>
          <cell r="D60">
            <v>76970</v>
          </cell>
          <cell r="E60">
            <v>103766</v>
          </cell>
        </row>
        <row r="61">
          <cell r="A61">
            <v>2045</v>
          </cell>
          <cell r="B61">
            <v>55582.649446494645</v>
          </cell>
          <cell r="C61">
            <v>1.0134824422380773</v>
          </cell>
          <cell r="D61">
            <v>78008</v>
          </cell>
          <cell r="E61">
            <v>105165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CABA"/>
      <sheetName val="Plazas turísticas"/>
      <sheetName val="Datos Censal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6">
          <cell r="A36">
            <v>2020</v>
          </cell>
          <cell r="B36">
            <v>3098433.8431194704</v>
          </cell>
          <cell r="C36">
            <v>1.0072746830672117</v>
          </cell>
          <cell r="D36">
            <v>36482</v>
          </cell>
          <cell r="E36">
            <v>3109384</v>
          </cell>
        </row>
        <row r="37">
          <cell r="A37">
            <v>2021</v>
          </cell>
          <cell r="B37">
            <v>3121176.2129465919</v>
          </cell>
          <cell r="C37">
            <v>1.007339956564709</v>
          </cell>
          <cell r="D37">
            <v>36750</v>
          </cell>
          <cell r="E37">
            <v>3132207</v>
          </cell>
        </row>
        <row r="38">
          <cell r="A38">
            <v>2022</v>
          </cell>
          <cell r="B38">
            <v>3144289.5710819215</v>
          </cell>
          <cell r="C38">
            <v>1.0074053358600696</v>
          </cell>
          <cell r="D38">
            <v>37022</v>
          </cell>
          <cell r="E38">
            <v>3155402</v>
          </cell>
        </row>
        <row r="39">
          <cell r="A39">
            <v>2023</v>
          </cell>
          <cell r="B39">
            <v>3167779.9693277054</v>
          </cell>
          <cell r="C39">
            <v>1.0074708126318344</v>
          </cell>
          <cell r="D39">
            <v>37299</v>
          </cell>
          <cell r="E39">
            <v>3178975</v>
          </cell>
        </row>
        <row r="40">
          <cell r="A40">
            <v>2024</v>
          </cell>
          <cell r="B40">
            <v>3191653.5582071207</v>
          </cell>
          <cell r="C40">
            <v>1.0075363785081581</v>
          </cell>
          <cell r="D40">
            <v>37580</v>
          </cell>
          <cell r="E40">
            <v>3202933</v>
          </cell>
        </row>
        <row r="41">
          <cell r="A41">
            <v>2025</v>
          </cell>
          <cell r="B41">
            <v>3215916.5885746726</v>
          </cell>
          <cell r="C41">
            <v>1.007602025071036</v>
          </cell>
          <cell r="D41">
            <v>37866</v>
          </cell>
          <cell r="E41">
            <v>3227282</v>
          </cell>
        </row>
        <row r="42">
          <cell r="A42">
            <v>2026</v>
          </cell>
          <cell r="B42">
            <v>3240575.4132528645</v>
          </cell>
          <cell r="C42">
            <v>1.0076677438605834</v>
          </cell>
          <cell r="D42">
            <v>38156</v>
          </cell>
          <cell r="E42">
            <v>3252028</v>
          </cell>
        </row>
        <row r="43">
          <cell r="A43">
            <v>2027</v>
          </cell>
          <cell r="B43">
            <v>3265636.4886955679</v>
          </cell>
          <cell r="C43">
            <v>1.0077335263793621</v>
          </cell>
          <cell r="D43">
            <v>38451</v>
          </cell>
          <cell r="E43">
            <v>3277178</v>
          </cell>
        </row>
        <row r="44">
          <cell r="A44">
            <v>2028</v>
          </cell>
          <cell r="B44">
            <v>3291106.3766785217</v>
          </cell>
          <cell r="C44">
            <v>1.0077993640967453</v>
          </cell>
          <cell r="D44">
            <v>38751</v>
          </cell>
          <cell r="E44">
            <v>3302738</v>
          </cell>
        </row>
        <row r="45">
          <cell r="A45">
            <v>2029</v>
          </cell>
          <cell r="B45">
            <v>3316991.7460174151</v>
          </cell>
          <cell r="C45">
            <v>1.0078652484533233</v>
          </cell>
          <cell r="D45">
            <v>39056</v>
          </cell>
          <cell r="E45">
            <v>3328715</v>
          </cell>
        </row>
        <row r="46">
          <cell r="A46">
            <v>2030</v>
          </cell>
          <cell r="B46">
            <v>3343299.3743139887</v>
          </cell>
          <cell r="C46">
            <v>1.007931170865336</v>
          </cell>
          <cell r="D46">
            <v>39366</v>
          </cell>
          <cell r="E46">
            <v>3355116</v>
          </cell>
        </row>
        <row r="47">
          <cell r="A47">
            <v>2031</v>
          </cell>
          <cell r="B47">
            <v>3370036.1497306237</v>
          </cell>
          <cell r="C47">
            <v>1.0079971227291367</v>
          </cell>
          <cell r="D47">
            <v>39681</v>
          </cell>
          <cell r="E47">
            <v>3381947</v>
          </cell>
        </row>
        <row r="48">
          <cell r="A48">
            <v>2032</v>
          </cell>
          <cell r="B48">
            <v>3397209.0727938833</v>
          </cell>
          <cell r="C48">
            <v>1.0080630954256771</v>
          </cell>
          <cell r="D48">
            <v>40001</v>
          </cell>
          <cell r="E48">
            <v>3409216</v>
          </cell>
        </row>
        <row r="49">
          <cell r="A49">
            <v>2033</v>
          </cell>
          <cell r="B49">
            <v>3424825.2582274638</v>
          </cell>
          <cell r="C49">
            <v>1.008129080325006</v>
          </cell>
          <cell r="D49">
            <v>40326</v>
          </cell>
          <cell r="E49">
            <v>3436930</v>
          </cell>
        </row>
        <row r="50">
          <cell r="A50">
            <v>2034</v>
          </cell>
          <cell r="B50">
            <v>3452891.9368150579</v>
          </cell>
          <cell r="C50">
            <v>1.0081950687907857</v>
          </cell>
          <cell r="D50">
            <v>40656</v>
          </cell>
          <cell r="E50">
            <v>3465096</v>
          </cell>
        </row>
        <row r="51">
          <cell r="A51">
            <v>2035</v>
          </cell>
          <cell r="B51">
            <v>3481416.4572935971</v>
          </cell>
          <cell r="C51">
            <v>1.0082610521848101</v>
          </cell>
          <cell r="D51">
            <v>40992</v>
          </cell>
          <cell r="E51">
            <v>3493721</v>
          </cell>
        </row>
        <row r="52">
          <cell r="A52">
            <v>2036</v>
          </cell>
          <cell r="B52">
            <v>3510406.288277383</v>
          </cell>
          <cell r="C52">
            <v>1.0083270218715292</v>
          </cell>
          <cell r="D52">
            <v>41333</v>
          </cell>
          <cell r="E52">
            <v>3522813</v>
          </cell>
        </row>
        <row r="53">
          <cell r="A53">
            <v>2037</v>
          </cell>
          <cell r="B53">
            <v>3539869.0202136049</v>
          </cell>
          <cell r="C53">
            <v>1.0083929692225682</v>
          </cell>
          <cell r="D53">
            <v>41680</v>
          </cell>
          <cell r="E53">
            <v>3552380</v>
          </cell>
        </row>
        <row r="54">
          <cell r="A54">
            <v>2038</v>
          </cell>
          <cell r="B54">
            <v>3569812.3673697575</v>
          </cell>
          <cell r="C54">
            <v>1.0084588856212386</v>
          </cell>
          <cell r="D54">
            <v>42033</v>
          </cell>
          <cell r="E54">
            <v>3582429</v>
          </cell>
        </row>
        <row r="55">
          <cell r="A55">
            <v>2039</v>
          </cell>
          <cell r="B55">
            <v>3600244.1698534759</v>
          </cell>
          <cell r="C55">
            <v>1.008524762467037</v>
          </cell>
          <cell r="D55">
            <v>42391</v>
          </cell>
          <cell r="E55">
            <v>3612968</v>
          </cell>
        </row>
        <row r="56">
          <cell r="A56">
            <v>2040</v>
          </cell>
          <cell r="B56">
            <v>3631172.3956653252</v>
          </cell>
          <cell r="C56">
            <v>1.0085905911801276</v>
          </cell>
          <cell r="D56">
            <v>42755</v>
          </cell>
          <cell r="E56">
            <v>3644006</v>
          </cell>
        </row>
        <row r="57">
          <cell r="A57">
            <v>2041</v>
          </cell>
          <cell r="B57">
            <v>3662605.1427850686</v>
          </cell>
          <cell r="C57">
            <v>1.008656363205797</v>
          </cell>
          <cell r="D57">
            <v>43125</v>
          </cell>
          <cell r="E57">
            <v>3675550</v>
          </cell>
        </row>
        <row r="58">
          <cell r="A58">
            <v>2042</v>
          </cell>
          <cell r="B58">
            <v>3694550.6412919769</v>
          </cell>
          <cell r="C58">
            <v>1.0087220700188873</v>
          </cell>
          <cell r="D58">
            <v>43501</v>
          </cell>
          <cell r="E58">
            <v>3707608</v>
          </cell>
        </row>
        <row r="59">
          <cell r="A59">
            <v>2043</v>
          </cell>
          <cell r="B59">
            <v>3727017.2555197189</v>
          </cell>
          <cell r="C59">
            <v>1.0087877031281911</v>
          </cell>
          <cell r="D59">
            <v>43883</v>
          </cell>
          <cell r="E59">
            <v>3740189</v>
          </cell>
        </row>
        <row r="60">
          <cell r="A60">
            <v>2044</v>
          </cell>
          <cell r="B60">
            <v>3760013.486246408</v>
          </cell>
          <cell r="C60">
            <v>1.0088532540808126</v>
          </cell>
          <cell r="D60">
            <v>44272</v>
          </cell>
          <cell r="E60">
            <v>3773302</v>
          </cell>
        </row>
        <row r="61">
          <cell r="A61">
            <v>2045</v>
          </cell>
          <cell r="B61">
            <v>3793547.9729203694</v>
          </cell>
          <cell r="C61">
            <v>1.0089187144664842</v>
          </cell>
          <cell r="D61">
            <v>44667</v>
          </cell>
          <cell r="E61">
            <v>3806955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San Clemente del Tuyú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6">
          <cell r="A36">
            <v>2020</v>
          </cell>
          <cell r="B36">
            <v>16151.157411961332</v>
          </cell>
          <cell r="C36">
            <v>1.02880914963894</v>
          </cell>
          <cell r="D36">
            <v>30383</v>
          </cell>
          <cell r="E36">
            <v>37447</v>
          </cell>
        </row>
        <row r="37">
          <cell r="A37">
            <v>2021</v>
          </cell>
          <cell r="B37">
            <v>16594.74303207812</v>
          </cell>
          <cell r="C37">
            <v>1.0274646335740789</v>
          </cell>
          <cell r="D37">
            <v>31217</v>
          </cell>
          <cell r="E37">
            <v>38475</v>
          </cell>
        </row>
        <row r="38">
          <cell r="A38">
            <v>2022</v>
          </cell>
          <cell r="B38">
            <v>17038.328652194905</v>
          </cell>
          <cell r="C38">
            <v>1.0267304904486512</v>
          </cell>
          <cell r="D38">
            <v>32051</v>
          </cell>
          <cell r="E38">
            <v>39503</v>
          </cell>
        </row>
        <row r="39">
          <cell r="A39">
            <v>2023</v>
          </cell>
          <cell r="B39">
            <v>17481.914272311693</v>
          </cell>
          <cell r="C39">
            <v>1.0260345735295842</v>
          </cell>
          <cell r="D39">
            <v>32885</v>
          </cell>
          <cell r="E39">
            <v>40531</v>
          </cell>
        </row>
        <row r="40">
          <cell r="A40">
            <v>2024</v>
          </cell>
          <cell r="B40">
            <v>17925.499892428481</v>
          </cell>
          <cell r="C40">
            <v>1.0253739729646971</v>
          </cell>
          <cell r="D40">
            <v>33719</v>
          </cell>
          <cell r="E40">
            <v>41559</v>
          </cell>
        </row>
        <row r="41">
          <cell r="A41">
            <v>2025</v>
          </cell>
          <cell r="B41">
            <v>18369.085512545265</v>
          </cell>
          <cell r="C41">
            <v>1.024746066931397</v>
          </cell>
          <cell r="D41">
            <v>34553</v>
          </cell>
          <cell r="E41">
            <v>42587</v>
          </cell>
        </row>
        <row r="42">
          <cell r="A42">
            <v>2026</v>
          </cell>
          <cell r="B42">
            <v>18812.671132662053</v>
          </cell>
          <cell r="C42">
            <v>1.0241484868592854</v>
          </cell>
          <cell r="D42">
            <v>35387</v>
          </cell>
          <cell r="E42">
            <v>43615</v>
          </cell>
        </row>
        <row r="43">
          <cell r="A43">
            <v>2027</v>
          </cell>
          <cell r="B43">
            <v>19256.256752778838</v>
          </cell>
          <cell r="C43">
            <v>1.0235790875728776</v>
          </cell>
          <cell r="D43">
            <v>36221</v>
          </cell>
          <cell r="E43">
            <v>44643</v>
          </cell>
        </row>
        <row r="44">
          <cell r="A44">
            <v>2028</v>
          </cell>
          <cell r="B44">
            <v>19699.842372895626</v>
          </cell>
          <cell r="C44">
            <v>1.0230359215610674</v>
          </cell>
          <cell r="D44">
            <v>37055</v>
          </cell>
          <cell r="E44">
            <v>45671</v>
          </cell>
        </row>
        <row r="45">
          <cell r="A45">
            <v>2029</v>
          </cell>
          <cell r="B45">
            <v>20143.42799301241</v>
          </cell>
          <cell r="C45">
            <v>1.0225172167228658</v>
          </cell>
          <cell r="D45">
            <v>37889</v>
          </cell>
          <cell r="E45">
            <v>46699</v>
          </cell>
        </row>
        <row r="46">
          <cell r="A46">
            <v>2030</v>
          </cell>
          <cell r="B46">
            <v>20587.013613129198</v>
          </cell>
          <cell r="C46">
            <v>1.0220213570535592</v>
          </cell>
          <cell r="D46">
            <v>38723</v>
          </cell>
          <cell r="E46">
            <v>47727</v>
          </cell>
        </row>
        <row r="47">
          <cell r="A47">
            <v>2031</v>
          </cell>
          <cell r="B47">
            <v>21127.185956708629</v>
          </cell>
          <cell r="C47">
            <v>1.0262384993632558</v>
          </cell>
          <cell r="D47">
            <v>39739</v>
          </cell>
          <cell r="E47">
            <v>48979</v>
          </cell>
        </row>
        <row r="48">
          <cell r="A48">
            <v>2032</v>
          </cell>
          <cell r="B48">
            <v>21667.358300288059</v>
          </cell>
          <cell r="C48">
            <v>1.025567642784339</v>
          </cell>
          <cell r="D48">
            <v>40755</v>
          </cell>
          <cell r="E48">
            <v>50231</v>
          </cell>
        </row>
        <row r="49">
          <cell r="A49">
            <v>2033</v>
          </cell>
          <cell r="B49">
            <v>22207.530643867489</v>
          </cell>
          <cell r="C49">
            <v>1.0249302354303269</v>
          </cell>
          <cell r="D49">
            <v>41771</v>
          </cell>
          <cell r="E49">
            <v>51483</v>
          </cell>
        </row>
        <row r="50">
          <cell r="A50">
            <v>2034</v>
          </cell>
          <cell r="B50">
            <v>22747.702987446919</v>
          </cell>
          <cell r="C50">
            <v>1.0243238364607907</v>
          </cell>
          <cell r="D50">
            <v>42787</v>
          </cell>
          <cell r="E50">
            <v>52735</v>
          </cell>
        </row>
        <row r="51">
          <cell r="A51">
            <v>2035</v>
          </cell>
          <cell r="B51">
            <v>23287.875331026349</v>
          </cell>
          <cell r="C51">
            <v>1.0237462368784012</v>
          </cell>
          <cell r="D51">
            <v>43803</v>
          </cell>
          <cell r="E51">
            <v>53987</v>
          </cell>
        </row>
        <row r="52">
          <cell r="A52">
            <v>2036</v>
          </cell>
          <cell r="B52">
            <v>23828.047674605783</v>
          </cell>
          <cell r="C52">
            <v>1.0231954326404249</v>
          </cell>
          <cell r="D52">
            <v>44819</v>
          </cell>
          <cell r="E52">
            <v>55239</v>
          </cell>
        </row>
        <row r="53">
          <cell r="A53">
            <v>2037</v>
          </cell>
          <cell r="B53">
            <v>24368.220018185209</v>
          </cell>
          <cell r="C53">
            <v>1.0226696014275272</v>
          </cell>
          <cell r="D53">
            <v>45835</v>
          </cell>
          <cell r="E53">
            <v>56491</v>
          </cell>
        </row>
        <row r="54">
          <cell r="A54">
            <v>2038</v>
          </cell>
          <cell r="B54">
            <v>24908.392361764643</v>
          </cell>
          <cell r="C54">
            <v>1.0221670825023872</v>
          </cell>
          <cell r="D54">
            <v>46851</v>
          </cell>
          <cell r="E54">
            <v>57743</v>
          </cell>
        </row>
        <row r="55">
          <cell r="A55">
            <v>2039</v>
          </cell>
          <cell r="B55">
            <v>25448.564705344073</v>
          </cell>
          <cell r="C55">
            <v>1.0216863591890666</v>
          </cell>
          <cell r="D55">
            <v>47867</v>
          </cell>
          <cell r="E55">
            <v>58995</v>
          </cell>
        </row>
        <row r="56">
          <cell r="A56">
            <v>2040</v>
          </cell>
          <cell r="B56">
            <v>25988.737048923504</v>
          </cell>
          <cell r="C56">
            <v>1.0212260435837466</v>
          </cell>
          <cell r="D56">
            <v>48883</v>
          </cell>
          <cell r="E56">
            <v>60247</v>
          </cell>
        </row>
        <row r="57">
          <cell r="A57">
            <v>2041</v>
          </cell>
          <cell r="B57">
            <v>26528.909392502934</v>
          </cell>
          <cell r="C57">
            <v>1.0207848631721719</v>
          </cell>
          <cell r="D57">
            <v>49899</v>
          </cell>
          <cell r="E57">
            <v>61499</v>
          </cell>
        </row>
        <row r="58">
          <cell r="A58">
            <v>2042</v>
          </cell>
          <cell r="B58">
            <v>27069.081736082364</v>
          </cell>
          <cell r="C58">
            <v>1.020361649082042</v>
          </cell>
          <cell r="D58">
            <v>50915</v>
          </cell>
          <cell r="E58">
            <v>62751</v>
          </cell>
        </row>
        <row r="59">
          <cell r="A59">
            <v>2043</v>
          </cell>
          <cell r="B59">
            <v>27609.254079661794</v>
          </cell>
          <cell r="C59">
            <v>1.0199553257419662</v>
          </cell>
          <cell r="D59">
            <v>51931</v>
          </cell>
          <cell r="E59">
            <v>64003</v>
          </cell>
        </row>
        <row r="60">
          <cell r="A60">
            <v>2044</v>
          </cell>
          <cell r="B60">
            <v>28149.426423241224</v>
          </cell>
          <cell r="C60">
            <v>1.0195649017543487</v>
          </cell>
          <cell r="D60">
            <v>52947</v>
          </cell>
          <cell r="E60">
            <v>65255</v>
          </cell>
        </row>
        <row r="61">
          <cell r="A61">
            <v>2045</v>
          </cell>
          <cell r="B61">
            <v>28689.598766820654</v>
          </cell>
          <cell r="C61">
            <v>1.0191894618191384</v>
          </cell>
          <cell r="D61">
            <v>53963</v>
          </cell>
          <cell r="E61">
            <v>66507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Comparativo"/>
      <sheetName val="Mar Chiquita"/>
      <sheetName val="Plazas turísticas_Bs As"/>
      <sheetName val="Plazas turís_Mar Chiquita"/>
      <sheetName val="Santa_Clara"/>
      <sheetName val="Plazas turísticas"/>
      <sheetName val="Datos Censales"/>
      <sheetName val="Departamentos"/>
      <sheetName val="Localidades"/>
      <sheetName val="ALTH"/>
      <sheetName val="TGD"/>
      <sheetName val="CL"/>
      <sheetName val="IR"/>
      <sheetName val="RT"/>
      <sheetName val="TGD (2)"/>
    </sheetNames>
    <sheetDataSet>
      <sheetData sheetId="0"/>
      <sheetData sheetId="1">
        <row r="37">
          <cell r="A37">
            <v>2020</v>
          </cell>
          <cell r="B37">
            <v>11943</v>
          </cell>
          <cell r="C37">
            <v>1.0446990902729181</v>
          </cell>
          <cell r="D37">
            <v>26723</v>
          </cell>
          <cell r="E37">
            <v>23785</v>
          </cell>
          <cell r="F37">
            <v>26131</v>
          </cell>
          <cell r="G37">
            <v>52854</v>
          </cell>
        </row>
        <row r="38">
          <cell r="A38">
            <v>2021</v>
          </cell>
          <cell r="B38">
            <v>12476</v>
          </cell>
          <cell r="C38">
            <v>1.0446286527673114</v>
          </cell>
          <cell r="D38">
            <v>27916</v>
          </cell>
          <cell r="E38"/>
          <cell r="F38">
            <v>27297</v>
          </cell>
          <cell r="G38">
            <v>55213</v>
          </cell>
        </row>
        <row r="39">
          <cell r="A39">
            <v>2022</v>
          </cell>
          <cell r="B39">
            <v>13034</v>
          </cell>
          <cell r="C39">
            <v>1.0447258736774607</v>
          </cell>
          <cell r="D39">
            <v>29165</v>
          </cell>
          <cell r="E39"/>
          <cell r="F39">
            <v>28518</v>
          </cell>
          <cell r="G39">
            <v>57683</v>
          </cell>
        </row>
        <row r="40">
          <cell r="A40">
            <v>2023</v>
          </cell>
          <cell r="B40">
            <v>13616</v>
          </cell>
          <cell r="C40">
            <v>1.0446524474451435</v>
          </cell>
          <cell r="D40">
            <v>30467</v>
          </cell>
          <cell r="E40"/>
          <cell r="F40">
            <v>29791</v>
          </cell>
          <cell r="G40">
            <v>60258</v>
          </cell>
        </row>
        <row r="41">
          <cell r="A41">
            <v>2024</v>
          </cell>
          <cell r="B41">
            <v>14225</v>
          </cell>
          <cell r="C41">
            <v>1.0447267920094008</v>
          </cell>
          <cell r="D41">
            <v>31830</v>
          </cell>
          <cell r="E41"/>
          <cell r="F41">
            <v>31123</v>
          </cell>
          <cell r="G41">
            <v>62953</v>
          </cell>
        </row>
        <row r="42">
          <cell r="A42">
            <v>2025</v>
          </cell>
          <cell r="B42">
            <v>14860</v>
          </cell>
          <cell r="C42">
            <v>1.044639718804921</v>
          </cell>
          <cell r="D42">
            <v>33251</v>
          </cell>
          <cell r="E42"/>
          <cell r="F42">
            <v>32512</v>
          </cell>
          <cell r="G42">
            <v>65763</v>
          </cell>
        </row>
        <row r="43">
          <cell r="A43">
            <v>2026</v>
          </cell>
          <cell r="B43">
            <v>15525</v>
          </cell>
          <cell r="C43">
            <v>1.0447510094212651</v>
          </cell>
          <cell r="D43">
            <v>34739</v>
          </cell>
          <cell r="E43"/>
          <cell r="F43">
            <v>33967</v>
          </cell>
          <cell r="G43">
            <v>68706</v>
          </cell>
        </row>
        <row r="44">
          <cell r="A44">
            <v>2027</v>
          </cell>
          <cell r="B44">
            <v>16218</v>
          </cell>
          <cell r="C44">
            <v>1.0446376811594202</v>
          </cell>
          <cell r="D44">
            <v>36290</v>
          </cell>
          <cell r="E44"/>
          <cell r="F44">
            <v>35483</v>
          </cell>
          <cell r="G44">
            <v>71773</v>
          </cell>
        </row>
        <row r="45">
          <cell r="A45">
            <v>2028</v>
          </cell>
          <cell r="B45">
            <v>16943</v>
          </cell>
          <cell r="C45">
            <v>1.0447034159575781</v>
          </cell>
          <cell r="D45">
            <v>37912</v>
          </cell>
          <cell r="E45"/>
          <cell r="F45">
            <v>37069</v>
          </cell>
          <cell r="G45">
            <v>74981</v>
          </cell>
        </row>
        <row r="46">
          <cell r="A46">
            <v>2029</v>
          </cell>
          <cell r="B46">
            <v>17700</v>
          </cell>
          <cell r="C46">
            <v>1.0446792185563361</v>
          </cell>
          <cell r="D46">
            <v>39606</v>
          </cell>
          <cell r="E46"/>
          <cell r="F46">
            <v>38725</v>
          </cell>
          <cell r="G46">
            <v>78331</v>
          </cell>
        </row>
        <row r="47">
          <cell r="A47">
            <v>2030</v>
          </cell>
          <cell r="B47">
            <v>18491</v>
          </cell>
          <cell r="C47">
            <v>1.0446892655367233</v>
          </cell>
          <cell r="D47">
            <v>41376</v>
          </cell>
          <cell r="E47"/>
          <cell r="F47">
            <v>40456</v>
          </cell>
          <cell r="G47">
            <v>81832</v>
          </cell>
        </row>
        <row r="48">
          <cell r="A48">
            <v>2031</v>
          </cell>
          <cell r="B48">
            <v>19318</v>
          </cell>
          <cell r="C48">
            <v>1.044724460548375</v>
          </cell>
          <cell r="D48">
            <v>43227</v>
          </cell>
          <cell r="E48"/>
          <cell r="F48">
            <v>42265</v>
          </cell>
          <cell r="G48">
            <v>85492</v>
          </cell>
        </row>
        <row r="49">
          <cell r="A49">
            <v>2032</v>
          </cell>
          <cell r="B49">
            <v>20181</v>
          </cell>
          <cell r="C49">
            <v>1.0446733616316388</v>
          </cell>
          <cell r="D49">
            <v>45158</v>
          </cell>
          <cell r="E49"/>
          <cell r="F49">
            <v>44153</v>
          </cell>
          <cell r="G49">
            <v>89311</v>
          </cell>
        </row>
        <row r="50">
          <cell r="A50">
            <v>2033</v>
          </cell>
          <cell r="B50">
            <v>21083</v>
          </cell>
          <cell r="C50">
            <v>1.0446955056736535</v>
          </cell>
          <cell r="D50">
            <v>47176</v>
          </cell>
          <cell r="E50"/>
          <cell r="F50">
            <v>46126</v>
          </cell>
          <cell r="G50">
            <v>93302</v>
          </cell>
        </row>
        <row r="51">
          <cell r="A51">
            <v>2034</v>
          </cell>
          <cell r="B51">
            <v>22025</v>
          </cell>
          <cell r="C51">
            <v>1.0446805483090642</v>
          </cell>
          <cell r="D51">
            <v>49284</v>
          </cell>
          <cell r="E51"/>
          <cell r="F51">
            <v>48187</v>
          </cell>
          <cell r="G51">
            <v>97471</v>
          </cell>
        </row>
        <row r="52">
          <cell r="A52">
            <v>2035</v>
          </cell>
          <cell r="B52">
            <v>23009</v>
          </cell>
          <cell r="C52">
            <v>1.0446765039727581</v>
          </cell>
          <cell r="D52">
            <v>51486</v>
          </cell>
          <cell r="E52"/>
          <cell r="F52">
            <v>50340</v>
          </cell>
          <cell r="G52">
            <v>101826</v>
          </cell>
        </row>
        <row r="53">
          <cell r="A53">
            <v>2036</v>
          </cell>
          <cell r="B53">
            <v>24038</v>
          </cell>
          <cell r="C53">
            <v>1.044721630666261</v>
          </cell>
          <cell r="D53">
            <v>53789</v>
          </cell>
          <cell r="E53"/>
          <cell r="F53">
            <v>52591</v>
          </cell>
          <cell r="G53">
            <v>106380</v>
          </cell>
        </row>
        <row r="54">
          <cell r="A54">
            <v>2037</v>
          </cell>
          <cell r="B54">
            <v>25112</v>
          </cell>
          <cell r="C54">
            <v>1.0446792578417505</v>
          </cell>
          <cell r="D54">
            <v>56192</v>
          </cell>
          <cell r="E54"/>
          <cell r="F54">
            <v>54941</v>
          </cell>
          <cell r="G54">
            <v>111133</v>
          </cell>
        </row>
        <row r="55">
          <cell r="A55">
            <v>2038</v>
          </cell>
          <cell r="B55">
            <v>26234</v>
          </cell>
          <cell r="C55">
            <v>1.0446798343421473</v>
          </cell>
          <cell r="D55">
            <v>58703</v>
          </cell>
          <cell r="E55"/>
          <cell r="F55">
            <v>57396</v>
          </cell>
          <cell r="G55">
            <v>116099</v>
          </cell>
        </row>
        <row r="56">
          <cell r="A56">
            <v>2039</v>
          </cell>
          <cell r="B56">
            <v>27407</v>
          </cell>
          <cell r="C56">
            <v>1.0447129679042464</v>
          </cell>
          <cell r="D56">
            <v>61328</v>
          </cell>
          <cell r="E56"/>
          <cell r="F56">
            <v>59962</v>
          </cell>
          <cell r="G56">
            <v>121290</v>
          </cell>
        </row>
        <row r="57">
          <cell r="A57">
            <v>2040</v>
          </cell>
          <cell r="B57">
            <v>28631</v>
          </cell>
          <cell r="C57">
            <v>1.0446601233261577</v>
          </cell>
          <cell r="D57">
            <v>64067</v>
          </cell>
          <cell r="E57"/>
          <cell r="F57">
            <v>62640</v>
          </cell>
          <cell r="G57">
            <v>126707</v>
          </cell>
        </row>
        <row r="58">
          <cell r="A58">
            <v>2041</v>
          </cell>
          <cell r="B58">
            <v>29911</v>
          </cell>
          <cell r="C58">
            <v>1.0447067863504593</v>
          </cell>
          <cell r="D58">
            <v>66931</v>
          </cell>
          <cell r="E58"/>
          <cell r="F58">
            <v>65440</v>
          </cell>
          <cell r="G58">
            <v>132371</v>
          </cell>
        </row>
        <row r="59">
          <cell r="A59">
            <v>2042</v>
          </cell>
          <cell r="B59">
            <v>31248</v>
          </cell>
          <cell r="C59">
            <v>1.0446992745143926</v>
          </cell>
          <cell r="D59">
            <v>69923</v>
          </cell>
          <cell r="E59"/>
          <cell r="F59">
            <v>68365</v>
          </cell>
          <cell r="G59">
            <v>138288</v>
          </cell>
        </row>
        <row r="60">
          <cell r="A60">
            <v>2043</v>
          </cell>
          <cell r="B60">
            <v>32644</v>
          </cell>
          <cell r="C60">
            <v>1.0446748591909882</v>
          </cell>
          <cell r="D60">
            <v>73047</v>
          </cell>
          <cell r="E60"/>
          <cell r="F60">
            <v>71419</v>
          </cell>
          <cell r="G60">
            <v>144466</v>
          </cell>
        </row>
        <row r="61">
          <cell r="A61">
            <v>2044</v>
          </cell>
          <cell r="B61">
            <v>34103</v>
          </cell>
          <cell r="C61">
            <v>1.0446942776620511</v>
          </cell>
          <cell r="D61">
            <v>76312</v>
          </cell>
          <cell r="E61"/>
          <cell r="F61">
            <v>74611</v>
          </cell>
          <cell r="G61">
            <v>150923</v>
          </cell>
        </row>
        <row r="62">
          <cell r="A62">
            <v>2045</v>
          </cell>
          <cell r="B62">
            <v>35627</v>
          </cell>
          <cell r="C62">
            <v>1.0446881506025862</v>
          </cell>
          <cell r="D62">
            <v>79722</v>
          </cell>
          <cell r="E62"/>
          <cell r="F62">
            <v>77945</v>
          </cell>
          <cell r="G62">
            <v>157667</v>
          </cell>
        </row>
      </sheetData>
      <sheetData sheetId="2"/>
      <sheetData sheetId="3"/>
      <sheetData sheetId="4">
        <row r="36">
          <cell r="A36">
            <v>2020</v>
          </cell>
          <cell r="B36">
            <v>11943</v>
          </cell>
          <cell r="C36">
            <v>1.0446990902729181</v>
          </cell>
          <cell r="D36">
            <v>17361</v>
          </cell>
          <cell r="E36">
            <v>18833</v>
          </cell>
        </row>
        <row r="37">
          <cell r="A37">
            <v>2021</v>
          </cell>
          <cell r="B37">
            <v>12476</v>
          </cell>
          <cell r="C37">
            <v>1.0446286527673114</v>
          </cell>
          <cell r="D37">
            <v>18136</v>
          </cell>
          <cell r="E37">
            <v>19673</v>
          </cell>
        </row>
        <row r="38">
          <cell r="A38">
            <v>2022</v>
          </cell>
          <cell r="B38">
            <v>13034</v>
          </cell>
          <cell r="C38">
            <v>1.0447258736774607</v>
          </cell>
          <cell r="D38">
            <v>18947</v>
          </cell>
          <cell r="E38">
            <v>20553</v>
          </cell>
        </row>
        <row r="39">
          <cell r="A39">
            <v>2023</v>
          </cell>
          <cell r="B39">
            <v>13616</v>
          </cell>
          <cell r="C39">
            <v>1.0446524474451435</v>
          </cell>
          <cell r="D39">
            <v>19793</v>
          </cell>
          <cell r="E39">
            <v>21471</v>
          </cell>
        </row>
        <row r="40">
          <cell r="A40">
            <v>2024</v>
          </cell>
          <cell r="B40">
            <v>14225</v>
          </cell>
          <cell r="C40">
            <v>1.0447267920094008</v>
          </cell>
          <cell r="D40">
            <v>20678</v>
          </cell>
          <cell r="E40">
            <v>22431</v>
          </cell>
        </row>
        <row r="41">
          <cell r="A41">
            <v>2025</v>
          </cell>
          <cell r="B41">
            <v>14860</v>
          </cell>
          <cell r="C41">
            <v>1.044639718804921</v>
          </cell>
          <cell r="D41">
            <v>21601</v>
          </cell>
          <cell r="E41">
            <v>23432</v>
          </cell>
        </row>
        <row r="42">
          <cell r="A42">
            <v>2026</v>
          </cell>
          <cell r="B42">
            <v>15525</v>
          </cell>
          <cell r="C42">
            <v>1.0447510094212651</v>
          </cell>
          <cell r="D42">
            <v>22568</v>
          </cell>
          <cell r="E42">
            <v>24481</v>
          </cell>
        </row>
        <row r="43">
          <cell r="A43">
            <v>2027</v>
          </cell>
          <cell r="B43">
            <v>16218</v>
          </cell>
          <cell r="C43">
            <v>1.0446376811594202</v>
          </cell>
          <cell r="D43">
            <v>23575</v>
          </cell>
          <cell r="E43">
            <v>25574</v>
          </cell>
        </row>
        <row r="44">
          <cell r="A44">
            <v>2028</v>
          </cell>
          <cell r="B44">
            <v>16943</v>
          </cell>
          <cell r="C44">
            <v>1.0447034159575781</v>
          </cell>
          <cell r="D44">
            <v>24629</v>
          </cell>
          <cell r="E44">
            <v>26717</v>
          </cell>
        </row>
        <row r="45">
          <cell r="A45">
            <v>2029</v>
          </cell>
          <cell r="B45">
            <v>17700</v>
          </cell>
          <cell r="C45">
            <v>1.0446792185563361</v>
          </cell>
          <cell r="D45">
            <v>25729</v>
          </cell>
          <cell r="E45">
            <v>27911</v>
          </cell>
        </row>
        <row r="46">
          <cell r="A46">
            <v>2030</v>
          </cell>
          <cell r="B46">
            <v>18491</v>
          </cell>
          <cell r="C46">
            <v>1.0446892655367233</v>
          </cell>
          <cell r="D46">
            <v>26879</v>
          </cell>
          <cell r="E46">
            <v>29158</v>
          </cell>
        </row>
        <row r="47">
          <cell r="A47">
            <v>2031</v>
          </cell>
          <cell r="B47">
            <v>19318</v>
          </cell>
          <cell r="C47">
            <v>1.044724460548375</v>
          </cell>
          <cell r="D47">
            <v>28081</v>
          </cell>
          <cell r="E47">
            <v>30462</v>
          </cell>
        </row>
        <row r="48">
          <cell r="A48">
            <v>2032</v>
          </cell>
          <cell r="B48">
            <v>20181</v>
          </cell>
          <cell r="C48">
            <v>1.0446733616316388</v>
          </cell>
          <cell r="D48">
            <v>29335</v>
          </cell>
          <cell r="E48">
            <v>31823</v>
          </cell>
        </row>
        <row r="49">
          <cell r="A49">
            <v>2033</v>
          </cell>
          <cell r="B49">
            <v>21083</v>
          </cell>
          <cell r="C49">
            <v>1.0446955056736535</v>
          </cell>
          <cell r="D49">
            <v>30646</v>
          </cell>
          <cell r="E49">
            <v>33245</v>
          </cell>
        </row>
        <row r="50">
          <cell r="A50">
            <v>2034</v>
          </cell>
          <cell r="B50">
            <v>22025</v>
          </cell>
          <cell r="C50">
            <v>1.0446805483090642</v>
          </cell>
          <cell r="D50">
            <v>32015</v>
          </cell>
          <cell r="E50">
            <v>34730</v>
          </cell>
        </row>
        <row r="51">
          <cell r="A51">
            <v>2035</v>
          </cell>
          <cell r="B51">
            <v>23009</v>
          </cell>
          <cell r="C51">
            <v>1.0446765039727581</v>
          </cell>
          <cell r="D51">
            <v>33445</v>
          </cell>
          <cell r="E51">
            <v>36282</v>
          </cell>
        </row>
        <row r="52">
          <cell r="A52">
            <v>2036</v>
          </cell>
          <cell r="B52">
            <v>24038</v>
          </cell>
          <cell r="C52">
            <v>1.044721630666261</v>
          </cell>
          <cell r="D52">
            <v>34941</v>
          </cell>
          <cell r="E52">
            <v>37905</v>
          </cell>
        </row>
        <row r="53">
          <cell r="A53">
            <v>2037</v>
          </cell>
          <cell r="B53">
            <v>25112</v>
          </cell>
          <cell r="C53">
            <v>1.0446792578417505</v>
          </cell>
          <cell r="D53">
            <v>36502</v>
          </cell>
          <cell r="E53">
            <v>39599</v>
          </cell>
        </row>
        <row r="54">
          <cell r="A54">
            <v>2038</v>
          </cell>
          <cell r="B54">
            <v>26234</v>
          </cell>
          <cell r="C54">
            <v>1.0446798343421473</v>
          </cell>
          <cell r="D54">
            <v>38133</v>
          </cell>
          <cell r="E54">
            <v>41368</v>
          </cell>
        </row>
        <row r="55">
          <cell r="A55">
            <v>2039</v>
          </cell>
          <cell r="B55">
            <v>27407</v>
          </cell>
          <cell r="C55">
            <v>1.0447129679042464</v>
          </cell>
          <cell r="D55">
            <v>39838</v>
          </cell>
          <cell r="E55">
            <v>43218</v>
          </cell>
        </row>
        <row r="56">
          <cell r="A56">
            <v>2040</v>
          </cell>
          <cell r="B56">
            <v>28631</v>
          </cell>
          <cell r="C56">
            <v>1.0446601233261577</v>
          </cell>
          <cell r="D56">
            <v>41617</v>
          </cell>
          <cell r="E56">
            <v>45148</v>
          </cell>
        </row>
        <row r="57">
          <cell r="A57">
            <v>2041</v>
          </cell>
          <cell r="B57">
            <v>29911</v>
          </cell>
          <cell r="C57">
            <v>1.0447067863504593</v>
          </cell>
          <cell r="D57">
            <v>43478</v>
          </cell>
          <cell r="E57">
            <v>47166</v>
          </cell>
        </row>
        <row r="58">
          <cell r="A58">
            <v>2042</v>
          </cell>
          <cell r="B58">
            <v>31248</v>
          </cell>
          <cell r="C58">
            <v>1.0446992745143926</v>
          </cell>
          <cell r="D58">
            <v>45421</v>
          </cell>
          <cell r="E58">
            <v>49274</v>
          </cell>
        </row>
        <row r="59">
          <cell r="A59">
            <v>2043</v>
          </cell>
          <cell r="B59">
            <v>32644</v>
          </cell>
          <cell r="C59">
            <v>1.0446748591909882</v>
          </cell>
          <cell r="D59">
            <v>47450</v>
          </cell>
          <cell r="E59">
            <v>51475</v>
          </cell>
        </row>
        <row r="60">
          <cell r="A60">
            <v>2044</v>
          </cell>
          <cell r="B60">
            <v>34103</v>
          </cell>
          <cell r="C60">
            <v>1.0446942776620511</v>
          </cell>
          <cell r="D60">
            <v>49571</v>
          </cell>
          <cell r="E60">
            <v>53776</v>
          </cell>
        </row>
        <row r="61">
          <cell r="A61">
            <v>2045</v>
          </cell>
          <cell r="B61">
            <v>35627</v>
          </cell>
          <cell r="C61">
            <v>1.0446881506025862</v>
          </cell>
          <cell r="D61">
            <v>51786</v>
          </cell>
          <cell r="E61">
            <v>56179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3" displayName="Tabla13" ref="B2:Q156" totalsRowShown="0" headerRowDxfId="73" dataDxfId="71" headerRowBorderDxfId="72" tableBorderDxfId="70" totalsRowBorderDxfId="69">
  <autoFilter ref="B2:Q156" xr:uid="{00000000-0009-0000-0100-000001000000}"/>
  <sortState xmlns:xlrd2="http://schemas.microsoft.com/office/spreadsheetml/2017/richdata2" ref="B97:AA97">
    <sortCondition descending="1" ref="M2:M156"/>
  </sortState>
  <tableColumns count="16">
    <tableColumn id="1" xr3:uid="{00000000-0010-0000-0000-000001000000}" name="Nº" dataDxfId="68" dataCellStyle="Normal 3 2"/>
    <tableColumn id="2" xr3:uid="{00000000-0010-0000-0000-000002000000}" name="Departamento" dataDxfId="67"/>
    <tableColumn id="3" xr3:uid="{00000000-0010-0000-0000-000003000000}" name="Localidad" dataDxfId="66"/>
    <tableColumn id="4" xr3:uid="{00000000-0010-0000-0000-000004000000}" name="Ingreso a Planta de separación en año 10 (con turismo) (T/día)" dataDxfId="65"/>
    <tableColumn id="5" xr3:uid="{00000000-0010-0000-0000-000005000000}" name="Ingreso a Relleno Sanitario promedio de 20 años (con turismo) (T/día)" dataDxfId="64"/>
    <tableColumn id="12" xr3:uid="{00000000-0010-0000-0000-00000C000000}" name="Inversión Inicial del Centro Ambiental (US$) sin PASE" dataDxfId="63"/>
    <tableColumn id="11" xr3:uid="{00000000-0010-0000-0000-00000B000000}" name="Costos Operativo anual del Centro Ambiental (US$) sin PASE" dataDxfId="62">
      <calculatedColumnFormula>IF(F3&lt;15,MROUND((229.67*(F3^2))+(2781.9*F3)+17618,10),MROUND((2012.4*(F3)^-0.865*F3)*365-J3,10))</calculatedColumnFormula>
    </tableColumn>
    <tableColumn id="10" xr3:uid="{00000000-0010-0000-0000-00000A000000}" name="Inversión Inicial de la Planta de Separación (US$) sin PASE" dataDxfId="61"/>
    <tableColumn id="8" xr3:uid="{00000000-0010-0000-0000-000008000000}" name="Costos Operativo anual de la Planta de Separación (US$) sin PASE" dataDxfId="60"/>
    <tableColumn id="6" xr3:uid="{00000000-0010-0000-0000-000006000000}" name="Reg. Propuesta" dataDxfId="59"/>
    <tableColumn id="9" xr3:uid="{00000000-0010-0000-0000-000009000000}" name="Ingreso a Planta de separación en año 10 (con turismo) Regionalización (T/día)" dataDxfId="58"/>
    <tableColumn id="7" xr3:uid="{00000000-0010-0000-0000-000007000000}" name="Ingreso a Relleno Sanitario promedio de 20 años (con turismo) Regionalización (T/día)" dataDxfId="57"/>
    <tableColumn id="13" xr3:uid="{00000000-0010-0000-0000-00000D000000}" name="Inversión Inicial del Centro Ambiental Regional (US$) sin PASE" dataDxfId="56"/>
    <tableColumn id="14" xr3:uid="{00000000-0010-0000-0000-00000E000000}" name="Costos Operativo anual del Centro Ambiental Regional (US$) sin PASE" dataDxfId="55"/>
    <tableColumn id="15" xr3:uid="{00000000-0010-0000-0000-00000F000000}" name="Inversión Inicial de la Planta de Separación Regional (US$) sin PASE" dataDxfId="54"/>
    <tableColumn id="16" xr3:uid="{00000000-0010-0000-0000-000010000000}" name="Costos Operativo anual de la Planta de Separación Regional (US$) sin PASE" dataDxfId="5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a1" displayName="Tabla1" ref="B3:AJ158" totalsRowShown="0" headerRowDxfId="52" dataDxfId="51" tableBorderDxfId="50">
  <autoFilter ref="B3:AJ158" xr:uid="{00000000-0009-0000-0100-000003000000}"/>
  <sortState xmlns:xlrd2="http://schemas.microsoft.com/office/spreadsheetml/2017/richdata2" ref="B4:AJ158">
    <sortCondition ref="G3:G158"/>
  </sortState>
  <tableColumns count="35">
    <tableColumn id="1" xr3:uid="{00000000-0010-0000-0100-000001000000}" name="Nº" dataDxfId="49" dataCellStyle="Normal 3 2"/>
    <tableColumn id="2" xr3:uid="{00000000-0010-0000-0100-000002000000}" name="Departamento" dataDxfId="48"/>
    <tableColumn id="3" xr3:uid="{00000000-0010-0000-0100-000003000000}" name="Localidad" dataDxfId="47"/>
    <tableColumn id="4" xr3:uid="{00000000-0010-0000-0100-000004000000}" name="Suma por localidad en Equipamiento actual para Planta de Clasificación (USD)" dataDxfId="46"/>
    <tableColumn id="33" xr3:uid="{00000000-0010-0000-0100-000021000000}" name="Suma por localidad en Equipamiento actual para Relleno Sanitario (USD)" dataDxfId="45"/>
    <tableColumn id="5" xr3:uid="{00000000-0010-0000-0100-000005000000}" name="Reg. Propuesta" dataDxfId="44"/>
    <tableColumn id="6" xr3:uid="{00000000-0010-0000-0100-000006000000}" name="Suma por Región en Equipamiento actual para Planta de Clasificación (USD)" dataDxfId="43"/>
    <tableColumn id="34" xr3:uid="{00000000-0010-0000-0100-000022000000}" name="Suma por Región en Equipamiento actual para Relleno Sanitario (USD)" dataDxfId="42"/>
    <tableColumn id="7" xr3:uid="{00000000-0010-0000-0100-000007000000}" name="Autoelevador eléctrico 2500 kg a 7m " dataDxfId="41"/>
    <tableColumn id="8" xr3:uid="{00000000-0010-0000-0100-000008000000}" name="Minicargador 60hp balde de 0,5 m3" dataDxfId="40"/>
    <tableColumn id="9" xr3:uid="{00000000-0010-0000-0100-000009000000}" name="Cargador frontal 128 HP" dataDxfId="39"/>
    <tableColumn id="15" xr3:uid="{00000000-0010-0000-0100-00000F000000}" name="Galpón estructura metálica, cubierta y cierres laterales de chapa m2" dataDxfId="38"/>
    <tableColumn id="16" xr3:uid="{00000000-0010-0000-0100-000010000000}" name="Trituradora de escombros " dataDxfId="37"/>
    <tableColumn id="17" xr3:uid="{00000000-0010-0000-0100-000011000000}" name="Trituradora de residuos" dataDxfId="36"/>
    <tableColumn id="18" xr3:uid="{00000000-0010-0000-0100-000012000000}" name="Chipeadora" dataDxfId="35"/>
    <tableColumn id="19" xr3:uid="{00000000-0010-0000-0100-000013000000}" name="Guillotina de neumáticos" dataDxfId="34"/>
    <tableColumn id="20" xr3:uid="{00000000-0010-0000-0100-000014000000}" name="Agrumadora de Poliestileno " dataDxfId="33"/>
    <tableColumn id="21" xr3:uid="{00000000-0010-0000-0100-000015000000}" name="Molino de vidrio" dataDxfId="32"/>
    <tableColumn id="22" xr3:uid="{00000000-0010-0000-0100-000016000000}" name="Prensa enfardadora horizontal para latas" dataDxfId="31"/>
    <tableColumn id="23" xr3:uid="{00000000-0010-0000-0100-000017000000}" name="Prensa enfardadora vertical" dataDxfId="30"/>
    <tableColumn id="24" xr3:uid="{00000000-0010-0000-0100-000018000000}" name="Línea de enfardado directo de RSU 2 enfardadoras 1 líneas" dataDxfId="29"/>
    <tableColumn id="25" xr3:uid="{00000000-0010-0000-0100-000019000000}" name="Línea de clasificación  de RSU 50 t/h" dataDxfId="28"/>
    <tableColumn id="26" xr3:uid="{00000000-0010-0000-0100-00001A000000}" name="Línea de clasificación  de RSU 25 t/h" dataDxfId="27"/>
    <tableColumn id="27" xr3:uid="{00000000-0010-0000-0100-00001B000000}" name="Línea de clasificación  de RSU 20 t/h" dataDxfId="26"/>
    <tableColumn id="28" xr3:uid="{00000000-0010-0000-0100-00001C000000}" name="Línea de clasificación  de RSU 15 t/h" dataDxfId="25"/>
    <tableColumn id="29" xr3:uid="{00000000-0010-0000-0100-00001D000000}" name="Línea de clasificación  de RSU 10 t/h" dataDxfId="24"/>
    <tableColumn id="30" xr3:uid="{00000000-0010-0000-0100-00001E000000}" name="Línea de clasificación  de RSU 5 t/h" dataDxfId="23"/>
    <tableColumn id="31" xr3:uid="{00000000-0010-0000-0100-00001F000000}" name="Línea de clasificación  de RSU 3 t/h" dataDxfId="22"/>
    <tableColumn id="32" xr3:uid="{00000000-0010-0000-0100-000020000000}" name="Báscula electrónica - c/ impresora - cap. 80 tn" dataDxfId="21"/>
    <tableColumn id="10" xr3:uid="{00000000-0010-0000-0100-00000A000000}" name="Topadora sobre orugas 168 hp" dataDxfId="20"/>
    <tableColumn id="11" xr3:uid="{00000000-0010-0000-0100-00000B000000}" name="Excavadora sobre orugas 158 hp" dataDxfId="19"/>
    <tableColumn id="12" xr3:uid="{00000000-0010-0000-0100-00000C000000}" name="Retroexcavadora 101 hp" dataDxfId="18"/>
    <tableColumn id="13" xr3:uid="{00000000-0010-0000-0100-00000D000000}" name="Tractor  88hp" dataDxfId="17"/>
    <tableColumn id="14" xr3:uid="{00000000-0010-0000-0100-00000E000000}" name="Pala cargadora 89 hp cap pala 1,4 m3 " dataDxfId="16"/>
    <tableColumn id="35" xr3:uid="{00000000-0010-0000-0100-000023000000}" name="Motoniveladora con Hoja de 3,7 m 154 HP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a24" displayName="Tabla24" ref="B4:H146" totalsRowCount="1" headerRowDxfId="14" dataDxfId="13">
  <autoFilter ref="B4:H145" xr:uid="{00000000-0009-0000-0100-000002000000}"/>
  <tableColumns count="7">
    <tableColumn id="1" xr3:uid="{00000000-0010-0000-0200-000001000000}" name="Tipo de Instalación" dataDxfId="12" totalsRowDxfId="11"/>
    <tableColumn id="2" xr3:uid="{00000000-0010-0000-0200-000002000000}" name="Localidad" dataDxfId="10" totalsRowDxfId="9"/>
    <tableColumn id="3" xr3:uid="{00000000-0010-0000-0200-000003000000}" name="Latitud " dataDxfId="8" totalsRowDxfId="7"/>
    <tableColumn id="4" xr3:uid="{00000000-0010-0000-0200-000004000000}" name="Longitud" dataDxfId="6" totalsRowDxfId="5"/>
    <tableColumn id="5" xr3:uid="{00000000-0010-0000-0200-000005000000}" name="Superficie impactada (m2)" dataDxfId="4" totalsRowDxfId="3"/>
    <tableColumn id="6" xr3:uid="{00000000-0010-0000-0200-000006000000}" name="Costo de Cierre Técnico de BCA (US$)" totalsRowFunction="custom" dataDxfId="2" totalsRowDxfId="1">
      <totalsRowFormula>+SUM(Tabla24[Costo de Cierre Técnico de BCA (US$)])</totalsRowFormula>
    </tableColumn>
    <tableColumn id="7" xr3:uid="{00000000-0010-0000-0200-000007000000}" name="Costo anual de Manteniemiento Post-cierre (US$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S501"/>
  <sheetViews>
    <sheetView view="pageBreakPreview" zoomScale="90" zoomScaleNormal="70" zoomScaleSheetLayoutView="90" workbookViewId="0">
      <pane xSplit="6" ySplit="6" topLeftCell="AH118" activePane="bottomRight" state="frozen"/>
      <selection pane="topRight" activeCell="G1" sqref="G1"/>
      <selection pane="bottomLeft" activeCell="A7" sqref="A7"/>
      <selection pane="bottomRight" activeCell="AK125" sqref="AK125"/>
    </sheetView>
  </sheetViews>
  <sheetFormatPr baseColWidth="10" defaultRowHeight="15"/>
  <cols>
    <col min="1" max="1" width="12" customWidth="1"/>
    <col min="2" max="2" width="14.42578125" customWidth="1"/>
    <col min="3" max="3" width="16.7109375" customWidth="1"/>
    <col min="4" max="4" width="25.28515625" customWidth="1"/>
    <col min="5" max="5" width="16.28515625" customWidth="1"/>
    <col min="6" max="7" width="14.5703125" customWidth="1"/>
    <col min="8" max="9" width="14.42578125" customWidth="1"/>
    <col min="10" max="10" width="15.7109375" customWidth="1"/>
    <col min="11" max="12" width="13.7109375" customWidth="1"/>
    <col min="13" max="13" width="21.7109375" customWidth="1"/>
    <col min="14" max="14" width="19" customWidth="1"/>
    <col min="15" max="16" width="18.85546875" customWidth="1"/>
    <col min="17" max="17" width="23" customWidth="1"/>
    <col min="18" max="18" width="21.42578125" customWidth="1"/>
    <col min="19" max="19" width="15.28515625" customWidth="1"/>
    <col min="20" max="20" width="19.42578125" customWidth="1"/>
    <col min="21" max="21" width="16.28515625" customWidth="1"/>
    <col min="22" max="22" width="19.140625" customWidth="1"/>
    <col min="23" max="23" width="14.85546875" customWidth="1"/>
    <col min="24" max="24" width="17.7109375" customWidth="1"/>
    <col min="25" max="25" width="16.5703125" customWidth="1"/>
    <col min="26" max="26" width="20" customWidth="1"/>
    <col min="27" max="27" width="24.140625" customWidth="1"/>
    <col min="28" max="28" width="23.28515625" customWidth="1"/>
    <col min="29" max="31" width="17.5703125" customWidth="1"/>
    <col min="32" max="32" width="15" customWidth="1"/>
    <col min="33" max="33" width="16.85546875" customWidth="1"/>
    <col min="34" max="34" width="16.28515625" customWidth="1"/>
    <col min="35" max="39" width="13.140625" customWidth="1"/>
    <col min="40" max="42" width="17.7109375" customWidth="1"/>
    <col min="43" max="43" width="15.85546875" bestFit="1" customWidth="1"/>
  </cols>
  <sheetData>
    <row r="1" spans="1:45" ht="14.45" customHeight="1">
      <c r="A1" s="503">
        <v>1</v>
      </c>
      <c r="B1" s="503">
        <v>2</v>
      </c>
      <c r="C1">
        <v>3</v>
      </c>
      <c r="D1" s="503">
        <v>4</v>
      </c>
      <c r="E1">
        <v>5</v>
      </c>
      <c r="F1">
        <v>6</v>
      </c>
      <c r="G1">
        <v>7</v>
      </c>
      <c r="H1" s="503">
        <v>8</v>
      </c>
      <c r="I1">
        <v>9</v>
      </c>
      <c r="J1" s="503">
        <v>10</v>
      </c>
      <c r="K1">
        <v>11</v>
      </c>
      <c r="L1">
        <v>12</v>
      </c>
      <c r="M1" s="503">
        <v>13</v>
      </c>
      <c r="N1">
        <v>14</v>
      </c>
      <c r="O1" s="503">
        <v>15</v>
      </c>
      <c r="P1" s="503">
        <v>16</v>
      </c>
      <c r="Q1">
        <v>17</v>
      </c>
      <c r="R1" s="503">
        <v>18</v>
      </c>
      <c r="S1">
        <v>19</v>
      </c>
      <c r="T1" s="503">
        <v>20</v>
      </c>
      <c r="U1">
        <v>21</v>
      </c>
      <c r="V1" s="503">
        <v>22</v>
      </c>
      <c r="W1">
        <v>23</v>
      </c>
      <c r="X1" s="503">
        <v>24</v>
      </c>
      <c r="Y1" s="503">
        <v>25</v>
      </c>
      <c r="Z1" s="503">
        <v>26</v>
      </c>
      <c r="AA1" s="503">
        <v>27</v>
      </c>
      <c r="AB1" s="503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 s="22" t="s">
        <v>11</v>
      </c>
      <c r="AR1" s="2"/>
      <c r="AS1" s="2"/>
    </row>
    <row r="2" spans="1:45" ht="18.75" customHeight="1">
      <c r="F2" s="1"/>
      <c r="G2" s="1"/>
      <c r="H2" s="2"/>
      <c r="I2" s="2"/>
      <c r="J2" s="2"/>
      <c r="K2" s="2"/>
      <c r="L2" s="2"/>
      <c r="M2" s="2"/>
      <c r="N2" s="2"/>
      <c r="O2" s="452"/>
      <c r="P2" s="452"/>
      <c r="Q2" s="452"/>
      <c r="R2" s="457" t="s">
        <v>574</v>
      </c>
      <c r="S2" s="457"/>
      <c r="T2" s="457" t="s">
        <v>575</v>
      </c>
      <c r="U2" s="457"/>
      <c r="V2" s="452"/>
      <c r="W2" s="452"/>
      <c r="X2" s="452"/>
      <c r="Y2" s="452"/>
      <c r="Z2" s="452"/>
      <c r="AA2" s="452"/>
      <c r="AB2" s="452"/>
      <c r="AC2" s="452"/>
      <c r="AD2" s="452"/>
      <c r="AE2" s="367"/>
      <c r="AF2" s="367"/>
      <c r="AG2" s="2"/>
      <c r="AH2" s="2"/>
      <c r="AI2" s="2"/>
      <c r="AJ2" s="2"/>
      <c r="AK2" s="2"/>
      <c r="AL2" s="2"/>
      <c r="AM2" s="2"/>
      <c r="AN2" s="2"/>
      <c r="AO2" s="2"/>
      <c r="AP2" s="2"/>
      <c r="AQ2" s="22"/>
      <c r="AR2" s="2"/>
      <c r="AS2" s="2"/>
    </row>
    <row r="3" spans="1:45" ht="15" customHeight="1">
      <c r="D3" s="921" t="s">
        <v>19</v>
      </c>
      <c r="E3" s="466">
        <v>1.9339999999999999</v>
      </c>
      <c r="F3" s="1"/>
      <c r="G3" s="1"/>
      <c r="H3" s="2"/>
      <c r="I3" s="2"/>
      <c r="J3" s="2"/>
      <c r="K3" s="2"/>
      <c r="L3" s="2"/>
      <c r="M3" s="2"/>
      <c r="N3" s="2"/>
      <c r="O3" s="455">
        <v>0.52959999999999996</v>
      </c>
      <c r="P3" s="459">
        <f>+O3</f>
        <v>0.52959999999999996</v>
      </c>
      <c r="Q3" s="459"/>
      <c r="R3" s="455">
        <v>0.58430000000000004</v>
      </c>
      <c r="S3" s="455"/>
      <c r="T3" s="455">
        <v>0.91810000000000003</v>
      </c>
      <c r="U3" s="462"/>
      <c r="V3" s="455">
        <v>0.91930000000000001</v>
      </c>
      <c r="W3" s="462"/>
      <c r="X3" s="459">
        <f>+V3</f>
        <v>0.91930000000000001</v>
      </c>
      <c r="Y3" s="455">
        <v>1</v>
      </c>
      <c r="Z3" s="455">
        <v>1</v>
      </c>
      <c r="AA3" s="452"/>
      <c r="AB3" s="452"/>
      <c r="AC3" s="452"/>
      <c r="AD3" s="452"/>
      <c r="AE3" s="367"/>
      <c r="AF3" s="367"/>
      <c r="AG3" s="2"/>
      <c r="AH3" s="2"/>
      <c r="AI3" s="2"/>
      <c r="AJ3" s="2"/>
      <c r="AK3" s="2"/>
      <c r="AL3" s="2"/>
      <c r="AM3" s="1"/>
      <c r="AN3" s="2"/>
      <c r="AO3" s="2"/>
      <c r="AP3" s="2"/>
      <c r="AQ3" s="22"/>
      <c r="AR3" s="2"/>
      <c r="AS3" s="2"/>
    </row>
    <row r="4" spans="1:45" ht="15" customHeight="1" thickBot="1">
      <c r="D4" s="922"/>
      <c r="E4" s="466">
        <v>1.766</v>
      </c>
      <c r="F4" s="453"/>
      <c r="G4" s="453"/>
      <c r="H4" s="454"/>
      <c r="I4" s="454"/>
      <c r="J4" s="454"/>
      <c r="K4" s="454"/>
      <c r="L4" s="454"/>
      <c r="M4" s="2"/>
      <c r="N4" s="2"/>
      <c r="O4" s="456">
        <v>0.47039999999999998</v>
      </c>
      <c r="P4" s="460">
        <f>+O4</f>
        <v>0.47039999999999998</v>
      </c>
      <c r="Q4" s="460"/>
      <c r="R4" s="456">
        <v>0.41570000000000001</v>
      </c>
      <c r="S4" s="456"/>
      <c r="T4" s="456">
        <v>8.1900000000000001E-2</v>
      </c>
      <c r="U4" s="463"/>
      <c r="V4" s="456">
        <v>8.0699999999999994E-2</v>
      </c>
      <c r="W4" s="463"/>
      <c r="X4" s="460">
        <f>+V4</f>
        <v>8.0699999999999994E-2</v>
      </c>
      <c r="Y4" s="456">
        <v>0</v>
      </c>
      <c r="Z4" s="456">
        <v>0</v>
      </c>
      <c r="AA4" s="452"/>
      <c r="AB4" s="452"/>
      <c r="AC4" s="2"/>
      <c r="AD4" s="2"/>
      <c r="AE4" s="2"/>
      <c r="AF4" s="923" t="s">
        <v>311</v>
      </c>
      <c r="AG4" s="923"/>
      <c r="AH4" s="115"/>
      <c r="AI4" s="115"/>
      <c r="AJ4" s="923" t="s">
        <v>580</v>
      </c>
      <c r="AK4" s="923"/>
      <c r="AL4" s="923" t="s">
        <v>583</v>
      </c>
      <c r="AM4" s="923"/>
      <c r="AN4" s="2"/>
      <c r="AO4" s="2"/>
      <c r="AP4" s="2"/>
      <c r="AQ4" s="5"/>
      <c r="AR4" s="2"/>
      <c r="AS4" s="2"/>
    </row>
    <row r="5" spans="1:45" ht="42.75" customHeight="1" thickBot="1">
      <c r="A5" s="886" t="s">
        <v>7</v>
      </c>
      <c r="B5" s="886" t="s">
        <v>2</v>
      </c>
      <c r="C5" s="368"/>
      <c r="D5" s="882" t="s">
        <v>22</v>
      </c>
      <c r="E5" s="882" t="s">
        <v>23</v>
      </c>
      <c r="F5" s="882" t="s">
        <v>3</v>
      </c>
      <c r="G5" s="905" t="s">
        <v>0</v>
      </c>
      <c r="H5" s="919"/>
      <c r="I5" s="919"/>
      <c r="J5" s="920"/>
      <c r="K5" s="901" t="s">
        <v>1</v>
      </c>
      <c r="L5" s="901"/>
      <c r="M5" s="886" t="s">
        <v>10</v>
      </c>
      <c r="N5" s="905" t="s">
        <v>5</v>
      </c>
      <c r="O5" s="919"/>
      <c r="P5" s="920"/>
      <c r="Q5" s="902" t="s">
        <v>4</v>
      </c>
      <c r="R5" s="903"/>
      <c r="S5" s="903"/>
      <c r="T5" s="904"/>
      <c r="U5" s="902" t="s">
        <v>6</v>
      </c>
      <c r="V5" s="903"/>
      <c r="W5" s="903"/>
      <c r="X5" s="904"/>
      <c r="Y5" s="390" t="s">
        <v>689</v>
      </c>
      <c r="Z5" s="662" t="s">
        <v>690</v>
      </c>
      <c r="AA5" s="905" t="s">
        <v>686</v>
      </c>
      <c r="AB5" s="886" t="s">
        <v>9</v>
      </c>
      <c r="AC5" s="907" t="s">
        <v>312</v>
      </c>
      <c r="AD5" s="914" t="s">
        <v>649</v>
      </c>
      <c r="AE5" s="897" t="s">
        <v>20</v>
      </c>
      <c r="AF5" s="897" t="s">
        <v>313</v>
      </c>
      <c r="AG5" s="899" t="s">
        <v>552</v>
      </c>
      <c r="AH5" s="895" t="s">
        <v>578</v>
      </c>
      <c r="AI5" s="897" t="s">
        <v>579</v>
      </c>
      <c r="AJ5" s="882" t="s">
        <v>581</v>
      </c>
      <c r="AK5" s="882" t="s">
        <v>582</v>
      </c>
      <c r="AL5" s="882" t="s">
        <v>581</v>
      </c>
      <c r="AM5" s="882" t="s">
        <v>582</v>
      </c>
      <c r="AN5" s="884" t="s">
        <v>553</v>
      </c>
      <c r="AO5" s="885"/>
      <c r="AP5" s="885"/>
      <c r="AQ5" s="21"/>
      <c r="AR5" s="2"/>
      <c r="AS5" s="2"/>
    </row>
    <row r="6" spans="1:45" ht="30.75" thickBot="1">
      <c r="A6" s="888"/>
      <c r="B6" s="888"/>
      <c r="C6" s="369"/>
      <c r="D6" s="883"/>
      <c r="E6" s="883"/>
      <c r="F6" s="883"/>
      <c r="G6" s="464" t="s">
        <v>576</v>
      </c>
      <c r="H6" s="17" t="s">
        <v>18</v>
      </c>
      <c r="I6" s="464" t="s">
        <v>577</v>
      </c>
      <c r="J6" s="17" t="s">
        <v>17</v>
      </c>
      <c r="K6" s="17" t="s">
        <v>18</v>
      </c>
      <c r="L6" s="17" t="s">
        <v>17</v>
      </c>
      <c r="M6" s="888"/>
      <c r="N6" s="464" t="s">
        <v>685</v>
      </c>
      <c r="O6" s="17" t="s">
        <v>18</v>
      </c>
      <c r="P6" s="17" t="s">
        <v>17</v>
      </c>
      <c r="Q6" s="464" t="s">
        <v>685</v>
      </c>
      <c r="R6" s="17" t="s">
        <v>18</v>
      </c>
      <c r="S6" s="464" t="s">
        <v>716</v>
      </c>
      <c r="T6" s="17" t="s">
        <v>17</v>
      </c>
      <c r="U6" s="464" t="s">
        <v>576</v>
      </c>
      <c r="V6" s="17" t="s">
        <v>18</v>
      </c>
      <c r="W6" s="464" t="s">
        <v>577</v>
      </c>
      <c r="X6" s="17" t="s">
        <v>17</v>
      </c>
      <c r="Y6" s="17" t="s">
        <v>18</v>
      </c>
      <c r="Z6" s="17" t="s">
        <v>17</v>
      </c>
      <c r="AA6" s="906"/>
      <c r="AB6" s="888"/>
      <c r="AC6" s="908"/>
      <c r="AD6" s="915"/>
      <c r="AE6" s="898"/>
      <c r="AF6" s="898"/>
      <c r="AG6" s="900"/>
      <c r="AH6" s="896"/>
      <c r="AI6" s="898"/>
      <c r="AJ6" s="883"/>
      <c r="AK6" s="883"/>
      <c r="AL6" s="883"/>
      <c r="AM6" s="883"/>
      <c r="AN6" s="1" t="s">
        <v>551</v>
      </c>
      <c r="AO6" s="9" t="s">
        <v>554</v>
      </c>
      <c r="AP6" s="1" t="s">
        <v>555</v>
      </c>
      <c r="AQ6" s="7"/>
      <c r="AR6" s="2"/>
      <c r="AS6" s="2"/>
    </row>
    <row r="7" spans="1:45">
      <c r="A7" s="916" t="s">
        <v>307</v>
      </c>
      <c r="B7" s="886" t="s">
        <v>309</v>
      </c>
      <c r="C7" s="371" t="str">
        <f>IF(AND(D7=AN7,D7=AO7,D7=AP7),"ok","ATENCIÓN NO ESTÁ TOMANDO BIEN LA LOCALIDAD")</f>
        <v>ok</v>
      </c>
      <c r="D7" s="23" t="s">
        <v>13</v>
      </c>
      <c r="E7" s="114">
        <f>VLOOKUP(D7,Pobl_adoptada!$C$5:$D$158,2,FALSE)</f>
        <v>33</v>
      </c>
      <c r="F7" s="8" t="s">
        <v>308</v>
      </c>
      <c r="G7" s="8"/>
      <c r="H7" s="33">
        <f>'[1]Inversion rec-TA'!$G$21</f>
        <v>21085222.749070093</v>
      </c>
      <c r="I7" s="33"/>
      <c r="J7" s="33">
        <f>'[1]Costos Operativos Rec-TA'!$G$23</f>
        <v>14932619.530986745</v>
      </c>
      <c r="K7" s="32">
        <f>'[1]Inversion rec-TA'!$G$46</f>
        <v>0</v>
      </c>
      <c r="L7" s="32">
        <f>+'[1]Costos Operativos Rec-TA'!$G$46</f>
        <v>0</v>
      </c>
      <c r="M7" s="18">
        <f>-H7/(1+0.12)+PV(12%,20,J7)-H7/(1+0.12)^10</f>
        <v>-137153328.90323374</v>
      </c>
      <c r="N7" s="19"/>
      <c r="O7" s="25">
        <f>IF(((VLOOKUP($E7,Tabla13[],Inputs_costos!$I$1,FALSE))*(O$3*$E$3+O$4*$E$4)-AG7)&lt;0,0,VLOOKUP($E7,Tabla13[],Inputs_costos!$I$1,FALSE)*(O$3*$E$3+O$4*$E$4)-AG7)</f>
        <v>1091713.3763800003</v>
      </c>
      <c r="P7" s="25">
        <f>(VLOOKUP($E7,Tabla13[],Inputs_costos!$J$1,FALSE))*(P$3*$E$3+P$4*$E$4)</f>
        <v>1216676.65952</v>
      </c>
      <c r="Q7" s="25"/>
      <c r="R7" s="25">
        <f>IF($AC7&gt;=15,(VLOOKUP($E7,Tabla13[],Inputs_costos!$G$1,FALSE))*($R$3*$E$3+$R$4*$E$4),(VLOOKUP($E7,Tabla13[],Inputs_costos!$G$1,FALSE))*($T$3*$E$3+$T$4*$E$4))-AH7</f>
        <v>59155813.223999999</v>
      </c>
      <c r="S7" s="25">
        <f>IF(AC7&lt;15,0,IF(AC7&lt;=350,815000,1345000))</f>
        <v>1345000</v>
      </c>
      <c r="T7" s="25">
        <f>IF($AC7&gt;=15,(VLOOKUP($E7,Tabla13[],Inputs_costos!$H$1,FALSE))*($R$3*$E$3+$R$4*$E$4),(VLOOKUP($E7,Tabla13[],Inputs_costos!$H$1,FALSE))*($T$3*$E$3+$T$4*$E$4))</f>
        <v>1855233.062104</v>
      </c>
      <c r="U7" s="465">
        <f>SUMIFS(Tabla24[Costo de Cierre Técnico de BCA (US$)],Tabla24[Localidad],Resumen!$D7)</f>
        <v>0</v>
      </c>
      <c r="V7" s="461">
        <f>+U7*(V$3*$E$3+V$4*$E$4)</f>
        <v>0</v>
      </c>
      <c r="W7" s="465">
        <f>SUMIFS(Tabla24[Costo anual de Manteniemiento Post-cierre (US$)],Tabla24[Localidad],Resumen!$D7)</f>
        <v>0</v>
      </c>
      <c r="X7" s="461">
        <f>+W7*(X$3*$E$3+X$4*$E$4)</f>
        <v>0</v>
      </c>
      <c r="Y7" s="27">
        <f>VLOOKUP($D7,'Costo Social x localidad'!$B$2:$M$156,12,FALSE)*(Y$3*$E$3+Y$4*$E$4)</f>
        <v>270712.31529599993</v>
      </c>
      <c r="Z7" s="27">
        <f>VLOOKUP(D7,'Estimación  PRESUPUESTO PCAS'!$B$4:$G$158,'Estimación  PRESUPUESTO PCAS'!$G$2,FALSE)</f>
        <v>1352663.6402417512</v>
      </c>
      <c r="AA7" s="648">
        <f>(-O7-R7)/(1+0.12)+PV(12%,20,P7)+PV(12%,20,T7)-(O7*0.5)/(1+0.12)^10-S7/(1+0.12)^10</f>
        <v>-77346696.19714506</v>
      </c>
      <c r="AB7" s="649">
        <f>M7+AA7</f>
        <v>-214500025.10037881</v>
      </c>
      <c r="AC7" s="10">
        <f>VLOOKUP($E7,Resumen_Generación!$B$5:$F$158,Resumen_Generación!$D$3,FALSE)</f>
        <v>403.36101803999998</v>
      </c>
      <c r="AD7" s="10">
        <f>VLOOKUP($E7,Resumen_Generación!$B$5:$G$158,Resumen_Generación!$G$3,FALSE)</f>
        <v>165.76436932499999</v>
      </c>
      <c r="AE7" s="362">
        <f>VLOOKUP($E7,Resumen_Generación!$B$5:$F$158,Resumen_Generación!$E$3,FALSE)</f>
        <v>380122</v>
      </c>
      <c r="AF7" s="10">
        <f>VLOOKUP($E7,Resumen_Generación!$B$5:$F$158,Resumen_Generación!$F$3,FALSE)</f>
        <v>186.0282795</v>
      </c>
      <c r="AG7" s="448">
        <f>VLOOKUP($D7,Valoración_Equip_actual!$D$4:$I$157,Valoración_Equip_actual!$E$2,FALSE)*$E$4</f>
        <v>2722852.6895399997</v>
      </c>
      <c r="AH7" s="448">
        <f>VLOOKUP($D7,Valoración_Equip_actual!$D$4:$I$157,Valoración_Equip_actual!$F$2,FALSE)*$E$4</f>
        <v>516025.2</v>
      </c>
      <c r="AI7" s="448">
        <f>[1]P_Datos!$D$43</f>
        <v>2.0515672131147542</v>
      </c>
      <c r="AN7" s="449" t="str">
        <f>[1]Datos!$C$2</f>
        <v>Bahía Blanca</v>
      </c>
      <c r="AO7" s="450" t="str">
        <f>VLOOKUP($E7,Tabla13[],Inputs_costos!$D$1,FALSE)</f>
        <v>BAHÍA BLANCA</v>
      </c>
      <c r="AP7" s="451" t="str">
        <f>VLOOKUP($D7,'Costo Social x localidad'!$B$2:$M$156,1,FALSE)</f>
        <v>BAHÍA BLANCA</v>
      </c>
      <c r="AQ7" s="5"/>
      <c r="AR7" s="2"/>
      <c r="AS7" s="2"/>
    </row>
    <row r="8" spans="1:45">
      <c r="A8" s="917"/>
      <c r="B8" s="887"/>
      <c r="C8" s="467" t="str">
        <f>IF(AND(D8=AN8,D8=AO8,D8=AP8),"ok","ATENCIÓN NO ESTÁ TOMANDO BIEN LA LOCALIDAD")</f>
        <v>ok</v>
      </c>
      <c r="D8" s="24" t="s">
        <v>14</v>
      </c>
      <c r="E8" s="115">
        <f>VLOOKUP(D8,Pobl_adoptada!$C$5:$D$158,2,FALSE)</f>
        <v>134</v>
      </c>
      <c r="F8" s="9" t="s">
        <v>308</v>
      </c>
      <c r="G8" s="9"/>
      <c r="H8" s="34">
        <f>'[2]Inversion rec-TA'!$G$21</f>
        <v>2124373.5982136764</v>
      </c>
      <c r="I8" s="34"/>
      <c r="J8" s="34">
        <f>'[2]Costos Operativos Rec-TA'!$G$23</f>
        <v>731030.58529548766</v>
      </c>
      <c r="K8" s="25">
        <f>'[2]Inversion rec-TA'!$G$46</f>
        <v>0</v>
      </c>
      <c r="L8" s="25">
        <f>+'[2]Costos Operativos Rec-TA'!$G$46</f>
        <v>0</v>
      </c>
      <c r="M8" s="19">
        <f t="shared" ref="M8:M10" si="0">-H8/(1+0.12)+PV(12%,20,J8)-H8/(1+0.12)^10</f>
        <v>-8041145.328930743</v>
      </c>
      <c r="N8" s="19"/>
      <c r="O8" s="25">
        <f>IF(((VLOOKUP($E8,Tabla13[],Inputs_costos!$I$1,FALSE))*(O$3*$E$3+O$4*$E$4)-AG8)&lt;0,0,VLOOKUP($E8,Tabla13[],Inputs_costos!$I$1,FALSE)*(O$3*$E$3+O$4*$E$4)-AG8)</f>
        <v>359159.83353599999</v>
      </c>
      <c r="P8" s="25">
        <f>(VLOOKUP($E8,Tabla13[],Inputs_costos!$J$1,FALSE))*(P$3*$E$3+P$4*$E$4)</f>
        <v>26127.3549570752</v>
      </c>
      <c r="Q8" s="25"/>
      <c r="R8" s="25">
        <f>IF($AC8&gt;=15,(VLOOKUP($E8,Tabla13[],Inputs_costos!$G$1,FALSE))*($R$3*$E$3+$R$4*$E$4),(VLOOKUP($E8,Tabla13[],Inputs_costos!$G$1,FALSE))*($T$3*$E$3+$T$4*$E$4))-AH8</f>
        <v>529218.36447999999</v>
      </c>
      <c r="S8" s="25">
        <f t="shared" ref="S8:S10" si="1">IF(AC8&lt;15,0,IF(AC8&lt;=350,815000,1345000))</f>
        <v>0</v>
      </c>
      <c r="T8" s="25">
        <f>IF($AC8&gt;=15,(VLOOKUP($E8,Tabla13[],Inputs_costos!$H$1,FALSE))*($R$3*$E$3+$R$4*$E$4),(VLOOKUP($E8,Tabla13[],Inputs_costos!$H$1,FALSE))*($T$3*$E$3+$T$4*$E$4))</f>
        <v>64232.054759999999</v>
      </c>
      <c r="U8" s="465">
        <f>SUMIFS(Tabla24[Costo de Cierre Técnico de BCA (US$)],Tabla24[Localidad],Resumen!$D8)</f>
        <v>0</v>
      </c>
      <c r="V8" s="461">
        <f t="shared" ref="V8:X10" si="2">+U8*(V$3*$E$3+V$4*$E$4)</f>
        <v>0</v>
      </c>
      <c r="W8" s="465">
        <f>SUMIFS(Tabla24[Costo anual de Manteniemiento Post-cierre (US$)],Tabla24[Localidad],Resumen!$D8)</f>
        <v>0</v>
      </c>
      <c r="X8" s="461">
        <f t="shared" si="2"/>
        <v>0</v>
      </c>
      <c r="Y8" s="28">
        <f>VLOOKUP($D8,'Costo Social x localidad'!$B$2:$M$156,12,FALSE)*(Y$3*$E$3+Y$4*$E$4)</f>
        <v>8292.5319658666649</v>
      </c>
      <c r="Z8" s="28">
        <f>VLOOKUP(D8,'Estimación  PRESUPUESTO PCAS'!$B$4:$G$158,'Estimación  PRESUPUESTO PCAS'!$G$2,FALSE)</f>
        <v>162799.91796229675</v>
      </c>
      <c r="AA8" s="650">
        <f>(-O8-R8)/(1+0.12)+PV(12%,20,P8)+PV(12%,20,T8)-(O8*0.5)/(1+0.12)^10-S8/(1+0.12)^10</f>
        <v>-1525949.2634948359</v>
      </c>
      <c r="AB8" s="651">
        <f>M8+AA8</f>
        <v>-9567094.5924255792</v>
      </c>
      <c r="AC8" s="10">
        <f>VLOOKUP($E8,Resumen_Generación!$B$5:$F$158,Resumen_Generación!$D$3,FALSE)</f>
        <v>4.2201853600000003</v>
      </c>
      <c r="AD8" s="10">
        <f>VLOOKUP($E8,Resumen_Generación!$B$5:$G$158,Resumen_Generación!$G$3,FALSE)</f>
        <v>1.7113057999999999</v>
      </c>
      <c r="AE8" s="362">
        <f>VLOOKUP($E8,Resumen_Generación!$B$5:$F$158,Resumen_Generación!$E$3,FALSE)</f>
        <v>6075</v>
      </c>
      <c r="AF8" s="10">
        <f>VLOOKUP($E8,Resumen_Generación!$B$5:$F$158,Resumen_Generación!$F$3,FALSE)</f>
        <v>1.951964</v>
      </c>
      <c r="AG8" s="448">
        <f>VLOOKUP($D8,Valoración_Equip_actual!$D$4:$I$157,Valoración_Equip_actual!$E$2,FALSE)*$E$4</f>
        <v>0</v>
      </c>
      <c r="AH8" s="448">
        <f>VLOOKUP($D8,Valoración_Equip_actual!$D$4:$I$157,Valoración_Equip_actual!$F$2,FALSE)*$E$4</f>
        <v>0</v>
      </c>
      <c r="AI8" s="448">
        <f>[2]P_Datos!$D$43</f>
        <v>0.15796721311475409</v>
      </c>
      <c r="AN8" s="34" t="str">
        <f>[2]Datos!$C$2</f>
        <v>Médanos</v>
      </c>
      <c r="AO8" s="25" t="str">
        <f>VLOOKUP($E8,Tabla13[],Inputs_costos!$D$1,FALSE)</f>
        <v>MÉDANOS</v>
      </c>
      <c r="AP8" s="28" t="str">
        <f>VLOOKUP($D8,'Costo Social x localidad'!$B$2:$M$156,1,FALSE)</f>
        <v>MÉDANOS</v>
      </c>
      <c r="AQ8" s="5"/>
      <c r="AR8" s="2"/>
      <c r="AS8" s="2"/>
    </row>
    <row r="9" spans="1:45">
      <c r="A9" s="917"/>
      <c r="B9" s="887"/>
      <c r="C9" s="467" t="str">
        <f>IF(AND(D9=AN9,D9=AO9,D9=AP9),"ok","ATENCIÓN NO ESTÁ TOMANDO BIEN LA LOCALIDAD")</f>
        <v>ok</v>
      </c>
      <c r="D9" s="24" t="s">
        <v>15</v>
      </c>
      <c r="E9" s="115">
        <f>VLOOKUP(D9,Pobl_adoptada!$C$5:$D$158,2,FALSE)</f>
        <v>52</v>
      </c>
      <c r="F9" s="9" t="s">
        <v>308</v>
      </c>
      <c r="G9" s="9"/>
      <c r="H9" s="34">
        <f>'[3]Inversion rec-TA'!$G$21</f>
        <v>4261533.3559366791</v>
      </c>
      <c r="I9" s="34"/>
      <c r="J9" s="34">
        <f>'[3]Costos Operativos Rec-TA'!$G$23</f>
        <v>2317902.0533860647</v>
      </c>
      <c r="K9" s="25">
        <f>'[3]Inversion rec-TA'!$G$46</f>
        <v>0</v>
      </c>
      <c r="L9" s="25">
        <f>+'[3]Costos Operativos Rec-TA'!$G$46</f>
        <v>0</v>
      </c>
      <c r="M9" s="19">
        <f t="shared" si="0"/>
        <v>-22490478.898302563</v>
      </c>
      <c r="N9" s="19"/>
      <c r="O9" s="25">
        <f>IF(((VLOOKUP($E9,Tabla13[],Inputs_costos!$I$1,FALSE))*(O$3*$E$3+O$4*$E$4)-AG9)&lt;0,0,VLOOKUP($E9,Tabla13[],Inputs_costos!$I$1,FALSE)*(O$3*$E$3+O$4*$E$4)-AG9)</f>
        <v>1845326.9414400002</v>
      </c>
      <c r="P9" s="25">
        <f>(VLOOKUP($E9,Tabla13[],Inputs_costos!$J$1,FALSE))*(P$3*$E$3+P$4*$E$4)</f>
        <v>902388.61801600002</v>
      </c>
      <c r="Q9" s="25"/>
      <c r="R9" s="25">
        <f>IF($AC9&gt;=15,(VLOOKUP($E9,Tabla13[],Inputs_costos!$G$1,FALSE))*($R$3*$E$3+$R$4*$E$4),(VLOOKUP($E9,Tabla13[],Inputs_costos!$G$1,FALSE))*($T$3*$E$3+$T$4*$E$4))-AH9</f>
        <v>12208399.557600001</v>
      </c>
      <c r="S9" s="25">
        <f t="shared" si="1"/>
        <v>815000</v>
      </c>
      <c r="T9" s="25">
        <f>IF($AC9&gt;=15,(VLOOKUP($E9,Tabla13[],Inputs_costos!$H$1,FALSE))*($R$3*$E$3+$R$4*$E$4),(VLOOKUP($E9,Tabla13[],Inputs_costos!$H$1,FALSE))*($T$3*$E$3+$T$4*$E$4))</f>
        <v>1409679.6068800001</v>
      </c>
      <c r="U9" s="465">
        <f>SUMIFS(Tabla24[Costo de Cierre Técnico de BCA (US$)],Tabla24[Localidad],Resumen!$D9)</f>
        <v>2862000</v>
      </c>
      <c r="V9" s="461">
        <f t="shared" si="2"/>
        <v>5496306.1487999996</v>
      </c>
      <c r="W9" s="465">
        <f>SUMIFS(Tabla24[Costo anual de Manteniemiento Post-cierre (US$)],Tabla24[Localidad],Resumen!$D9)</f>
        <v>254104.99295240158</v>
      </c>
      <c r="X9" s="461">
        <f t="shared" si="2"/>
        <v>487994.00251749315</v>
      </c>
      <c r="Y9" s="28">
        <f>VLOOKUP($D9,'Costo Social x localidad'!$B$2:$M$156,12,FALSE)*(Y$3*$E$3+Y$4*$E$4)</f>
        <v>117465.03548615998</v>
      </c>
      <c r="Z9" s="28">
        <f>VLOOKUP(D9,'Estimación  PRESUPUESTO PCAS'!$B$4:$G$158,'Estimación  PRESUPUESTO PCAS'!$G$2,FALSE)</f>
        <v>430316.97504720849</v>
      </c>
      <c r="AA9" s="650">
        <f>(-O9-R9)/(1+0.12)+PV(12%,20,P9)+PV(12%,20,T9)-(O9*0.5)/(1+0.12)^10-S9/(1+0.12)^10</f>
        <v>-30377314.481661562</v>
      </c>
      <c r="AB9" s="651">
        <f>M9+AA9</f>
        <v>-52867793.379964128</v>
      </c>
      <c r="AC9" s="10">
        <f>VLOOKUP($E9,Resumen_Generación!$B$5:$F$158,Resumen_Generación!$D$3,FALSE)</f>
        <v>49.143891720000013</v>
      </c>
      <c r="AD9" s="10">
        <f>VLOOKUP($E9,Resumen_Generación!$B$5:$G$158,Resumen_Generación!$G$3,FALSE)</f>
        <v>19.913095349999999</v>
      </c>
      <c r="AE9" s="362">
        <f>VLOOKUP($E9,Resumen_Generación!$B$5:$F$158,Resumen_Generación!$E$3,FALSE)</f>
        <v>63798</v>
      </c>
      <c r="AF9" s="10">
        <f>VLOOKUP($E9,Resumen_Generación!$B$5:$F$158,Resumen_Generación!$F$3,FALSE)</f>
        <v>22.704843</v>
      </c>
      <c r="AG9" s="448">
        <f>VLOOKUP($D9,Valoración_Equip_actual!$D$4:$I$157,Valoración_Equip_actual!$E$2,FALSE)*$E$4</f>
        <v>0</v>
      </c>
      <c r="AH9" s="448">
        <f>VLOOKUP($D9,Valoración_Equip_actual!$D$4:$I$157,Valoración_Equip_actual!$F$2,FALSE)*$E$4</f>
        <v>0</v>
      </c>
      <c r="AI9" s="448">
        <f>[3]P_Datos!$D$43</f>
        <v>1.4897704918032786</v>
      </c>
      <c r="AN9" s="34" t="str">
        <f>[3]Datos!$C$2</f>
        <v>Punta Alta</v>
      </c>
      <c r="AO9" s="25" t="str">
        <f>VLOOKUP($E9,Tabla13[],Inputs_costos!$D$1,FALSE)</f>
        <v>PUNTA ALTA</v>
      </c>
      <c r="AP9" s="28" t="str">
        <f>VLOOKUP($D9,'Costo Social x localidad'!$B$2:$M$156,1,FALSE)</f>
        <v>Punta Alta</v>
      </c>
      <c r="AQ9" s="5"/>
      <c r="AR9" s="2"/>
      <c r="AS9" s="2"/>
    </row>
    <row r="10" spans="1:45" ht="15.75" thickBot="1">
      <c r="A10" s="917"/>
      <c r="B10" s="887"/>
      <c r="C10" s="467" t="str">
        <f>IF(AND(D10=AN10,D10=AO10,D10=AP10),"ok","ATENCIÓN NO ESTÁ TOMANDO BIEN LA LOCALIDAD")</f>
        <v>ok</v>
      </c>
      <c r="D10" s="36" t="s">
        <v>16</v>
      </c>
      <c r="E10" s="116">
        <f>VLOOKUP(D10,Pobl_adoptada!$C$5:$D$158,2,FALSE)</f>
        <v>129</v>
      </c>
      <c r="F10" s="37" t="s">
        <v>308</v>
      </c>
      <c r="G10" s="37"/>
      <c r="H10" s="117">
        <f>'[4]Inversion rec-TA'!$G$21</f>
        <v>2244110.0967098256</v>
      </c>
      <c r="I10" s="117"/>
      <c r="J10" s="117">
        <f>'[4]Costos Operativos Rec-TA'!$G$23</f>
        <v>908748.53641931573</v>
      </c>
      <c r="K10" s="25">
        <f>'[4]Inversion rec-TA'!$G$46</f>
        <v>0</v>
      </c>
      <c r="L10" s="25">
        <f>+'[4]Costos Operativos Rec-TA'!$G$46</f>
        <v>0</v>
      </c>
      <c r="M10" s="19">
        <f t="shared" si="0"/>
        <v>-9514059.0817830171</v>
      </c>
      <c r="N10" s="19"/>
      <c r="O10" s="25">
        <f>IF(((VLOOKUP($E10,Tabla13[],Inputs_costos!$I$1,FALSE))*(O$3*$E$3+O$4*$E$4)-AG10)&lt;0,0,VLOOKUP($E10,Tabla13[],Inputs_costos!$I$1,FALSE)*(O$3*$E$3+O$4*$E$4)-AG10)</f>
        <v>359159.83353599999</v>
      </c>
      <c r="P10" s="25">
        <f>(VLOOKUP($E10,Tabla13[],Inputs_costos!$J$1,FALSE))*(P$3*$E$3+P$4*$E$4)</f>
        <v>26127.3549570752</v>
      </c>
      <c r="Q10" s="25"/>
      <c r="R10" s="25">
        <f>IF($AC10&gt;=15,(VLOOKUP($E10,Tabla13[],Inputs_costos!$G$1,FALSE))*($R$3*$E$3+$R$4*$E$4),(VLOOKUP($E10,Tabla13[],Inputs_costos!$G$1,FALSE))*($T$3*$E$3+$T$4*$E$4))-AH10</f>
        <v>614861.10415999999</v>
      </c>
      <c r="S10" s="25">
        <f t="shared" si="1"/>
        <v>0</v>
      </c>
      <c r="T10" s="25">
        <f>IF($AC10&gt;=15,(VLOOKUP($E10,Tabla13[],Inputs_costos!$H$1,FALSE))*($R$3*$E$3+$R$4*$E$4),(VLOOKUP($E10,Tabla13[],Inputs_costos!$H$1,FALSE))*($T$3*$E$3+$T$4*$E$4))</f>
        <v>82416.735136000003</v>
      </c>
      <c r="U10" s="465">
        <f>SUMIFS(Tabla24[Costo de Cierre Técnico de BCA (US$)],Tabla24[Localidad],Resumen!$D10)</f>
        <v>3392000</v>
      </c>
      <c r="V10" s="461">
        <f t="shared" si="2"/>
        <v>6514140.6207999997</v>
      </c>
      <c r="W10" s="465">
        <f>SUMIFS(Tabla24[Costo anual de Manteniemiento Post-cierre (US$)],Tabla24[Localidad],Resumen!$D10)</f>
        <v>301161.47312877222</v>
      </c>
      <c r="X10" s="461">
        <f t="shared" si="2"/>
        <v>578363.26224295481</v>
      </c>
      <c r="Y10" s="447">
        <f>VLOOKUP($D10,'Costo Social x localidad'!$B$2:$M$156,12,FALSE)*(Y$3*$E$3+Y$4*$E$4)</f>
        <v>24473.342218053331</v>
      </c>
      <c r="Z10" s="447">
        <f>VLOOKUP(D10,'Estimación  PRESUPUESTO PCAS'!$B$4:$G$158,'Estimación  PRESUPUESTO PCAS'!$G$2,FALSE)</f>
        <v>229995.11655205826</v>
      </c>
      <c r="AA10" s="652">
        <f>(-O10-R10)/(1+0.12)+PV(12%,20,P10)+PV(12%,20,T10)-(O10*0.5)/(1+0.12)^10-S10/(1+0.12)^10</f>
        <v>-1738245.4402469273</v>
      </c>
      <c r="AB10" s="651">
        <f>M10+AA10</f>
        <v>-11252304.522029944</v>
      </c>
      <c r="AC10" s="10">
        <f>VLOOKUP($E10,Resumen_Generación!$B$5:$F$158,Resumen_Generación!$D$3,FALSE)</f>
        <v>6.0623304320000013</v>
      </c>
      <c r="AD10" s="10">
        <f>VLOOKUP($E10,Resumen_Generación!$B$5:$G$158,Resumen_Generación!$G$3,FALSE)</f>
        <v>2.4947644600000003</v>
      </c>
      <c r="AE10" s="362">
        <f>VLOOKUP($E10,Resumen_Generación!$B$5:$F$158,Resumen_Generación!$E$3,FALSE)</f>
        <v>8759</v>
      </c>
      <c r="AF10" s="10">
        <f>VLOOKUP($E10,Resumen_Generación!$B$5:$F$158,Resumen_Generación!$F$3,FALSE)</f>
        <v>2.7959260000000001</v>
      </c>
      <c r="AG10" s="448">
        <f>VLOOKUP($D10,Valoración_Equip_actual!$D$4:$I$157,Valoración_Equip_actual!$E$2,FALSE)*$E$4</f>
        <v>0</v>
      </c>
      <c r="AH10" s="448">
        <f>VLOOKUP($D10,Valoración_Equip_actual!$D$4:$I$157,Valoración_Equip_actual!$F$2,FALSE)*$E$4</f>
        <v>0</v>
      </c>
      <c r="AI10" s="448">
        <f>[4]P_Datos!$D$43</f>
        <v>0.23593442622950822</v>
      </c>
      <c r="AN10" s="34" t="str">
        <f>[4]Datos!$C$2</f>
        <v>Tornquist</v>
      </c>
      <c r="AO10" s="25" t="str">
        <f>VLOOKUP($E10,Tabla13[],Inputs_costos!$D$1,FALSE)</f>
        <v>TORNQUIST</v>
      </c>
      <c r="AP10" s="28" t="str">
        <f>VLOOKUP($D10,'Costo Social x localidad'!$B$2:$M$156,1,FALSE)</f>
        <v>TORNQUIST</v>
      </c>
      <c r="AQ10" s="6"/>
      <c r="AR10" s="2"/>
      <c r="AS10" s="2"/>
    </row>
    <row r="11" spans="1:45" ht="29.25" customHeight="1" thickBot="1">
      <c r="A11" s="917"/>
      <c r="B11" s="888"/>
      <c r="C11" s="370"/>
      <c r="D11" s="12" t="s">
        <v>8</v>
      </c>
      <c r="E11" s="40"/>
      <c r="F11" s="13"/>
      <c r="G11" s="8"/>
      <c r="H11" s="32">
        <f>SUM(H7:H10)</f>
        <v>29715239.799930274</v>
      </c>
      <c r="I11" s="32"/>
      <c r="J11" s="32">
        <f>SUM(J7:J10)</f>
        <v>18890300.706087615</v>
      </c>
      <c r="K11" s="14"/>
      <c r="L11" s="14"/>
      <c r="M11" s="15">
        <f t="shared" ref="M11:AA11" si="3">SUM(M7:M10)</f>
        <v>-177199012.21225005</v>
      </c>
      <c r="N11" s="15"/>
      <c r="O11" s="16">
        <f t="shared" si="3"/>
        <v>3655359.9848920004</v>
      </c>
      <c r="P11" s="16">
        <f t="shared" si="3"/>
        <v>2171319.9874501503</v>
      </c>
      <c r="Q11" s="16"/>
      <c r="R11" s="26">
        <f t="shared" si="3"/>
        <v>72508292.250239998</v>
      </c>
      <c r="S11" s="26"/>
      <c r="T11" s="26">
        <f t="shared" si="3"/>
        <v>3411561.4588800003</v>
      </c>
      <c r="U11" s="26"/>
      <c r="V11" s="26">
        <f t="shared" si="3"/>
        <v>12010446.7696</v>
      </c>
      <c r="W11" s="26"/>
      <c r="X11" s="26">
        <f t="shared" si="3"/>
        <v>1066357.2647604479</v>
      </c>
      <c r="Y11" s="26">
        <f t="shared" si="3"/>
        <v>420943.22496607993</v>
      </c>
      <c r="Z11" s="26">
        <f t="shared" si="3"/>
        <v>2175775.6498033144</v>
      </c>
      <c r="AA11" s="653">
        <f t="shared" si="3"/>
        <v>-110988205.38254838</v>
      </c>
      <c r="AB11" s="654">
        <f>+M11+AA11</f>
        <v>-288187217.59479845</v>
      </c>
      <c r="AC11" s="630">
        <f t="shared" ref="AC11:AI11" si="4">SUM(AC7:AC10)</f>
        <v>462.787425552</v>
      </c>
      <c r="AD11" s="630">
        <f t="shared" si="4"/>
        <v>189.88353493499997</v>
      </c>
      <c r="AE11" s="631">
        <f t="shared" si="4"/>
        <v>458754</v>
      </c>
      <c r="AF11" s="630">
        <f t="shared" si="4"/>
        <v>213.48101250000002</v>
      </c>
      <c r="AG11" s="630">
        <f t="shared" si="4"/>
        <v>2722852.6895399997</v>
      </c>
      <c r="AH11" s="630">
        <f t="shared" si="4"/>
        <v>516025.2</v>
      </c>
      <c r="AI11" s="630">
        <f t="shared" si="4"/>
        <v>3.9352393442622953</v>
      </c>
      <c r="AJ11" s="4"/>
      <c r="AK11" s="4"/>
      <c r="AL11" s="4"/>
      <c r="AM11" s="4"/>
      <c r="AN11" s="4"/>
      <c r="AO11" s="4"/>
      <c r="AP11" s="4"/>
      <c r="AQ11" s="6"/>
      <c r="AR11" s="2"/>
      <c r="AS11" s="2"/>
    </row>
    <row r="12" spans="1:45">
      <c r="A12" s="917"/>
      <c r="B12" s="886" t="s">
        <v>310</v>
      </c>
      <c r="C12" s="470" t="str">
        <f>IF(AND(D12=AN12,D12=AO12,D12=AP12),"ok","ATENCIÓN NO ESTÁ TOMANDO BIEN LA LOCALIDAD")</f>
        <v>ok</v>
      </c>
      <c r="D12" s="23" t="s">
        <v>13</v>
      </c>
      <c r="E12" s="114">
        <f>VLOOKUP(D12,Pobl_adoptada!$C$5:$D$158,2,FALSE)</f>
        <v>33</v>
      </c>
      <c r="F12" s="8" t="s">
        <v>308</v>
      </c>
      <c r="G12" s="576">
        <f>+'[5]Inversion rec-TA'!$G$21</f>
        <v>20897047.983590201</v>
      </c>
      <c r="H12" s="577">
        <f>+($AC7/$AC11)*H16+G12</f>
        <v>23770357.3116135</v>
      </c>
      <c r="I12" s="578">
        <f>+'[5]Costos Operativos Rec-TA'!$G$23</f>
        <v>15423766.640077982</v>
      </c>
      <c r="J12" s="579">
        <f>+($AC7/$AC11)*J16+I12</f>
        <v>15481232.826638449</v>
      </c>
      <c r="K12" s="10">
        <f>+'[5]Inversion rec-TA'!$G$46</f>
        <v>0</v>
      </c>
      <c r="L12" s="10">
        <f>+'[5]Costos Operativos Rec-TA'!$G$46</f>
        <v>0</v>
      </c>
      <c r="M12" s="18">
        <f>-H12/(1+0.12)+PV(12%,20,J12)-H12/(1+0.12)^10</f>
        <v>-144513148.02614379</v>
      </c>
      <c r="N12" s="614">
        <f>+$AD7/$AD11*N17</f>
        <v>3618929.1941619883</v>
      </c>
      <c r="O12" s="32">
        <f>IF(N12-AG12&lt;0,0,N12-AG12)</f>
        <v>896076.50462198863</v>
      </c>
      <c r="P12" s="32">
        <f>+$AD7/$AD11*P17</f>
        <v>1077857.2851826388</v>
      </c>
      <c r="Q12" s="614">
        <f>+$AC7/$AC11*Q17</f>
        <v>58648268.704816148</v>
      </c>
      <c r="R12" s="646">
        <f>IF(Q12-AH12&lt;0,0,Q12-AH12)</f>
        <v>58132243.504816145</v>
      </c>
      <c r="S12" s="25">
        <f>+S7</f>
        <v>1345000</v>
      </c>
      <c r="T12" s="32">
        <f>+$AC7/$AC11*T17</f>
        <v>1651464.7960147725</v>
      </c>
      <c r="U12" s="27"/>
      <c r="V12" s="461">
        <f>+V7</f>
        <v>0</v>
      </c>
      <c r="W12" s="27"/>
      <c r="X12" s="461">
        <f>+X7</f>
        <v>0</v>
      </c>
      <c r="Y12" s="27">
        <f>+Y7</f>
        <v>270712.31529599993</v>
      </c>
      <c r="Z12" s="27">
        <f>+Z7</f>
        <v>1352663.6402417512</v>
      </c>
      <c r="AA12" s="650">
        <f>(-O12-R12)/(1+0.12)+PV(12%,20,P12)+PV(12%,20,T12)-(O12*0.5)/(1+0.12)^10-S12/(1+0.12)^10</f>
        <v>-73667684.898848087</v>
      </c>
      <c r="AB12" s="649">
        <f>M12+AA12</f>
        <v>-218180832.92499188</v>
      </c>
      <c r="AG12" s="448">
        <f>VLOOKUP($D12,Valoración_Eq_REG!$D$4:$I$157,Valoración_Eq_REG!$E$2,FALSE)*$E$4</f>
        <v>2722852.6895399997</v>
      </c>
      <c r="AH12" s="448">
        <f>VLOOKUP($D12,Valoración_Eq_REG!$D$4:$I$157,Valoración_Eq_REG!$F$2,FALSE)*$E$4</f>
        <v>516025.2</v>
      </c>
      <c r="AJ12" s="484">
        <f>+'[5]Evaluacion Economica'!$L$25</f>
        <v>15</v>
      </c>
      <c r="AK12" s="448">
        <f>+'[5]Evaluacion Economica'!$R$25</f>
        <v>24</v>
      </c>
      <c r="AL12" s="484">
        <f>+'[5]P_Evaluacion Economica'!$L$27</f>
        <v>9</v>
      </c>
      <c r="AM12" s="448">
        <f>+'[5]P_Evaluacion Economica'!$Q$27</f>
        <v>6</v>
      </c>
      <c r="AN12" s="34" t="str">
        <f>+[5]Datos!$C$2</f>
        <v>Bahía Blanca</v>
      </c>
      <c r="AO12" s="25" t="str">
        <f>VLOOKUP($E12,Tabla13[],Inputs_costos!$D$1,FALSE)</f>
        <v>BAHÍA BLANCA</v>
      </c>
      <c r="AP12" s="28" t="str">
        <f>VLOOKUP($D12,'Costo Social x localidad'!$B$2:$M$156,1,FALSE)</f>
        <v>BAHÍA BLANCA</v>
      </c>
      <c r="AQ12" s="5"/>
      <c r="AR12" s="2"/>
      <c r="AS12" s="2"/>
    </row>
    <row r="13" spans="1:45">
      <c r="A13" s="917"/>
      <c r="B13" s="887"/>
      <c r="C13" s="472" t="str">
        <f>IF(AND(D13=AN13,D13=AO13,D13=AP13),"ok","ATENCIÓN NO ESTÁ TOMANDO BIEN LA LOCALIDAD")</f>
        <v>ok</v>
      </c>
      <c r="D13" s="24" t="s">
        <v>14</v>
      </c>
      <c r="E13" s="115">
        <f>VLOOKUP(D13,Pobl_adoptada!$C$5:$D$158,2,FALSE)</f>
        <v>134</v>
      </c>
      <c r="F13" s="9" t="s">
        <v>308</v>
      </c>
      <c r="G13" s="580">
        <f>+'[6]Inversion rec-TA'!$G$21</f>
        <v>1681766.2694860536</v>
      </c>
      <c r="H13" s="34">
        <f>+($AC8/$AC11)*H16+G13</f>
        <v>1711828.4158476361</v>
      </c>
      <c r="I13" s="575">
        <f>+'[6]Costos Operativos Rec-TA'!$G$23</f>
        <v>771039.72700563725</v>
      </c>
      <c r="J13" s="581">
        <f>+($AC8/$AC11)*J16+I13</f>
        <v>771640.96993286884</v>
      </c>
      <c r="K13" s="10">
        <f>+'[6]Inversion rec-TA'!$G$46</f>
        <v>0</v>
      </c>
      <c r="L13" s="10">
        <f>+'[6]Costos Operativos Rec-TA'!$G$46</f>
        <v>0</v>
      </c>
      <c r="M13" s="19">
        <f>-H13/(1+0.12)+PV(12%,20,J13)-H13/(1+0.12)^10</f>
        <v>-7843309.8871088065</v>
      </c>
      <c r="N13" s="465">
        <f>+$AD8/$AD11*N17</f>
        <v>37360.830587280587</v>
      </c>
      <c r="O13" s="25">
        <f>IF(N13-AG13&lt;0,0,N13-AG13)</f>
        <v>37360.830587280587</v>
      </c>
      <c r="P13" s="25">
        <f>+$AD8/$AD11*P17</f>
        <v>11127.502437443993</v>
      </c>
      <c r="Q13" s="465">
        <f>+$AC8/$AC11*Q17</f>
        <v>613610.52235560073</v>
      </c>
      <c r="R13" s="647">
        <f>IF(Q13-AH13&lt;0,0,Q13-AH13)</f>
        <v>613610.52235560073</v>
      </c>
      <c r="S13" s="25">
        <f>+S8</f>
        <v>0</v>
      </c>
      <c r="T13" s="25">
        <f>+$AC8/$AC11*T17</f>
        <v>17278.535215333548</v>
      </c>
      <c r="U13" s="458"/>
      <c r="V13" s="461">
        <f t="shared" ref="V13:Y15" si="5">+V8</f>
        <v>0</v>
      </c>
      <c r="W13" s="28"/>
      <c r="X13" s="461">
        <f t="shared" si="5"/>
        <v>0</v>
      </c>
      <c r="Y13" s="28">
        <f t="shared" si="5"/>
        <v>8292.5319658666649</v>
      </c>
      <c r="Z13" s="28">
        <f t="shared" ref="Z13" si="6">+Z8</f>
        <v>162799.91796229675</v>
      </c>
      <c r="AA13" s="650">
        <f>(-O13-R13)/(1+0.12)+PV(12%,20,P13)+PV(12%,20,T13)-(O13*0.5)/(1+0.12)^10-S13/(1+0.12)^10</f>
        <v>-799416.31288133026</v>
      </c>
      <c r="AB13" s="651">
        <f>M13+AA13</f>
        <v>-8642726.1999901365</v>
      </c>
      <c r="AC13" s="10"/>
      <c r="AD13" s="10"/>
      <c r="AE13" s="10"/>
      <c r="AF13" s="10"/>
      <c r="AG13" s="448">
        <f>VLOOKUP($D13,Valoración_Eq_REG!$D$4:$I$157,Valoración_Eq_REG!$E$2,FALSE)*$E$4</f>
        <v>0</v>
      </c>
      <c r="AH13" s="448">
        <f>VLOOKUP($D13,Valoración_Eq_REG!$D$4:$I$157,Valoración_Eq_REG!$F$2,FALSE)*$E$4</f>
        <v>0</v>
      </c>
      <c r="AI13" s="11"/>
      <c r="AJ13" s="484">
        <f>+'[6]Evaluacion Economica'!$L$25</f>
        <v>2</v>
      </c>
      <c r="AK13" s="448">
        <f>+'[6]Evaluacion Economica'!$R$25</f>
        <v>24</v>
      </c>
      <c r="AL13" s="484">
        <f>+'[6]P_Evaluacion Economica'!$L$27</f>
        <v>2</v>
      </c>
      <c r="AM13" s="448">
        <f>+'[6]P_Evaluacion Economica'!$Q$27</f>
        <v>6</v>
      </c>
      <c r="AN13" s="34" t="str">
        <f>+[6]Datos!$C$2</f>
        <v>Médanos</v>
      </c>
      <c r="AO13" s="25" t="str">
        <f>VLOOKUP($E13,Tabla13[],Inputs_costos!$D$1,FALSE)</f>
        <v>MÉDANOS</v>
      </c>
      <c r="AP13" s="28" t="str">
        <f>VLOOKUP($D13,'Costo Social x localidad'!$B$2:$M$156,1,FALSE)</f>
        <v>MÉDANOS</v>
      </c>
      <c r="AQ13" s="5"/>
      <c r="AR13" s="2"/>
      <c r="AS13" s="2"/>
    </row>
    <row r="14" spans="1:45">
      <c r="A14" s="917"/>
      <c r="B14" s="887"/>
      <c r="C14" s="472" t="str">
        <f>IF(AND(D14=AN14,D14=AO14,D14=AP14),"ok","ATENCIÓN NO ESTÁ TOMANDO BIEN LA LOCALIDAD")</f>
        <v>ok</v>
      </c>
      <c r="D14" s="24" t="s">
        <v>15</v>
      </c>
      <c r="E14" s="115">
        <f>VLOOKUP(D14,Pobl_adoptada!$C$5:$D$158,2,FALSE)</f>
        <v>52</v>
      </c>
      <c r="F14" s="9" t="s">
        <v>308</v>
      </c>
      <c r="G14" s="580">
        <f>+'[7]Inversion rec-TA'!$G$21</f>
        <v>3838865.0825232388</v>
      </c>
      <c r="H14" s="34">
        <f>+($AC9/$AC11)*H16+G14</f>
        <v>4188937.5887376098</v>
      </c>
      <c r="I14" s="575">
        <f>+'[7]Costos Operativos Rec-TA'!$G$23</f>
        <v>2333853.265156995</v>
      </c>
      <c r="J14" s="581">
        <f>+($AC9/$AC11)*J16+I14</f>
        <v>2340854.7152812826</v>
      </c>
      <c r="K14" s="10">
        <f>+'[7]Inversion rec-TA'!$G$46</f>
        <v>0</v>
      </c>
      <c r="L14" s="10">
        <f>+'[7]Costos Operativos Rec-TA'!$G$46</f>
        <v>0</v>
      </c>
      <c r="M14" s="19">
        <f>-H14/(1+0.12)+PV(12%,20,J14)-H14/(1+0.12)^10</f>
        <v>-22573730.968944393</v>
      </c>
      <c r="N14" s="465">
        <f>+$AD9/$AD11*N17</f>
        <v>434738.0706824665</v>
      </c>
      <c r="O14" s="25">
        <f>IF(N14-AG14&lt;0,0,N14-AG14)</f>
        <v>434738.0706824665</v>
      </c>
      <c r="P14" s="25">
        <f>+$AD9/$AD11*P17</f>
        <v>129481.83606003068</v>
      </c>
      <c r="Q14" s="465">
        <f>+$AC9/$AC11*Q17</f>
        <v>7145470.2806931417</v>
      </c>
      <c r="R14" s="647">
        <f>IF(Q14-AH14&lt;0,0,Q14-AH14)</f>
        <v>7145470.2806931417</v>
      </c>
      <c r="S14" s="25">
        <f>+S9</f>
        <v>815000</v>
      </c>
      <c r="T14" s="25">
        <f>+$AC9/$AC11*T17</f>
        <v>201207.85967149059</v>
      </c>
      <c r="V14" s="461">
        <f t="shared" si="5"/>
        <v>5496306.1487999996</v>
      </c>
      <c r="W14" s="25"/>
      <c r="X14" s="461">
        <f t="shared" si="5"/>
        <v>487994.00251749315</v>
      </c>
      <c r="Y14" s="28">
        <f t="shared" si="5"/>
        <v>117465.03548615998</v>
      </c>
      <c r="Z14" s="28">
        <f t="shared" ref="Z14" si="7">+Z9</f>
        <v>430316.97504720849</v>
      </c>
      <c r="AA14" s="650">
        <f>(-O14-R14)/(1+0.12)+PV(12%,20,P14)+PV(12%,20,T14)-(O14*0.5)/(1+0.12)^10-S14/(1+0.12)^10</f>
        <v>-9570506.4099485558</v>
      </c>
      <c r="AB14" s="651">
        <f>M14+AA14</f>
        <v>-32144237.378892951</v>
      </c>
      <c r="AC14" s="10"/>
      <c r="AD14" s="10"/>
      <c r="AE14" s="10"/>
      <c r="AF14" s="10"/>
      <c r="AG14" s="448">
        <f>VLOOKUP($D14,Valoración_Eq_REG!$D$4:$I$157,Valoración_Eq_REG!$E$2,FALSE)*$E$4</f>
        <v>0</v>
      </c>
      <c r="AH14" s="448">
        <f>VLOOKUP($D14,Valoración_Eq_REG!$D$4:$I$157,Valoración_Eq_REG!$F$2,FALSE)*$E$4</f>
        <v>0</v>
      </c>
      <c r="AI14" s="2"/>
      <c r="AJ14" s="484">
        <f>+'[7]Evaluacion Economica'!$L$25</f>
        <v>4</v>
      </c>
      <c r="AK14" s="448">
        <f>+'[7]Evaluacion Economica'!$R$25</f>
        <v>21</v>
      </c>
      <c r="AL14" s="484">
        <f>+'[7]P_Evaluacion Economica'!$L$27</f>
        <v>3</v>
      </c>
      <c r="AM14" s="448">
        <f>+'[7]P_Evaluacion Economica'!$Q$27</f>
        <v>9</v>
      </c>
      <c r="AN14" s="34" t="str">
        <f>+[7]Datos!$C$2</f>
        <v>Punta Alta</v>
      </c>
      <c r="AO14" s="25" t="str">
        <f>VLOOKUP($E14,Tabla13[],Inputs_costos!$D$1,FALSE)</f>
        <v>PUNTA ALTA</v>
      </c>
      <c r="AP14" s="28" t="str">
        <f>VLOOKUP($D14,'Costo Social x localidad'!$B$2:$M$156,1,FALSE)</f>
        <v>Punta Alta</v>
      </c>
      <c r="AQ14" s="5"/>
      <c r="AR14" s="2"/>
      <c r="AS14" s="2"/>
    </row>
    <row r="15" spans="1:45">
      <c r="A15" s="917"/>
      <c r="B15" s="887"/>
      <c r="C15" s="472" t="str">
        <f>IF(AND(D15=AN15,D15=AO15,D15=AP15),"ok","ATENCIÓN NO ESTÁ TOMANDO BIEN LA LOCALIDAD")</f>
        <v>ok</v>
      </c>
      <c r="D15" s="24" t="s">
        <v>16</v>
      </c>
      <c r="E15" s="115">
        <f>VLOOKUP(D15,Pobl_adoptada!$C$5:$D$158,2,FALSE)</f>
        <v>129</v>
      </c>
      <c r="F15" s="9" t="s">
        <v>308</v>
      </c>
      <c r="G15" s="580">
        <f>+'[8]Inversion rec-TA'!$G$21</f>
        <v>1751654.9588091173</v>
      </c>
      <c r="H15" s="34">
        <f>+($AC10/$AC11)*H16+G15</f>
        <v>1794839.4754103168</v>
      </c>
      <c r="I15" s="575">
        <f>+'[8]Costos Operativos Rec-TA'!$G$23</f>
        <v>890127.07410039403</v>
      </c>
      <c r="J15" s="581">
        <f>+($AC10/$AC11)*J16+I15</f>
        <v>890990.76443241804</v>
      </c>
      <c r="K15" s="10">
        <f>+'[8]Inversion rec-TA'!$G$46</f>
        <v>0</v>
      </c>
      <c r="L15" s="10">
        <f>+'[8]Costos Operativos Rec-TA'!$G$46</f>
        <v>0</v>
      </c>
      <c r="M15" s="19">
        <f>-H15/(1+0.12)+PV(12%,20,J15)-H15/(1+0.12)^10</f>
        <v>-8835630.8056851719</v>
      </c>
      <c r="N15" s="465">
        <f>+$AD10/$AD11*N17</f>
        <v>54465.118008265126</v>
      </c>
      <c r="O15" s="25">
        <f>IF(N15-AG15&lt;0,0,N15-AG15)</f>
        <v>54465.118008265126</v>
      </c>
      <c r="P15" s="25">
        <f>+$AD10/$AD11*P17</f>
        <v>16221.821727886771</v>
      </c>
      <c r="Q15" s="465">
        <f>+$AC10/$AC11*Q17</f>
        <v>881456.48253511195</v>
      </c>
      <c r="R15" s="647">
        <f>IF(Q15-AH15&lt;0,0,Q15-AH15)</f>
        <v>881456.48253511195</v>
      </c>
      <c r="S15" s="25">
        <f>+S10</f>
        <v>0</v>
      </c>
      <c r="T15" s="25">
        <f>+$AC10/$AC11*T17</f>
        <v>24820.755706403441</v>
      </c>
      <c r="U15" s="29"/>
      <c r="V15" s="461">
        <f t="shared" si="5"/>
        <v>6514140.6207999997</v>
      </c>
      <c r="W15" s="25"/>
      <c r="X15" s="461">
        <f t="shared" si="5"/>
        <v>578363.26224295481</v>
      </c>
      <c r="Y15" s="28">
        <f t="shared" si="5"/>
        <v>24473.342218053331</v>
      </c>
      <c r="Z15" s="28">
        <f t="shared" ref="Z15" si="8">+Z10</f>
        <v>229995.11655205826</v>
      </c>
      <c r="AA15" s="650">
        <f>(-O15-R15)/(1+0.12)+PV(12%,20,P15)+PV(12%,20,T15)-(O15*0.5)/(1+0.12)^10-S15/(1+0.12)^10</f>
        <v>-1150977.6597051821</v>
      </c>
      <c r="AB15" s="651">
        <f>M15+AA15</f>
        <v>-9986608.4653903544</v>
      </c>
      <c r="AC15" s="10"/>
      <c r="AD15" s="10"/>
      <c r="AE15" s="10"/>
      <c r="AF15" s="10"/>
      <c r="AG15" s="448">
        <f>VLOOKUP($D15,Valoración_Eq_REG!$D$4:$I$157,Valoración_Eq_REG!$E$2,FALSE)*$E$4</f>
        <v>0</v>
      </c>
      <c r="AH15" s="448">
        <f>VLOOKUP($D15,Valoración_Eq_REG!$D$4:$I$157,Valoración_Eq_REG!$F$2,FALSE)*$E$4</f>
        <v>0</v>
      </c>
      <c r="AI15" s="2"/>
      <c r="AJ15" s="484">
        <f>+'[8]Evaluacion Economica'!$L$25</f>
        <v>2</v>
      </c>
      <c r="AK15" s="448">
        <f>+'[8]Evaluacion Economica'!$R$25</f>
        <v>12</v>
      </c>
      <c r="AL15" s="484">
        <f>+'[8]P_Evaluacion Economica'!$L$27</f>
        <v>2</v>
      </c>
      <c r="AM15" s="448">
        <f>+'[8]P_Evaluacion Economica'!$Q$27</f>
        <v>6</v>
      </c>
      <c r="AN15" s="34" t="str">
        <f>+[8]Datos!$C$2</f>
        <v>Tornquist</v>
      </c>
      <c r="AO15" s="25" t="str">
        <f>VLOOKUP($E15,Tabla13[],Inputs_costos!$D$1,FALSE)</f>
        <v>TORNQUIST</v>
      </c>
      <c r="AP15" s="28" t="str">
        <f>VLOOKUP($D15,'Costo Social x localidad'!$B$2:$M$156,1,FALSE)</f>
        <v>TORNQUIST</v>
      </c>
      <c r="AQ15" s="6"/>
      <c r="AR15" s="2"/>
      <c r="AS15" s="2"/>
    </row>
    <row r="16" spans="1:45" ht="30" customHeight="1" thickBot="1">
      <c r="A16" s="917"/>
      <c r="B16" s="887"/>
      <c r="C16" s="924" t="s">
        <v>12</v>
      </c>
      <c r="D16" s="925"/>
      <c r="E16" s="498" t="s">
        <v>589</v>
      </c>
      <c r="F16" s="571">
        <v>0.02</v>
      </c>
      <c r="G16" s="582"/>
      <c r="H16" s="461">
        <f>+AJ16*AJ18+AL16*AL18</f>
        <v>3296628.4972004509</v>
      </c>
      <c r="I16" s="461"/>
      <c r="J16" s="583">
        <f>+$F16*H16</f>
        <v>65932.569944009025</v>
      </c>
      <c r="K16" s="10"/>
      <c r="L16" s="10"/>
      <c r="M16" s="19"/>
      <c r="N16" s="465"/>
      <c r="O16" s="10"/>
      <c r="P16" s="10"/>
      <c r="Q16" s="618"/>
      <c r="R16" s="645"/>
      <c r="S16" s="645"/>
      <c r="T16" s="28"/>
      <c r="U16" s="28"/>
      <c r="V16" s="28"/>
      <c r="W16" s="28"/>
      <c r="X16" s="28"/>
      <c r="Y16" s="28"/>
      <c r="Z16" s="28"/>
      <c r="AA16" s="655"/>
      <c r="AB16" s="656"/>
      <c r="AC16" s="10"/>
      <c r="AD16" s="10"/>
      <c r="AE16" s="10"/>
      <c r="AF16" s="10"/>
      <c r="AG16" s="4"/>
      <c r="AH16" s="4"/>
      <c r="AI16" s="4"/>
      <c r="AJ16" s="501">
        <f>ROUNDUP(C17*SUM(AJ12:AJ15),0)</f>
        <v>7</v>
      </c>
      <c r="AK16" s="502">
        <f>AVERAGE(AK12:AK15)</f>
        <v>20.25</v>
      </c>
      <c r="AL16" s="501">
        <f>ROUNDUP(C17*SUM(AL12:AL15),0)</f>
        <v>5</v>
      </c>
      <c r="AM16" s="502">
        <f>AVERAGE(AM12:AM15)</f>
        <v>6.75</v>
      </c>
      <c r="AN16" s="4"/>
      <c r="AO16" s="4"/>
      <c r="AP16" s="4"/>
      <c r="AQ16" s="6"/>
      <c r="AR16" s="2"/>
      <c r="AS16" s="2"/>
    </row>
    <row r="17" spans="1:45" ht="31.5" customHeight="1" thickBot="1">
      <c r="A17" s="918"/>
      <c r="B17" s="888"/>
      <c r="C17" s="570">
        <v>0.3</v>
      </c>
      <c r="D17" s="500" t="str">
        <f>A7</f>
        <v>REGIÓN BAHÍA BLANCA</v>
      </c>
      <c r="E17" s="468"/>
      <c r="F17" s="469"/>
      <c r="G17" s="584"/>
      <c r="H17" s="585">
        <f>SUM(H12:H15)</f>
        <v>31465962.791609064</v>
      </c>
      <c r="I17" s="585"/>
      <c r="J17" s="586">
        <f>SUM(J12:J15)</f>
        <v>19484719.276285019</v>
      </c>
      <c r="K17" s="14"/>
      <c r="L17" s="14"/>
      <c r="M17" s="15">
        <f>SUM(M12:M16)</f>
        <v>-183765819.68788216</v>
      </c>
      <c r="N17" s="615">
        <f>(VLOOKUP($E12,Tabla13[],Inputs_costos!$P$1,FALSE))*(O$3*$E$3+O$4*$E$4)</f>
        <v>4145493.2134400001</v>
      </c>
      <c r="O17" s="35">
        <f>SUM(O12:O15)</f>
        <v>1422640.5239000006</v>
      </c>
      <c r="P17" s="35">
        <f>(VLOOKUP($E12,Tabla13[],Inputs_costos!$Q$1,FALSE))*(P$3*$E$3+P$4*$E$4)</f>
        <v>1234688.4454080001</v>
      </c>
      <c r="Q17" s="615">
        <f>IF($AC11&gt;=15,(VLOOKUP($E12,Tabla13[],Inputs_costos!$N$1,FALSE))*($R$3*$E$3+$R$4*$E$4),(VLOOKUP($E12,Tabla13[],Inputs_costos!$N$1,FALSE))*($T$3*$E$3+$T$4*$E$4))</f>
        <v>67288805.990400001</v>
      </c>
      <c r="R17" s="35">
        <f>SUM(R12:R15)</f>
        <v>66772780.790399998</v>
      </c>
      <c r="S17" s="35"/>
      <c r="T17" s="35">
        <f>IF($AC11&gt;=15,(VLOOKUP($E12,Tabla13[],Inputs_costos!$O$1,FALSE))*($R$3*$E$3+$R$4*$E$4),(VLOOKUP($E12,Tabla13[],Inputs_costos!$O$1,FALSE))*($T$3*$E$3+$T$4*$E$4))</f>
        <v>1894771.9466080002</v>
      </c>
      <c r="U17" s="35"/>
      <c r="V17" s="31">
        <f>SUM(V12:V15)</f>
        <v>12010446.7696</v>
      </c>
      <c r="W17" s="31"/>
      <c r="X17" s="31">
        <f>SUM(X12:X15)</f>
        <v>1066357.2647604479</v>
      </c>
      <c r="Y17" s="31">
        <f>SUM(Y12:Y15)</f>
        <v>420943.22496607993</v>
      </c>
      <c r="Z17" s="31">
        <f>SUM(Z12:Z15)</f>
        <v>2175775.6498033144</v>
      </c>
      <c r="AA17" s="657">
        <f>SUM(AA12:AA15)</f>
        <v>-85188585.281383157</v>
      </c>
      <c r="AB17" s="654">
        <f>+M17+AA17</f>
        <v>-268954404.96926534</v>
      </c>
      <c r="AC17" s="38"/>
      <c r="AD17" s="38"/>
      <c r="AE17" s="38"/>
      <c r="AF17" s="38"/>
      <c r="AG17" s="4"/>
      <c r="AH17" s="4"/>
      <c r="AI17" s="4"/>
      <c r="AJ17" s="11"/>
      <c r="AK17" s="499">
        <f>VLOOKUP(ROUNDUP(AK16,0),DATOS!$F$16:$G$31,2,FALSE)</f>
        <v>21</v>
      </c>
      <c r="AL17" s="497"/>
      <c r="AM17" s="499">
        <f>VLOOKUP(ROUNDUP(AM16,0),DATOS!$J$16:$K$34,2,FALSE)</f>
        <v>9</v>
      </c>
      <c r="AN17" s="4"/>
      <c r="AO17" s="4"/>
      <c r="AP17" s="4"/>
      <c r="AQ17" s="5"/>
      <c r="AR17" s="2"/>
      <c r="AS17" s="2"/>
    </row>
    <row r="18" spans="1:45">
      <c r="F18" s="2"/>
      <c r="G18" s="2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0"/>
      <c r="V18" s="2"/>
      <c r="W18" s="2"/>
      <c r="X18" s="2"/>
      <c r="Y18" s="2"/>
      <c r="Z18" s="2"/>
      <c r="AA18" s="4"/>
      <c r="AB18" s="4"/>
      <c r="AC18" s="4"/>
      <c r="AD18" s="4"/>
      <c r="AE18" s="4"/>
      <c r="AF18" s="4"/>
      <c r="AG18" s="644"/>
      <c r="AH18" s="448"/>
      <c r="AI18" s="4"/>
      <c r="AJ18" s="892">
        <f>VLOOKUP(AK17,DATOS!$F$3:$H$11,3,FALSE)</f>
        <v>296770.86408577871</v>
      </c>
      <c r="AK18" s="892"/>
      <c r="AL18" s="892">
        <f>VLOOKUP(AM17,DATOS!$J$3:$L$12,3,FALSE)</f>
        <v>243846.48972000001</v>
      </c>
      <c r="AM18" s="892"/>
      <c r="AN18" s="4"/>
      <c r="AO18" s="4"/>
      <c r="AP18" s="4"/>
      <c r="AQ18" s="5"/>
      <c r="AR18" s="2"/>
      <c r="AS18" s="2"/>
    </row>
    <row r="19" spans="1:45" ht="15.75" thickBot="1">
      <c r="A19" s="503"/>
      <c r="B19" s="503"/>
      <c r="C19" s="503"/>
      <c r="D19" s="503"/>
      <c r="E19" s="503"/>
      <c r="F19" s="504"/>
      <c r="G19" s="504"/>
      <c r="H19" s="505"/>
      <c r="I19" s="505"/>
      <c r="J19" s="505"/>
      <c r="K19" s="505"/>
      <c r="L19" s="505"/>
      <c r="M19" s="505"/>
      <c r="N19" s="505"/>
      <c r="O19" s="505"/>
      <c r="P19" s="505"/>
      <c r="Q19" s="505"/>
      <c r="R19" s="504"/>
      <c r="S19" s="504"/>
      <c r="T19" s="504"/>
      <c r="U19" s="504"/>
      <c r="V19" s="504"/>
      <c r="W19" s="504"/>
      <c r="X19" s="504"/>
      <c r="Y19" s="504"/>
      <c r="Z19" s="504"/>
      <c r="AA19" s="506"/>
      <c r="AB19" s="506"/>
      <c r="AC19" s="506"/>
      <c r="AD19" s="506"/>
      <c r="AE19" s="506"/>
      <c r="AF19" s="506"/>
      <c r="AG19" s="506"/>
      <c r="AH19" s="506"/>
      <c r="AI19" s="506"/>
      <c r="AJ19" s="506"/>
      <c r="AK19" s="506"/>
      <c r="AL19" s="506"/>
      <c r="AM19" s="506"/>
      <c r="AN19" s="506"/>
      <c r="AO19" s="506"/>
      <c r="AP19" s="506"/>
      <c r="AQ19" s="5"/>
      <c r="AR19" s="2"/>
      <c r="AS19" s="2"/>
    </row>
    <row r="20" spans="1:45" ht="39" thickBot="1">
      <c r="A20" s="886" t="s">
        <v>7</v>
      </c>
      <c r="B20" s="886" t="s">
        <v>2</v>
      </c>
      <c r="C20" s="474"/>
      <c r="D20" s="882" t="s">
        <v>22</v>
      </c>
      <c r="E20" s="882" t="s">
        <v>23</v>
      </c>
      <c r="F20" s="882" t="s">
        <v>3</v>
      </c>
      <c r="G20" s="568"/>
      <c r="H20" s="901" t="s">
        <v>0</v>
      </c>
      <c r="I20" s="901"/>
      <c r="J20" s="901"/>
      <c r="K20" s="901" t="s">
        <v>1</v>
      </c>
      <c r="L20" s="901"/>
      <c r="M20" s="886" t="s">
        <v>10</v>
      </c>
      <c r="N20" s="879" t="s">
        <v>5</v>
      </c>
      <c r="O20" s="880"/>
      <c r="P20" s="881"/>
      <c r="Q20" s="902" t="s">
        <v>4</v>
      </c>
      <c r="R20" s="903"/>
      <c r="S20" s="903"/>
      <c r="T20" s="904"/>
      <c r="U20" s="902" t="s">
        <v>6</v>
      </c>
      <c r="V20" s="903"/>
      <c r="W20" s="903"/>
      <c r="X20" s="904"/>
      <c r="Y20" s="390" t="s">
        <v>689</v>
      </c>
      <c r="Z20" s="662" t="s">
        <v>690</v>
      </c>
      <c r="AA20" s="905" t="s">
        <v>686</v>
      </c>
      <c r="AB20" s="886" t="s">
        <v>9</v>
      </c>
      <c r="AC20" s="907" t="s">
        <v>312</v>
      </c>
      <c r="AD20" s="914" t="s">
        <v>649</v>
      </c>
      <c r="AE20" s="897" t="s">
        <v>20</v>
      </c>
      <c r="AF20" s="897" t="s">
        <v>313</v>
      </c>
      <c r="AG20" s="899" t="s">
        <v>552</v>
      </c>
      <c r="AH20" s="895" t="s">
        <v>578</v>
      </c>
      <c r="AI20" s="897" t="s">
        <v>579</v>
      </c>
      <c r="AJ20" s="882" t="s">
        <v>581</v>
      </c>
      <c r="AK20" s="882" t="s">
        <v>582</v>
      </c>
      <c r="AL20" s="882" t="s">
        <v>581</v>
      </c>
      <c r="AM20" s="882" t="s">
        <v>582</v>
      </c>
      <c r="AN20" s="884" t="s">
        <v>553</v>
      </c>
      <c r="AO20" s="885"/>
      <c r="AP20" s="885"/>
      <c r="AQ20" s="5"/>
      <c r="AR20" s="2"/>
      <c r="AS20" s="2"/>
    </row>
    <row r="21" spans="1:45" ht="30.75" thickBot="1">
      <c r="A21" s="888"/>
      <c r="B21" s="888"/>
      <c r="C21" s="475"/>
      <c r="D21" s="883"/>
      <c r="E21" s="883"/>
      <c r="F21" s="883"/>
      <c r="G21" s="569"/>
      <c r="H21" s="17" t="s">
        <v>18</v>
      </c>
      <c r="I21" s="17"/>
      <c r="J21" s="17" t="s">
        <v>17</v>
      </c>
      <c r="K21" s="17" t="s">
        <v>18</v>
      </c>
      <c r="L21" s="17" t="s">
        <v>17</v>
      </c>
      <c r="M21" s="888"/>
      <c r="N21" s="464" t="s">
        <v>685</v>
      </c>
      <c r="O21" s="17" t="s">
        <v>18</v>
      </c>
      <c r="P21" s="17" t="s">
        <v>17</v>
      </c>
      <c r="Q21" s="464" t="s">
        <v>685</v>
      </c>
      <c r="R21" s="17" t="s">
        <v>18</v>
      </c>
      <c r="S21" s="17"/>
      <c r="T21" s="17" t="s">
        <v>17</v>
      </c>
      <c r="U21" s="464" t="s">
        <v>576</v>
      </c>
      <c r="V21" s="17" t="s">
        <v>18</v>
      </c>
      <c r="W21" s="464" t="s">
        <v>577</v>
      </c>
      <c r="X21" s="17" t="s">
        <v>17</v>
      </c>
      <c r="Y21" s="17" t="s">
        <v>18</v>
      </c>
      <c r="Z21" s="17" t="s">
        <v>17</v>
      </c>
      <c r="AA21" s="906"/>
      <c r="AB21" s="888"/>
      <c r="AC21" s="908"/>
      <c r="AD21" s="915"/>
      <c r="AE21" s="898"/>
      <c r="AF21" s="898"/>
      <c r="AG21" s="900"/>
      <c r="AH21" s="896"/>
      <c r="AI21" s="898"/>
      <c r="AJ21" s="883"/>
      <c r="AK21" s="883"/>
      <c r="AL21" s="883"/>
      <c r="AM21" s="883"/>
      <c r="AN21" s="1" t="s">
        <v>551</v>
      </c>
      <c r="AO21" s="9" t="s">
        <v>554</v>
      </c>
      <c r="AP21" s="1" t="s">
        <v>555</v>
      </c>
      <c r="AQ21" s="5"/>
      <c r="AR21" s="2"/>
      <c r="AS21" s="2"/>
    </row>
    <row r="22" spans="1:45">
      <c r="A22" s="916" t="s">
        <v>590</v>
      </c>
      <c r="B22" s="886" t="s">
        <v>309</v>
      </c>
      <c r="C22" s="477" t="str">
        <f>IF(AND(D22=AN22,D22=AO22,D22=AP22),"ok","ATENCIÓN NO ESTÁ TOMANDO BIEN LA LOCALIDAD")</f>
        <v>ok</v>
      </c>
      <c r="D22" s="23" t="s">
        <v>225</v>
      </c>
      <c r="E22" s="114">
        <f>VLOOKUP(D22,Pobl_adoptada!$C$5:$D$158,2,FALSE)</f>
        <v>120</v>
      </c>
      <c r="F22" s="8" t="s">
        <v>308</v>
      </c>
      <c r="G22" s="8"/>
      <c r="H22" s="33">
        <f>'[9]Inversion rec-TA'!$G$21</f>
        <v>3231490.7336182352</v>
      </c>
      <c r="I22" s="33"/>
      <c r="J22" s="33">
        <f>'[9]Costos Operativos Rec-TA'!$G$23</f>
        <v>1440772.4509840715</v>
      </c>
      <c r="K22" s="32">
        <f>'[9]Inversion rec-TA'!$G$46</f>
        <v>0</v>
      </c>
      <c r="L22" s="32">
        <f>+'[9]Costos Operativos Rec-TA'!$G$46</f>
        <v>0</v>
      </c>
      <c r="M22" s="19">
        <f t="shared" ref="M22:M25" si="9">-H22/(1+0.12)+PV(12%,20,J22)-H22/(1+0.12)^10</f>
        <v>-14687481.712213432</v>
      </c>
      <c r="N22" s="19"/>
      <c r="O22" s="25">
        <f>IF(((VLOOKUP($E22,Tabla13[],Inputs_costos!$I$1,FALSE))*(O$3*$E$3+O$4*$E$4)-AG22)&lt;0,0,VLOOKUP($E22,Tabla13[],Inputs_costos!$I$1,FALSE)*(O$3*$E$3+O$4*$E$4)-AG22)</f>
        <v>1123267.7845439999</v>
      </c>
      <c r="P22" s="25">
        <f>(VLOOKUP($E22,Tabla13[],Inputs_costos!$J$1,FALSE))*(P$3*$E$3+P$4*$E$4)</f>
        <v>376689.32649599999</v>
      </c>
      <c r="Q22" s="25"/>
      <c r="R22" s="25">
        <f>IF($AC22&gt;=15,(VLOOKUP($E22,Tabla13[],Inputs_costos!$G$1,FALSE))*($R$3*$E$3+$R$4*$E$4),(VLOOKUP($E22,Tabla13[],Inputs_costos!$G$1,FALSE))*($T$3*$E$3+$T$4*$E$4))-AH22</f>
        <v>7861172.8408000004</v>
      </c>
      <c r="S22" s="25">
        <f t="shared" ref="S22:S25" si="10">IF(AC22&lt;15,0,IF(AC22&lt;=350,815000,1345000))</f>
        <v>815000</v>
      </c>
      <c r="T22" s="25">
        <f>IF($AC22&gt;=15,(VLOOKUP($E22,Tabla13[],Inputs_costos!$H$1,FALSE))*($R$3*$E$3+$R$4*$E$4),(VLOOKUP($E22,Tabla13[],Inputs_costos!$H$1,FALSE))*($T$3*$E$3+$T$4*$E$4))</f>
        <v>1680076.3630000001</v>
      </c>
      <c r="U22" s="465">
        <f>SUMIFS(Tabla24[Costo de Cierre Técnico de BCA (US$)],Tabla24[Localidad],Resumen!$D22)</f>
        <v>1802000</v>
      </c>
      <c r="V22" s="461">
        <f>+U22*(V$3*$E$3+V$4*$E$4)</f>
        <v>3460637.2047999999</v>
      </c>
      <c r="W22" s="465">
        <f>SUMIFS(Tabla24[Costo anual de Manteniemiento Post-cierre (US$)],Tabla24[Localidad],Resumen!$D22)</f>
        <v>159992.03259966025</v>
      </c>
      <c r="X22" s="461">
        <f>+W22*(X$3*$E$3+X$4*$E$4)</f>
        <v>307255.48306656978</v>
      </c>
      <c r="Y22" s="27">
        <f>VLOOKUP($D22,'Costo Social x localidad'!$B$2:$M$156,12,FALSE)*(Y$3*$E$3+Y$4*$E$4)</f>
        <v>40627.82121496</v>
      </c>
      <c r="Z22" s="28">
        <f>VLOOKUP(D22,'Estimación  PRESUPUESTO PCAS'!$B$4:$G$158,'Estimación  PRESUPUESTO PCAS'!$G$2,FALSE)</f>
        <v>289438.0856376224</v>
      </c>
      <c r="AA22" s="650">
        <f>(-O22-R22)/(1+0.12)+PV(12%,20,P22)+PV(12%,20,T22)-(O22*0.5)/(1+0.12)^10-S22/(1+0.12)^10</f>
        <v>-23827956.622951202</v>
      </c>
      <c r="AB22" s="651">
        <f>M22+AA22</f>
        <v>-38515438.335164636</v>
      </c>
      <c r="AC22" s="10">
        <f>VLOOKUP($E22,Resumen_Generación!$B$5:$F$158,Resumen_Generación!$D$3,FALSE)</f>
        <v>20.500698919999998</v>
      </c>
      <c r="AD22" s="10">
        <f>VLOOKUP($E22,Resumen_Generación!$B$5:$G$158,Resumen_Generación!$G$3,FALSE)</f>
        <v>8.3766738499999978</v>
      </c>
      <c r="AE22" s="362">
        <f>VLOOKUP($E22,Resumen_Generación!$B$5:$F$158,Resumen_Generación!$E$3,FALSE)</f>
        <v>25662</v>
      </c>
      <c r="AF22" s="10">
        <f>VLOOKUP($E22,Resumen_Generación!$B$5:$F$158,Resumen_Generación!$F$3,FALSE)</f>
        <v>9.4779369999999989</v>
      </c>
      <c r="AG22" s="448">
        <f>VLOOKUP($D22,Valoración_Equip_actual!$D$4:$I$157,Valoración_Equip_actual!$E$2,FALSE)*$E$4</f>
        <v>562531.49609599996</v>
      </c>
      <c r="AH22" s="448">
        <f>VLOOKUP($D22,Valoración_Equip_actual!$D$4:$I$157,Valoración_Equip_actual!$F$2,FALSE)*$E$4</f>
        <v>0</v>
      </c>
      <c r="AI22" s="448">
        <f>[9]P_Datos!$D$43</f>
        <v>0.57029508196721312</v>
      </c>
      <c r="AN22" s="449" t="str">
        <f>[9]Datos!$C$2</f>
        <v>San Antonio de Areco</v>
      </c>
      <c r="AO22" s="450" t="str">
        <f>VLOOKUP($E22,Tabla13[],Inputs_costos!$D$1,FALSE)</f>
        <v>SAN ANTONIO DE ARECO</v>
      </c>
      <c r="AP22" s="451" t="str">
        <f>VLOOKUP($D22,'Costo Social x localidad'!$B$2:$M$156,1,FALSE)</f>
        <v>SAN ANTONIO DE ARECO</v>
      </c>
      <c r="AQ22" s="5"/>
      <c r="AR22" s="2"/>
      <c r="AS22" s="2"/>
    </row>
    <row r="23" spans="1:45">
      <c r="A23" s="917"/>
      <c r="B23" s="887"/>
      <c r="C23" s="478" t="str">
        <f>IF(AND(D23=AN23,D23=AO23,D23=AP23),"ok","ATENCIÓN NO ESTÁ TOMANDO BIEN LA LOCALIDAD")</f>
        <v>ok</v>
      </c>
      <c r="D23" s="24" t="s">
        <v>224</v>
      </c>
      <c r="E23" s="115">
        <f>VLOOKUP(D23,Pobl_adoptada!$C$5:$D$158,2,FALSE)</f>
        <v>119</v>
      </c>
      <c r="F23" s="9" t="s">
        <v>308</v>
      </c>
      <c r="G23" s="9"/>
      <c r="H23" s="34">
        <f>'[10]Inversion rec-TA'!$G$21</f>
        <v>2322050.2967098258</v>
      </c>
      <c r="I23" s="34"/>
      <c r="J23" s="34">
        <f>'[10]Costos Operativos Rec-TA'!$G$23</f>
        <v>982386.49016732955</v>
      </c>
      <c r="K23" s="25">
        <f>'[10]Inversion rec-TA'!$G$46</f>
        <v>0</v>
      </c>
      <c r="L23" s="25">
        <f>+'[10]Costos Operativos Rec-TA'!$G$46</f>
        <v>0</v>
      </c>
      <c r="M23" s="19">
        <f t="shared" si="9"/>
        <v>-10158777.748654889</v>
      </c>
      <c r="N23" s="19"/>
      <c r="O23" s="25">
        <f>IF(((VLOOKUP($E23,Tabla13[],Inputs_costos!$I$1,FALSE))*(O$3*$E$3+O$4*$E$4)-AG23)&lt;0,0,VLOOKUP($E23,Tabla13[],Inputs_costos!$I$1,FALSE)*(O$3*$E$3+O$4*$E$4)-AG23)</f>
        <v>872789.03287</v>
      </c>
      <c r="P23" s="25">
        <f>(VLOOKUP($E23,Tabla13[],Inputs_costos!$J$1,FALSE))*(P$3*$E$3+P$4*$E$4)</f>
        <v>334637.09312000003</v>
      </c>
      <c r="Q23" s="25"/>
      <c r="R23" s="25">
        <f>IF($AC23&gt;=15,(VLOOKUP($E23,Tabla13[],Inputs_costos!$G$1,FALSE))*($R$3*$E$3+$R$4*$E$4),(VLOOKUP($E23,Tabla13[],Inputs_costos!$G$1,FALSE))*($T$3*$E$3+$T$4*$E$4))-AH23</f>
        <v>7473427.0616000006</v>
      </c>
      <c r="S23" s="25">
        <f t="shared" si="10"/>
        <v>815000</v>
      </c>
      <c r="T23" s="25">
        <f>IF($AC23&gt;=15,(VLOOKUP($E23,Tabla13[],Inputs_costos!$H$1,FALSE))*($R$3*$E$3+$R$4*$E$4),(VLOOKUP($E23,Tabla13[],Inputs_costos!$H$1,FALSE))*($T$3*$E$3+$T$4*$E$4))</f>
        <v>1689770.0074800001</v>
      </c>
      <c r="U23" s="465">
        <f>SUMIFS(Tabla24[Costo de Cierre Técnico de BCA (US$)],Tabla24[Localidad],Resumen!$D23)</f>
        <v>1346200</v>
      </c>
      <c r="V23" s="461">
        <f t="shared" ref="V23:V25" si="11">+U23*(V$3*$E$3+V$4*$E$4)</f>
        <v>2585299.5588799999</v>
      </c>
      <c r="W23" s="465">
        <f>SUMIFS(Tabla24[Costo anual de Manteniemiento Post-cierre (US$)],Tabla24[Localidad],Resumen!$D23)</f>
        <v>119523.45964798148</v>
      </c>
      <c r="X23" s="461">
        <f t="shared" ref="X23:X25" si="12">+W23*(X$3*$E$3+X$4*$E$4)</f>
        <v>229537.91970267272</v>
      </c>
      <c r="Y23" s="28">
        <f>VLOOKUP($D23,'Costo Social x localidad'!$B$2:$M$156,12,FALSE)*(Y$3*$E$3+Y$4*$E$4)</f>
        <v>40327.731950239999</v>
      </c>
      <c r="Z23" s="28">
        <f>VLOOKUP(D23,'Estimación  PRESUPUESTO PCAS'!$B$4:$G$158,'Estimación  PRESUPUESTO PCAS'!$G$2,FALSE)</f>
        <v>265208.05950059823</v>
      </c>
      <c r="AA23" s="650">
        <f>(-O23-R23)/(1+0.12)+PV(12%,20,P23)+PV(12%,20,T23)-(O23*0.5)/(1+0.12)^10-S23/(1+0.12)^10</f>
        <v>-22976088.909105401</v>
      </c>
      <c r="AB23" s="651">
        <f>M23+AA23</f>
        <v>-33134866.657760292</v>
      </c>
      <c r="AC23" s="10">
        <f>VLOOKUP($E23,Resumen_Generación!$B$5:$F$158,Resumen_Generación!$D$3,FALSE)</f>
        <v>18.215898176</v>
      </c>
      <c r="AD23" s="10">
        <f>VLOOKUP($E23,Resumen_Generación!$B$5:$G$158,Resumen_Generación!$G$3,FALSE)</f>
        <v>7.47172853</v>
      </c>
      <c r="AE23" s="362">
        <f>VLOOKUP($E23,Resumen_Generación!$B$5:$F$158,Resumen_Generación!$E$3,FALSE)</f>
        <v>22824</v>
      </c>
      <c r="AF23" s="10">
        <f>VLOOKUP($E23,Resumen_Generación!$B$5:$F$158,Resumen_Generación!$F$3,FALSE)</f>
        <v>8.4198449999999987</v>
      </c>
      <c r="AG23" s="448">
        <f>VLOOKUP($D23,Valoración_Equip_actual!$D$4:$I$157,Valoración_Equip_actual!$E$2,FALSE)*$E$4</f>
        <v>800210.93544999999</v>
      </c>
      <c r="AH23" s="448">
        <f>VLOOKUP($D23,Valoración_Equip_actual!$D$4:$I$157,Valoración_Equip_actual!$F$2,FALSE)*$E$4</f>
        <v>0</v>
      </c>
      <c r="AI23" s="448">
        <f>[10]P_Datos!$D$43</f>
        <v>0.52478688524590167</v>
      </c>
      <c r="AN23" s="34" t="str">
        <f>[10]Datos!$C$2</f>
        <v>San Andrés de Giles</v>
      </c>
      <c r="AO23" s="25" t="str">
        <f>VLOOKUP($E23,Tabla13[],Inputs_costos!$D$1,FALSE)</f>
        <v>SAN ANDRÉS DE GILES</v>
      </c>
      <c r="AP23" s="28" t="str">
        <f>VLOOKUP($D23,'Costo Social x localidad'!$B$2:$M$156,1,FALSE)</f>
        <v>SAN ANDRÉS DE GILES</v>
      </c>
      <c r="AQ23" s="5"/>
      <c r="AR23" s="2"/>
      <c r="AS23" s="2"/>
    </row>
    <row r="24" spans="1:45">
      <c r="A24" s="917"/>
      <c r="B24" s="887"/>
      <c r="C24" s="478" t="str">
        <f>IF(AND(D24=AN24,D24=AO24,D24=AP24),"ok","ATENCIÓN NO ESTÁ TOMANDO BIEN LA LOCALIDAD")</f>
        <v>ok</v>
      </c>
      <c r="D24" s="24" t="s">
        <v>132</v>
      </c>
      <c r="E24" s="115">
        <f>VLOOKUP(D24,Pobl_adoptada!$C$5:$D$158,2,FALSE)</f>
        <v>43</v>
      </c>
      <c r="F24" s="9" t="s">
        <v>308</v>
      </c>
      <c r="G24" s="9"/>
      <c r="H24" s="34">
        <f>'[11]Inversion rec-TA'!$G$21</f>
        <v>2551485.894213676</v>
      </c>
      <c r="I24" s="34"/>
      <c r="J24" s="34">
        <f>'[11]Costos Operativos Rec-TA'!$G$23</f>
        <v>1184009.5742717222</v>
      </c>
      <c r="K24" s="25">
        <f>'[11]Inversion rec-TA'!$G$46</f>
        <v>0</v>
      </c>
      <c r="L24" s="25">
        <f>+'[11]Costos Operativos Rec-TA'!$G$46</f>
        <v>0</v>
      </c>
      <c r="M24" s="19">
        <f t="shared" si="9"/>
        <v>-11943515.342710156</v>
      </c>
      <c r="N24" s="19"/>
      <c r="O24" s="25">
        <f>IF(((VLOOKUP($E24,Tabla13[],Inputs_costos!$I$1,FALSE))*(O$3*$E$3+O$4*$E$4)-AG24)&lt;0,0,VLOOKUP($E24,Tabla13[],Inputs_costos!$I$1,FALSE)*(O$3*$E$3+O$4*$E$4)-AG24)</f>
        <v>359159.83353599999</v>
      </c>
      <c r="P24" s="25">
        <f>(VLOOKUP($E24,Tabla13[],Inputs_costos!$J$1,FALSE))*(P$3*$E$3+P$4*$E$4)</f>
        <v>26127.3549570752</v>
      </c>
      <c r="Q24" s="25"/>
      <c r="R24" s="25">
        <f>IF($AC24&gt;=15,(VLOOKUP($E24,Tabla13[],Inputs_costos!$G$1,FALSE))*($R$3*$E$3+$R$4*$E$4),(VLOOKUP($E24,Tabla13[],Inputs_costos!$G$1,FALSE))*($T$3*$E$3+$T$4*$E$4))-AH24</f>
        <v>989116.03607999999</v>
      </c>
      <c r="S24" s="25">
        <f t="shared" si="10"/>
        <v>0</v>
      </c>
      <c r="T24" s="25">
        <f>IF($AC24&gt;=15,(VLOOKUP($E24,Tabla13[],Inputs_costos!$H$1,FALSE))*($R$3*$E$3+$R$4*$E$4),(VLOOKUP($E24,Tabla13[],Inputs_costos!$H$1,FALSE))*($T$3*$E$3+$T$4*$E$4))</f>
        <v>196805.47959199999</v>
      </c>
      <c r="U24" s="465">
        <f>SUMIFS(Tabla24[Costo de Cierre Técnico de BCA (US$)],Tabla24[Localidad],Resumen!$D24)</f>
        <v>479120</v>
      </c>
      <c r="V24" s="461">
        <f t="shared" si="11"/>
        <v>920122.36268799996</v>
      </c>
      <c r="W24" s="465">
        <f>SUMIFS(Tabla24[Costo anual de Manteniemiento Post-cierre (US$)],Tabla24[Localidad],Resumen!$D24)</f>
        <v>42539.058079439077</v>
      </c>
      <c r="X24" s="461">
        <f t="shared" si="12"/>
        <v>81693.810791817377</v>
      </c>
      <c r="Y24" s="28">
        <f>VLOOKUP($D24,'Costo Social x localidad'!$B$2:$M$156,12,FALSE)*(Y$3*$E$3+Y$4*$E$4)</f>
        <v>24229.542358560004</v>
      </c>
      <c r="Z24" s="28">
        <f>VLOOKUP(D24,'Estimación  PRESUPUESTO PCAS'!$B$4:$G$158,'Estimación  PRESUPUESTO PCAS'!$G$2,FALSE)</f>
        <v>180871.24126517674</v>
      </c>
      <c r="AA24" s="650">
        <f>(-O24-R24)/(1+0.12)+PV(12%,20,P24)+PV(12%,20,T24)-(O24*0.5)/(1+0.12)^10-S24/(1+0.12)^10</f>
        <v>-2926821.9074329208</v>
      </c>
      <c r="AB24" s="651">
        <f>M24+AA24</f>
        <v>-14870337.250143077</v>
      </c>
      <c r="AC24" s="10">
        <f>VLOOKUP($E24,Resumen_Generación!$B$5:$F$158,Resumen_Generación!$D$3,FALSE)</f>
        <v>14.098446896000002</v>
      </c>
      <c r="AD24" s="10">
        <f>VLOOKUP($E24,Resumen_Generación!$B$5:$G$158,Resumen_Generación!$G$3,FALSE)</f>
        <v>5.7729301299999998</v>
      </c>
      <c r="AE24" s="362">
        <f>VLOOKUP($E24,Resumen_Generación!$B$5:$F$158,Resumen_Generación!$E$3,FALSE)</f>
        <v>17657</v>
      </c>
      <c r="AF24" s="10">
        <f>VLOOKUP($E24,Resumen_Generación!$B$5:$F$158,Resumen_Generación!$F$3,FALSE)</f>
        <v>6.5173570000000005</v>
      </c>
      <c r="AG24" s="448">
        <f>VLOOKUP($D24,Valoración_Equip_actual!$D$4:$I$157,Valoración_Equip_actual!$E$2,FALSE)*$E$4</f>
        <v>0</v>
      </c>
      <c r="AH24" s="448">
        <f>VLOOKUP($D24,Valoración_Equip_actual!$D$4:$I$157,Valoración_Equip_actual!$F$2,FALSE)*$E$4</f>
        <v>0</v>
      </c>
      <c r="AI24" s="448">
        <f>[11]P_Datos!$D$43</f>
        <v>0.39868852459016396</v>
      </c>
      <c r="AN24" s="34" t="str">
        <f>[11]Datos!$C$2</f>
        <v>Capitán Sarmiento</v>
      </c>
      <c r="AO24" s="25" t="str">
        <f>VLOOKUP($E24,Tabla13[],Inputs_costos!$D$1,FALSE)</f>
        <v>CAPITÁN SARMIENTO</v>
      </c>
      <c r="AP24" s="28" t="str">
        <f>VLOOKUP($D24,'Costo Social x localidad'!$B$2:$M$156,1,FALSE)</f>
        <v>CAPITÁN SARMIENTO</v>
      </c>
      <c r="AQ24" s="5"/>
      <c r="AR24" s="2"/>
      <c r="AS24" s="2"/>
    </row>
    <row r="25" spans="1:45" ht="15.75" thickBot="1">
      <c r="A25" s="917"/>
      <c r="B25" s="887"/>
      <c r="C25" s="478" t="str">
        <f>IF(AND(D25=AN25,D25=AO25,D25=AP25),"ok","ATENCIÓN NO ESTÁ TOMANDO BIEN LA LOCALIDAD")</f>
        <v>ok</v>
      </c>
      <c r="D25" s="36" t="s">
        <v>135</v>
      </c>
      <c r="E25" s="473">
        <f>VLOOKUP(D25,Pobl_adoptada!$C$5:$D$158,2,FALSE)</f>
        <v>46</v>
      </c>
      <c r="F25" s="37" t="s">
        <v>308</v>
      </c>
      <c r="G25" s="37"/>
      <c r="H25" s="117">
        <f>'[12]Inversion rec-TA'!$G$21</f>
        <v>3459076.1176182353</v>
      </c>
      <c r="I25" s="117"/>
      <c r="J25" s="117">
        <f>'[12]Costos Operativos Rec-TA'!$G$23</f>
        <v>1685475.9206969445</v>
      </c>
      <c r="K25" s="25">
        <f>'[12]Inversion rec-TA'!$G$46</f>
        <v>0</v>
      </c>
      <c r="L25" s="25">
        <f>+'[12]Costos Operativos Rec-TA'!$G$46</f>
        <v>0</v>
      </c>
      <c r="M25" s="19">
        <f t="shared" si="9"/>
        <v>-16791758.122312598</v>
      </c>
      <c r="N25" s="19"/>
      <c r="O25" s="25">
        <f>IF(((VLOOKUP($E25,Tabla13[],Inputs_costos!$I$1,FALSE))*(O$3*$E$3+O$4*$E$4)-AG25)&lt;0,0,VLOOKUP($E25,Tabla13[],Inputs_costos!$I$1,FALSE)*(O$3*$E$3+O$4*$E$4)-AG25)</f>
        <v>359159.83353599999</v>
      </c>
      <c r="P25" s="25">
        <f>(VLOOKUP($E25,Tabla13[],Inputs_costos!$J$1,FALSE))*(P$3*$E$3+P$4*$E$4)</f>
        <v>26127.3549570752</v>
      </c>
      <c r="Q25" s="25"/>
      <c r="R25" s="25">
        <f>IF($AC25&gt;=15,(VLOOKUP($E25,Tabla13[],Inputs_costos!$G$1,FALSE))*($R$3*$E$3+$R$4*$E$4),(VLOOKUP($E25,Tabla13[],Inputs_costos!$G$1,FALSE))*($T$3*$E$3+$T$4*$E$4))-AH25</f>
        <v>880025.32719999994</v>
      </c>
      <c r="S25" s="25">
        <f t="shared" si="10"/>
        <v>0</v>
      </c>
      <c r="T25" s="25">
        <f>IF($AC25&gt;=15,(VLOOKUP($E25,Tabla13[],Inputs_costos!$H$1,FALSE))*($R$3*$E$3+$R$4*$E$4),(VLOOKUP($E25,Tabla13[],Inputs_costos!$H$1,FALSE))*($T$3*$E$3+$T$4*$E$4))</f>
        <v>192369.723344</v>
      </c>
      <c r="U25" s="465">
        <f>SUMIFS(Tabla24[Costo de Cierre Técnico de BCA (US$)],Tabla24[Localidad],Resumen!$D25)</f>
        <v>636000</v>
      </c>
      <c r="V25" s="461">
        <f t="shared" si="11"/>
        <v>1221401.3663999999</v>
      </c>
      <c r="W25" s="465">
        <f>SUMIFS(Tabla24[Costo anual de Manteniemiento Post-cierre (US$)],Tabla24[Localidad],Resumen!$D25)</f>
        <v>56467.776211644792</v>
      </c>
      <c r="X25" s="461">
        <f t="shared" si="12"/>
        <v>108443.11167055403</v>
      </c>
      <c r="Y25" s="447">
        <f>VLOOKUP($D25,'Costo Social x localidad'!$B$2:$M$156,12,FALSE)*(Y$3*$E$3+Y$4*$E$4)</f>
        <v>26484.020083359999</v>
      </c>
      <c r="Z25" s="28">
        <f>VLOOKUP(D25,'Estimación  PRESUPUESTO PCAS'!$B$4:$G$158,'Estimación  PRESUPUESTO PCAS'!$G$2,FALSE)</f>
        <v>191869.02644754233</v>
      </c>
      <c r="AA25" s="650">
        <f>(-O25-R25)/(1+0.12)+PV(12%,20,P25)+PV(12%,20,T25)-(O25*0.5)/(1+0.12)^10-S25/(1+0.12)^10</f>
        <v>-2796286.8575643692</v>
      </c>
      <c r="AB25" s="651">
        <f>M25+AA25</f>
        <v>-19588044.979876965</v>
      </c>
      <c r="AC25" s="10">
        <f>VLOOKUP($E25,Resumen_Generación!$B$5:$F$158,Resumen_Generación!$D$3,FALSE)</f>
        <v>13.847915896</v>
      </c>
      <c r="AD25" s="10">
        <f>VLOOKUP($E25,Resumen_Generación!$B$5:$G$158,Resumen_Generación!$G$3,FALSE)</f>
        <v>5.6654726299999991</v>
      </c>
      <c r="AE25" s="362">
        <f>VLOOKUP($E25,Resumen_Generación!$B$5:$F$158,Resumen_Generación!$E$3,FALSE)</f>
        <v>17340</v>
      </c>
      <c r="AF25" s="10">
        <f>VLOOKUP($E25,Resumen_Generación!$B$5:$F$158,Resumen_Generación!$F$3,FALSE)</f>
        <v>6.4016049999999991</v>
      </c>
      <c r="AG25" s="448">
        <f>VLOOKUP($D25,Valoración_Equip_actual!$D$4:$I$157,Valoración_Equip_actual!$E$2,FALSE)*$E$4</f>
        <v>0</v>
      </c>
      <c r="AH25" s="448">
        <f>VLOOKUP($D25,Valoración_Equip_actual!$D$4:$I$157,Valoración_Equip_actual!$F$2,FALSE)*$E$4</f>
        <v>97377.24</v>
      </c>
      <c r="AI25" s="448">
        <f>[12]P_Datos!$D$43</f>
        <v>0.41199999999999998</v>
      </c>
      <c r="AN25" s="34" t="str">
        <f>[12]Datos!$C$2</f>
        <v>Carmen de Areco</v>
      </c>
      <c r="AO25" s="25" t="str">
        <f>VLOOKUP($E25,Tabla13[],Inputs_costos!$D$1,FALSE)</f>
        <v>CARMEN DE ARECO</v>
      </c>
      <c r="AP25" s="28" t="str">
        <f>VLOOKUP($D25,'Costo Social x localidad'!$B$2:$M$156,1,FALSE)</f>
        <v>CARMEN DE ARECO</v>
      </c>
      <c r="AQ25" s="5"/>
      <c r="AR25" s="2"/>
      <c r="AS25" s="2"/>
    </row>
    <row r="26" spans="1:45" ht="15.75" thickBot="1">
      <c r="A26" s="917"/>
      <c r="B26" s="888"/>
      <c r="C26" s="476"/>
      <c r="D26" s="12" t="s">
        <v>8</v>
      </c>
      <c r="E26" s="40"/>
      <c r="F26" s="13"/>
      <c r="G26" s="8"/>
      <c r="H26" s="32">
        <f>SUM(H22:H25)</f>
        <v>11564103.042159973</v>
      </c>
      <c r="I26" s="32"/>
      <c r="J26" s="32">
        <f>SUM(J22:J25)</f>
        <v>5292644.4361200677</v>
      </c>
      <c r="K26" s="14"/>
      <c r="L26" s="14"/>
      <c r="M26" s="15">
        <f t="shared" ref="M26:T26" si="13">SUM(M22:M25)</f>
        <v>-53581532.925891079</v>
      </c>
      <c r="N26" s="15"/>
      <c r="O26" s="16">
        <f t="shared" si="13"/>
        <v>2714376.4844859997</v>
      </c>
      <c r="P26" s="16">
        <f t="shared" si="13"/>
        <v>763581.12953015044</v>
      </c>
      <c r="Q26" s="16"/>
      <c r="R26" s="26">
        <f t="shared" si="13"/>
        <v>17203741.26568</v>
      </c>
      <c r="S26" s="26"/>
      <c r="T26" s="26">
        <f t="shared" si="13"/>
        <v>3759021.5734160002</v>
      </c>
      <c r="U26" s="26"/>
      <c r="V26" s="26">
        <f t="shared" ref="V26" si="14">SUM(V22:V25)</f>
        <v>8187460.4927679999</v>
      </c>
      <c r="W26" s="26"/>
      <c r="X26" s="26">
        <f t="shared" ref="X26:AA26" si="15">SUM(X22:X25)</f>
        <v>726930.32523161394</v>
      </c>
      <c r="Y26" s="26">
        <f t="shared" si="15"/>
        <v>131669.11560712001</v>
      </c>
      <c r="Z26" s="26">
        <f t="shared" si="15"/>
        <v>927386.41285093979</v>
      </c>
      <c r="AA26" s="653">
        <f t="shared" si="15"/>
        <v>-52527154.297053888</v>
      </c>
      <c r="AB26" s="654">
        <f>+M26+AA26</f>
        <v>-106108687.22294497</v>
      </c>
      <c r="AC26" s="630">
        <f t="shared" ref="AC26:AI26" si="16">SUM(AC22:AC25)</f>
        <v>66.662959888000003</v>
      </c>
      <c r="AD26" s="630">
        <f t="shared" si="16"/>
        <v>27.286805139999998</v>
      </c>
      <c r="AE26" s="631">
        <f t="shared" si="16"/>
        <v>83483</v>
      </c>
      <c r="AF26" s="630">
        <f t="shared" si="16"/>
        <v>30.816744</v>
      </c>
      <c r="AG26" s="630">
        <f t="shared" si="16"/>
        <v>1362742.4315459998</v>
      </c>
      <c r="AH26" s="630">
        <f t="shared" si="16"/>
        <v>97377.24</v>
      </c>
      <c r="AI26" s="630">
        <f t="shared" si="16"/>
        <v>1.9057704918032787</v>
      </c>
      <c r="AJ26" s="4"/>
      <c r="AK26" s="4"/>
      <c r="AL26" s="4"/>
      <c r="AM26" s="4"/>
      <c r="AN26" s="4"/>
      <c r="AO26" s="4"/>
      <c r="AP26" s="4"/>
      <c r="AQ26" s="5"/>
      <c r="AR26" s="2"/>
      <c r="AS26" s="2"/>
    </row>
    <row r="27" spans="1:45">
      <c r="A27" s="917"/>
      <c r="B27" s="886" t="s">
        <v>310</v>
      </c>
      <c r="C27" s="477" t="str">
        <f>IF(AND(D27=AN27,D27=AO27,D27=AP27),"ok","ATENCIÓN NO ESTÁ TOMANDO BIEN LA LOCALIDAD")</f>
        <v>ok</v>
      </c>
      <c r="D27" s="23" t="s">
        <v>225</v>
      </c>
      <c r="E27" s="114">
        <f>VLOOKUP(D27,Pobl_adoptada!$C$5:$D$158,2,FALSE)</f>
        <v>120</v>
      </c>
      <c r="F27" s="8" t="s">
        <v>308</v>
      </c>
      <c r="G27" s="576">
        <f>+'[13]Inversion rec-TA'!$G$21</f>
        <v>2679218.2247098256</v>
      </c>
      <c r="H27" s="577">
        <f>+($AC22/$AC26)*H31+G27</f>
        <v>3236819.7658112915</v>
      </c>
      <c r="I27" s="587">
        <f>+'[13]Costos Operativos Rec-TA'!$G$23</f>
        <v>1435463.0305314476</v>
      </c>
      <c r="J27" s="579">
        <f>+($AC22/$AC26)*J31+I27</f>
        <v>1446615.061353477</v>
      </c>
      <c r="K27" s="10">
        <f>+'[13]Inversion rec-TA'!$G$46</f>
        <v>0</v>
      </c>
      <c r="L27" s="10">
        <f>+'[13]Costos Operativos Rec-TA'!$G$46</f>
        <v>0</v>
      </c>
      <c r="M27" s="19">
        <f t="shared" ref="M27:M30" si="17">-H27/(1+0.12)+PV(12%,20,J27)-H27/(1+0.12)^10</f>
        <v>-14737596.6311878</v>
      </c>
      <c r="N27" s="614">
        <f>+$AD22/$AD26*N32</f>
        <v>596500.06347964809</v>
      </c>
      <c r="O27" s="25">
        <f>IF(N27-AG27&lt;0,0,N27-AG27)</f>
        <v>33968.567383648129</v>
      </c>
      <c r="P27" s="32">
        <f>+$AD22/$AD26*P32</f>
        <v>342240.1318866525</v>
      </c>
      <c r="Q27" s="614">
        <f>+$AC22/$AC26*Q32</f>
        <v>4513444.1229707431</v>
      </c>
      <c r="R27" s="646">
        <f>IF(Q27-AH27&lt;0,0,Q27-AH27)</f>
        <v>4513444.1229707431</v>
      </c>
      <c r="S27" s="25">
        <f>+S22</f>
        <v>815000</v>
      </c>
      <c r="T27" s="32">
        <f>+$AC22/$AC26*T32</f>
        <v>397794.20074789395</v>
      </c>
      <c r="U27" s="27"/>
      <c r="V27" s="461">
        <f>+V22</f>
        <v>3460637.2047999999</v>
      </c>
      <c r="W27" s="27"/>
      <c r="X27" s="461">
        <f>+X22</f>
        <v>307255.48306656978</v>
      </c>
      <c r="Y27" s="27">
        <f>+Y22</f>
        <v>40627.82121496</v>
      </c>
      <c r="Z27" s="27">
        <f>+Z22</f>
        <v>289438.0856376224</v>
      </c>
      <c r="AA27" s="650">
        <f>(-O27-R27)/(1+0.12)+PV(12%,20,P27)+PV(12%,20,T27)-(O27*0.5)/(1+0.12)^10-S27/(1+0.12)^10</f>
        <v>-9855711.302395625</v>
      </c>
      <c r="AB27" s="651">
        <f>M27+AA27</f>
        <v>-24593307.933583423</v>
      </c>
      <c r="AG27" s="448">
        <f>VLOOKUP($D27,Valoración_Eq_REG!$D$4:$I$157,Valoración_Eq_REG!$E$2,FALSE)*$E$4</f>
        <v>562531.49609599996</v>
      </c>
      <c r="AH27" s="448">
        <f>VLOOKUP($D27,Valoración_Eq_REG!$D$4:$I$157,Valoración_Eq_REG!$F$2,FALSE)*$E$4</f>
        <v>0</v>
      </c>
      <c r="AJ27" s="484">
        <f>+'[13]Evaluacion Economica'!$L$25</f>
        <v>3</v>
      </c>
      <c r="AK27" s="448">
        <f>+'[13]Evaluacion Economica'!$R$25</f>
        <v>9</v>
      </c>
      <c r="AL27" s="484">
        <f>+'[13]P_Evaluacion Economica'!$L$27</f>
        <v>3</v>
      </c>
      <c r="AM27" s="448">
        <f>+'[13]P_Evaluacion Economica'!$Q$27</f>
        <v>6</v>
      </c>
      <c r="AN27" s="34" t="str">
        <f>+[13]Datos!$C$2</f>
        <v>San Antonio de Areco</v>
      </c>
      <c r="AO27" s="25" t="str">
        <f>VLOOKUP($E27,Tabla13[],Inputs_costos!$D$1,FALSE)</f>
        <v>SAN ANTONIO DE ARECO</v>
      </c>
      <c r="AP27" s="28" t="str">
        <f>VLOOKUP($D27,'Costo Social x localidad'!$B$2:$M$156,1,FALSE)</f>
        <v>SAN ANTONIO DE ARECO</v>
      </c>
      <c r="AQ27" s="5"/>
      <c r="AR27" s="2"/>
      <c r="AS27" s="2"/>
    </row>
    <row r="28" spans="1:45">
      <c r="A28" s="917"/>
      <c r="B28" s="887"/>
      <c r="C28" s="478" t="str">
        <f>IF(AND(D28=AN28,D28=AO28,D28=AP28),"ok","ATENCIÓN NO ESTÁ TOMANDO BIEN LA LOCALIDAD")</f>
        <v>ok</v>
      </c>
      <c r="D28" s="24" t="s">
        <v>224</v>
      </c>
      <c r="E28" s="115">
        <f>VLOOKUP(D28,Pobl_adoptada!$C$5:$D$158,2,FALSE)</f>
        <v>119</v>
      </c>
      <c r="F28" s="9" t="s">
        <v>308</v>
      </c>
      <c r="G28" s="580">
        <f>+'[14]Inversion rec-TA'!$G$21</f>
        <v>1856180.6570347629</v>
      </c>
      <c r="H28" s="34">
        <f>+($AC23/$AC26)*H31+G28</f>
        <v>2351637.5648758826</v>
      </c>
      <c r="I28" s="465">
        <f>+'[14]Costos Operativos Rec-TA'!$G$23</f>
        <v>946519.45778874401</v>
      </c>
      <c r="J28" s="581">
        <f>+($AC23/$AC26)*J31+I28</f>
        <v>956428.59594556643</v>
      </c>
      <c r="K28" s="10">
        <f>+'[14]Inversion rec-TA'!$G$46</f>
        <v>0</v>
      </c>
      <c r="L28" s="10">
        <f>+'[14]Costos Operativos Rec-TA'!$G$46</f>
        <v>0</v>
      </c>
      <c r="M28" s="19">
        <f t="shared" si="17"/>
        <v>-10000830.233372167</v>
      </c>
      <c r="N28" s="465">
        <f>+$AD23/$AD26*N32</f>
        <v>532059.21852236125</v>
      </c>
      <c r="O28" s="25">
        <f>IF(N28-AG28&lt;0,0,N28-AG28)</f>
        <v>0</v>
      </c>
      <c r="P28" s="25">
        <f>+$AD23/$AD26*P32</f>
        <v>305267.38933836669</v>
      </c>
      <c r="Q28" s="465">
        <f>+$AC23/$AC26*Q32</f>
        <v>4010421.248950311</v>
      </c>
      <c r="R28" s="647">
        <f>IF(Q28-AH28&lt;0,0,Q28-AH28)</f>
        <v>4010421.248950311</v>
      </c>
      <c r="S28" s="25">
        <f>+S23</f>
        <v>815000</v>
      </c>
      <c r="T28" s="25">
        <f>+$AC23/$AC26*T32</f>
        <v>353460.07880530058</v>
      </c>
      <c r="U28" s="683"/>
      <c r="V28" s="461">
        <f t="shared" ref="V28" si="18">+V23</f>
        <v>2585299.5588799999</v>
      </c>
      <c r="W28" s="28"/>
      <c r="X28" s="461">
        <f t="shared" ref="X28:Z30" si="19">+X23</f>
        <v>229537.91970267272</v>
      </c>
      <c r="Y28" s="28">
        <f t="shared" si="19"/>
        <v>40327.731950239999</v>
      </c>
      <c r="Z28" s="28">
        <f t="shared" si="19"/>
        <v>265208.05950059823</v>
      </c>
      <c r="AA28" s="650">
        <f>(-O28-R28)/(1+0.12)+PV(12%,20,P28)+PV(12%,20,T28)-(O28*0.5)/(1+0.12)^10-S28/(1+0.12)^10</f>
        <v>-8763469.1329079419</v>
      </c>
      <c r="AB28" s="684">
        <f>M28+AA28</f>
        <v>-18764299.366280109</v>
      </c>
      <c r="AC28" s="10"/>
      <c r="AD28" s="10"/>
      <c r="AE28" s="10"/>
      <c r="AF28" s="10"/>
      <c r="AG28" s="448">
        <f>VLOOKUP($D28,Valoración_Eq_REG!$D$4:$I$157,Valoración_Eq_REG!$E$2,FALSE)*$E$4</f>
        <v>607744.52919999999</v>
      </c>
      <c r="AH28" s="448">
        <f>VLOOKUP($D28,Valoración_Eq_REG!$D$4:$I$157,Valoración_Eq_REG!$F$2,FALSE)*$E$4</f>
        <v>0</v>
      </c>
      <c r="AI28" s="11"/>
      <c r="AJ28" s="484">
        <f>+'[14]Evaluacion Economica'!$L$25</f>
        <v>2</v>
      </c>
      <c r="AK28" s="448">
        <f>+'[14]Evaluacion Economica'!$R$25</f>
        <v>16</v>
      </c>
      <c r="AL28" s="484">
        <f>+'[14]P_Evaluacion Economica'!$L$27</f>
        <v>2</v>
      </c>
      <c r="AM28" s="448">
        <f>+'[14]P_Evaluacion Economica'!$Q$27</f>
        <v>6</v>
      </c>
      <c r="AN28" s="34" t="str">
        <f>+[14]Datos!$C$2</f>
        <v>San Andrés de Giles</v>
      </c>
      <c r="AO28" s="25" t="str">
        <f>VLOOKUP($E28,Tabla13[],Inputs_costos!$D$1,FALSE)</f>
        <v>SAN ANDRÉS DE GILES</v>
      </c>
      <c r="AP28" s="28" t="str">
        <f>VLOOKUP($D28,'Costo Social x localidad'!$B$2:$M$156,1,FALSE)</f>
        <v>SAN ANDRÉS DE GILES</v>
      </c>
      <c r="AQ28" s="5"/>
      <c r="AR28" s="2"/>
      <c r="AS28" s="2"/>
    </row>
    <row r="29" spans="1:45" ht="15" customHeight="1">
      <c r="A29" s="917"/>
      <c r="B29" s="887"/>
      <c r="C29" s="478" t="str">
        <f>IF(AND(D29=AN29,D29=AO29,D29=AP29),"ok","ATENCIÓN NO ESTÁ TOMANDO BIEN LA LOCALIDAD")</f>
        <v>ok</v>
      </c>
      <c r="D29" s="24" t="s">
        <v>132</v>
      </c>
      <c r="E29" s="115">
        <f>VLOOKUP(D29,Pobl_adoptada!$C$5:$D$158,2,FALSE)</f>
        <v>43</v>
      </c>
      <c r="F29" s="9" t="s">
        <v>308</v>
      </c>
      <c r="G29" s="580">
        <f>+'[15]Inversion rec-TA'!$G$21</f>
        <v>2357702.8931275615</v>
      </c>
      <c r="H29" s="34">
        <f>+($AC24/$AC26)*H31+G29</f>
        <v>2741168.6348090544</v>
      </c>
      <c r="I29" s="465">
        <f>+'[15]Costos Operativos Rec-TA'!$G$23</f>
        <v>1245819.9478781733</v>
      </c>
      <c r="J29" s="581">
        <f>+($AC24/$AC26)*J31+I29</f>
        <v>1253489.2627118032</v>
      </c>
      <c r="K29" s="10">
        <f>+'[15]Inversion rec-TA'!$G$46</f>
        <v>0</v>
      </c>
      <c r="L29" s="10">
        <f>+'[15]Costos Operativos Rec-TA'!$G$46</f>
        <v>0</v>
      </c>
      <c r="M29" s="19">
        <f t="shared" si="17"/>
        <v>-12692922.314281374</v>
      </c>
      <c r="N29" s="465">
        <f>+$AD24/$AD26*N32</f>
        <v>411088.36880506866</v>
      </c>
      <c r="O29" s="25">
        <f>IF(N29-AG29&lt;0,0,N29-AG29)</f>
        <v>411088.36880506866</v>
      </c>
      <c r="P29" s="25">
        <f>+$AD24/$AD26*P32</f>
        <v>235860.72520462648</v>
      </c>
      <c r="Q29" s="465">
        <f>+$AC24/$AC26*Q32</f>
        <v>3103921.1167424107</v>
      </c>
      <c r="R29" s="647">
        <f>IF(Q29-AH29&lt;0,0,Q29-AH29)</f>
        <v>3103921.1167424107</v>
      </c>
      <c r="S29" s="25">
        <f>+S24</f>
        <v>0</v>
      </c>
      <c r="T29" s="25">
        <f>+$AC24/$AC26*T32</f>
        <v>273565.32753669395</v>
      </c>
      <c r="V29" s="461">
        <f t="shared" ref="V29" si="20">+V24</f>
        <v>920122.36268799996</v>
      </c>
      <c r="W29" s="25"/>
      <c r="X29" s="461">
        <f t="shared" ref="X29:Y29" si="21">+X24</f>
        <v>81693.810791817377</v>
      </c>
      <c r="Y29" s="28">
        <f t="shared" si="21"/>
        <v>24229.542358560004</v>
      </c>
      <c r="Z29" s="28">
        <f t="shared" si="19"/>
        <v>180871.24126517674</v>
      </c>
      <c r="AA29" s="650">
        <f>(-O29-R29)/(1+0.12)+PV(12%,20,P29)+PV(12%,20,T29)-(O29*0.5)/(1+0.12)^10-S29/(1+0.12)^10</f>
        <v>-7009710.2344111856</v>
      </c>
      <c r="AB29" s="651">
        <f>M29+AA29</f>
        <v>-19702632.548692562</v>
      </c>
      <c r="AC29" s="10"/>
      <c r="AD29" s="10"/>
      <c r="AE29" s="10"/>
      <c r="AF29" s="10"/>
      <c r="AG29" s="448">
        <f>VLOOKUP($D29,Valoración_Eq_REG!$D$4:$I$157,Valoración_Eq_REG!$E$2,FALSE)*$E$4</f>
        <v>0</v>
      </c>
      <c r="AH29" s="448">
        <f>VLOOKUP($D29,Valoración_Eq_REG!$D$4:$I$157,Valoración_Eq_REG!$F$2,FALSE)*$E$4</f>
        <v>0</v>
      </c>
      <c r="AI29" s="2"/>
      <c r="AJ29" s="484">
        <f>+'[15]Evaluacion Economica'!$L$25</f>
        <v>3</v>
      </c>
      <c r="AK29" s="448">
        <f>+'[15]Evaluacion Economica'!$R$25</f>
        <v>17</v>
      </c>
      <c r="AL29" s="484">
        <f>+'[15]P_Evaluacion Economica'!$L$27</f>
        <v>2</v>
      </c>
      <c r="AM29" s="448">
        <f>+'[15]P_Evaluacion Economica'!$Q$27</f>
        <v>6</v>
      </c>
      <c r="AN29" s="34" t="str">
        <f>+[15]Datos!$C$2</f>
        <v>Capitán Sarmiento</v>
      </c>
      <c r="AO29" s="25" t="str">
        <f>VLOOKUP($E29,Tabla13[],Inputs_costos!$D$1,FALSE)</f>
        <v>CAPITÁN SARMIENTO</v>
      </c>
      <c r="AP29" s="28" t="str">
        <f>VLOOKUP($D29,'Costo Social x localidad'!$B$2:$M$156,1,FALSE)</f>
        <v>CAPITÁN SARMIENTO</v>
      </c>
      <c r="AQ29" s="5"/>
      <c r="AR29" s="2"/>
      <c r="AS29" s="2"/>
    </row>
    <row r="30" spans="1:45" ht="15.75" thickBot="1">
      <c r="A30" s="917"/>
      <c r="B30" s="887"/>
      <c r="C30" s="478" t="str">
        <f>IF(AND(D30=AN30,D30=AO30,D30=AP30),"ok","ATENCIÓN NO ESTÁ TOMANDO BIEN LA LOCALIDAD")</f>
        <v>ok</v>
      </c>
      <c r="D30" s="36" t="s">
        <v>135</v>
      </c>
      <c r="E30" s="115">
        <f>VLOOKUP(D30,Pobl_adoptada!$C$5:$D$158,2,FALSE)</f>
        <v>46</v>
      </c>
      <c r="F30" s="9" t="s">
        <v>308</v>
      </c>
      <c r="G30" s="580">
        <f>+'[16]Inversion rec-TA'!$G$21</f>
        <v>2976590.5415521446</v>
      </c>
      <c r="H30" s="34">
        <f>+($AC25/$AC26)*H31+G30</f>
        <v>3353242.0535218194</v>
      </c>
      <c r="I30" s="465">
        <f>+'[16]Costos Operativos Rec-TA'!$G$23</f>
        <v>1704254.8581300816</v>
      </c>
      <c r="J30" s="581">
        <f>+($AC25/$AC26)*J31+I30</f>
        <v>1711787.888369475</v>
      </c>
      <c r="K30" s="10">
        <f>+'[16]Inversion rec-TA'!$G$46</f>
        <v>0</v>
      </c>
      <c r="L30" s="10">
        <f>+'[16]Costos Operativos Rec-TA'!$G$46</f>
        <v>0</v>
      </c>
      <c r="M30" s="19">
        <f t="shared" si="17"/>
        <v>-16859723.445242938</v>
      </c>
      <c r="N30" s="465">
        <f>+$AD25/$AD26*N32</f>
        <v>403436.35719292198</v>
      </c>
      <c r="O30" s="25">
        <f>IF(N30-AG30&lt;0,0,N30-AG30)</f>
        <v>403436.35719292198</v>
      </c>
      <c r="P30" s="25">
        <f>+$AD25/$AD26*P32</f>
        <v>231470.40637035429</v>
      </c>
      <c r="Q30" s="465">
        <f>+$AC25/$AC26*Q32</f>
        <v>3048764.0865365351</v>
      </c>
      <c r="R30" s="647">
        <f>IF(Q30-AH30&lt;0,0,Q30-AH30)</f>
        <v>2951386.8465365348</v>
      </c>
      <c r="S30" s="25">
        <f>+S25</f>
        <v>0</v>
      </c>
      <c r="T30" s="25">
        <f>+$AC25/$AC26*T32</f>
        <v>268704.04064611159</v>
      </c>
      <c r="U30" s="29"/>
      <c r="V30" s="461">
        <f t="shared" ref="V30" si="22">+V25</f>
        <v>1221401.3663999999</v>
      </c>
      <c r="W30" s="25"/>
      <c r="X30" s="461">
        <f t="shared" ref="X30:Y30" si="23">+X25</f>
        <v>108443.11167055403</v>
      </c>
      <c r="Y30" s="28">
        <f t="shared" si="23"/>
        <v>26484.020083359999</v>
      </c>
      <c r="Z30" s="28">
        <f t="shared" si="19"/>
        <v>191869.02644754233</v>
      </c>
      <c r="AA30" s="650">
        <f>(-O30-R30)/(1+0.12)+PV(12%,20,P30)+PV(12%,20,T30)-(O30*0.5)/(1+0.12)^10-S30/(1+0.12)^10</f>
        <v>-6796350.5496333344</v>
      </c>
      <c r="AB30" s="651">
        <f>M30+AA30</f>
        <v>-23656073.994876273</v>
      </c>
      <c r="AC30" s="10"/>
      <c r="AD30" s="10"/>
      <c r="AE30" s="10"/>
      <c r="AF30" s="10"/>
      <c r="AG30" s="448">
        <f>VLOOKUP($D30,Valoración_Eq_REG!$D$4:$I$157,Valoración_Eq_REG!$E$2,FALSE)*$E$4</f>
        <v>0</v>
      </c>
      <c r="AH30" s="448">
        <f>VLOOKUP($D30,Valoración_Eq_REG!$D$4:$I$157,Valoración_Eq_REG!$F$2,FALSE)*$E$4</f>
        <v>97377.24</v>
      </c>
      <c r="AI30" s="2"/>
      <c r="AJ30" s="484">
        <f>+'[16]Evaluacion Economica'!$L$25</f>
        <v>3</v>
      </c>
      <c r="AK30" s="448">
        <f>+'[16]Evaluacion Economica'!$R$25</f>
        <v>16</v>
      </c>
      <c r="AL30" s="484">
        <f>+'[16]P_Evaluacion Economica'!$L$27</f>
        <v>3</v>
      </c>
      <c r="AM30" s="448">
        <f>+'[16]P_Evaluacion Economica'!$Q$27</f>
        <v>6</v>
      </c>
      <c r="AN30" s="34" t="str">
        <f>+[16]Datos!$C$2</f>
        <v>Carmen de Areco</v>
      </c>
      <c r="AO30" s="25" t="str">
        <f>VLOOKUP($E30,Tabla13[],Inputs_costos!$D$1,FALSE)</f>
        <v>CARMEN DE ARECO</v>
      </c>
      <c r="AP30" s="28" t="str">
        <f>VLOOKUP($D30,'Costo Social x localidad'!$B$2:$M$156,1,FALSE)</f>
        <v>CARMEN DE ARECO</v>
      </c>
      <c r="AQ30" s="2"/>
      <c r="AR30" s="2"/>
      <c r="AS30" s="2"/>
    </row>
    <row r="31" spans="1:45" ht="30.75" thickBot="1">
      <c r="A31" s="917"/>
      <c r="B31" s="887"/>
      <c r="C31" s="912" t="s">
        <v>12</v>
      </c>
      <c r="D31" s="913"/>
      <c r="E31" s="498" t="s">
        <v>589</v>
      </c>
      <c r="F31" s="571">
        <f>+F16</f>
        <v>0.02</v>
      </c>
      <c r="G31" s="582"/>
      <c r="H31" s="461">
        <f>+AJ31*AJ33+AL31*AL33</f>
        <v>1813175.7025937531</v>
      </c>
      <c r="I31" s="461"/>
      <c r="J31" s="583">
        <f>+$F31*H31</f>
        <v>36263.514051875063</v>
      </c>
      <c r="K31" s="10"/>
      <c r="L31" s="10"/>
      <c r="M31" s="19"/>
      <c r="N31" s="465"/>
      <c r="O31" s="10"/>
      <c r="P31" s="10"/>
      <c r="Q31" s="618"/>
      <c r="R31" s="645"/>
      <c r="S31" s="645"/>
      <c r="T31" s="28"/>
      <c r="U31" s="28"/>
      <c r="V31" s="28"/>
      <c r="W31" s="28"/>
      <c r="X31" s="28"/>
      <c r="Y31" s="28"/>
      <c r="Z31" s="28"/>
      <c r="AA31" s="658"/>
      <c r="AB31" s="651"/>
      <c r="AC31" s="10"/>
      <c r="AD31" s="10"/>
      <c r="AE31" s="10"/>
      <c r="AF31" s="10"/>
      <c r="AG31" s="4"/>
      <c r="AH31" s="4"/>
      <c r="AI31" s="4"/>
      <c r="AJ31" s="501">
        <f>ROUNDUP(C32*SUM(AJ27:AJ30),0)</f>
        <v>4</v>
      </c>
      <c r="AK31" s="502">
        <f>AVERAGE(AK27:AK30)</f>
        <v>14.5</v>
      </c>
      <c r="AL31" s="501">
        <f>ROUNDUP(C32*SUM(AL27:AL30),0)</f>
        <v>3</v>
      </c>
      <c r="AM31" s="502">
        <f>AVERAGE(AM27:AM30)</f>
        <v>6</v>
      </c>
      <c r="AN31" s="4"/>
      <c r="AO31" s="4"/>
      <c r="AP31" s="4"/>
      <c r="AQ31" s="2"/>
      <c r="AR31" s="2"/>
      <c r="AS31" s="2"/>
    </row>
    <row r="32" spans="1:45" ht="15.75" thickBot="1">
      <c r="A32" s="918"/>
      <c r="B32" s="888"/>
      <c r="C32" s="570">
        <v>0.3</v>
      </c>
      <c r="D32" s="500" t="str">
        <f>A22</f>
        <v>REGIÓN SAN ANTONIO DE ARECO</v>
      </c>
      <c r="E32" s="468"/>
      <c r="F32" s="469"/>
      <c r="G32" s="584"/>
      <c r="H32" s="585">
        <f>SUM(H27:H30)</f>
        <v>11682868.019018048</v>
      </c>
      <c r="I32" s="585"/>
      <c r="J32" s="586">
        <f>SUM(J27:J30)</f>
        <v>5368320.8083803225</v>
      </c>
      <c r="K32" s="14"/>
      <c r="L32" s="14"/>
      <c r="M32" s="15">
        <f>SUM(M27:M31)</f>
        <v>-54291072.624084279</v>
      </c>
      <c r="N32" s="615">
        <f>(VLOOKUP($E27,Tabla13[],Inputs_costos!$P$1,FALSE))*(O$3*$E$3+O$4*$E$4)</f>
        <v>1943084.0080000001</v>
      </c>
      <c r="O32" s="35">
        <f>SUM(O27:O30)</f>
        <v>848493.29338163882</v>
      </c>
      <c r="P32" s="35">
        <f>(VLOOKUP($E27,Tabla13[],Inputs_costos!$Q$1,FALSE))*(P$3*$E$3+P$4*$E$4)</f>
        <v>1114838.6528</v>
      </c>
      <c r="Q32" s="615">
        <f>IF($AC26&gt;=15,(VLOOKUP($E27,Tabla13[],Inputs_costos!$N$1,FALSE))*($R$3*$E$3+$R$4*$E$4),(VLOOKUP($E27,Tabla13[],Inputs_costos!$N$1,FALSE))*($T$3*$E$3+$T$4*$E$4))</f>
        <v>14676550.575200001</v>
      </c>
      <c r="R32" s="35">
        <f>SUM(R27:R30)</f>
        <v>14579173.335200001</v>
      </c>
      <c r="S32" s="35"/>
      <c r="T32" s="35">
        <f>IF($AC26&gt;=15,(VLOOKUP($E27,Tabla13[],Inputs_costos!$O$1,FALSE))*($R$3*$E$3+$R$4*$E$4),(VLOOKUP($E27,Tabla13[],Inputs_costos!$O$1,FALSE))*($T$3*$E$3+$T$4*$E$4))</f>
        <v>1293523.6477360001</v>
      </c>
      <c r="U32" s="35"/>
      <c r="V32" s="31">
        <f>SUM(V27:V30)</f>
        <v>8187460.4927679999</v>
      </c>
      <c r="W32" s="31"/>
      <c r="X32" s="31">
        <f>SUM(X27:X30)</f>
        <v>726930.32523161394</v>
      </c>
      <c r="Y32" s="31">
        <f>SUM(Y27:Y30)</f>
        <v>131669.11560712001</v>
      </c>
      <c r="Z32" s="31">
        <f>SUM(Z27:Z30)</f>
        <v>927386.41285093979</v>
      </c>
      <c r="AA32" s="657">
        <f>SUM(AA27:AA30)</f>
        <v>-32425241.219348092</v>
      </c>
      <c r="AB32" s="654">
        <f>+M32+AA32</f>
        <v>-86716313.843432367</v>
      </c>
      <c r="AC32" s="38"/>
      <c r="AD32" s="38"/>
      <c r="AE32" s="38"/>
      <c r="AF32" s="38"/>
      <c r="AG32" s="4"/>
      <c r="AH32" s="4"/>
      <c r="AI32" s="4"/>
      <c r="AJ32" s="11"/>
      <c r="AK32" s="499">
        <f>VLOOKUP(ROUNDUP(AK31,0),DATOS!$F$16:$G$31,2,FALSE)</f>
        <v>15</v>
      </c>
      <c r="AL32" s="497"/>
      <c r="AM32" s="499">
        <f>VLOOKUP(ROUNDUP(AM31,0),DATOS!$J$16:$K$34,2,FALSE)</f>
        <v>6</v>
      </c>
      <c r="AN32" s="4"/>
      <c r="AO32" s="4"/>
      <c r="AP32" s="4"/>
      <c r="AQ32" s="2"/>
      <c r="AR32" s="2"/>
      <c r="AS32" s="2"/>
    </row>
    <row r="33" spans="1:42">
      <c r="F33" s="2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0"/>
      <c r="V33" s="2"/>
      <c r="W33" s="2"/>
      <c r="X33" s="2"/>
      <c r="Y33" s="2"/>
      <c r="Z33" s="2"/>
      <c r="AA33" s="4"/>
      <c r="AB33" s="4"/>
      <c r="AC33" s="4"/>
      <c r="AD33" s="4"/>
      <c r="AE33" s="4"/>
      <c r="AF33" s="4"/>
      <c r="AG33" s="644"/>
      <c r="AH33" s="448"/>
      <c r="AI33" s="4"/>
      <c r="AJ33" s="892">
        <f>VLOOKUP(AK32,DATOS!$F$3:$H$11,3,FALSE)</f>
        <v>277598.62978843832</v>
      </c>
      <c r="AK33" s="892"/>
      <c r="AL33" s="892">
        <f>VLOOKUP(AM32,DATOS!$J$3:$L$12,3,FALSE)</f>
        <v>234260.39447999999</v>
      </c>
      <c r="AM33" s="892"/>
      <c r="AN33" s="4"/>
      <c r="AO33" s="4"/>
      <c r="AP33" s="4"/>
    </row>
    <row r="34" spans="1:42" ht="15.75" thickBot="1">
      <c r="A34" s="503"/>
      <c r="B34" s="503"/>
      <c r="C34" s="503"/>
      <c r="D34" s="503"/>
      <c r="E34" s="503"/>
      <c r="F34" s="503"/>
      <c r="G34" s="503"/>
      <c r="H34" s="503"/>
      <c r="I34" s="503"/>
      <c r="J34" s="503"/>
      <c r="K34" s="503"/>
      <c r="L34" s="503"/>
      <c r="M34" s="503"/>
      <c r="N34" s="503"/>
      <c r="O34" s="503"/>
      <c r="P34" s="503"/>
      <c r="Q34" s="503"/>
      <c r="R34" s="503"/>
      <c r="S34" s="503"/>
      <c r="T34" s="503"/>
      <c r="U34" s="503"/>
      <c r="V34" s="503"/>
      <c r="W34" s="503"/>
      <c r="X34" s="503"/>
      <c r="Y34" s="503"/>
      <c r="Z34" s="503"/>
      <c r="AA34" s="503"/>
      <c r="AB34" s="503"/>
      <c r="AC34" s="503"/>
      <c r="AD34" s="503"/>
      <c r="AE34" s="503"/>
      <c r="AF34" s="503"/>
      <c r="AG34" s="503"/>
      <c r="AH34" s="503"/>
      <c r="AI34" s="503"/>
      <c r="AJ34" s="503"/>
      <c r="AK34" s="503"/>
      <c r="AL34" s="503"/>
      <c r="AM34" s="503"/>
      <c r="AN34" s="503"/>
      <c r="AO34" s="503"/>
      <c r="AP34" s="503"/>
    </row>
    <row r="35" spans="1:42" ht="39" thickBot="1">
      <c r="A35" s="886" t="s">
        <v>7</v>
      </c>
      <c r="B35" s="886" t="s">
        <v>2</v>
      </c>
      <c r="C35" s="474"/>
      <c r="D35" s="882" t="s">
        <v>22</v>
      </c>
      <c r="E35" s="882" t="s">
        <v>23</v>
      </c>
      <c r="F35" s="882" t="s">
        <v>3</v>
      </c>
      <c r="G35" s="568"/>
      <c r="H35" s="901" t="s">
        <v>0</v>
      </c>
      <c r="I35" s="901"/>
      <c r="J35" s="901"/>
      <c r="K35" s="901" t="s">
        <v>1</v>
      </c>
      <c r="L35" s="901"/>
      <c r="M35" s="886" t="s">
        <v>10</v>
      </c>
      <c r="N35" s="879" t="s">
        <v>5</v>
      </c>
      <c r="O35" s="880"/>
      <c r="P35" s="881"/>
      <c r="Q35" s="902" t="s">
        <v>4</v>
      </c>
      <c r="R35" s="903"/>
      <c r="S35" s="903"/>
      <c r="T35" s="904"/>
      <c r="U35" s="902" t="s">
        <v>6</v>
      </c>
      <c r="V35" s="903"/>
      <c r="W35" s="903"/>
      <c r="X35" s="904"/>
      <c r="Y35" s="390" t="s">
        <v>689</v>
      </c>
      <c r="Z35" s="662" t="s">
        <v>690</v>
      </c>
      <c r="AA35" s="905" t="s">
        <v>686</v>
      </c>
      <c r="AB35" s="886" t="s">
        <v>9</v>
      </c>
      <c r="AC35" s="907" t="s">
        <v>312</v>
      </c>
      <c r="AD35" s="914" t="s">
        <v>649</v>
      </c>
      <c r="AE35" s="897" t="s">
        <v>20</v>
      </c>
      <c r="AF35" s="897" t="s">
        <v>313</v>
      </c>
      <c r="AG35" s="899" t="s">
        <v>552</v>
      </c>
      <c r="AH35" s="895" t="s">
        <v>578</v>
      </c>
      <c r="AI35" s="897" t="s">
        <v>579</v>
      </c>
      <c r="AJ35" s="882" t="s">
        <v>581</v>
      </c>
      <c r="AK35" s="882" t="s">
        <v>582</v>
      </c>
      <c r="AL35" s="882" t="s">
        <v>581</v>
      </c>
      <c r="AM35" s="882" t="s">
        <v>582</v>
      </c>
      <c r="AN35" s="884" t="s">
        <v>553</v>
      </c>
      <c r="AO35" s="885"/>
      <c r="AP35" s="885"/>
    </row>
    <row r="36" spans="1:42" ht="30.75" thickBot="1">
      <c r="A36" s="888"/>
      <c r="B36" s="888"/>
      <c r="C36" s="475"/>
      <c r="D36" s="883"/>
      <c r="E36" s="883"/>
      <c r="F36" s="883"/>
      <c r="G36" s="569"/>
      <c r="H36" s="17" t="s">
        <v>18</v>
      </c>
      <c r="I36" s="17"/>
      <c r="J36" s="17" t="s">
        <v>17</v>
      </c>
      <c r="K36" s="17" t="s">
        <v>18</v>
      </c>
      <c r="L36" s="17" t="s">
        <v>17</v>
      </c>
      <c r="M36" s="888"/>
      <c r="N36" s="464" t="s">
        <v>685</v>
      </c>
      <c r="O36" s="17" t="s">
        <v>18</v>
      </c>
      <c r="P36" s="17" t="s">
        <v>17</v>
      </c>
      <c r="Q36" s="464" t="s">
        <v>685</v>
      </c>
      <c r="R36" s="17" t="s">
        <v>18</v>
      </c>
      <c r="S36" s="17"/>
      <c r="T36" s="17" t="s">
        <v>17</v>
      </c>
      <c r="U36" s="464" t="s">
        <v>576</v>
      </c>
      <c r="V36" s="17" t="s">
        <v>18</v>
      </c>
      <c r="W36" s="464" t="s">
        <v>577</v>
      </c>
      <c r="X36" s="17" t="s">
        <v>17</v>
      </c>
      <c r="Y36" s="17" t="s">
        <v>18</v>
      </c>
      <c r="Z36" s="17" t="s">
        <v>17</v>
      </c>
      <c r="AA36" s="906"/>
      <c r="AB36" s="888"/>
      <c r="AC36" s="908"/>
      <c r="AD36" s="915"/>
      <c r="AE36" s="898"/>
      <c r="AF36" s="898"/>
      <c r="AG36" s="900"/>
      <c r="AH36" s="896"/>
      <c r="AI36" s="898"/>
      <c r="AJ36" s="883"/>
      <c r="AK36" s="883"/>
      <c r="AL36" s="883"/>
      <c r="AM36" s="883"/>
      <c r="AN36" s="1" t="s">
        <v>551</v>
      </c>
      <c r="AO36" s="9" t="s">
        <v>554</v>
      </c>
      <c r="AP36" s="1" t="s">
        <v>555</v>
      </c>
    </row>
    <row r="37" spans="1:42">
      <c r="A37" s="916" t="s">
        <v>591</v>
      </c>
      <c r="B37" s="886" t="s">
        <v>309</v>
      </c>
      <c r="C37" s="477" t="str">
        <f>IF(AND(D37=AN37,D37=AO37,D37=AP37),"ok","ATENCIÓN NO ESTÁ TOMANDO BIEN LA LOCALIDAD")</f>
        <v>ok</v>
      </c>
      <c r="D37" s="23" t="s">
        <v>139</v>
      </c>
      <c r="E37" s="114">
        <f>VLOOKUP(D37,Pobl_adoptada!$C$5:$D$158,2,FALSE)</f>
        <v>50</v>
      </c>
      <c r="F37" s="8" t="s">
        <v>308</v>
      </c>
      <c r="G37" s="8"/>
      <c r="H37" s="33">
        <f>'[17]Inversion rec-TA'!$G$21</f>
        <v>5066299.6873689638</v>
      </c>
      <c r="I37" s="33"/>
      <c r="J37" s="33">
        <f>'[17]Costos Operativos Rec-TA'!$G$23</f>
        <v>2903607.0170922675</v>
      </c>
      <c r="K37" s="32">
        <f>'[17]Inversion rec-TA'!$G$46</f>
        <v>0</v>
      </c>
      <c r="L37" s="32">
        <f>+'[17]Costos Operativos Rec-TA'!$G$46</f>
        <v>0</v>
      </c>
      <c r="M37" s="19">
        <f t="shared" ref="M37:M39" si="24">-H37/(1+0.12)+PV(12%,20,J37)-H37/(1+0.12)^10</f>
        <v>-27843023.692975614</v>
      </c>
      <c r="N37" s="19"/>
      <c r="O37" s="25">
        <f>IF(((VLOOKUP($E37,Tabla13[],Inputs_costos!$I$1,FALSE))*(O$3*$E$3+O$4*$E$4)-AG37)&lt;0,0,VLOOKUP($E37,Tabla13[],Inputs_costos!$I$1,FALSE)*(O$3*$E$3+O$4*$E$4)-AG37)</f>
        <v>1226125.0927200001</v>
      </c>
      <c r="P37" s="25">
        <f>(VLOOKUP($E37,Tabla13[],Inputs_costos!$J$1,FALSE))*(P$3*$E$3+P$4*$E$4)</f>
        <v>1019381.752512</v>
      </c>
      <c r="Q37" s="25"/>
      <c r="R37" s="25">
        <f>IF($AC37&gt;=15,(VLOOKUP($E37,Tabla13[],Inputs_costos!$G$1,FALSE))*($R$3*$E$3+$R$4*$E$4),(VLOOKUP($E37,Tabla13[],Inputs_costos!$G$1,FALSE))*($T$3*$E$3+$T$4*$E$4))-AH37</f>
        <v>12716737.9968</v>
      </c>
      <c r="S37" s="25">
        <f t="shared" ref="S37:S39" si="25">IF(AC37&lt;15,0,IF(AC37&lt;=350,815000,1345000))</f>
        <v>815000</v>
      </c>
      <c r="T37" s="25">
        <f>IF($AC37&gt;=15,(VLOOKUP($E37,Tabla13[],Inputs_costos!$H$1,FALSE))*($R$3*$E$3+$R$4*$E$4),(VLOOKUP($E37,Tabla13[],Inputs_costos!$H$1,FALSE))*($T$3*$E$3+$T$4*$E$4))</f>
        <v>1330284.9302640001</v>
      </c>
      <c r="U37" s="465">
        <f>SUMIFS(Tabla24[Costo de Cierre Técnico de BCA (US$)],Tabla24[Localidad],Resumen!$D37)</f>
        <v>2067000</v>
      </c>
      <c r="V37" s="461">
        <f>+U37*(V$3*$E$3+V$4*$E$4)</f>
        <v>3969554.4408</v>
      </c>
      <c r="W37" s="465">
        <f>SUMIFS(Tabla24[Costo anual de Manteniemiento Post-cierre (US$)],Tabla24[Localidad],Resumen!$D37)</f>
        <v>183520.27268784557</v>
      </c>
      <c r="X37" s="461">
        <f>+W37*(X$3*$E$3+X$4*$E$4)</f>
        <v>352440.11292930058</v>
      </c>
      <c r="Y37" s="27">
        <f>VLOOKUP($D37,'Costo Social x localidad'!$B$2:$M$156,12,FALSE)*(Y$3*$E$3+Y$4*$E$4)</f>
        <v>133461.74456506668</v>
      </c>
      <c r="Z37" s="28">
        <f>VLOOKUP(D37,'Estimación  PRESUPUESTO PCAS'!$B$4:$G$158,'Estimación  PRESUPUESTO PCAS'!$G$2,FALSE)</f>
        <v>419906.36522111204</v>
      </c>
      <c r="AA37" s="650">
        <f>(-O37-R37)/(1+0.12)+PV(12%,20,P37)+PV(12%,20,T37)-(O37*0.5)/(1+0.12)^10-S37/(1+0.12)^10</f>
        <v>-30459485.644418791</v>
      </c>
      <c r="AB37" s="651">
        <f>M37+AA37</f>
        <v>-58302509.337394401</v>
      </c>
      <c r="AC37" s="10">
        <f>VLOOKUP($E37,Resumen_Generación!$B$5:$F$158,Resumen_Generación!$D$3,FALSE)</f>
        <v>55.46962245600001</v>
      </c>
      <c r="AD37" s="10">
        <f>VLOOKUP($E37,Resumen_Generación!$B$5:$G$158,Resumen_Generación!$G$3,FALSE)</f>
        <v>22.615334430000001</v>
      </c>
      <c r="AE37" s="362">
        <f>VLOOKUP($E37,Resumen_Generación!$B$5:$F$158,Resumen_Generación!$E$3,FALSE)</f>
        <v>72120</v>
      </c>
      <c r="AF37" s="10">
        <f>VLOOKUP($E37,Resumen_Generación!$B$5:$F$158,Resumen_Generación!$F$3,FALSE)</f>
        <v>25.648308000000004</v>
      </c>
      <c r="AG37" s="448">
        <f>VLOOKUP($D37,Valoración_Equip_actual!$D$4:$I$157,Valoración_Equip_actual!$E$2,FALSE)*$E$4</f>
        <v>654631.82920000004</v>
      </c>
      <c r="AH37" s="448">
        <f>VLOOKUP($D37,Valoración_Equip_actual!$D$4:$I$157,Valoración_Equip_actual!$F$2,FALSE)*$E$4</f>
        <v>392052</v>
      </c>
      <c r="AI37" s="448">
        <f>[17]P_Datos!$D$43</f>
        <v>1.9234098360655738</v>
      </c>
      <c r="AN37" s="449" t="str">
        <f>[17]Datos!$C$2</f>
        <v>Chivilcoy</v>
      </c>
      <c r="AO37" s="450" t="str">
        <f>VLOOKUP($E37,Tabla13[],Inputs_costos!$D$1,FALSE)</f>
        <v>CHIVILCOY</v>
      </c>
      <c r="AP37" s="451" t="str">
        <f>VLOOKUP($D37,'Costo Social x localidad'!$B$2:$M$156,1,FALSE)</f>
        <v>CHIVILCOY</v>
      </c>
    </row>
    <row r="38" spans="1:42">
      <c r="A38" s="917"/>
      <c r="B38" s="887"/>
      <c r="C38" s="478" t="str">
        <f>IF(AND(D38=AN38,D38=AO38,D38=AP38),"ok","ATENCIÓN NO ESTÁ TOMANDO BIEN LA LOCALIDAD")</f>
        <v>ok</v>
      </c>
      <c r="D38" s="24" t="s">
        <v>127</v>
      </c>
      <c r="E38" s="115">
        <f>VLOOKUP(D38,Pobl_adoptada!$C$5:$D$158,2,FALSE)</f>
        <v>39</v>
      </c>
      <c r="F38" s="9" t="s">
        <v>308</v>
      </c>
      <c r="G38" s="9"/>
      <c r="H38" s="34">
        <f>'[18]Inversion rec-TA'!$G$21</f>
        <v>4841933.6678497093</v>
      </c>
      <c r="I38" s="34"/>
      <c r="J38" s="34">
        <f>'[18]Costos Operativos Rec-TA'!$G$23</f>
        <v>2791942.8340293155</v>
      </c>
      <c r="K38" s="25">
        <f>'[18]Inversion rec-TA'!$G$46</f>
        <v>0</v>
      </c>
      <c r="L38" s="25">
        <f>+'[18]Costos Operativos Rec-TA'!$G$46</f>
        <v>0</v>
      </c>
      <c r="M38" s="19">
        <f t="shared" si="24"/>
        <v>-26736387.716102522</v>
      </c>
      <c r="N38" s="19"/>
      <c r="O38" s="25">
        <f>IF(((VLOOKUP($E38,Tabla13[],Inputs_costos!$I$1,FALSE))*(O$3*$E$3+O$4*$E$4)-AG38)&lt;0,0,VLOOKUP($E38,Tabla13[],Inputs_costos!$I$1,FALSE)*(O$3*$E$3+O$4*$E$4)-AG38)</f>
        <v>1050912.2175100001</v>
      </c>
      <c r="P38" s="25">
        <f>(VLOOKUP($E38,Tabla13[],Inputs_costos!$J$1,FALSE))*(P$3*$E$3+P$4*$E$4)</f>
        <v>531876.35094400006</v>
      </c>
      <c r="Q38" s="25"/>
      <c r="R38" s="25">
        <f>IF($AC38&gt;=15,(VLOOKUP($E38,Tabla13[],Inputs_costos!$G$1,FALSE))*($R$3*$E$3+$R$4*$E$4),(VLOOKUP($E38,Tabla13[],Inputs_costos!$G$1,FALSE))*($T$3*$E$3+$T$4*$E$4))-AH38</f>
        <v>9212690.5808000006</v>
      </c>
      <c r="S38" s="25">
        <f t="shared" si="25"/>
        <v>815000</v>
      </c>
      <c r="T38" s="25">
        <f>IF($AC38&gt;=15,(VLOOKUP($E38,Tabla13[],Inputs_costos!$H$1,FALSE))*($R$3*$E$3+$R$4*$E$4),(VLOOKUP($E38,Tabla13[],Inputs_costos!$H$1,FALSE))*($T$3*$E$3+$T$4*$E$4))</f>
        <v>1622100.9123600002</v>
      </c>
      <c r="U38" s="465">
        <f>SUMIFS(Tabla24[Costo de Cierre Técnico de BCA (US$)],Tabla24[Localidad],Resumen!$D38)</f>
        <v>1696000</v>
      </c>
      <c r="V38" s="461">
        <f t="shared" ref="V38:V39" si="26">+U38*(V$3*$E$3+V$4*$E$4)</f>
        <v>3257070.3103999998</v>
      </c>
      <c r="W38" s="465">
        <f>SUMIFS(Tabla24[Costo anual de Manteniemiento Post-cierre (US$)],Tabla24[Localidad],Resumen!$D38)</f>
        <v>150580.73656438611</v>
      </c>
      <c r="X38" s="461">
        <f t="shared" ref="X38:X39" si="27">+W38*(X$3*$E$3+X$4*$E$4)</f>
        <v>289181.6311214774</v>
      </c>
      <c r="Y38" s="28">
        <f>VLOOKUP($D38,'Costo Social x localidad'!$B$2:$M$156,12,FALSE)*(Y$3*$E$3+Y$4*$E$4)</f>
        <v>68505.656918720008</v>
      </c>
      <c r="Z38" s="28">
        <f>VLOOKUP(D38,'Estimación  PRESUPUESTO PCAS'!$B$4:$G$158,'Estimación  PRESUPUESTO PCAS'!$G$2,FALSE)</f>
        <v>316298.4677655971</v>
      </c>
      <c r="AA38" s="650">
        <f>(-O38-R38)/(1+0.12)+PV(12%,20,P38)+PV(12%,20,T38)-(O38*0.5)/(1+0.12)^10-S38/(1+0.12)^10</f>
        <v>-25684533.79809593</v>
      </c>
      <c r="AB38" s="651">
        <f>M38+AA38</f>
        <v>-52420921.514198452</v>
      </c>
      <c r="AC38" s="10">
        <f>VLOOKUP($E38,Resumen_Generación!$B$5:$F$158,Resumen_Generación!$D$3,FALSE)</f>
        <v>28.929086247999997</v>
      </c>
      <c r="AD38" s="10">
        <f>VLOOKUP($E38,Resumen_Generación!$B$5:$G$158,Resumen_Generación!$G$3,FALSE)</f>
        <v>11.702942189999998</v>
      </c>
      <c r="AE38" s="362">
        <f>VLOOKUP($E38,Resumen_Generación!$B$5:$F$158,Resumen_Generación!$E$3,FALSE)</f>
        <v>36124</v>
      </c>
      <c r="AF38" s="10">
        <f>VLOOKUP($E38,Resumen_Generación!$B$5:$F$158,Resumen_Generación!$F$3,FALSE)</f>
        <v>13.382341</v>
      </c>
      <c r="AG38" s="448">
        <f>VLOOKUP($D38,Valoración_Equip_actual!$D$4:$I$157,Valoración_Equip_actual!$E$2,FALSE)*$E$4</f>
        <v>682003.37225000001</v>
      </c>
      <c r="AH38" s="448">
        <f>VLOOKUP($D38,Valoración_Equip_actual!$D$4:$I$157,Valoración_Equip_actual!$F$2,FALSE)*$E$4</f>
        <v>0</v>
      </c>
      <c r="AI38" s="448">
        <f>[18]P_Datos!$D$43</f>
        <v>0.9156065573770491</v>
      </c>
      <c r="AN38" s="34" t="str">
        <f>[18]Datos!$C$2</f>
        <v>Bragado</v>
      </c>
      <c r="AO38" s="25" t="str">
        <f>VLOOKUP($E38,Tabla13[],Inputs_costos!$D$1,FALSE)</f>
        <v>BRAGADO</v>
      </c>
      <c r="AP38" s="28" t="str">
        <f>VLOOKUP($D38,'Costo Social x localidad'!$B$2:$M$156,1,FALSE)</f>
        <v>BRAGADO</v>
      </c>
    </row>
    <row r="39" spans="1:42" ht="15.75" thickBot="1">
      <c r="A39" s="917"/>
      <c r="B39" s="887"/>
      <c r="C39" s="478" t="str">
        <f>IF(AND(D39=AN39,D39=AO39,D39=AP39),"ok","ATENCIÓN NO ESTÁ TOMANDO BIEN LA LOCALIDAD")</f>
        <v>ok</v>
      </c>
      <c r="D39" s="36" t="s">
        <v>117</v>
      </c>
      <c r="E39" s="473">
        <f>VLOOKUP(D39,Pobl_adoptada!$C$5:$D$158,2,FALSE)</f>
        <v>29</v>
      </c>
      <c r="F39" s="37" t="s">
        <v>308</v>
      </c>
      <c r="G39" s="37"/>
      <c r="H39" s="117">
        <f>'[19]Inversion rec-TA'!$G$21</f>
        <v>2269050.9607098256</v>
      </c>
      <c r="I39" s="117"/>
      <c r="J39" s="117">
        <f>'[19]Costos Operativos Rec-TA'!$G$23</f>
        <v>928541.86139105028</v>
      </c>
      <c r="K39" s="25">
        <f>'[19]Inversion rec-TA'!$G$46</f>
        <v>0</v>
      </c>
      <c r="L39" s="25">
        <f>+'[19]Costos Operativos Rec-TA'!$G$46</f>
        <v>0</v>
      </c>
      <c r="M39" s="19">
        <f t="shared" si="24"/>
        <v>-9692203.1260742601</v>
      </c>
      <c r="N39" s="19"/>
      <c r="O39" s="25">
        <f>IF(((VLOOKUP($E39,Tabla13[],Inputs_costos!$I$1,FALSE))*(O$3*$E$3+O$4*$E$4)-AG39)&lt;0,0,VLOOKUP($E39,Tabla13[],Inputs_costos!$I$1,FALSE)*(O$3*$E$3+O$4*$E$4)-AG39)</f>
        <v>0</v>
      </c>
      <c r="P39" s="25">
        <f>(VLOOKUP($E39,Tabla13[],Inputs_costos!$J$1,FALSE))*(P$3*$E$3+P$4*$E$4)</f>
        <v>26127.3549570752</v>
      </c>
      <c r="Q39" s="25"/>
      <c r="R39" s="25">
        <f>IF($AC39&gt;=15,(VLOOKUP($E39,Tabla13[],Inputs_costos!$G$1,FALSE))*($R$3*$E$3+$R$4*$E$4),(VLOOKUP($E39,Tabla13[],Inputs_costos!$G$1,FALSE))*($T$3*$E$3+$T$4*$E$4))-AH39</f>
        <v>715865.77023999998</v>
      </c>
      <c r="S39" s="25">
        <f t="shared" si="25"/>
        <v>0</v>
      </c>
      <c r="T39" s="25">
        <f>IF($AC39&gt;=15,(VLOOKUP($E39,Tabla13[],Inputs_costos!$H$1,FALSE))*($R$3*$E$3+$R$4*$E$4),(VLOOKUP($E39,Tabla13[],Inputs_costos!$H$1,FALSE))*($T$3*$E$3+$T$4*$E$4))</f>
        <v>107648.699248</v>
      </c>
      <c r="U39" s="465">
        <f>SUMIFS(Tabla24[Costo de Cierre Técnico de BCA (US$)],Tabla24[Localidad],Resumen!$D39)</f>
        <v>0</v>
      </c>
      <c r="V39" s="461">
        <f t="shared" si="26"/>
        <v>0</v>
      </c>
      <c r="W39" s="465">
        <f>SUMIFS(Tabla24[Costo anual de Manteniemiento Post-cierre (US$)],Tabla24[Localidad],Resumen!$D39)</f>
        <v>0</v>
      </c>
      <c r="X39" s="461">
        <f t="shared" si="27"/>
        <v>0</v>
      </c>
      <c r="Y39" s="447">
        <f>VLOOKUP($D39,'Costo Social x localidad'!$B$2:$M$156,12,FALSE)*(Y$3*$E$3+Y$4*$E$4)</f>
        <v>8308.0550750399998</v>
      </c>
      <c r="Z39" s="28">
        <f>VLOOKUP(D39,'Estimación  PRESUPUESTO PCAS'!$B$4:$G$158,'Estimación  PRESUPUESTO PCAS'!$G$2,FALSE)</f>
        <v>162521.56730949826</v>
      </c>
      <c r="AA39" s="650">
        <f>(-O39-R39)/(1+0.12)+PV(12%,20,P39)+PV(12%,20,T39)-(O39*0.5)/(1+0.12)^10-S39/(1+0.12)^10</f>
        <v>-1638398.5614555161</v>
      </c>
      <c r="AB39" s="651">
        <f>M39+AA39</f>
        <v>-11330601.687529776</v>
      </c>
      <c r="AC39" s="10">
        <f>VLOOKUP($E39,Resumen_Generación!$B$5:$F$158,Resumen_Generación!$D$3,FALSE)</f>
        <v>8.2280880800000009</v>
      </c>
      <c r="AD39" s="10">
        <f>VLOOKUP($E39,Resumen_Generación!$B$5:$G$158,Resumen_Generación!$G$3,FALSE)</f>
        <v>3.3922999000000003</v>
      </c>
      <c r="AE39" s="362">
        <f>VLOOKUP($E39,Resumen_Generación!$B$5:$F$158,Resumen_Generación!$E$3,FALSE)</f>
        <v>11893</v>
      </c>
      <c r="AF39" s="10">
        <f>VLOOKUP($E39,Resumen_Generación!$B$5:$F$158,Resumen_Generación!$F$3,FALSE)</f>
        <v>3.7947699999999998</v>
      </c>
      <c r="AG39" s="448">
        <f>VLOOKUP($D39,Valoración_Equip_actual!$D$4:$I$157,Valoración_Equip_actual!$E$2,FALSE)*$E$4</f>
        <v>1254981.4812534987</v>
      </c>
      <c r="AH39" s="448">
        <f>VLOOKUP($D39,Valoración_Equip_actual!$D$4:$I$157,Valoración_Equip_actual!$F$2,FALSE)*$E$4</f>
        <v>0</v>
      </c>
      <c r="AI39" s="448">
        <f>[19]P_Datos!$D$43</f>
        <v>0.3212459016393443</v>
      </c>
      <c r="AN39" s="34" t="str">
        <f>[19]Datos!$C$2</f>
        <v>Alberti</v>
      </c>
      <c r="AO39" s="25" t="str">
        <f>VLOOKUP($E39,Tabla13[],Inputs_costos!$D$1,FALSE)</f>
        <v>ALBERTI</v>
      </c>
      <c r="AP39" s="28" t="str">
        <f>VLOOKUP($D39,'Costo Social x localidad'!$B$2:$M$156,1,FALSE)</f>
        <v>ALBERTI</v>
      </c>
    </row>
    <row r="40" spans="1:42" ht="15.75" thickBot="1">
      <c r="A40" s="917"/>
      <c r="B40" s="888"/>
      <c r="C40" s="476"/>
      <c r="D40" s="12" t="s">
        <v>8</v>
      </c>
      <c r="E40" s="40"/>
      <c r="F40" s="13"/>
      <c r="G40" s="8"/>
      <c r="H40" s="32">
        <f>SUM(H37:H39)</f>
        <v>12177284.315928498</v>
      </c>
      <c r="I40" s="32"/>
      <c r="J40" s="32">
        <f>SUM(J37:J39)</f>
        <v>6624091.7125126328</v>
      </c>
      <c r="K40" s="14"/>
      <c r="L40" s="14"/>
      <c r="M40" s="15">
        <f>SUM(M37:M39)</f>
        <v>-64271614.535152398</v>
      </c>
      <c r="N40" s="15"/>
      <c r="O40" s="16">
        <f>SUM(O37:O39)</f>
        <v>2277037.3102299999</v>
      </c>
      <c r="P40" s="16">
        <f>SUM(P37:P39)</f>
        <v>1577385.4584130752</v>
      </c>
      <c r="Q40" s="16"/>
      <c r="R40" s="26">
        <f>SUM(R37:R39)</f>
        <v>22645294.347840004</v>
      </c>
      <c r="S40" s="26"/>
      <c r="T40" s="26">
        <f>SUM(T37:T39)</f>
        <v>3060034.5418720003</v>
      </c>
      <c r="U40" s="26"/>
      <c r="V40" s="26">
        <f>SUM(V37:V39)</f>
        <v>7226624.7511999998</v>
      </c>
      <c r="W40" s="26"/>
      <c r="X40" s="26">
        <f>SUM(X37:X39)</f>
        <v>641621.74405077798</v>
      </c>
      <c r="Y40" s="26">
        <f>SUM(Y37:Y39)</f>
        <v>210275.4565588267</v>
      </c>
      <c r="Z40" s="26">
        <f>SUM(Z37:Z39)</f>
        <v>898726.40029620752</v>
      </c>
      <c r="AA40" s="653">
        <f>SUM(AA37:AA39)</f>
        <v>-57782418.003970236</v>
      </c>
      <c r="AB40" s="654">
        <f>+M40+AA40</f>
        <v>-122054032.53912264</v>
      </c>
      <c r="AC40" s="630">
        <f t="shared" ref="AC40:AI40" si="28">SUM(AC37:AC39)</f>
        <v>92.626796784000007</v>
      </c>
      <c r="AD40" s="630">
        <f t="shared" si="28"/>
        <v>37.710576519999996</v>
      </c>
      <c r="AE40" s="631">
        <f t="shared" si="28"/>
        <v>120137</v>
      </c>
      <c r="AF40" s="630">
        <f t="shared" si="28"/>
        <v>42.825419000000004</v>
      </c>
      <c r="AG40" s="630">
        <f t="shared" si="28"/>
        <v>2591616.6827034988</v>
      </c>
      <c r="AH40" s="630">
        <f t="shared" si="28"/>
        <v>392052</v>
      </c>
      <c r="AI40" s="630">
        <f t="shared" si="28"/>
        <v>3.1602622950819672</v>
      </c>
      <c r="AJ40" s="4"/>
      <c r="AK40" s="4"/>
      <c r="AL40" s="4"/>
      <c r="AM40" s="4"/>
      <c r="AN40" s="4"/>
      <c r="AO40" s="4"/>
      <c r="AP40" s="4"/>
    </row>
    <row r="41" spans="1:42">
      <c r="A41" s="917"/>
      <c r="B41" s="886" t="s">
        <v>310</v>
      </c>
      <c r="C41" s="477" t="str">
        <f>IF(AND(D41=AN41,D41=AO41,D41=AP41),"ok","ATENCIÓN NO ESTÁ TOMANDO BIEN LA LOCALIDAD")</f>
        <v>ok</v>
      </c>
      <c r="D41" s="23" t="s">
        <v>139</v>
      </c>
      <c r="E41" s="114">
        <f>VLOOKUP(D41,Pobl_adoptada!$C$5:$D$158,2,FALSE)</f>
        <v>50</v>
      </c>
      <c r="F41" s="8" t="s">
        <v>308</v>
      </c>
      <c r="G41" s="576">
        <f>+'[20]Inversion rec-TA'!$G$21</f>
        <v>4909071.4729229072</v>
      </c>
      <c r="H41" s="577">
        <f>+($AC37/$AC40)*H44+G41</f>
        <v>6012114.9383997023</v>
      </c>
      <c r="I41" s="587">
        <f>+'[20]Costos Operativos Rec-TA'!$G$23</f>
        <v>3075086.2953115329</v>
      </c>
      <c r="J41" s="579">
        <f>+($AC37/$AC40)*J44+I41</f>
        <v>3097147.1646210686</v>
      </c>
      <c r="K41" s="10">
        <f>+'[20]Inversion rec-TA'!$G$46</f>
        <v>0</v>
      </c>
      <c r="L41" s="10">
        <f>+'[20]Costos Operativos Rec-TA'!$G$46</f>
        <v>0</v>
      </c>
      <c r="M41" s="19">
        <f t="shared" ref="M41:M43" si="29">-H41/(1+0.12)+PV(12%,20,J41)-H41/(1+0.12)^10</f>
        <v>-30437666.014283266</v>
      </c>
      <c r="N41" s="614">
        <f>+$AD37/$AD40*N45</f>
        <v>1252164.7470032109</v>
      </c>
      <c r="O41" s="25">
        <f>IF(N41-AG41&lt;0,0,N41-AG41)</f>
        <v>905479.1678032109</v>
      </c>
      <c r="P41" s="32">
        <f>+$AD37/$AD40*P45</f>
        <v>673294.41318072448</v>
      </c>
      <c r="Q41" s="614">
        <f>+$AC37/$AC40*Q45</f>
        <v>10915718.852288794</v>
      </c>
      <c r="R41" s="647">
        <f>IF(Q41-AH41&lt;0,0,Q41-AH41)</f>
        <v>10523666.852288794</v>
      </c>
      <c r="S41" s="647">
        <f>+S37</f>
        <v>815000</v>
      </c>
      <c r="T41" s="32">
        <f>+$AC37/$AC40*T45</f>
        <v>835524.71035048319</v>
      </c>
      <c r="U41" s="27"/>
      <c r="V41" s="461">
        <f>+V37</f>
        <v>3969554.4408</v>
      </c>
      <c r="W41" s="27"/>
      <c r="X41" s="461">
        <f t="shared" ref="X41:Z43" si="30">+X37</f>
        <v>352440.11292930058</v>
      </c>
      <c r="Y41" s="27">
        <f t="shared" si="30"/>
        <v>133461.74456506668</v>
      </c>
      <c r="Z41" s="27">
        <f t="shared" si="30"/>
        <v>419906.36522111204</v>
      </c>
      <c r="AA41" s="650">
        <f>(-O41-R41)/(1+0.12)+PV(12%,20,P41)+PV(12%,20,T41)-(O41*0.5)/(1+0.12)^10-S41/(1+0.12)^10</f>
        <v>-21882812.260303106</v>
      </c>
      <c r="AB41" s="651">
        <f>M41+AA41</f>
        <v>-52320478.274586372</v>
      </c>
      <c r="AG41" s="448">
        <f>VLOOKUP($D41,Valoración_Eq_REG!$D$4:$I$157,Valoración_Eq_REG!$E$2,FALSE)*$E$4</f>
        <v>346685.57920000004</v>
      </c>
      <c r="AH41" s="448">
        <f>VLOOKUP($D41,Valoración_Eq_REG!$D$4:$I$157,Valoración_Eq_REG!$F$2,FALSE)*$E$4</f>
        <v>392052</v>
      </c>
      <c r="AJ41" s="484">
        <f>+'[20]Evaluacion Economica'!$L$25</f>
        <v>5</v>
      </c>
      <c r="AK41" s="448">
        <f>+'[20]Evaluacion Economica'!$R$25</f>
        <v>16</v>
      </c>
      <c r="AL41" s="484">
        <f>+'[20]P_Evaluacion Economica'!$L$27</f>
        <v>4</v>
      </c>
      <c r="AM41" s="448">
        <f>+'[20]P_Evaluacion Economica'!$Q$27</f>
        <v>15</v>
      </c>
      <c r="AN41" s="34" t="str">
        <f>+[20]Datos!$C$2</f>
        <v>Chivilcoy</v>
      </c>
      <c r="AO41" s="25" t="str">
        <f>VLOOKUP($E41,Tabla13[],Inputs_costos!$D$1,FALSE)</f>
        <v>CHIVILCOY</v>
      </c>
      <c r="AP41" s="28" t="str">
        <f>VLOOKUP($D41,'Costo Social x localidad'!$B$2:$M$156,1,FALSE)</f>
        <v>CHIVILCOY</v>
      </c>
    </row>
    <row r="42" spans="1:42">
      <c r="A42" s="917"/>
      <c r="B42" s="887"/>
      <c r="C42" s="478" t="str">
        <f>IF(AND(D42=AN42,D42=AO42,D42=AP42),"ok","ATENCIÓN NO ESTÁ TOMANDO BIEN LA LOCALIDAD")</f>
        <v>ok</v>
      </c>
      <c r="D42" s="24" t="s">
        <v>127</v>
      </c>
      <c r="E42" s="115">
        <f>VLOOKUP(D42,Pobl_adoptada!$C$5:$D$158,2,FALSE)</f>
        <v>39</v>
      </c>
      <c r="F42" s="9" t="s">
        <v>308</v>
      </c>
      <c r="G42" s="580">
        <f>+'[21]Inversion rec-TA'!$G$21</f>
        <v>4409295.9009567033</v>
      </c>
      <c r="H42" s="34">
        <f>+($AC38/$AC40)*H44+G42</f>
        <v>4984566.4388692863</v>
      </c>
      <c r="I42" s="465">
        <f>+'[21]Costos Operativos Rec-TA'!$G$23</f>
        <v>2845418.7937428085</v>
      </c>
      <c r="J42" s="581">
        <f>+($AC38/$AC40)*J44+I42</f>
        <v>2856924.2045010603</v>
      </c>
      <c r="K42" s="10">
        <f>+'[21]Inversion rec-TA'!$G$46</f>
        <v>0</v>
      </c>
      <c r="L42" s="10">
        <f>+'[21]Costos Operativos Rec-TA'!$G$46</f>
        <v>0</v>
      </c>
      <c r="M42" s="19">
        <f t="shared" si="29"/>
        <v>-27395037.022812176</v>
      </c>
      <c r="N42" s="465">
        <f>+$AD38/$AD40*N45</f>
        <v>647967.93927113072</v>
      </c>
      <c r="O42" s="25">
        <f>IF(N42-AG42&lt;0,0,N42-AG42)</f>
        <v>253381.0670211307</v>
      </c>
      <c r="P42" s="25">
        <f>+$AD38/$AD40*P45</f>
        <v>348415.17018875194</v>
      </c>
      <c r="Q42" s="465">
        <f>+$AC38/$AC40*Q45</f>
        <v>5692877.6176053584</v>
      </c>
      <c r="R42" s="647">
        <f>IF(Q42-AH42&lt;0,0,Q42-AH42)</f>
        <v>5692877.6176053584</v>
      </c>
      <c r="S42" s="647">
        <f>+S38</f>
        <v>815000</v>
      </c>
      <c r="T42" s="25">
        <f>+$AC38/$AC40*T45</f>
        <v>435751.41379837954</v>
      </c>
      <c r="V42" s="461">
        <f>+V38</f>
        <v>3257070.3103999998</v>
      </c>
      <c r="W42" s="25"/>
      <c r="X42" s="461">
        <f t="shared" si="30"/>
        <v>289181.6311214774</v>
      </c>
      <c r="Y42" s="28">
        <f t="shared" si="30"/>
        <v>68505.656918720008</v>
      </c>
      <c r="Z42" s="28">
        <f t="shared" si="30"/>
        <v>316298.4677655971</v>
      </c>
      <c r="AA42" s="650">
        <f>(-O42-R42)/(1+0.12)+PV(12%,20,P42)+PV(12%,20,T42)-(O42*0.5)/(1+0.12)^10-S42/(1+0.12)^10</f>
        <v>-11469646.779959725</v>
      </c>
      <c r="AB42" s="651">
        <f>M42+AA42</f>
        <v>-38864683.802771904</v>
      </c>
      <c r="AC42" s="10"/>
      <c r="AD42" s="10"/>
      <c r="AE42" s="10"/>
      <c r="AF42" s="10"/>
      <c r="AG42" s="448">
        <f>VLOOKUP($D42,Valoración_Eq_REG!$D$4:$I$157,Valoración_Eq_REG!$E$2,FALSE)*$E$4</f>
        <v>394586.87225000001</v>
      </c>
      <c r="AH42" s="448">
        <f>VLOOKUP($D42,Valoración_Eq_REG!$D$4:$I$157,Valoración_Eq_REG!$F$2,FALSE)*$E$4</f>
        <v>0</v>
      </c>
      <c r="AI42" s="2"/>
      <c r="AJ42" s="484">
        <f>+'[21]Evaluacion Economica'!$L$25</f>
        <v>4</v>
      </c>
      <c r="AK42" s="448">
        <f>+'[21]Evaluacion Economica'!$R$25</f>
        <v>15</v>
      </c>
      <c r="AL42" s="484">
        <f>+'[21]P_Evaluacion Economica'!$L$27</f>
        <v>4</v>
      </c>
      <c r="AM42" s="448">
        <f>+'[21]P_Evaluacion Economica'!$Q$27</f>
        <v>6</v>
      </c>
      <c r="AN42" s="34" t="str">
        <f>+[21]Datos!$C$2</f>
        <v>Bragado</v>
      </c>
      <c r="AO42" s="25" t="str">
        <f>VLOOKUP($E42,Tabla13[],Inputs_costos!$D$1,FALSE)</f>
        <v>BRAGADO</v>
      </c>
      <c r="AP42" s="28" t="str">
        <f>VLOOKUP($D42,'Costo Social x localidad'!$B$2:$M$156,1,FALSE)</f>
        <v>BRAGADO</v>
      </c>
    </row>
    <row r="43" spans="1:42" ht="15.75" thickBot="1">
      <c r="A43" s="917"/>
      <c r="B43" s="887"/>
      <c r="C43" s="478" t="str">
        <f>IF(AND(D43=AN43,D43=AO43,D43=AP43),"ok","ATENCIÓN NO ESTÁ TOMANDO BIEN LA LOCALIDAD")</f>
        <v>ok</v>
      </c>
      <c r="D43" s="36" t="s">
        <v>117</v>
      </c>
      <c r="E43" s="115">
        <f>VLOOKUP(D43,Pobl_adoptada!$C$5:$D$158,2,FALSE)</f>
        <v>29</v>
      </c>
      <c r="F43" s="9" t="s">
        <v>308</v>
      </c>
      <c r="G43" s="580">
        <f>+'[22]Inversion rec-TA'!$G$21</f>
        <v>1756656.6991398837</v>
      </c>
      <c r="H43" s="34">
        <f>+($AC39/$AC40)*H44+G43</f>
        <v>1920276.6840642591</v>
      </c>
      <c r="I43" s="465">
        <f>+'[22]Costos Operativos Rec-TA'!$G$23</f>
        <v>911415.86891669314</v>
      </c>
      <c r="J43" s="581">
        <f>+($AC39/$AC40)*J44+I43</f>
        <v>914688.26861518063</v>
      </c>
      <c r="K43" s="10">
        <f>+'[22]Inversion rec-TA'!$G$46</f>
        <v>0</v>
      </c>
      <c r="L43" s="10">
        <f>+'[22]Costos Operativos Rec-TA'!$G$46</f>
        <v>0</v>
      </c>
      <c r="M43" s="19">
        <f t="shared" si="29"/>
        <v>-9165022.9090015311</v>
      </c>
      <c r="N43" s="465">
        <f>+$AD39/$AD40*N45</f>
        <v>187824.69740565843</v>
      </c>
      <c r="O43" s="25">
        <f>IF(N43-AG43&lt;0,0,N43-AG43)</f>
        <v>0</v>
      </c>
      <c r="P43" s="25">
        <f>+$AD39/$AD40*P45</f>
        <v>100994.15410252372</v>
      </c>
      <c r="Q43" s="465">
        <f>+$AC39/$AC40*Q45</f>
        <v>1619183.4773058491</v>
      </c>
      <c r="R43" s="647">
        <f>IF(Q43-AH43&lt;0,0,Q43-AH43)</f>
        <v>1619183.4773058491</v>
      </c>
      <c r="S43" s="647">
        <f>+S39</f>
        <v>0</v>
      </c>
      <c r="T43" s="25">
        <f>+$AC39/$AC40*T45</f>
        <v>123937.58250713743</v>
      </c>
      <c r="U43" s="29"/>
      <c r="V43" s="461">
        <f>+V39</f>
        <v>0</v>
      </c>
      <c r="W43" s="25"/>
      <c r="X43" s="461">
        <f t="shared" si="30"/>
        <v>0</v>
      </c>
      <c r="Y43" s="28">
        <f t="shared" si="30"/>
        <v>8308.0550750399998</v>
      </c>
      <c r="Z43" s="28">
        <f t="shared" si="30"/>
        <v>162521.56730949826</v>
      </c>
      <c r="AA43" s="650">
        <f>(-O43-R43)/(1+0.12)+PV(12%,20,P43)+PV(12%,20,T43)-(O43*0.5)/(1+0.12)^10-S43/(1+0.12)^10</f>
        <v>-3125814.4592367616</v>
      </c>
      <c r="AB43" s="651">
        <f>M43+AA43</f>
        <v>-12290837.368238293</v>
      </c>
      <c r="AC43" s="10"/>
      <c r="AD43" s="10"/>
      <c r="AE43" s="10"/>
      <c r="AF43" s="10"/>
      <c r="AG43" s="448">
        <f>VLOOKUP($D43,Valoración_Eq_REG!$D$4:$I$157,Valoración_Eq_REG!$E$2,FALSE)*$E$4</f>
        <v>1254981.4812534987</v>
      </c>
      <c r="AH43" s="448">
        <f>VLOOKUP($D43,Valoración_Eq_REG!$D$4:$I$157,Valoración_Eq_REG!$F$2,FALSE)*$E$4</f>
        <v>0</v>
      </c>
      <c r="AI43" s="2"/>
      <c r="AJ43" s="484">
        <f>+'[22]Evaluacion Economica'!$L$25</f>
        <v>2</v>
      </c>
      <c r="AK43" s="448">
        <f>+'[22]Evaluacion Economica'!$R$25</f>
        <v>9</v>
      </c>
      <c r="AL43" s="484">
        <f>+'[22]P_Evaluacion Economica'!$L$27</f>
        <v>2</v>
      </c>
      <c r="AM43" s="448">
        <f>+'[22]P_Evaluacion Economica'!$Q$27</f>
        <v>6</v>
      </c>
      <c r="AN43" s="34" t="str">
        <f>+[22]Datos!$C$2</f>
        <v>Alberti</v>
      </c>
      <c r="AO43" s="25" t="str">
        <f>VLOOKUP($E43,Tabla13[],Inputs_costos!$D$1,FALSE)</f>
        <v>ALBERTI</v>
      </c>
      <c r="AP43" s="28" t="str">
        <f>VLOOKUP($D43,'Costo Social x localidad'!$B$2:$M$156,1,FALSE)</f>
        <v>ALBERTI</v>
      </c>
    </row>
    <row r="44" spans="1:42" ht="30.75" thickBot="1">
      <c r="A44" s="917"/>
      <c r="B44" s="887"/>
      <c r="C44" s="912" t="s">
        <v>12</v>
      </c>
      <c r="D44" s="913"/>
      <c r="E44" s="498" t="s">
        <v>589</v>
      </c>
      <c r="F44" s="571">
        <f>+F31</f>
        <v>0.02</v>
      </c>
      <c r="G44" s="582"/>
      <c r="H44" s="461">
        <f>+AJ44*AJ46+AL44*AL46</f>
        <v>1841933.9883137534</v>
      </c>
      <c r="I44" s="461"/>
      <c r="J44" s="583">
        <f>+$F44*H44</f>
        <v>36838.679766275069</v>
      </c>
      <c r="K44" s="10"/>
      <c r="L44" s="10"/>
      <c r="M44" s="19"/>
      <c r="N44" s="616"/>
      <c r="O44" s="10"/>
      <c r="P44" s="10"/>
      <c r="Q44" s="618"/>
      <c r="R44" s="28"/>
      <c r="S44" s="28"/>
      <c r="T44" s="28"/>
      <c r="U44" s="28"/>
      <c r="V44" s="28"/>
      <c r="W44" s="28"/>
      <c r="X44" s="28"/>
      <c r="Y44" s="28"/>
      <c r="Z44" s="28"/>
      <c r="AA44" s="658"/>
      <c r="AB44" s="20"/>
      <c r="AC44" s="10"/>
      <c r="AD44" s="10"/>
      <c r="AE44" s="10"/>
      <c r="AF44" s="10"/>
      <c r="AG44" s="448"/>
      <c r="AH44" s="448"/>
      <c r="AI44" s="4"/>
      <c r="AJ44" s="501">
        <f>ROUNDUP(C45*SUM(AJ41:AJ43),0)</f>
        <v>4</v>
      </c>
      <c r="AK44" s="502">
        <f>AVERAGE(AK41:AK43)</f>
        <v>13.333333333333334</v>
      </c>
      <c r="AL44" s="501">
        <f>ROUNDUP(C45*SUM(AL41:AL43),0)</f>
        <v>3</v>
      </c>
      <c r="AM44" s="502">
        <f>AVERAGE(AM41:AM43)</f>
        <v>9</v>
      </c>
      <c r="AN44" s="4"/>
      <c r="AO44" s="4"/>
      <c r="AP44" s="4"/>
    </row>
    <row r="45" spans="1:42" ht="15.75" thickBot="1">
      <c r="A45" s="918"/>
      <c r="B45" s="888"/>
      <c r="C45" s="570">
        <v>0.3</v>
      </c>
      <c r="D45" s="500" t="str">
        <f>A37</f>
        <v>REGIÓN ALBERTI</v>
      </c>
      <c r="E45" s="468"/>
      <c r="F45" s="469"/>
      <c r="G45" s="584"/>
      <c r="H45" s="585">
        <f>SUM(H41:H43)</f>
        <v>12916958.061333248</v>
      </c>
      <c r="I45" s="585"/>
      <c r="J45" s="586">
        <f>SUM(J41:J43)</f>
        <v>6868759.6377373096</v>
      </c>
      <c r="K45" s="14"/>
      <c r="L45" s="14"/>
      <c r="M45" s="15">
        <f>SUM(M41:M44)</f>
        <v>-66997725.946096972</v>
      </c>
      <c r="N45" s="617">
        <f>(VLOOKUP($E41,Tabla13[],Inputs_costos!$P$1,FALSE))*(O$3*$E$3+O$4*$E$4)</f>
        <v>2087957.3836800002</v>
      </c>
      <c r="O45" s="35">
        <f>SUM(O41:O43)</f>
        <v>1158860.2348243417</v>
      </c>
      <c r="P45" s="35">
        <f>(VLOOKUP($E41,Tabla13[],Inputs_costos!$Q$1,FALSE))*(P$3*$E$3+P$4*$E$4)</f>
        <v>1122703.7374720001</v>
      </c>
      <c r="Q45" s="615">
        <f>IF($AC40&gt;=15,(VLOOKUP($E41,Tabla13[],Inputs_costos!$N$1,FALSE))*($R$3*$E$3+$R$4*$E$4),(VLOOKUP($E41,Tabla13[],Inputs_costos!$N$1,FALSE))*($T$3*$E$3+$T$4*$E$4))</f>
        <v>18227779.9472</v>
      </c>
      <c r="R45" s="35">
        <f>SUM(R41:R43)</f>
        <v>17835727.9472</v>
      </c>
      <c r="S45" s="35"/>
      <c r="T45" s="35">
        <f>IF($AC40&gt;=15,(VLOOKUP($E41,Tabla13[],Inputs_costos!$O$1,FALSE))*($R$3*$E$3+$R$4*$E$4),(VLOOKUP($E41,Tabla13[],Inputs_costos!$O$1,FALSE))*($T$3*$E$3+$T$4*$E$4))</f>
        <v>1395213.7066560001</v>
      </c>
      <c r="U45" s="35"/>
      <c r="V45" s="31">
        <f>SUM(V41:V43)</f>
        <v>7226624.7511999998</v>
      </c>
      <c r="W45" s="31"/>
      <c r="X45" s="31">
        <f>SUM(X41:X43)</f>
        <v>641621.74405077798</v>
      </c>
      <c r="Y45" s="31">
        <f>SUM(Y41:Y43)</f>
        <v>210275.4565588267</v>
      </c>
      <c r="Z45" s="31">
        <f>SUM(Z41:Z43)</f>
        <v>898726.40029620752</v>
      </c>
      <c r="AA45" s="653">
        <f>SUM(AA41:AA43)</f>
        <v>-36478273.499499597</v>
      </c>
      <c r="AB45" s="654">
        <f>+M45+AA45</f>
        <v>-103475999.44559658</v>
      </c>
      <c r="AC45" s="38"/>
      <c r="AD45" s="38"/>
      <c r="AE45" s="38"/>
      <c r="AF45" s="38"/>
      <c r="AG45" s="4"/>
      <c r="AH45" s="4"/>
      <c r="AI45" s="4"/>
      <c r="AJ45" s="11"/>
      <c r="AK45" s="499">
        <f>VLOOKUP(ROUNDUP(AK44,0),DATOS!$F$16:$G$31,2,FALSE)</f>
        <v>15</v>
      </c>
      <c r="AL45" s="497"/>
      <c r="AM45" s="499">
        <f>VLOOKUP(ROUNDUP(AM44,0),DATOS!$J$16:$K$34,2,FALSE)</f>
        <v>9</v>
      </c>
      <c r="AN45" s="4"/>
      <c r="AO45" s="4"/>
      <c r="AP45" s="4"/>
    </row>
    <row r="46" spans="1:42"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0"/>
      <c r="V46" s="2"/>
      <c r="W46" s="2"/>
      <c r="X46" s="2"/>
      <c r="Y46" s="2"/>
      <c r="Z46" s="2"/>
      <c r="AA46" s="4"/>
      <c r="AB46" s="4"/>
      <c r="AC46" s="4"/>
      <c r="AD46" s="4"/>
      <c r="AE46" s="4"/>
      <c r="AF46" s="4"/>
      <c r="AG46" s="644"/>
      <c r="AH46" s="448"/>
      <c r="AI46" s="4"/>
      <c r="AJ46" s="892">
        <f>VLOOKUP(AK45,DATOS!$F$3:$H$11,3,FALSE)</f>
        <v>277598.62978843832</v>
      </c>
      <c r="AK46" s="892"/>
      <c r="AL46" s="892">
        <f>VLOOKUP(AM45,DATOS!$J$3:$L$12,3,FALSE)</f>
        <v>243846.48972000001</v>
      </c>
      <c r="AM46" s="892"/>
      <c r="AN46" s="4"/>
      <c r="AO46" s="4"/>
      <c r="AP46" s="4"/>
    </row>
    <row r="47" spans="1:42" ht="15.75" thickBot="1">
      <c r="A47" s="503"/>
      <c r="B47" s="503"/>
      <c r="C47" s="503"/>
      <c r="D47" s="503"/>
      <c r="E47" s="503"/>
      <c r="F47" s="503"/>
      <c r="G47" s="503"/>
      <c r="H47" s="503"/>
      <c r="I47" s="503"/>
      <c r="J47" s="503"/>
      <c r="K47" s="503"/>
      <c r="L47" s="503"/>
      <c r="M47" s="503"/>
      <c r="N47" s="503"/>
      <c r="O47" s="503"/>
      <c r="P47" s="503"/>
      <c r="Q47" s="503"/>
      <c r="R47" s="503"/>
      <c r="S47" s="503"/>
      <c r="T47" s="503"/>
      <c r="U47" s="503"/>
      <c r="V47" s="503"/>
      <c r="W47" s="503"/>
      <c r="X47" s="503"/>
      <c r="Y47" s="503"/>
      <c r="Z47" s="503"/>
      <c r="AA47" s="503"/>
      <c r="AB47" s="503"/>
      <c r="AC47" s="503"/>
      <c r="AD47" s="503"/>
      <c r="AE47" s="503"/>
      <c r="AF47" s="503"/>
      <c r="AG47" s="503"/>
      <c r="AH47" s="503"/>
      <c r="AI47" s="503"/>
      <c r="AJ47" s="503"/>
      <c r="AK47" s="503"/>
      <c r="AL47" s="503"/>
      <c r="AM47" s="503"/>
      <c r="AN47" s="503"/>
      <c r="AO47" s="503"/>
      <c r="AP47" s="503"/>
    </row>
    <row r="48" spans="1:42" ht="39" thickBot="1">
      <c r="A48" s="886" t="s">
        <v>7</v>
      </c>
      <c r="B48" s="886" t="s">
        <v>2</v>
      </c>
      <c r="C48" s="479"/>
      <c r="D48" s="882" t="s">
        <v>22</v>
      </c>
      <c r="E48" s="882" t="s">
        <v>23</v>
      </c>
      <c r="F48" s="882" t="s">
        <v>3</v>
      </c>
      <c r="G48" s="568"/>
      <c r="H48" s="901" t="s">
        <v>0</v>
      </c>
      <c r="I48" s="901"/>
      <c r="J48" s="901"/>
      <c r="K48" s="901" t="s">
        <v>1</v>
      </c>
      <c r="L48" s="901"/>
      <c r="M48" s="886" t="s">
        <v>10</v>
      </c>
      <c r="N48" s="879" t="s">
        <v>5</v>
      </c>
      <c r="O48" s="880"/>
      <c r="P48" s="881"/>
      <c r="Q48" s="902" t="s">
        <v>4</v>
      </c>
      <c r="R48" s="903"/>
      <c r="S48" s="903"/>
      <c r="T48" s="904"/>
      <c r="U48" s="902" t="s">
        <v>6</v>
      </c>
      <c r="V48" s="903"/>
      <c r="W48" s="903"/>
      <c r="X48" s="904"/>
      <c r="Y48" s="390" t="s">
        <v>689</v>
      </c>
      <c r="Z48" s="662" t="s">
        <v>690</v>
      </c>
      <c r="AA48" s="905" t="s">
        <v>686</v>
      </c>
      <c r="AB48" s="886" t="s">
        <v>9</v>
      </c>
      <c r="AC48" s="907" t="s">
        <v>312</v>
      </c>
      <c r="AD48" s="914" t="s">
        <v>649</v>
      </c>
      <c r="AE48" s="897" t="s">
        <v>20</v>
      </c>
      <c r="AF48" s="897" t="s">
        <v>313</v>
      </c>
      <c r="AG48" s="899" t="s">
        <v>552</v>
      </c>
      <c r="AH48" s="895" t="s">
        <v>578</v>
      </c>
      <c r="AI48" s="897" t="s">
        <v>579</v>
      </c>
      <c r="AJ48" s="882" t="s">
        <v>581</v>
      </c>
      <c r="AK48" s="882" t="s">
        <v>582</v>
      </c>
      <c r="AL48" s="882" t="s">
        <v>581</v>
      </c>
      <c r="AM48" s="882" t="s">
        <v>582</v>
      </c>
      <c r="AN48" s="884" t="s">
        <v>553</v>
      </c>
      <c r="AO48" s="885"/>
      <c r="AP48" s="885"/>
    </row>
    <row r="49" spans="1:42" ht="30.75" thickBot="1">
      <c r="A49" s="888"/>
      <c r="B49" s="888"/>
      <c r="C49" s="480"/>
      <c r="D49" s="883"/>
      <c r="E49" s="883"/>
      <c r="F49" s="883"/>
      <c r="G49" s="569"/>
      <c r="H49" s="17" t="s">
        <v>18</v>
      </c>
      <c r="I49" s="17"/>
      <c r="J49" s="17" t="s">
        <v>17</v>
      </c>
      <c r="K49" s="17" t="s">
        <v>18</v>
      </c>
      <c r="L49" s="17" t="s">
        <v>17</v>
      </c>
      <c r="M49" s="888"/>
      <c r="N49" s="464" t="s">
        <v>685</v>
      </c>
      <c r="O49" s="17" t="s">
        <v>18</v>
      </c>
      <c r="P49" s="17" t="s">
        <v>17</v>
      </c>
      <c r="Q49" s="464" t="s">
        <v>685</v>
      </c>
      <c r="R49" s="17" t="s">
        <v>18</v>
      </c>
      <c r="S49" s="17"/>
      <c r="T49" s="17" t="s">
        <v>17</v>
      </c>
      <c r="U49" s="464" t="s">
        <v>576</v>
      </c>
      <c r="V49" s="17" t="s">
        <v>18</v>
      </c>
      <c r="W49" s="464" t="s">
        <v>577</v>
      </c>
      <c r="X49" s="17" t="s">
        <v>17</v>
      </c>
      <c r="Y49" s="17" t="s">
        <v>18</v>
      </c>
      <c r="Z49" s="17" t="s">
        <v>17</v>
      </c>
      <c r="AA49" s="906"/>
      <c r="AB49" s="888"/>
      <c r="AC49" s="908"/>
      <c r="AD49" s="915"/>
      <c r="AE49" s="898"/>
      <c r="AF49" s="898"/>
      <c r="AG49" s="900"/>
      <c r="AH49" s="896"/>
      <c r="AI49" s="898"/>
      <c r="AJ49" s="883"/>
      <c r="AK49" s="883"/>
      <c r="AL49" s="883"/>
      <c r="AM49" s="883"/>
      <c r="AN49" s="1" t="s">
        <v>551</v>
      </c>
      <c r="AO49" s="9" t="s">
        <v>554</v>
      </c>
      <c r="AP49" s="1" t="s">
        <v>555</v>
      </c>
    </row>
    <row r="50" spans="1:42">
      <c r="A50" s="916" t="s">
        <v>592</v>
      </c>
      <c r="B50" s="886" t="s">
        <v>309</v>
      </c>
      <c r="C50" s="481" t="str">
        <f>IF(AND(D50=AN50,D50=AO50,D50=AP50),"ok","ATENCIÓN NO ESTÁ TOMANDO BIEN LA LOCALIDAD")</f>
        <v>ok</v>
      </c>
      <c r="D50" s="23" t="s">
        <v>119</v>
      </c>
      <c r="E50" s="114">
        <f>VLOOKUP(D50,Pobl_adoptada!$C$5:$D$158,2,FALSE)</f>
        <v>31</v>
      </c>
      <c r="F50" s="8" t="s">
        <v>308</v>
      </c>
      <c r="G50" s="8"/>
      <c r="H50" s="33">
        <f>'[23]Inversion rec-TA'!$G$21</f>
        <v>2861394.9873590353</v>
      </c>
      <c r="I50" s="33"/>
      <c r="J50" s="33">
        <f>'[23]Costos Operativos Rec-TA'!$G$23</f>
        <v>1285728.7667570398</v>
      </c>
      <c r="K50" s="32">
        <f>'[23]Inversion rec-TA'!$G$46</f>
        <v>0</v>
      </c>
      <c r="L50" s="32">
        <f>+'[23]Costos Operativos Rec-TA'!$G$46</f>
        <v>0</v>
      </c>
      <c r="M50" s="19">
        <f t="shared" ref="M50:M52" si="31">-H50/(1+0.12)+PV(12%,20,J50)-H50/(1+0.12)^10</f>
        <v>-13079788.097711477</v>
      </c>
      <c r="N50" s="19"/>
      <c r="O50" s="25">
        <f>IF(((VLOOKUP($E50,Tabla13[],Inputs_costos!$I$1,FALSE))*(O$3*$E$3+O$4*$E$4)-AG50)&lt;0,0,VLOOKUP($E50,Tabla13[],Inputs_costos!$I$1,FALSE)*(O$3*$E$3+O$4*$E$4)-AG50)</f>
        <v>897690.99473200005</v>
      </c>
      <c r="P50" s="25">
        <f>(VLOOKUP($E50,Tabla13[],Inputs_costos!$J$1,FALSE))*(P$3*$E$3+P$4*$E$4)</f>
        <v>297834.432768</v>
      </c>
      <c r="Q50" s="25"/>
      <c r="R50" s="25">
        <f>IF($AC50&gt;=15,(VLOOKUP($E50,Tabla13[],Inputs_costos!$G$1,FALSE))*($R$3*$E$3+$R$4*$E$4),(VLOOKUP($E50,Tabla13[],Inputs_costos!$G$1,FALSE))*($T$3*$E$3+$T$4*$E$4))-AH50</f>
        <v>7063008.8304000003</v>
      </c>
      <c r="S50" s="25">
        <f t="shared" ref="S50:S52" si="32">IF(AC50&lt;15,0,IF(AC50&lt;=350,815000,1345000))</f>
        <v>815000</v>
      </c>
      <c r="T50" s="25">
        <f>IF($AC50&gt;=15,(VLOOKUP($E50,Tabla13[],Inputs_costos!$H$1,FALSE))*($R$3*$E$3+$R$4*$E$4),(VLOOKUP($E50,Tabla13[],Inputs_costos!$H$1,FALSE))*($T$3*$E$3+$T$4*$E$4))</f>
        <v>1695157.4368160001</v>
      </c>
      <c r="U50" s="465">
        <f>SUMIFS(Tabla24[Costo de Cierre Técnico de BCA (US$)],Tabla24[Localidad],Resumen!$D50)</f>
        <v>1378000</v>
      </c>
      <c r="V50" s="461">
        <f>+U50*(V$3*$E$3+V$4*$E$4)</f>
        <v>2646369.6272</v>
      </c>
      <c r="W50" s="465">
        <f>SUMIFS(Tabla24[Costo anual de Manteniemiento Post-cierre (US$)],Tabla24[Localidad],Resumen!$D50)</f>
        <v>122346.84845856372</v>
      </c>
      <c r="X50" s="461">
        <f>+W50*(X$3*$E$3+X$4*$E$4)</f>
        <v>234960.07528620042</v>
      </c>
      <c r="Y50" s="27">
        <f>VLOOKUP($D50,'Costo Social x localidad'!$B$2:$M$156,12,FALSE)*(Y$3*$E$3+Y$4*$E$4)</f>
        <v>33719.674943360005</v>
      </c>
      <c r="Z50" s="28">
        <f>VLOOKUP(D50,'Estimación  PRESUPUESTO PCAS'!$B$4:$G$158,'Estimación  PRESUPUESTO PCAS'!$G$2,FALSE)</f>
        <v>267357.04439691035</v>
      </c>
      <c r="AA50" s="650">
        <f>(-O50-R50)/(1+0.12)+PV(12%,20,P50)+PV(12%,20,T50)-(O50*0.5)/(1+0.12)^10-S50/(1+0.12)^10</f>
        <v>-22401232.539949171</v>
      </c>
      <c r="AB50" s="651">
        <f>M50+AA50</f>
        <v>-35481020.637660652</v>
      </c>
      <c r="AC50" s="10">
        <f>VLOOKUP($E50,Resumen_Generación!$B$5:$F$158,Resumen_Generación!$D$3,FALSE)</f>
        <v>16.214581287999998</v>
      </c>
      <c r="AD50" s="10">
        <f>VLOOKUP($E50,Resumen_Generación!$B$5:$G$158,Resumen_Generación!$G$3,FALSE)</f>
        <v>6.5924383900000008</v>
      </c>
      <c r="AE50" s="362">
        <f>VLOOKUP($E50,Resumen_Generación!$B$5:$F$158,Resumen_Generación!$E$3,FALSE)</f>
        <v>20272</v>
      </c>
      <c r="AF50" s="10">
        <f>VLOOKUP($E50,Resumen_Generación!$B$5:$F$158,Resumen_Generación!$F$3,FALSE)</f>
        <v>7.4938290000000007</v>
      </c>
      <c r="AG50" s="448">
        <f>VLOOKUP($D50,Valoración_Equip_actual!$D$4:$I$157,Valoración_Equip_actual!$E$2,FALSE)*$E$4</f>
        <v>764179.136788</v>
      </c>
      <c r="AH50" s="448">
        <f>VLOOKUP($D50,Valoración_Equip_actual!$D$4:$I$157,Valoración_Equip_actual!$F$2,FALSE)*$E$4</f>
        <v>59955.7</v>
      </c>
      <c r="AI50" s="448">
        <f>[23]P_Datos!$D$43</f>
        <v>0.51613114754098366</v>
      </c>
      <c r="AN50" s="449" t="str">
        <f>[23]Datos!$C$2</f>
        <v>Ayacucho</v>
      </c>
      <c r="AO50" s="450" t="str">
        <f>VLOOKUP($E50,Tabla13[],Inputs_costos!$D$1,FALSE)</f>
        <v>AYACUCHO</v>
      </c>
      <c r="AP50" s="451" t="str">
        <f>VLOOKUP($D50,'Costo Social x localidad'!$B$2:$M$156,1,FALSE)</f>
        <v>AYACUCHO</v>
      </c>
    </row>
    <row r="51" spans="1:42">
      <c r="A51" s="917"/>
      <c r="B51" s="887"/>
      <c r="C51" s="478" t="str">
        <f>IF(AND(D51=AN51,D51=AO51,D51=AP51),"ok","ATENCIÓN NO ESTÁ TOMANDO BIEN LA LOCALIDAD")</f>
        <v>ok</v>
      </c>
      <c r="D51" s="24" t="s">
        <v>190</v>
      </c>
      <c r="E51" s="115">
        <f>VLOOKUP(D51,Pobl_adoptada!$C$5:$D$158,2,FALSE)</f>
        <v>91</v>
      </c>
      <c r="F51" s="9" t="s">
        <v>308</v>
      </c>
      <c r="G51" s="9"/>
      <c r="H51" s="34">
        <f>'[24]Inversion rec-TA'!$G$21</f>
        <v>2318932.6887098253</v>
      </c>
      <c r="I51" s="34"/>
      <c r="J51" s="34">
        <f>'[24]Costos Operativos Rec-TA'!$G$23</f>
        <v>984238.12503968715</v>
      </c>
      <c r="K51" s="25">
        <f>'[24]Inversion rec-TA'!$G$46</f>
        <v>0</v>
      </c>
      <c r="L51" s="25">
        <f>+'[24]Costos Operativos Rec-TA'!$G$46</f>
        <v>0</v>
      </c>
      <c r="M51" s="19">
        <f t="shared" si="31"/>
        <v>-10168821.066037195</v>
      </c>
      <c r="N51" s="19"/>
      <c r="O51" s="25">
        <f>IF(((VLOOKUP($E51,Tabla13[],Inputs_costos!$I$1,FALSE))*(O$3*$E$3+O$4*$E$4)-AG51)&lt;0,0,VLOOKUP($E51,Tabla13[],Inputs_costos!$I$1,FALSE)*(O$3*$E$3+O$4*$E$4)-AG51)</f>
        <v>359159.83353599999</v>
      </c>
      <c r="P51" s="25">
        <f>(VLOOKUP($E51,Tabla13[],Inputs_costos!$J$1,FALSE))*(P$3*$E$3+P$4*$E$4)</f>
        <v>26127.3549570752</v>
      </c>
      <c r="Q51" s="25"/>
      <c r="R51" s="25">
        <f>IF($AC51&gt;=15,(VLOOKUP($E51,Tabla13[],Inputs_costos!$G$1,FALSE))*($R$3*$E$3+$R$4*$E$4),(VLOOKUP($E51,Tabla13[],Inputs_costos!$G$1,FALSE))*($T$3*$E$3+$T$4*$E$4))-AH51</f>
        <v>661714.97967999999</v>
      </c>
      <c r="S51" s="25">
        <f t="shared" si="32"/>
        <v>0</v>
      </c>
      <c r="T51" s="25">
        <f>IF($AC51&gt;=15,(VLOOKUP($E51,Tabla13[],Inputs_costos!$H$1,FALSE))*($R$3*$E$3+$R$4*$E$4),(VLOOKUP($E51,Tabla13[],Inputs_costos!$H$1,FALSE))*($T$3*$E$3+$T$4*$E$4))</f>
        <v>93592.536592000004</v>
      </c>
      <c r="U51" s="465">
        <f>SUMIFS(Tabla24[Costo de Cierre Técnico de BCA (US$)],Tabla24[Localidad],Resumen!$D51)</f>
        <v>0</v>
      </c>
      <c r="V51" s="461">
        <f t="shared" ref="V51:V52" si="33">+U51*(V$3*$E$3+V$4*$E$4)</f>
        <v>0</v>
      </c>
      <c r="W51" s="465">
        <f>SUMIFS(Tabla24[Costo anual de Manteniemiento Post-cierre (US$)],Tabla24[Localidad],Resumen!$D51)</f>
        <v>0</v>
      </c>
      <c r="X51" s="461">
        <f t="shared" ref="X51:X52" si="34">+W51*(X$3*$E$3+X$4*$E$4)</f>
        <v>0</v>
      </c>
      <c r="Y51" s="28">
        <f>VLOOKUP($D51,'Costo Social x localidad'!$B$2:$M$156,12,FALSE)*(Y$3*$E$3+Y$4*$E$4)</f>
        <v>12531.283762799996</v>
      </c>
      <c r="Z51" s="28">
        <f>VLOOKUP(D51,'Estimación  PRESUPUESTO PCAS'!$B$4:$G$158,'Estimación  PRESUPUESTO PCAS'!$G$2,FALSE)</f>
        <v>166070.47501925824</v>
      </c>
      <c r="AA51" s="650">
        <f>(-O51-R51)/(1+0.12)+PV(12%,20,P51)+PV(12%,20,T51)-(O51*0.5)/(1+0.12)^10-S51/(1+0.12)^10</f>
        <v>-1863556.2766077688</v>
      </c>
      <c r="AB51" s="651">
        <f>M51+AA51</f>
        <v>-12032377.342644963</v>
      </c>
      <c r="AC51" s="10">
        <f>VLOOKUP($E51,Resumen_Generación!$B$5:$F$158,Resumen_Generación!$D$3,FALSE)</f>
        <v>7.0658160159999994</v>
      </c>
      <c r="AD51" s="10">
        <f>VLOOKUP($E51,Resumen_Generación!$B$5:$G$158,Resumen_Generación!$G$3,FALSE)</f>
        <v>2.8655874799999999</v>
      </c>
      <c r="AE51" s="362">
        <f>VLOOKUP($E51,Resumen_Generación!$B$5:$F$158,Resumen_Generación!$E$3,FALSE)</f>
        <v>10172</v>
      </c>
      <c r="AF51" s="10">
        <f>VLOOKUP($E51,Resumen_Generación!$B$5:$F$158,Resumen_Generación!$F$3,FALSE)</f>
        <v>3.2679779999999998</v>
      </c>
      <c r="AG51" s="448">
        <f>VLOOKUP($D51,Valoración_Equip_actual!$D$4:$I$157,Valoración_Equip_actual!$E$2,FALSE)*$E$4</f>
        <v>0</v>
      </c>
      <c r="AH51" s="448">
        <f>VLOOKUP($D51,Valoración_Equip_actual!$D$4:$I$157,Valoración_Equip_actual!$F$2,FALSE)*$E$4</f>
        <v>0</v>
      </c>
      <c r="AI51" s="448">
        <f>[24]P_Datos!$D$43</f>
        <v>0.26924590163934425</v>
      </c>
      <c r="AN51" s="34" t="str">
        <f>[24]Datos!$C$2</f>
        <v>Maipú</v>
      </c>
      <c r="AO51" s="25" t="str">
        <f>VLOOKUP($E51,Tabla13[],Inputs_costos!$D$1,FALSE)</f>
        <v>MAIPÚ</v>
      </c>
      <c r="AP51" s="28" t="str">
        <f>VLOOKUP($D51,'Costo Social x localidad'!$B$2:$M$156,1,FALSE)</f>
        <v>MAIPÚ</v>
      </c>
    </row>
    <row r="52" spans="1:42" ht="15.75" thickBot="1">
      <c r="A52" s="917"/>
      <c r="B52" s="887"/>
      <c r="C52" s="478" t="str">
        <f>IF(AND(D52=AN52,D52=AO52,D52=AP52),"ok","ATENCIÓN NO ESTÁ TOMANDO BIEN LA LOCALIDAD")</f>
        <v>ok</v>
      </c>
      <c r="D52" s="36" t="s">
        <v>250</v>
      </c>
      <c r="E52" s="482">
        <f>VLOOKUP(D52,Pobl_adoptada!$C$5:$D$158,2,FALSE)</f>
        <v>144</v>
      </c>
      <c r="F52" s="37" t="s">
        <v>308</v>
      </c>
      <c r="G52" s="37"/>
      <c r="H52" s="117">
        <f>'[25]Inversion rec-TA'!$G$21</f>
        <v>846373.82851839997</v>
      </c>
      <c r="I52" s="117"/>
      <c r="J52" s="117">
        <f>'[25]Costos Operativos Rec-TA'!$G$23</f>
        <v>382036.67927732819</v>
      </c>
      <c r="K52" s="25">
        <f>'[25]Inversion rec-TA'!$G$46</f>
        <v>0</v>
      </c>
      <c r="L52" s="25">
        <f>+'[25]Costos Operativos Rec-TA'!$G$46</f>
        <v>0</v>
      </c>
      <c r="M52" s="19">
        <f t="shared" si="31"/>
        <v>-3881802.0775410542</v>
      </c>
      <c r="N52" s="19"/>
      <c r="O52" s="25">
        <f>IF(((VLOOKUP($E52,Tabla13[],Inputs_costos!$I$1,FALSE))*(O$3*$E$3+O$4*$E$4)-AG52)&lt;0,0,VLOOKUP($E52,Tabla13[],Inputs_costos!$I$1,FALSE)*(O$3*$E$3+O$4*$E$4)-AG52)</f>
        <v>359159.83353599999</v>
      </c>
      <c r="P52" s="25">
        <f>(VLOOKUP($E52,Tabla13[],Inputs_costos!$J$1,FALSE))*(P$3*$E$3+P$4*$E$4)</f>
        <v>26127.3549570752</v>
      </c>
      <c r="Q52" s="25"/>
      <c r="R52" s="25">
        <f>IF($AC52&gt;=15,(VLOOKUP($E52,Tabla13[],Inputs_costos!$G$1,FALSE))*($R$3*$E$3+$R$4*$E$4),(VLOOKUP($E52,Tabla13[],Inputs_costos!$G$1,FALSE))*($T$3*$E$3+$T$4*$E$4))-AH52</f>
        <v>356780.74063999997</v>
      </c>
      <c r="S52" s="25">
        <f t="shared" si="32"/>
        <v>0</v>
      </c>
      <c r="T52" s="25">
        <f>IF($AC52&gt;=15,(VLOOKUP($E52,Tabla13[],Inputs_costos!$H$1,FALSE))*($R$3*$E$3+$R$4*$E$4),(VLOOKUP($E52,Tabla13[],Inputs_costos!$H$1,FALSE))*($T$3*$E$3+$T$4*$E$4))</f>
        <v>36715.004095999997</v>
      </c>
      <c r="U52" s="465">
        <f>SUMIFS(Tabla24[Costo de Cierre Técnico de BCA (US$)],Tabla24[Localidad],Resumen!$D52)</f>
        <v>0</v>
      </c>
      <c r="V52" s="461">
        <f t="shared" si="33"/>
        <v>0</v>
      </c>
      <c r="W52" s="465">
        <f>SUMIFS(Tabla24[Costo anual de Manteniemiento Post-cierre (US$)],Tabla24[Localidad],Resumen!$D52)</f>
        <v>0</v>
      </c>
      <c r="X52" s="461">
        <f t="shared" si="34"/>
        <v>0</v>
      </c>
      <c r="Y52" s="447">
        <f>VLOOKUP($D52,'Costo Social x localidad'!$B$2:$M$156,12,FALSE)*(Y$3*$E$3+Y$4*$E$4)</f>
        <v>3510.1086584</v>
      </c>
      <c r="Z52" s="28">
        <f>VLOOKUP(D52,'Estimación  PRESUPUESTO PCAS'!$B$4:$G$158,'Estimación  PRESUPUESTO PCAS'!$G$2,FALSE)</f>
        <v>148295.544026944</v>
      </c>
      <c r="AA52" s="650">
        <f>(-O52-R52)/(1+0.12)+PV(12%,20,P52)+PV(12%,20,T52)-(O52*0.5)/(1+0.12)^10-S52/(1+0.12)^10</f>
        <v>-1166450.0407094646</v>
      </c>
      <c r="AB52" s="651">
        <f>M52+AA52</f>
        <v>-5048252.118250519</v>
      </c>
      <c r="AC52" s="10">
        <f>VLOOKUP($E52,Resumen_Generación!$B$5:$F$158,Resumen_Generación!$D$3,FALSE)</f>
        <v>0.51909012799999998</v>
      </c>
      <c r="AD52" s="10">
        <f>VLOOKUP($E52,Resumen_Generación!$B$5:$G$158,Resumen_Generación!$G$3,FALSE)</f>
        <v>0.20800234000000001</v>
      </c>
      <c r="AE52" s="362">
        <f>VLOOKUP($E52,Resumen_Generación!$B$5:$F$158,Resumen_Generación!$E$3,FALSE)</f>
        <v>745</v>
      </c>
      <c r="AF52" s="10">
        <f>VLOOKUP($E52,Resumen_Generación!$B$5:$F$158,Resumen_Generación!$F$3,FALSE)</f>
        <v>0.24021200000000001</v>
      </c>
      <c r="AG52" s="448">
        <f>VLOOKUP($D52,Valoración_Equip_actual!$D$4:$I$157,Valoración_Equip_actual!$E$2,FALSE)*$E$4</f>
        <v>0</v>
      </c>
      <c r="AH52" s="448">
        <f>VLOOKUP($D52,Valoración_Equip_actual!$D$4:$I$157,Valoración_Equip_actual!$F$2,FALSE)*$E$4</f>
        <v>0</v>
      </c>
      <c r="AI52" s="448">
        <f>[25]P_Datos!$D$43</f>
        <v>2.2688524590163933E-2</v>
      </c>
      <c r="AN52" s="34" t="str">
        <f>[25]Datos!$C$2</f>
        <v>Labarden</v>
      </c>
      <c r="AO52" s="25" t="str">
        <f>VLOOKUP($E52,Tabla13[],Inputs_costos!$D$1,FALSE)</f>
        <v>LABARDEN</v>
      </c>
      <c r="AP52" s="28" t="str">
        <f>VLOOKUP($D52,'Costo Social x localidad'!$B$2:$M$156,1,FALSE)</f>
        <v>LABARDEN</v>
      </c>
    </row>
    <row r="53" spans="1:42" ht="15.75" thickBot="1">
      <c r="A53" s="917"/>
      <c r="B53" s="888"/>
      <c r="C53" s="483"/>
      <c r="D53" s="12" t="s">
        <v>8</v>
      </c>
      <c r="E53" s="40"/>
      <c r="F53" s="13"/>
      <c r="G53" s="8"/>
      <c r="H53" s="32">
        <f>SUM(H50:H52)</f>
        <v>6026701.504587261</v>
      </c>
      <c r="I53" s="32"/>
      <c r="J53" s="32">
        <f>SUM(J50:J52)</f>
        <v>2652003.571074055</v>
      </c>
      <c r="K53" s="14"/>
      <c r="L53" s="14"/>
      <c r="M53" s="15">
        <f>SUM(M50:M52)</f>
        <v>-27130411.241289727</v>
      </c>
      <c r="N53" s="15"/>
      <c r="O53" s="16">
        <f>SUM(O50:O52)</f>
        <v>1616010.6618039999</v>
      </c>
      <c r="P53" s="16">
        <f>SUM(P50:P52)</f>
        <v>350089.14268215041</v>
      </c>
      <c r="Q53" s="16"/>
      <c r="R53" s="26">
        <f>SUM(R50:R52)</f>
        <v>8081504.5507200006</v>
      </c>
      <c r="S53" s="26"/>
      <c r="T53" s="26">
        <f>SUM(T50:T52)</f>
        <v>1825464.9775040001</v>
      </c>
      <c r="U53" s="26"/>
      <c r="V53" s="26">
        <f>SUM(V50:V52)</f>
        <v>2646369.6272</v>
      </c>
      <c r="W53" s="26"/>
      <c r="X53" s="26">
        <f>SUM(X50:X52)</f>
        <v>234960.07528620042</v>
      </c>
      <c r="Y53" s="26">
        <f>SUM(Y50:Y52)</f>
        <v>49761.067364560004</v>
      </c>
      <c r="Z53" s="26">
        <f>SUM(Z50:Z52)</f>
        <v>581723.06344311254</v>
      </c>
      <c r="AA53" s="653">
        <f>SUM(AA50:AA52)</f>
        <v>-25431238.857266407</v>
      </c>
      <c r="AB53" s="654">
        <f>+M53+AA53</f>
        <v>-52561650.098556131</v>
      </c>
      <c r="AC53" s="630">
        <f t="shared" ref="AC53:AI53" si="35">SUM(AC50:AC52)</f>
        <v>23.799487431999996</v>
      </c>
      <c r="AD53" s="630">
        <f t="shared" si="35"/>
        <v>9.6660282100000003</v>
      </c>
      <c r="AE53" s="631">
        <f t="shared" si="35"/>
        <v>31189</v>
      </c>
      <c r="AF53" s="630">
        <f t="shared" si="35"/>
        <v>11.002019000000001</v>
      </c>
      <c r="AG53" s="630">
        <f t="shared" si="35"/>
        <v>764179.136788</v>
      </c>
      <c r="AH53" s="630">
        <f t="shared" si="35"/>
        <v>59955.7</v>
      </c>
      <c r="AI53" s="630">
        <f t="shared" si="35"/>
        <v>0.80806557377049182</v>
      </c>
      <c r="AJ53" s="4"/>
      <c r="AK53" s="4"/>
      <c r="AL53" s="4"/>
      <c r="AM53" s="4"/>
      <c r="AN53" s="4"/>
      <c r="AO53" s="4"/>
      <c r="AP53" s="4"/>
    </row>
    <row r="54" spans="1:42">
      <c r="A54" s="917"/>
      <c r="B54" s="886" t="s">
        <v>310</v>
      </c>
      <c r="C54" s="481" t="str">
        <f>IF(AND(D54=AN54,D54=AO54,D54=AP54),"ok","ATENCIÓN NO ESTÁ TOMANDO BIEN LA LOCALIDAD")</f>
        <v>ok</v>
      </c>
      <c r="D54" s="23" t="s">
        <v>119</v>
      </c>
      <c r="E54" s="114">
        <f>VLOOKUP(D54,Pobl_adoptada!$C$5:$D$158,2,FALSE)</f>
        <v>31</v>
      </c>
      <c r="F54" s="8" t="s">
        <v>308</v>
      </c>
      <c r="G54" s="576">
        <f>+'[26]Inversion rec-TA'!$G$21</f>
        <v>2408818.0967967948</v>
      </c>
      <c r="H54" s="577">
        <f>+($AC50/$AC53)*H57+G54</f>
        <v>3106276.7946540955</v>
      </c>
      <c r="I54" s="587">
        <f>+'[26]Costos Operativos Rec-TA'!$G$23</f>
        <v>1262562.522886089</v>
      </c>
      <c r="J54" s="579">
        <f>+($AC50/$AC53)*J57+I54</f>
        <v>1276511.6968432351</v>
      </c>
      <c r="K54" s="10">
        <f>+'[26]Inversion rec-TA'!$G$46</f>
        <v>0</v>
      </c>
      <c r="L54" s="10">
        <f>+'[26]Costos Operativos Rec-TA'!$G$46</f>
        <v>0</v>
      </c>
      <c r="M54" s="19">
        <f t="shared" ref="M54:M56" si="36">-H54/(1+0.12)+PV(12%,20,J54)-H54/(1+0.12)^10</f>
        <v>-13308431.572484955</v>
      </c>
      <c r="N54" s="614">
        <f>+$AD50/$AD53*N58</f>
        <v>1162276.0363459426</v>
      </c>
      <c r="O54" s="25">
        <f>IF(N54-AG54&lt;0,0,N54-AG54)</f>
        <v>398096.89955794264</v>
      </c>
      <c r="P54" s="32">
        <f>+$AD50/$AD53*P58</f>
        <v>298229.37852163822</v>
      </c>
      <c r="Q54" s="614">
        <f>+$AC50/$AC53*Q58</f>
        <v>5724129.3174221478</v>
      </c>
      <c r="R54" s="647">
        <f>IF(Q54-AH54&lt;0,0,Q54-AH54)</f>
        <v>5664173.6174221477</v>
      </c>
      <c r="S54" s="647">
        <f>+S50</f>
        <v>815000</v>
      </c>
      <c r="T54" s="32">
        <f>+$AC50/$AC53*T58</f>
        <v>1131693.5144402436</v>
      </c>
      <c r="U54" s="27"/>
      <c r="V54" s="461">
        <f>+V50</f>
        <v>2646369.6272</v>
      </c>
      <c r="W54" s="27"/>
      <c r="X54" s="461">
        <f t="shared" ref="X54:Z56" si="37">+X50</f>
        <v>234960.07528620042</v>
      </c>
      <c r="Y54" s="27">
        <f t="shared" si="37"/>
        <v>33719.674943360005</v>
      </c>
      <c r="Z54" s="27">
        <f t="shared" si="37"/>
        <v>267357.04439691035</v>
      </c>
      <c r="AA54" s="650">
        <f>(-O54-R54)/(1+0.12)+PV(12%,20,P54)+PV(12%,20,T54)-(O54*0.5)/(1+0.12)^10-S54/(1+0.12)^10</f>
        <v>-16419966.430567253</v>
      </c>
      <c r="AB54" s="651">
        <f>M54+AA54</f>
        <v>-29728398.003052209</v>
      </c>
      <c r="AG54" s="448">
        <f>VLOOKUP($D54,Valoración_Eq_REG!$D$4:$I$157,Valoración_Eq_REG!$E$2,FALSE)*$E$4</f>
        <v>764179.136788</v>
      </c>
      <c r="AH54" s="448">
        <f>VLOOKUP($D54,Valoración_Eq_REG!$D$4:$I$157,Valoración_Eq_REG!$F$2,FALSE)*$E$4</f>
        <v>59955.7</v>
      </c>
      <c r="AJ54" s="484">
        <f>+'[26]Evaluacion Economica'!$L$25</f>
        <v>3</v>
      </c>
      <c r="AK54" s="448">
        <f>+'[26]Evaluacion Economica'!$R$25</f>
        <v>19</v>
      </c>
      <c r="AL54" s="484">
        <f>+'[26]P_Evaluacion Economica'!$L$27</f>
        <v>2</v>
      </c>
      <c r="AM54" s="448">
        <f>+'[26]P_Evaluacion Economica'!$Q$27</f>
        <v>6</v>
      </c>
      <c r="AN54" s="34" t="str">
        <f>+[26]Datos!$C$2</f>
        <v>Ayacucho</v>
      </c>
      <c r="AO54" s="25" t="str">
        <f>VLOOKUP($E54,Tabla13[],Inputs_costos!$D$1,FALSE)</f>
        <v>AYACUCHO</v>
      </c>
      <c r="AP54" s="28" t="str">
        <f>VLOOKUP($D54,'Costo Social x localidad'!$B$2:$M$156,1,FALSE)</f>
        <v>AYACUCHO</v>
      </c>
    </row>
    <row r="55" spans="1:42">
      <c r="A55" s="917"/>
      <c r="B55" s="887"/>
      <c r="C55" s="478" t="str">
        <f>IF(AND(D55=AN55,D55=AO55,D55=AP55),"ok","ATENCIÓN NO ESTÁ TOMANDO BIEN LA LOCALIDAD")</f>
        <v>ok</v>
      </c>
      <c r="D55" s="24" t="s">
        <v>190</v>
      </c>
      <c r="E55" s="115">
        <f>VLOOKUP(D55,Pobl_adoptada!$C$5:$D$158,2,FALSE)</f>
        <v>91</v>
      </c>
      <c r="F55" s="9" t="s">
        <v>308</v>
      </c>
      <c r="G55" s="580">
        <f>+'[27]Inversion rec-TA'!$G$21</f>
        <v>1846416.6744783516</v>
      </c>
      <c r="H55" s="34">
        <f>+($AC51/$AC53)*H57+G55</f>
        <v>2150347.7319806376</v>
      </c>
      <c r="I55" s="465">
        <f>+'[27]Costos Operativos Rec-TA'!$G$23</f>
        <v>954579.70519597037</v>
      </c>
      <c r="J55" s="581">
        <f>+($AC51/$AC53)*J57+I55</f>
        <v>960658.32634601614</v>
      </c>
      <c r="K55" s="10">
        <f>+'[27]Inversion rec-TA'!$G$46</f>
        <v>0</v>
      </c>
      <c r="L55" s="10">
        <f>+'[27]Costos Operativos Rec-TA'!$G$46</f>
        <v>0</v>
      </c>
      <c r="M55" s="19">
        <f t="shared" si="36"/>
        <v>-9787890.9620693065</v>
      </c>
      <c r="N55" s="465">
        <f>+$AD51/$AD53*N58</f>
        <v>505215.74279846367</v>
      </c>
      <c r="O55" s="25">
        <f>IF(N55-AG55&lt;0,0,N55-AG55)</f>
        <v>505215.74279846367</v>
      </c>
      <c r="P55" s="25">
        <f>+$AD51/$AD53*P58</f>
        <v>129633.72923683665</v>
      </c>
      <c r="Q55" s="465">
        <f>+$AC51/$AC53*Q58</f>
        <v>2494399.5709978244</v>
      </c>
      <c r="R55" s="647">
        <f>IF(Q55-AH55&lt;0,0,Q55-AH55)</f>
        <v>2494399.5709978244</v>
      </c>
      <c r="S55" s="647">
        <f>+S51</f>
        <v>0</v>
      </c>
      <c r="T55" s="25">
        <f>+$AC51/$AC53*T58</f>
        <v>493157.24023370788</v>
      </c>
      <c r="U55" s="458"/>
      <c r="V55" s="461">
        <f>+V51</f>
        <v>0</v>
      </c>
      <c r="W55" s="28"/>
      <c r="X55" s="461">
        <f t="shared" si="37"/>
        <v>0</v>
      </c>
      <c r="Y55" s="28">
        <f t="shared" si="37"/>
        <v>12531.283762799996</v>
      </c>
      <c r="Z55" s="28">
        <f t="shared" si="37"/>
        <v>166070.47501925824</v>
      </c>
      <c r="AA55" s="650">
        <f>(-O55-R55)/(1+0.12)+PV(12%,20,P55)+PV(12%,20,T55)-(O55*0.5)/(1+0.12)^10-S55/(1+0.12)^10</f>
        <v>-7411462.9688899443</v>
      </c>
      <c r="AB55" s="651">
        <f>M55+AA55</f>
        <v>-17199353.930959251</v>
      </c>
      <c r="AC55" s="39"/>
      <c r="AD55" s="10"/>
      <c r="AE55" s="10"/>
      <c r="AF55" s="10"/>
      <c r="AG55" s="448">
        <f>VLOOKUP($D55,Valoración_Eq_REG!$D$4:$I$157,Valoración_Eq_REG!$E$2,FALSE)*$E$4</f>
        <v>0</v>
      </c>
      <c r="AH55" s="448">
        <f>VLOOKUP($D55,Valoración_Eq_REG!$D$4:$I$157,Valoración_Eq_REG!$F$2,FALSE)*$E$4</f>
        <v>0</v>
      </c>
      <c r="AI55" s="11"/>
      <c r="AJ55" s="484">
        <f>+'[27]Evaluacion Economica'!$L$25</f>
        <v>2</v>
      </c>
      <c r="AK55" s="448">
        <f>+'[27]Evaluacion Economica'!$R$25</f>
        <v>15</v>
      </c>
      <c r="AL55" s="484">
        <f>+'[27]P_Evaluacion Economica'!$L$27</f>
        <v>2</v>
      </c>
      <c r="AM55" s="448">
        <f>+'[27]P_Evaluacion Economica'!$Q$27</f>
        <v>6</v>
      </c>
      <c r="AN55" s="34" t="str">
        <f>+[27]Datos!$C$2</f>
        <v>Maipú</v>
      </c>
      <c r="AO55" s="25" t="str">
        <f>VLOOKUP($E55,Tabla13[],Inputs_costos!$D$1,FALSE)</f>
        <v>MAIPÚ</v>
      </c>
      <c r="AP55" s="28" t="str">
        <f>VLOOKUP($D55,'Costo Social x localidad'!$B$2:$M$156,1,FALSE)</f>
        <v>MAIPÚ</v>
      </c>
    </row>
    <row r="56" spans="1:42" ht="15.75" thickBot="1">
      <c r="A56" s="917"/>
      <c r="B56" s="887"/>
      <c r="C56" s="478" t="str">
        <f>IF(AND(D56=AN56,D56=AO56,D56=AP56),"ok","ATENCIÓN NO ESTÁ TOMANDO BIEN LA LOCALIDAD")</f>
        <v>ok</v>
      </c>
      <c r="D56" s="36" t="s">
        <v>250</v>
      </c>
      <c r="E56" s="115">
        <f>VLOOKUP(D56,Pobl_adoptada!$C$5:$D$158,2,FALSE)</f>
        <v>144</v>
      </c>
      <c r="F56" s="9" t="s">
        <v>308</v>
      </c>
      <c r="G56" s="580">
        <f>+'[28]Inversion rec-TA'!$G$21</f>
        <v>676208.61825920001</v>
      </c>
      <c r="H56" s="34">
        <f>+($AC52/$AC53)*H57+G56</f>
        <v>698536.91143648967</v>
      </c>
      <c r="I56" s="465">
        <f>+'[28]Costos Operativos Rec-TA'!$G$23</f>
        <v>431582.532350761</v>
      </c>
      <c r="J56" s="581">
        <f>+($AC52/$AC53)*J57+I56</f>
        <v>432029.09821430681</v>
      </c>
      <c r="K56" s="10">
        <f>+'[28]Inversion rec-TA'!$G$46</f>
        <v>0</v>
      </c>
      <c r="L56" s="10">
        <f>+'[28]Costos Operativos Rec-TA'!$G$46</f>
        <v>0</v>
      </c>
      <c r="M56" s="19">
        <f t="shared" si="36"/>
        <v>-4075620.8543595672</v>
      </c>
      <c r="N56" s="465">
        <f>+$AD52/$AD53*N58</f>
        <v>36671.732215593918</v>
      </c>
      <c r="O56" s="25">
        <f>IF(N56-AG56&lt;0,0,N56-AG56)</f>
        <v>36671.732215593918</v>
      </c>
      <c r="P56" s="25">
        <f>+$AD52/$AD53*P58</f>
        <v>9409.6303855251481</v>
      </c>
      <c r="Q56" s="465">
        <f>+$AC52/$AC53*Q58</f>
        <v>183251.04838002988</v>
      </c>
      <c r="R56" s="647">
        <f>IF(Q56-AH56&lt;0,0,Q56-AH56)</f>
        <v>183251.04838002988</v>
      </c>
      <c r="S56" s="647">
        <f>+S52</f>
        <v>0</v>
      </c>
      <c r="T56" s="25">
        <f>+$AC52/$AC53*T58</f>
        <v>36229.793470048688</v>
      </c>
      <c r="U56" s="29"/>
      <c r="V56" s="461">
        <f>+V52</f>
        <v>0</v>
      </c>
      <c r="W56" s="25"/>
      <c r="X56" s="461">
        <f t="shared" si="37"/>
        <v>0</v>
      </c>
      <c r="Y56" s="28">
        <f t="shared" si="37"/>
        <v>3510.1086584</v>
      </c>
      <c r="Z56" s="28">
        <f t="shared" si="37"/>
        <v>148295.544026944</v>
      </c>
      <c r="AA56" s="650">
        <f>(-O56-R56)/(1+0.12)+PV(12%,20,P56)+PV(12%,20,T56)-(O56*0.5)/(1+0.12)^10-S56/(1+0.12)^10</f>
        <v>-543164.38722422882</v>
      </c>
      <c r="AB56" s="651">
        <f>M56+AA56</f>
        <v>-4618785.2415837962</v>
      </c>
      <c r="AC56" s="10"/>
      <c r="AD56" s="10"/>
      <c r="AE56" s="10"/>
      <c r="AF56" s="10"/>
      <c r="AG56" s="448">
        <f>VLOOKUP($D56,Valoración_Eq_REG!$D$4:$I$157,Valoración_Eq_REG!$E$2,FALSE)*$E$4</f>
        <v>0</v>
      </c>
      <c r="AH56" s="448">
        <f>VLOOKUP($D56,Valoración_Eq_REG!$D$4:$I$157,Valoración_Eq_REG!$F$2,FALSE)*$E$4</f>
        <v>0</v>
      </c>
      <c r="AI56" s="2"/>
      <c r="AJ56" s="484">
        <f>+'[28]Evaluacion Economica'!$L$25</f>
        <v>1</v>
      </c>
      <c r="AK56" s="448">
        <f>+'[28]Evaluacion Economica'!$R$25</f>
        <v>9</v>
      </c>
      <c r="AL56" s="484">
        <f>+'[28]P_Evaluacion Economica'!$L$27</f>
        <v>1</v>
      </c>
      <c r="AM56" s="448">
        <f>+'[28]P_Evaluacion Economica'!$Q$27</f>
        <v>6</v>
      </c>
      <c r="AN56" s="34" t="str">
        <f>+[28]Datos!$C$2</f>
        <v>Labarden</v>
      </c>
      <c r="AO56" s="25" t="str">
        <f>VLOOKUP($E56,Tabla13[],Inputs_costos!$D$1,FALSE)</f>
        <v>LABARDEN</v>
      </c>
      <c r="AP56" s="28" t="str">
        <f>VLOOKUP($D56,'Costo Social x localidad'!$B$2:$M$156,1,FALSE)</f>
        <v>LABARDEN</v>
      </c>
    </row>
    <row r="57" spans="1:42" ht="30.75" thickBot="1">
      <c r="A57" s="917"/>
      <c r="B57" s="887"/>
      <c r="C57" s="912" t="s">
        <v>12</v>
      </c>
      <c r="D57" s="913"/>
      <c r="E57" s="498" t="s">
        <v>589</v>
      </c>
      <c r="F57" s="571">
        <f>+F44</f>
        <v>0.02</v>
      </c>
      <c r="G57" s="582"/>
      <c r="H57" s="461">
        <f>+AJ57*AJ59+AL57*AL59</f>
        <v>1023718.0485368767</v>
      </c>
      <c r="I57" s="461"/>
      <c r="J57" s="583">
        <f>+$F57*H57</f>
        <v>20474.360970737533</v>
      </c>
      <c r="K57" s="10"/>
      <c r="L57" s="10"/>
      <c r="M57" s="19"/>
      <c r="N57" s="616"/>
      <c r="O57" s="10"/>
      <c r="P57" s="10"/>
      <c r="Q57" s="618"/>
      <c r="R57" s="28"/>
      <c r="S57" s="28"/>
      <c r="T57" s="28"/>
      <c r="U57" s="28"/>
      <c r="V57" s="28"/>
      <c r="W57" s="28"/>
      <c r="X57" s="28"/>
      <c r="Y57" s="28"/>
      <c r="Z57" s="28"/>
      <c r="AA57" s="650"/>
      <c r="AB57" s="20"/>
      <c r="AC57" s="10"/>
      <c r="AD57" s="10"/>
      <c r="AE57" s="10"/>
      <c r="AF57" s="10"/>
      <c r="AG57" s="4"/>
      <c r="AH57" s="4"/>
      <c r="AI57" s="4"/>
      <c r="AJ57" s="501">
        <f>ROUNDUP(C58*SUM(AJ54:AJ56),0)</f>
        <v>2</v>
      </c>
      <c r="AK57" s="502">
        <f>AVERAGE(AK54:AK56)</f>
        <v>14.333333333333334</v>
      </c>
      <c r="AL57" s="501">
        <f>ROUNDUP(C58*SUM(AL54:AL56),0)</f>
        <v>2</v>
      </c>
      <c r="AM57" s="502">
        <f>AVERAGE(AM54:AM56)</f>
        <v>6</v>
      </c>
      <c r="AN57" s="4"/>
      <c r="AO57" s="4"/>
      <c r="AP57" s="4"/>
    </row>
    <row r="58" spans="1:42" ht="15.75" thickBot="1">
      <c r="A58" s="918"/>
      <c r="B58" s="888"/>
      <c r="C58" s="570">
        <v>0.3</v>
      </c>
      <c r="D58" s="500" t="str">
        <f>A50</f>
        <v>REGIÓN AYACUCHO</v>
      </c>
      <c r="E58" s="468"/>
      <c r="F58" s="469"/>
      <c r="G58" s="584"/>
      <c r="H58" s="585">
        <f>SUM(H54:H56)</f>
        <v>5955161.438071223</v>
      </c>
      <c r="I58" s="585"/>
      <c r="J58" s="586">
        <f>SUM(J54:J56)</f>
        <v>2669199.1214035582</v>
      </c>
      <c r="K58" s="14"/>
      <c r="L58" s="14"/>
      <c r="M58" s="15">
        <f>SUM(M54:M57)</f>
        <v>-27171943.388913829</v>
      </c>
      <c r="N58" s="617">
        <f>(VLOOKUP($E54,Tabla13[],Inputs_costos!$P$1,FALSE))*(O$3*$E$3+O$4*$E$4)</f>
        <v>1704163.5113600001</v>
      </c>
      <c r="O58" s="35">
        <f>SUM(O54:O56)</f>
        <v>939984.37457200023</v>
      </c>
      <c r="P58" s="35">
        <f>(VLOOKUP($E54,Tabla13[],Inputs_costos!$Q$1,FALSE))*(P$3*$E$3+P$4*$E$4)</f>
        <v>437272.738144</v>
      </c>
      <c r="Q58" s="615">
        <f>IF($AC53&gt;=15,(VLOOKUP($E54,Tabla13[],Inputs_costos!$N$1,FALSE))*($R$3*$E$3+$R$4*$E$4),(VLOOKUP($E54,Tabla13[],Inputs_costos!$N$1,FALSE))*($T$3*$E$3+$T$4*$E$4))</f>
        <v>8401779.9368000012</v>
      </c>
      <c r="R58" s="35">
        <f>SUM(R54:R56)</f>
        <v>8341824.2368000019</v>
      </c>
      <c r="S58" s="35"/>
      <c r="T58" s="35">
        <f>IF($AC53&gt;=15,(VLOOKUP($E54,Tabla13[],Inputs_costos!$O$1,FALSE))*($R$3*$E$3+$R$4*$E$4),(VLOOKUP($E54,Tabla13[],Inputs_costos!$O$1,FALSE))*($T$3*$E$3+$T$4*$E$4))</f>
        <v>1661080.5481440001</v>
      </c>
      <c r="U58" s="35"/>
      <c r="V58" s="31">
        <f>SUM(V54:V56)</f>
        <v>2646369.6272</v>
      </c>
      <c r="W58" s="31"/>
      <c r="X58" s="31">
        <f>SUM(X54:X56)</f>
        <v>234960.07528620042</v>
      </c>
      <c r="Y58" s="31">
        <f>SUM(Y54:Y56)</f>
        <v>49761.067364560004</v>
      </c>
      <c r="Z58" s="31">
        <f>SUM(Z54:Z56)</f>
        <v>581723.06344311254</v>
      </c>
      <c r="AA58" s="653">
        <f>SUM(AA54:AA56)</f>
        <v>-24374593.786681425</v>
      </c>
      <c r="AB58" s="654">
        <f>+M58+AA58</f>
        <v>-51546537.175595254</v>
      </c>
      <c r="AC58" s="38"/>
      <c r="AD58" s="38"/>
      <c r="AE58" s="38"/>
      <c r="AF58" s="38"/>
      <c r="AG58" s="4"/>
      <c r="AH58" s="4"/>
      <c r="AI58" s="4"/>
      <c r="AJ58" s="11"/>
      <c r="AK58" s="499">
        <f>VLOOKUP(ROUNDUP(AK57,0),DATOS!$F$16:$G$31,2,FALSE)</f>
        <v>15</v>
      </c>
      <c r="AL58" s="497"/>
      <c r="AM58" s="499">
        <f>VLOOKUP(ROUNDUP(AM57,0),DATOS!$J$16:$K$34,2,FALSE)</f>
        <v>6</v>
      </c>
      <c r="AN58" s="4"/>
      <c r="AO58" s="4"/>
      <c r="AP58" s="4"/>
    </row>
    <row r="59" spans="1:42">
      <c r="F59" s="2"/>
      <c r="G59" s="2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0"/>
      <c r="V59" s="2"/>
      <c r="W59" s="2"/>
      <c r="X59" s="2"/>
      <c r="Y59" s="2"/>
      <c r="Z59" s="2"/>
      <c r="AA59" s="4"/>
      <c r="AB59" s="4"/>
      <c r="AC59" s="4"/>
      <c r="AD59" s="4"/>
      <c r="AE59" s="4"/>
      <c r="AF59" s="4"/>
      <c r="AG59" s="644"/>
      <c r="AH59" s="448"/>
      <c r="AI59" s="4"/>
      <c r="AJ59" s="892">
        <f>VLOOKUP(AK58,DATOS!$F$3:$H$11,3,FALSE)</f>
        <v>277598.62978843832</v>
      </c>
      <c r="AK59" s="892"/>
      <c r="AL59" s="892">
        <f>VLOOKUP(AM58,DATOS!$J$3:$L$12,3,FALSE)</f>
        <v>234260.39447999999</v>
      </c>
      <c r="AM59" s="892"/>
      <c r="AN59" s="4"/>
      <c r="AO59" s="4"/>
      <c r="AP59" s="4"/>
    </row>
    <row r="60" spans="1:42" ht="15.75" thickBot="1">
      <c r="A60" s="503"/>
      <c r="B60" s="503"/>
      <c r="C60" s="503"/>
      <c r="D60" s="503"/>
      <c r="E60" s="503"/>
      <c r="F60" s="504"/>
      <c r="G60" s="504"/>
      <c r="H60" s="505"/>
      <c r="I60" s="505"/>
      <c r="J60" s="505"/>
      <c r="K60" s="505"/>
      <c r="L60" s="505"/>
      <c r="M60" s="505"/>
      <c r="N60" s="505"/>
      <c r="O60" s="505"/>
      <c r="P60" s="505"/>
      <c r="Q60" s="505"/>
      <c r="R60" s="504"/>
      <c r="S60" s="504"/>
      <c r="T60" s="504"/>
      <c r="U60" s="504"/>
      <c r="V60" s="504"/>
      <c r="W60" s="504"/>
      <c r="X60" s="504"/>
      <c r="Y60" s="504"/>
      <c r="Z60" s="504"/>
      <c r="AA60" s="506"/>
      <c r="AB60" s="506"/>
      <c r="AC60" s="506"/>
      <c r="AD60" s="506"/>
      <c r="AE60" s="506"/>
      <c r="AF60" s="506"/>
      <c r="AG60" s="506"/>
      <c r="AH60" s="506"/>
      <c r="AI60" s="506"/>
      <c r="AJ60" s="506"/>
      <c r="AK60" s="506"/>
      <c r="AL60" s="506"/>
      <c r="AM60" s="506"/>
      <c r="AN60" s="506"/>
      <c r="AO60" s="506"/>
      <c r="AP60" s="506"/>
    </row>
    <row r="61" spans="1:42" ht="43.5" customHeight="1" thickBot="1">
      <c r="A61" s="886" t="s">
        <v>7</v>
      </c>
      <c r="B61" s="886" t="s">
        <v>2</v>
      </c>
      <c r="C61" s="479"/>
      <c r="D61" s="882" t="s">
        <v>22</v>
      </c>
      <c r="E61" s="882" t="s">
        <v>23</v>
      </c>
      <c r="F61" s="882" t="s">
        <v>3</v>
      </c>
      <c r="G61" s="568"/>
      <c r="H61" s="901" t="s">
        <v>0</v>
      </c>
      <c r="I61" s="901"/>
      <c r="J61" s="901"/>
      <c r="K61" s="901" t="s">
        <v>1</v>
      </c>
      <c r="L61" s="901"/>
      <c r="M61" s="886" t="s">
        <v>10</v>
      </c>
      <c r="N61" s="879" t="s">
        <v>5</v>
      </c>
      <c r="O61" s="880"/>
      <c r="P61" s="881"/>
      <c r="Q61" s="902" t="s">
        <v>4</v>
      </c>
      <c r="R61" s="903"/>
      <c r="S61" s="903"/>
      <c r="T61" s="904"/>
      <c r="U61" s="902" t="s">
        <v>6</v>
      </c>
      <c r="V61" s="903"/>
      <c r="W61" s="903"/>
      <c r="X61" s="904"/>
      <c r="Y61" s="390" t="s">
        <v>689</v>
      </c>
      <c r="Z61" s="662" t="s">
        <v>690</v>
      </c>
      <c r="AA61" s="905" t="s">
        <v>686</v>
      </c>
      <c r="AB61" s="886" t="s">
        <v>9</v>
      </c>
      <c r="AC61" s="907" t="s">
        <v>312</v>
      </c>
      <c r="AD61" s="914" t="s">
        <v>649</v>
      </c>
      <c r="AE61" s="897" t="s">
        <v>20</v>
      </c>
      <c r="AF61" s="897" t="s">
        <v>313</v>
      </c>
      <c r="AG61" s="899" t="s">
        <v>552</v>
      </c>
      <c r="AH61" s="895" t="s">
        <v>578</v>
      </c>
      <c r="AI61" s="897" t="s">
        <v>579</v>
      </c>
      <c r="AJ61" s="882" t="s">
        <v>581</v>
      </c>
      <c r="AK61" s="882" t="s">
        <v>582</v>
      </c>
      <c r="AL61" s="882" t="s">
        <v>581</v>
      </c>
      <c r="AM61" s="882" t="s">
        <v>582</v>
      </c>
      <c r="AN61" s="884" t="s">
        <v>553</v>
      </c>
      <c r="AO61" s="885"/>
      <c r="AP61" s="885"/>
    </row>
    <row r="62" spans="1:42" ht="30.75" thickBot="1">
      <c r="A62" s="888"/>
      <c r="B62" s="888"/>
      <c r="C62" s="480"/>
      <c r="D62" s="883"/>
      <c r="E62" s="883"/>
      <c r="F62" s="883"/>
      <c r="G62" s="569"/>
      <c r="H62" s="17" t="s">
        <v>18</v>
      </c>
      <c r="I62" s="17"/>
      <c r="J62" s="17" t="s">
        <v>17</v>
      </c>
      <c r="K62" s="17" t="s">
        <v>18</v>
      </c>
      <c r="L62" s="17" t="s">
        <v>17</v>
      </c>
      <c r="M62" s="888"/>
      <c r="N62" s="464" t="s">
        <v>685</v>
      </c>
      <c r="O62" s="17" t="s">
        <v>18</v>
      </c>
      <c r="P62" s="17" t="s">
        <v>17</v>
      </c>
      <c r="Q62" s="464" t="s">
        <v>685</v>
      </c>
      <c r="R62" s="17" t="s">
        <v>18</v>
      </c>
      <c r="S62" s="17"/>
      <c r="T62" s="17" t="s">
        <v>17</v>
      </c>
      <c r="U62" s="464" t="s">
        <v>576</v>
      </c>
      <c r="V62" s="17" t="s">
        <v>18</v>
      </c>
      <c r="W62" s="464" t="s">
        <v>577</v>
      </c>
      <c r="X62" s="17" t="s">
        <v>17</v>
      </c>
      <c r="Y62" s="17" t="s">
        <v>18</v>
      </c>
      <c r="Z62" s="17" t="s">
        <v>17</v>
      </c>
      <c r="AA62" s="906"/>
      <c r="AB62" s="888"/>
      <c r="AC62" s="908"/>
      <c r="AD62" s="915"/>
      <c r="AE62" s="898"/>
      <c r="AF62" s="898"/>
      <c r="AG62" s="900"/>
      <c r="AH62" s="896"/>
      <c r="AI62" s="898"/>
      <c r="AJ62" s="883"/>
      <c r="AK62" s="883"/>
      <c r="AL62" s="883"/>
      <c r="AM62" s="883"/>
      <c r="AN62" s="1" t="s">
        <v>551</v>
      </c>
      <c r="AO62" s="9" t="s">
        <v>554</v>
      </c>
      <c r="AP62" s="1" t="s">
        <v>555</v>
      </c>
    </row>
    <row r="63" spans="1:42" ht="15" customHeight="1">
      <c r="A63" s="916" t="s">
        <v>593</v>
      </c>
      <c r="B63" s="886" t="s">
        <v>309</v>
      </c>
      <c r="C63" s="481" t="str">
        <f>IF(AND(D63=AN63,D63=AO63,D63=AP63),"ok","ATENCIÓN NO ESTÁ TOMANDO BIEN LA LOCALIDAD")</f>
        <v>ok</v>
      </c>
      <c r="D63" s="23" t="s">
        <v>120</v>
      </c>
      <c r="E63" s="114">
        <f>VLOOKUP(D63,Pobl_adoptada!$C$5:$D$158,2,FALSE)</f>
        <v>32</v>
      </c>
      <c r="F63" s="8" t="s">
        <v>308</v>
      </c>
      <c r="G63" s="8"/>
      <c r="H63" s="33">
        <f>'[29]Inversion rec-TA'!$G$21</f>
        <v>6214228.2529044515</v>
      </c>
      <c r="I63" s="33"/>
      <c r="J63" s="33">
        <f>'[29]Costos Operativos Rec-TA'!$G$23</f>
        <v>3871220.9156144788</v>
      </c>
      <c r="K63" s="32">
        <f>'[29]Inversion rec-TA'!$G$46</f>
        <v>0</v>
      </c>
      <c r="L63" s="32">
        <f>+'[29]Costos Operativos Rec-TA'!$G$46</f>
        <v>0</v>
      </c>
      <c r="M63" s="19">
        <f t="shared" ref="M63:M64" si="38">-H63/(1+0.12)+PV(12%,20,J63)-H63/(1+0.12)^10</f>
        <v>-36465099.652951606</v>
      </c>
      <c r="N63" s="19"/>
      <c r="O63" s="25">
        <f>IF(((VLOOKUP($E63,Tabla13[],Inputs_costos!$I$1,FALSE))*(O$3*$E$3+O$4*$E$4)-AG63)&lt;0,0,VLOOKUP($E63,Tabla13[],Inputs_costos!$I$1,FALSE)*(O$3*$E$3+O$4*$E$4)-AG63)</f>
        <v>1792132.2303200001</v>
      </c>
      <c r="P63" s="25">
        <f>(VLOOKUP($E63,Tabla13[],Inputs_costos!$J$1,FALSE))*(P$3*$E$3+P$4*$E$4)</f>
        <v>1037764.5329600001</v>
      </c>
      <c r="Q63" s="25"/>
      <c r="R63" s="25">
        <f>IF($AC63&gt;=15,(VLOOKUP($E63,Tabla13[],Inputs_costos!$G$1,FALSE))*($R$3*$E$3+$R$4*$E$4),(VLOOKUP($E63,Tabla13[],Inputs_costos!$G$1,FALSE))*($T$3*$E$3+$T$4*$E$4))-AH63</f>
        <v>13131104.925600002</v>
      </c>
      <c r="S63" s="25">
        <f t="shared" ref="S63:S64" si="39">IF(AC63&lt;15,0,IF(AC63&lt;=350,815000,1345000))</f>
        <v>815000</v>
      </c>
      <c r="T63" s="25">
        <f>IF($AC63&gt;=15,(VLOOKUP($E63,Tabla13[],Inputs_costos!$H$1,FALSE))*($R$3*$E$3+$R$4*$E$4),(VLOOKUP($E63,Tabla13[],Inputs_costos!$H$1,FALSE))*($T$3*$E$3+$T$4*$E$4))</f>
        <v>1318354.2909040002</v>
      </c>
      <c r="U63" s="465">
        <f>SUMIFS(Tabla24[Costo de Cierre Técnico de BCA (US$)],Tabla24[Localidad],Resumen!$D63)</f>
        <v>0</v>
      </c>
      <c r="V63" s="461">
        <f>+U63*(V$3*$E$3+V$4*$E$4)</f>
        <v>0</v>
      </c>
      <c r="W63" s="465">
        <f>SUMIFS(Tabla24[Costo anual de Manteniemiento Post-cierre (US$)],Tabla24[Localidad],Resumen!$D63)</f>
        <v>0</v>
      </c>
      <c r="X63" s="461">
        <f>+W63*(X$3*$E$3+X$4*$E$4)</f>
        <v>0</v>
      </c>
      <c r="Y63" s="27">
        <f>VLOOKUP($D63,'Costo Social x localidad'!$B$2:$M$156,12,FALSE)*(Y$3*$E$3+Y$4*$E$4)</f>
        <v>98443.206103680001</v>
      </c>
      <c r="Z63" s="28">
        <f>VLOOKUP(D63,'Estimación  PRESUPUESTO PCAS'!$B$4:$G$158,'Estimación  PRESUPUESTO PCAS'!$G$2,FALSE)</f>
        <v>396890.71761030564</v>
      </c>
      <c r="AA63" s="650">
        <f>(-O63-R63)/(1+0.12)+PV(12%,20,P63)+PV(12%,20,T63)-(O63*0.5)/(1+0.12)^10-S63/(1+0.12)^10</f>
        <v>-31474133.111402217</v>
      </c>
      <c r="AB63" s="651">
        <f>M63+AA63</f>
        <v>-67939232.764353827</v>
      </c>
      <c r="AC63" s="10">
        <f>VLOOKUP($E63,Resumen_Generación!$B$5:$F$158,Resumen_Generación!$D$3,FALSE)</f>
        <v>56.620270584000004</v>
      </c>
      <c r="AD63" s="10">
        <f>VLOOKUP($E63,Resumen_Generación!$B$5:$G$158,Resumen_Generación!$G$3,FALSE)</f>
        <v>23.287021769999996</v>
      </c>
      <c r="AE63" s="362">
        <f>VLOOKUP($E63,Resumen_Generación!$B$5:$F$158,Resumen_Generación!$E$3,FALSE)</f>
        <v>73774</v>
      </c>
      <c r="AF63" s="10">
        <f>VLOOKUP($E63,Resumen_Generación!$B$5:$F$158,Resumen_Generación!$F$3,FALSE)</f>
        <v>26.110979999999998</v>
      </c>
      <c r="AG63" s="448">
        <f>VLOOKUP($D63,Valoración_Equip_actual!$D$4:$I$157,Valoración_Equip_actual!$E$2,FALSE)*$E$4</f>
        <v>94189.61</v>
      </c>
      <c r="AH63" s="448">
        <f>VLOOKUP($D63,Valoración_Equip_actual!$D$4:$I$157,Valoración_Equip_actual!$F$2,FALSE)*$E$4</f>
        <v>139867.20000000001</v>
      </c>
      <c r="AI63" s="448">
        <f>[29]P_Datos!$D$43</f>
        <v>1.8176393442622951</v>
      </c>
      <c r="AN63" s="449" t="str">
        <f>[29]Datos!$C$2</f>
        <v>Azul</v>
      </c>
      <c r="AO63" s="450" t="str">
        <f>VLOOKUP($E63,Tabla13[],Inputs_costos!$D$1,FALSE)</f>
        <v>AZUL</v>
      </c>
      <c r="AP63" s="451" t="str">
        <f>VLOOKUP($D63,'Costo Social x localidad'!$B$2:$M$156,1,FALSE)</f>
        <v>AZUL</v>
      </c>
    </row>
    <row r="64" spans="1:42" ht="15.75" thickBot="1">
      <c r="A64" s="917"/>
      <c r="B64" s="887"/>
      <c r="C64" s="478" t="str">
        <f>IF(AND(D64=AN64,D64=AO64,D64=AP64),"ok","ATENCIÓN NO ESTÁ TOMANDO BIEN LA LOCALIDAD")</f>
        <v>ok</v>
      </c>
      <c r="D64" s="36" t="s">
        <v>233</v>
      </c>
      <c r="E64" s="482">
        <f>VLOOKUP(D64,Pobl_adoptada!$C$5:$D$158,2,FALSE)</f>
        <v>127</v>
      </c>
      <c r="F64" s="37" t="s">
        <v>308</v>
      </c>
      <c r="G64" s="37"/>
      <c r="H64" s="117">
        <f>'[30]Inversion rec-TA'!$G$21</f>
        <v>2293991.8247098257</v>
      </c>
      <c r="I64" s="117"/>
      <c r="J64" s="117">
        <f>'[30]Costos Operativos Rec-TA'!$G$23</f>
        <v>967168.61573750991</v>
      </c>
      <c r="K64" s="25">
        <f>'[30]Inversion rec-TA'!$G$46</f>
        <v>0</v>
      </c>
      <c r="L64" s="25">
        <f>+'[30]Costos Operativos Rec-TA'!$G$46</f>
        <v>0</v>
      </c>
      <c r="M64" s="19">
        <f t="shared" si="38"/>
        <v>-10011022.409332767</v>
      </c>
      <c r="N64" s="19"/>
      <c r="O64" s="25">
        <f>IF(((VLOOKUP($E64,Tabla13[],Inputs_costos!$I$1,FALSE))*(O$3*$E$3+O$4*$E$4)-AG64)&lt;0,0,VLOOKUP($E64,Tabla13[],Inputs_costos!$I$1,FALSE)*(O$3*$E$3+O$4*$E$4)-AG64)</f>
        <v>359159.83353599999</v>
      </c>
      <c r="P64" s="25">
        <f>(VLOOKUP($E64,Tabla13[],Inputs_costos!$J$1,FALSE))*(P$3*$E$3+P$4*$E$4)</f>
        <v>26127.3549570752</v>
      </c>
      <c r="Q64" s="25"/>
      <c r="R64" s="25">
        <f>IF($AC64&gt;=15,(VLOOKUP($E64,Tabla13[],Inputs_costos!$G$1,FALSE))*($R$3*$E$3+$R$4*$E$4),(VLOOKUP($E64,Tabla13[],Inputs_costos!$G$1,FALSE))*($T$3*$E$3+$T$4*$E$4))-AH64</f>
        <v>572978.82328000001</v>
      </c>
      <c r="S64" s="25">
        <f t="shared" si="39"/>
        <v>0</v>
      </c>
      <c r="T64" s="25">
        <f>IF($AC64&gt;=15,(VLOOKUP($E64,Tabla13[],Inputs_costos!$H$1,FALSE))*($R$3*$E$3+$R$4*$E$4),(VLOOKUP($E64,Tabla13[],Inputs_costos!$H$1,FALSE))*($T$3*$E$3+$T$4*$E$4))</f>
        <v>95762.408695999999</v>
      </c>
      <c r="U64" s="465">
        <f>SUMIFS(Tabla24[Costo de Cierre Técnico de BCA (US$)],Tabla24[Localidad],Resumen!$D64)</f>
        <v>636000</v>
      </c>
      <c r="V64" s="461">
        <f t="shared" ref="V64" si="40">+U64*(V$3*$E$3+V$4*$E$4)</f>
        <v>1221401.3663999999</v>
      </c>
      <c r="W64" s="465">
        <f>SUMIFS(Tabla24[Costo anual de Manteniemiento Post-cierre (US$)],Tabla24[Localidad],Resumen!$D64)</f>
        <v>56467.776211644792</v>
      </c>
      <c r="X64" s="461">
        <f t="shared" ref="X64" si="41">+W64*(X$3*$E$3+X$4*$E$4)</f>
        <v>108443.11167055403</v>
      </c>
      <c r="Y64" s="447">
        <f>VLOOKUP($D64,'Costo Social x localidad'!$B$2:$M$156,12,FALSE)*(Y$3*$E$3+Y$4*$E$4)</f>
        <v>9488.8269027200004</v>
      </c>
      <c r="Z64" s="28">
        <f>VLOOKUP(D64,'Estimación  PRESUPUESTO PCAS'!$B$4:$G$158,'Estimación  PRESUPUESTO PCAS'!$G$2,FALSE)</f>
        <v>177147.71847925824</v>
      </c>
      <c r="AA64" s="650">
        <f>(-O64-R64)/(1+0.12)+PV(12%,20,P64)+PV(12%,20,T64)-(O64*0.5)/(1+0.12)^10-S64/(1+0.12)^10</f>
        <v>-1800535.3028891694</v>
      </c>
      <c r="AB64" s="651">
        <f>M64+AA64</f>
        <v>-11811557.712221937</v>
      </c>
      <c r="AC64" s="10">
        <f>VLOOKUP($E64,Resumen_Generación!$B$5:$F$158,Resumen_Generación!$D$3,FALSE)</f>
        <v>7.2525175040000018</v>
      </c>
      <c r="AD64" s="10">
        <f>VLOOKUP($E64,Resumen_Generación!$B$5:$G$158,Resumen_Generación!$G$3,FALSE)</f>
        <v>2.9825581200000006</v>
      </c>
      <c r="AE64" s="362">
        <f>VLOOKUP($E64,Resumen_Generación!$B$5:$F$158,Resumen_Generación!$E$3,FALSE)</f>
        <v>10477</v>
      </c>
      <c r="AF64" s="10">
        <f>VLOOKUP($E64,Resumen_Generación!$B$5:$F$158,Resumen_Generación!$F$3,FALSE)</f>
        <v>3.3413939999999998</v>
      </c>
      <c r="AG64" s="448">
        <f>VLOOKUP($D64,Valoración_Equip_actual!$D$4:$I$157,Valoración_Equip_actual!$E$2,FALSE)*$E$4</f>
        <v>0</v>
      </c>
      <c r="AH64" s="448">
        <f>VLOOKUP($D64,Valoración_Equip_actual!$D$4:$I$157,Valoración_Equip_actual!$F$2,FALSE)*$E$4</f>
        <v>97377.24</v>
      </c>
      <c r="AI64" s="448">
        <f>[30]P_Datos!$D$43</f>
        <v>0.28885245901639345</v>
      </c>
      <c r="AN64" s="34" t="str">
        <f>[30]Datos!$C$2</f>
        <v>Tapalqué</v>
      </c>
      <c r="AO64" s="25" t="str">
        <f>VLOOKUP($E64,Tabla13[],Inputs_costos!$D$1,FALSE)</f>
        <v>TAPALQUÉ</v>
      </c>
      <c r="AP64" s="28" t="str">
        <f>VLOOKUP($D64,'Costo Social x localidad'!$B$2:$M$156,1,FALSE)</f>
        <v>TAPALQUÉ</v>
      </c>
    </row>
    <row r="65" spans="1:42" ht="15.75" thickBot="1">
      <c r="A65" s="917"/>
      <c r="B65" s="888"/>
      <c r="C65" s="483"/>
      <c r="D65" s="12" t="s">
        <v>8</v>
      </c>
      <c r="E65" s="40"/>
      <c r="F65" s="13"/>
      <c r="G65" s="8"/>
      <c r="H65" s="32">
        <f>SUM(H63:H64)</f>
        <v>8508220.0776142776</v>
      </c>
      <c r="I65" s="32"/>
      <c r="J65" s="32">
        <f>SUM(J63:J64)</f>
        <v>4838389.5313519891</v>
      </c>
      <c r="K65" s="14"/>
      <c r="L65" s="14"/>
      <c r="M65" s="15">
        <f>SUM(M63:M64)</f>
        <v>-46476122.062284373</v>
      </c>
      <c r="N65" s="15"/>
      <c r="O65" s="16">
        <f>SUM(O63:O64)</f>
        <v>2151292.0638560001</v>
      </c>
      <c r="P65" s="16">
        <f>SUM(P63:P64)</f>
        <v>1063891.8879170753</v>
      </c>
      <c r="Q65" s="16"/>
      <c r="R65" s="26">
        <f>SUM(R63:R64)</f>
        <v>13704083.748880001</v>
      </c>
      <c r="S65" s="26"/>
      <c r="T65" s="26">
        <f>SUM(T63:T64)</f>
        <v>1414116.6996000002</v>
      </c>
      <c r="U65" s="26"/>
      <c r="V65" s="26">
        <f>SUM(V63:V64)</f>
        <v>1221401.3663999999</v>
      </c>
      <c r="W65" s="26"/>
      <c r="X65" s="26">
        <f>SUM(X63:X64)</f>
        <v>108443.11167055403</v>
      </c>
      <c r="Y65" s="26">
        <f>SUM(Y63:Y64)</f>
        <v>107932.0330064</v>
      </c>
      <c r="Z65" s="26">
        <f>SUM(Z63:Z64)</f>
        <v>574038.43608956388</v>
      </c>
      <c r="AA65" s="653">
        <f>SUM(AA63:AA64)</f>
        <v>-33274668.414291386</v>
      </c>
      <c r="AB65" s="654">
        <f>+M65+AA65</f>
        <v>-79750790.476575762</v>
      </c>
      <c r="AC65" s="630">
        <f t="shared" ref="AC65:AI65" si="42">SUM(AC63:AC64)</f>
        <v>63.872788088000007</v>
      </c>
      <c r="AD65" s="630">
        <f t="shared" si="42"/>
        <v>26.269579889999996</v>
      </c>
      <c r="AE65" s="631">
        <f t="shared" si="42"/>
        <v>84251</v>
      </c>
      <c r="AF65" s="630">
        <f t="shared" si="42"/>
        <v>29.452373999999999</v>
      </c>
      <c r="AG65" s="630">
        <f t="shared" si="42"/>
        <v>94189.61</v>
      </c>
      <c r="AH65" s="630">
        <f t="shared" si="42"/>
        <v>237244.44</v>
      </c>
      <c r="AI65" s="630">
        <f t="shared" si="42"/>
        <v>2.1064918032786886</v>
      </c>
      <c r="AJ65" s="4"/>
      <c r="AK65" s="4"/>
      <c r="AL65" s="4"/>
      <c r="AM65" s="4"/>
      <c r="AN65" s="4"/>
      <c r="AO65" s="4"/>
      <c r="AP65" s="4"/>
    </row>
    <row r="66" spans="1:42">
      <c r="A66" s="917"/>
      <c r="B66" s="886" t="s">
        <v>310</v>
      </c>
      <c r="C66" s="481" t="str">
        <f>IF(AND(D66=AN66,D66=AO66,D66=AP66),"ok","ATENCIÓN NO ESTÁ TOMANDO BIEN LA LOCALIDAD")</f>
        <v>ok</v>
      </c>
      <c r="D66" s="23" t="s">
        <v>120</v>
      </c>
      <c r="E66" s="114">
        <f>VLOOKUP(D66,Pobl_adoptada!$C$5:$D$158,2,FALSE)</f>
        <v>32</v>
      </c>
      <c r="F66" s="8" t="s">
        <v>308</v>
      </c>
      <c r="G66" s="576">
        <f>+'[31]Inversion rec-TA'!$G$21</f>
        <v>5895617.3341958784</v>
      </c>
      <c r="H66" s="577">
        <f>+($AC63/$AC65)*H68+G66</f>
        <v>7710574.6781597678</v>
      </c>
      <c r="I66" s="587">
        <f>+'[31]Costos Operativos Rec-TA'!$G$23</f>
        <v>3961530.2093433216</v>
      </c>
      <c r="J66" s="579">
        <f>+($AC63/$AC65)*J68+I66</f>
        <v>3997829.3562225993</v>
      </c>
      <c r="K66" s="10">
        <f>+'[31]Inversion rec-TA'!$G$46</f>
        <v>0</v>
      </c>
      <c r="L66" s="10">
        <f>+'[31]Costos Operativos Rec-TA'!$G$46</f>
        <v>0</v>
      </c>
      <c r="M66" s="19">
        <f t="shared" ref="M66:M67" si="43">-H66/(1+0.12)+PV(12%,20,J66)-H66/(1+0.12)^10</f>
        <v>-39228601.358016334</v>
      </c>
      <c r="N66" s="614">
        <f>+$AD63/$AD65*N69</f>
        <v>1707838.0520171032</v>
      </c>
      <c r="O66" s="25">
        <f>IF(N66-AG66&lt;0,0,N66-AG66)</f>
        <v>1613648.4420171031</v>
      </c>
      <c r="P66" s="32">
        <f>+$AD63/$AD65*P69</f>
        <v>987457.95168187039</v>
      </c>
      <c r="Q66" s="614">
        <f>+$AC63/$AC65*Q69</f>
        <v>12664711.666844442</v>
      </c>
      <c r="R66" s="647">
        <f>IF(Q66-AH66&lt;0,0,Q66-AH66)</f>
        <v>12524844.466844443</v>
      </c>
      <c r="S66" s="647">
        <f>+S63</f>
        <v>815000</v>
      </c>
      <c r="T66" s="32">
        <f>+$AC63/$AC65*T69</f>
        <v>1135130.9679265118</v>
      </c>
      <c r="U66" s="27"/>
      <c r="V66" s="461">
        <f>+V63</f>
        <v>0</v>
      </c>
      <c r="W66" s="27"/>
      <c r="X66" s="461">
        <f t="shared" ref="X66:Z67" si="44">+X63</f>
        <v>0</v>
      </c>
      <c r="Y66" s="27">
        <f t="shared" si="44"/>
        <v>98443.206103680001</v>
      </c>
      <c r="Z66" s="27">
        <f t="shared" si="44"/>
        <v>396890.71761030564</v>
      </c>
      <c r="AA66" s="650">
        <f>(-O66-R66)/(1+0.12)+PV(12%,20,P66)+PV(12%,20,T66)-(O66*0.5)/(1+0.12)^10-S66/(1+0.12)^10</f>
        <v>-29000396.649168633</v>
      </c>
      <c r="AB66" s="651">
        <f>M66+AA66</f>
        <v>-68228998.007184967</v>
      </c>
      <c r="AG66" s="448">
        <f>VLOOKUP($D66,Valoración_Eq_REG!$D$4:$I$157,Valoración_Eq_REG!$E$2,FALSE)*$E$4</f>
        <v>94189.61</v>
      </c>
      <c r="AH66" s="448">
        <f>VLOOKUP($D66,Valoración_Eq_REG!$D$4:$I$157,Valoración_Eq_REG!$F$2,FALSE)*$E$4</f>
        <v>139867.20000000001</v>
      </c>
      <c r="AJ66" s="484">
        <f>+'[31]Evaluacion Economica'!$L$25</f>
        <v>5</v>
      </c>
      <c r="AK66" s="448">
        <f>+'[31]Evaluacion Economica'!$R$25</f>
        <v>15</v>
      </c>
      <c r="AL66" s="484">
        <f>+'[31]P_Evaluacion Economica'!$L$27</f>
        <v>5</v>
      </c>
      <c r="AM66" s="448">
        <f>+'[31]P_Evaluacion Economica'!$Q$27</f>
        <v>6</v>
      </c>
      <c r="AN66" s="34" t="str">
        <f>+[31]Datos!$C$2</f>
        <v>Azul</v>
      </c>
      <c r="AO66" s="25" t="str">
        <f>VLOOKUP($E66,Tabla13[],Inputs_costos!$D$1,FALSE)</f>
        <v>AZUL</v>
      </c>
      <c r="AP66" s="28" t="str">
        <f>VLOOKUP($D66,'Costo Social x localidad'!$B$2:$M$156,1,FALSE)</f>
        <v>AZUL</v>
      </c>
    </row>
    <row r="67" spans="1:42" ht="15.75" thickBot="1">
      <c r="A67" s="917"/>
      <c r="B67" s="887"/>
      <c r="C67" s="478" t="str">
        <f>IF(AND(D67=AN67,D67=AO67,D67=AP67),"ok","ATENCIÓN NO ESTÁ TOMANDO BIEN LA LOCALIDAD")</f>
        <v>ok</v>
      </c>
      <c r="D67" s="36" t="s">
        <v>233</v>
      </c>
      <c r="E67" s="115">
        <f>VLOOKUP(D67,Pobl_adoptada!$C$5:$D$158,2,FALSE)</f>
        <v>127</v>
      </c>
      <c r="F67" s="9" t="s">
        <v>308</v>
      </c>
      <c r="G67" s="580">
        <f>+'[32]Inversion rec-TA'!$G$21</f>
        <v>1821475.8104783518</v>
      </c>
      <c r="H67" s="34">
        <f>+($AC64/$AC65)*H68+G67</f>
        <v>2053954.5635882162</v>
      </c>
      <c r="I67" s="465">
        <f>+'[32]Costos Operativos Rec-TA'!$G$23</f>
        <v>926563.94615751808</v>
      </c>
      <c r="J67" s="581">
        <f>+($AC64/$AC65)*J68+I67</f>
        <v>931213.52121971536</v>
      </c>
      <c r="K67" s="10">
        <f>+'[32]Inversion rec-TA'!$G$46</f>
        <v>0</v>
      </c>
      <c r="L67" s="10">
        <f>+'[32]Costos Operativos Rec-TA'!$G$46</f>
        <v>0</v>
      </c>
      <c r="M67" s="19">
        <f t="shared" si="43"/>
        <v>-9450853.3008147459</v>
      </c>
      <c r="N67" s="465">
        <f>+$AD64/$AD65*N69</f>
        <v>218736.69806289687</v>
      </c>
      <c r="O67" s="25">
        <f>IF(N67-AG67&lt;0,0,N67-AG67)</f>
        <v>218736.69806289687</v>
      </c>
      <c r="P67" s="25">
        <f>+$AD64/$AD65*P69</f>
        <v>126471.76444612959</v>
      </c>
      <c r="Q67" s="465">
        <f>+$AC64/$AC65*Q69</f>
        <v>1622228.9667555566</v>
      </c>
      <c r="R67" s="647">
        <f>IF(Q67-AH67&lt;0,0,Q67-AH67)</f>
        <v>1524851.7267555567</v>
      </c>
      <c r="S67" s="647">
        <f>+S64</f>
        <v>0</v>
      </c>
      <c r="T67" s="25">
        <f>+$AC64/$AC65*T69</f>
        <v>145399.46788148841</v>
      </c>
      <c r="U67" s="29"/>
      <c r="V67" s="461">
        <f>+V64</f>
        <v>1221401.3663999999</v>
      </c>
      <c r="W67" s="25"/>
      <c r="X67" s="461">
        <f t="shared" si="44"/>
        <v>108443.11167055403</v>
      </c>
      <c r="Y67" s="28">
        <f t="shared" si="44"/>
        <v>9488.8269027200004</v>
      </c>
      <c r="Z67" s="28">
        <f t="shared" si="44"/>
        <v>177147.71847925824</v>
      </c>
      <c r="AA67" s="650">
        <f>(-O67-R67)/(1+0.12)+PV(12%,20,P67)+PV(12%,20,T67)-(O67*0.5)/(1+0.12)^10-S67/(1+0.12)^10</f>
        <v>-3622715.9035680406</v>
      </c>
      <c r="AB67" s="651">
        <f>M67+AA67</f>
        <v>-13073569.204382787</v>
      </c>
      <c r="AC67" s="10"/>
      <c r="AD67" s="10"/>
      <c r="AE67" s="10"/>
      <c r="AF67" s="10"/>
      <c r="AG67" s="448">
        <f>VLOOKUP($D67,Valoración_Eq_REG!$D$4:$I$157,Valoración_Eq_REG!$E$2,FALSE)*$E$4</f>
        <v>0</v>
      </c>
      <c r="AH67" s="448">
        <f>VLOOKUP($D67,Valoración_Eq_REG!$D$4:$I$157,Valoración_Eq_REG!$F$2,FALSE)*$E$4</f>
        <v>97377.24</v>
      </c>
      <c r="AI67" s="2"/>
      <c r="AJ67" s="484">
        <f>+'[32]Evaluacion Economica'!$L$25</f>
        <v>2</v>
      </c>
      <c r="AK67" s="448">
        <f>+'[32]Evaluacion Economica'!$R$25</f>
        <v>15</v>
      </c>
      <c r="AL67" s="484">
        <f>+'[32]P_Evaluacion Economica'!$L$27</f>
        <v>2</v>
      </c>
      <c r="AM67" s="448">
        <f>+'[32]P_Evaluacion Economica'!$Q$27</f>
        <v>6</v>
      </c>
      <c r="AN67" s="34" t="str">
        <f>+[32]Datos!$C$2</f>
        <v>Tapalqué</v>
      </c>
      <c r="AO67" s="25" t="str">
        <f>VLOOKUP($E67,Tabla13[],Inputs_costos!$D$1,FALSE)</f>
        <v>TAPALQUÉ</v>
      </c>
      <c r="AP67" s="28" t="str">
        <f>VLOOKUP($D67,'Costo Social x localidad'!$B$2:$M$156,1,FALSE)</f>
        <v>TAPALQUÉ</v>
      </c>
    </row>
    <row r="68" spans="1:42" ht="30.75" thickBot="1">
      <c r="A68" s="917"/>
      <c r="B68" s="887"/>
      <c r="C68" s="912" t="s">
        <v>12</v>
      </c>
      <c r="D68" s="913"/>
      <c r="E68" s="498" t="s">
        <v>589</v>
      </c>
      <c r="F68" s="571">
        <f>+F57</f>
        <v>0.02</v>
      </c>
      <c r="G68" s="582"/>
      <c r="H68" s="461">
        <f>+AJ68*AJ70+AL68*AL70</f>
        <v>2047436.0970737534</v>
      </c>
      <c r="I68" s="461"/>
      <c r="J68" s="583">
        <f>+$F68*H68</f>
        <v>40948.721941475065</v>
      </c>
      <c r="K68" s="10"/>
      <c r="L68" s="10"/>
      <c r="M68" s="19"/>
      <c r="N68" s="465"/>
      <c r="O68" s="10"/>
      <c r="P68" s="10"/>
      <c r="Q68" s="618"/>
      <c r="R68" s="28"/>
      <c r="S68" s="28"/>
      <c r="T68" s="28"/>
      <c r="U68" s="28"/>
      <c r="V68" s="28"/>
      <c r="W68" s="28"/>
      <c r="X68" s="28"/>
      <c r="Y68" s="28"/>
      <c r="Z68" s="28"/>
      <c r="AA68" s="658"/>
      <c r="AB68" s="20"/>
      <c r="AC68" s="10"/>
      <c r="AD68" s="10"/>
      <c r="AE68" s="10"/>
      <c r="AF68" s="10"/>
      <c r="AG68" s="448"/>
      <c r="AH68" s="448"/>
      <c r="AI68" s="4"/>
      <c r="AJ68" s="501">
        <f>ROUNDUP(C69*SUM(AJ66:AJ67),0)</f>
        <v>4</v>
      </c>
      <c r="AK68" s="502">
        <f>AVERAGE(AK66:AK67)</f>
        <v>15</v>
      </c>
      <c r="AL68" s="501">
        <f>ROUNDUP(C69*SUM(AL66:AL67),0)</f>
        <v>4</v>
      </c>
      <c r="AM68" s="502">
        <f>AVERAGE(AM66:AM67)</f>
        <v>6</v>
      </c>
      <c r="AN68" s="4"/>
      <c r="AO68" s="4"/>
      <c r="AP68" s="4"/>
    </row>
    <row r="69" spans="1:42" ht="15.75" thickBot="1">
      <c r="A69" s="918"/>
      <c r="B69" s="888"/>
      <c r="C69" s="570">
        <v>0.5</v>
      </c>
      <c r="D69" s="500" t="str">
        <f>A63</f>
        <v>REGIÓN AZUL</v>
      </c>
      <c r="E69" s="468"/>
      <c r="F69" s="469"/>
      <c r="G69" s="584"/>
      <c r="H69" s="585">
        <f>SUM(H66:H67)</f>
        <v>9764529.2417479847</v>
      </c>
      <c r="I69" s="585"/>
      <c r="J69" s="586">
        <f>SUM(J66:J67)</f>
        <v>4929042.8774423143</v>
      </c>
      <c r="K69" s="14"/>
      <c r="L69" s="14"/>
      <c r="M69" s="15">
        <f>SUM(M66:M68)</f>
        <v>-48679454.658831082</v>
      </c>
      <c r="N69" s="615">
        <f>(VLOOKUP($E66,Tabla13[],Inputs_costos!$P$1,FALSE))*(O$3*$E$3+O$4*$E$4)</f>
        <v>1926574.7500800001</v>
      </c>
      <c r="O69" s="35">
        <f>SUM(O66:O67)</f>
        <v>1832385.14008</v>
      </c>
      <c r="P69" s="35">
        <f>(VLOOKUP($E66,Tabla13[],Inputs_costos!$Q$1,FALSE))*(P$3*$E$3+P$4*$E$4)</f>
        <v>1113929.7161280001</v>
      </c>
      <c r="Q69" s="615">
        <f>IF($AC65&gt;=15,(VLOOKUP($E66,Tabla13[],Inputs_costos!$N$1,FALSE))*($R$3*$E$3+$R$4*$E$4),(VLOOKUP($E66,Tabla13[],Inputs_costos!$N$1,FALSE))*($T$3*$E$3+$T$4*$E$4))</f>
        <v>14286940.6336</v>
      </c>
      <c r="R69" s="35">
        <f>SUM(R66:R67)</f>
        <v>14049696.193599999</v>
      </c>
      <c r="S69" s="35"/>
      <c r="T69" s="35">
        <f>IF($AC65&gt;=15,(VLOOKUP($E66,Tabla13[],Inputs_costos!$O$1,FALSE))*($R$3*$E$3+$R$4*$E$4),(VLOOKUP($E66,Tabla13[],Inputs_costos!$O$1,FALSE))*($T$3*$E$3+$T$4*$E$4))</f>
        <v>1280530.4358080002</v>
      </c>
      <c r="U69" s="35"/>
      <c r="V69" s="31">
        <f>SUM(V66:V67)</f>
        <v>1221401.3663999999</v>
      </c>
      <c r="W69" s="31"/>
      <c r="X69" s="31">
        <f>SUM(X66:X67)</f>
        <v>108443.11167055403</v>
      </c>
      <c r="Y69" s="31">
        <f>SUM(Y66:Y67)</f>
        <v>107932.0330064</v>
      </c>
      <c r="Z69" s="31">
        <f>SUM(Z66:Z67)</f>
        <v>574038.43608956388</v>
      </c>
      <c r="AA69" s="657">
        <f>SUM(AA66:AA67)</f>
        <v>-32623112.552736674</v>
      </c>
      <c r="AB69" s="654">
        <f>+M69+AA69</f>
        <v>-81302567.21156776</v>
      </c>
      <c r="AC69" s="38"/>
      <c r="AD69" s="38"/>
      <c r="AE69" s="38"/>
      <c r="AF69" s="38"/>
      <c r="AG69" s="4"/>
      <c r="AH69" s="4"/>
      <c r="AI69" s="4"/>
      <c r="AJ69" s="11"/>
      <c r="AK69" s="499">
        <f>VLOOKUP(ROUNDUP(AK68,0),DATOS!$F$16:$G$31,2,FALSE)</f>
        <v>15</v>
      </c>
      <c r="AL69" s="497"/>
      <c r="AM69" s="499">
        <f>VLOOKUP(ROUNDUP(AM68,0),DATOS!$J$16:$K$34,2,FALSE)</f>
        <v>6</v>
      </c>
      <c r="AN69" s="4"/>
      <c r="AO69" s="4"/>
      <c r="AP69" s="4"/>
    </row>
    <row r="70" spans="1:42">
      <c r="F70" s="2"/>
      <c r="G70" s="2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0"/>
      <c r="V70" s="2"/>
      <c r="W70" s="2"/>
      <c r="X70" s="2"/>
      <c r="Y70" s="2"/>
      <c r="Z70" s="2"/>
      <c r="AA70" s="4"/>
      <c r="AB70" s="4"/>
      <c r="AC70" s="4"/>
      <c r="AD70" s="4"/>
      <c r="AE70" s="4"/>
      <c r="AF70" s="4"/>
      <c r="AG70" s="448"/>
      <c r="AH70" s="448"/>
      <c r="AI70" s="4"/>
      <c r="AJ70" s="892">
        <f>VLOOKUP(AK69,DATOS!$F$3:$H$11,3,FALSE)</f>
        <v>277598.62978843832</v>
      </c>
      <c r="AK70" s="892"/>
      <c r="AL70" s="892">
        <f>VLOOKUP(AM69,DATOS!$J$3:$L$12,3,FALSE)</f>
        <v>234260.39447999999</v>
      </c>
      <c r="AM70" s="892"/>
      <c r="AN70" s="4"/>
      <c r="AO70" s="4"/>
      <c r="AP70" s="4"/>
    </row>
    <row r="71" spans="1:42" ht="15.75" thickBot="1">
      <c r="A71" s="503"/>
      <c r="B71" s="503"/>
      <c r="C71" s="503"/>
      <c r="D71" s="503"/>
      <c r="E71" s="503"/>
      <c r="F71" s="504"/>
      <c r="G71" s="504"/>
      <c r="H71" s="505"/>
      <c r="I71" s="505"/>
      <c r="J71" s="505"/>
      <c r="K71" s="505"/>
      <c r="L71" s="505"/>
      <c r="M71" s="505"/>
      <c r="N71" s="505"/>
      <c r="O71" s="505"/>
      <c r="P71" s="505"/>
      <c r="Q71" s="505"/>
      <c r="R71" s="504"/>
      <c r="S71" s="504"/>
      <c r="T71" s="504"/>
      <c r="U71" s="504"/>
      <c r="V71" s="504"/>
      <c r="W71" s="504"/>
      <c r="X71" s="504"/>
      <c r="Y71" s="504"/>
      <c r="Z71" s="504"/>
      <c r="AA71" s="506"/>
      <c r="AB71" s="506"/>
      <c r="AC71" s="506"/>
      <c r="AD71" s="506"/>
      <c r="AE71" s="506"/>
      <c r="AF71" s="506"/>
      <c r="AG71" s="506"/>
      <c r="AH71" s="506"/>
      <c r="AI71" s="506"/>
      <c r="AJ71" s="506"/>
      <c r="AK71" s="506"/>
      <c r="AL71" s="506"/>
      <c r="AM71" s="506"/>
      <c r="AN71" s="506"/>
      <c r="AO71" s="506"/>
      <c r="AP71" s="506"/>
    </row>
    <row r="72" spans="1:42" ht="39" thickBot="1">
      <c r="A72" s="886" t="s">
        <v>7</v>
      </c>
      <c r="B72" s="886" t="s">
        <v>2</v>
      </c>
      <c r="C72" s="479"/>
      <c r="D72" s="882" t="s">
        <v>22</v>
      </c>
      <c r="E72" s="882" t="s">
        <v>23</v>
      </c>
      <c r="F72" s="882" t="s">
        <v>3</v>
      </c>
      <c r="G72" s="568"/>
      <c r="H72" s="901" t="s">
        <v>0</v>
      </c>
      <c r="I72" s="901"/>
      <c r="J72" s="901"/>
      <c r="K72" s="901" t="s">
        <v>1</v>
      </c>
      <c r="L72" s="901"/>
      <c r="M72" s="886" t="s">
        <v>10</v>
      </c>
      <c r="N72" s="879" t="s">
        <v>5</v>
      </c>
      <c r="O72" s="880"/>
      <c r="P72" s="881"/>
      <c r="Q72" s="902" t="s">
        <v>4</v>
      </c>
      <c r="R72" s="903"/>
      <c r="S72" s="903"/>
      <c r="T72" s="904"/>
      <c r="U72" s="902" t="s">
        <v>6</v>
      </c>
      <c r="V72" s="903"/>
      <c r="W72" s="903"/>
      <c r="X72" s="904"/>
      <c r="Y72" s="390" t="s">
        <v>689</v>
      </c>
      <c r="Z72" s="662" t="s">
        <v>690</v>
      </c>
      <c r="AA72" s="905" t="s">
        <v>686</v>
      </c>
      <c r="AB72" s="886" t="s">
        <v>9</v>
      </c>
      <c r="AC72" s="907" t="s">
        <v>312</v>
      </c>
      <c r="AD72" s="914" t="s">
        <v>649</v>
      </c>
      <c r="AE72" s="897" t="s">
        <v>20</v>
      </c>
      <c r="AF72" s="897" t="s">
        <v>313</v>
      </c>
      <c r="AG72" s="899" t="s">
        <v>552</v>
      </c>
      <c r="AH72" s="895" t="s">
        <v>578</v>
      </c>
      <c r="AI72" s="897" t="s">
        <v>579</v>
      </c>
      <c r="AJ72" s="882" t="s">
        <v>581</v>
      </c>
      <c r="AK72" s="882" t="s">
        <v>582</v>
      </c>
      <c r="AL72" s="882" t="s">
        <v>581</v>
      </c>
      <c r="AM72" s="882" t="s">
        <v>582</v>
      </c>
      <c r="AN72" s="884" t="s">
        <v>553</v>
      </c>
      <c r="AO72" s="885"/>
      <c r="AP72" s="885"/>
    </row>
    <row r="73" spans="1:42" ht="30.75" thickBot="1">
      <c r="A73" s="888"/>
      <c r="B73" s="888"/>
      <c r="C73" s="480"/>
      <c r="D73" s="883"/>
      <c r="E73" s="883"/>
      <c r="F73" s="883"/>
      <c r="G73" s="569"/>
      <c r="H73" s="17" t="s">
        <v>18</v>
      </c>
      <c r="I73" s="17"/>
      <c r="J73" s="17" t="s">
        <v>17</v>
      </c>
      <c r="K73" s="17" t="s">
        <v>18</v>
      </c>
      <c r="L73" s="17" t="s">
        <v>17</v>
      </c>
      <c r="M73" s="888"/>
      <c r="N73" s="464" t="s">
        <v>685</v>
      </c>
      <c r="O73" s="17" t="s">
        <v>18</v>
      </c>
      <c r="P73" s="17" t="s">
        <v>17</v>
      </c>
      <c r="Q73" s="464" t="s">
        <v>685</v>
      </c>
      <c r="R73" s="17" t="s">
        <v>18</v>
      </c>
      <c r="S73" s="17"/>
      <c r="T73" s="17" t="s">
        <v>17</v>
      </c>
      <c r="U73" s="464" t="s">
        <v>576</v>
      </c>
      <c r="V73" s="17" t="s">
        <v>18</v>
      </c>
      <c r="W73" s="464" t="s">
        <v>577</v>
      </c>
      <c r="X73" s="17" t="s">
        <v>17</v>
      </c>
      <c r="Y73" s="17" t="s">
        <v>18</v>
      </c>
      <c r="Z73" s="17" t="s">
        <v>17</v>
      </c>
      <c r="AA73" s="906"/>
      <c r="AB73" s="888"/>
      <c r="AC73" s="908"/>
      <c r="AD73" s="915"/>
      <c r="AE73" s="898"/>
      <c r="AF73" s="898"/>
      <c r="AG73" s="900"/>
      <c r="AH73" s="896"/>
      <c r="AI73" s="898"/>
      <c r="AJ73" s="883"/>
      <c r="AK73" s="883"/>
      <c r="AL73" s="883"/>
      <c r="AM73" s="883"/>
      <c r="AN73" s="1" t="s">
        <v>551</v>
      </c>
      <c r="AO73" s="9" t="s">
        <v>554</v>
      </c>
      <c r="AP73" s="1" t="s">
        <v>555</v>
      </c>
    </row>
    <row r="74" spans="1:42">
      <c r="A74" s="916" t="s">
        <v>594</v>
      </c>
      <c r="B74" s="886" t="s">
        <v>309</v>
      </c>
      <c r="C74" s="481" t="str">
        <f>IF(AND(D74=AN74,D74=AO74,D74=AP74),"ok","ATENCIÓN NO ESTÁ TOMANDO BIEN LA LOCALIDAD")</f>
        <v>ok</v>
      </c>
      <c r="D74" s="23" t="s">
        <v>145</v>
      </c>
      <c r="E74" s="114">
        <f>VLOOKUP(D74,Pobl_adoptada!$C$5:$D$158,2,FALSE)</f>
        <v>56</v>
      </c>
      <c r="F74" s="8" t="s">
        <v>308</v>
      </c>
      <c r="G74" s="8"/>
      <c r="H74" s="33">
        <f>'[33]Inversion rec-TA'!$G$21</f>
        <v>2362579.2007098258</v>
      </c>
      <c r="I74" s="33"/>
      <c r="J74" s="33">
        <f>'[33]Costos Operativos Rec-TA'!$G$23</f>
        <v>998835.52164645586</v>
      </c>
      <c r="K74" s="32">
        <f>'[33]Inversion rec-TA'!$G$46</f>
        <v>0</v>
      </c>
      <c r="L74" s="32">
        <f>+'[33]Costos Operativos Rec-TA'!$G$46</f>
        <v>0</v>
      </c>
      <c r="M74" s="19">
        <f t="shared" ref="M74:M76" si="45">-H74/(1+0.12)+PV(12%,20,J74)-H74/(1+0.12)^10</f>
        <v>-10330878.605787938</v>
      </c>
      <c r="N74" s="19"/>
      <c r="O74" s="25">
        <f>IF(((VLOOKUP($E74,Tabla13[],Inputs_costos!$I$1,FALSE))*(O$3*$E$3+O$4*$E$4)-AG74)&lt;0,0,VLOOKUP($E74,Tabla13[],Inputs_costos!$I$1,FALSE)*(O$3*$E$3+O$4*$E$4)-AG74)</f>
        <v>44727.727786000003</v>
      </c>
      <c r="P74" s="25">
        <f>(VLOOKUP($E74,Tabla13[],Inputs_costos!$J$1,FALSE))*(P$3*$E$3+P$4*$E$4)</f>
        <v>26127.3549570752</v>
      </c>
      <c r="Q74" s="25"/>
      <c r="R74" s="25">
        <f>IF($AC74&gt;=15,(VLOOKUP($E74,Tabla13[],Inputs_costos!$G$1,FALSE))*($R$3*$E$3+$R$4*$E$4),(VLOOKUP($E74,Tabla13[],Inputs_costos!$G$1,FALSE))*($T$3*$E$3+$T$4*$E$4))-AH74</f>
        <v>724869.87055999995</v>
      </c>
      <c r="S74" s="25">
        <f t="shared" ref="S74:S76" si="46">IF(AC74&lt;15,0,IF(AC74&lt;=350,815000,1345000))</f>
        <v>0</v>
      </c>
      <c r="T74" s="25">
        <f>IF($AC74&gt;=15,(VLOOKUP($E74,Tabla13[],Inputs_costos!$H$1,FALSE))*($R$3*$E$3+$R$4*$E$4),(VLOOKUP($E74,Tabla13[],Inputs_costos!$H$1,FALSE))*($T$3*$E$3+$T$4*$E$4))</f>
        <v>138737.39780000001</v>
      </c>
      <c r="U74" s="465">
        <f>SUMIFS(Tabla24[Costo de Cierre Técnico de BCA (US$)],Tabla24[Localidad],Resumen!$D74)</f>
        <v>0</v>
      </c>
      <c r="V74" s="461">
        <f>+U74*(V$3*$E$3+V$4*$E$4)</f>
        <v>0</v>
      </c>
      <c r="W74" s="465">
        <f>SUMIFS(Tabla24[Costo anual de Manteniemiento Post-cierre (US$)],Tabla24[Localidad],Resumen!$D74)</f>
        <v>0</v>
      </c>
      <c r="X74" s="461">
        <f>+W74*(X$3*$E$3+X$4*$E$4)</f>
        <v>0</v>
      </c>
      <c r="Y74" s="27">
        <f>VLOOKUP($D74,'Costo Social x localidad'!$B$2:$M$156,12,FALSE)*(Y$3*$E$3+Y$4*$E$4)</f>
        <v>20835.421791599998</v>
      </c>
      <c r="Z74" s="28">
        <f>VLOOKUP(D74,'Estimación  PRESUPUESTO PCAS'!$B$4:$G$158,'Estimación  PRESUPUESTO PCAS'!$G$2,FALSE)</f>
        <v>163994.16799055826</v>
      </c>
      <c r="AA74" s="650">
        <f>(-O74-R74)/(1+0.12)+PV(12%,20,P74)+PV(12%,20,T74)-(O74*0.5)/(1+0.12)^10-S74/(1+0.12)^10</f>
        <v>-1925789.2548069127</v>
      </c>
      <c r="AB74" s="651">
        <f>M74+AA74</f>
        <v>-12256667.860594852</v>
      </c>
      <c r="AC74" s="10">
        <f>VLOOKUP($E74,Resumen_Generación!$B$5:$F$158,Resumen_Generación!$D$3,FALSE)</f>
        <v>10.513273872000003</v>
      </c>
      <c r="AD74" s="10">
        <f>VLOOKUP($E74,Resumen_Generación!$B$5:$G$158,Resumen_Generación!$G$3,FALSE)</f>
        <v>4.2884976599999991</v>
      </c>
      <c r="AE74" s="362">
        <f>VLOOKUP($E74,Resumen_Generación!$B$5:$F$158,Resumen_Generación!$E$3,FALSE)</f>
        <v>15157</v>
      </c>
      <c r="AF74" s="10">
        <f>VLOOKUP($E74,Resumen_Generación!$B$5:$F$158,Resumen_Generación!$F$3,FALSE)</f>
        <v>4.8609119999999999</v>
      </c>
      <c r="AG74" s="448">
        <f>VLOOKUP($D74,Valoración_Equip_actual!$D$4:$I$157,Valoración_Equip_actual!$E$2,FALSE)*$E$4</f>
        <v>314432.10574999999</v>
      </c>
      <c r="AH74" s="448">
        <f>VLOOKUP($D74,Valoración_Equip_actual!$D$4:$I$157,Valoración_Equip_actual!$F$2,FALSE)*$E$4</f>
        <v>97377.24</v>
      </c>
      <c r="AI74" s="448">
        <f>[33]P_Datos!$D$43</f>
        <v>0.34891803278688527</v>
      </c>
      <c r="AN74" s="449" t="str">
        <f>[33]Datos!$C$2</f>
        <v>Daireaux</v>
      </c>
      <c r="AO74" s="450" t="str">
        <f>VLOOKUP($E74,Tabla13[],Inputs_costos!$D$1,FALSE)</f>
        <v>DAIREAUX</v>
      </c>
      <c r="AP74" s="451" t="str">
        <f>VLOOKUP($D74,'Costo Social x localidad'!$B$2:$M$156,1,FALSE)</f>
        <v>DAIREAUX</v>
      </c>
    </row>
    <row r="75" spans="1:42">
      <c r="A75" s="917"/>
      <c r="B75" s="887"/>
      <c r="C75" s="478" t="str">
        <f>IF(AND(D75=AN75,D75=AO75,D75=AP75),"ok","ATENCIÓN NO ESTÁ TOMANDO BIEN LA LOCALIDAD")</f>
        <v>ok</v>
      </c>
      <c r="D75" s="24" t="s">
        <v>173</v>
      </c>
      <c r="E75" s="115">
        <f>VLOOKUP(D75,Pobl_adoptada!$C$5:$D$158,2,FALSE)</f>
        <v>78</v>
      </c>
      <c r="F75" s="9" t="s">
        <v>308</v>
      </c>
      <c r="G75" s="9"/>
      <c r="H75" s="34">
        <f>'[34]Inversion rec-TA'!$G$21</f>
        <v>2318932.6887098253</v>
      </c>
      <c r="I75" s="34"/>
      <c r="J75" s="34">
        <f>'[34]Costos Operativos Rec-TA'!$G$23</f>
        <v>978783.85731422657</v>
      </c>
      <c r="K75" s="25">
        <f>'[34]Inversion rec-TA'!$G$46</f>
        <v>0</v>
      </c>
      <c r="L75" s="25">
        <f>+'[34]Costos Operativos Rec-TA'!$G$46</f>
        <v>0</v>
      </c>
      <c r="M75" s="19">
        <f t="shared" si="45"/>
        <v>-10128080.720749876</v>
      </c>
      <c r="N75" s="19"/>
      <c r="O75" s="25">
        <f>IF(((VLOOKUP($E75,Tabla13[],Inputs_costos!$I$1,FALSE))*(O$3*$E$3+O$4*$E$4)-AG75)&lt;0,0,VLOOKUP($E75,Tabla13[],Inputs_costos!$I$1,FALSE)*(O$3*$E$3+O$4*$E$4)-AG75)</f>
        <v>44727.727786000003</v>
      </c>
      <c r="P75" s="25">
        <f>(VLOOKUP($E75,Tabla13[],Inputs_costos!$J$1,FALSE))*(P$3*$E$3+P$4*$E$4)</f>
        <v>26127.3549570752</v>
      </c>
      <c r="Q75" s="25"/>
      <c r="R75" s="25">
        <f>IF($AC75&gt;=15,(VLOOKUP($E75,Tabla13[],Inputs_costos!$G$1,FALSE))*($R$3*$E$3+$R$4*$E$4),(VLOOKUP($E75,Tabla13[],Inputs_costos!$G$1,FALSE))*($T$3*$E$3+$T$4*$E$4))-AH75</f>
        <v>559153.08952000004</v>
      </c>
      <c r="S75" s="25">
        <f t="shared" si="46"/>
        <v>0</v>
      </c>
      <c r="T75" s="25">
        <f>IF($AC75&gt;=15,(VLOOKUP($E75,Tabla13[],Inputs_costos!$H$1,FALSE))*($R$3*$E$3+$R$4*$E$4),(VLOOKUP($E75,Tabla13[],Inputs_costos!$H$1,FALSE))*($T$3*$E$3+$T$4*$E$4))</f>
        <v>92325.177664000003</v>
      </c>
      <c r="U75" s="465">
        <f>SUMIFS(Tabla24[Costo de Cierre Técnico de BCA (US$)],Tabla24[Localidad],Resumen!$D75)</f>
        <v>296800</v>
      </c>
      <c r="V75" s="461">
        <f t="shared" ref="V75:V76" si="47">+U75*(V$3*$E$3+V$4*$E$4)</f>
        <v>569987.30432</v>
      </c>
      <c r="W75" s="465">
        <f>SUMIFS(Tabla24[Costo anual de Manteniemiento Post-cierre (US$)],Tabla24[Localidad],Resumen!$D75)</f>
        <v>26351.628898767573</v>
      </c>
      <c r="X75" s="461">
        <f t="shared" ref="X75:X76" si="48">+W75*(X$3*$E$3+X$4*$E$4)</f>
        <v>50606.785446258553</v>
      </c>
      <c r="Y75" s="28">
        <f>VLOOKUP($D75,'Costo Social x localidad'!$B$2:$M$156,12,FALSE)*(Y$3*$E$3+Y$4*$E$4)</f>
        <v>9173.7222940799984</v>
      </c>
      <c r="Z75" s="28">
        <f>VLOOKUP(D75,'Estimación  PRESUPUESTO PCAS'!$B$4:$G$158,'Estimación  PRESUPUESTO PCAS'!$G$2,FALSE)</f>
        <v>167600.40810335823</v>
      </c>
      <c r="AA75" s="650">
        <f>(-O75-R75)/(1+0.12)+PV(12%,20,P75)+PV(12%,20,T75)-(O75*0.5)/(1+0.12)^10-S75/(1+0.12)^10</f>
        <v>-1431154.3813783214</v>
      </c>
      <c r="AB75" s="651">
        <f>M75+AA75</f>
        <v>-11559235.102128197</v>
      </c>
      <c r="AC75" s="10">
        <f>VLOOKUP($E75,Resumen_Generación!$B$5:$F$158,Resumen_Generación!$D$3,FALSE)</f>
        <v>6.9550211520000005</v>
      </c>
      <c r="AD75" s="10">
        <f>VLOOKUP($E75,Resumen_Generación!$B$5:$G$158,Resumen_Generación!$G$3,FALSE)</f>
        <v>2.8264060599999996</v>
      </c>
      <c r="AE75" s="362">
        <f>VLOOKUP($E75,Resumen_Generación!$B$5:$F$158,Resumen_Generación!$E$3,FALSE)</f>
        <v>10018</v>
      </c>
      <c r="AF75" s="10">
        <f>VLOOKUP($E75,Resumen_Generación!$B$5:$F$158,Resumen_Generación!$F$3,FALSE)</f>
        <v>3.2145259999999998</v>
      </c>
      <c r="AG75" s="448">
        <f>VLOOKUP($D75,Valoración_Equip_actual!$D$4:$I$157,Valoración_Equip_actual!$E$2,FALSE)*$E$4</f>
        <v>314432.10574999999</v>
      </c>
      <c r="AH75" s="448">
        <f>VLOOKUP($D75,Valoración_Equip_actual!$D$4:$I$157,Valoración_Equip_actual!$F$2,FALSE)*$E$4</f>
        <v>97377.24</v>
      </c>
      <c r="AI75" s="448">
        <f>[34]P_Datos!$D$43</f>
        <v>0.25993442622950819</v>
      </c>
      <c r="AN75" s="34" t="str">
        <f>[34]Datos!$C$2</f>
        <v>Henderson</v>
      </c>
      <c r="AO75" s="25" t="str">
        <f>VLOOKUP($E75,Tabla13[],Inputs_costos!$D$1,FALSE)</f>
        <v>HENDERSON</v>
      </c>
      <c r="AP75" s="28" t="str">
        <f>VLOOKUP($D75,'Costo Social x localidad'!$B$2:$M$156,1,FALSE)</f>
        <v>HENDERSON</v>
      </c>
    </row>
    <row r="76" spans="1:42" ht="15.75" thickBot="1">
      <c r="A76" s="917"/>
      <c r="B76" s="887"/>
      <c r="C76" s="478" t="str">
        <f>IF(AND(D76=AN76,D76=AO76,D76=AP76),"ok","ATENCIÓN NO ESTÁ TOMANDO BIEN LA LOCALIDAD")</f>
        <v>ok</v>
      </c>
      <c r="D76" s="36" t="s">
        <v>125</v>
      </c>
      <c r="E76" s="482">
        <f>VLOOKUP(D76,Pobl_adoptada!$C$5:$D$158,2,FALSE)</f>
        <v>38</v>
      </c>
      <c r="F76" s="37" t="s">
        <v>308</v>
      </c>
      <c r="G76" s="37"/>
      <c r="H76" s="117">
        <f>'[35]Inversion rec-TA'!$G$21</f>
        <v>3737193.8862797669</v>
      </c>
      <c r="I76" s="117"/>
      <c r="J76" s="117">
        <f>'[35]Costos Operativos Rec-TA'!$G$23</f>
        <v>2047058.3466823269</v>
      </c>
      <c r="K76" s="25">
        <f>'[35]Inversion rec-TA'!$G$46</f>
        <v>0</v>
      </c>
      <c r="L76" s="25">
        <f>+'[35]Costos Operativos Rec-TA'!$G$46</f>
        <v>0</v>
      </c>
      <c r="M76" s="19">
        <f t="shared" si="45"/>
        <v>-19830443.583192289</v>
      </c>
      <c r="N76" s="19"/>
      <c r="O76" s="25">
        <f>IF(((VLOOKUP($E76,Tabla13[],Inputs_costos!$I$1,FALSE))*(O$3*$E$3+O$4*$E$4)-AG76)&lt;0,0,VLOOKUP($E76,Tabla13[],Inputs_costos!$I$1,FALSE)*(O$3*$E$3+O$4*$E$4)-AG76)</f>
        <v>321021.6827</v>
      </c>
      <c r="P76" s="25">
        <f>(VLOOKUP($E76,Tabla13[],Inputs_costos!$J$1,FALSE))*(P$3*$E$3+P$4*$E$4)</f>
        <v>458938.82044800004</v>
      </c>
      <c r="Q76" s="25"/>
      <c r="R76" s="25">
        <f>IF($AC76&gt;=15,(VLOOKUP($E76,Tabla13[],Inputs_costos!$G$1,FALSE))*($R$3*$E$3+$R$4*$E$4),(VLOOKUP($E76,Tabla13[],Inputs_costos!$G$1,FALSE))*($T$3*$E$3+$T$4*$E$4))-AH76</f>
        <v>8301162.4640000006</v>
      </c>
      <c r="S76" s="25">
        <f t="shared" si="46"/>
        <v>815000</v>
      </c>
      <c r="T76" s="25">
        <f>IF($AC76&gt;=15,(VLOOKUP($E76,Tabla13[],Inputs_costos!$H$1,FALSE))*($R$3*$E$3+$R$4*$E$4),(VLOOKUP($E76,Tabla13[],Inputs_costos!$H$1,FALSE))*($T$3*$E$3+$T$4*$E$4))</f>
        <v>1653213.782816</v>
      </c>
      <c r="U76" s="465">
        <f>SUMIFS(Tabla24[Costo de Cierre Técnico de BCA (US$)],Tabla24[Localidad],Resumen!$D76)</f>
        <v>4770000</v>
      </c>
      <c r="V76" s="461">
        <f t="shared" si="47"/>
        <v>9160510.2479999997</v>
      </c>
      <c r="W76" s="465">
        <f>SUMIFS(Tabla24[Costo anual de Manteniemiento Post-cierre (US$)],Tabla24[Localidad],Resumen!$D76)</f>
        <v>423508.32158733596</v>
      </c>
      <c r="X76" s="461">
        <f t="shared" si="48"/>
        <v>813323.33752915531</v>
      </c>
      <c r="Y76" s="447">
        <f>VLOOKUP($D76,'Costo Social x localidad'!$B$2:$M$156,12,FALSE)*(Y$3*$E$3+Y$4*$E$4)</f>
        <v>63596.654987386661</v>
      </c>
      <c r="Z76" s="28">
        <f>VLOOKUP(D76,'Estimación  PRESUPUESTO PCAS'!$B$4:$G$158,'Estimación  PRESUPUESTO PCAS'!$G$2,FALSE)</f>
        <v>347871.28280979767</v>
      </c>
      <c r="AA76" s="650">
        <f>(-O76-R76)/(1+0.12)+PV(12%,20,P76)+PV(12%,20,T76)-(O76*0.5)/(1+0.12)^10-S76/(1+0.12)^10</f>
        <v>-23789071.881386712</v>
      </c>
      <c r="AB76" s="651">
        <f>M76+AA76</f>
        <v>-43619515.464579001</v>
      </c>
      <c r="AC76" s="10">
        <f>VLOOKUP($E76,Resumen_Generación!$B$5:$F$158,Resumen_Generación!$D$3,FALSE)</f>
        <v>24.992082584000002</v>
      </c>
      <c r="AD76" s="10">
        <f>VLOOKUP($E76,Resumen_Generación!$B$5:$G$158,Resumen_Generación!$G$3,FALSE)</f>
        <v>10.173831770000001</v>
      </c>
      <c r="AE76" s="362">
        <f>VLOOKUP($E76,Resumen_Generación!$B$5:$F$158,Resumen_Generación!$E$3,FALSE)</f>
        <v>31256</v>
      </c>
      <c r="AF76" s="10">
        <f>VLOOKUP($E76,Resumen_Generación!$B$5:$F$158,Resumen_Generación!$F$3,FALSE)</f>
        <v>11.547374999999999</v>
      </c>
      <c r="AG76" s="448">
        <f>VLOOKUP($D76,Valoración_Equip_actual!$D$4:$I$157,Valoración_Equip_actual!$E$2,FALSE)*$E$4</f>
        <v>1389819.73074</v>
      </c>
      <c r="AH76" s="448">
        <f>VLOOKUP($D76,Valoración_Equip_actual!$D$4:$I$157,Valoración_Equip_actual!$F$2,FALSE)*$E$4</f>
        <v>292626.2</v>
      </c>
      <c r="AI76" s="448">
        <f>[35]P_Datos!$D$43</f>
        <v>0.85586885245901645</v>
      </c>
      <c r="AN76" s="34" t="str">
        <f>[35]Datos!$C$2</f>
        <v>San Carlos de Bolívar</v>
      </c>
      <c r="AO76" s="25" t="str">
        <f>VLOOKUP($E76,Tabla13[],Inputs_costos!$D$1,FALSE)</f>
        <v>SAN CARLOS DE BOLÍVAR</v>
      </c>
      <c r="AP76" s="28" t="str">
        <f>VLOOKUP($D76,'Costo Social x localidad'!$B$2:$M$156,1,FALSE)</f>
        <v>San Carlos de Bolívar</v>
      </c>
    </row>
    <row r="77" spans="1:42" ht="15.75" thickBot="1">
      <c r="A77" s="917"/>
      <c r="B77" s="888"/>
      <c r="C77" s="483"/>
      <c r="D77" s="12" t="s">
        <v>8</v>
      </c>
      <c r="E77" s="40"/>
      <c r="F77" s="13"/>
      <c r="G77" s="8"/>
      <c r="H77" s="32">
        <f>SUM(H74:H76)</f>
        <v>8418705.775699418</v>
      </c>
      <c r="I77" s="32"/>
      <c r="J77" s="32">
        <f>SUM(J74:J76)</f>
        <v>4024677.7256430094</v>
      </c>
      <c r="K77" s="14"/>
      <c r="L77" s="14"/>
      <c r="M77" s="15">
        <f>SUM(M74:M76)</f>
        <v>-40289402.909730107</v>
      </c>
      <c r="N77" s="15"/>
      <c r="O77" s="16">
        <f>SUM(O74:O76)</f>
        <v>410477.13827200001</v>
      </c>
      <c r="P77" s="16">
        <f>SUM(P74:P76)</f>
        <v>511193.53036215046</v>
      </c>
      <c r="Q77" s="16"/>
      <c r="R77" s="26">
        <f>SUM(R74:R76)</f>
        <v>9585185.4240800012</v>
      </c>
      <c r="S77" s="26"/>
      <c r="T77" s="26">
        <f>SUM(T74:T76)</f>
        <v>1884276.35828</v>
      </c>
      <c r="U77" s="26"/>
      <c r="V77" s="26">
        <f>SUM(V74:V76)</f>
        <v>9730497.5523199998</v>
      </c>
      <c r="W77" s="26"/>
      <c r="X77" s="26">
        <f>SUM(X74:X76)</f>
        <v>863930.12297541392</v>
      </c>
      <c r="Y77" s="26">
        <f>SUM(Y74:Y76)</f>
        <v>93605.79907306665</v>
      </c>
      <c r="Z77" s="26">
        <f>SUM(Z74:Z76)</f>
        <v>679465.85890371422</v>
      </c>
      <c r="AA77" s="653">
        <f>SUM(AA74:AA76)</f>
        <v>-27146015.517571948</v>
      </c>
      <c r="AB77" s="654">
        <f>+M77+AA77</f>
        <v>-67435418.427302063</v>
      </c>
      <c r="AC77" s="630">
        <f t="shared" ref="AC77:AI77" si="49">SUM(AC74:AC76)</f>
        <v>42.460377608000002</v>
      </c>
      <c r="AD77" s="630">
        <f t="shared" si="49"/>
        <v>17.288735490000001</v>
      </c>
      <c r="AE77" s="631">
        <f t="shared" si="49"/>
        <v>56431</v>
      </c>
      <c r="AF77" s="630">
        <f t="shared" si="49"/>
        <v>19.622813000000001</v>
      </c>
      <c r="AG77" s="630">
        <f t="shared" si="49"/>
        <v>2018683.94224</v>
      </c>
      <c r="AH77" s="630">
        <f t="shared" si="49"/>
        <v>487380.68000000005</v>
      </c>
      <c r="AI77" s="630">
        <f t="shared" si="49"/>
        <v>1.4647213114754098</v>
      </c>
      <c r="AJ77" s="4"/>
      <c r="AK77" s="4"/>
      <c r="AL77" s="4"/>
      <c r="AM77" s="4"/>
      <c r="AN77" s="4"/>
      <c r="AO77" s="4"/>
      <c r="AP77" s="4"/>
    </row>
    <row r="78" spans="1:42">
      <c r="A78" s="917"/>
      <c r="B78" s="886" t="s">
        <v>310</v>
      </c>
      <c r="C78" s="481" t="str">
        <f>IF(AND(D78=AN78,D78=AO78,D78=AP78),"ok","ATENCIÓN NO ESTÁ TOMANDO BIEN LA LOCALIDAD")</f>
        <v>ok</v>
      </c>
      <c r="D78" s="23" t="s">
        <v>145</v>
      </c>
      <c r="E78" s="114">
        <f>VLOOKUP(D78,Pobl_adoptada!$C$5:$D$158,2,FALSE)</f>
        <v>56</v>
      </c>
      <c r="F78" s="8" t="s">
        <v>308</v>
      </c>
      <c r="G78" s="576">
        <f>+'[36]Inversion rec-TA'!$G$21</f>
        <v>1929941.4338168197</v>
      </c>
      <c r="H78" s="577">
        <f>+($AC74/$AC77)*H81+G78</f>
        <v>2310153.3685058947</v>
      </c>
      <c r="I78" s="587">
        <f>+'[36]Costos Operativos Rec-TA'!$G$23</f>
        <v>990597.48348618275</v>
      </c>
      <c r="J78" s="579">
        <f>+($AC74/$AC77)*J81+I78</f>
        <v>998201.7221799643</v>
      </c>
      <c r="K78" s="10">
        <f>+'[36]Inversion rec-TA'!$G$46</f>
        <v>0</v>
      </c>
      <c r="L78" s="10">
        <f>+'[36]Costos Operativos Rec-TA'!$G$46</f>
        <v>0</v>
      </c>
      <c r="M78" s="19">
        <f t="shared" ref="M78:M80" si="50">-H78/(1+0.12)+PV(12%,20,J78)-H78/(1+0.12)^10</f>
        <v>-10262455.98277468</v>
      </c>
      <c r="N78" s="614">
        <f>+$AD74/$AD77*N82</f>
        <v>448487.62015537708</v>
      </c>
      <c r="O78" s="25">
        <f>IF(N78-AG78&lt;0,0,N78-AG78)</f>
        <v>185379.88940537709</v>
      </c>
      <c r="P78" s="32">
        <f>+$AD74/$AD77*P82</f>
        <v>193456.58666064095</v>
      </c>
      <c r="Q78" s="614">
        <f>+$AC74/$AC77*Q82</f>
        <v>2783730.5677113128</v>
      </c>
      <c r="R78" s="647">
        <f>IF(Q78-AH78&lt;0,0,Q78-AH78)</f>
        <v>2686353.3277113126</v>
      </c>
      <c r="S78" s="647">
        <f>+S74</f>
        <v>0</v>
      </c>
      <c r="T78" s="32">
        <f>+$AC74/$AC77*T82</f>
        <v>368310.03258253058</v>
      </c>
      <c r="U78" s="27"/>
      <c r="V78" s="461">
        <f>+V74</f>
        <v>0</v>
      </c>
      <c r="W78" s="27"/>
      <c r="X78" s="461">
        <f t="shared" ref="X78:Z80" si="51">+X74</f>
        <v>0</v>
      </c>
      <c r="Y78" s="27">
        <f t="shared" si="51"/>
        <v>20835.421791599998</v>
      </c>
      <c r="Z78" s="27">
        <f t="shared" si="51"/>
        <v>163994.16799055826</v>
      </c>
      <c r="AA78" s="650">
        <f>(-O78-R78)/(1+0.12)+PV(12%,20,P78)+PV(12%,20,T78)-(O78*0.5)/(1+0.12)^10-S78/(1+0.12)^10</f>
        <v>-6789975.2892440716</v>
      </c>
      <c r="AB78" s="651">
        <f>M78+AA78</f>
        <v>-17052431.272018753</v>
      </c>
      <c r="AG78" s="448">
        <f>VLOOKUP($D78,Valoración_Eq_REG!$D$4:$I$157,Valoración_Eq_REG!$E$2,FALSE)*$E$4</f>
        <v>263107.73074999999</v>
      </c>
      <c r="AH78" s="448">
        <f>VLOOKUP($D78,Valoración_Eq_REG!$D$4:$I$157,Valoración_Eq_REG!$F$2,FALSE)*$E$4</f>
        <v>97377.24</v>
      </c>
      <c r="AJ78" s="484">
        <f>+'[36]Evaluacion Economica'!$L$25</f>
        <v>2</v>
      </c>
      <c r="AK78" s="448">
        <f>+'[36]Evaluacion Economica'!$R$25</f>
        <v>21</v>
      </c>
      <c r="AL78" s="484">
        <f>+'[36]P_Evaluacion Economica'!$L$27</f>
        <v>2</v>
      </c>
      <c r="AM78" s="448">
        <f>+'[36]P_Evaluacion Economica'!$Q$27</f>
        <v>6</v>
      </c>
      <c r="AN78" s="34" t="str">
        <f>+[36]Datos!$C$2</f>
        <v>Daireaux</v>
      </c>
      <c r="AO78" s="25" t="str">
        <f>VLOOKUP($E78,Tabla13[],Inputs_costos!$D$1,FALSE)</f>
        <v>DAIREAUX</v>
      </c>
      <c r="AP78" s="28" t="str">
        <f>VLOOKUP($D78,'Costo Social x localidad'!$B$2:$M$156,1,FALSE)</f>
        <v>DAIREAUX</v>
      </c>
    </row>
    <row r="79" spans="1:42">
      <c r="A79" s="917"/>
      <c r="B79" s="887"/>
      <c r="C79" s="478" t="str">
        <f>IF(AND(D79=AN79,D79=AO79,D79=AP79),"ok","ATENCIÓN NO ESTÁ TOMANDO BIEN LA LOCALIDAD")</f>
        <v>ok</v>
      </c>
      <c r="D79" s="24" t="s">
        <v>173</v>
      </c>
      <c r="E79" s="115">
        <f>VLOOKUP(D79,Pobl_adoptada!$C$5:$D$158,2,FALSE)</f>
        <v>78</v>
      </c>
      <c r="F79" s="9" t="s">
        <v>308</v>
      </c>
      <c r="G79" s="580">
        <f>+'[37]Inversion rec-TA'!$G$21</f>
        <v>1826477.5508091175</v>
      </c>
      <c r="H79" s="34">
        <f>+($AC75/$AC77)*H81+G79</f>
        <v>2078005.4839915812</v>
      </c>
      <c r="I79" s="465">
        <f>+'[37]Costos Operativos Rec-TA'!$G$23</f>
        <v>949315.92533540563</v>
      </c>
      <c r="J79" s="581">
        <f>+($AC75/$AC77)*J81+I79</f>
        <v>954346.48399905488</v>
      </c>
      <c r="K79" s="10">
        <f>+'[37]Inversion rec-TA'!$G$46</f>
        <v>0</v>
      </c>
      <c r="L79" s="10">
        <f>+'[37]Costos Operativos Rec-TA'!$G$46</f>
        <v>0</v>
      </c>
      <c r="M79" s="19">
        <f t="shared" si="50"/>
        <v>-9652861.4509183839</v>
      </c>
      <c r="N79" s="465">
        <f>+$AD75/$AD77*N82</f>
        <v>295583.26200465643</v>
      </c>
      <c r="O79" s="25">
        <f>IF(N79-AG79&lt;0,0,N79-AG79)</f>
        <v>32475.531254656438</v>
      </c>
      <c r="P79" s="25">
        <f>+$AD75/$AD77*P82</f>
        <v>127500.79683721939</v>
      </c>
      <c r="Q79" s="465">
        <f>+$AC75/$AC77*Q82</f>
        <v>1841567.6425461567</v>
      </c>
      <c r="R79" s="647">
        <f>IF(Q79-AH79&lt;0,0,Q79-AH79)</f>
        <v>1744190.4025461567</v>
      </c>
      <c r="S79" s="647">
        <f>+S75</f>
        <v>0</v>
      </c>
      <c r="T79" s="25">
        <f>+$AC75/$AC77*T82</f>
        <v>243654.2696683312</v>
      </c>
      <c r="U79" s="458"/>
      <c r="V79" s="461">
        <f>+V75</f>
        <v>569987.30432</v>
      </c>
      <c r="W79" s="28"/>
      <c r="X79" s="461">
        <f t="shared" si="51"/>
        <v>50606.785446258553</v>
      </c>
      <c r="Y79" s="28">
        <f t="shared" si="51"/>
        <v>9173.7222940799984</v>
      </c>
      <c r="Z79" s="28">
        <f t="shared" si="51"/>
        <v>167600.40810335823</v>
      </c>
      <c r="AA79" s="650">
        <f>(-O79-R79)/(1+0.12)+PV(12%,20,P79)+PV(12%,20,T79)-(O79*0.5)/(1+0.12)^10-S79/(1+0.12)^10</f>
        <v>-4363858.8405658137</v>
      </c>
      <c r="AB79" s="651">
        <f>M79+AA79</f>
        <v>-14016720.291484198</v>
      </c>
      <c r="AC79" s="39"/>
      <c r="AD79" s="10"/>
      <c r="AE79" s="10"/>
      <c r="AF79" s="10"/>
      <c r="AG79" s="448">
        <f>VLOOKUP($D79,Valoración_Eq_REG!$D$4:$I$157,Valoración_Eq_REG!$E$2,FALSE)*$E$4</f>
        <v>263107.73074999999</v>
      </c>
      <c r="AH79" s="448">
        <f>VLOOKUP($D79,Valoración_Eq_REG!$D$4:$I$157,Valoración_Eq_REG!$F$2,FALSE)*$E$4</f>
        <v>97377.24</v>
      </c>
      <c r="AI79" s="11"/>
      <c r="AJ79" s="484">
        <f>+'[37]Evaluacion Economica'!$L$25</f>
        <v>2</v>
      </c>
      <c r="AK79" s="448">
        <f>+'[37]Evaluacion Economica'!$R$25</f>
        <v>12</v>
      </c>
      <c r="AL79" s="484">
        <f>+'[37]P_Evaluacion Economica'!$L$27</f>
        <v>2</v>
      </c>
      <c r="AM79" s="448">
        <f>+'[37]P_Evaluacion Economica'!$Q$27</f>
        <v>6</v>
      </c>
      <c r="AN79" s="34" t="str">
        <f>+[37]Datos!$C$2</f>
        <v>Henderson</v>
      </c>
      <c r="AO79" s="25" t="str">
        <f>VLOOKUP($E79,Tabla13[],Inputs_costos!$D$1,FALSE)</f>
        <v>HENDERSON</v>
      </c>
      <c r="AP79" s="28" t="str">
        <f>VLOOKUP($D79,'Costo Social x localidad'!$B$2:$M$156,1,FALSE)</f>
        <v>HENDERSON</v>
      </c>
    </row>
    <row r="80" spans="1:42" ht="15.75" thickBot="1">
      <c r="A80" s="917"/>
      <c r="B80" s="887"/>
      <c r="C80" s="478" t="str">
        <f>IF(AND(D80=AN80,D80=AO80,D80=AP80),"ok","ATENCIÓN NO ESTÁ TOMANDO BIEN LA LOCALIDAD")</f>
        <v>ok</v>
      </c>
      <c r="D80" s="36" t="s">
        <v>125</v>
      </c>
      <c r="E80" s="115">
        <f>VLOOKUP(D80,Pobl_adoptada!$C$5:$D$158,2,FALSE)</f>
        <v>38</v>
      </c>
      <c r="F80" s="9" t="s">
        <v>308</v>
      </c>
      <c r="G80" s="580">
        <f>+'[38]Inversion rec-TA'!$G$21</f>
        <v>3254708.3102136762</v>
      </c>
      <c r="H80" s="34">
        <f>+($AC76/$AC77)*H81+G80</f>
        <v>4158545.5151474522</v>
      </c>
      <c r="I80" s="465">
        <f>+'[38]Costos Operativos Rec-TA'!$G$23</f>
        <v>2039372.4407416927</v>
      </c>
      <c r="J80" s="581">
        <f>+($AC76/$AC77)*J81+I80</f>
        <v>2057449.1848403681</v>
      </c>
      <c r="K80" s="10">
        <f>+'[38]Inversion rec-TA'!$G$46</f>
        <v>0</v>
      </c>
      <c r="L80" s="10">
        <f>+'[38]Costos Operativos Rec-TA'!$G$46</f>
        <v>0</v>
      </c>
      <c r="M80" s="19">
        <f t="shared" si="50"/>
        <v>-20419928.122201588</v>
      </c>
      <c r="N80" s="465">
        <f>+$AD76/$AD77*N82</f>
        <v>1063971.1059999666</v>
      </c>
      <c r="O80" s="25">
        <f>IF(N80-AG80&lt;0,0,N80-AG80)</f>
        <v>0</v>
      </c>
      <c r="P80" s="25">
        <f>+$AD76/$AD77*P82</f>
        <v>458947.38053413975</v>
      </c>
      <c r="Q80" s="465">
        <f>+$AC76/$AC77*Q82</f>
        <v>6617465.2241425337</v>
      </c>
      <c r="R80" s="647">
        <f>IF(Q80-AH80&lt;0,0,Q80-AH80)</f>
        <v>6324839.0241425335</v>
      </c>
      <c r="S80" s="647">
        <f>+S76</f>
        <v>815000</v>
      </c>
      <c r="T80" s="25">
        <f>+$AC76/$AC77*T82</f>
        <v>875544.08482913848</v>
      </c>
      <c r="U80" s="29"/>
      <c r="V80" s="461">
        <f>+V76</f>
        <v>9160510.2479999997</v>
      </c>
      <c r="W80" s="25"/>
      <c r="X80" s="461">
        <f t="shared" si="51"/>
        <v>813323.33752915531</v>
      </c>
      <c r="Y80" s="28">
        <f t="shared" si="51"/>
        <v>63596.654987386661</v>
      </c>
      <c r="Z80" s="28">
        <f t="shared" si="51"/>
        <v>347871.28280979767</v>
      </c>
      <c r="AA80" s="650">
        <f>(-O80-R80)/(1+0.12)+PV(12%,20,P80)+PV(12%,20,T80)-(O80*0.5)/(1+0.12)^10-S80/(1+0.12)^10</f>
        <v>-15877494.65562601</v>
      </c>
      <c r="AB80" s="651">
        <f>M80+AA80</f>
        <v>-36297422.777827598</v>
      </c>
      <c r="AC80" s="10"/>
      <c r="AD80" s="10"/>
      <c r="AE80" s="10"/>
      <c r="AF80" s="10"/>
      <c r="AG80" s="448">
        <f>VLOOKUP($D80,Valoración_Eq_REG!$D$4:$I$157,Valoración_Eq_REG!$E$2,FALSE)*$E$4</f>
        <v>1389819.73074</v>
      </c>
      <c r="AH80" s="448">
        <f>VLOOKUP($D80,Valoración_Eq_REG!$D$4:$I$157,Valoración_Eq_REG!$F$2,FALSE)*$E$4</f>
        <v>292626.2</v>
      </c>
      <c r="AI80" s="2"/>
      <c r="AJ80" s="484">
        <f>+'[38]Evaluacion Economica'!$L$25</f>
        <v>3</v>
      </c>
      <c r="AK80" s="448">
        <f>+'[38]Evaluacion Economica'!$R$25</f>
        <v>12</v>
      </c>
      <c r="AL80" s="484">
        <f>+'[38]P_Evaluacion Economica'!$L$27</f>
        <v>3</v>
      </c>
      <c r="AM80" s="448">
        <f>+'[38]P_Evaluacion Economica'!$Q$27</f>
        <v>6</v>
      </c>
      <c r="AN80" s="34" t="str">
        <f>+[38]Datos!$C$2</f>
        <v>San Carlos de Bolívar</v>
      </c>
      <c r="AO80" s="25" t="str">
        <f>VLOOKUP($E80,Tabla13[],Inputs_costos!$D$1,FALSE)</f>
        <v>SAN CARLOS DE BOLÍVAR</v>
      </c>
      <c r="AP80" s="28" t="str">
        <f>VLOOKUP($D80,'Costo Social x localidad'!$B$2:$M$156,1,FALSE)</f>
        <v>San Carlos de Bolívar</v>
      </c>
    </row>
    <row r="81" spans="1:42" ht="30.75" thickBot="1">
      <c r="A81" s="917"/>
      <c r="B81" s="887"/>
      <c r="C81" s="912" t="s">
        <v>12</v>
      </c>
      <c r="D81" s="913"/>
      <c r="E81" s="498" t="s">
        <v>589</v>
      </c>
      <c r="F81" s="571">
        <f>+F68</f>
        <v>0.02</v>
      </c>
      <c r="G81" s="582"/>
      <c r="H81" s="461">
        <f>+AJ81*AJ83+AL81*AL83</f>
        <v>1535577.0728053148</v>
      </c>
      <c r="I81" s="461"/>
      <c r="J81" s="583">
        <f>+$F81*H81</f>
        <v>30711.541456106297</v>
      </c>
      <c r="K81" s="10"/>
      <c r="L81" s="10"/>
      <c r="M81" s="19"/>
      <c r="N81" s="465"/>
      <c r="O81" s="10"/>
      <c r="P81" s="10"/>
      <c r="Q81" s="618"/>
      <c r="R81" s="28"/>
      <c r="S81" s="28"/>
      <c r="T81" s="28"/>
      <c r="U81" s="28"/>
      <c r="V81" s="28"/>
      <c r="W81" s="28"/>
      <c r="X81" s="28"/>
      <c r="Y81" s="28"/>
      <c r="Z81" s="28"/>
      <c r="AA81" s="658"/>
      <c r="AB81" s="20"/>
      <c r="AC81" s="10"/>
      <c r="AD81" s="10"/>
      <c r="AE81" s="10"/>
      <c r="AF81" s="10"/>
      <c r="AG81" s="4"/>
      <c r="AH81" s="4"/>
      <c r="AI81" s="4"/>
      <c r="AJ81" s="501">
        <f>ROUNDUP(C82*SUM(AJ78:AJ80),0)</f>
        <v>3</v>
      </c>
      <c r="AK81" s="502">
        <f>AVERAGE(AK78:AK80)</f>
        <v>15</v>
      </c>
      <c r="AL81" s="501">
        <f>ROUNDUP(C82*SUM(AL78:AL80),0)</f>
        <v>3</v>
      </c>
      <c r="AM81" s="502">
        <f>AVERAGE(AM78:AM80)</f>
        <v>6</v>
      </c>
      <c r="AN81" s="4"/>
      <c r="AO81" s="4"/>
      <c r="AP81" s="4"/>
    </row>
    <row r="82" spans="1:42" ht="15.75" thickBot="1">
      <c r="A82" s="918"/>
      <c r="B82" s="888"/>
      <c r="C82" s="570">
        <v>0.3</v>
      </c>
      <c r="D82" s="500" t="str">
        <f>A74</f>
        <v>REGIÓN BOLÍVAR</v>
      </c>
      <c r="E82" s="468"/>
      <c r="F82" s="469"/>
      <c r="G82" s="584"/>
      <c r="H82" s="585">
        <f>SUM(H78:H80)</f>
        <v>8546704.3676449284</v>
      </c>
      <c r="I82" s="585"/>
      <c r="J82" s="586">
        <f>SUM(J78:J80)</f>
        <v>4009997.3910193872</v>
      </c>
      <c r="K82" s="14"/>
      <c r="L82" s="14"/>
      <c r="M82" s="15">
        <f>SUM(M78:M81)</f>
        <v>-40335245.555894658</v>
      </c>
      <c r="N82" s="615">
        <f>(VLOOKUP($E78,Tabla13[],Inputs_costos!$P$1,FALSE))*(O$3*$E$3+O$4*$E$4)</f>
        <v>1808041.9881600002</v>
      </c>
      <c r="O82" s="35">
        <f>SUM(O78:O80)</f>
        <v>217855.42066003353</v>
      </c>
      <c r="P82" s="35">
        <f>(VLOOKUP($E78,Tabla13[],Inputs_costos!$Q$1,FALSE))*(P$3*$E$3+P$4*$E$4)</f>
        <v>779904.76403200009</v>
      </c>
      <c r="Q82" s="615">
        <f>IF($AC77&gt;=15,(VLOOKUP($E78,Tabla13[],Inputs_costos!$N$1,FALSE))*($R$3*$E$3+$R$4*$E$4),(VLOOKUP($E78,Tabla13[],Inputs_costos!$N$1,FALSE))*($T$3*$E$3+$T$4*$E$4))</f>
        <v>11242763.434400002</v>
      </c>
      <c r="R82" s="35">
        <f>SUM(R78:R80)</f>
        <v>10755382.754400004</v>
      </c>
      <c r="S82" s="35"/>
      <c r="T82" s="35">
        <f>IF($AC77&gt;=15,(VLOOKUP($E78,Tabla13[],Inputs_costos!$O$1,FALSE))*($R$3*$E$3+$R$4*$E$4),(VLOOKUP($E78,Tabla13[],Inputs_costos!$O$1,FALSE))*($T$3*$E$3+$T$4*$E$4))</f>
        <v>1487508.38708</v>
      </c>
      <c r="U82" s="35"/>
      <c r="V82" s="31">
        <f>SUM(V78:V80)</f>
        <v>9730497.5523199998</v>
      </c>
      <c r="W82" s="31"/>
      <c r="X82" s="31">
        <f>SUM(X78:X80)</f>
        <v>863930.12297541392</v>
      </c>
      <c r="Y82" s="31">
        <f>SUM(Y78:Y80)</f>
        <v>93605.79907306665</v>
      </c>
      <c r="Z82" s="31">
        <f>SUM(Z78:Z80)</f>
        <v>679465.85890371422</v>
      </c>
      <c r="AA82" s="653">
        <f>SUM(AA78:AA80)</f>
        <v>-27031328.785435896</v>
      </c>
      <c r="AB82" s="654">
        <f>+M82+AA82</f>
        <v>-67366574.341330558</v>
      </c>
      <c r="AC82" s="38"/>
      <c r="AD82" s="38"/>
      <c r="AE82" s="38"/>
      <c r="AF82" s="38"/>
      <c r="AG82" s="4"/>
      <c r="AH82" s="4"/>
      <c r="AI82" s="4"/>
      <c r="AJ82" s="11"/>
      <c r="AK82" s="499">
        <f>VLOOKUP(ROUNDUP(AK81,0),DATOS!$F$16:$G$31,2,FALSE)</f>
        <v>15</v>
      </c>
      <c r="AL82" s="497"/>
      <c r="AM82" s="499">
        <f>VLOOKUP(ROUNDUP(AM81,0),DATOS!$J$16:$K$34,2,FALSE)</f>
        <v>6</v>
      </c>
      <c r="AN82" s="4"/>
      <c r="AO82" s="4"/>
      <c r="AP82" s="4"/>
    </row>
    <row r="83" spans="1:42">
      <c r="F83" s="2"/>
      <c r="G83" s="2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0"/>
      <c r="V83" s="2"/>
      <c r="W83" s="2"/>
      <c r="X83" s="2"/>
      <c r="Y83" s="2"/>
      <c r="Z83" s="2"/>
      <c r="AA83" s="4"/>
      <c r="AB83" s="4"/>
      <c r="AC83" s="4"/>
      <c r="AD83" s="4"/>
      <c r="AE83" s="4"/>
      <c r="AF83" s="4"/>
      <c r="AG83" s="644"/>
      <c r="AH83" s="448"/>
      <c r="AI83" s="4"/>
      <c r="AJ83" s="892">
        <f>VLOOKUP(AK82,DATOS!$F$3:$H$11,3,FALSE)</f>
        <v>277598.62978843832</v>
      </c>
      <c r="AK83" s="892"/>
      <c r="AL83" s="892">
        <f>VLOOKUP(AM82,DATOS!$J$3:$L$12,3,FALSE)</f>
        <v>234260.39447999999</v>
      </c>
      <c r="AM83" s="892"/>
      <c r="AN83" s="4"/>
      <c r="AO83" s="4"/>
      <c r="AP83" s="4"/>
    </row>
    <row r="84" spans="1:42" ht="15.75" thickBot="1">
      <c r="A84" s="503"/>
      <c r="B84" s="503"/>
      <c r="C84" s="503"/>
      <c r="D84" s="503"/>
      <c r="E84" s="503"/>
      <c r="F84" s="504"/>
      <c r="G84" s="504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4"/>
      <c r="S84" s="504"/>
      <c r="T84" s="504"/>
      <c r="U84" s="504"/>
      <c r="V84" s="504"/>
      <c r="W84" s="504"/>
      <c r="X84" s="504"/>
      <c r="Y84" s="504"/>
      <c r="Z84" s="504"/>
      <c r="AA84" s="506"/>
      <c r="AB84" s="506"/>
      <c r="AC84" s="506"/>
      <c r="AD84" s="506"/>
      <c r="AE84" s="506"/>
      <c r="AF84" s="506"/>
      <c r="AG84" s="506"/>
      <c r="AH84" s="506"/>
      <c r="AI84" s="506"/>
      <c r="AJ84" s="506"/>
      <c r="AK84" s="506"/>
      <c r="AL84" s="506"/>
      <c r="AM84" s="506"/>
      <c r="AN84" s="506"/>
      <c r="AO84" s="506"/>
      <c r="AP84" s="506"/>
    </row>
    <row r="85" spans="1:42" ht="39" thickBot="1">
      <c r="A85" s="886" t="s">
        <v>7</v>
      </c>
      <c r="B85" s="886" t="s">
        <v>2</v>
      </c>
      <c r="C85" s="479"/>
      <c r="D85" s="882" t="s">
        <v>22</v>
      </c>
      <c r="E85" s="882" t="s">
        <v>23</v>
      </c>
      <c r="F85" s="882" t="s">
        <v>3</v>
      </c>
      <c r="G85" s="568"/>
      <c r="H85" s="901" t="s">
        <v>0</v>
      </c>
      <c r="I85" s="901"/>
      <c r="J85" s="901"/>
      <c r="K85" s="901" t="s">
        <v>1</v>
      </c>
      <c r="L85" s="901"/>
      <c r="M85" s="886" t="s">
        <v>10</v>
      </c>
      <c r="N85" s="879" t="s">
        <v>5</v>
      </c>
      <c r="O85" s="880"/>
      <c r="P85" s="881"/>
      <c r="Q85" s="902" t="s">
        <v>4</v>
      </c>
      <c r="R85" s="903"/>
      <c r="S85" s="903"/>
      <c r="T85" s="904"/>
      <c r="U85" s="902" t="s">
        <v>6</v>
      </c>
      <c r="V85" s="903"/>
      <c r="W85" s="903"/>
      <c r="X85" s="904"/>
      <c r="Y85" s="390" t="s">
        <v>689</v>
      </c>
      <c r="Z85" s="662" t="s">
        <v>690</v>
      </c>
      <c r="AA85" s="905" t="s">
        <v>686</v>
      </c>
      <c r="AB85" s="886" t="s">
        <v>9</v>
      </c>
      <c r="AC85" s="907" t="s">
        <v>312</v>
      </c>
      <c r="AD85" s="914" t="s">
        <v>649</v>
      </c>
      <c r="AE85" s="897" t="s">
        <v>20</v>
      </c>
      <c r="AF85" s="897" t="s">
        <v>313</v>
      </c>
      <c r="AG85" s="899" t="s">
        <v>552</v>
      </c>
      <c r="AH85" s="895" t="s">
        <v>578</v>
      </c>
      <c r="AI85" s="897" t="s">
        <v>579</v>
      </c>
      <c r="AJ85" s="882" t="s">
        <v>581</v>
      </c>
      <c r="AK85" s="882" t="s">
        <v>582</v>
      </c>
      <c r="AL85" s="882" t="s">
        <v>581</v>
      </c>
      <c r="AM85" s="882" t="s">
        <v>582</v>
      </c>
      <c r="AN85" s="884" t="s">
        <v>553</v>
      </c>
      <c r="AO85" s="885"/>
      <c r="AP85" s="885"/>
    </row>
    <row r="86" spans="1:42" ht="30.75" thickBot="1">
      <c r="A86" s="888"/>
      <c r="B86" s="888"/>
      <c r="C86" s="480"/>
      <c r="D86" s="883"/>
      <c r="E86" s="883"/>
      <c r="F86" s="883"/>
      <c r="G86" s="569"/>
      <c r="H86" s="17" t="s">
        <v>18</v>
      </c>
      <c r="I86" s="17"/>
      <c r="J86" s="17" t="s">
        <v>17</v>
      </c>
      <c r="K86" s="17" t="s">
        <v>18</v>
      </c>
      <c r="L86" s="17" t="s">
        <v>17</v>
      </c>
      <c r="M86" s="888"/>
      <c r="N86" s="464" t="s">
        <v>685</v>
      </c>
      <c r="O86" s="17" t="s">
        <v>18</v>
      </c>
      <c r="P86" s="17" t="s">
        <v>17</v>
      </c>
      <c r="Q86" s="464" t="s">
        <v>685</v>
      </c>
      <c r="R86" s="17" t="s">
        <v>18</v>
      </c>
      <c r="S86" s="17"/>
      <c r="T86" s="17" t="s">
        <v>17</v>
      </c>
      <c r="U86" s="464" t="s">
        <v>576</v>
      </c>
      <c r="V86" s="17" t="s">
        <v>18</v>
      </c>
      <c r="W86" s="464" t="s">
        <v>577</v>
      </c>
      <c r="X86" s="17" t="s">
        <v>17</v>
      </c>
      <c r="Y86" s="17" t="s">
        <v>18</v>
      </c>
      <c r="Z86" s="17" t="s">
        <v>17</v>
      </c>
      <c r="AA86" s="906"/>
      <c r="AB86" s="888"/>
      <c r="AC86" s="908"/>
      <c r="AD86" s="915"/>
      <c r="AE86" s="898"/>
      <c r="AF86" s="898"/>
      <c r="AG86" s="900"/>
      <c r="AH86" s="896"/>
      <c r="AI86" s="898"/>
      <c r="AJ86" s="883"/>
      <c r="AK86" s="883"/>
      <c r="AL86" s="883"/>
      <c r="AM86" s="883"/>
      <c r="AN86" s="1" t="s">
        <v>551</v>
      </c>
      <c r="AO86" s="9" t="s">
        <v>554</v>
      </c>
      <c r="AP86" s="1" t="s">
        <v>555</v>
      </c>
    </row>
    <row r="87" spans="1:42">
      <c r="A87" s="916" t="s">
        <v>595</v>
      </c>
      <c r="B87" s="886" t="s">
        <v>309</v>
      </c>
      <c r="C87" s="481" t="str">
        <f>IF(AND(D87=AN87,D87=AO87,D87=AP87),"ok","ATENCIÓN NO ESTÁ TOMANDO BIEN LA LOCALIDAD")</f>
        <v>ok</v>
      </c>
      <c r="D87" s="23" t="s">
        <v>245</v>
      </c>
      <c r="E87" s="114">
        <f>VLOOKUP(D87,Pobl_adoptada!$C$5:$D$158,2,FALSE)</f>
        <v>139</v>
      </c>
      <c r="F87" s="8" t="s">
        <v>308</v>
      </c>
      <c r="G87" s="8"/>
      <c r="H87" s="33">
        <f>'[39]Inversion rec-TA'!$G$21</f>
        <v>2194228.3687098254</v>
      </c>
      <c r="I87" s="33"/>
      <c r="J87" s="33">
        <f>'[39]Costos Operativos Rec-TA'!$G$23</f>
        <v>842946.76582922798</v>
      </c>
      <c r="K87" s="32">
        <f>'[39]Inversion rec-TA'!$G$46</f>
        <v>0</v>
      </c>
      <c r="L87" s="32">
        <f>+'[39]Costos Operativos Rec-TA'!$G$46</f>
        <v>0</v>
      </c>
      <c r="M87" s="19">
        <f t="shared" ref="M87:M89" si="52">-H87/(1+0.12)+PV(12%,20,J87)-H87/(1+0.12)^10</f>
        <v>-8961958.6274256632</v>
      </c>
      <c r="N87" s="19"/>
      <c r="O87" s="25">
        <f>IF(((VLOOKUP($E87,Tabla13[],Inputs_costos!$I$1,FALSE))*(O$3*$E$3+O$4*$E$4)-AG87)&lt;0,0,VLOOKUP($E87,Tabla13[],Inputs_costos!$I$1,FALSE)*(O$3*$E$3+O$4*$E$4)-AG87)</f>
        <v>359159.83353599999</v>
      </c>
      <c r="P87" s="25">
        <f>(VLOOKUP($E87,Tabla13[],Inputs_costos!$J$1,FALSE))*(P$3*$E$3+P$4*$E$4)</f>
        <v>26127.3549570752</v>
      </c>
      <c r="Q87" s="25"/>
      <c r="R87" s="25">
        <f>IF($AC87&gt;=15,(VLOOKUP($E87,Tabla13[],Inputs_costos!$G$1,FALSE))*($R$3*$E$3+$R$4*$E$4),(VLOOKUP($E87,Tabla13[],Inputs_costos!$G$1,FALSE))*($T$3*$E$3+$T$4*$E$4))-AH87</f>
        <v>878702.19007999997</v>
      </c>
      <c r="S87" s="25">
        <f t="shared" ref="S87:S89" si="53">IF(AC87&lt;15,0,IF(AC87&lt;=350,815000,1345000))</f>
        <v>0</v>
      </c>
      <c r="T87" s="25">
        <f>IF($AC87&gt;=15,(VLOOKUP($E87,Tabla13[],Inputs_costos!$H$1,FALSE))*($R$3*$E$3+$R$4*$E$4),(VLOOKUP($E87,Tabla13[],Inputs_costos!$H$1,FALSE))*($T$3*$E$3+$T$4*$E$4))</f>
        <v>157094.899848</v>
      </c>
      <c r="U87" s="465">
        <f>SUMIFS(Tabla24[Costo de Cierre Técnico de BCA (US$)],Tabla24[Localidad],Resumen!$D87)</f>
        <v>0</v>
      </c>
      <c r="V87" s="461">
        <f>+U87*(V$3*$E$3+V$4*$E$4)</f>
        <v>0</v>
      </c>
      <c r="W87" s="465">
        <f>SUMIFS(Tabla24[Costo anual de Manteniemiento Post-cierre (US$)],Tabla24[Localidad],Resumen!$D87)</f>
        <v>0</v>
      </c>
      <c r="X87" s="461">
        <f>+W87*(X$3*$E$3+X$4*$E$4)</f>
        <v>0</v>
      </c>
      <c r="Y87" s="27">
        <f>VLOOKUP($D87,'Costo Social x localidad'!$B$2:$M$156,12,FALSE)*(Y$3*$E$3+Y$4*$E$4)</f>
        <v>13882.737253493333</v>
      </c>
      <c r="Z87" s="28">
        <f>VLOOKUP(D87,'Estimación  PRESUPUESTO PCAS'!$B$4:$G$158,'Estimación  PRESUPUESTO PCAS'!$G$2,FALSE)</f>
        <v>166993.30392325827</v>
      </c>
      <c r="AA87" s="650">
        <f>(-O87-R87)/(1+0.12)+PV(12%,20,P87)+PV(12%,20,T87)-(O87*0.5)/(1+0.12)^10-S87/(1+0.12)^10</f>
        <v>-2531622.179674319</v>
      </c>
      <c r="AB87" s="651">
        <f>M87+AA87</f>
        <v>-11493580.807099983</v>
      </c>
      <c r="AC87" s="10">
        <f>VLOOKUP($E87,Resumen_Generación!$B$5:$F$158,Resumen_Generación!$D$3,FALSE)</f>
        <v>11.725333392000001</v>
      </c>
      <c r="AD87" s="10">
        <f>VLOOKUP($E87,Resumen_Generación!$B$5:$G$158,Resumen_Generación!$G$3,FALSE)</f>
        <v>4.9301907600000003</v>
      </c>
      <c r="AE87" s="362">
        <f>VLOOKUP($E87,Resumen_Generación!$B$5:$F$158,Resumen_Generación!$E$3,FALSE)</f>
        <v>17032</v>
      </c>
      <c r="AF87" s="10">
        <f>VLOOKUP($E87,Resumen_Generación!$B$5:$F$158,Resumen_Generación!$F$3,FALSE)</f>
        <v>5.3693499999999998</v>
      </c>
      <c r="AG87" s="448">
        <f>VLOOKUP($D87,Valoración_Equip_actual!$D$4:$I$157,Valoración_Equip_actual!$E$2,FALSE)*$E$4</f>
        <v>0</v>
      </c>
      <c r="AH87" s="448">
        <f>VLOOKUP($D87,Valoración_Equip_actual!$D$4:$I$157,Valoración_Equip_actual!$F$2,FALSE)*$E$4</f>
        <v>0</v>
      </c>
      <c r="AI87" s="448">
        <f>[39]P_Datos!$D$43</f>
        <v>0.3700983606557377</v>
      </c>
      <c r="AN87" s="449" t="str">
        <f>[39]Datos!$C$2</f>
        <v>Los Cardales</v>
      </c>
      <c r="AO87" s="450" t="str">
        <f>VLOOKUP($E87,Tabla13[],Inputs_costos!$D$1,FALSE)</f>
        <v>LOS CARDALES</v>
      </c>
      <c r="AP87" s="451" t="str">
        <f>VLOOKUP($D87,'Costo Social x localidad'!$B$2:$M$156,1,FALSE)</f>
        <v>LOS CARDALES</v>
      </c>
    </row>
    <row r="88" spans="1:42">
      <c r="A88" s="917"/>
      <c r="B88" s="887"/>
      <c r="C88" s="478" t="str">
        <f>IF(AND(D88=AN88,D88=AO88,D88=AP88),"ok","ATENCIÓN NO ESTÁ TOMANDO BIEN LA LOCALIDAD")</f>
        <v>ok</v>
      </c>
      <c r="D88" s="24" t="s">
        <v>246</v>
      </c>
      <c r="E88" s="115">
        <f>VLOOKUP(D88,Pobl_adoptada!$C$5:$D$158,2,FALSE)</f>
        <v>140</v>
      </c>
      <c r="F88" s="9" t="s">
        <v>308</v>
      </c>
      <c r="G88" s="9"/>
      <c r="H88" s="34">
        <f>'[40]Inversion rec-TA'!$G$21</f>
        <v>1529654.1341475856</v>
      </c>
      <c r="I88" s="34"/>
      <c r="J88" s="34">
        <f>'[40]Costos Operativos Rec-TA'!$G$23</f>
        <v>454334.8336390825</v>
      </c>
      <c r="K88" s="25">
        <f>'[40]Inversion rec-TA'!$G$46</f>
        <v>0</v>
      </c>
      <c r="L88" s="25">
        <f>+'[40]Costos Operativos Rec-TA'!$G$46</f>
        <v>0</v>
      </c>
      <c r="M88" s="19">
        <f t="shared" si="52"/>
        <v>-5251898.7386458497</v>
      </c>
      <c r="N88" s="19"/>
      <c r="O88" s="25">
        <f>IF(((VLOOKUP($E88,Tabla13[],Inputs_costos!$I$1,FALSE))*(O$3*$E$3+O$4*$E$4)-AG88)&lt;0,0,VLOOKUP($E88,Tabla13[],Inputs_costos!$I$1,FALSE)*(O$3*$E$3+O$4*$E$4)-AG88)</f>
        <v>1682645.8268800001</v>
      </c>
      <c r="P88" s="25">
        <f>(VLOOKUP($E88,Tabla13[],Inputs_costos!$J$1,FALSE))*(P$3*$E$3+P$4*$E$4)</f>
        <v>366375.67772800004</v>
      </c>
      <c r="Q88" s="25"/>
      <c r="R88" s="25">
        <f>IF($AC88&gt;=15,(VLOOKUP($E88,Tabla13[],Inputs_costos!$G$1,FALSE))*($R$3*$E$3+$R$4*$E$4),(VLOOKUP($E88,Tabla13[],Inputs_costos!$G$1,FALSE))*($T$3*$E$3+$T$4*$E$4))-AH88</f>
        <v>7805247.9688000008</v>
      </c>
      <c r="S88" s="25">
        <f t="shared" si="53"/>
        <v>815000</v>
      </c>
      <c r="T88" s="25">
        <f>IF($AC88&gt;=15,(VLOOKUP($E88,Tabla13[],Inputs_costos!$H$1,FALSE))*($R$3*$E$3+$R$4*$E$4),(VLOOKUP($E88,Tabla13[],Inputs_costos!$H$1,FALSE))*($T$3*$E$3+$T$4*$E$4))</f>
        <v>1685929.8329360001</v>
      </c>
      <c r="U88" s="465">
        <f>SUMIFS(Tabla24[Costo de Cierre Técnico de BCA (US$)],Tabla24[Localidad],Resumen!$D88)</f>
        <v>0</v>
      </c>
      <c r="V88" s="461">
        <f t="shared" ref="V88:V89" si="54">+U88*(V$3*$E$3+V$4*$E$4)</f>
        <v>0</v>
      </c>
      <c r="W88" s="465">
        <f>SUMIFS(Tabla24[Costo anual de Manteniemiento Post-cierre (US$)],Tabla24[Localidad],Resumen!$D88)</f>
        <v>0</v>
      </c>
      <c r="X88" s="461">
        <f t="shared" ref="X88:X89" si="55">+W88*(X$3*$E$3+X$4*$E$4)</f>
        <v>0</v>
      </c>
      <c r="Y88" s="28">
        <f>VLOOKUP($D88,'Costo Social x localidad'!$B$2:$M$156,12,FALSE)*(Y$3*$E$3+Y$4*$E$4)</f>
        <v>22118.254435199997</v>
      </c>
      <c r="Z88" s="28">
        <f>VLOOKUP(D88,'Estimación  PRESUPUESTO PCAS'!$B$4:$G$158,'Estimación  PRESUPUESTO PCAS'!$G$2,FALSE)</f>
        <v>242847.87929827586</v>
      </c>
      <c r="AA88" s="650">
        <f>(-O88-R88)/(1+0.12)+PV(12%,20,P88)+PV(12%,20,T88)-(O88*0.5)/(1+0.12)^10-S88/(1+0.12)^10</f>
        <v>-24334205.707224075</v>
      </c>
      <c r="AB88" s="651">
        <f>M88+AA88</f>
        <v>-29586104.445869923</v>
      </c>
      <c r="AC88" s="10">
        <f>VLOOKUP($E88,Resumen_Generación!$B$5:$F$158,Resumen_Generación!$D$3,FALSE)</f>
        <v>20.170216784000001</v>
      </c>
      <c r="AD88" s="10">
        <f>VLOOKUP($E88,Resumen_Generación!$B$5:$G$158,Resumen_Generación!$G$3,FALSE)</f>
        <v>8.5486265199999991</v>
      </c>
      <c r="AE88" s="362">
        <f>VLOOKUP($E88,Resumen_Generación!$B$5:$F$158,Resumen_Generación!$E$3,FALSE)</f>
        <v>25480</v>
      </c>
      <c r="AF88" s="10">
        <f>VLOOKUP($E88,Resumen_Generación!$B$5:$F$158,Resumen_Generación!$F$3,FALSE)</f>
        <v>9.2182370000000002</v>
      </c>
      <c r="AG88" s="448">
        <f>VLOOKUP($D88,Valoración_Equip_actual!$D$4:$I$157,Valoración_Equip_actual!$E$2,FALSE)*$E$4</f>
        <v>0</v>
      </c>
      <c r="AH88" s="448">
        <f>VLOOKUP($D88,Valoración_Equip_actual!$D$4:$I$157,Valoración_Equip_actual!$F$2,FALSE)*$E$4</f>
        <v>0</v>
      </c>
      <c r="AI88" s="448">
        <f>[40]P_Datos!$D$43</f>
        <v>0.9883934426229507</v>
      </c>
      <c r="AN88" s="34" t="str">
        <f>[40]Datos!$C$2</f>
        <v>Parada Robles - Pavón</v>
      </c>
      <c r="AO88" s="25" t="str">
        <f>VLOOKUP($E88,Tabla13[],Inputs_costos!$D$1,FALSE)</f>
        <v>PARADA ROBLES - PAVÓN</v>
      </c>
      <c r="AP88" s="28" t="str">
        <f>VLOOKUP($D88,'Costo Social x localidad'!$B$2:$M$156,1,FALSE)</f>
        <v>PARADA ROBLES - PAVÓN</v>
      </c>
    </row>
    <row r="89" spans="1:42" ht="15.75" thickBot="1">
      <c r="A89" s="917"/>
      <c r="B89" s="887"/>
      <c r="C89" s="478" t="str">
        <f>IF(AND(D89=AN89,D89=AO89,D89=AP89),"ok","ATENCIÓN NO ESTÁ TOMANDO BIEN LA LOCALIDAD")</f>
        <v>ok</v>
      </c>
      <c r="D89" s="36" t="s">
        <v>149</v>
      </c>
      <c r="E89" s="482">
        <f>VLOOKUP(D89,Pobl_adoptada!$C$5:$D$158,2,FALSE)</f>
        <v>60</v>
      </c>
      <c r="F89" s="37" t="s">
        <v>308</v>
      </c>
      <c r="G89" s="37"/>
      <c r="H89" s="117">
        <f>'[41]Inversion rec-TA'!$G$21</f>
        <v>2235340.0917175272</v>
      </c>
      <c r="I89" s="117"/>
      <c r="J89" s="117">
        <f>'[41]Costos Operativos Rec-TA'!$G$23</f>
        <v>832140.13018982182</v>
      </c>
      <c r="K89" s="25">
        <f>'[41]Inversion rec-TA'!$G$46</f>
        <v>0</v>
      </c>
      <c r="L89" s="25">
        <f>+'[41]Costos Operativos Rec-TA'!$G$46</f>
        <v>0</v>
      </c>
      <c r="M89" s="19">
        <f t="shared" si="52"/>
        <v>-8931182.8418096714</v>
      </c>
      <c r="N89" s="19"/>
      <c r="O89" s="25">
        <f>IF(((VLOOKUP($E89,Tabla13[],Inputs_costos!$I$1,FALSE))*(O$3*$E$3+O$4*$E$4)-AG89)&lt;0,0,VLOOKUP($E89,Tabla13[],Inputs_costos!$I$1,FALSE)*(O$3*$E$3+O$4*$E$4)-AG89)</f>
        <v>0</v>
      </c>
      <c r="P89" s="25">
        <f>(VLOOKUP($E89,Tabla13[],Inputs_costos!$J$1,FALSE))*(P$3*$E$3+P$4*$E$4)</f>
        <v>26127.3549570752</v>
      </c>
      <c r="Q89" s="25"/>
      <c r="R89" s="25">
        <f>IF($AC89&gt;=15,(VLOOKUP($E89,Tabla13[],Inputs_costos!$G$1,FALSE))*($R$3*$E$3+$R$4*$E$4),(VLOOKUP($E89,Tabla13[],Inputs_costos!$G$1,FALSE))*($T$3*$E$3+$T$4*$E$4))-AH89</f>
        <v>794783.53695999994</v>
      </c>
      <c r="S89" s="25">
        <f t="shared" si="53"/>
        <v>0</v>
      </c>
      <c r="T89" s="25">
        <f>IF($AC89&gt;=15,(VLOOKUP($E89,Tabla13[],Inputs_costos!$H$1,FALSE))*($R$3*$E$3+$R$4*$E$4),(VLOOKUP($E89,Tabla13[],Inputs_costos!$H$1,FALSE))*($T$3*$E$3+$T$4*$E$4))</f>
        <v>143595.607024</v>
      </c>
      <c r="U89" s="465">
        <f>SUMIFS(Tabla24[Costo de Cierre Técnico de BCA (US$)],Tabla24[Localidad],Resumen!$D89)</f>
        <v>0</v>
      </c>
      <c r="V89" s="461">
        <f t="shared" si="54"/>
        <v>0</v>
      </c>
      <c r="W89" s="465">
        <f>SUMIFS(Tabla24[Costo anual de Manteniemiento Post-cierre (US$)],Tabla24[Localidad],Resumen!$D89)</f>
        <v>0</v>
      </c>
      <c r="X89" s="461">
        <f t="shared" si="55"/>
        <v>0</v>
      </c>
      <c r="Y89" s="447">
        <f>VLOOKUP($D89,'Costo Social x localidad'!$B$2:$M$156,12,FALSE)*(Y$3*$E$3+Y$4*$E$4)</f>
        <v>12968.687259599999</v>
      </c>
      <c r="Z89" s="28">
        <f>VLOOKUP(D89,'Estimación  PRESUPUESTO PCAS'!$B$4:$G$158,'Estimación  PRESUPUESTO PCAS'!$G$2,FALSE)</f>
        <v>162973.63628677526</v>
      </c>
      <c r="AA89" s="650">
        <f>(-O89-R89)/(1+0.12)+PV(12%,20,P89)+PV(12%,20,T89)-(O89*0.5)/(1+0.12)^10-S89/(1+0.12)^10</f>
        <v>-1977364.2542715371</v>
      </c>
      <c r="AB89" s="651">
        <f>M89+AA89</f>
        <v>-10908547.096081208</v>
      </c>
      <c r="AC89" s="10">
        <f>VLOOKUP($E89,Resumen_Generación!$B$5:$F$158,Resumen_Generación!$D$3,FALSE)</f>
        <v>10.843042720000001</v>
      </c>
      <c r="AD89" s="10">
        <f>VLOOKUP($E89,Resumen_Generación!$B$5:$G$158,Resumen_Generación!$G$3,FALSE)</f>
        <v>4.5025765999999994</v>
      </c>
      <c r="AE89" s="362">
        <f>VLOOKUP($E89,Resumen_Generación!$B$5:$F$158,Resumen_Generación!$E$3,FALSE)</f>
        <v>15701</v>
      </c>
      <c r="AF89" s="10">
        <f>VLOOKUP($E89,Resumen_Generación!$B$5:$F$158,Resumen_Generación!$F$3,FALSE)</f>
        <v>4.9803740000000003</v>
      </c>
      <c r="AG89" s="448">
        <f>VLOOKUP($D89,Valoración_Equip_actual!$D$4:$I$157,Valoración_Equip_actual!$E$2,FALSE)*$E$4</f>
        <v>1384766.8091559999</v>
      </c>
      <c r="AH89" s="448">
        <f>VLOOKUP($D89,Valoración_Equip_actual!$D$4:$I$157,Valoración_Equip_actual!$F$2,FALSE)*$E$4</f>
        <v>42825.5</v>
      </c>
      <c r="AI89" s="448">
        <f>[41]P_Datos!$D$43</f>
        <v>0.35757377049180328</v>
      </c>
      <c r="AN89" s="34" t="str">
        <f>[41]Datos!$C$2</f>
        <v>Capilla del Señor</v>
      </c>
      <c r="AO89" s="25" t="str">
        <f>VLOOKUP($E89,Tabla13[],Inputs_costos!$D$1,FALSE)</f>
        <v>CAPILLA DEL SEÑOR</v>
      </c>
      <c r="AP89" s="28" t="str">
        <f>VLOOKUP($D89,'Costo Social x localidad'!$B$2:$M$156,1,FALSE)</f>
        <v>CAPILLA DEL SEÑOR</v>
      </c>
    </row>
    <row r="90" spans="1:42" ht="15.75" thickBot="1">
      <c r="A90" s="917"/>
      <c r="B90" s="888"/>
      <c r="C90" s="483"/>
      <c r="D90" s="12" t="s">
        <v>8</v>
      </c>
      <c r="E90" s="40"/>
      <c r="F90" s="13"/>
      <c r="G90" s="8"/>
      <c r="H90" s="32">
        <f>SUM(H87:H89)</f>
        <v>5959222.5945749385</v>
      </c>
      <c r="I90" s="32"/>
      <c r="J90" s="32">
        <f>SUM(J87:J89)</f>
        <v>2129421.7296581324</v>
      </c>
      <c r="K90" s="14"/>
      <c r="L90" s="14"/>
      <c r="M90" s="15">
        <f>SUM(M87:M89)</f>
        <v>-23145040.207881182</v>
      </c>
      <c r="N90" s="15"/>
      <c r="O90" s="16">
        <f>SUM(O87:O89)</f>
        <v>2041805.6604160001</v>
      </c>
      <c r="P90" s="16">
        <f>SUM(P87:P89)</f>
        <v>418630.38764215045</v>
      </c>
      <c r="Q90" s="16"/>
      <c r="R90" s="26">
        <f>SUM(R87:R89)</f>
        <v>9478733.6958400011</v>
      </c>
      <c r="S90" s="26"/>
      <c r="T90" s="26">
        <f>SUM(T87:T89)</f>
        <v>1986620.339808</v>
      </c>
      <c r="U90" s="26"/>
      <c r="V90" s="26">
        <f>SUM(V87:V89)</f>
        <v>0</v>
      </c>
      <c r="W90" s="26"/>
      <c r="X90" s="26">
        <f>SUM(X87:X89)</f>
        <v>0</v>
      </c>
      <c r="Y90" s="26">
        <f>SUM(Y87:Y89)</f>
        <v>48969.678948293324</v>
      </c>
      <c r="Z90" s="26">
        <f>SUM(Z87:Z89)</f>
        <v>572814.81950830936</v>
      </c>
      <c r="AA90" s="653">
        <f>SUM(AA87:AA89)</f>
        <v>-28843192.141169932</v>
      </c>
      <c r="AB90" s="654">
        <f>+M90+AA90</f>
        <v>-51988232.349051118</v>
      </c>
      <c r="AC90" s="630">
        <f t="shared" ref="AC90:AI90" si="56">SUM(AC87:AC89)</f>
        <v>42.738592896</v>
      </c>
      <c r="AD90" s="630">
        <f t="shared" si="56"/>
        <v>17.981393879999999</v>
      </c>
      <c r="AE90" s="631">
        <f t="shared" si="56"/>
        <v>58213</v>
      </c>
      <c r="AF90" s="630">
        <f t="shared" si="56"/>
        <v>19.567961</v>
      </c>
      <c r="AG90" s="630">
        <f t="shared" si="56"/>
        <v>1384766.8091559999</v>
      </c>
      <c r="AH90" s="630">
        <f t="shared" si="56"/>
        <v>42825.5</v>
      </c>
      <c r="AI90" s="630">
        <f t="shared" si="56"/>
        <v>1.7160655737704915</v>
      </c>
      <c r="AJ90" s="4"/>
      <c r="AK90" s="4"/>
      <c r="AL90" s="4"/>
      <c r="AM90" s="4"/>
      <c r="AN90" s="4"/>
      <c r="AO90" s="4"/>
      <c r="AP90" s="4"/>
    </row>
    <row r="91" spans="1:42">
      <c r="A91" s="917"/>
      <c r="B91" s="886" t="s">
        <v>310</v>
      </c>
      <c r="C91" s="481" t="str">
        <f>IF(AND(D91=AN91,D91=AO91,D91=AP91),"ok","ATENCIÓN NO ESTÁ TOMANDO BIEN LA LOCALIDAD")</f>
        <v>ok</v>
      </c>
      <c r="D91" s="23" t="s">
        <v>245</v>
      </c>
      <c r="E91" s="114">
        <f>VLOOKUP(D91,Pobl_adoptada!$C$5:$D$158,2,FALSE)</f>
        <v>139</v>
      </c>
      <c r="F91" s="8" t="s">
        <v>308</v>
      </c>
      <c r="G91" s="576">
        <f>+'[42]Inversion rec-TA'!$G$21</f>
        <v>1701773.2308091174</v>
      </c>
      <c r="H91" s="577">
        <f>+($AC87/$AC90)*H94+G91</f>
        <v>1987890.1784000597</v>
      </c>
      <c r="I91" s="587">
        <f>+'[42]Costos Operativos Rec-TA'!$G$23</f>
        <v>831912.03910133126</v>
      </c>
      <c r="J91" s="579">
        <f>+($AC87/$AC90)*J94+I91</f>
        <v>837634.37805315014</v>
      </c>
      <c r="K91" s="10">
        <f>+'[42]Inversion rec-TA'!$G$46</f>
        <v>0</v>
      </c>
      <c r="L91" s="10">
        <f>+'[42]Costos Operativos Rec-TA'!$G$46</f>
        <v>0</v>
      </c>
      <c r="M91" s="19">
        <f t="shared" ref="M91:M93" si="57">-H91/(1+0.12)+PV(12%,20,J91)-H91/(1+0.12)^10</f>
        <v>-8671612.144393092</v>
      </c>
      <c r="N91" s="614">
        <f>+$AD87/$AD90*N95</f>
        <v>495581.61910365097</v>
      </c>
      <c r="O91" s="25">
        <f>IF(N91-AG91&lt;0,0,N91-AG91)</f>
        <v>495581.61910365097</v>
      </c>
      <c r="P91" s="32">
        <f>+$AD87/$AD90*P95</f>
        <v>213236.40150389643</v>
      </c>
      <c r="Q91" s="614">
        <f>+$AC87/$AC90*Q95</f>
        <v>3095703.787012605</v>
      </c>
      <c r="R91" s="647">
        <f>IF(Q91-AH91&lt;0,0,Q91-AH91)</f>
        <v>3095703.787012605</v>
      </c>
      <c r="S91" s="647">
        <f>+S87</f>
        <v>0</v>
      </c>
      <c r="T91" s="32">
        <f>+$AC87/$AC90*T95</f>
        <v>409248.66518544295</v>
      </c>
      <c r="U91" s="27"/>
      <c r="V91" s="461">
        <f>+V87</f>
        <v>0</v>
      </c>
      <c r="W91" s="27"/>
      <c r="X91" s="461">
        <f t="shared" ref="X91:Z93" si="58">+X87</f>
        <v>0</v>
      </c>
      <c r="Y91" s="27">
        <f t="shared" si="58"/>
        <v>13882.737253493333</v>
      </c>
      <c r="Z91" s="27">
        <f t="shared" si="58"/>
        <v>166993.30392325827</v>
      </c>
      <c r="AA91" s="650">
        <f>(-O91-R91)/(1+0.12)+PV(12%,20,P91)+PV(12%,20,T91)-(O91*0.5)/(1+0.12)^10-S91/(1+0.12)^10</f>
        <v>-7935903.9484601691</v>
      </c>
      <c r="AB91" s="651">
        <f>M91+AA91</f>
        <v>-16607516.092853261</v>
      </c>
      <c r="AG91" s="448">
        <f>VLOOKUP($D91,Valoración_Eq_REG!$D$4:$I$157,Valoración_Eq_REG!$E$2,FALSE)*$E$4</f>
        <v>0</v>
      </c>
      <c r="AH91" s="448">
        <f>VLOOKUP($D91,Valoración_Eq_REG!$D$4:$I$157,Valoración_Eq_REG!$F$2,FALSE)*$E$4</f>
        <v>0</v>
      </c>
      <c r="AJ91" s="484">
        <f>+'[42]Evaluacion Economica'!$L$25</f>
        <v>2</v>
      </c>
      <c r="AK91" s="448">
        <f>+'[42]Evaluacion Economica'!$R$25</f>
        <v>12</v>
      </c>
      <c r="AL91" s="484">
        <f>+'[42]P_Evaluacion Economica'!$L$27</f>
        <v>2</v>
      </c>
      <c r="AM91" s="448">
        <f>+'[42]P_Evaluacion Economica'!$Q$27</f>
        <v>6</v>
      </c>
      <c r="AN91" s="34" t="str">
        <f>+[42]Datos!$C$2</f>
        <v>Los Cardales</v>
      </c>
      <c r="AO91" s="25" t="str">
        <f>VLOOKUP($E91,Tabla13[],Inputs_costos!$D$1,FALSE)</f>
        <v>LOS CARDALES</v>
      </c>
      <c r="AP91" s="28" t="str">
        <f>VLOOKUP($D91,'Costo Social x localidad'!$B$2:$M$156,1,FALSE)</f>
        <v>LOS CARDALES</v>
      </c>
    </row>
    <row r="92" spans="1:42">
      <c r="A92" s="917"/>
      <c r="B92" s="887"/>
      <c r="C92" s="478" t="str">
        <f>IF(AND(D92=AN92,D92=AO92,D92=AP92),"ok","ATENCIÓN NO ESTÁ TOMANDO BIEN LA LOCALIDAD")</f>
        <v>ok</v>
      </c>
      <c r="D92" s="24" t="s">
        <v>246</v>
      </c>
      <c r="E92" s="115">
        <f>VLOOKUP(D92,Pobl_adoptada!$C$5:$D$158,2,FALSE)</f>
        <v>140</v>
      </c>
      <c r="F92" s="9" t="s">
        <v>308</v>
      </c>
      <c r="G92" s="580">
        <f>+'[43]Inversion rec-TA'!$G$21</f>
        <v>1027229.3888422268</v>
      </c>
      <c r="H92" s="34">
        <f>+($AC88/$AC90)*H94+G92</f>
        <v>1519415.0406739397</v>
      </c>
      <c r="I92" s="465">
        <f>+'[43]Costos Operativos Rec-TA'!$G$23</f>
        <v>445998.77163066046</v>
      </c>
      <c r="J92" s="581">
        <f>+($AC88/$AC90)*J94+I92</f>
        <v>455842.48466729472</v>
      </c>
      <c r="K92" s="10">
        <f>+'[43]Inversion rec-TA'!$G$46</f>
        <v>0</v>
      </c>
      <c r="L92" s="10">
        <f>+'[43]Costos Operativos Rec-TA'!$G$46</f>
        <v>0</v>
      </c>
      <c r="M92" s="19">
        <f t="shared" si="57"/>
        <v>-5250721.2911964506</v>
      </c>
      <c r="N92" s="465">
        <f>+$AD88/$AD90*N95</f>
        <v>859305.93320368975</v>
      </c>
      <c r="O92" s="25">
        <f>IF(N92-AG92&lt;0,0,N92-AG92)</f>
        <v>859305.93320368975</v>
      </c>
      <c r="P92" s="25">
        <f>+$AD88/$AD90*P95</f>
        <v>369737.8956845022</v>
      </c>
      <c r="Q92" s="465">
        <f>+$AC88/$AC90*Q95</f>
        <v>5325308.4066416798</v>
      </c>
      <c r="R92" s="647">
        <f>IF(Q92-AH92&lt;0,0,Q92-AH92)</f>
        <v>5325308.4066416798</v>
      </c>
      <c r="S92" s="647">
        <f>+S88</f>
        <v>815000</v>
      </c>
      <c r="T92" s="25">
        <f>+$AC88/$AC90*T95</f>
        <v>703999.96480995743</v>
      </c>
      <c r="U92" s="458"/>
      <c r="V92" s="461">
        <f>+V88</f>
        <v>0</v>
      </c>
      <c r="W92" s="28"/>
      <c r="X92" s="461">
        <f t="shared" si="58"/>
        <v>0</v>
      </c>
      <c r="Y92" s="28">
        <f t="shared" si="58"/>
        <v>22118.254435199997</v>
      </c>
      <c r="Z92" s="28">
        <f t="shared" si="58"/>
        <v>242847.87929827586</v>
      </c>
      <c r="AA92" s="650">
        <f>(-O92-R92)/(1+0.12)+PV(12%,20,P92)+PV(12%,20,T92)-(O92*0.5)/(1+0.12)^10-S92/(1+0.12)^10</f>
        <v>-13942946.449506156</v>
      </c>
      <c r="AB92" s="651">
        <f>M92+AA92</f>
        <v>-19193667.740702607</v>
      </c>
      <c r="AC92" s="39"/>
      <c r="AD92" s="10"/>
      <c r="AE92" s="10"/>
      <c r="AF92" s="10"/>
      <c r="AG92" s="448">
        <f>VLOOKUP($D92,Valoración_Eq_REG!$D$4:$I$157,Valoración_Eq_REG!$E$2,FALSE)*$E$4</f>
        <v>0</v>
      </c>
      <c r="AH92" s="448">
        <f>VLOOKUP($D92,Valoración_Eq_REG!$D$4:$I$157,Valoración_Eq_REG!$F$2,FALSE)*$E$4</f>
        <v>0</v>
      </c>
      <c r="AI92" s="11"/>
      <c r="AJ92" s="484">
        <f>+'[43]Evaluacion Economica'!$L$25</f>
        <v>1</v>
      </c>
      <c r="AK92" s="448">
        <f>+'[43]Evaluacion Economica'!$R$25</f>
        <v>24</v>
      </c>
      <c r="AL92" s="484">
        <f>+'[43]P_Evaluacion Economica'!$L$27</f>
        <v>1</v>
      </c>
      <c r="AM92" s="448">
        <f>+'[43]P_Evaluacion Economica'!$Q$27</f>
        <v>12</v>
      </c>
      <c r="AN92" s="34" t="str">
        <f>+[43]Datos!$C$2</f>
        <v>Parada Robles - Pavón</v>
      </c>
      <c r="AO92" s="25" t="str">
        <f>VLOOKUP($E92,Tabla13[],Inputs_costos!$D$1,FALSE)</f>
        <v>PARADA ROBLES - PAVÓN</v>
      </c>
      <c r="AP92" s="28" t="str">
        <f>VLOOKUP($D92,'Costo Social x localidad'!$B$2:$M$156,1,FALSE)</f>
        <v>PARADA ROBLES - PAVÓN</v>
      </c>
    </row>
    <row r="93" spans="1:42" ht="15.75" thickBot="1">
      <c r="A93" s="917"/>
      <c r="B93" s="887"/>
      <c r="C93" s="478" t="str">
        <f>IF(AND(D93=AN93,D93=AO93,D93=AP93),"ok","ATENCIÓN NO ESTÁ TOMANDO BIEN LA LOCALIDAD")</f>
        <v>ok</v>
      </c>
      <c r="D93" s="36" t="s">
        <v>149</v>
      </c>
      <c r="E93" s="115">
        <f>VLOOKUP(D93,Pobl_adoptada!$C$5:$D$158,2,FALSE)</f>
        <v>60</v>
      </c>
      <c r="F93" s="9" t="s">
        <v>308</v>
      </c>
      <c r="G93" s="580">
        <f>+'[44]Inversion rec-TA'!$G$21</f>
        <v>1663128.4591398838</v>
      </c>
      <c r="H93" s="34">
        <f>+($AC89/$AC90)*H94+G93</f>
        <v>1927716.0987341052</v>
      </c>
      <c r="I93" s="465">
        <f>+'[44]Costos Operativos Rec-TA'!$G$23</f>
        <v>829067.02847997798</v>
      </c>
      <c r="J93" s="581">
        <f>+($AC89/$AC90)*J94+I93</f>
        <v>834358.78127186245</v>
      </c>
      <c r="K93" s="10">
        <f>+'[44]Inversion rec-TA'!$G$46</f>
        <v>0</v>
      </c>
      <c r="L93" s="10">
        <f>+'[44]Costos Operativos Rec-TA'!$G$46</f>
        <v>0</v>
      </c>
      <c r="M93" s="19">
        <f t="shared" si="57"/>
        <v>-8574043.9588657171</v>
      </c>
      <c r="N93" s="465">
        <f>+$AD89/$AD90*N95</f>
        <v>452597.94401265954</v>
      </c>
      <c r="O93" s="25">
        <f>IF(N93-AG93&lt;0,0,N93-AG93)</f>
        <v>0</v>
      </c>
      <c r="P93" s="25">
        <f>+$AD89/$AD90*P95</f>
        <v>194741.59893960142</v>
      </c>
      <c r="Q93" s="465">
        <f>+$AC89/$AC90*Q95</f>
        <v>2862762.8135457165</v>
      </c>
      <c r="R93" s="647">
        <f>IF(Q93-AH93&lt;0,0,Q93-AH93)</f>
        <v>2819937.3135457165</v>
      </c>
      <c r="S93" s="647">
        <f>+S89</f>
        <v>0</v>
      </c>
      <c r="T93" s="25">
        <f>+$AC89/$AC90*T95</f>
        <v>378454.12248459976</v>
      </c>
      <c r="U93" s="29"/>
      <c r="V93" s="461">
        <f>+V89</f>
        <v>0</v>
      </c>
      <c r="W93" s="25"/>
      <c r="X93" s="461">
        <f t="shared" si="58"/>
        <v>0</v>
      </c>
      <c r="Y93" s="28">
        <f t="shared" si="58"/>
        <v>12968.687259599999</v>
      </c>
      <c r="Z93" s="28">
        <f t="shared" si="58"/>
        <v>162973.63628677526</v>
      </c>
      <c r="AA93" s="650">
        <f>(-O93-R93)/(1+0.12)+PV(12%,20,P93)+PV(12%,20,T93)-(O93*0.5)/(1+0.12)^10-S93/(1+0.12)^10</f>
        <v>-6799254.299692532</v>
      </c>
      <c r="AB93" s="651">
        <f>M93+AA93</f>
        <v>-15373298.258558249</v>
      </c>
      <c r="AC93" s="10"/>
      <c r="AD93" s="10"/>
      <c r="AE93" s="10"/>
      <c r="AF93" s="10"/>
      <c r="AG93" s="448">
        <f>VLOOKUP($D93,Valoración_Eq_REG!$D$4:$I$157,Valoración_Eq_REG!$E$2,FALSE)*$E$4</f>
        <v>1384766.8091559999</v>
      </c>
      <c r="AH93" s="448">
        <f>VLOOKUP($D93,Valoración_Eq_REG!$D$4:$I$157,Valoración_Eq_REG!$F$2,FALSE)*$E$4</f>
        <v>42825.5</v>
      </c>
      <c r="AI93" s="2"/>
      <c r="AJ93" s="484">
        <f>+'[44]Evaluacion Economica'!$L$25</f>
        <v>2</v>
      </c>
      <c r="AK93" s="448">
        <f>+'[44]Evaluacion Economica'!$R$25</f>
        <v>9</v>
      </c>
      <c r="AL93" s="484">
        <f>+'[44]P_Evaluacion Economica'!$L$27</f>
        <v>2</v>
      </c>
      <c r="AM93" s="448">
        <f>+'[44]P_Evaluacion Economica'!$Q$27</f>
        <v>6</v>
      </c>
      <c r="AN93" s="34" t="str">
        <f>+[44]Datos!$C$2</f>
        <v>Capilla del Señor</v>
      </c>
      <c r="AO93" s="25" t="str">
        <f>VLOOKUP($E93,Tabla13[],Inputs_costos!$D$1,FALSE)</f>
        <v>CAPILLA DEL SEÑOR</v>
      </c>
      <c r="AP93" s="28" t="str">
        <f>VLOOKUP($D93,'Costo Social x localidad'!$B$2:$M$156,1,FALSE)</f>
        <v>CAPILLA DEL SEÑOR</v>
      </c>
    </row>
    <row r="94" spans="1:42" ht="30.75" thickBot="1">
      <c r="A94" s="917"/>
      <c r="B94" s="887"/>
      <c r="C94" s="912" t="s">
        <v>12</v>
      </c>
      <c r="D94" s="913"/>
      <c r="E94" s="498" t="s">
        <v>589</v>
      </c>
      <c r="F94" s="571">
        <f>+F81</f>
        <v>0.02</v>
      </c>
      <c r="G94" s="582"/>
      <c r="H94" s="461">
        <f>+AJ94*AJ96+AL94*AL96</f>
        <v>1042890.2390168767</v>
      </c>
      <c r="I94" s="461"/>
      <c r="J94" s="583">
        <f>+$F94*H94</f>
        <v>20857.804780337534</v>
      </c>
      <c r="K94" s="10"/>
      <c r="L94" s="10"/>
      <c r="M94" s="19"/>
      <c r="N94" s="465"/>
      <c r="O94" s="10"/>
      <c r="P94" s="10"/>
      <c r="Q94" s="618"/>
      <c r="R94" s="28"/>
      <c r="S94" s="28"/>
      <c r="T94" s="28"/>
      <c r="U94" s="28"/>
      <c r="V94" s="28"/>
      <c r="W94" s="28"/>
      <c r="X94" s="28"/>
      <c r="Y94" s="28"/>
      <c r="Z94" s="28"/>
      <c r="AA94" s="658"/>
      <c r="AB94" s="20"/>
      <c r="AC94" s="10"/>
      <c r="AD94" s="10"/>
      <c r="AE94" s="10"/>
      <c r="AF94" s="10"/>
      <c r="AG94" s="4"/>
      <c r="AH94" s="4"/>
      <c r="AI94" s="4"/>
      <c r="AJ94" s="501">
        <f>ROUNDUP(C95*SUM(AJ91:AJ93),0)</f>
        <v>2</v>
      </c>
      <c r="AK94" s="502">
        <f>AVERAGE(AK91:AK93)</f>
        <v>15</v>
      </c>
      <c r="AL94" s="501">
        <f>ROUNDUP(C95*SUM(AL91:AL93),0)</f>
        <v>2</v>
      </c>
      <c r="AM94" s="502">
        <f>AVERAGE(AM91:AM93)</f>
        <v>8</v>
      </c>
      <c r="AN94" s="4"/>
      <c r="AO94" s="4"/>
      <c r="AP94" s="4"/>
    </row>
    <row r="95" spans="1:42" ht="15.75" thickBot="1">
      <c r="A95" s="918"/>
      <c r="B95" s="888"/>
      <c r="C95" s="570">
        <v>0.3</v>
      </c>
      <c r="D95" s="500" t="str">
        <f>A87</f>
        <v>REGIÓN CAPILLA DEL SEÑOR</v>
      </c>
      <c r="E95" s="468"/>
      <c r="F95" s="469"/>
      <c r="G95" s="584"/>
      <c r="H95" s="585">
        <f>SUM(H91:H93)</f>
        <v>5435021.3178081047</v>
      </c>
      <c r="I95" s="585"/>
      <c r="J95" s="586">
        <f>SUM(J91:J93)</f>
        <v>2127835.6439923071</v>
      </c>
      <c r="K95" s="14"/>
      <c r="L95" s="14"/>
      <c r="M95" s="15">
        <f>SUM(M91:M94)</f>
        <v>-22496377.394455262</v>
      </c>
      <c r="N95" s="615">
        <f>(VLOOKUP($E91,Tabla13[],Inputs_costos!$P$1,FALSE))*(O$3*$E$3+O$4*$E$4)</f>
        <v>1807485.4963200002</v>
      </c>
      <c r="O95" s="35">
        <f>SUM(O91:O93)</f>
        <v>1354887.5523073408</v>
      </c>
      <c r="P95" s="35">
        <f>(VLOOKUP($E91,Tabla13[],Inputs_costos!$Q$1,FALSE))*(P$3*$E$3+P$4*$E$4)</f>
        <v>777715.89612799999</v>
      </c>
      <c r="Q95" s="615">
        <f>IF($AC90&gt;=15,(VLOOKUP($E91,Tabla13[],Inputs_costos!$N$1,FALSE))*($R$3*$E$3+$R$4*$E$4),(VLOOKUP($E91,Tabla13[],Inputs_costos!$N$1,FALSE))*($T$3*$E$3+$T$4*$E$4))</f>
        <v>11283775.007200001</v>
      </c>
      <c r="R95" s="35">
        <f>SUM(R91:R93)</f>
        <v>11240949.507200001</v>
      </c>
      <c r="S95" s="35"/>
      <c r="T95" s="35">
        <f>IF($AC90&gt;=15,(VLOOKUP($E91,Tabla13[],Inputs_costos!$O$1,FALSE))*($R$3*$E$3+$R$4*$E$4),(VLOOKUP($E91,Tabla13[],Inputs_costos!$O$1,FALSE))*($T$3*$E$3+$T$4*$E$4))</f>
        <v>1491702.75248</v>
      </c>
      <c r="U95" s="35"/>
      <c r="V95" s="31">
        <f>SUM(V91:V93)</f>
        <v>0</v>
      </c>
      <c r="W95" s="31"/>
      <c r="X95" s="31">
        <f>SUM(X91:X93)</f>
        <v>0</v>
      </c>
      <c r="Y95" s="31">
        <f>SUM(Y91:Y93)</f>
        <v>48969.678948293324</v>
      </c>
      <c r="Z95" s="31">
        <f>SUM(Z91:Z93)</f>
        <v>572814.81950830936</v>
      </c>
      <c r="AA95" s="653">
        <f>SUM(AA91:AA93)</f>
        <v>-28678104.697658859</v>
      </c>
      <c r="AB95" s="654">
        <f>+M95+AA95</f>
        <v>-51174482.092114121</v>
      </c>
      <c r="AC95" s="38"/>
      <c r="AD95" s="38"/>
      <c r="AE95" s="38"/>
      <c r="AF95" s="38"/>
      <c r="AG95" s="4"/>
      <c r="AH95" s="4"/>
      <c r="AI95" s="4"/>
      <c r="AJ95" s="11"/>
      <c r="AK95" s="499">
        <f>VLOOKUP(ROUNDUP(AK94,0),DATOS!$F$16:$G$31,2,FALSE)</f>
        <v>15</v>
      </c>
      <c r="AL95" s="497"/>
      <c r="AM95" s="499">
        <f>VLOOKUP(ROUNDUP(AM94,0),DATOS!$J$16:$K$34,2,FALSE)</f>
        <v>9</v>
      </c>
      <c r="AN95" s="4"/>
      <c r="AO95" s="4"/>
      <c r="AP95" s="4"/>
    </row>
    <row r="96" spans="1:42">
      <c r="F96" s="2"/>
      <c r="G96" s="2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0"/>
      <c r="V96" s="2"/>
      <c r="W96" s="2"/>
      <c r="X96" s="2"/>
      <c r="Y96" s="2"/>
      <c r="Z96" s="2"/>
      <c r="AA96" s="4"/>
      <c r="AB96" s="4"/>
      <c r="AC96" s="4"/>
      <c r="AD96" s="4"/>
      <c r="AE96" s="4"/>
      <c r="AF96" s="4"/>
      <c r="AG96" s="644"/>
      <c r="AH96" s="448"/>
      <c r="AI96" s="4"/>
      <c r="AJ96" s="892">
        <f>VLOOKUP(AK95,DATOS!$F$3:$H$11,3,FALSE)</f>
        <v>277598.62978843832</v>
      </c>
      <c r="AK96" s="892"/>
      <c r="AL96" s="892">
        <f>VLOOKUP(AM95,DATOS!$J$3:$L$12,3,FALSE)</f>
        <v>243846.48972000001</v>
      </c>
      <c r="AM96" s="892"/>
      <c r="AN96" s="4"/>
      <c r="AO96" s="4"/>
      <c r="AP96" s="4"/>
    </row>
    <row r="97" spans="1:42" ht="15.75" thickBot="1">
      <c r="A97" s="503"/>
      <c r="B97" s="503"/>
      <c r="C97" s="503"/>
      <c r="D97" s="503"/>
      <c r="E97" s="503"/>
      <c r="F97" s="504"/>
      <c r="G97" s="504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4"/>
      <c r="S97" s="504"/>
      <c r="T97" s="504"/>
      <c r="U97" s="504"/>
      <c r="V97" s="504"/>
      <c r="W97" s="504"/>
      <c r="X97" s="504"/>
      <c r="Y97" s="504"/>
      <c r="Z97" s="504"/>
      <c r="AA97" s="506"/>
      <c r="AB97" s="506"/>
      <c r="AC97" s="506"/>
      <c r="AD97" s="506"/>
      <c r="AE97" s="506"/>
      <c r="AF97" s="506"/>
      <c r="AG97" s="506"/>
      <c r="AH97" s="506"/>
      <c r="AI97" s="506"/>
      <c r="AJ97" s="506"/>
      <c r="AK97" s="506"/>
      <c r="AL97" s="506"/>
      <c r="AM97" s="506"/>
      <c r="AN97" s="506"/>
      <c r="AO97" s="506"/>
      <c r="AP97" s="506"/>
    </row>
    <row r="98" spans="1:42" ht="39" thickBot="1">
      <c r="A98" s="886" t="s">
        <v>7</v>
      </c>
      <c r="B98" s="886" t="s">
        <v>2</v>
      </c>
      <c r="C98" s="479"/>
      <c r="D98" s="882" t="s">
        <v>22</v>
      </c>
      <c r="E98" s="882" t="s">
        <v>23</v>
      </c>
      <c r="F98" s="882" t="s">
        <v>3</v>
      </c>
      <c r="G98" s="568"/>
      <c r="H98" s="901" t="s">
        <v>0</v>
      </c>
      <c r="I98" s="901"/>
      <c r="J98" s="901"/>
      <c r="K98" s="901" t="s">
        <v>1</v>
      </c>
      <c r="L98" s="901"/>
      <c r="M98" s="886" t="s">
        <v>10</v>
      </c>
      <c r="N98" s="879" t="s">
        <v>5</v>
      </c>
      <c r="O98" s="880"/>
      <c r="P98" s="881"/>
      <c r="Q98" s="902" t="s">
        <v>4</v>
      </c>
      <c r="R98" s="903"/>
      <c r="S98" s="903"/>
      <c r="T98" s="904"/>
      <c r="U98" s="902" t="s">
        <v>6</v>
      </c>
      <c r="V98" s="903"/>
      <c r="W98" s="903"/>
      <c r="X98" s="904"/>
      <c r="Y98" s="390" t="s">
        <v>689</v>
      </c>
      <c r="Z98" s="662" t="s">
        <v>690</v>
      </c>
      <c r="AA98" s="905" t="s">
        <v>686</v>
      </c>
      <c r="AB98" s="886" t="s">
        <v>9</v>
      </c>
      <c r="AC98" s="907" t="s">
        <v>312</v>
      </c>
      <c r="AD98" s="914" t="s">
        <v>649</v>
      </c>
      <c r="AE98" s="897" t="s">
        <v>20</v>
      </c>
      <c r="AF98" s="897" t="s">
        <v>313</v>
      </c>
      <c r="AG98" s="899" t="s">
        <v>552</v>
      </c>
      <c r="AH98" s="895" t="s">
        <v>578</v>
      </c>
      <c r="AI98" s="897" t="s">
        <v>579</v>
      </c>
      <c r="AJ98" s="882" t="s">
        <v>581</v>
      </c>
      <c r="AK98" s="882" t="s">
        <v>582</v>
      </c>
      <c r="AL98" s="882" t="s">
        <v>581</v>
      </c>
      <c r="AM98" s="882" t="s">
        <v>582</v>
      </c>
      <c r="AN98" s="884" t="s">
        <v>553</v>
      </c>
      <c r="AO98" s="885"/>
      <c r="AP98" s="885"/>
    </row>
    <row r="99" spans="1:42" ht="30.75" thickBot="1">
      <c r="A99" s="888"/>
      <c r="B99" s="888"/>
      <c r="C99" s="480"/>
      <c r="D99" s="883"/>
      <c r="E99" s="883"/>
      <c r="F99" s="883"/>
      <c r="G99" s="569"/>
      <c r="H99" s="17" t="s">
        <v>18</v>
      </c>
      <c r="I99" s="17"/>
      <c r="J99" s="17" t="s">
        <v>17</v>
      </c>
      <c r="K99" s="17" t="s">
        <v>18</v>
      </c>
      <c r="L99" s="17" t="s">
        <v>17</v>
      </c>
      <c r="M99" s="888"/>
      <c r="N99" s="464" t="s">
        <v>685</v>
      </c>
      <c r="O99" s="17" t="s">
        <v>18</v>
      </c>
      <c r="P99" s="17" t="s">
        <v>17</v>
      </c>
      <c r="Q99" s="464" t="s">
        <v>685</v>
      </c>
      <c r="R99" s="17" t="s">
        <v>18</v>
      </c>
      <c r="S99" s="17"/>
      <c r="T99" s="17" t="s">
        <v>17</v>
      </c>
      <c r="U99" s="464" t="s">
        <v>576</v>
      </c>
      <c r="V99" s="17" t="s">
        <v>18</v>
      </c>
      <c r="W99" s="464" t="s">
        <v>577</v>
      </c>
      <c r="X99" s="17" t="s">
        <v>17</v>
      </c>
      <c r="Y99" s="17" t="s">
        <v>18</v>
      </c>
      <c r="Z99" s="17" t="s">
        <v>17</v>
      </c>
      <c r="AA99" s="906"/>
      <c r="AB99" s="888"/>
      <c r="AC99" s="908"/>
      <c r="AD99" s="915"/>
      <c r="AE99" s="898"/>
      <c r="AF99" s="898"/>
      <c r="AG99" s="900"/>
      <c r="AH99" s="896"/>
      <c r="AI99" s="898"/>
      <c r="AJ99" s="883"/>
      <c r="AK99" s="883"/>
      <c r="AL99" s="883"/>
      <c r="AM99" s="883"/>
      <c r="AN99" s="1" t="s">
        <v>551</v>
      </c>
      <c r="AO99" s="9" t="s">
        <v>554</v>
      </c>
      <c r="AP99" s="1" t="s">
        <v>555</v>
      </c>
    </row>
    <row r="100" spans="1:42">
      <c r="A100" s="916" t="s">
        <v>597</v>
      </c>
      <c r="B100" s="886" t="s">
        <v>309</v>
      </c>
      <c r="C100" s="481" t="str">
        <f>IF(AND(D100=AN100,D100=AO100,D100=AP100),"ok","ATENCIÓN NO ESTÁ TOMANDO BIEN LA LOCALIDAD")</f>
        <v>ok</v>
      </c>
      <c r="D100" s="23" t="s">
        <v>252</v>
      </c>
      <c r="E100" s="114">
        <f>VLOOKUP(D100,Pobl_adoptada!$C$5:$D$158,2,FALSE)</f>
        <v>146</v>
      </c>
      <c r="F100" s="8" t="s">
        <v>308</v>
      </c>
      <c r="G100" s="8"/>
      <c r="H100" s="33">
        <f>'[45]Inversion rec-TA'!$G$21</f>
        <v>2134993.8167098258</v>
      </c>
      <c r="I100" s="33"/>
      <c r="J100" s="33">
        <f>'[45]Costos Operativos Rec-TA'!$G$23</f>
        <v>770869.05091874569</v>
      </c>
      <c r="K100" s="32">
        <f>'[45]Inversion rec-TA'!$G$46</f>
        <v>0</v>
      </c>
      <c r="L100" s="32">
        <f>+'[45]Costos Operativos Rec-TA'!$G$46</f>
        <v>0</v>
      </c>
      <c r="M100" s="19">
        <f t="shared" ref="M100:M104" si="59">-H100/(1+0.12)+PV(12%,20,J100)-H100/(1+0.12)^10</f>
        <v>-8351618.2660488784</v>
      </c>
      <c r="N100" s="19"/>
      <c r="O100" s="25">
        <f>IF(((VLOOKUP($E100,Tabla13[],Inputs_costos!$I$1,FALSE))*(O$3*$E$3+O$4*$E$4)-AG100)&lt;0,0,VLOOKUP($E100,Tabla13[],Inputs_costos!$I$1,FALSE)*(O$3*$E$3+O$4*$E$4)-AG100)</f>
        <v>359159.83353599999</v>
      </c>
      <c r="P100" s="25">
        <f>(VLOOKUP($E100,Tabla13[],Inputs_costos!$J$1,FALSE))*(P$3*$E$3+P$4*$E$4)</f>
        <v>26127.3549570752</v>
      </c>
      <c r="Q100" s="25"/>
      <c r="R100" s="25">
        <f>IF($AC100&gt;=15,(VLOOKUP($E100,Tabla13[],Inputs_costos!$G$1,FALSE))*($R$3*$E$3+$R$4*$E$4),(VLOOKUP($E100,Tabla13[],Inputs_costos!$G$1,FALSE))*($T$3*$E$3+$T$4*$E$4))-AH100</f>
        <v>498110.46351999999</v>
      </c>
      <c r="S100" s="25">
        <f t="shared" ref="S100:S104" si="60">IF(AC100&lt;15,0,IF(AC100&lt;=350,815000,1345000))</f>
        <v>0</v>
      </c>
      <c r="T100" s="25">
        <f>IF($AC100&gt;=15,(VLOOKUP($E100,Tabla13[],Inputs_costos!$H$1,FALSE))*($R$3*$E$3+$R$4*$E$4),(VLOOKUP($E100,Tabla13[],Inputs_costos!$H$1,FALSE))*($T$3*$E$3+$T$4*$E$4))</f>
        <v>58375.320319999999</v>
      </c>
      <c r="U100" s="465">
        <f>SUMIFS(Tabla24[Costo de Cierre Técnico de BCA (US$)],Tabla24[Localidad],Resumen!$D100)</f>
        <v>0</v>
      </c>
      <c r="V100" s="461">
        <f>+U100*(V$3*$E$3+V$4*$E$4)</f>
        <v>0</v>
      </c>
      <c r="W100" s="465">
        <f>SUMIFS(Tabla24[Costo anual de Manteniemiento Post-cierre (US$)],Tabla24[Localidad],Resumen!$D100)</f>
        <v>0</v>
      </c>
      <c r="X100" s="461">
        <f>+W100*(X$3*$E$3+X$4*$E$4)</f>
        <v>0</v>
      </c>
      <c r="Y100" s="27">
        <f>VLOOKUP($D100,'Costo Social x localidad'!$B$2:$M$156,12,FALSE)*(Y$3*$E$3+Y$4*$E$4)</f>
        <v>4131.1781011199992</v>
      </c>
      <c r="Z100" s="28">
        <f>VLOOKUP(D100,'Estimación  PRESUPUESTO PCAS'!$B$4:$G$158,'Estimación  PRESUPUESTO PCAS'!$G$2,FALSE)</f>
        <v>162595.04113765823</v>
      </c>
      <c r="AA100" s="650">
        <f>(-O100-R100)/(1+0.12)+PV(12%,20,P100)+PV(12%,20,T100)-(O100*0.5)/(1+0.12)^10-S100/(1+0.12)^10</f>
        <v>-1454427.8042011694</v>
      </c>
      <c r="AB100" s="651">
        <f>M100+AA100</f>
        <v>-9806046.0702500474</v>
      </c>
      <c r="AC100" s="10">
        <f>VLOOKUP($E100,Resumen_Generación!$B$5:$F$158,Resumen_Generación!$D$3,FALSE)</f>
        <v>3.5523904799999997</v>
      </c>
      <c r="AD100" s="10">
        <f>VLOOKUP($E100,Resumen_Generación!$B$5:$G$158,Resumen_Generación!$G$3,FALSE)</f>
        <v>1.4428544000000001</v>
      </c>
      <c r="AE100" s="362">
        <f>VLOOKUP($E100,Resumen_Generación!$B$5:$F$158,Resumen_Generación!$E$3,FALSE)</f>
        <v>5116</v>
      </c>
      <c r="AF100" s="10">
        <f>VLOOKUP($E100,Resumen_Generación!$B$5:$F$158,Resumen_Generación!$F$3,FALSE)</f>
        <v>1.6428439999999997</v>
      </c>
      <c r="AG100" s="448">
        <f>VLOOKUP($D100,Valoración_Equip_actual!$D$4:$I$157,Valoración_Equip_actual!$E$2,FALSE)*$E$4</f>
        <v>0</v>
      </c>
      <c r="AH100" s="448">
        <f>VLOOKUP($D100,Valoración_Equip_actual!$D$4:$I$157,Valoración_Equip_actual!$F$2,FALSE)*$E$4</f>
        <v>0</v>
      </c>
      <c r="AI100" s="513">
        <f>[45]P_Datos!$D$43</f>
        <v>0.13914754098360654</v>
      </c>
      <c r="AJ100" s="514"/>
      <c r="AK100" s="514"/>
      <c r="AL100" s="514"/>
      <c r="AM100" s="514"/>
      <c r="AN100" s="449" t="str">
        <f>[45]Datos!$C$2</f>
        <v>Casbas</v>
      </c>
      <c r="AO100" s="450" t="str">
        <f>VLOOKUP($E100,Tabla13[],Inputs_costos!$D$1,FALSE)</f>
        <v>CASBAS</v>
      </c>
      <c r="AP100" s="451" t="str">
        <f>VLOOKUP($D100,'Costo Social x localidad'!$B$2:$M$156,1,FALSE)</f>
        <v>Casbas</v>
      </c>
    </row>
    <row r="101" spans="1:42">
      <c r="A101" s="917"/>
      <c r="B101" s="887"/>
      <c r="C101" s="478" t="str">
        <f>IF(AND(D101=AN101,D101=AO101,D101=AP101),"ok","ATENCIÓN NO ESTÁ TOMANDO BIEN LA LOCALIDAD")</f>
        <v>ok</v>
      </c>
      <c r="D101" s="24" t="s">
        <v>243</v>
      </c>
      <c r="E101" s="115">
        <f>VLOOKUP(D101,Pobl_adoptada!$C$5:$D$158,2,FALSE)</f>
        <v>137</v>
      </c>
      <c r="F101" s="9" t="s">
        <v>308</v>
      </c>
      <c r="G101" s="9"/>
      <c r="H101" s="34">
        <f>'[46]Inversion rec-TA'!$G$21</f>
        <v>911843.59651839989</v>
      </c>
      <c r="I101" s="34"/>
      <c r="J101" s="34">
        <f>'[46]Costos Operativos Rec-TA'!$G$23</f>
        <v>461016.70672928961</v>
      </c>
      <c r="K101" s="25">
        <f>'[46]Inversion rec-TA'!$G$46</f>
        <v>0</v>
      </c>
      <c r="L101" s="25">
        <f>+'[46]Costos Operativos Rec-TA'!$G$46</f>
        <v>0</v>
      </c>
      <c r="M101" s="19">
        <f t="shared" si="59"/>
        <v>-4551273.6031431276</v>
      </c>
      <c r="N101" s="19"/>
      <c r="O101" s="25">
        <f>IF(((VLOOKUP($E101,Tabla13[],Inputs_costos!$I$1,FALSE))*(O$3*$E$3+O$4*$E$4)-AG101)&lt;0,0,VLOOKUP($E101,Tabla13[],Inputs_costos!$I$1,FALSE)*(O$3*$E$3+O$4*$E$4)-AG101)</f>
        <v>359159.83353599999</v>
      </c>
      <c r="P101" s="25">
        <f>(VLOOKUP($E101,Tabla13[],Inputs_costos!$J$1,FALSE))*(P$3*$E$3+P$4*$E$4)</f>
        <v>26127.3549570752</v>
      </c>
      <c r="Q101" s="25"/>
      <c r="R101" s="25">
        <f>IF($AC101&gt;=15,(VLOOKUP($E101,Tabla13[],Inputs_costos!$G$1,FALSE))*($R$3*$E$3+$R$4*$E$4),(VLOOKUP($E101,Tabla13[],Inputs_costos!$G$1,FALSE))*($T$3*$E$3+$T$4*$E$4))-AH101</f>
        <v>443191.57663999998</v>
      </c>
      <c r="S101" s="25">
        <f t="shared" si="60"/>
        <v>0</v>
      </c>
      <c r="T101" s="25">
        <f>IF($AC101&gt;=15,(VLOOKUP($E101,Tabla13[],Inputs_costos!$H$1,FALSE))*($R$3*$E$3+$R$4*$E$4),(VLOOKUP($E101,Tabla13[],Inputs_costos!$H$1,FALSE))*($T$3*$E$3+$T$4*$E$4))</f>
        <v>48985.342808000001</v>
      </c>
      <c r="U101" s="465">
        <f>SUMIFS(Tabla24[Costo de Cierre Técnico de BCA (US$)],Tabla24[Localidad],Resumen!$D101)</f>
        <v>0</v>
      </c>
      <c r="V101" s="461">
        <f>+U101*(V$3*$E$3+V$4*$E$4)</f>
        <v>0</v>
      </c>
      <c r="W101" s="465">
        <f>SUMIFS(Tabla24[Costo anual de Manteniemiento Post-cierre (US$)],Tabla24[Localidad],Resumen!$D101)</f>
        <v>0</v>
      </c>
      <c r="X101" s="461">
        <f>+W101*(X$3*$E$3+X$4*$E$4)</f>
        <v>0</v>
      </c>
      <c r="Y101" s="28">
        <f>VLOOKUP($D101,'Costo Social x localidad'!$B$2:$M$156,12,FALSE)*(Y$3*$E$3+Y$4*$E$4)</f>
        <v>4770.0918655999985</v>
      </c>
      <c r="Z101" s="28">
        <f>VLOOKUP(D101,'Estimación  PRESUPUESTO PCAS'!$B$4:$G$158,'Estimación  PRESUPUESTO PCAS'!$G$2,FALSE)</f>
        <v>149814.350066944</v>
      </c>
      <c r="AA101" s="650">
        <f>(-O101-R101)/(1+0.12)+PV(12%,20,P101)+PV(12%,20,T101)-(O101*0.5)/(1+0.12)^10-S101/(1+0.12)^10</f>
        <v>-1335255.1761130102</v>
      </c>
      <c r="AB101" s="651">
        <f>M101+AA101</f>
        <v>-5886528.779256138</v>
      </c>
      <c r="AC101" s="10">
        <f>VLOOKUP($E101,Resumen_Generación!$B$5:$F$158,Resumen_Generación!$D$3,FALSE)</f>
        <v>2.3732058719999998</v>
      </c>
      <c r="AD101" s="10">
        <f>VLOOKUP($E101,Resumen_Generación!$B$5:$G$158,Resumen_Generación!$G$3,FALSE)</f>
        <v>0.95970765999999996</v>
      </c>
      <c r="AE101" s="362">
        <f>VLOOKUP($E101,Resumen_Generación!$B$5:$F$158,Resumen_Generación!$E$3,FALSE)</f>
        <v>3414</v>
      </c>
      <c r="AF101" s="10">
        <f>VLOOKUP($E101,Resumen_Generación!$B$5:$F$158,Resumen_Generación!$F$3,FALSE)</f>
        <v>1.0976980000000001</v>
      </c>
      <c r="AG101" s="448">
        <f>VLOOKUP($D101,Valoración_Equip_actual!$D$4:$I$157,Valoración_Equip_actual!$E$2,FALSE)*$E$4</f>
        <v>0</v>
      </c>
      <c r="AH101" s="448">
        <f>VLOOKUP($D101,Valoración_Equip_actual!$D$4:$I$157,Valoración_Equip_actual!$F$2,FALSE)*$E$4</f>
        <v>0</v>
      </c>
      <c r="AI101" s="513">
        <f>[46]P_Datos!$D$43</f>
        <v>0.10144262295081968</v>
      </c>
      <c r="AJ101" s="514"/>
      <c r="AK101" s="514"/>
      <c r="AL101" s="514"/>
      <c r="AM101" s="514"/>
      <c r="AN101" s="34" t="str">
        <f>[46]Datos!$C$2</f>
        <v>Rivera</v>
      </c>
      <c r="AO101" s="25" t="str">
        <f>VLOOKUP($E101,Tabla13[],Inputs_costos!$D$1,FALSE)</f>
        <v>RIVERA</v>
      </c>
      <c r="AP101" s="28" t="str">
        <f>VLOOKUP($D101,'Costo Social x localidad'!$B$2:$M$156,1,FALSE)</f>
        <v>RIVERA</v>
      </c>
    </row>
    <row r="102" spans="1:42">
      <c r="A102" s="917"/>
      <c r="B102" s="887"/>
      <c r="C102" s="478" t="str">
        <f>IF(AND(D102=AN102,D102=AO102,D102=AP102),"ok","ATENCIÓN NO ESTÁ TOMANDO BIEN LA LOCALIDAD")</f>
        <v>ok</v>
      </c>
      <c r="D102" s="24" t="s">
        <v>222</v>
      </c>
      <c r="E102" s="115">
        <f>VLOOKUP(D102,Pobl_adoptada!$C$5:$D$158,2,FALSE)</f>
        <v>117</v>
      </c>
      <c r="F102" s="9" t="s">
        <v>308</v>
      </c>
      <c r="G102" s="9"/>
      <c r="H102" s="34">
        <f>'[47]Inversion rec-TA'!$G$21</f>
        <v>2212934.0167098255</v>
      </c>
      <c r="I102" s="34"/>
      <c r="J102" s="34">
        <f>'[47]Costos Operativos Rec-TA'!$G$23</f>
        <v>875325.33127748361</v>
      </c>
      <c r="K102" s="25">
        <f>'[47]Inversion rec-TA'!$G$46</f>
        <v>0</v>
      </c>
      <c r="L102" s="25">
        <f>+'[47]Costos Operativos Rec-TA'!$G$46</f>
        <v>0</v>
      </c>
      <c r="M102" s="19">
        <f t="shared" si="59"/>
        <v>-9226532.6861356702</v>
      </c>
      <c r="N102" s="19"/>
      <c r="O102" s="25">
        <f>IF(((VLOOKUP($E102,Tabla13[],Inputs_costos!$I$1,FALSE))*(O$3*$E$3+O$4*$E$4)-AG102)&lt;0,0,VLOOKUP($E102,Tabla13[],Inputs_costos!$I$1,FALSE)*(O$3*$E$3+O$4*$E$4)-AG102)</f>
        <v>359159.83353599999</v>
      </c>
      <c r="P102" s="25">
        <f>(VLOOKUP($E102,Tabla13[],Inputs_costos!$J$1,FALSE))*(P$3*$E$3+P$4*$E$4)</f>
        <v>26127.3549570752</v>
      </c>
      <c r="Q102" s="25"/>
      <c r="R102" s="25">
        <f>IF($AC102&gt;=15,(VLOOKUP($E102,Tabla13[],Inputs_costos!$G$1,FALSE))*($R$3*$E$3+$R$4*$E$4),(VLOOKUP($E102,Tabla13[],Inputs_costos!$G$1,FALSE))*($T$3*$E$3+$T$4*$E$4))-AH102</f>
        <v>608140.26136</v>
      </c>
      <c r="S102" s="25">
        <f t="shared" si="60"/>
        <v>0</v>
      </c>
      <c r="T102" s="25">
        <f>IF($AC102&gt;=15,(VLOOKUP($E102,Tabla13[],Inputs_costos!$H$1,FALSE))*($R$3*$E$3+$R$4*$E$4),(VLOOKUP($E102,Tabla13[],Inputs_costos!$H$1,FALSE))*($T$3*$E$3+$T$4*$E$4))</f>
        <v>80861.340087999997</v>
      </c>
      <c r="U102" s="465">
        <f>SUMIFS(Tabla24[Costo de Cierre Técnico de BCA (US$)],Tabla24[Localidad],Resumen!$D102)</f>
        <v>2756000</v>
      </c>
      <c r="V102" s="461">
        <f t="shared" ref="V102:V104" si="61">+U102*(V$3*$E$3+V$4*$E$4)</f>
        <v>5292739.2544</v>
      </c>
      <c r="W102" s="465">
        <f>SUMIFS(Tabla24[Costo anual de Manteniemiento Post-cierre (US$)],Tabla24[Localidad],Resumen!$D102)</f>
        <v>244693.69691712744</v>
      </c>
      <c r="X102" s="461">
        <f t="shared" ref="X102:X104" si="62">+W102*(X$3*$E$3+X$4*$E$4)</f>
        <v>469920.15057240083</v>
      </c>
      <c r="Y102" s="28">
        <f>VLOOKUP($D102,'Costo Social x localidad'!$B$2:$M$156,12,FALSE)*(Y$3*$E$3+Y$4*$E$4)</f>
        <v>10816.487964399999</v>
      </c>
      <c r="Z102" s="28">
        <f>VLOOKUP(D102,'Estimación  PRESUPUESTO PCAS'!$B$4:$G$158,'Estimación  PRESUPUESTO PCAS'!$G$2,FALSE)</f>
        <v>217402.13366005826</v>
      </c>
      <c r="AA102" s="650">
        <f>(-O102-R102)/(1+0.12)+PV(12%,20,P102)+PV(12%,20,T102)-(O102*0.5)/(1+0.12)^10-S102/(1+0.12)^10</f>
        <v>-1720626.752122333</v>
      </c>
      <c r="AB102" s="651">
        <f>M102+AA102</f>
        <v>-10947159.438258003</v>
      </c>
      <c r="AC102" s="10">
        <f>VLOOKUP($E102,Resumen_Generación!$B$5:$F$158,Resumen_Generación!$D$3,FALSE)</f>
        <v>5.9158414080000004</v>
      </c>
      <c r="AD102" s="10">
        <f>VLOOKUP($E102,Resumen_Generación!$B$5:$G$158,Resumen_Generación!$G$3,FALSE)</f>
        <v>2.3967007400000004</v>
      </c>
      <c r="AE102" s="362">
        <f>VLOOKUP($E102,Resumen_Generación!$B$5:$F$158,Resumen_Generación!$E$3,FALSE)</f>
        <v>8514</v>
      </c>
      <c r="AF102" s="10">
        <f>VLOOKUP($E102,Resumen_Generación!$B$5:$F$158,Resumen_Generación!$F$3,FALSE)</f>
        <v>2.7363560000000002</v>
      </c>
      <c r="AG102" s="448">
        <f>VLOOKUP($D102,Valoración_Equip_actual!$D$4:$I$157,Valoración_Equip_actual!$E$2,FALSE)*$E$4</f>
        <v>0</v>
      </c>
      <c r="AH102" s="448">
        <f>VLOOKUP($D102,Valoración_Equip_actual!$D$4:$I$157,Valoración_Equip_actual!$F$2,FALSE)*$E$4</f>
        <v>0</v>
      </c>
      <c r="AI102" s="448">
        <f>[47]P_Datos!$D$43</f>
        <v>0.24295081967213117</v>
      </c>
      <c r="AN102" s="34" t="str">
        <f>[47]Datos!$C$2</f>
        <v>Salliqueló</v>
      </c>
      <c r="AO102" s="25" t="str">
        <f>VLOOKUP($E102,Tabla13[],Inputs_costos!$D$1,FALSE)</f>
        <v>SALLIQUELÓ</v>
      </c>
      <c r="AP102" s="28" t="str">
        <f>VLOOKUP($D102,'Costo Social x localidad'!$B$2:$M$156,1,FALSE)</f>
        <v>SALLIQUELÓ</v>
      </c>
    </row>
    <row r="103" spans="1:42">
      <c r="A103" s="917"/>
      <c r="B103" s="887"/>
      <c r="C103" s="478" t="str">
        <f>IF(AND(D103=AN103,D103=AO103,D103=AP103),"ok","ATENCIÓN NO ESTÁ TOMANDO BIEN LA LOCALIDAD")</f>
        <v>ok</v>
      </c>
      <c r="D103" s="24" t="s">
        <v>172</v>
      </c>
      <c r="E103" s="115">
        <f>VLOOKUP(D103,Pobl_adoptada!$C$5:$D$158,2,FALSE)</f>
        <v>77</v>
      </c>
      <c r="F103" s="9" t="s">
        <v>308</v>
      </c>
      <c r="G103" s="9"/>
      <c r="H103" s="34">
        <f>'[48]Inversion rec-TA'!$G$21</f>
        <v>933666.85251839994</v>
      </c>
      <c r="I103" s="34"/>
      <c r="J103" s="34">
        <f>'[48]Costos Operativos Rec-TA'!$G$23</f>
        <v>477973.46073575999</v>
      </c>
      <c r="K103" s="25">
        <f>'[48]Inversion rec-TA'!$G$46</f>
        <v>0</v>
      </c>
      <c r="L103" s="25">
        <f>+'[48]Costos Operativos Rec-TA'!$G$46</f>
        <v>0</v>
      </c>
      <c r="M103" s="19">
        <f t="shared" si="59"/>
        <v>-4704442.6756133158</v>
      </c>
      <c r="N103" s="19"/>
      <c r="O103" s="25">
        <f>IF(((VLOOKUP($E103,Tabla13[],Inputs_costos!$I$1,FALSE))*(O$3*$E$3+O$4*$E$4)-AG103)&lt;0,0,VLOOKUP($E103,Tabla13[],Inputs_costos!$I$1,FALSE)*(O$3*$E$3+O$4*$E$4)-AG103)</f>
        <v>359159.83353599999</v>
      </c>
      <c r="P103" s="25">
        <f>(VLOOKUP($E103,Tabla13[],Inputs_costos!$J$1,FALSE))*(P$3*$E$3+P$4*$E$4)</f>
        <v>26127.3549570752</v>
      </c>
      <c r="Q103" s="25"/>
      <c r="R103" s="25">
        <f>IF($AC103&gt;=15,(VLOOKUP($E103,Tabla13[],Inputs_costos!$G$1,FALSE))*($R$3*$E$3+$R$4*$E$4),(VLOOKUP($E103,Tabla13[],Inputs_costos!$G$1,FALSE))*($T$3*$E$3+$T$4*$E$4))-AH103</f>
        <v>428597.74656</v>
      </c>
      <c r="S103" s="25">
        <f t="shared" si="60"/>
        <v>0</v>
      </c>
      <c r="T103" s="25">
        <f>IF($AC103&gt;=15,(VLOOKUP($E103,Tabla13[],Inputs_costos!$H$1,FALSE))*($R$3*$E$3+$R$4*$E$4),(VLOOKUP($E103,Tabla13[],Inputs_costos!$H$1,FALSE))*($T$3*$E$3+$T$4*$E$4))</f>
        <v>46700.256256000001</v>
      </c>
      <c r="U103" s="465">
        <f>SUMIFS(Tabla24[Costo de Cierre Técnico de BCA (US$)],Tabla24[Localidad],Resumen!$D103)</f>
        <v>530000</v>
      </c>
      <c r="V103" s="461">
        <f t="shared" si="61"/>
        <v>1017834.472</v>
      </c>
      <c r="W103" s="465">
        <f>SUMIFS(Tabla24[Costo anual de Manteniemiento Post-cierre (US$)],Tabla24[Localidad],Resumen!$D103)</f>
        <v>47056.480176370664</v>
      </c>
      <c r="X103" s="461">
        <f t="shared" si="62"/>
        <v>90369.259725461699</v>
      </c>
      <c r="Y103" s="28">
        <f>VLOOKUP($D103,'Costo Social x localidad'!$B$2:$M$156,12,FALSE)*(Y$3*$E$3+Y$4*$E$4)</f>
        <v>10449.8089136</v>
      </c>
      <c r="Z103" s="28">
        <f>VLOOKUP(D103,'Estimación  PRESUPUESTO PCAS'!$B$4:$G$158,'Estimación  PRESUPUESTO PCAS'!$G$2,FALSE)</f>
        <v>160064.98904614401</v>
      </c>
      <c r="AA103" s="650">
        <f>(-O103-R103)/(1+0.12)+PV(12%,20,P103)+PV(12%,20,T103)-(O103*0.5)/(1+0.12)^10-S103/(1+0.12)^10</f>
        <v>-1305156.6455075655</v>
      </c>
      <c r="AB103" s="651">
        <f>M103+AA103</f>
        <v>-6009599.3211208815</v>
      </c>
      <c r="AC103" s="10">
        <f>VLOOKUP($E103,Resumen_Generación!$B$5:$F$158,Resumen_Generación!$D$3,FALSE)</f>
        <v>2.0584551040000005</v>
      </c>
      <c r="AD103" s="10">
        <f>VLOOKUP($E103,Resumen_Generación!$B$5:$G$158,Resumen_Generación!$G$3,FALSE)</f>
        <v>0.83133361999999988</v>
      </c>
      <c r="AE103" s="362">
        <f>VLOOKUP($E103,Resumen_Generación!$B$5:$F$158,Resumen_Generación!$E$3,FALSE)</f>
        <v>2960</v>
      </c>
      <c r="AF103" s="10">
        <f>VLOOKUP($E103,Resumen_Generación!$B$5:$F$158,Resumen_Generación!$F$3,FALSE)</f>
        <v>0.95215399999999994</v>
      </c>
      <c r="AG103" s="448">
        <f>VLOOKUP($D103,Valoración_Equip_actual!$D$4:$I$157,Valoración_Equip_actual!$E$2,FALSE)*$E$4</f>
        <v>0</v>
      </c>
      <c r="AH103" s="448">
        <f>VLOOKUP($D103,Valoración_Equip_actual!$D$4:$I$157,Valoración_Equip_actual!$F$2,FALSE)*$E$4</f>
        <v>0</v>
      </c>
      <c r="AI103" s="448">
        <f>[48]P_Datos!$D$43</f>
        <v>8.4786885245901639E-2</v>
      </c>
      <c r="AN103" s="34" t="str">
        <f>[48]Datos!$C$2</f>
        <v>Guaminí</v>
      </c>
      <c r="AO103" s="25" t="str">
        <f>VLOOKUP($E103,Tabla13[],Inputs_costos!$D$1,FALSE)</f>
        <v>GUAMINÍ</v>
      </c>
      <c r="AP103" s="28" t="str">
        <f>VLOOKUP($D103,'Costo Social x localidad'!$B$2:$M$156,1,FALSE)</f>
        <v>GUAMINÍ</v>
      </c>
    </row>
    <row r="104" spans="1:42" ht="15.75" thickBot="1">
      <c r="A104" s="917"/>
      <c r="B104" s="887"/>
      <c r="C104" s="478" t="str">
        <f>IF(AND(D104=AN104,D104=AO104,D104=AP104),"ok","ATENCIÓN NO ESTÁ TOMANDO BIEN LA LOCALIDAD")</f>
        <v>ok</v>
      </c>
      <c r="D104" s="36" t="s">
        <v>114</v>
      </c>
      <c r="E104" s="482">
        <f>VLOOKUP(D104,Pobl_adoptada!$C$5:$D$158,2,FALSE)</f>
        <v>27</v>
      </c>
      <c r="F104" s="37" t="s">
        <v>308</v>
      </c>
      <c r="G104" s="37"/>
      <c r="H104" s="117">
        <f>'[49]Inversion rec-TA'!$G$21</f>
        <v>2431166.5767098255</v>
      </c>
      <c r="I104" s="117"/>
      <c r="J104" s="117">
        <f>'[49]Costos Operativos Rec-TA'!$G$23</f>
        <v>1093664.9879980669</v>
      </c>
      <c r="K104" s="25">
        <f>'[49]Inversion rec-TA'!$G$46</f>
        <v>0</v>
      </c>
      <c r="L104" s="25">
        <f>+'[49]Costos Operativos Rec-TA'!$G$46</f>
        <v>0</v>
      </c>
      <c r="M104" s="19">
        <f t="shared" si="59"/>
        <v>-11122523.98663778</v>
      </c>
      <c r="N104" s="19"/>
      <c r="O104" s="25">
        <f>IF(((VLOOKUP($E104,Tabla13[],Inputs_costos!$I$1,FALSE))*(O$3*$E$3+O$4*$E$4)-AG104)&lt;0,0,VLOOKUP($E104,Tabla13[],Inputs_costos!$I$1,FALSE)*(O$3*$E$3+O$4*$E$4)-AG104)</f>
        <v>359159.83353599999</v>
      </c>
      <c r="P104" s="25">
        <f>(VLOOKUP($E104,Tabla13[],Inputs_costos!$J$1,FALSE))*(P$3*$E$3+P$4*$E$4)</f>
        <v>26127.3549570752</v>
      </c>
      <c r="Q104" s="25"/>
      <c r="R104" s="25">
        <f>IF($AC104&gt;=15,(VLOOKUP($E104,Tabla13[],Inputs_costos!$G$1,FALSE))*($R$3*$E$3+$R$4*$E$4),(VLOOKUP($E104,Tabla13[],Inputs_costos!$G$1,FALSE))*($T$3*$E$3+$T$4*$E$4))-AH104</f>
        <v>686294.06192000001</v>
      </c>
      <c r="S104" s="25">
        <f t="shared" si="60"/>
        <v>0</v>
      </c>
      <c r="T104" s="25">
        <f>IF($AC104&gt;=15,(VLOOKUP($E104,Tabla13[],Inputs_costos!$H$1,FALSE))*($R$3*$E$3+$R$4*$E$4),(VLOOKUP($E104,Tabla13[],Inputs_costos!$H$1,FALSE))*($T$3*$E$3+$T$4*$E$4))</f>
        <v>99852.521599999993</v>
      </c>
      <c r="U104" s="465">
        <f>SUMIFS(Tabla24[Costo de Cierre Técnico de BCA (US$)],Tabla24[Localidad],Resumen!$D104)</f>
        <v>1751120</v>
      </c>
      <c r="V104" s="461">
        <f t="shared" si="61"/>
        <v>3362925.0954880002</v>
      </c>
      <c r="W104" s="465">
        <f>SUMIFS(Tabla24[Costo anual de Manteniemiento Post-cierre (US$)],Tabla24[Localidad],Resumen!$D104)</f>
        <v>155474.6105027287</v>
      </c>
      <c r="X104" s="461">
        <f t="shared" si="62"/>
        <v>298580.0341329255</v>
      </c>
      <c r="Y104" s="447">
        <f>VLOOKUP($D104,'Costo Social x localidad'!$B$2:$M$156,12,FALSE)*(Y$3*$E$3+Y$4*$E$4)</f>
        <v>14739.699925333331</v>
      </c>
      <c r="Z104" s="28">
        <f>VLOOKUP(D104,'Estimación  PRESUPUESTO PCAS'!$B$4:$G$158,'Estimación  PRESUPUESTO PCAS'!$G$2,FALSE)</f>
        <v>201067.85567653825</v>
      </c>
      <c r="AA104" s="650">
        <f>(-O104-R104)/(1+0.12)+PV(12%,20,P104)+PV(12%,20,T104)-(O104*0.5)/(1+0.12)^10-S104/(1+0.12)^10</f>
        <v>-1932260.4908570177</v>
      </c>
      <c r="AB104" s="651">
        <f>M104+AA104</f>
        <v>-13054784.477494799</v>
      </c>
      <c r="AC104" s="10">
        <f>VLOOKUP($E104,Resumen_Generación!$B$5:$F$158,Resumen_Generación!$D$3,FALSE)</f>
        <v>7.5957518400000001</v>
      </c>
      <c r="AD104" s="10">
        <f>VLOOKUP($E104,Resumen_Generación!$B$5:$G$158,Resumen_Generación!$G$3,FALSE)</f>
        <v>3.0847001999999994</v>
      </c>
      <c r="AE104" s="362">
        <f>VLOOKUP($E104,Resumen_Generación!$B$5:$F$158,Resumen_Generación!$E$3,FALSE)</f>
        <v>10939</v>
      </c>
      <c r="AF104" s="10">
        <f>VLOOKUP($E104,Resumen_Generación!$B$5:$F$158,Resumen_Generación!$F$3,FALSE)</f>
        <v>3.51302</v>
      </c>
      <c r="AG104" s="448">
        <f>VLOOKUP($D104,Valoración_Equip_actual!$D$4:$I$157,Valoración_Equip_actual!$E$2,FALSE)*$E$4</f>
        <v>0</v>
      </c>
      <c r="AH104" s="448">
        <f>VLOOKUP($D104,Valoración_Equip_actual!$D$4:$I$157,Valoración_Equip_actual!$F$2,FALSE)*$E$4</f>
        <v>0</v>
      </c>
      <c r="AI104" s="448">
        <f>[49]P_Datos!$D$43</f>
        <v>0.29927868852459016</v>
      </c>
      <c r="AN104" s="34" t="str">
        <f>[49]Datos!$C$2</f>
        <v>Carhué</v>
      </c>
      <c r="AO104" s="25" t="str">
        <f>VLOOKUP($E104,Tabla13[],Inputs_costos!$D$1,FALSE)</f>
        <v>CARHUÉ</v>
      </c>
      <c r="AP104" s="28" t="str">
        <f>VLOOKUP($D104,'Costo Social x localidad'!$B$2:$M$156,1,FALSE)</f>
        <v>Carhué</v>
      </c>
    </row>
    <row r="105" spans="1:42" ht="15.75" thickBot="1">
      <c r="A105" s="917"/>
      <c r="B105" s="888"/>
      <c r="C105" s="483"/>
      <c r="D105" s="12" t="s">
        <v>8</v>
      </c>
      <c r="E105" s="40"/>
      <c r="F105" s="13"/>
      <c r="G105" s="8"/>
      <c r="H105" s="32">
        <f>SUM(H100:H104)</f>
        <v>8624604.8591662776</v>
      </c>
      <c r="I105" s="32"/>
      <c r="J105" s="32">
        <f>SUM(J100:J104)</f>
        <v>3678849.5376593461</v>
      </c>
      <c r="K105" s="14"/>
      <c r="L105" s="14"/>
      <c r="M105" s="15">
        <f t="shared" ref="M105:T105" si="63">SUM(M100:M104)</f>
        <v>-37956391.217578769</v>
      </c>
      <c r="N105" s="15"/>
      <c r="O105" s="16">
        <f t="shared" si="63"/>
        <v>1795799.16768</v>
      </c>
      <c r="P105" s="16">
        <f t="shared" si="63"/>
        <v>130636.77478537601</v>
      </c>
      <c r="Q105" s="16"/>
      <c r="R105" s="26">
        <f t="shared" si="63"/>
        <v>2664334.1100000003</v>
      </c>
      <c r="S105" s="26"/>
      <c r="T105" s="26">
        <f t="shared" si="63"/>
        <v>334774.78107199998</v>
      </c>
      <c r="U105" s="26"/>
      <c r="V105" s="26">
        <f t="shared" ref="V105" si="64">SUM(V100:V104)</f>
        <v>9673498.8218879998</v>
      </c>
      <c r="W105" s="26"/>
      <c r="X105" s="26">
        <f t="shared" ref="X105:AA105" si="65">SUM(X100:X104)</f>
        <v>858869.44443078805</v>
      </c>
      <c r="Y105" s="26">
        <f t="shared" si="65"/>
        <v>44907.26677005332</v>
      </c>
      <c r="Z105" s="26">
        <f t="shared" si="65"/>
        <v>890944.36958734272</v>
      </c>
      <c r="AA105" s="653">
        <f t="shared" si="65"/>
        <v>-7747726.8688010965</v>
      </c>
      <c r="AB105" s="654">
        <f>+M105+AA105</f>
        <v>-45704118.086379863</v>
      </c>
      <c r="AC105" s="630">
        <f t="shared" ref="AC105:AI105" si="66">SUM(AC100:AC104)</f>
        <v>21.495644704</v>
      </c>
      <c r="AD105" s="630">
        <f t="shared" si="66"/>
        <v>8.7152966200000002</v>
      </c>
      <c r="AE105" s="631">
        <f t="shared" si="66"/>
        <v>30943</v>
      </c>
      <c r="AF105" s="630">
        <f t="shared" si="66"/>
        <v>9.9420719999999996</v>
      </c>
      <c r="AG105" s="630">
        <f t="shared" si="66"/>
        <v>0</v>
      </c>
      <c r="AH105" s="630">
        <f t="shared" si="66"/>
        <v>0</v>
      </c>
      <c r="AI105" s="630">
        <f t="shared" si="66"/>
        <v>0.86760655737704917</v>
      </c>
      <c r="AJ105" s="4"/>
      <c r="AK105" s="4"/>
      <c r="AL105" s="4"/>
      <c r="AM105" s="4"/>
      <c r="AN105" s="4"/>
      <c r="AO105" s="4"/>
      <c r="AP105" s="4"/>
    </row>
    <row r="106" spans="1:42">
      <c r="A106" s="917"/>
      <c r="B106" s="886" t="s">
        <v>310</v>
      </c>
      <c r="C106" s="517" t="str">
        <f>IF(AND(D106=AN106,D106=AO106,D106=AP106),"ok","ATENCIÓN NO ESTÁ TOMANDO BIEN LA LOCALIDAD")</f>
        <v>ok</v>
      </c>
      <c r="D106" s="23" t="s">
        <v>252</v>
      </c>
      <c r="E106" s="114">
        <f>VLOOKUP(D106,Pobl_adoptada!$C$5:$D$158,2,FALSE)</f>
        <v>146</v>
      </c>
      <c r="F106" s="8" t="s">
        <v>308</v>
      </c>
      <c r="G106" s="576">
        <f>+'[50]Inversion rec-TA'!$G$21</f>
        <v>1662477.8024783516</v>
      </c>
      <c r="H106" s="577">
        <f>+($AC100/$AC105)*H111+G106</f>
        <v>1916248.7151379185</v>
      </c>
      <c r="I106" s="587">
        <f>+'[50]Costos Operativos Rec-TA'!$G$23</f>
        <v>802735.0572065725</v>
      </c>
      <c r="J106" s="579">
        <f>+($AC100/$AC105)*J111+I106</f>
        <v>807810.47545976378</v>
      </c>
      <c r="K106" s="10">
        <f>+'[50]Inversion rec-TA'!$G$46</f>
        <v>0</v>
      </c>
      <c r="L106" s="10">
        <f>+'[50]Costos Operativos Rec-TA'!$G$46</f>
        <v>0</v>
      </c>
      <c r="M106" s="19">
        <f t="shared" ref="M106:M110" si="67">-H106/(1+0.12)+PV(12%,20,J106)-H106/(1+0.12)^10</f>
        <v>-8361811.9593154099</v>
      </c>
      <c r="N106" s="614">
        <f>+$AD100/$AD105*N112</f>
        <v>280012.53233161214</v>
      </c>
      <c r="O106" s="25">
        <f>IF(N106-AG106&lt;0,0,N106-AG106)</f>
        <v>280012.53233161214</v>
      </c>
      <c r="P106" s="32">
        <f>+$AD100/$AD105*P112</f>
        <v>4325.4946680377889</v>
      </c>
      <c r="Q106" s="614">
        <f>+$AC100/$AC105*Q112</f>
        <v>1326563.3420098044</v>
      </c>
      <c r="R106" s="647">
        <f>IF(Q106-AH106&lt;0,0,Q106-AH106)</f>
        <v>1326563.3420098044</v>
      </c>
      <c r="S106" s="647">
        <f>+S100</f>
        <v>0</v>
      </c>
      <c r="T106" s="32">
        <f>+$AC100/$AC105*T112</f>
        <v>338058.00094928441</v>
      </c>
      <c r="U106" s="27"/>
      <c r="V106" s="461">
        <f>+V100</f>
        <v>0</v>
      </c>
      <c r="W106" s="27"/>
      <c r="X106" s="461">
        <f t="shared" ref="X106:Z108" si="68">+X100</f>
        <v>0</v>
      </c>
      <c r="Y106" s="27">
        <f t="shared" si="68"/>
        <v>4131.1781011199992</v>
      </c>
      <c r="Z106" s="27">
        <f t="shared" si="68"/>
        <v>162595.04113765823</v>
      </c>
      <c r="AA106" s="650">
        <f>(-O106-R106)/(1+0.12)+PV(12%,20,P106)+PV(12%,20,T106)-(O106*0.5)/(1+0.12)^10-S106/(1+0.12)^10</f>
        <v>-4036935.2340218793</v>
      </c>
      <c r="AB106" s="651">
        <f>M106+AA106</f>
        <v>-12398747.19333729</v>
      </c>
      <c r="AG106" s="448">
        <f>VLOOKUP($D106,Valoración_Eq_REG!$D$4:$I$157,Valoración_Eq_REG!$E$2,FALSE)*$E$4</f>
        <v>0</v>
      </c>
      <c r="AH106" s="448">
        <f>VLOOKUP($D106,Valoración_Eq_REG!$D$4:$I$157,Valoración_Eq_REG!$F$2,FALSE)*$E$4</f>
        <v>0</v>
      </c>
      <c r="AJ106" s="512">
        <f>+'[50]Evaluacion Economica'!$L$25</f>
        <v>2</v>
      </c>
      <c r="AK106" s="513">
        <f>+'[50]Evaluacion Economica'!$R$25</f>
        <v>15</v>
      </c>
      <c r="AL106" s="512">
        <f>+'[50]P_Evaluacion Economica'!$L$27</f>
        <v>2</v>
      </c>
      <c r="AM106" s="513">
        <f>+'[50]P_Evaluacion Economica'!$Q$27</f>
        <v>6</v>
      </c>
      <c r="AN106" s="34" t="str">
        <f>+[50]Datos!$C$2</f>
        <v>Casbas</v>
      </c>
      <c r="AO106" s="25" t="str">
        <f>VLOOKUP($E106,Tabla13[],Inputs_costos!$D$1,FALSE)</f>
        <v>CASBAS</v>
      </c>
      <c r="AP106" s="28" t="str">
        <f>VLOOKUP($D106,'Costo Social x localidad'!$B$2:$M$156,1,FALSE)</f>
        <v>Casbas</v>
      </c>
    </row>
    <row r="107" spans="1:42">
      <c r="A107" s="917"/>
      <c r="B107" s="887"/>
      <c r="C107" s="478" t="str">
        <f>IF(AND(D107=AN107,D107=AO107,D107=AP107),"ok","ATENCIÓN NO ESTÁ TOMANDO BIEN LA LOCALIDAD")</f>
        <v>ok</v>
      </c>
      <c r="D107" s="24" t="s">
        <v>243</v>
      </c>
      <c r="E107" s="518">
        <f>VLOOKUP(D107,Pobl_adoptada!$C$5:$D$158,2,FALSE)</f>
        <v>137</v>
      </c>
      <c r="F107" s="9" t="s">
        <v>308</v>
      </c>
      <c r="G107" s="580">
        <f>+'[51]Inversion rec-TA'!$G$21</f>
        <v>985309.19651839999</v>
      </c>
      <c r="H107" s="34">
        <f>+($AC101/$AC105)*H111+G107</f>
        <v>1154843.0986772876</v>
      </c>
      <c r="I107" s="465">
        <f>+'[51]Costos Operativos Rec-TA'!$G$23</f>
        <v>685189.79609602131</v>
      </c>
      <c r="J107" s="581">
        <f>+($AC101/$AC105)*J111+I107</f>
        <v>688580.47413919901</v>
      </c>
      <c r="K107" s="10">
        <f>+'[51]Inversion rec-TA'!$G$46</f>
        <v>0</v>
      </c>
      <c r="L107" s="10">
        <f>+'[51]Costos Operativos Rec-TA'!$G$46</f>
        <v>0</v>
      </c>
      <c r="M107" s="19">
        <f t="shared" si="67"/>
        <v>-6546251.5121643608</v>
      </c>
      <c r="N107" s="465">
        <f>+$AD101/$AD105*N112</f>
        <v>186248.98823793017</v>
      </c>
      <c r="O107" s="25">
        <f>IF(N107-AG107&lt;0,0,N107-AG107)</f>
        <v>186248.98823793017</v>
      </c>
      <c r="P107" s="25">
        <f>+$AD101/$AD105*P112</f>
        <v>2877.0819607335452</v>
      </c>
      <c r="Q107" s="465">
        <f>+$AC101/$AC105*Q112</f>
        <v>886222.37069997226</v>
      </c>
      <c r="R107" s="647">
        <f>IF(Q107-AH107&lt;0,0,Q107-AH107)</f>
        <v>886222.37069997226</v>
      </c>
      <c r="S107" s="647">
        <f t="shared" ref="S107:S110" si="69">+S101</f>
        <v>0</v>
      </c>
      <c r="T107" s="25">
        <f>+$AC101/$AC105*T112</f>
        <v>225842.63679521612</v>
      </c>
      <c r="U107" s="28"/>
      <c r="V107" s="461">
        <f>+V101</f>
        <v>0</v>
      </c>
      <c r="W107" s="28"/>
      <c r="X107" s="461">
        <f t="shared" si="68"/>
        <v>0</v>
      </c>
      <c r="Y107" s="28">
        <f t="shared" si="68"/>
        <v>4770.0918655999985</v>
      </c>
      <c r="Z107" s="28">
        <f t="shared" si="68"/>
        <v>149814.350066944</v>
      </c>
      <c r="AA107" s="650">
        <f>(-O107-R107)/(1+0.12)+PV(12%,20,P107)+PV(12%,20,T107)-(O107*0.5)/(1+0.12)^10-S107/(1+0.12)^10</f>
        <v>-2695956.353134397</v>
      </c>
      <c r="AB107" s="651">
        <f>M107+AA107</f>
        <v>-9242207.8652987573</v>
      </c>
      <c r="AC107" s="10"/>
      <c r="AD107" s="10"/>
      <c r="AE107" s="362"/>
      <c r="AF107" s="10"/>
      <c r="AG107" s="448">
        <f>VLOOKUP($D107,Valoración_Eq_REG!$D$4:$I$157,Valoración_Eq_REG!$E$2,FALSE)*$E$4</f>
        <v>0</v>
      </c>
      <c r="AH107" s="448">
        <f>VLOOKUP($D107,Valoración_Eq_REG!$D$4:$I$157,Valoración_Eq_REG!$F$2,FALSE)*$E$4</f>
        <v>0</v>
      </c>
      <c r="AI107" s="10"/>
      <c r="AJ107" s="512">
        <f>+'[51]Evaluacion Economica'!$L$25</f>
        <v>2</v>
      </c>
      <c r="AK107" s="513">
        <f>+'[51]Evaluacion Economica'!$R$25</f>
        <v>18</v>
      </c>
      <c r="AL107" s="512">
        <f>+'[51]P_Evaluacion Economica'!$L$27</f>
        <v>2</v>
      </c>
      <c r="AM107" s="513">
        <f>+'[51]P_Evaluacion Economica'!$Q$27</f>
        <v>6</v>
      </c>
      <c r="AN107" s="34" t="str">
        <f>+[51]Datos!$C$2</f>
        <v>Rivera</v>
      </c>
      <c r="AO107" s="25" t="str">
        <f>VLOOKUP($E107,Tabla13[],Inputs_costos!$D$1,FALSE)</f>
        <v>RIVERA</v>
      </c>
      <c r="AP107" s="28" t="str">
        <f>VLOOKUP($D107,'Costo Social x localidad'!$B$2:$M$156,1,FALSE)</f>
        <v>RIVERA</v>
      </c>
    </row>
    <row r="108" spans="1:42">
      <c r="A108" s="917"/>
      <c r="B108" s="887"/>
      <c r="C108" s="478" t="str">
        <f>IF(AND(D108=AN108,D108=AO108,D108=AP108),"ok","ATENCIÓN NO ESTÁ TOMANDO BIEN LA LOCALIDAD")</f>
        <v>ok</v>
      </c>
      <c r="D108" s="24" t="s">
        <v>222</v>
      </c>
      <c r="E108" s="115">
        <f>VLOOKUP(D108,Pobl_adoptada!$C$5:$D$158,2,FALSE)</f>
        <v>117</v>
      </c>
      <c r="F108" s="9" t="s">
        <v>308</v>
      </c>
      <c r="G108" s="580">
        <f>+'[52]Inversion rec-TA'!$G$21</f>
        <v>1720478.8788091175</v>
      </c>
      <c r="H108" s="34">
        <f>+($AC102/$AC105)*H111+G108</f>
        <v>2143086.8330049124</v>
      </c>
      <c r="I108" s="465">
        <f>+'[52]Costos Operativos Rec-TA'!$G$23</f>
        <v>849316.26793690166</v>
      </c>
      <c r="J108" s="581">
        <f>+($AC102/$AC105)*J111+I108</f>
        <v>857768.42702081753</v>
      </c>
      <c r="K108" s="10">
        <f>+'[52]Inversion rec-TA'!$G$46</f>
        <v>0</v>
      </c>
      <c r="L108" s="10">
        <f>+'[52]Costos Operativos Rec-TA'!$G$46</f>
        <v>0</v>
      </c>
      <c r="M108" s="19">
        <f t="shared" si="67"/>
        <v>-9010539.8988891821</v>
      </c>
      <c r="N108" s="465">
        <f>+$AD102/$AD105*N112</f>
        <v>465124.02321984037</v>
      </c>
      <c r="O108" s="25">
        <f>IF(N108-AG108&lt;0,0,N108-AG108)</f>
        <v>465124.02321984037</v>
      </c>
      <c r="P108" s="25">
        <f>+$AD102/$AD105*P112</f>
        <v>7185.0051340954597</v>
      </c>
      <c r="Q108" s="465">
        <f>+$AC102/$AC105*Q112</f>
        <v>2209142.9399947235</v>
      </c>
      <c r="R108" s="647">
        <f>IF(Q108-AH108&lt;0,0,Q108-AH108)</f>
        <v>2209142.9399947235</v>
      </c>
      <c r="S108" s="647">
        <f t="shared" si="69"/>
        <v>0</v>
      </c>
      <c r="T108" s="25">
        <f>+$AC102/$AC105*T112</f>
        <v>562972.32288537163</v>
      </c>
      <c r="U108" s="458"/>
      <c r="V108" s="461">
        <f t="shared" ref="V108" si="70">+V102</f>
        <v>5292739.2544</v>
      </c>
      <c r="W108" s="28"/>
      <c r="X108" s="461">
        <f t="shared" si="68"/>
        <v>469920.15057240083</v>
      </c>
      <c r="Y108" s="28">
        <f t="shared" si="68"/>
        <v>10816.487964399999</v>
      </c>
      <c r="Z108" s="28">
        <f t="shared" si="68"/>
        <v>217402.13366005826</v>
      </c>
      <c r="AA108" s="650">
        <f>(-O108-R108)/(1+0.12)+PV(12%,20,P108)+PV(12%,20,T108)-(O108*0.5)/(1+0.12)^10-S108/(1+0.12)^10</f>
        <v>-6721375.1222377596</v>
      </c>
      <c r="AB108" s="651">
        <f>M108+AA108</f>
        <v>-15731915.021126941</v>
      </c>
      <c r="AC108" s="39"/>
      <c r="AD108" s="10"/>
      <c r="AE108" s="10"/>
      <c r="AF108" s="10"/>
      <c r="AG108" s="448">
        <f>VLOOKUP($D108,Valoración_Eq_REG!$D$4:$I$157,Valoración_Eq_REG!$E$2,FALSE)*$E$4</f>
        <v>0</v>
      </c>
      <c r="AH108" s="448">
        <f>VLOOKUP($D108,Valoración_Eq_REG!$D$4:$I$157,Valoración_Eq_REG!$F$2,FALSE)*$E$4</f>
        <v>0</v>
      </c>
      <c r="AI108" s="11"/>
      <c r="AJ108" s="484">
        <f>+'[52]Evaluacion Economica'!$L$25</f>
        <v>2</v>
      </c>
      <c r="AK108" s="448">
        <f>+'[52]Evaluacion Economica'!$R$25</f>
        <v>12</v>
      </c>
      <c r="AL108" s="484">
        <f>+'[52]P_Evaluacion Economica'!$L$27</f>
        <v>2</v>
      </c>
      <c r="AM108" s="448">
        <f>+'[52]P_Evaluacion Economica'!$Q$27</f>
        <v>6</v>
      </c>
      <c r="AN108" s="34" t="str">
        <f>+[52]Datos!$C$2</f>
        <v>Salliqueló</v>
      </c>
      <c r="AO108" s="25" t="str">
        <f>VLOOKUP($E108,Tabla13[],Inputs_costos!$D$1,FALSE)</f>
        <v>SALLIQUELÓ</v>
      </c>
      <c r="AP108" s="28" t="str">
        <f>VLOOKUP($D108,'Costo Social x localidad'!$B$2:$M$156,1,FALSE)</f>
        <v>SALLIQUELÓ</v>
      </c>
    </row>
    <row r="109" spans="1:42">
      <c r="A109" s="917"/>
      <c r="B109" s="887"/>
      <c r="C109" s="478" t="str">
        <f>IF(AND(D109=AN109,D109=AO109,D109=AP109),"ok","ATENCIÓN NO ESTÁ TOMANDO BIEN LA LOCALIDAD")</f>
        <v>ok</v>
      </c>
      <c r="D109" s="24" t="s">
        <v>172</v>
      </c>
      <c r="E109" s="115">
        <f>VLOOKUP(D109,Pobl_adoptada!$C$5:$D$158,2,FALSE)</f>
        <v>77</v>
      </c>
      <c r="F109" s="9" t="s">
        <v>308</v>
      </c>
      <c r="G109" s="580">
        <f>+'[53]Inversion rec-TA'!$G$21</f>
        <v>1007132.4525183999</v>
      </c>
      <c r="H109" s="34">
        <f>+($AC103/$AC105)*H111+G109</f>
        <v>1154181.6109236504</v>
      </c>
      <c r="I109" s="465">
        <f>+'[53]Costos Operativos Rec-TA'!$G$23</f>
        <v>689602.51739436691</v>
      </c>
      <c r="J109" s="581">
        <f>+($AC103/$AC105)*J111+I109</f>
        <v>692543.50056247192</v>
      </c>
      <c r="K109" s="10">
        <f>+'[53]Inversion rec-TA'!$G$46</f>
        <v>0</v>
      </c>
      <c r="L109" s="10">
        <f>+'[53]Costos Operativos Rec-TA'!$G$46</f>
        <v>0</v>
      </c>
      <c r="M109" s="19">
        <f t="shared" si="67"/>
        <v>-6575049.5191959683</v>
      </c>
      <c r="N109" s="465">
        <f>+$AD103/$AD105*N112</f>
        <v>161335.63590935169</v>
      </c>
      <c r="O109" s="25">
        <f>IF(N109-AG109&lt;0,0,N109-AG109)</f>
        <v>161335.63590935169</v>
      </c>
      <c r="P109" s="25">
        <f>+$AD103/$AD105*P112</f>
        <v>2492.2328550064044</v>
      </c>
      <c r="Q109" s="465">
        <f>+$AC103/$AC105*Q112</f>
        <v>768685.50839585077</v>
      </c>
      <c r="R109" s="647">
        <f>IF(Q109-AH109&lt;0,0,Q109-AH109)</f>
        <v>768685.50839585077</v>
      </c>
      <c r="S109" s="647">
        <f t="shared" si="69"/>
        <v>0</v>
      </c>
      <c r="T109" s="25">
        <f>+$AC103/$AC105*T112</f>
        <v>195889.84415420785</v>
      </c>
      <c r="V109" s="461">
        <f t="shared" ref="V109" si="71">+V103</f>
        <v>1017834.472</v>
      </c>
      <c r="W109" s="25"/>
      <c r="X109" s="461">
        <f t="shared" ref="X109:Y109" si="72">+X103</f>
        <v>90369.259725461699</v>
      </c>
      <c r="Y109" s="28">
        <f t="shared" si="72"/>
        <v>10449.8089136</v>
      </c>
      <c r="Z109" s="28">
        <f>+Z103</f>
        <v>160064.98904614401</v>
      </c>
      <c r="AA109" s="650">
        <f>(-O109-R109)/(1+0.12)+PV(12%,20,P109)+PV(12%,20,T109)-(O109*0.5)/(1+0.12)^10-S109/(1+0.12)^10</f>
        <v>-2338152.6404339909</v>
      </c>
      <c r="AB109" s="651">
        <f>M109+AA109</f>
        <v>-8913202.1596299596</v>
      </c>
      <c r="AC109" s="10"/>
      <c r="AD109" s="10"/>
      <c r="AE109" s="10"/>
      <c r="AF109" s="10"/>
      <c r="AG109" s="448">
        <f>VLOOKUP($D109,Valoración_Eq_REG!$D$4:$I$157,Valoración_Eq_REG!$E$2,FALSE)*$E$4</f>
        <v>0</v>
      </c>
      <c r="AH109" s="448">
        <f>VLOOKUP($D109,Valoración_Eq_REG!$D$4:$I$157,Valoración_Eq_REG!$F$2,FALSE)*$E$4</f>
        <v>0</v>
      </c>
      <c r="AI109" s="2"/>
      <c r="AJ109" s="484">
        <f>+'[53]Evaluacion Economica'!$L$25</f>
        <v>2</v>
      </c>
      <c r="AK109" s="448">
        <f>+'[53]Evaluacion Economica'!$R$25</f>
        <v>16</v>
      </c>
      <c r="AL109" s="484">
        <f>+'[53]P_Evaluacion Economica'!$L$27</f>
        <v>2</v>
      </c>
      <c r="AM109" s="448">
        <f>+'[53]P_Evaluacion Economica'!$Q$27</f>
        <v>6</v>
      </c>
      <c r="AN109" s="34" t="str">
        <f>+[53]Datos!$C$2</f>
        <v>Guaminí</v>
      </c>
      <c r="AO109" s="25" t="str">
        <f>VLOOKUP($E109,Tabla13[],Inputs_costos!$D$1,FALSE)</f>
        <v>GUAMINÍ</v>
      </c>
      <c r="AP109" s="28" t="str">
        <f>VLOOKUP($D109,'Costo Social x localidad'!$B$2:$M$156,1,FALSE)</f>
        <v>GUAMINÍ</v>
      </c>
    </row>
    <row r="110" spans="1:42" ht="15.75" thickBot="1">
      <c r="A110" s="917"/>
      <c r="B110" s="887"/>
      <c r="C110" s="478" t="str">
        <f>IF(AND(D110=AN110,D110=AO110,D110=AP110),"ok","ATENCIÓN NO ESTÁ TOMANDO BIEN LA LOCALIDAD")</f>
        <v>ok</v>
      </c>
      <c r="D110" s="36" t="s">
        <v>114</v>
      </c>
      <c r="E110" s="115">
        <f>VLOOKUP(D110,Pobl_adoptada!$C$5:$D$158,2,FALSE)</f>
        <v>27</v>
      </c>
      <c r="F110" s="9" t="s">
        <v>308</v>
      </c>
      <c r="G110" s="580">
        <f>+'[54]Inversion rec-TA'!$G$21</f>
        <v>1918772.3151398837</v>
      </c>
      <c r="H110" s="34">
        <f>+($AC104/$AC105)*H111+G110</f>
        <v>2461387.460525699</v>
      </c>
      <c r="I110" s="465">
        <f>+'[54]Costos Operativos Rec-TA'!$G$23</f>
        <v>1077149.2170413726</v>
      </c>
      <c r="J110" s="581">
        <f>+($AC104/$AC105)*J111+I110</f>
        <v>1088001.5199490888</v>
      </c>
      <c r="K110" s="10">
        <f>+'[54]Inversion rec-TA'!$G$46</f>
        <v>0</v>
      </c>
      <c r="L110" s="10">
        <f>+'[54]Costos Operativos Rec-TA'!$G$46</f>
        <v>0</v>
      </c>
      <c r="M110" s="19">
        <f t="shared" si="67"/>
        <v>-11116934.279081045</v>
      </c>
      <c r="N110" s="465">
        <f>+$AD104/$AD105*N112</f>
        <v>598643.01934126567</v>
      </c>
      <c r="O110" s="25">
        <f>IF(N110-AG110&lt;0,0,N110-AG110)</f>
        <v>598643.01934126567</v>
      </c>
      <c r="P110" s="25">
        <f>+$AD104/$AD105*P112</f>
        <v>9247.5403392019998</v>
      </c>
      <c r="Q110" s="465">
        <f>+$AC104/$AC105*Q112</f>
        <v>2836469.1332996488</v>
      </c>
      <c r="R110" s="647">
        <f>IF(Q110-AH110&lt;0,0,Q110-AH110)</f>
        <v>2836469.1332996488</v>
      </c>
      <c r="S110" s="647">
        <f t="shared" si="69"/>
        <v>0</v>
      </c>
      <c r="T110" s="25">
        <f>+$AC104/$AC105*T112</f>
        <v>722838.52160792006</v>
      </c>
      <c r="U110" s="29"/>
      <c r="V110" s="461">
        <f t="shared" ref="V110" si="73">+V104</f>
        <v>3362925.0954880002</v>
      </c>
      <c r="W110" s="25"/>
      <c r="X110" s="461">
        <f t="shared" ref="X110:Y110" si="74">+X104</f>
        <v>298580.0341329255</v>
      </c>
      <c r="Y110" s="28">
        <f t="shared" si="74"/>
        <v>14739.699925333331</v>
      </c>
      <c r="Z110" s="28">
        <f>+Z104</f>
        <v>201067.85567653825</v>
      </c>
      <c r="AA110" s="650">
        <f>(-O110-R110)/(1+0.12)+PV(12%,20,P110)+PV(12%,20,T110)-(O110*0.5)/(1+0.12)^10-S110/(1+0.12)^10</f>
        <v>-8631713.5051207133</v>
      </c>
      <c r="AB110" s="651">
        <f>M110+AA110</f>
        <v>-19748647.784201756</v>
      </c>
      <c r="AC110" s="10"/>
      <c r="AD110" s="10"/>
      <c r="AE110" s="10"/>
      <c r="AF110" s="10"/>
      <c r="AG110" s="448">
        <f>VLOOKUP($D110,Valoración_Eq_REG!$D$4:$I$157,Valoración_Eq_REG!$E$2,FALSE)*$E$4</f>
        <v>0</v>
      </c>
      <c r="AH110" s="448">
        <f>VLOOKUP($D110,Valoración_Eq_REG!$D$4:$I$157,Valoración_Eq_REG!$F$2,FALSE)*$E$4</f>
        <v>0</v>
      </c>
      <c r="AI110" s="2"/>
      <c r="AJ110" s="484">
        <f>+'[54]Evaluacion Economica'!$L$25</f>
        <v>2</v>
      </c>
      <c r="AK110" s="448">
        <f>+'[54]Evaluacion Economica'!$R$25</f>
        <v>9</v>
      </c>
      <c r="AL110" s="484">
        <f>+'[54]P_Evaluacion Economica'!$L$27</f>
        <v>2</v>
      </c>
      <c r="AM110" s="448">
        <f>+'[54]P_Evaluacion Economica'!$Q$27</f>
        <v>6</v>
      </c>
      <c r="AN110" s="34" t="str">
        <f>+[54]Datos!$C$2</f>
        <v>Carhué</v>
      </c>
      <c r="AO110" s="25" t="str">
        <f>VLOOKUP($E110,Tabla13[],Inputs_costos!$D$1,FALSE)</f>
        <v>CARHUÉ</v>
      </c>
      <c r="AP110" s="28" t="str">
        <f>VLOOKUP($D110,'Costo Social x localidad'!$B$2:$M$156,1,FALSE)</f>
        <v>Carhué</v>
      </c>
    </row>
    <row r="111" spans="1:42" ht="30.75" thickBot="1">
      <c r="A111" s="917"/>
      <c r="B111" s="887"/>
      <c r="C111" s="912" t="s">
        <v>12</v>
      </c>
      <c r="D111" s="913"/>
      <c r="E111" s="498" t="s">
        <v>589</v>
      </c>
      <c r="F111" s="571">
        <f>+F94</f>
        <v>0.02</v>
      </c>
      <c r="G111" s="582"/>
      <c r="H111" s="461">
        <f>+AJ111*AJ113+AL111*AL113</f>
        <v>1535577.0728053148</v>
      </c>
      <c r="I111" s="461"/>
      <c r="J111" s="583">
        <f>+$F111*H111</f>
        <v>30711.541456106297</v>
      </c>
      <c r="K111" s="10"/>
      <c r="L111" s="10"/>
      <c r="M111" s="19"/>
      <c r="N111" s="465"/>
      <c r="O111" s="10"/>
      <c r="P111" s="10"/>
      <c r="Q111" s="618"/>
      <c r="R111" s="28"/>
      <c r="S111" s="28"/>
      <c r="T111" s="28"/>
      <c r="U111" s="28"/>
      <c r="V111" s="28"/>
      <c r="W111" s="28"/>
      <c r="X111" s="28"/>
      <c r="Y111" s="28"/>
      <c r="Z111" s="28"/>
      <c r="AA111" s="658"/>
      <c r="AB111" s="20"/>
      <c r="AC111" s="10"/>
      <c r="AD111" s="10"/>
      <c r="AE111" s="10"/>
      <c r="AF111" s="10"/>
      <c r="AG111" s="4"/>
      <c r="AH111" s="4"/>
      <c r="AI111" s="4"/>
      <c r="AJ111" s="501">
        <f>ROUNDUP(C112*SUM(AJ106:AJ110),0)</f>
        <v>3</v>
      </c>
      <c r="AK111" s="502">
        <f>AVERAGE(AK106:AK110)</f>
        <v>14</v>
      </c>
      <c r="AL111" s="501">
        <f>ROUNDUP(C112*SUM(AL106:AL110),0)</f>
        <v>3</v>
      </c>
      <c r="AM111" s="502">
        <f>AVERAGE(AM106:AM110)</f>
        <v>6</v>
      </c>
      <c r="AN111" s="4"/>
      <c r="AO111" s="4"/>
      <c r="AP111" s="4"/>
    </row>
    <row r="112" spans="1:42" ht="15.75" thickBot="1">
      <c r="A112" s="918"/>
      <c r="B112" s="888"/>
      <c r="C112" s="570">
        <v>0.3</v>
      </c>
      <c r="D112" s="500" t="str">
        <f>A100</f>
        <v>REGIÓN CARHUÉ</v>
      </c>
      <c r="E112" s="468"/>
      <c r="F112" s="469"/>
      <c r="G112" s="584"/>
      <c r="H112" s="585">
        <f>SUM(H106:H110)</f>
        <v>8829747.7182694674</v>
      </c>
      <c r="I112" s="585"/>
      <c r="J112" s="586">
        <f>SUM(J106:J110)</f>
        <v>4134704.397131341</v>
      </c>
      <c r="K112" s="14"/>
      <c r="L112" s="14"/>
      <c r="M112" s="15">
        <f>SUM(M106:M111)</f>
        <v>-41610587.168645963</v>
      </c>
      <c r="N112" s="615">
        <f>(VLOOKUP($E106,Tabla13[],Inputs_costos!$P$1,FALSE))*(O$3*$E$3+O$4*$E$4)</f>
        <v>1691364.1990400001</v>
      </c>
      <c r="O112" s="35">
        <f>SUM(O106:O110)</f>
        <v>1691364.1990399999</v>
      </c>
      <c r="P112" s="35">
        <f>(VLOOKUP($E106,Tabla13[],Inputs_costos!$Q$1,FALSE))*(P$3*$E$3+P$4*$E$4)</f>
        <v>26127.3549570752</v>
      </c>
      <c r="Q112" s="615">
        <f>IF($AC105&gt;=15,(VLOOKUP($E106,Tabla13[],Inputs_costos!$N$1,FALSE))*($R$3*$E$3+$R$4*$E$4),(VLOOKUP($E106,Tabla13[],Inputs_costos!$N$1,FALSE))*($T$3*$E$3+$T$4*$E$4))</f>
        <v>8027083.2944</v>
      </c>
      <c r="R112" s="35">
        <f>SUM(R106:R110)</f>
        <v>8027083.2943999991</v>
      </c>
      <c r="S112" s="35"/>
      <c r="T112" s="35">
        <f>IF($AC105&gt;=15,(VLOOKUP($E106,Tabla13[],Inputs_costos!$O$1,FALSE))*($R$3*$E$3+$R$4*$E$4),(VLOOKUP($E106,Tabla13[],Inputs_costos!$O$1,FALSE))*($T$3*$E$3+$T$4*$E$4))</f>
        <v>2045601.3263920001</v>
      </c>
      <c r="U112" s="35"/>
      <c r="V112" s="31">
        <f>SUM(V106:V110)</f>
        <v>9673498.8218879998</v>
      </c>
      <c r="W112" s="31"/>
      <c r="X112" s="31">
        <f>SUM(X106:X110)</f>
        <v>858869.44443078805</v>
      </c>
      <c r="Y112" s="31">
        <f>SUM(Y106:Y110)</f>
        <v>44907.26677005332</v>
      </c>
      <c r="Z112" s="31">
        <f>SUM(Z106:Z110)</f>
        <v>890944.36958734272</v>
      </c>
      <c r="AA112" s="657">
        <f>SUM(AA106:AA110)</f>
        <v>-24424132.85494874</v>
      </c>
      <c r="AB112" s="654">
        <f>+M112+AA112</f>
        <v>-66034720.023594707</v>
      </c>
      <c r="AC112" s="38"/>
      <c r="AD112" s="38"/>
      <c r="AE112" s="38"/>
      <c r="AF112" s="38"/>
      <c r="AG112" s="4"/>
      <c r="AH112" s="4"/>
      <c r="AI112" s="4"/>
      <c r="AJ112" s="11"/>
      <c r="AK112" s="499">
        <f>VLOOKUP(ROUNDUP(AK111,0),DATOS!$F$16:$G$31,2,FALSE)</f>
        <v>15</v>
      </c>
      <c r="AL112" s="497"/>
      <c r="AM112" s="499">
        <f>VLOOKUP(ROUNDUP(AM111,0),DATOS!$J$16:$K$34,2,FALSE)</f>
        <v>6</v>
      </c>
      <c r="AN112" s="4"/>
      <c r="AO112" s="4"/>
      <c r="AP112" s="4"/>
    </row>
    <row r="113" spans="1:42">
      <c r="F113" s="2"/>
      <c r="G113" s="2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0"/>
      <c r="V113" s="2"/>
      <c r="W113" s="2"/>
      <c r="X113" s="2"/>
      <c r="Y113" s="2"/>
      <c r="Z113" s="2"/>
      <c r="AA113" s="4"/>
      <c r="AB113" s="4"/>
      <c r="AC113" s="4"/>
      <c r="AD113" s="4"/>
      <c r="AE113" s="4"/>
      <c r="AF113" s="4"/>
      <c r="AG113" s="448"/>
      <c r="AH113" s="448"/>
      <c r="AI113" s="4"/>
      <c r="AJ113" s="892">
        <f>VLOOKUP(AK112,DATOS!$F$3:$H$11,3,FALSE)</f>
        <v>277598.62978843832</v>
      </c>
      <c r="AK113" s="892"/>
      <c r="AL113" s="892">
        <f>VLOOKUP(AM112,DATOS!$J$3:$L$12,3,FALSE)</f>
        <v>234260.39447999999</v>
      </c>
      <c r="AM113" s="892"/>
      <c r="AN113" s="4"/>
      <c r="AO113" s="4"/>
      <c r="AP113" s="4"/>
    </row>
    <row r="114" spans="1:42" ht="15.75" thickBot="1">
      <c r="A114" s="503"/>
      <c r="B114" s="503"/>
      <c r="C114" s="503"/>
      <c r="D114" s="503"/>
      <c r="E114" s="503"/>
      <c r="F114" s="504"/>
      <c r="G114" s="504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6"/>
      <c r="AB114" s="506"/>
      <c r="AC114" s="506"/>
      <c r="AD114" s="506"/>
      <c r="AE114" s="506"/>
      <c r="AF114" s="506"/>
      <c r="AG114" s="506"/>
      <c r="AH114" s="506"/>
      <c r="AI114" s="506"/>
      <c r="AJ114" s="506"/>
      <c r="AK114" s="506"/>
      <c r="AL114" s="506"/>
      <c r="AM114" s="506"/>
      <c r="AN114" s="506"/>
      <c r="AO114" s="506"/>
      <c r="AP114" s="506"/>
    </row>
    <row r="115" spans="1:42" ht="39" thickBot="1">
      <c r="A115" s="886" t="s">
        <v>7</v>
      </c>
      <c r="B115" s="886" t="s">
        <v>2</v>
      </c>
      <c r="C115" s="479"/>
      <c r="D115" s="882" t="s">
        <v>22</v>
      </c>
      <c r="E115" s="882" t="s">
        <v>23</v>
      </c>
      <c r="F115" s="882" t="s">
        <v>3</v>
      </c>
      <c r="G115" s="568"/>
      <c r="H115" s="901" t="s">
        <v>0</v>
      </c>
      <c r="I115" s="901"/>
      <c r="J115" s="901"/>
      <c r="K115" s="901" t="s">
        <v>1</v>
      </c>
      <c r="L115" s="901"/>
      <c r="M115" s="886" t="s">
        <v>10</v>
      </c>
      <c r="N115" s="879" t="s">
        <v>5</v>
      </c>
      <c r="O115" s="880"/>
      <c r="P115" s="881"/>
      <c r="Q115" s="902" t="s">
        <v>4</v>
      </c>
      <c r="R115" s="903"/>
      <c r="S115" s="903"/>
      <c r="T115" s="904"/>
      <c r="U115" s="902" t="s">
        <v>6</v>
      </c>
      <c r="V115" s="903"/>
      <c r="W115" s="903"/>
      <c r="X115" s="904"/>
      <c r="Y115" s="390" t="s">
        <v>689</v>
      </c>
      <c r="Z115" s="662" t="s">
        <v>690</v>
      </c>
      <c r="AA115" s="905" t="s">
        <v>686</v>
      </c>
      <c r="AB115" s="886" t="s">
        <v>9</v>
      </c>
      <c r="AC115" s="907" t="s">
        <v>312</v>
      </c>
      <c r="AD115" s="914" t="s">
        <v>649</v>
      </c>
      <c r="AE115" s="897" t="s">
        <v>20</v>
      </c>
      <c r="AF115" s="897" t="s">
        <v>313</v>
      </c>
      <c r="AG115" s="899" t="s">
        <v>552</v>
      </c>
      <c r="AH115" s="895" t="s">
        <v>578</v>
      </c>
      <c r="AI115" s="897" t="s">
        <v>579</v>
      </c>
      <c r="AJ115" s="882" t="s">
        <v>581</v>
      </c>
      <c r="AK115" s="882" t="s">
        <v>582</v>
      </c>
      <c r="AL115" s="882" t="s">
        <v>581</v>
      </c>
      <c r="AM115" s="882" t="s">
        <v>582</v>
      </c>
      <c r="AN115" s="884" t="s">
        <v>553</v>
      </c>
      <c r="AO115" s="885"/>
      <c r="AP115" s="885"/>
    </row>
    <row r="116" spans="1:42" ht="30.75" thickBot="1">
      <c r="A116" s="888"/>
      <c r="B116" s="888"/>
      <c r="C116" s="480"/>
      <c r="D116" s="883"/>
      <c r="E116" s="883"/>
      <c r="F116" s="883"/>
      <c r="G116" s="569"/>
      <c r="H116" s="17" t="s">
        <v>18</v>
      </c>
      <c r="I116" s="17"/>
      <c r="J116" s="17" t="s">
        <v>17</v>
      </c>
      <c r="K116" s="17" t="s">
        <v>18</v>
      </c>
      <c r="L116" s="17" t="s">
        <v>17</v>
      </c>
      <c r="M116" s="888"/>
      <c r="N116" s="464" t="s">
        <v>685</v>
      </c>
      <c r="O116" s="17" t="s">
        <v>18</v>
      </c>
      <c r="P116" s="17" t="s">
        <v>17</v>
      </c>
      <c r="Q116" s="464" t="s">
        <v>685</v>
      </c>
      <c r="R116" s="17" t="s">
        <v>18</v>
      </c>
      <c r="S116" s="17"/>
      <c r="T116" s="17" t="s">
        <v>17</v>
      </c>
      <c r="U116" s="464" t="s">
        <v>576</v>
      </c>
      <c r="V116" s="17" t="s">
        <v>18</v>
      </c>
      <c r="W116" s="464" t="s">
        <v>577</v>
      </c>
      <c r="X116" s="17" t="s">
        <v>17</v>
      </c>
      <c r="Y116" s="17" t="s">
        <v>18</v>
      </c>
      <c r="Z116" s="17" t="s">
        <v>17</v>
      </c>
      <c r="AA116" s="906"/>
      <c r="AB116" s="888"/>
      <c r="AC116" s="908"/>
      <c r="AD116" s="915"/>
      <c r="AE116" s="898"/>
      <c r="AF116" s="898"/>
      <c r="AG116" s="900"/>
      <c r="AH116" s="896"/>
      <c r="AI116" s="898"/>
      <c r="AJ116" s="883"/>
      <c r="AK116" s="883"/>
      <c r="AL116" s="883"/>
      <c r="AM116" s="883"/>
      <c r="AN116" s="1" t="s">
        <v>551</v>
      </c>
      <c r="AO116" s="9" t="s">
        <v>554</v>
      </c>
      <c r="AP116" s="1" t="s">
        <v>555</v>
      </c>
    </row>
    <row r="117" spans="1:42">
      <c r="A117" s="916" t="s">
        <v>596</v>
      </c>
      <c r="B117" s="886" t="s">
        <v>309</v>
      </c>
      <c r="C117" s="481" t="str">
        <f>IF(AND(D117=AN117,D117=AO117,D117=AP117),"ok","ATENCIÓN NO ESTÁ TOMANDO BIEN LA LOCALIDAD")</f>
        <v>ok</v>
      </c>
      <c r="D117" s="23" t="s">
        <v>113</v>
      </c>
      <c r="E117" s="114">
        <f>VLOOKUP(D117,Pobl_adoptada!$C$5:$D$158,2,FALSE)</f>
        <v>26</v>
      </c>
      <c r="F117" s="8" t="s">
        <v>308</v>
      </c>
      <c r="G117" s="8"/>
      <c r="H117" s="33">
        <f>'[55]Inversion rec-TA'!$G$21</f>
        <v>4904217.9901958788</v>
      </c>
      <c r="I117" s="33"/>
      <c r="J117" s="33">
        <f>'[55]Costos Operativos Rec-TA'!$G$23</f>
        <v>2762436.9234126438</v>
      </c>
      <c r="K117" s="32">
        <f>'[55]Inversion rec-TA'!$G$46</f>
        <v>0</v>
      </c>
      <c r="L117" s="32">
        <f>+'[55]Costos Operativos Rec-TA'!$G$46</f>
        <v>0</v>
      </c>
      <c r="M117" s="19">
        <f t="shared" ref="M117:M119" si="75">-H117/(1+0.12)+PV(12%,20,J117)-H117/(1+0.12)^10</f>
        <v>-26591659.867116291</v>
      </c>
      <c r="N117" s="19"/>
      <c r="O117" s="25">
        <f>IF(((VLOOKUP($E117,Tabla13[],Inputs_costos!$I$1,FALSE))*(O$3*$E$3+O$4*$E$4)-AG117)&lt;0,0,VLOOKUP($E117,Tabla13[],Inputs_costos!$I$1,FALSE)*(O$3*$E$3+O$4*$E$4)-AG117)</f>
        <v>1251742.6375480001</v>
      </c>
      <c r="P117" s="25">
        <f>(VLOOKUP($E117,Tabla13[],Inputs_costos!$J$1,FALSE))*(P$3*$E$3+P$4*$E$4)</f>
        <v>661668.79775999999</v>
      </c>
      <c r="Q117" s="25"/>
      <c r="R117" s="25">
        <f>IF($AC117&gt;=15,(VLOOKUP($E117,Tabla13[],Inputs_costos!$G$1,FALSE))*($R$3*$E$3+$R$4*$E$4),(VLOOKUP($E117,Tabla13[],Inputs_costos!$G$1,FALSE))*($T$3*$E$3+$T$4*$E$4))-AH117</f>
        <v>10192799.208000001</v>
      </c>
      <c r="S117" s="25">
        <f t="shared" ref="S117:S119" si="76">IF(AC117&lt;15,0,IF(AC117&lt;=350,815000,1345000))</f>
        <v>815000</v>
      </c>
      <c r="T117" s="25">
        <f>IF($AC117&gt;=15,(VLOOKUP($E117,Tabla13[],Inputs_costos!$H$1,FALSE))*($R$3*$E$3+$R$4*$E$4),(VLOOKUP($E117,Tabla13[],Inputs_costos!$H$1,FALSE))*($T$3*$E$3+$T$4*$E$4))</f>
        <v>1556295.97964</v>
      </c>
      <c r="U117" s="465">
        <f>SUMIFS(Tabla24[Costo de Cierre Técnico de BCA (US$)],Tabla24[Localidad],Resumen!$D117)</f>
        <v>290440</v>
      </c>
      <c r="V117" s="461">
        <f>+U117*(V$3*$E$3+V$4*$E$4)</f>
        <v>557773.29065600003</v>
      </c>
      <c r="W117" s="465">
        <f>SUMIFS(Tabla24[Costo anual de Manteniemiento Post-cierre (US$)],Tabla24[Localidad],Resumen!$D117)</f>
        <v>25786.951136651125</v>
      </c>
      <c r="X117" s="461">
        <f>+W117*(X$3*$E$3+X$4*$E$4)</f>
        <v>49522.354329553018</v>
      </c>
      <c r="Y117" s="27">
        <f>VLOOKUP($D117,'Costo Social x localidad'!$B$2:$M$156,12,FALSE)*(Y$3*$E$3+Y$4*$E$4)</f>
        <v>69124.114997280005</v>
      </c>
      <c r="Z117" s="28">
        <f>VLOOKUP(D117,'Estimación  PRESUPUESTO PCAS'!$B$4:$G$158,'Estimación  PRESUPUESTO PCAS'!$G$2,FALSE)</f>
        <v>344004.06407999853</v>
      </c>
      <c r="AA117" s="650">
        <f>(-O117-R117)/(1+0.12)+PV(12%,20,P117)+PV(12%,20,T117)-(O117*0.5)/(1+0.12)^10-S117/(1+0.12)^10</f>
        <v>-27249225.801074978</v>
      </c>
      <c r="AB117" s="651">
        <f>M117+AA117</f>
        <v>-53840885.668191269</v>
      </c>
      <c r="AC117" s="10">
        <f>VLOOKUP($E117,Resumen_Generación!$B$5:$F$158,Resumen_Generación!$D$3,FALSE)</f>
        <v>36.003031864</v>
      </c>
      <c r="AD117" s="10">
        <f>VLOOKUP($E117,Resumen_Generación!$B$5:$G$158,Resumen_Generación!$G$3,FALSE)</f>
        <v>14.66804892</v>
      </c>
      <c r="AE117" s="362">
        <f>VLOOKUP($E117,Resumen_Generación!$B$5:$F$158,Resumen_Generación!$E$3,FALSE)</f>
        <v>45035</v>
      </c>
      <c r="AF117" s="10">
        <f>VLOOKUP($E117,Resumen_Generación!$B$5:$F$158,Resumen_Generación!$F$3,FALSE)</f>
        <v>16.647883</v>
      </c>
      <c r="AG117" s="448">
        <f>VLOOKUP($D117,Valoración_Equip_actual!$D$4:$I$157,Valoración_Equip_actual!$E$2,FALSE)*$E$4</f>
        <v>520498.37557199999</v>
      </c>
      <c r="AH117" s="448">
        <f>VLOOKUP($D117,Valoración_Equip_actual!$D$4:$I$157,Valoración_Equip_actual!$F$2,FALSE)*$E$4</f>
        <v>97377.24</v>
      </c>
      <c r="AI117" s="448">
        <f>[55]P_Datos!$D$43</f>
        <v>1.1945573770491804</v>
      </c>
      <c r="AN117" s="449" t="str">
        <f>[55]Datos!$C$2</f>
        <v>9 de Julio</v>
      </c>
      <c r="AO117" s="450" t="str">
        <f>VLOOKUP($E117,Tabla13[],Inputs_costos!$D$1,FALSE)</f>
        <v>9 DE JULIO</v>
      </c>
      <c r="AP117" s="451" t="str">
        <f>VLOOKUP($D117,'Costo Social x localidad'!$B$2:$M$156,1,FALSE)</f>
        <v>9 DE JULIO</v>
      </c>
    </row>
    <row r="118" spans="1:42">
      <c r="A118" s="917"/>
      <c r="B118" s="887"/>
      <c r="C118" s="478" t="str">
        <f>IF(AND(D118=AN118,D118=AO118,D118=AP118),"ok","ATENCIÓN NO ESTÁ TOMANDO BIEN LA LOCALIDAD")</f>
        <v>ok</v>
      </c>
      <c r="D118" s="24" t="s">
        <v>203</v>
      </c>
      <c r="E118" s="115">
        <f>VLOOKUP(D118,Pobl_adoptada!$C$5:$D$158,2,FALSE)</f>
        <v>101</v>
      </c>
      <c r="F118" s="9" t="s">
        <v>308</v>
      </c>
      <c r="G118" s="9"/>
      <c r="H118" s="34">
        <f>'[56]Inversion rec-TA'!$G$21</f>
        <v>3671724.1182797672</v>
      </c>
      <c r="I118" s="34"/>
      <c r="J118" s="34">
        <f>'[56]Costos Operativos Rec-TA'!$G$23</f>
        <v>1970375.3252498843</v>
      </c>
      <c r="K118" s="25">
        <f>'[56]Inversion rec-TA'!$G$46</f>
        <v>0</v>
      </c>
      <c r="L118" s="25">
        <f>+'[56]Costos Operativos Rec-TA'!$G$46</f>
        <v>0</v>
      </c>
      <c r="M118" s="19">
        <f t="shared" si="75"/>
        <v>-19178129.414557755</v>
      </c>
      <c r="N118" s="19"/>
      <c r="O118" s="25">
        <f>IF(((VLOOKUP($E118,Tabla13[],Inputs_costos!$I$1,FALSE))*(O$3*$E$3+O$4*$E$4)-AG118)&lt;0,0,VLOOKUP($E118,Tabla13[],Inputs_costos!$I$1,FALSE)*(O$3*$E$3+O$4*$E$4)-AG118)</f>
        <v>1435944.6892200001</v>
      </c>
      <c r="P118" s="25">
        <f>(VLOOKUP($E118,Tabla13[],Inputs_costos!$J$1,FALSE))*(P$3*$E$3+P$4*$E$4)</f>
        <v>539203.49350400001</v>
      </c>
      <c r="Q118" s="25"/>
      <c r="R118" s="25">
        <f>IF($AC118&gt;=15,(VLOOKUP($E118,Tabla13[],Inputs_costos!$G$1,FALSE))*($R$3*$E$3+$R$4*$E$4),(VLOOKUP($E118,Tabla13[],Inputs_costos!$G$1,FALSE))*($T$3*$E$3+$T$4*$E$4))-AH118</f>
        <v>9154571.3024000004</v>
      </c>
      <c r="S118" s="25">
        <f t="shared" si="76"/>
        <v>815000</v>
      </c>
      <c r="T118" s="25">
        <f>IF($AC118&gt;=15,(VLOOKUP($E118,Tabla13[],Inputs_costos!$H$1,FALSE))*($R$3*$E$3+$R$4*$E$4),(VLOOKUP($E118,Tabla13[],Inputs_costos!$H$1,FALSE))*($T$3*$E$3+$T$4*$E$4))</f>
        <v>1618782.7032880001</v>
      </c>
      <c r="U118" s="465">
        <f>SUMIFS(Tabla24[Costo de Cierre Técnico de BCA (US$)],Tabla24[Localidad],Resumen!$D118)</f>
        <v>0</v>
      </c>
      <c r="V118" s="461">
        <f t="shared" ref="V118:V119" si="77">+U118*(V$3*$E$3+V$4*$E$4)</f>
        <v>0</v>
      </c>
      <c r="W118" s="465">
        <f>SUMIFS(Tabla24[Costo anual de Manteniemiento Post-cierre (US$)],Tabla24[Localidad],Resumen!$D118)</f>
        <v>0</v>
      </c>
      <c r="X118" s="461">
        <f t="shared" ref="X118:X119" si="78">+W118*(X$3*$E$3+X$4*$E$4)</f>
        <v>0</v>
      </c>
      <c r="Y118" s="28">
        <f>VLOOKUP($D118,'Costo Social x localidad'!$B$2:$M$156,12,FALSE)*(Y$3*$E$3+Y$4*$E$4)</f>
        <v>46309.279172399998</v>
      </c>
      <c r="Z118" s="28">
        <f>VLOOKUP(D118,'Estimación  PRESUPUESTO PCAS'!$B$4:$G$158,'Estimación  PRESUPUESTO PCAS'!$G$2,FALSE)</f>
        <v>275294.8010989977</v>
      </c>
      <c r="AA118" s="650">
        <f>(-O118-R118)/(1+0.12)+PV(12%,20,P118)+PV(12%,20,T118)-(O118*0.5)/(1+0.12)^10-S118/(1+0.12)^10</f>
        <v>-26068350.156073786</v>
      </c>
      <c r="AB118" s="651">
        <f>M118+AA118</f>
        <v>-45246479.570631541</v>
      </c>
      <c r="AC118" s="10">
        <f>VLOOKUP($E118,Resumen_Generación!$B$5:$F$158,Resumen_Generación!$D$3,FALSE)</f>
        <v>29.334794888000005</v>
      </c>
      <c r="AD118" s="10">
        <f>VLOOKUP($E118,Resumen_Generación!$B$5:$G$158,Resumen_Generación!$G$3,FALSE)</f>
        <v>11.917997640000001</v>
      </c>
      <c r="AE118" s="362">
        <f>VLOOKUP($E118,Resumen_Generación!$B$5:$F$158,Resumen_Generación!$E$3,FALSE)</f>
        <v>36669</v>
      </c>
      <c r="AF118" s="10">
        <f>VLOOKUP($E118,Resumen_Generación!$B$5:$F$158,Resumen_Generación!$F$3,FALSE)</f>
        <v>13.566728000000001</v>
      </c>
      <c r="AG118" s="448">
        <f>VLOOKUP($D118,Valoración_Equip_actual!$D$4:$I$157,Valoración_Equip_actual!$E$2,FALSE)*$E$4</f>
        <v>299196.86790000001</v>
      </c>
      <c r="AH118" s="448">
        <f>VLOOKUP($D118,Valoración_Equip_actual!$D$4:$I$157,Valoración_Equip_actual!$F$2,FALSE)*$E$4</f>
        <v>121500.8</v>
      </c>
      <c r="AI118" s="448">
        <f>[56]P_Datos!$D$43</f>
        <v>0.97573770491803291</v>
      </c>
      <c r="AN118" s="34" t="str">
        <f>[56]Datos!$C$2</f>
        <v>Pehuajó</v>
      </c>
      <c r="AO118" s="25" t="str">
        <f>VLOOKUP($E118,Tabla13[],Inputs_costos!$D$1,FALSE)</f>
        <v>PEHUAJÓ</v>
      </c>
      <c r="AP118" s="28" t="str">
        <f>VLOOKUP($D118,'Costo Social x localidad'!$B$2:$M$156,1,FALSE)</f>
        <v>PEHUAJÓ</v>
      </c>
    </row>
    <row r="119" spans="1:42" ht="15.75" thickBot="1">
      <c r="A119" s="917"/>
      <c r="B119" s="887"/>
      <c r="C119" s="478" t="str">
        <f>IF(AND(D119=AN119,D119=AO119,D119=AP119),"ok","ATENCIÓN NO ESTÁ TOMANDO BIEN LA LOCALIDAD")</f>
        <v>ok</v>
      </c>
      <c r="D119" s="36" t="s">
        <v>133</v>
      </c>
      <c r="E119" s="482">
        <f>VLOOKUP(D119,Pobl_adoptada!$C$5:$D$158,2,FALSE)</f>
        <v>44</v>
      </c>
      <c r="F119" s="37" t="s">
        <v>308</v>
      </c>
      <c r="G119" s="37"/>
      <c r="H119" s="117">
        <f>'[57]Inversion rec-TA'!$G$21</f>
        <v>3235258.9982797671</v>
      </c>
      <c r="I119" s="117"/>
      <c r="J119" s="117">
        <f>'[57]Costos Operativos Rec-TA'!$G$23</f>
        <v>1509603.8655466801</v>
      </c>
      <c r="K119" s="25">
        <f>'[57]Inversion rec-TA'!$G$46</f>
        <v>0</v>
      </c>
      <c r="L119" s="25">
        <f>+'[57]Costos Operativos Rec-TA'!$G$46</f>
        <v>0</v>
      </c>
      <c r="M119" s="19">
        <f t="shared" si="75"/>
        <v>-15206191.885260189</v>
      </c>
      <c r="N119" s="19"/>
      <c r="O119" s="25">
        <f>IF(((VLOOKUP($E119,Tabla13[],Inputs_costos!$I$1,FALSE))*(O$3*$E$3+O$4*$E$4)-AG119)&lt;0,0,VLOOKUP($E119,Tabla13[],Inputs_costos!$I$1,FALSE)*(O$3*$E$3+O$4*$E$4)-AG119)</f>
        <v>783651.56981320097</v>
      </c>
      <c r="P119" s="25">
        <f>(VLOOKUP($E119,Tabla13[],Inputs_costos!$J$1,FALSE))*(P$3*$E$3+P$4*$E$4)</f>
        <v>326030.01932800002</v>
      </c>
      <c r="Q119" s="25"/>
      <c r="R119" s="25">
        <f>IF($AC119&gt;=15,(VLOOKUP($E119,Tabla13[],Inputs_costos!$G$1,FALSE))*($R$3*$E$3+$R$4*$E$4),(VLOOKUP($E119,Tabla13[],Inputs_costos!$G$1,FALSE))*($T$3*$E$3+$T$4*$E$4))-AH119</f>
        <v>6856255.0008000005</v>
      </c>
      <c r="S119" s="25">
        <f t="shared" si="76"/>
        <v>815000</v>
      </c>
      <c r="T119" s="25">
        <f>IF($AC119&gt;=15,(VLOOKUP($E119,Tabla13[],Inputs_costos!$H$1,FALSE))*($R$3*$E$3+$R$4*$E$4),(VLOOKUP($E119,Tabla13[],Inputs_costos!$H$1,FALSE))*($T$3*$E$3+$T$4*$E$4))</f>
        <v>1691466.3952640002</v>
      </c>
      <c r="U119" s="465">
        <f>SUMIFS(Tabla24[Costo de Cierre Técnico de BCA (US$)],Tabla24[Localidad],Resumen!$D119)</f>
        <v>845880</v>
      </c>
      <c r="V119" s="461">
        <f t="shared" si="77"/>
        <v>1624463.8173120001</v>
      </c>
      <c r="W119" s="465">
        <f>SUMIFS(Tabla24[Costo anual de Manteniemiento Post-cierre (US$)],Tabla24[Localidad],Resumen!$D119)</f>
        <v>75102.142361487582</v>
      </c>
      <c r="X119" s="461">
        <f t="shared" si="78"/>
        <v>144229.33852183688</v>
      </c>
      <c r="Y119" s="447">
        <f>VLOOKUP($D119,'Costo Social x localidad'!$B$2:$M$156,12,FALSE)*(Y$3*$E$3+Y$4*$E$4)</f>
        <v>30297.046984319997</v>
      </c>
      <c r="Z119" s="28">
        <f>VLOOKUP(D119,'Estimación  PRESUPUESTO PCAS'!$B$4:$G$158,'Estimación  PRESUPUESTO PCAS'!$G$2,FALSE)</f>
        <v>257668.69386204969</v>
      </c>
      <c r="AA119" s="650">
        <f>(-O119-R119)/(1+0.12)+PV(12%,20,P119)+PV(12%,20,T119)-(O119*0.5)/(1+0.12)^10-S119/(1+0.12)^10</f>
        <v>-22279486.487378705</v>
      </c>
      <c r="AB119" s="651">
        <f>M119+AA119</f>
        <v>-37485678.372638896</v>
      </c>
      <c r="AC119" s="10">
        <f>VLOOKUP($E119,Resumen_Generación!$B$5:$F$158,Resumen_Generación!$D$3,FALSE)</f>
        <v>17.757768296000002</v>
      </c>
      <c r="AD119" s="10">
        <f>VLOOKUP($E119,Resumen_Generación!$B$5:$G$158,Resumen_Generación!$G$3,FALSE)</f>
        <v>7.2362733800000001</v>
      </c>
      <c r="AE119" s="362">
        <f>VLOOKUP($E119,Resumen_Generación!$B$5:$F$158,Resumen_Generación!$E$3,FALSE)</f>
        <v>22214</v>
      </c>
      <c r="AF119" s="10">
        <f>VLOOKUP($E119,Resumen_Generación!$B$5:$F$158,Resumen_Generación!$F$3,FALSE)</f>
        <v>8.2031810000000007</v>
      </c>
      <c r="AG119" s="448">
        <f>VLOOKUP($D119,Valoración_Equip_actual!$D$4:$I$157,Valoración_Equip_actual!$E$2,FALSE)*$E$4</f>
        <v>886751.4365867991</v>
      </c>
      <c r="AH119" s="448">
        <f>VLOOKUP($D119,Valoración_Equip_actual!$D$4:$I$157,Valoración_Equip_actual!$F$2,FALSE)*$E$4</f>
        <v>538877.24</v>
      </c>
      <c r="AI119" s="448">
        <f>[57]P_Datos!$D$43</f>
        <v>0.57252459016393442</v>
      </c>
      <c r="AN119" s="34" t="str">
        <f>[57]Datos!$C$2</f>
        <v>Carlos Casares</v>
      </c>
      <c r="AO119" s="25" t="str">
        <f>VLOOKUP($E119,Tabla13[],Inputs_costos!$D$1,FALSE)</f>
        <v>CARLOS CASARES</v>
      </c>
      <c r="AP119" s="28" t="str">
        <f>VLOOKUP($D119,'Costo Social x localidad'!$B$2:$M$156,1,FALSE)</f>
        <v>CARLOS CASARES</v>
      </c>
    </row>
    <row r="120" spans="1:42" ht="15.75" thickBot="1">
      <c r="A120" s="917"/>
      <c r="B120" s="888"/>
      <c r="C120" s="483"/>
      <c r="D120" s="12" t="s">
        <v>8</v>
      </c>
      <c r="E120" s="40"/>
      <c r="F120" s="13"/>
      <c r="G120" s="8"/>
      <c r="H120" s="32">
        <f>SUM(H117:H119)</f>
        <v>11811201.106755413</v>
      </c>
      <c r="I120" s="32"/>
      <c r="J120" s="32">
        <f>SUM(J117:J119)</f>
        <v>6242416.1142092077</v>
      </c>
      <c r="K120" s="14"/>
      <c r="L120" s="14"/>
      <c r="M120" s="15">
        <f>SUM(M117:M119)</f>
        <v>-60975981.166934229</v>
      </c>
      <c r="N120" s="15"/>
      <c r="O120" s="16">
        <f>SUM(O117:O119)</f>
        <v>3471338.8965812009</v>
      </c>
      <c r="P120" s="16">
        <f>SUM(P117:P119)</f>
        <v>1526902.3105919999</v>
      </c>
      <c r="Q120" s="16"/>
      <c r="R120" s="26">
        <f>SUM(R117:R119)</f>
        <v>26203625.511200003</v>
      </c>
      <c r="S120" s="26"/>
      <c r="T120" s="26">
        <f>SUM(T117:T119)</f>
        <v>4866545.0781920003</v>
      </c>
      <c r="U120" s="26"/>
      <c r="V120" s="26">
        <f>SUM(V117:V119)</f>
        <v>2182237.1079680002</v>
      </c>
      <c r="W120" s="26"/>
      <c r="X120" s="26">
        <f>SUM(X117:X119)</f>
        <v>193751.6928513899</v>
      </c>
      <c r="Y120" s="26">
        <f>SUM(Y117:Y119)</f>
        <v>145730.441154</v>
      </c>
      <c r="Z120" s="26">
        <f>SUM(Z117:Z119)</f>
        <v>876967.55904104596</v>
      </c>
      <c r="AA120" s="653">
        <f>SUM(AA117:AA119)</f>
        <v>-75597062.444527462</v>
      </c>
      <c r="AB120" s="654">
        <f>+M120+AA120</f>
        <v>-136573043.6114617</v>
      </c>
      <c r="AC120" s="630">
        <f t="shared" ref="AC120:AI120" si="79">SUM(AC117:AC119)</f>
        <v>83.095595048000007</v>
      </c>
      <c r="AD120" s="630">
        <f t="shared" si="79"/>
        <v>33.82231994</v>
      </c>
      <c r="AE120" s="631">
        <f t="shared" si="79"/>
        <v>103918</v>
      </c>
      <c r="AF120" s="630">
        <f t="shared" si="79"/>
        <v>38.417792000000006</v>
      </c>
      <c r="AG120" s="630">
        <f t="shared" si="79"/>
        <v>1706446.6800587992</v>
      </c>
      <c r="AH120" s="630">
        <f t="shared" si="79"/>
        <v>757755.28</v>
      </c>
      <c r="AI120" s="630">
        <f t="shared" si="79"/>
        <v>2.742819672131148</v>
      </c>
      <c r="AJ120" s="4"/>
      <c r="AK120" s="4"/>
      <c r="AL120" s="4"/>
      <c r="AM120" s="4"/>
      <c r="AN120" s="4"/>
      <c r="AO120" s="4"/>
      <c r="AP120" s="4"/>
    </row>
    <row r="121" spans="1:42">
      <c r="A121" s="917"/>
      <c r="B121" s="886" t="s">
        <v>310</v>
      </c>
      <c r="C121" s="481" t="str">
        <f>IF(AND(D121=AN121,D121=AO121,D121=AP121),"ok","ATENCIÓN NO ESTÁ TOMANDO BIEN LA LOCALIDAD")</f>
        <v>ok</v>
      </c>
      <c r="D121" s="23" t="s">
        <v>113</v>
      </c>
      <c r="E121" s="114">
        <f>VLOOKUP(D121,Pobl_adoptada!$C$5:$D$158,2,FALSE)</f>
        <v>26</v>
      </c>
      <c r="F121" s="8" t="s">
        <v>308</v>
      </c>
      <c r="G121" s="576">
        <f>+'[58]Inversion rec-TA'!$G$21</f>
        <v>4727050.9255007925</v>
      </c>
      <c r="H121" s="577">
        <f>+($AC117/$AC120)*H124+G121</f>
        <v>5512650.0003711842</v>
      </c>
      <c r="I121" s="587">
        <f>+'[58]Costos Operativos Rec-TA'!$G$23</f>
        <v>3021914.3398721609</v>
      </c>
      <c r="J121" s="579">
        <f>+($AC117/$AC120)*J124+I121</f>
        <v>3037626.3213695688</v>
      </c>
      <c r="K121" s="10">
        <f>+'[58]Inversion rec-TA'!$G$46</f>
        <v>0</v>
      </c>
      <c r="L121" s="10">
        <f>+'[58]Costos Operativos Rec-TA'!$G$46</f>
        <v>0</v>
      </c>
      <c r="M121" s="19">
        <f t="shared" ref="M121:M123" si="80">-H121/(1+0.12)+PV(12%,20,J121)-H121/(1+0.12)^10</f>
        <v>-29386313.250957672</v>
      </c>
      <c r="N121" s="614">
        <f>+$AD117/$AD120*N125</f>
        <v>882416.33417449531</v>
      </c>
      <c r="O121" s="25">
        <f>IF(N121-AG121&lt;0,0,N121-AG121)</f>
        <v>517944.05860249529</v>
      </c>
      <c r="P121" s="32">
        <f>+$AD117/$AD120*P125</f>
        <v>485646.74699407525</v>
      </c>
      <c r="Q121" s="614">
        <f>+$AC117/$AC120*Q125</f>
        <v>7337057.8318351861</v>
      </c>
      <c r="R121" s="647">
        <f>IF(Q121-AH121&lt;0,0,Q121-AH121)</f>
        <v>7239680.5918351859</v>
      </c>
      <c r="S121" s="647">
        <f>+S117</f>
        <v>815000</v>
      </c>
      <c r="T121" s="32">
        <f>+$AC117/$AC120*T125</f>
        <v>589848.08058244362</v>
      </c>
      <c r="U121" s="27"/>
      <c r="V121" s="461">
        <f>+V117</f>
        <v>557773.29065600003</v>
      </c>
      <c r="W121" s="27"/>
      <c r="X121" s="461">
        <f t="shared" ref="X121:Z123" si="81">+X117</f>
        <v>49522.354329553018</v>
      </c>
      <c r="Y121" s="27">
        <f t="shared" si="81"/>
        <v>69124.114997280005</v>
      </c>
      <c r="Z121" s="27">
        <f t="shared" si="81"/>
        <v>344004.06407999853</v>
      </c>
      <c r="AA121" s="650">
        <f>(-O121-R121)/(1+0.12)+PV(12%,20,P121)+PV(12%,20,T121)-(O121*0.5)/(1+0.12)^10-S121/(1+0.12)^10</f>
        <v>-15305588.813868668</v>
      </c>
      <c r="AB121" s="651">
        <f>M121+AA121</f>
        <v>-44691902.064826339</v>
      </c>
      <c r="AG121" s="448">
        <f>VLOOKUP($D121,Valoración_Eq_REG!$D$4:$I$157,Valoración_Eq_REG!$E$2,FALSE)*$E$4</f>
        <v>364472.27557200001</v>
      </c>
      <c r="AH121" s="448">
        <f>VLOOKUP($D121,Valoración_Eq_REG!$D$4:$I$157,Valoración_Eq_REG!$F$2,FALSE)*$E$4</f>
        <v>97377.24</v>
      </c>
      <c r="AJ121" s="484">
        <f>+'[58]Evaluacion Economica'!$L$25</f>
        <v>5</v>
      </c>
      <c r="AK121" s="448">
        <f>+'[58]Evaluacion Economica'!$R$25</f>
        <v>19</v>
      </c>
      <c r="AL121" s="484">
        <f>+'[58]P_Evaluacion Economica'!$L$27</f>
        <v>4</v>
      </c>
      <c r="AM121" s="448">
        <f>+'[58]P_Evaluacion Economica'!$Q$27</f>
        <v>6</v>
      </c>
      <c r="AN121" s="34" t="str">
        <f>+[58]Datos!$C$2</f>
        <v>9 de Julio</v>
      </c>
      <c r="AO121" s="25" t="str">
        <f>VLOOKUP($E121,Tabla13[],Inputs_costos!$D$1,FALSE)</f>
        <v>9 DE JULIO</v>
      </c>
      <c r="AP121" s="28" t="str">
        <f>VLOOKUP($D121,'Costo Social x localidad'!$B$2:$M$156,1,FALSE)</f>
        <v>9 DE JULIO</v>
      </c>
    </row>
    <row r="122" spans="1:42">
      <c r="A122" s="917"/>
      <c r="B122" s="887"/>
      <c r="C122" s="478" t="str">
        <f>IF(AND(D122=AN122,D122=AO122,D122=AP122),"ok","ATENCIÓN NO ESTÁ TOMANDO BIEN LA LOCALIDAD")</f>
        <v>ok</v>
      </c>
      <c r="D122" s="24" t="s">
        <v>203</v>
      </c>
      <c r="E122" s="115">
        <f>VLOOKUP(D122,Pobl_adoptada!$C$5:$D$158,2,FALSE)</f>
        <v>101</v>
      </c>
      <c r="F122" s="9" t="s">
        <v>308</v>
      </c>
      <c r="G122" s="580">
        <f>+'[59]Inversion rec-TA'!$G$21</f>
        <v>3534435.3009231486</v>
      </c>
      <c r="H122" s="34">
        <f>+($AC118/$AC120)*H124+G122</f>
        <v>4174531.052097064</v>
      </c>
      <c r="I122" s="465">
        <f>+'[59]Costos Operativos Rec-TA'!$G$23</f>
        <v>2165386.1301974207</v>
      </c>
      <c r="J122" s="581">
        <f>+($AC118/$AC120)*J124+I122</f>
        <v>2178188.0452208989</v>
      </c>
      <c r="K122" s="10">
        <f>+'[59]Inversion rec-TA'!$G$46</f>
        <v>0</v>
      </c>
      <c r="L122" s="10">
        <f>+'[59]Costos Operativos Rec-TA'!$G$46</f>
        <v>0</v>
      </c>
      <c r="M122" s="19">
        <f t="shared" si="80"/>
        <v>-21341199.948997699</v>
      </c>
      <c r="N122" s="465">
        <f>+$AD118/$AD120*N125</f>
        <v>716975.77813839808</v>
      </c>
      <c r="O122" s="25">
        <f>IF(N122-AG122&lt;0,0,N122-AG122)</f>
        <v>469103.28523839812</v>
      </c>
      <c r="P122" s="25">
        <f>+$AD118/$AD120*P125</f>
        <v>394594.86507828382</v>
      </c>
      <c r="Q122" s="465">
        <f>+$AC118/$AC120*Q125</f>
        <v>5978137.8243728457</v>
      </c>
      <c r="R122" s="647">
        <f>IF(Q122-AH122&lt;0,0,Q122-AH122)</f>
        <v>5856637.0243728459</v>
      </c>
      <c r="S122" s="647">
        <f>+S118</f>
        <v>815000</v>
      </c>
      <c r="T122" s="25">
        <f>+$AC118/$AC120*T125</f>
        <v>480600.42621766246</v>
      </c>
      <c r="U122" s="458"/>
      <c r="V122" s="461">
        <f>+V118</f>
        <v>0</v>
      </c>
      <c r="W122" s="28"/>
      <c r="X122" s="461">
        <f t="shared" si="81"/>
        <v>0</v>
      </c>
      <c r="Y122" s="28">
        <f t="shared" si="81"/>
        <v>46309.279172399998</v>
      </c>
      <c r="Z122" s="28">
        <f t="shared" si="81"/>
        <v>275294.8010989977</v>
      </c>
      <c r="AA122" s="650">
        <f>(-O122-R122)/(1+0.12)+PV(12%,20,P122)+PV(12%,20,T122)-(O122*0.5)/(1+0.12)^10-S122/(1+0.12)^10</f>
        <v>-12523131.847250979</v>
      </c>
      <c r="AB122" s="651">
        <f>M122+AA122</f>
        <v>-33864331.796248674</v>
      </c>
      <c r="AC122" s="39"/>
      <c r="AD122" s="10"/>
      <c r="AE122" s="10"/>
      <c r="AF122" s="10"/>
      <c r="AG122" s="448">
        <f>VLOOKUP($D122,Valoración_Eq_REG!$D$4:$I$157,Valoración_Eq_REG!$E$2,FALSE)*$E$4</f>
        <v>247872.49289999998</v>
      </c>
      <c r="AH122" s="448">
        <f>VLOOKUP($D122,Valoración_Eq_REG!$D$4:$I$157,Valoración_Eq_REG!$F$2,FALSE)*$E$4</f>
        <v>121500.8</v>
      </c>
      <c r="AI122" s="11"/>
      <c r="AJ122" s="484">
        <f>+'[59]Evaluacion Economica'!$L$25</f>
        <v>4</v>
      </c>
      <c r="AK122" s="448">
        <f>+'[59]Evaluacion Economica'!$R$25</f>
        <v>17</v>
      </c>
      <c r="AL122" s="484">
        <f>+'[59]P_Evaluacion Economica'!$L$27</f>
        <v>3</v>
      </c>
      <c r="AM122" s="448">
        <f>+'[59]P_Evaluacion Economica'!$Q$27</f>
        <v>6</v>
      </c>
      <c r="AN122" s="34" t="str">
        <f>+[59]Datos!$C$2</f>
        <v>Pehuajó</v>
      </c>
      <c r="AO122" s="25" t="str">
        <f>VLOOKUP($E122,Tabla13[],Inputs_costos!$D$1,FALSE)</f>
        <v>PEHUAJÓ</v>
      </c>
      <c r="AP122" s="28" t="str">
        <f>VLOOKUP($D122,'Costo Social x localidad'!$B$2:$M$156,1,FALSE)</f>
        <v>PEHUAJÓ</v>
      </c>
    </row>
    <row r="123" spans="1:42" ht="15.75" thickBot="1">
      <c r="A123" s="917"/>
      <c r="B123" s="887"/>
      <c r="C123" s="478" t="str">
        <f>IF(AND(D123=AN123,D123=AO123,D123=AP123),"ok","ATENCIÓN NO ESTÁ TOMANDO BIEN LA LOCALIDAD")</f>
        <v>ok</v>
      </c>
      <c r="D123" s="36" t="s">
        <v>133</v>
      </c>
      <c r="E123" s="115">
        <f>VLOOKUP(D123,Pobl_adoptada!$C$5:$D$158,2,FALSE)</f>
        <v>44</v>
      </c>
      <c r="F123" s="9" t="s">
        <v>308</v>
      </c>
      <c r="G123" s="580">
        <f>+'[60]Inversion rec-TA'!$G$21</f>
        <v>2722864.7367098257</v>
      </c>
      <c r="H123" s="34">
        <f>+($AC119/$AC120)*H124+G123</f>
        <v>3110345.6132592722</v>
      </c>
      <c r="I123" s="465">
        <f>+'[60]Costos Operativos Rec-TA'!$G$23</f>
        <v>1517580.5869679472</v>
      </c>
      <c r="J123" s="581">
        <f>+($AC119/$AC120)*J124+I123</f>
        <v>1525330.2044989362</v>
      </c>
      <c r="K123" s="10">
        <f>+'[60]Inversion rec-TA'!$G$46</f>
        <v>0</v>
      </c>
      <c r="L123" s="10">
        <f>+'[60]Costos Operativos Rec-TA'!$G$46</f>
        <v>0</v>
      </c>
      <c r="M123" s="19">
        <f t="shared" si="80"/>
        <v>-15171910.312558571</v>
      </c>
      <c r="N123" s="465">
        <f>+$AD119/$AD120*N125</f>
        <v>435327.55200710671</v>
      </c>
      <c r="O123" s="25">
        <f>IF(N123-AG123&lt;0,0,N123-AG123)</f>
        <v>0</v>
      </c>
      <c r="P123" s="25">
        <f>+$AD119/$AD120*P125</f>
        <v>239586.91755964104</v>
      </c>
      <c r="Q123" s="465">
        <f>+$AC119/$AC120*Q125</f>
        <v>3618855.5853919676</v>
      </c>
      <c r="R123" s="647">
        <f>IF(Q123-AH123&lt;0,0,Q123-AH123)</f>
        <v>3079978.3453919673</v>
      </c>
      <c r="S123" s="647">
        <f>+S119</f>
        <v>815000</v>
      </c>
      <c r="T123" s="25">
        <f>+$AC119/$AC120*T125</f>
        <v>290930.65229589387</v>
      </c>
      <c r="U123" s="29"/>
      <c r="V123" s="461">
        <f>+V119</f>
        <v>1624463.8173120001</v>
      </c>
      <c r="W123" s="25"/>
      <c r="X123" s="461">
        <f t="shared" si="81"/>
        <v>144229.33852183688</v>
      </c>
      <c r="Y123" s="28">
        <f t="shared" si="81"/>
        <v>30297.046984319997</v>
      </c>
      <c r="Z123" s="28">
        <f t="shared" si="81"/>
        <v>257668.69386204969</v>
      </c>
      <c r="AA123" s="650">
        <f>(-O123-R123)/(1+0.12)+PV(12%,20,P123)+PV(12%,20,T123)-(O123*0.5)/(1+0.12)^10-S123/(1+0.12)^10</f>
        <v>-6975059.9331011549</v>
      </c>
      <c r="AB123" s="651">
        <f>M123+AA123</f>
        <v>-22146970.245659724</v>
      </c>
      <c r="AC123" s="10"/>
      <c r="AD123" s="10"/>
      <c r="AE123" s="10"/>
      <c r="AF123" s="10"/>
      <c r="AG123" s="448">
        <f>VLOOKUP($D123,Valoración_Eq_REG!$D$4:$I$157,Valoración_Eq_REG!$E$2,FALSE)*$E$4</f>
        <v>886751.4365867991</v>
      </c>
      <c r="AH123" s="448">
        <f>VLOOKUP($D123,Valoración_Eq_REG!$D$4:$I$157,Valoración_Eq_REG!$F$2,FALSE)*$E$4</f>
        <v>538877.24</v>
      </c>
      <c r="AI123" s="2"/>
      <c r="AJ123" s="484">
        <f>+'[60]Evaluacion Economica'!$L$25</f>
        <v>3</v>
      </c>
      <c r="AK123" s="448">
        <f>+'[60]Evaluacion Economica'!$R$25</f>
        <v>9</v>
      </c>
      <c r="AL123" s="484">
        <f>+'[60]P_Evaluacion Economica'!$L$27</f>
        <v>3</v>
      </c>
      <c r="AM123" s="448">
        <f>+'[60]P_Evaluacion Economica'!$Q$27</f>
        <v>6</v>
      </c>
      <c r="AN123" s="34" t="str">
        <f>+[60]Datos!$C$2</f>
        <v>Carlos Casares</v>
      </c>
      <c r="AO123" s="25" t="str">
        <f>VLOOKUP($E123,Tabla13[],Inputs_costos!$D$1,FALSE)</f>
        <v>CARLOS CASARES</v>
      </c>
      <c r="AP123" s="28" t="str">
        <f>VLOOKUP($D123,'Costo Social x localidad'!$B$2:$M$156,1,FALSE)</f>
        <v>CARLOS CASARES</v>
      </c>
    </row>
    <row r="124" spans="1:42" ht="30.75" thickBot="1">
      <c r="A124" s="917"/>
      <c r="B124" s="887"/>
      <c r="C124" s="912" t="s">
        <v>12</v>
      </c>
      <c r="D124" s="913"/>
      <c r="E124" s="498" t="s">
        <v>589</v>
      </c>
      <c r="F124" s="571">
        <f>+F111</f>
        <v>0.02</v>
      </c>
      <c r="G124" s="582"/>
      <c r="H124" s="461">
        <f>+AJ124*AJ126+AL124*AL126</f>
        <v>1813175.7025937531</v>
      </c>
      <c r="I124" s="461"/>
      <c r="J124" s="583">
        <f>+$F124*H124</f>
        <v>36263.514051875063</v>
      </c>
      <c r="K124" s="10"/>
      <c r="L124" s="10"/>
      <c r="M124" s="19"/>
      <c r="N124" s="465"/>
      <c r="O124" s="10"/>
      <c r="P124" s="10"/>
      <c r="Q124" s="618"/>
      <c r="R124" s="28"/>
      <c r="S124" s="28"/>
      <c r="T124" s="28"/>
      <c r="U124" s="28"/>
      <c r="V124" s="28"/>
      <c r="W124" s="28"/>
      <c r="X124" s="28"/>
      <c r="Y124" s="28"/>
      <c r="Z124" s="28"/>
      <c r="AA124" s="658"/>
      <c r="AB124" s="20"/>
      <c r="AC124" s="10"/>
      <c r="AD124" s="10"/>
      <c r="AE124" s="10"/>
      <c r="AF124" s="10"/>
      <c r="AG124" s="4"/>
      <c r="AH124" s="4"/>
      <c r="AI124" s="4"/>
      <c r="AJ124" s="501">
        <f>ROUNDUP(C125*SUM(AJ121:AJ123),0)</f>
        <v>4</v>
      </c>
      <c r="AK124" s="502">
        <f>AVERAGE(AK121:AK123)</f>
        <v>15</v>
      </c>
      <c r="AL124" s="501">
        <f>ROUNDUP(C125*SUM(AL121:AL123),0)</f>
        <v>3</v>
      </c>
      <c r="AM124" s="502">
        <f>AVERAGE(AM121:AM123)</f>
        <v>6</v>
      </c>
      <c r="AN124" s="4"/>
      <c r="AO124" s="4"/>
      <c r="AP124" s="4"/>
    </row>
    <row r="125" spans="1:42" ht="15.75" thickBot="1">
      <c r="A125" s="918"/>
      <c r="B125" s="888"/>
      <c r="C125" s="570">
        <v>0.3</v>
      </c>
      <c r="D125" s="500" t="str">
        <f>A117</f>
        <v>REGIÓN CARLOS CASARES</v>
      </c>
      <c r="E125" s="468"/>
      <c r="F125" s="469"/>
      <c r="G125" s="584"/>
      <c r="H125" s="585">
        <f>SUM(H121:H123)</f>
        <v>12797526.66572752</v>
      </c>
      <c r="I125" s="585"/>
      <c r="J125" s="586">
        <f>SUM(J121:J123)</f>
        <v>6741144.5710894046</v>
      </c>
      <c r="K125" s="14"/>
      <c r="L125" s="14"/>
      <c r="M125" s="15">
        <f>SUM(M121:M124)</f>
        <v>-65899423.512513943</v>
      </c>
      <c r="N125" s="615">
        <f>(VLOOKUP($E121,Tabla13[],Inputs_costos!$P$1,FALSE))*(O$3*$E$3+O$4*$E$4)</f>
        <v>2034719.66432</v>
      </c>
      <c r="O125" s="35">
        <f>SUM(O121:O123)</f>
        <v>987047.34384089336</v>
      </c>
      <c r="P125" s="35">
        <f>(VLOOKUP($E121,Tabla13[],Inputs_costos!$Q$1,FALSE))*(P$3*$E$3+P$4*$E$4)</f>
        <v>1119828.529632</v>
      </c>
      <c r="Q125" s="615">
        <f>IF($AC120&gt;=15,(VLOOKUP($E121,Tabla13[],Inputs_costos!$N$1,FALSE))*($R$3*$E$3+$R$4*$E$4),(VLOOKUP($E121,Tabla13[],Inputs_costos!$N$1,FALSE))*($T$3*$E$3+$T$4*$E$4))</f>
        <v>16934051.241599999</v>
      </c>
      <c r="R125" s="35">
        <f>SUM(R121:R123)</f>
        <v>16176295.961599998</v>
      </c>
      <c r="S125" s="35"/>
      <c r="T125" s="35">
        <f>IF($AC120&gt;=15,(VLOOKUP($E121,Tabla13[],Inputs_costos!$O$1,FALSE))*($R$3*$E$3+$R$4*$E$4),(VLOOKUP($E121,Tabla13[],Inputs_costos!$O$1,FALSE))*($T$3*$E$3+$T$4*$E$4))</f>
        <v>1361379.159096</v>
      </c>
      <c r="U125" s="35"/>
      <c r="V125" s="31">
        <f>SUM(V121:V123)</f>
        <v>2182237.1079680002</v>
      </c>
      <c r="W125" s="31"/>
      <c r="X125" s="31">
        <f>SUM(X121:X123)</f>
        <v>193751.6928513899</v>
      </c>
      <c r="Y125" s="31">
        <f>SUM(Y121:Y123)</f>
        <v>145730.441154</v>
      </c>
      <c r="Z125" s="31">
        <f>SUM(Z121:Z123)</f>
        <v>876967.55904104596</v>
      </c>
      <c r="AA125" s="653">
        <f>SUM(AA121:AA123)</f>
        <v>-34803780.594220802</v>
      </c>
      <c r="AB125" s="654">
        <f>+M125+AA125</f>
        <v>-100703204.10673475</v>
      </c>
      <c r="AC125" s="38"/>
      <c r="AD125" s="38"/>
      <c r="AE125" s="38"/>
      <c r="AF125" s="38"/>
      <c r="AG125" s="4"/>
      <c r="AH125" s="4"/>
      <c r="AI125" s="4"/>
      <c r="AJ125" s="11"/>
      <c r="AK125" s="499">
        <f>VLOOKUP(ROUNDUP(AK124,0),DATOS!$F$16:$G$31,2,FALSE)</f>
        <v>15</v>
      </c>
      <c r="AL125" s="497"/>
      <c r="AM125" s="499">
        <f>VLOOKUP(ROUNDUP(AM124,0),DATOS!$J$16:$K$34,2,FALSE)</f>
        <v>6</v>
      </c>
      <c r="AN125" s="4"/>
      <c r="AO125" s="4"/>
      <c r="AP125" s="4"/>
    </row>
    <row r="126" spans="1:42">
      <c r="F126" s="2"/>
      <c r="G126" s="2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0"/>
      <c r="V126" s="2"/>
      <c r="W126" s="2"/>
      <c r="X126" s="2"/>
      <c r="Y126" s="2"/>
      <c r="Z126" s="2"/>
      <c r="AA126" s="4"/>
      <c r="AB126" s="4"/>
      <c r="AC126" s="4"/>
      <c r="AD126" s="4"/>
      <c r="AE126" s="4"/>
      <c r="AF126" s="4"/>
      <c r="AG126" s="644"/>
      <c r="AH126" s="448"/>
      <c r="AI126" s="4"/>
      <c r="AJ126" s="892">
        <f>VLOOKUP(AK125,DATOS!$F$3:$H$11,3,FALSE)</f>
        <v>277598.62978843832</v>
      </c>
      <c r="AK126" s="892"/>
      <c r="AL126" s="892">
        <f>VLOOKUP(AM125,DATOS!$J$3:$L$12,3,FALSE)</f>
        <v>234260.39447999999</v>
      </c>
      <c r="AM126" s="892"/>
      <c r="AN126" s="4"/>
      <c r="AO126" s="4"/>
      <c r="AP126" s="4"/>
    </row>
    <row r="127" spans="1:42" ht="15.75" thickBot="1">
      <c r="A127" s="503"/>
      <c r="B127" s="503"/>
      <c r="C127" s="503"/>
      <c r="D127" s="503"/>
      <c r="E127" s="503"/>
      <c r="F127" s="504"/>
      <c r="G127" s="504"/>
      <c r="H127" s="505"/>
      <c r="I127" s="505"/>
      <c r="J127" s="505"/>
      <c r="K127" s="505"/>
      <c r="L127" s="505"/>
      <c r="M127" s="505"/>
      <c r="N127" s="505"/>
      <c r="O127" s="505"/>
      <c r="P127" s="505"/>
      <c r="Q127" s="505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6"/>
      <c r="AB127" s="506"/>
      <c r="AC127" s="506"/>
      <c r="AD127" s="506"/>
      <c r="AE127" s="506"/>
      <c r="AF127" s="506"/>
      <c r="AG127" s="506"/>
      <c r="AH127" s="506"/>
      <c r="AI127" s="506"/>
      <c r="AJ127" s="506"/>
      <c r="AK127" s="506"/>
      <c r="AL127" s="506"/>
      <c r="AM127" s="506"/>
      <c r="AN127" s="506"/>
      <c r="AO127" s="506"/>
      <c r="AP127" s="506"/>
    </row>
    <row r="128" spans="1:42" ht="39" thickBot="1">
      <c r="A128" s="886" t="s">
        <v>7</v>
      </c>
      <c r="B128" s="886" t="s">
        <v>2</v>
      </c>
      <c r="C128" s="479"/>
      <c r="D128" s="882" t="s">
        <v>22</v>
      </c>
      <c r="E128" s="882" t="s">
        <v>23</v>
      </c>
      <c r="F128" s="882" t="s">
        <v>3</v>
      </c>
      <c r="G128" s="568"/>
      <c r="H128" s="901" t="s">
        <v>0</v>
      </c>
      <c r="I128" s="901"/>
      <c r="J128" s="901"/>
      <c r="K128" s="901" t="s">
        <v>1</v>
      </c>
      <c r="L128" s="901"/>
      <c r="M128" s="886" t="s">
        <v>10</v>
      </c>
      <c r="N128" s="879" t="s">
        <v>5</v>
      </c>
      <c r="O128" s="880"/>
      <c r="P128" s="881"/>
      <c r="Q128" s="902" t="s">
        <v>4</v>
      </c>
      <c r="R128" s="903"/>
      <c r="S128" s="903"/>
      <c r="T128" s="904"/>
      <c r="U128" s="902" t="s">
        <v>6</v>
      </c>
      <c r="V128" s="903"/>
      <c r="W128" s="903"/>
      <c r="X128" s="904"/>
      <c r="Y128" s="390" t="s">
        <v>689</v>
      </c>
      <c r="Z128" s="662" t="s">
        <v>690</v>
      </c>
      <c r="AA128" s="905" t="s">
        <v>686</v>
      </c>
      <c r="AB128" s="886" t="s">
        <v>9</v>
      </c>
      <c r="AC128" s="907" t="s">
        <v>312</v>
      </c>
      <c r="AD128" s="914" t="s">
        <v>649</v>
      </c>
      <c r="AE128" s="897" t="s">
        <v>20</v>
      </c>
      <c r="AF128" s="897" t="s">
        <v>313</v>
      </c>
      <c r="AG128" s="899" t="s">
        <v>552</v>
      </c>
      <c r="AH128" s="895" t="s">
        <v>578</v>
      </c>
      <c r="AI128" s="897" t="s">
        <v>579</v>
      </c>
      <c r="AJ128" s="882" t="s">
        <v>581</v>
      </c>
      <c r="AK128" s="882" t="s">
        <v>582</v>
      </c>
      <c r="AL128" s="882" t="s">
        <v>581</v>
      </c>
      <c r="AM128" s="882" t="s">
        <v>582</v>
      </c>
      <c r="AN128" s="884" t="s">
        <v>553</v>
      </c>
      <c r="AO128" s="885"/>
      <c r="AP128" s="885"/>
    </row>
    <row r="129" spans="1:42" ht="30.75" thickBot="1">
      <c r="A129" s="888"/>
      <c r="B129" s="888"/>
      <c r="C129" s="480"/>
      <c r="D129" s="883"/>
      <c r="E129" s="883"/>
      <c r="F129" s="883"/>
      <c r="G129" s="569"/>
      <c r="H129" s="17" t="s">
        <v>18</v>
      </c>
      <c r="I129" s="17"/>
      <c r="J129" s="17" t="s">
        <v>17</v>
      </c>
      <c r="K129" s="17" t="s">
        <v>18</v>
      </c>
      <c r="L129" s="17" t="s">
        <v>17</v>
      </c>
      <c r="M129" s="888"/>
      <c r="N129" s="464" t="s">
        <v>685</v>
      </c>
      <c r="O129" s="17" t="s">
        <v>18</v>
      </c>
      <c r="P129" s="17" t="s">
        <v>17</v>
      </c>
      <c r="Q129" s="464" t="s">
        <v>685</v>
      </c>
      <c r="R129" s="17" t="s">
        <v>18</v>
      </c>
      <c r="S129" s="17"/>
      <c r="T129" s="17" t="s">
        <v>17</v>
      </c>
      <c r="U129" s="464" t="s">
        <v>576</v>
      </c>
      <c r="V129" s="17" t="s">
        <v>18</v>
      </c>
      <c r="W129" s="464" t="s">
        <v>577</v>
      </c>
      <c r="X129" s="17" t="s">
        <v>17</v>
      </c>
      <c r="Y129" s="17" t="s">
        <v>18</v>
      </c>
      <c r="Z129" s="17" t="s">
        <v>17</v>
      </c>
      <c r="AA129" s="906"/>
      <c r="AB129" s="888"/>
      <c r="AC129" s="908"/>
      <c r="AD129" s="915"/>
      <c r="AE129" s="898"/>
      <c r="AF129" s="898"/>
      <c r="AG129" s="900"/>
      <c r="AH129" s="896"/>
      <c r="AI129" s="898"/>
      <c r="AJ129" s="883"/>
      <c r="AK129" s="883"/>
      <c r="AL129" s="883"/>
      <c r="AM129" s="883"/>
      <c r="AN129" s="1" t="s">
        <v>551</v>
      </c>
      <c r="AO129" s="9" t="s">
        <v>554</v>
      </c>
      <c r="AP129" s="1" t="s">
        <v>555</v>
      </c>
    </row>
    <row r="130" spans="1:42">
      <c r="A130" s="916" t="s">
        <v>598</v>
      </c>
      <c r="B130" s="886" t="s">
        <v>309</v>
      </c>
      <c r="C130" s="481" t="str">
        <f>IF(AND(D130=AN130,D130=AO130,D130=AP130),"ok","ATENCIÓN NO ESTÁ TOMANDO BIEN LA LOCALIDAD")</f>
        <v>ok</v>
      </c>
      <c r="D130" s="23" t="s">
        <v>181</v>
      </c>
      <c r="E130" s="114">
        <f>VLOOKUP(D130,Pobl_adoptada!$C$5:$D$158,2,FALSE)</f>
        <v>83</v>
      </c>
      <c r="F130" s="8" t="s">
        <v>308</v>
      </c>
      <c r="G130" s="8"/>
      <c r="H130" s="33">
        <f>'[61]Inversion rec-TA'!$G$21</f>
        <v>2322050.2967098258</v>
      </c>
      <c r="I130" s="33"/>
      <c r="J130" s="33">
        <f>'[61]Costos Operativos Rec-TA'!$G$23</f>
        <v>983925.80417262437</v>
      </c>
      <c r="K130" s="32">
        <f>'[61]Inversion rec-TA'!$G$46</f>
        <v>0</v>
      </c>
      <c r="L130" s="32">
        <f>+'[61]Costos Operativos Rec-TA'!$G$46</f>
        <v>0</v>
      </c>
      <c r="M130" s="19">
        <f t="shared" ref="M130:M132" si="82">-H130/(1+0.12)+PV(12%,20,J130)-H130/(1+0.12)^10</f>
        <v>-10170275.567837577</v>
      </c>
      <c r="N130" s="19"/>
      <c r="O130" s="25">
        <f>IF(((VLOOKUP($E130,Tabla13[],Inputs_costos!$I$1,FALSE))*(O$3*$E$3+O$4*$E$4)-AG130)&lt;0,0,VLOOKUP($E130,Tabla13[],Inputs_costos!$I$1,FALSE)*(O$3*$E$3+O$4*$E$4)-AG130)</f>
        <v>61125.258535999979</v>
      </c>
      <c r="P130" s="25">
        <f>(VLOOKUP($E130,Tabla13[],Inputs_costos!$J$1,FALSE))*(P$3*$E$3+P$4*$E$4)</f>
        <v>26127.3549570752</v>
      </c>
      <c r="Q130" s="25"/>
      <c r="R130" s="25">
        <f>IF($AC130&gt;=15,(VLOOKUP($E130,Tabla13[],Inputs_costos!$G$1,FALSE))*($R$3*$E$3+$R$4*$E$4),(VLOOKUP($E130,Tabla13[],Inputs_costos!$G$1,FALSE))*($T$3*$E$3+$T$4*$E$4))-AH130</f>
        <v>688982.39903999993</v>
      </c>
      <c r="S130" s="25">
        <f t="shared" ref="S130:S132" si="83">IF(AC130&lt;15,0,IF(AC130&lt;=350,815000,1345000))</f>
        <v>0</v>
      </c>
      <c r="T130" s="25">
        <f>IF($AC130&gt;=15,(VLOOKUP($E130,Tabla13[],Inputs_costos!$H$1,FALSE))*($R$3*$E$3+$R$4*$E$4),(VLOOKUP($E130,Tabla13[],Inputs_costos!$H$1,FALSE))*($T$3*$E$3+$T$4*$E$4))</f>
        <v>100543.808288</v>
      </c>
      <c r="U130" s="465">
        <f>SUMIFS(Tabla24[Costo de Cierre Técnico de BCA (US$)],Tabla24[Localidad],Resumen!$D130)</f>
        <v>0</v>
      </c>
      <c r="V130" s="461">
        <f>+U130*(V$3*$E$3+V$4*$E$4)</f>
        <v>0</v>
      </c>
      <c r="W130" s="465">
        <f>SUMIFS(Tabla24[Costo anual de Manteniemiento Post-cierre (US$)],Tabla24[Localidad],Resumen!$D130)</f>
        <v>0</v>
      </c>
      <c r="X130" s="461">
        <f>+W130*(X$3*$E$3+X$4*$E$4)</f>
        <v>0</v>
      </c>
      <c r="Y130" s="27">
        <f>VLOOKUP($D130,'Costo Social x localidad'!$B$2:$M$156,12,FALSE)*(Y$3*$E$3+Y$4*$E$4)</f>
        <v>10206.95204672</v>
      </c>
      <c r="Z130" s="28">
        <f>VLOOKUP(D130,'Estimación  PRESUPUESTO PCAS'!$B$4:$G$158,'Estimación  PRESUPUESTO PCAS'!$G$2,FALSE)</f>
        <v>163393.97954285826</v>
      </c>
      <c r="AA130" s="650">
        <f>(-O130-R130)/(1+0.12)+PV(12%,20,P130)+PV(12%,20,T130)-(O130*0.5)/(1+0.12)^10-S130/(1+0.12)^10</f>
        <v>-1625742.4413297977</v>
      </c>
      <c r="AB130" s="651">
        <f>M130+AA130</f>
        <v>-11796018.009167375</v>
      </c>
      <c r="AC130" s="10">
        <f>VLOOKUP($E130,Resumen_Generación!$B$5:$F$158,Resumen_Generación!$D$3,FALSE)</f>
        <v>7.6527469440000004</v>
      </c>
      <c r="AD130" s="10">
        <f>VLOOKUP($E130,Resumen_Generación!$B$5:$G$158,Resumen_Generación!$G$3,FALSE)</f>
        <v>3.1243738200000006</v>
      </c>
      <c r="AE130" s="362">
        <f>VLOOKUP($E130,Resumen_Generación!$B$5:$F$158,Resumen_Generación!$E$3,FALSE)</f>
        <v>11035</v>
      </c>
      <c r="AF130" s="10">
        <f>VLOOKUP($E130,Resumen_Generación!$B$5:$F$158,Resumen_Generación!$F$3,FALSE)</f>
        <v>3.5336279999999998</v>
      </c>
      <c r="AG130" s="448">
        <f>VLOOKUP($D130,Valoración_Equip_actual!$D$4:$I$157,Valoración_Equip_actual!$E$2,FALSE)*$E$4</f>
        <v>298034.57500000001</v>
      </c>
      <c r="AH130" s="448">
        <f>VLOOKUP($D130,Valoración_Equip_actual!$D$4:$I$157,Valoración_Equip_actual!$F$2,FALSE)*$E$4</f>
        <v>0</v>
      </c>
      <c r="AI130" s="448">
        <f>[61]P_Datos!$D$43</f>
        <v>0.28380327868852462</v>
      </c>
      <c r="AN130" s="449" t="str">
        <f>[61]Datos!$C$2</f>
        <v>Laprida</v>
      </c>
      <c r="AO130" s="450" t="str">
        <f>VLOOKUP($E130,Tabla13[],Inputs_costos!$D$1,FALSE)</f>
        <v>LAPRIDA</v>
      </c>
      <c r="AP130" s="451" t="str">
        <f>VLOOKUP($D130,'Costo Social x localidad'!$B$2:$M$156,1,FALSE)</f>
        <v>LAPRIDA</v>
      </c>
    </row>
    <row r="131" spans="1:42">
      <c r="A131" s="917"/>
      <c r="B131" s="887"/>
      <c r="C131" s="478" t="str">
        <f>IF(AND(D131=AN131,D131=AO131,D131=AP131),"ok","ATENCIÓN NO ESTÁ TOMANDO BIEN LA LOCALIDAD")</f>
        <v>ok</v>
      </c>
      <c r="D131" s="515" t="s">
        <v>259</v>
      </c>
      <c r="E131" s="115">
        <f>VLOOKUP(D131,Pobl_adoptada!$C$5:$D$158,2,FALSE)</f>
        <v>152</v>
      </c>
      <c r="F131" s="9" t="s">
        <v>308</v>
      </c>
      <c r="G131" s="9"/>
      <c r="H131" s="34">
        <f>'[62]Inversion rec-TA'!$G$21</f>
        <v>2222286.8407098255</v>
      </c>
      <c r="I131" s="34"/>
      <c r="J131" s="34">
        <f>'[62]Costos Operativos Rec-TA'!$G$23</f>
        <v>877890.21118405764</v>
      </c>
      <c r="K131" s="25">
        <f>'[62]Inversion rec-TA'!$G$46</f>
        <v>0</v>
      </c>
      <c r="L131" s="25">
        <f>+'[62]Costos Operativos Rec-TA'!$G$46</f>
        <v>0</v>
      </c>
      <c r="M131" s="19">
        <f t="shared" si="82"/>
        <v>-9257053.0067298226</v>
      </c>
      <c r="N131" s="19"/>
      <c r="O131" s="25">
        <f>IF(((VLOOKUP($E131,Tabla13[],Inputs_costos!$I$1,FALSE))*(O$3*$E$3+O$4*$E$4)-AG131)&lt;0,0,VLOOKUP($E131,Tabla13[],Inputs_costos!$I$1,FALSE)*(O$3*$E$3+O$4*$E$4)-AG131)</f>
        <v>359159.83353599999</v>
      </c>
      <c r="P131" s="25">
        <f>(VLOOKUP($E131,Tabla13[],Inputs_costos!$J$1,FALSE))*(P$3*$E$3+P$4*$E$4)</f>
        <v>26127.3549570752</v>
      </c>
      <c r="Q131" s="25"/>
      <c r="R131" s="25">
        <f>IF($AC131&gt;=15,(VLOOKUP($E131,Tabla13[],Inputs_costos!$G$1,FALSE))*($R$3*$E$3+$R$4*$E$4),(VLOOKUP($E131,Tabla13[],Inputs_costos!$G$1,FALSE))*($T$3*$E$3+$T$4*$E$4))-AH131</f>
        <v>528066.22</v>
      </c>
      <c r="S131" s="25">
        <f t="shared" si="83"/>
        <v>0</v>
      </c>
      <c r="T131" s="25">
        <f>IF($AC131&gt;=15,(VLOOKUP($E131,Tabla13[],Inputs_costos!$H$1,FALSE))*($R$3*$E$3+$R$4*$E$4),(VLOOKUP($E131,Tabla13[],Inputs_costos!$H$1,FALSE))*($T$3*$E$3+$T$4*$E$4))</f>
        <v>64040.030679999996</v>
      </c>
      <c r="U131" s="465">
        <f>SUMIFS(Tabla24[Costo de Cierre Técnico de BCA (US$)],Tabla24[Localidad],Resumen!$D131)</f>
        <v>0</v>
      </c>
      <c r="V131" s="461">
        <f t="shared" ref="V131:V132" si="84">+U131*(V$3*$E$3+V$4*$E$4)</f>
        <v>0</v>
      </c>
      <c r="W131" s="465">
        <f>SUMIFS(Tabla24[Costo anual de Manteniemiento Post-cierre (US$)],Tabla24[Localidad],Resumen!$D131)</f>
        <v>0</v>
      </c>
      <c r="X131" s="461">
        <f t="shared" ref="X131:X132" si="85">+W131*(X$3*$E$3+X$4*$E$4)</f>
        <v>0</v>
      </c>
      <c r="Y131" s="28">
        <f>VLOOKUP($D131,'Costo Social x localidad'!$B$2:$M$156,12,FALSE)*(Y$3*$E$3+Y$4*$E$4)</f>
        <v>24473.342218053331</v>
      </c>
      <c r="Z131" s="28">
        <f>VLOOKUP(D131,'Estimación  PRESUPUESTO PCAS'!$B$4:$G$158,'Estimación  PRESUPUESTO PCAS'!$G$2,FALSE)</f>
        <v>163767.52894245824</v>
      </c>
      <c r="AA131" s="650">
        <f>(-O131-R131)/(1+0.12)+PV(12%,20,P131)+PV(12%,20,T131)-(O131*0.5)/(1+0.12)^10-S131/(1+0.12)^10</f>
        <v>-1523486.2500261911</v>
      </c>
      <c r="AB131" s="651">
        <f>M131+AA131</f>
        <v>-10780539.256756013</v>
      </c>
      <c r="AC131" s="10">
        <f>VLOOKUP($E131,Resumen_Generación!$B$5:$F$158,Resumen_Generación!$D$3,FALSE)</f>
        <v>4.198254768</v>
      </c>
      <c r="AD131" s="10">
        <f>VLOOKUP($E131,Resumen_Generación!$B$5:$G$158,Resumen_Generación!$G$3,FALSE)</f>
        <v>1.7925965399999999</v>
      </c>
      <c r="AE131" s="362">
        <f>VLOOKUP($E131,Resumen_Generación!$B$5:$F$158,Resumen_Generación!$E$3,FALSE)</f>
        <v>6122</v>
      </c>
      <c r="AF131" s="10">
        <f>VLOOKUP($E131,Resumen_Generación!$B$5:$F$158,Resumen_Generación!$F$3,FALSE)</f>
        <v>1.8827339999999997</v>
      </c>
      <c r="AG131" s="448">
        <f>VLOOKUP($D131,Valoración_Equip_actual!$D$4:$I$157,Valoración_Equip_actual!$E$2,FALSE)*$E$4</f>
        <v>0</v>
      </c>
      <c r="AH131" s="448">
        <f>VLOOKUP($D131,Valoración_Equip_actual!$D$4:$I$157,Valoración_Equip_actual!$F$2,FALSE)*$E$4</f>
        <v>0</v>
      </c>
      <c r="AI131" s="448">
        <f>[62]P_Datos!$D$43</f>
        <v>0.34622950819672133</v>
      </c>
      <c r="AN131" s="34" t="str">
        <f>[62]Datos!$C$2</f>
        <v>Sierra de la Ventana</v>
      </c>
      <c r="AO131" s="25" t="str">
        <f>VLOOKUP($E131,Tabla13[],Inputs_costos!$D$1,FALSE)</f>
        <v>SIERRA DE LA VENTANA</v>
      </c>
      <c r="AP131" s="28" t="str">
        <f>VLOOKUP($D131,'Costo Social x localidad'!$B$2:$M$156,1,FALSE)</f>
        <v>Sierra de la Ventana</v>
      </c>
    </row>
    <row r="132" spans="1:42" ht="15.75" thickBot="1">
      <c r="A132" s="917"/>
      <c r="B132" s="887"/>
      <c r="C132" s="478" t="str">
        <f>IF(AND(D132=AN132,D132=AO132,D132=AP132),"ok","ATENCIÓN NO ESTÁ TOMANDO BIEN LA LOCALIDAD")</f>
        <v>ok</v>
      </c>
      <c r="D132" s="36" t="s">
        <v>143</v>
      </c>
      <c r="E132" s="482">
        <f>VLOOKUP(D132,Pobl_adoptada!$C$5:$D$158,2,FALSE)</f>
        <v>54</v>
      </c>
      <c r="F132" s="37" t="s">
        <v>308</v>
      </c>
      <c r="G132" s="37"/>
      <c r="H132" s="117">
        <f>'[63]Inversion rec-TA'!$G$21</f>
        <v>3533898.709618235</v>
      </c>
      <c r="I132" s="117"/>
      <c r="J132" s="117">
        <f>'[63]Costos Operativos Rec-TA'!$G$23</f>
        <v>1811634.9560482756</v>
      </c>
      <c r="K132" s="25">
        <f>'[63]Inversion rec-TA'!$G$46</f>
        <v>0</v>
      </c>
      <c r="L132" s="25">
        <f>+'[63]Costos Operativos Rec-TA'!$G$46</f>
        <v>0</v>
      </c>
      <c r="M132" s="19">
        <f t="shared" si="82"/>
        <v>-17824992.682399549</v>
      </c>
      <c r="N132" s="19"/>
      <c r="O132" s="25">
        <f>IF(((VLOOKUP($E132,Tabla13[],Inputs_costos!$I$1,FALSE))*(O$3*$E$3+O$4*$E$4)-AG132)&lt;0,0,VLOOKUP($E132,Tabla13[],Inputs_costos!$I$1,FALSE)*(O$3*$E$3+O$4*$E$4)-AG132)</f>
        <v>1017801.86294</v>
      </c>
      <c r="P132" s="25">
        <f>(VLOOKUP($E132,Tabla13[],Inputs_costos!$J$1,FALSE))*(P$3*$E$3+P$4*$E$4)</f>
        <v>354986.14473600005</v>
      </c>
      <c r="Q132" s="25"/>
      <c r="R132" s="25">
        <f>IF($AC132&gt;=15,(VLOOKUP($E132,Tabla13[],Inputs_costos!$G$1,FALSE))*($R$3*$E$3+$R$4*$E$4),(VLOOKUP($E132,Tabla13[],Inputs_costos!$G$1,FALSE))*($T$3*$E$3+$T$4*$E$4))-AH132</f>
        <v>7619637.6760000009</v>
      </c>
      <c r="S132" s="25">
        <f t="shared" si="83"/>
        <v>815000</v>
      </c>
      <c r="T132" s="25">
        <f>IF($AC132&gt;=15,(VLOOKUP($E132,Tabla13[],Inputs_costos!$H$1,FALSE))*($R$3*$E$3+$R$4*$E$4),(VLOOKUP($E132,Tabla13[],Inputs_costos!$H$1,FALSE))*($T$3*$E$3+$T$4*$E$4))</f>
        <v>1686209.4572960001</v>
      </c>
      <c r="U132" s="465">
        <f>SUMIFS(Tabla24[Costo de Cierre Técnico de BCA (US$)],Tabla24[Localidad],Resumen!$D132)</f>
        <v>3870060</v>
      </c>
      <c r="V132" s="461">
        <f t="shared" si="84"/>
        <v>7432227.3145439997</v>
      </c>
      <c r="W132" s="465">
        <f>SUMIFS(Tabla24[Costo anual de Manteniemiento Post-cierre (US$)],Tabla24[Localidad],Resumen!$D132)</f>
        <v>343606.41824785859</v>
      </c>
      <c r="X132" s="461">
        <f t="shared" si="85"/>
        <v>659876.3345153213</v>
      </c>
      <c r="Y132" s="447">
        <f>VLOOKUP($D132,'Costo Social x localidad'!$B$2:$M$156,12,FALSE)*(Y$3*$E$3+Y$4*$E$4)</f>
        <v>40456.341635119992</v>
      </c>
      <c r="Z132" s="28">
        <f>VLOOKUP(D132,'Estimación  PRESUPUESTO PCAS'!$B$4:$G$158,'Estimación  PRESUPUESTO PCAS'!$G$2,FALSE)</f>
        <v>328708.05563102238</v>
      </c>
      <c r="AA132" s="650">
        <f>(-O132-R132)/(1+0.12)+PV(12%,20,P132)+PV(12%,20,T132)-(O132*0.5)/(1+0.12)^10-S132/(1+0.12)^10</f>
        <v>-23384855.731773574</v>
      </c>
      <c r="AB132" s="651">
        <f>M132+AA132</f>
        <v>-41209848.414173126</v>
      </c>
      <c r="AC132" s="10">
        <f>VLOOKUP($E132,Resumen_Generación!$B$5:$F$158,Resumen_Generación!$D$3,FALSE)</f>
        <v>19.371407568000002</v>
      </c>
      <c r="AD132" s="10">
        <f>VLOOKUP($E132,Resumen_Generación!$B$5:$G$158,Resumen_Generación!$G$3,FALSE)</f>
        <v>7.9451467900000008</v>
      </c>
      <c r="AE132" s="362">
        <f>VLOOKUP($E132,Resumen_Generación!$B$5:$F$158,Resumen_Generación!$E$3,FALSE)</f>
        <v>24271</v>
      </c>
      <c r="AF132" s="10">
        <f>VLOOKUP($E132,Resumen_Generación!$B$5:$F$158,Resumen_Generación!$F$3,FALSE)</f>
        <v>8.9318249999999999</v>
      </c>
      <c r="AG132" s="448">
        <f>VLOOKUP($D132,Valoración_Equip_actual!$D$4:$I$157,Valoración_Equip_actual!$E$2,FALSE)*$E$4</f>
        <v>661505.01290000009</v>
      </c>
      <c r="AH132" s="448">
        <f>VLOOKUP($D132,Valoración_Equip_actual!$D$4:$I$157,Valoración_Equip_actual!$F$2,FALSE)*$E$4</f>
        <v>51390.6</v>
      </c>
      <c r="AI132" s="448">
        <f>[63]P_Datos!$D$43</f>
        <v>0.64485245901639343</v>
      </c>
      <c r="AN132" s="34" t="str">
        <f>[63]Datos!$C$2</f>
        <v>Coronel Pringles</v>
      </c>
      <c r="AO132" s="25" t="str">
        <f>VLOOKUP($E132,Tabla13[],Inputs_costos!$D$1,FALSE)</f>
        <v>CORONEL PRINGLES</v>
      </c>
      <c r="AP132" s="28" t="str">
        <f>VLOOKUP($D132,'Costo Social x localidad'!$B$2:$M$156,1,FALSE)</f>
        <v>CORONEL PRINGLES</v>
      </c>
    </row>
    <row r="133" spans="1:42" ht="15.75" thickBot="1">
      <c r="A133" s="917"/>
      <c r="B133" s="888"/>
      <c r="C133" s="483"/>
      <c r="D133" s="12" t="s">
        <v>8</v>
      </c>
      <c r="E133" s="40"/>
      <c r="F133" s="13"/>
      <c r="G133" s="8"/>
      <c r="H133" s="32">
        <f>SUM(H130:H132)</f>
        <v>8078235.8470378863</v>
      </c>
      <c r="I133" s="32"/>
      <c r="J133" s="32">
        <f>SUM(J130:J132)</f>
        <v>3673450.9714049576</v>
      </c>
      <c r="K133" s="14"/>
      <c r="L133" s="14"/>
      <c r="M133" s="15">
        <f>SUM(M130:M132)</f>
        <v>-37252321.256966949</v>
      </c>
      <c r="N133" s="15"/>
      <c r="O133" s="16">
        <f>SUM(O130:O132)</f>
        <v>1438086.9550119999</v>
      </c>
      <c r="P133" s="16">
        <f>SUM(P130:P132)</f>
        <v>407240.85465015046</v>
      </c>
      <c r="Q133" s="16"/>
      <c r="R133" s="26">
        <f>SUM(R130:R132)</f>
        <v>8836686.2950400002</v>
      </c>
      <c r="S133" s="26"/>
      <c r="T133" s="26">
        <f>SUM(T130:T132)</f>
        <v>1850793.296264</v>
      </c>
      <c r="U133" s="26"/>
      <c r="V133" s="26">
        <f>SUM(V130:V132)</f>
        <v>7432227.3145439997</v>
      </c>
      <c r="W133" s="26"/>
      <c r="X133" s="26">
        <f>SUM(X130:X132)</f>
        <v>659876.3345153213</v>
      </c>
      <c r="Y133" s="26">
        <f>SUM(Y130:Y132)</f>
        <v>75136.635899893328</v>
      </c>
      <c r="Z133" s="26">
        <f>SUM(Z130:Z132)</f>
        <v>655869.56411633897</v>
      </c>
      <c r="AA133" s="653">
        <f>SUM(AA130:AA132)</f>
        <v>-26534084.423129562</v>
      </c>
      <c r="AB133" s="654">
        <f>+M133+AA133</f>
        <v>-63786405.680096507</v>
      </c>
      <c r="AC133" s="630">
        <f t="shared" ref="AC133:AI133" si="86">SUM(AC130:AC132)</f>
        <v>31.222409280000001</v>
      </c>
      <c r="AD133" s="630">
        <f t="shared" si="86"/>
        <v>12.862117150000001</v>
      </c>
      <c r="AE133" s="631">
        <f t="shared" si="86"/>
        <v>41428</v>
      </c>
      <c r="AF133" s="630">
        <f t="shared" si="86"/>
        <v>14.348186999999999</v>
      </c>
      <c r="AG133" s="630">
        <f t="shared" si="86"/>
        <v>959539.58790000016</v>
      </c>
      <c r="AH133" s="630">
        <f t="shared" si="86"/>
        <v>51390.6</v>
      </c>
      <c r="AI133" s="630">
        <f t="shared" si="86"/>
        <v>1.2748852459016393</v>
      </c>
      <c r="AJ133" s="4"/>
      <c r="AK133" s="4"/>
      <c r="AL133" s="4"/>
      <c r="AM133" s="4"/>
      <c r="AN133" s="4"/>
      <c r="AO133" s="4"/>
      <c r="AP133" s="4"/>
    </row>
    <row r="134" spans="1:42">
      <c r="A134" s="917"/>
      <c r="B134" s="886" t="s">
        <v>310</v>
      </c>
      <c r="C134" s="481" t="str">
        <f>IF(AND(D134=AN134,D134=AO134,D134=AP134),"ok","ATENCIÓN NO ESTÁ TOMANDO BIEN LA LOCALIDAD")</f>
        <v>ok</v>
      </c>
      <c r="D134" s="23" t="s">
        <v>181</v>
      </c>
      <c r="E134" s="114">
        <f>VLOOKUP(D134,Pobl_adoptada!$C$5:$D$158,2,FALSE)</f>
        <v>83</v>
      </c>
      <c r="F134" s="8" t="s">
        <v>308</v>
      </c>
      <c r="G134" s="576">
        <f>+'[64]Inversion rec-TA'!$G$21</f>
        <v>1849534.2824783516</v>
      </c>
      <c r="H134" s="577">
        <f>+($AC130/$AC133)*H137+G134</f>
        <v>2228260.4331049202</v>
      </c>
      <c r="I134" s="587">
        <f>+'[64]Costos Operativos Rec-TA'!$G$23</f>
        <v>974047.15525878081</v>
      </c>
      <c r="J134" s="579">
        <f>+($AC130/$AC133)*J137+I134</f>
        <v>981621.67827131215</v>
      </c>
      <c r="K134" s="10">
        <f>+'[64]Inversion rec-TA'!$G$46</f>
        <v>0</v>
      </c>
      <c r="L134" s="10">
        <f>+'[64]Costos Operativos Rec-TA'!$G$46</f>
        <v>0</v>
      </c>
      <c r="M134" s="19">
        <f t="shared" ref="M134:M136" si="87">-H134/(1+0.12)+PV(12%,20,J134)-H134/(1+0.12)^10</f>
        <v>-10039126.253722865</v>
      </c>
      <c r="N134" s="614">
        <f>+$AD130/$AD133*N138</f>
        <v>423786.2629147906</v>
      </c>
      <c r="O134" s="25">
        <f>IF(N134-AG134&lt;0,0,N134-AG134)</f>
        <v>177076.06291479059</v>
      </c>
      <c r="P134" s="32">
        <f>+$AD130/$AD133*P138</f>
        <v>138522.4592719457</v>
      </c>
      <c r="Q134" s="614">
        <f>+$AC130/$AC133*Q138</f>
        <v>2344883.8307932634</v>
      </c>
      <c r="R134" s="647">
        <f>IF(Q134-AH134&lt;0,0,Q134-AH134)</f>
        <v>2344883.8307932634</v>
      </c>
      <c r="S134" s="647">
        <f>+S130</f>
        <v>0</v>
      </c>
      <c r="T134" s="32">
        <f>+$AC130/$AC133*T138</f>
        <v>393599.62555733451</v>
      </c>
      <c r="U134" s="27"/>
      <c r="V134" s="461">
        <f>+V130</f>
        <v>0</v>
      </c>
      <c r="W134" s="27"/>
      <c r="X134" s="461">
        <f t="shared" ref="X134:Z136" si="88">+X130</f>
        <v>0</v>
      </c>
      <c r="Y134" s="27">
        <f t="shared" si="88"/>
        <v>10206.95204672</v>
      </c>
      <c r="Z134" s="27">
        <f t="shared" si="88"/>
        <v>163393.97954285826</v>
      </c>
      <c r="AA134" s="650">
        <f>(-O134-R134)/(1+0.12)+PV(12%,20,P134)+PV(12%,20,T134)-(O134*0.5)/(1+0.12)^10-S134/(1+0.12)^10</f>
        <v>-6254912.6955381595</v>
      </c>
      <c r="AB134" s="651">
        <f>M134+AA134</f>
        <v>-16294038.949261025</v>
      </c>
      <c r="AG134" s="448">
        <f>VLOOKUP($D134,Valoración_Eq_REG!$D$4:$I$157,Valoración_Eq_REG!$E$2,FALSE)*$E$4</f>
        <v>246710.2</v>
      </c>
      <c r="AH134" s="448">
        <f>VLOOKUP($D134,Valoración_Eq_REG!$D$4:$I$157,Valoración_Eq_REG!$F$2,FALSE)*$E$4</f>
        <v>0</v>
      </c>
      <c r="AJ134" s="484">
        <f>+'[64]Evaluacion Economica'!$L$25</f>
        <v>2</v>
      </c>
      <c r="AK134" s="448">
        <f>+'[64]Evaluacion Economica'!$R$25</f>
        <v>15</v>
      </c>
      <c r="AL134" s="484">
        <f>+'[64]P_Evaluacion Economica'!$L$27</f>
        <v>2</v>
      </c>
      <c r="AM134" s="448">
        <f>+'[64]P_Evaluacion Economica'!$Q$27</f>
        <v>6</v>
      </c>
      <c r="AN134" s="34" t="str">
        <f>+[64]Datos!$C$2</f>
        <v>Laprida</v>
      </c>
      <c r="AO134" s="25" t="str">
        <f>VLOOKUP($E134,Tabla13[],Inputs_costos!$D$1,FALSE)</f>
        <v>LAPRIDA</v>
      </c>
      <c r="AP134" s="28" t="str">
        <f>VLOOKUP($D134,'Costo Social x localidad'!$B$2:$M$156,1,FALSE)</f>
        <v>LAPRIDA</v>
      </c>
    </row>
    <row r="135" spans="1:42">
      <c r="A135" s="917"/>
      <c r="B135" s="887"/>
      <c r="C135" s="478" t="str">
        <f>IF(AND(D135=AN135,D135=AO135,D135=AP135),"ok","ATENCIÓN NO ESTÁ TOMANDO BIEN LA LOCALIDAD")</f>
        <v>ok</v>
      </c>
      <c r="D135" s="24" t="s">
        <v>259</v>
      </c>
      <c r="E135" s="115">
        <f>VLOOKUP(D135,Pobl_adoptada!$C$5:$D$158,2,FALSE)</f>
        <v>152</v>
      </c>
      <c r="F135" s="9" t="s">
        <v>308</v>
      </c>
      <c r="G135" s="580">
        <f>+'[65]Inversion rec-TA'!$G$21</f>
        <v>1749770.8264783516</v>
      </c>
      <c r="H135" s="34">
        <f>+($AC131/$AC133)*H137+G135</f>
        <v>1957537.9040087122</v>
      </c>
      <c r="I135" s="465">
        <f>+'[65]Costos Operativos Rec-TA'!$G$23</f>
        <v>857121.90184377367</v>
      </c>
      <c r="J135" s="581">
        <f>+($AC131/$AC133)*J137+I135</f>
        <v>861277.2433943809</v>
      </c>
      <c r="K135" s="10">
        <f>+'[65]Inversion rec-TA'!$G$46</f>
        <v>0</v>
      </c>
      <c r="L135" s="10">
        <f>+'[65]Costos Operativos Rec-TA'!$G$46</f>
        <v>0</v>
      </c>
      <c r="M135" s="19">
        <f t="shared" si="87"/>
        <v>-8811338.3291610368</v>
      </c>
      <c r="N135" s="465">
        <f>+$AD131/$AD133*N138</f>
        <v>243145.61328662769</v>
      </c>
      <c r="O135" s="25">
        <f>IF(N135-AG135&lt;0,0,N135-AG135)</f>
        <v>243145.61328662769</v>
      </c>
      <c r="P135" s="25">
        <f>+$AD131/$AD133*P138</f>
        <v>79476.687332881542</v>
      </c>
      <c r="Q135" s="465">
        <f>+$AC131/$AC133*Q138</f>
        <v>1286390.3373614445</v>
      </c>
      <c r="R135" s="647">
        <f>IF(Q135-AH135&lt;0,0,Q135-AH135)</f>
        <v>1286390.3373614445</v>
      </c>
      <c r="S135" s="647">
        <f>+S131</f>
        <v>0</v>
      </c>
      <c r="T135" s="25">
        <f>+$AC131/$AC133*T138</f>
        <v>215926.58384903919</v>
      </c>
      <c r="U135" s="458"/>
      <c r="V135" s="461">
        <f>+V131</f>
        <v>0</v>
      </c>
      <c r="W135" s="28"/>
      <c r="X135" s="461">
        <f t="shared" si="88"/>
        <v>0</v>
      </c>
      <c r="Y135" s="28">
        <f t="shared" si="88"/>
        <v>24473.342218053331</v>
      </c>
      <c r="Z135" s="28">
        <f t="shared" si="88"/>
        <v>163767.52894245824</v>
      </c>
      <c r="AA135" s="650">
        <f>(-O135-R135)/(1+0.12)+PV(12%,20,P135)+PV(12%,20,T135)-(O135*0.5)/(1+0.12)^10-S135/(1+0.12)^10</f>
        <v>-3611298.3693645978</v>
      </c>
      <c r="AB135" s="651">
        <f>M135+AA135</f>
        <v>-12422636.698525634</v>
      </c>
      <c r="AC135" s="39"/>
      <c r="AD135" s="10"/>
      <c r="AE135" s="10"/>
      <c r="AF135" s="10"/>
      <c r="AG135" s="448">
        <f>VLOOKUP($D135,Valoración_Eq_REG!$D$4:$I$157,Valoración_Eq_REG!$E$2,FALSE)*$E$4</f>
        <v>0</v>
      </c>
      <c r="AH135" s="448">
        <f>VLOOKUP($D135,Valoración_Eq_REG!$D$4:$I$157,Valoración_Eq_REG!$F$2,FALSE)*$E$4</f>
        <v>0</v>
      </c>
      <c r="AI135" s="11"/>
      <c r="AJ135" s="484">
        <f>+'[65]Evaluacion Economica'!$L$25</f>
        <v>2</v>
      </c>
      <c r="AK135" s="448">
        <f>+'[65]Evaluacion Economica'!$R$25</f>
        <v>15</v>
      </c>
      <c r="AL135" s="484">
        <f>+'[65]P_Evaluacion Economica'!$L$27</f>
        <v>2</v>
      </c>
      <c r="AM135" s="448">
        <f>+'[65]P_Evaluacion Economica'!$Q$27</f>
        <v>6</v>
      </c>
      <c r="AN135" s="34" t="str">
        <f>+[65]Datos!$C$2</f>
        <v>Sierra de la Ventana</v>
      </c>
      <c r="AO135" s="25" t="str">
        <f>VLOOKUP($E135,Tabla13[],Inputs_costos!$D$1,FALSE)</f>
        <v>SIERRA DE LA VENTANA</v>
      </c>
      <c r="AP135" s="28" t="str">
        <f>VLOOKUP($D135,'Costo Social x localidad'!$B$2:$M$156,1,FALSE)</f>
        <v>Sierra de la Ventana</v>
      </c>
    </row>
    <row r="136" spans="1:42" ht="15.75" thickBot="1">
      <c r="A136" s="917"/>
      <c r="B136" s="887"/>
      <c r="C136" s="478" t="str">
        <f>IF(AND(D136=AN136,D136=AO136,D136=AP136),"ok","ATENCIÓN NO ESTÁ TOMANDO BIEN LA LOCALIDAD")</f>
        <v>ok</v>
      </c>
      <c r="D136" s="36" t="s">
        <v>143</v>
      </c>
      <c r="E136" s="115">
        <f>VLOOKUP(D136,Pobl_adoptada!$C$5:$D$158,2,FALSE)</f>
        <v>54</v>
      </c>
      <c r="F136" s="9" t="s">
        <v>308</v>
      </c>
      <c r="G136" s="580">
        <f>+'[66]Inversion rec-TA'!$G$21</f>
        <v>3061382.6953867613</v>
      </c>
      <c r="H136" s="34">
        <f>+($AC132/$AC133)*H137+G136</f>
        <v>4020052.6571838176</v>
      </c>
      <c r="I136" s="465">
        <f>+'[66]Costos Operativos Rec-TA'!$G$23</f>
        <v>1803718.2206897982</v>
      </c>
      <c r="J136" s="581">
        <f>+($AC132/$AC133)*J137+I136</f>
        <v>1822891.6199257395</v>
      </c>
      <c r="K136" s="10">
        <f>+'[66]Inversion rec-TA'!$G$46</f>
        <v>0</v>
      </c>
      <c r="L136" s="10">
        <f>+'[66]Costos Operativos Rec-TA'!$G$46</f>
        <v>0</v>
      </c>
      <c r="M136" s="19">
        <f t="shared" si="87"/>
        <v>-18499668.283221431</v>
      </c>
      <c r="N136" s="465">
        <f>+$AD132/$AD133*N138</f>
        <v>1077670.0421985819</v>
      </c>
      <c r="O136" s="25">
        <f>IF(N136-AG136&lt;0,0,N136-AG136)</f>
        <v>416165.02929858177</v>
      </c>
      <c r="P136" s="25">
        <f>+$AD132/$AD133*P138</f>
        <v>352256.59157117282</v>
      </c>
      <c r="Q136" s="465">
        <f>+$AC132/$AC133*Q138</f>
        <v>5935607.268645294</v>
      </c>
      <c r="R136" s="647">
        <f>IF(Q136-AH136&lt;0,0,Q136-AH136)</f>
        <v>5884216.6686452944</v>
      </c>
      <c r="S136" s="647">
        <f>+S132</f>
        <v>815000</v>
      </c>
      <c r="T136" s="25">
        <f>+$AC132/$AC133*T138</f>
        <v>996319.20682562655</v>
      </c>
      <c r="U136" s="29"/>
      <c r="V136" s="461">
        <f>+V132</f>
        <v>7432227.3145439997</v>
      </c>
      <c r="W136" s="25"/>
      <c r="X136" s="461">
        <f t="shared" si="88"/>
        <v>659876.3345153213</v>
      </c>
      <c r="Y136" s="28">
        <f t="shared" si="88"/>
        <v>40456.341635119992</v>
      </c>
      <c r="Z136" s="28">
        <f t="shared" si="88"/>
        <v>328708.05563102238</v>
      </c>
      <c r="AA136" s="650">
        <f>(-O136-R136)/(1+0.12)+PV(12%,20,P136)+PV(12%,20,T136)-(O136*0.5)/(1+0.12)^10-S136/(1+0.12)^10</f>
        <v>-16027856.889534056</v>
      </c>
      <c r="AB136" s="651">
        <f>M136+AA136</f>
        <v>-34527525.172755487</v>
      </c>
      <c r="AC136" s="10"/>
      <c r="AD136" s="10"/>
      <c r="AE136" s="10"/>
      <c r="AF136" s="10"/>
      <c r="AG136" s="448">
        <f>VLOOKUP($D136,Valoración_Eq_REG!$D$4:$I$157,Valoración_Eq_REG!$E$2,FALSE)*$E$4</f>
        <v>661505.01290000009</v>
      </c>
      <c r="AH136" s="448">
        <f>VLOOKUP($D136,Valoración_Eq_REG!$D$4:$I$157,Valoración_Eq_REG!$F$2,FALSE)*$E$4</f>
        <v>51390.6</v>
      </c>
      <c r="AI136" s="2"/>
      <c r="AJ136" s="484">
        <f>+'[66]Evaluacion Economica'!$L$25</f>
        <v>3</v>
      </c>
      <c r="AK136" s="448">
        <f>+'[66]Evaluacion Economica'!$R$25</f>
        <v>17</v>
      </c>
      <c r="AL136" s="484">
        <f>+'[66]P_Evaluacion Economica'!$L$27</f>
        <v>3</v>
      </c>
      <c r="AM136" s="448">
        <f>+'[66]P_Evaluacion Economica'!$Q$27</f>
        <v>6</v>
      </c>
      <c r="AN136" s="34" t="str">
        <f>+[66]Datos!$C$2</f>
        <v>Coronel Pringles</v>
      </c>
      <c r="AO136" s="25" t="str">
        <f>VLOOKUP($E136,Tabla13[],Inputs_costos!$D$1,FALSE)</f>
        <v>CORONEL PRINGLES</v>
      </c>
      <c r="AP136" s="28" t="str">
        <f>VLOOKUP($D136,'Costo Social x localidad'!$B$2:$M$156,1,FALSE)</f>
        <v>CORONEL PRINGLES</v>
      </c>
    </row>
    <row r="137" spans="1:42" ht="30.75" thickBot="1">
      <c r="A137" s="917"/>
      <c r="B137" s="887"/>
      <c r="C137" s="912" t="s">
        <v>12</v>
      </c>
      <c r="D137" s="913"/>
      <c r="E137" s="498" t="s">
        <v>589</v>
      </c>
      <c r="F137" s="571">
        <f>+F124</f>
        <v>0.02</v>
      </c>
      <c r="G137" s="582"/>
      <c r="H137" s="461">
        <f>+AJ137*AJ139+AL137*AL139</f>
        <v>1545163.1899539852</v>
      </c>
      <c r="I137" s="461"/>
      <c r="J137" s="583">
        <f>+$F137*H137</f>
        <v>30903.263799079705</v>
      </c>
      <c r="K137" s="10"/>
      <c r="L137" s="10"/>
      <c r="M137" s="19"/>
      <c r="N137" s="465"/>
      <c r="O137" s="10"/>
      <c r="P137" s="10"/>
      <c r="Q137" s="618"/>
      <c r="R137" s="28"/>
      <c r="S137" s="28"/>
      <c r="T137" s="28"/>
      <c r="U137" s="28"/>
      <c r="V137" s="28"/>
      <c r="W137" s="28"/>
      <c r="X137" s="28"/>
      <c r="Y137" s="28"/>
      <c r="Z137" s="28"/>
      <c r="AA137" s="658"/>
      <c r="AB137" s="20"/>
      <c r="AC137" s="10"/>
      <c r="AD137" s="10"/>
      <c r="AE137" s="10"/>
      <c r="AF137" s="10"/>
      <c r="AG137" s="4"/>
      <c r="AH137" s="4"/>
      <c r="AI137" s="4"/>
      <c r="AJ137" s="501">
        <f>ROUNDUP(C138*SUM(AJ134:AJ136),0)</f>
        <v>3</v>
      </c>
      <c r="AK137" s="502">
        <f>AVERAGE(AK134:AK136)</f>
        <v>15.666666666666666</v>
      </c>
      <c r="AL137" s="501">
        <f>ROUNDUP(C138*SUM(AL134:AL136),0)</f>
        <v>3</v>
      </c>
      <c r="AM137" s="502">
        <f>AVERAGE(AM134:AM136)</f>
        <v>6</v>
      </c>
      <c r="AN137" s="4"/>
      <c r="AO137" s="4"/>
      <c r="AP137" s="4"/>
    </row>
    <row r="138" spans="1:42" ht="15.75" thickBot="1">
      <c r="A138" s="918"/>
      <c r="B138" s="888"/>
      <c r="C138" s="570">
        <v>0.3</v>
      </c>
      <c r="D138" s="500" t="str">
        <f>A130</f>
        <v>REGIÓN CORONEL PRINGLES</v>
      </c>
      <c r="E138" s="468"/>
      <c r="F138" s="469"/>
      <c r="G138" s="584"/>
      <c r="H138" s="585">
        <f>SUM(H134:H136)</f>
        <v>8205850.9942974504</v>
      </c>
      <c r="I138" s="585"/>
      <c r="J138" s="586">
        <f>SUM(J134:J136)</f>
        <v>3665790.5415914329</v>
      </c>
      <c r="K138" s="14"/>
      <c r="L138" s="14"/>
      <c r="M138" s="15">
        <f>SUM(M134:M137)</f>
        <v>-37350132.866105333</v>
      </c>
      <c r="N138" s="615">
        <f>(VLOOKUP($E134,Tabla13[],Inputs_costos!$P$1,FALSE))*(O$3*$E$3+O$4*$E$4)</f>
        <v>1744601.9184000001</v>
      </c>
      <c r="O138" s="35">
        <f>SUM(O134:O136)</f>
        <v>836386.70550000004</v>
      </c>
      <c r="P138" s="35">
        <f>(VLOOKUP($E134,Tabla13[],Inputs_costos!$Q$1,FALSE))*(P$3*$E$3+P$4*$E$4)</f>
        <v>570255.73817600007</v>
      </c>
      <c r="Q138" s="615">
        <f>IF($AC133&gt;=15,(VLOOKUP($E134,Tabla13[],Inputs_costos!$N$1,FALSE))*($R$3*$E$3+$R$4*$E$4),(VLOOKUP($E134,Tabla13[],Inputs_costos!$N$1,FALSE))*($T$3*$E$3+$T$4*$E$4))</f>
        <v>9566881.4368000012</v>
      </c>
      <c r="R138" s="35">
        <f>SUM(R134:R136)</f>
        <v>9515490.8368000016</v>
      </c>
      <c r="S138" s="35"/>
      <c r="T138" s="35">
        <f>IF($AC133&gt;=15,(VLOOKUP($E134,Tabla13[],Inputs_costos!$O$1,FALSE))*($R$3*$E$3+$R$4*$E$4),(VLOOKUP($E134,Tabla13[],Inputs_costos!$O$1,FALSE))*($T$3*$E$3+$T$4*$E$4))</f>
        <v>1605845.4162320001</v>
      </c>
      <c r="U138" s="35"/>
      <c r="V138" s="31">
        <f>SUM(V134:V136)</f>
        <v>7432227.3145439997</v>
      </c>
      <c r="W138" s="31"/>
      <c r="X138" s="31">
        <f>SUM(X134:X136)</f>
        <v>659876.3345153213</v>
      </c>
      <c r="Y138" s="31">
        <f>SUM(Y134:Y136)</f>
        <v>75136.635899893328</v>
      </c>
      <c r="Z138" s="31">
        <f>SUM(Z134:Z136)</f>
        <v>655869.56411633897</v>
      </c>
      <c r="AA138" s="653">
        <f>SUM(AA134:AA136)</f>
        <v>-25894067.954436813</v>
      </c>
      <c r="AB138" s="654">
        <f>+M138+AA138</f>
        <v>-63244200.820542142</v>
      </c>
      <c r="AC138" s="38"/>
      <c r="AD138" s="38"/>
      <c r="AE138" s="38"/>
      <c r="AF138" s="38"/>
      <c r="AG138" s="4"/>
      <c r="AH138" s="4"/>
      <c r="AI138" s="4"/>
      <c r="AJ138" s="11"/>
      <c r="AK138" s="499">
        <f>VLOOKUP(ROUNDUP(AK137,0),DATOS!$F$16:$G$31,2,FALSE)</f>
        <v>16</v>
      </c>
      <c r="AL138" s="497"/>
      <c r="AM138" s="499">
        <f>VLOOKUP(ROUNDUP(AM137,0),DATOS!$J$16:$K$34,2,FALSE)</f>
        <v>6</v>
      </c>
      <c r="AN138" s="4"/>
      <c r="AO138" s="4"/>
      <c r="AP138" s="4"/>
    </row>
    <row r="139" spans="1:42">
      <c r="F139" s="2"/>
      <c r="G139" s="2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0"/>
      <c r="V139" s="2"/>
      <c r="W139" s="2"/>
      <c r="X139" s="2"/>
      <c r="Y139" s="2"/>
      <c r="Z139" s="2"/>
      <c r="AA139" s="4"/>
      <c r="AB139" s="4"/>
      <c r="AC139" s="4"/>
      <c r="AD139" s="4"/>
      <c r="AE139" s="4"/>
      <c r="AF139" s="4"/>
      <c r="AG139" s="644"/>
      <c r="AH139" s="448"/>
      <c r="AI139" s="4"/>
      <c r="AJ139" s="892">
        <f>VLOOKUP(AK138,DATOS!$F$3:$H$11,3,FALSE)</f>
        <v>280794.00217132841</v>
      </c>
      <c r="AK139" s="892"/>
      <c r="AL139" s="892">
        <f>VLOOKUP(AM138,DATOS!$J$3:$L$12,3,FALSE)</f>
        <v>234260.39447999999</v>
      </c>
      <c r="AM139" s="892"/>
      <c r="AN139" s="4"/>
      <c r="AO139" s="4"/>
      <c r="AP139" s="4"/>
    </row>
    <row r="140" spans="1:42" ht="15.75" thickBot="1">
      <c r="A140" s="503"/>
      <c r="B140" s="503"/>
      <c r="C140" s="503"/>
      <c r="D140" s="503"/>
      <c r="E140" s="503"/>
      <c r="F140" s="504"/>
      <c r="G140" s="504"/>
      <c r="H140" s="505"/>
      <c r="I140" s="505"/>
      <c r="J140" s="505"/>
      <c r="K140" s="505"/>
      <c r="L140" s="505"/>
      <c r="M140" s="505"/>
      <c r="N140" s="505"/>
      <c r="O140" s="505"/>
      <c r="P140" s="505"/>
      <c r="Q140" s="505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6"/>
      <c r="AB140" s="506"/>
      <c r="AC140" s="506"/>
      <c r="AD140" s="506"/>
      <c r="AE140" s="506"/>
      <c r="AF140" s="506"/>
      <c r="AG140" s="506"/>
      <c r="AH140" s="506"/>
      <c r="AI140" s="506"/>
      <c r="AJ140" s="506"/>
      <c r="AK140" s="506"/>
      <c r="AL140" s="506"/>
      <c r="AM140" s="506"/>
      <c r="AN140" s="506"/>
      <c r="AO140" s="506"/>
      <c r="AP140" s="506"/>
    </row>
    <row r="141" spans="1:42" ht="39" thickBot="1">
      <c r="A141" s="886" t="s">
        <v>7</v>
      </c>
      <c r="B141" s="886" t="s">
        <v>2</v>
      </c>
      <c r="C141" s="479"/>
      <c r="D141" s="882" t="s">
        <v>22</v>
      </c>
      <c r="E141" s="882" t="s">
        <v>23</v>
      </c>
      <c r="F141" s="882" t="s">
        <v>3</v>
      </c>
      <c r="G141" s="568"/>
      <c r="H141" s="901" t="s">
        <v>0</v>
      </c>
      <c r="I141" s="901"/>
      <c r="J141" s="901"/>
      <c r="K141" s="901" t="s">
        <v>1</v>
      </c>
      <c r="L141" s="901"/>
      <c r="M141" s="886" t="s">
        <v>10</v>
      </c>
      <c r="N141" s="879" t="s">
        <v>5</v>
      </c>
      <c r="O141" s="880"/>
      <c r="P141" s="881"/>
      <c r="Q141" s="902" t="s">
        <v>4</v>
      </c>
      <c r="R141" s="903"/>
      <c r="S141" s="903"/>
      <c r="T141" s="904"/>
      <c r="U141" s="902" t="s">
        <v>6</v>
      </c>
      <c r="V141" s="903"/>
      <c r="W141" s="903"/>
      <c r="X141" s="904"/>
      <c r="Y141" s="390" t="s">
        <v>689</v>
      </c>
      <c r="Z141" s="662" t="s">
        <v>690</v>
      </c>
      <c r="AA141" s="905" t="s">
        <v>686</v>
      </c>
      <c r="AB141" s="886" t="s">
        <v>9</v>
      </c>
      <c r="AC141" s="907" t="s">
        <v>312</v>
      </c>
      <c r="AD141" s="914" t="s">
        <v>649</v>
      </c>
      <c r="AE141" s="897" t="s">
        <v>20</v>
      </c>
      <c r="AF141" s="897" t="s">
        <v>313</v>
      </c>
      <c r="AG141" s="899" t="s">
        <v>552</v>
      </c>
      <c r="AH141" s="895" t="s">
        <v>578</v>
      </c>
      <c r="AI141" s="897" t="s">
        <v>579</v>
      </c>
      <c r="AJ141" s="882" t="s">
        <v>581</v>
      </c>
      <c r="AK141" s="882" t="s">
        <v>582</v>
      </c>
      <c r="AL141" s="882" t="s">
        <v>581</v>
      </c>
      <c r="AM141" s="882" t="s">
        <v>582</v>
      </c>
      <c r="AN141" s="884" t="s">
        <v>553</v>
      </c>
      <c r="AO141" s="885"/>
      <c r="AP141" s="885"/>
    </row>
    <row r="142" spans="1:42" ht="30.75" thickBot="1">
      <c r="A142" s="888"/>
      <c r="B142" s="888"/>
      <c r="C142" s="480"/>
      <c r="D142" s="883"/>
      <c r="E142" s="883"/>
      <c r="F142" s="883"/>
      <c r="G142" s="569"/>
      <c r="H142" s="17" t="s">
        <v>18</v>
      </c>
      <c r="I142" s="17"/>
      <c r="J142" s="17" t="s">
        <v>17</v>
      </c>
      <c r="K142" s="17" t="s">
        <v>18</v>
      </c>
      <c r="L142" s="17" t="s">
        <v>17</v>
      </c>
      <c r="M142" s="888"/>
      <c r="N142" s="464" t="s">
        <v>685</v>
      </c>
      <c r="O142" s="17" t="s">
        <v>18</v>
      </c>
      <c r="P142" s="17" t="s">
        <v>17</v>
      </c>
      <c r="Q142" s="464" t="s">
        <v>685</v>
      </c>
      <c r="R142" s="17" t="s">
        <v>18</v>
      </c>
      <c r="S142" s="17"/>
      <c r="T142" s="17" t="s">
        <v>17</v>
      </c>
      <c r="U142" s="464" t="s">
        <v>576</v>
      </c>
      <c r="V142" s="17" t="s">
        <v>18</v>
      </c>
      <c r="W142" s="464" t="s">
        <v>577</v>
      </c>
      <c r="X142" s="17" t="s">
        <v>17</v>
      </c>
      <c r="Y142" s="17" t="s">
        <v>18</v>
      </c>
      <c r="Z142" s="17" t="s">
        <v>17</v>
      </c>
      <c r="AA142" s="906"/>
      <c r="AB142" s="888"/>
      <c r="AC142" s="908"/>
      <c r="AD142" s="915"/>
      <c r="AE142" s="898"/>
      <c r="AF142" s="898"/>
      <c r="AG142" s="900"/>
      <c r="AH142" s="896"/>
      <c r="AI142" s="898"/>
      <c r="AJ142" s="883"/>
      <c r="AK142" s="883"/>
      <c r="AL142" s="883"/>
      <c r="AM142" s="883"/>
      <c r="AN142" s="1" t="s">
        <v>551</v>
      </c>
      <c r="AO142" s="9" t="s">
        <v>554</v>
      </c>
      <c r="AP142" s="1" t="s">
        <v>555</v>
      </c>
    </row>
    <row r="143" spans="1:42">
      <c r="A143" s="916" t="s">
        <v>599</v>
      </c>
      <c r="B143" s="886" t="s">
        <v>309</v>
      </c>
      <c r="C143" s="481" t="str">
        <f>IF(AND(D143=AN143,D143=AO143,D143=AP143),"ok","ATENCIÓN NO ESTÁ TOMANDO BIEN LA LOCALIDAD")</f>
        <v>ok</v>
      </c>
      <c r="D143" s="23" t="s">
        <v>257</v>
      </c>
      <c r="E143" s="114">
        <f>VLOOKUP(D143,Pobl_adoptada!$C$5:$D$158,2,FALSE)</f>
        <v>150</v>
      </c>
      <c r="F143" s="8" t="s">
        <v>308</v>
      </c>
      <c r="G143" s="8"/>
      <c r="H143" s="33">
        <f>'[67]Inversion rec-TA'!$G$21</f>
        <v>2240992.4887098256</v>
      </c>
      <c r="I143" s="33"/>
      <c r="J143" s="33">
        <f>'[67]Costos Operativos Rec-TA'!$G$23</f>
        <v>899840.96615213947</v>
      </c>
      <c r="K143" s="32">
        <f>'[67]Inversion rec-TA'!$G$46</f>
        <v>0</v>
      </c>
      <c r="L143" s="32">
        <f>+'[67]Costos Operativos Rec-TA'!$G$46</f>
        <v>0</v>
      </c>
      <c r="M143" s="19">
        <f t="shared" ref="M143:M147" si="89">-H143/(1+0.12)+PV(12%,20,J143)-H143/(1+0.12)^10</f>
        <v>-9443737.1229329966</v>
      </c>
      <c r="N143" s="19"/>
      <c r="O143" s="25">
        <f>IF(((VLOOKUP($E143,Tabla13[],Inputs_costos!$I$1,FALSE))*(O$3*$E$3+O$4*$E$4)-AG143)&lt;0,0,VLOOKUP($E143,Tabla13[],Inputs_costos!$I$1,FALSE)*(O$3*$E$3+O$4*$E$4)-AG143)</f>
        <v>359159.83353599999</v>
      </c>
      <c r="P143" s="25">
        <f>(VLOOKUP($E143,Tabla13[],Inputs_costos!$J$1,FALSE))*(P$3*$E$3+P$4*$E$4)</f>
        <v>26127.3549570752</v>
      </c>
      <c r="Q143" s="25"/>
      <c r="R143" s="25">
        <f>IF($AC143&gt;=15,(VLOOKUP($E143,Tabla13[],Inputs_costos!$G$1,FALSE))*($R$3*$E$3+$R$4*$E$4),(VLOOKUP($E143,Tabla13[],Inputs_costos!$G$1,FALSE))*($T$3*$E$3+$T$4*$E$4))-AH143</f>
        <v>519809.18455999997</v>
      </c>
      <c r="S143" s="25">
        <f t="shared" ref="S143:S147" si="90">IF(AC143&lt;15,0,IF(AC143&lt;=350,815000,1345000))</f>
        <v>0</v>
      </c>
      <c r="T143" s="25">
        <f>IF($AC143&gt;=15,(VLOOKUP($E143,Tabla13[],Inputs_costos!$H$1,FALSE))*($R$3*$E$3+$R$4*$E$4),(VLOOKUP($E143,Tabla13[],Inputs_costos!$H$1,FALSE))*($T$3*$E$3+$T$4*$E$4))</f>
        <v>62427.028407999998</v>
      </c>
      <c r="U143" s="465">
        <f>SUMIFS(Tabla24[Costo de Cierre Técnico de BCA (US$)],Tabla24[Localidad],Resumen!$D143)</f>
        <v>0</v>
      </c>
      <c r="V143" s="461">
        <f>+U143*(V$3*$E$3+V$4*$E$4)</f>
        <v>0</v>
      </c>
      <c r="W143" s="465">
        <f>SUMIFS(Tabla24[Costo anual de Manteniemiento Post-cierre (US$)],Tabla24[Localidad],Resumen!$D143)</f>
        <v>0</v>
      </c>
      <c r="X143" s="461">
        <f>+W143*(X$3*$E$3+X$4*$E$4)</f>
        <v>0</v>
      </c>
      <c r="Y143" s="27">
        <f>VLOOKUP($D143,'Costo Social x localidad'!$B$2:$M$156,12,FALSE)*(Y$3*$E$3+Y$4*$E$4)</f>
        <v>4923.2918963199991</v>
      </c>
      <c r="Z143" s="28">
        <f>VLOOKUP(D143,'Estimación  PRESUPUESTO PCAS'!$B$4:$G$158,'Estimación  PRESUPUESTO PCAS'!$G$2,FALSE)</f>
        <v>163872.01506805824</v>
      </c>
      <c r="AA143" s="650">
        <f>(-O143-R143)/(1+0.12)+PV(12%,20,P143)+PV(12%,20,T143)-(O143*0.5)/(1+0.12)^10-S143/(1+0.12)^10</f>
        <v>-1504065.6674181463</v>
      </c>
      <c r="AB143" s="651">
        <f>M143+AA143</f>
        <v>-10947802.790351143</v>
      </c>
      <c r="AC143" s="10">
        <f>VLOOKUP($E143,Resumen_Generación!$B$5:$F$158,Resumen_Generación!$D$3,FALSE)</f>
        <v>4.0199823200000004</v>
      </c>
      <c r="AD143" s="10">
        <f>VLOOKUP($E143,Resumen_Generación!$B$5:$G$158,Resumen_Generación!$G$3,FALSE)</f>
        <v>1.6226546000000002</v>
      </c>
      <c r="AE143" s="362">
        <f>VLOOKUP($E143,Resumen_Generación!$B$5:$F$158,Resumen_Generación!$E$3,FALSE)</f>
        <v>5781</v>
      </c>
      <c r="AF143" s="10">
        <f>VLOOKUP($E143,Resumen_Generación!$B$5:$F$158,Resumen_Generación!$F$3,FALSE)</f>
        <v>1.859872</v>
      </c>
      <c r="AG143" s="448">
        <f>VLOOKUP($D143,Valoración_Equip_actual!$D$4:$I$157,Valoración_Equip_actual!$E$2,FALSE)*$E$4</f>
        <v>0</v>
      </c>
      <c r="AH143" s="448">
        <f>VLOOKUP($D143,Valoración_Equip_actual!$D$4:$I$157,Valoración_Equip_actual!$F$2,FALSE)*$E$4</f>
        <v>0</v>
      </c>
      <c r="AI143" s="513">
        <f>[67]P_Datos!$D$43</f>
        <v>0.1839344262295082</v>
      </c>
      <c r="AJ143" s="514"/>
      <c r="AK143" s="514"/>
      <c r="AL143" s="514"/>
      <c r="AM143" s="514"/>
      <c r="AN143" s="449" t="str">
        <f>[67]Datos!$C$2</f>
        <v>Darregueira</v>
      </c>
      <c r="AO143" s="450" t="str">
        <f>VLOOKUP($E143,Tabla13[],Inputs_costos!$D$1,FALSE)</f>
        <v>DARREGUEIRA</v>
      </c>
      <c r="AP143" s="451" t="str">
        <f>VLOOKUP($D143,'Costo Social x localidad'!$B$2:$M$156,1,FALSE)</f>
        <v>Darregueira</v>
      </c>
    </row>
    <row r="144" spans="1:42">
      <c r="A144" s="917"/>
      <c r="B144" s="887"/>
      <c r="C144" s="478" t="str">
        <f>IF(AND(D144=AN144,D144=AO144,D144=AP144),"ok","ATENCIÓN NO ESTÁ TOMANDO BIEN LA LOCALIDAD")</f>
        <v>ok</v>
      </c>
      <c r="D144" s="24" t="s">
        <v>210</v>
      </c>
      <c r="E144" s="115">
        <f>VLOOKUP(D144,Pobl_adoptada!$C$5:$D$158,2,FALSE)</f>
        <v>108</v>
      </c>
      <c r="F144" s="9" t="s">
        <v>308</v>
      </c>
      <c r="G144" s="9"/>
      <c r="H144" s="34">
        <f>'[68]Inversion rec-TA'!$G$21</f>
        <v>2128758.6007098258</v>
      </c>
      <c r="I144" s="34"/>
      <c r="J144" s="34">
        <f>'[68]Costos Operativos Rec-TA'!$G$23</f>
        <v>758897.00989366113</v>
      </c>
      <c r="K144" s="25">
        <f>'[68]Inversion rec-TA'!$G$46</f>
        <v>0</v>
      </c>
      <c r="L144" s="25">
        <f>+'[68]Costos Operativos Rec-TA'!$G$46</f>
        <v>0</v>
      </c>
      <c r="M144" s="19">
        <f t="shared" si="89"/>
        <v>-8254619.0507246526</v>
      </c>
      <c r="N144" s="19"/>
      <c r="O144" s="25">
        <f>IF(((VLOOKUP($E144,Tabla13[],Inputs_costos!$I$1,FALSE))*(O$3*$E$3+O$4*$E$4)-AG144)&lt;0,0,VLOOKUP($E144,Tabla13[],Inputs_costos!$I$1,FALSE)*(O$3*$E$3+O$4*$E$4)-AG144)</f>
        <v>359159.83353599999</v>
      </c>
      <c r="P144" s="25">
        <f>(VLOOKUP($E144,Tabla13[],Inputs_costos!$J$1,FALSE))*(P$3*$E$3+P$4*$E$4)</f>
        <v>26127.3549570752</v>
      </c>
      <c r="Q144" s="25"/>
      <c r="R144" s="25">
        <f>IF($AC144&gt;=15,(VLOOKUP($E144,Tabla13[],Inputs_costos!$G$1,FALSE))*($R$3*$E$3+$R$4*$E$4),(VLOOKUP($E144,Tabla13[],Inputs_costos!$G$1,FALSE))*($T$3*$E$3+$T$4*$E$4))-AH144</f>
        <v>514048.46216</v>
      </c>
      <c r="S144" s="25">
        <f t="shared" si="90"/>
        <v>0</v>
      </c>
      <c r="T144" s="25">
        <f>IF($AC144&gt;=15,(VLOOKUP($E144,Tabla13[],Inputs_costos!$H$1,FALSE))*($R$3*$E$3+$R$4*$E$4),(VLOOKUP($E144,Tabla13[],Inputs_costos!$H$1,FALSE))*($T$3*$E$3+$T$4*$E$4))</f>
        <v>61351.69356</v>
      </c>
      <c r="U144" s="465">
        <f>SUMIFS(Tabla24[Costo de Cierre Técnico de BCA (US$)],Tabla24[Localidad],Resumen!$D144)</f>
        <v>402800</v>
      </c>
      <c r="V144" s="461">
        <f>+U144*(V$3*$E$3+V$4*$E$4)</f>
        <v>773554.19871999999</v>
      </c>
      <c r="W144" s="465">
        <f>SUMIFS(Tabla24[Costo anual de Manteniemiento Post-cierre (US$)],Tabla24[Localidad],Resumen!$D144)</f>
        <v>35762.924934041701</v>
      </c>
      <c r="X144" s="461">
        <f>+W144*(X$3*$E$3+X$4*$E$4)</f>
        <v>68680.637391350887</v>
      </c>
      <c r="Y144" s="28">
        <f>VLOOKUP($D144,'Costo Social x localidad'!$B$2:$M$156,12,FALSE)*(Y$3*$E$3+Y$4*$E$4)</f>
        <v>30981.079318453332</v>
      </c>
      <c r="Z144" s="28">
        <f>VLOOKUP(D144,'Estimación  PRESUPUESTO PCAS'!$B$4:$G$158,'Estimación  PRESUPUESTO PCAS'!$G$2,FALSE)</f>
        <v>170427.61095125825</v>
      </c>
      <c r="AA144" s="650">
        <f>(-O144-R144)/(1+0.12)+PV(12%,20,P144)+PV(12%,20,T144)-(O144*0.5)/(1+0.12)^10-S144/(1+0.12)^10</f>
        <v>-1490890.0122508781</v>
      </c>
      <c r="AB144" s="651">
        <f>M144+AA144</f>
        <v>-9745509.0629755314</v>
      </c>
      <c r="AC144" s="10">
        <f>VLOOKUP($E144,Resumen_Generación!$B$5:$F$158,Resumen_Generación!$D$3,FALSE)</f>
        <v>3.8965922879999999</v>
      </c>
      <c r="AD144" s="10">
        <f>VLOOKUP($E144,Resumen_Generación!$B$5:$G$158,Resumen_Generación!$G$3,FALSE)</f>
        <v>1.59691714</v>
      </c>
      <c r="AE144" s="362">
        <f>VLOOKUP($E144,Resumen_Generación!$B$5:$F$158,Resumen_Generación!$E$3,FALSE)</f>
        <v>5624</v>
      </c>
      <c r="AF144" s="10">
        <f>VLOOKUP($E144,Resumen_Generación!$B$5:$F$158,Resumen_Generación!$F$3,FALSE)</f>
        <v>1.7967599999999999</v>
      </c>
      <c r="AG144" s="448">
        <f>VLOOKUP($D144,Valoración_Equip_actual!$D$4:$I$157,Valoración_Equip_actual!$E$2,FALSE)*$E$4</f>
        <v>0</v>
      </c>
      <c r="AH144" s="448">
        <f>VLOOKUP($D144,Valoración_Equip_actual!$D$4:$I$157,Valoración_Equip_actual!$F$2,FALSE)*$E$4</f>
        <v>0</v>
      </c>
      <c r="AI144" s="513">
        <f>[68]P_Datos!$D$43</f>
        <v>0.16845901639344263</v>
      </c>
      <c r="AJ144" s="514"/>
      <c r="AK144" s="514"/>
      <c r="AL144" s="514"/>
      <c r="AM144" s="514"/>
      <c r="AN144" s="34" t="str">
        <f>[68]Datos!$C$2</f>
        <v>Puán</v>
      </c>
      <c r="AO144" s="25" t="str">
        <f>VLOOKUP($E144,Tabla13[],Inputs_costos!$D$1,FALSE)</f>
        <v>PUÁN</v>
      </c>
      <c r="AP144" s="28" t="str">
        <f>VLOOKUP($D144,'Costo Social x localidad'!$B$2:$M$156,1,FALSE)</f>
        <v>PUÁN</v>
      </c>
    </row>
    <row r="145" spans="1:42">
      <c r="A145" s="917"/>
      <c r="B145" s="887"/>
      <c r="C145" s="478" t="str">
        <f>IF(AND(D145=AN145,D145=AO145,D145=AP145),"ok","ATENCIÓN NO ESTÁ TOMANDO BIEN LA LOCALIDAD")</f>
        <v>ok</v>
      </c>
      <c r="D145" s="24" t="s">
        <v>160</v>
      </c>
      <c r="E145" s="115">
        <f>VLOOKUP(D145,Pobl_adoptada!$C$5:$D$158,2,FALSE)</f>
        <v>68</v>
      </c>
      <c r="F145" s="9" t="s">
        <v>308</v>
      </c>
      <c r="G145" s="9"/>
      <c r="H145" s="34">
        <f>'[69]Inversion rec-TA'!$G$21</f>
        <v>2300227.0407098257</v>
      </c>
      <c r="I145" s="34"/>
      <c r="J145" s="34">
        <f>'[69]Costos Operativos Rec-TA'!$G$23</f>
        <v>965333.8935149035</v>
      </c>
      <c r="K145" s="25">
        <f>'[69]Inversion rec-TA'!$G$46</f>
        <v>0</v>
      </c>
      <c r="L145" s="25">
        <f>+'[69]Costos Operativos Rec-TA'!$G$46</f>
        <v>0</v>
      </c>
      <c r="M145" s="19">
        <f t="shared" si="89"/>
        <v>-10004892.784943927</v>
      </c>
      <c r="N145" s="19"/>
      <c r="O145" s="25">
        <f>IF(((VLOOKUP($E145,Tabla13[],Inputs_costos!$I$1,FALSE))*(O$3*$E$3+O$4*$E$4)-AG145)&lt;0,0,VLOOKUP($E145,Tabla13[],Inputs_costos!$I$1,FALSE)*(O$3*$E$3+O$4*$E$4)-AG145)</f>
        <v>359159.83353599999</v>
      </c>
      <c r="P145" s="25">
        <f>(VLOOKUP($E145,Tabla13[],Inputs_costos!$J$1,FALSE))*(P$3*$E$3+P$4*$E$4)</f>
        <v>26127.3549570752</v>
      </c>
      <c r="Q145" s="25"/>
      <c r="R145" s="25">
        <f>IF($AC145&gt;=15,(VLOOKUP($E145,Tabla13[],Inputs_costos!$G$1,FALSE))*($R$3*$E$3+$R$4*$E$4),(VLOOKUP($E145,Tabla13[],Inputs_costos!$G$1,FALSE))*($T$3*$E$3+$T$4*$E$4))-AH145</f>
        <v>674964.64119999995</v>
      </c>
      <c r="S145" s="25">
        <f t="shared" si="90"/>
        <v>0</v>
      </c>
      <c r="T145" s="25">
        <f>IF($AC145&gt;=15,(VLOOKUP($E145,Tabla13[],Inputs_costos!$H$1,FALSE))*($R$3*$E$3+$R$4*$E$4),(VLOOKUP($E145,Tabla13[],Inputs_costos!$H$1,FALSE))*($T$3*$E$3+$T$4*$E$4))</f>
        <v>96933.755583999999</v>
      </c>
      <c r="U145" s="465">
        <f>SUMIFS(Tabla24[Costo de Cierre Técnico de BCA (US$)],Tabla24[Localidad],Resumen!$D145)</f>
        <v>1696000</v>
      </c>
      <c r="V145" s="461">
        <f t="shared" ref="V145:V147" si="91">+U145*(V$3*$E$3+V$4*$E$4)</f>
        <v>3257070.3103999998</v>
      </c>
      <c r="W145" s="465">
        <f>SUMIFS(Tabla24[Costo anual de Manteniemiento Post-cierre (US$)],Tabla24[Localidad],Resumen!$D145)</f>
        <v>150580.73656438611</v>
      </c>
      <c r="X145" s="461">
        <f t="shared" ref="X145:X147" si="92">+W145*(X$3*$E$3+X$4*$E$4)</f>
        <v>289181.6311214774</v>
      </c>
      <c r="Y145" s="28">
        <f>VLOOKUP($D145,'Costo Social x localidad'!$B$2:$M$156,12,FALSE)*(Y$3*$E$3+Y$4*$E$4)</f>
        <v>12693.405954400001</v>
      </c>
      <c r="Z145" s="28">
        <f>VLOOKUP(D145,'Estimación  PRESUPUESTO PCAS'!$B$4:$G$158,'Estimación  PRESUPUESTO PCAS'!$G$2,FALSE)</f>
        <v>198586.61825845827</v>
      </c>
      <c r="AA145" s="650">
        <f>(-O145-R145)/(1+0.12)+PV(12%,20,P145)+PV(12%,20,T145)-(O145*0.5)/(1+0.12)^10-S145/(1+0.12)^10</f>
        <v>-1900343.3784336168</v>
      </c>
      <c r="AB145" s="651">
        <f>M145+AA145</f>
        <v>-11905236.163377544</v>
      </c>
      <c r="AC145" s="10">
        <f>VLOOKUP($E145,Resumen_Generación!$B$5:$F$158,Resumen_Generación!$D$3,FALSE)</f>
        <v>7.3504662239999989</v>
      </c>
      <c r="AD145" s="10">
        <f>VLOOKUP($E145,Resumen_Generación!$B$5:$G$158,Resumen_Generación!$G$3,FALSE)</f>
        <v>3.0241697199999997</v>
      </c>
      <c r="AE145" s="362">
        <f>VLOOKUP($E145,Resumen_Generación!$B$5:$F$158,Resumen_Generación!$E$3,FALSE)</f>
        <v>10619</v>
      </c>
      <c r="AF145" s="10">
        <f>VLOOKUP($E145,Resumen_Generación!$B$5:$F$158,Resumen_Generación!$F$3,FALSE)</f>
        <v>3.3893719999999998</v>
      </c>
      <c r="AG145" s="448">
        <f>VLOOKUP($D145,Valoración_Equip_actual!$D$4:$I$157,Valoración_Equip_actual!$E$2,FALSE)*$E$4</f>
        <v>0</v>
      </c>
      <c r="AH145" s="448">
        <f>VLOOKUP($D145,Valoración_Equip_actual!$D$4:$I$157,Valoración_Equip_actual!$F$2,FALSE)*$E$4</f>
        <v>0</v>
      </c>
      <c r="AI145" s="448">
        <f>[69]P_Datos!$D$43</f>
        <v>0.29121311475409839</v>
      </c>
      <c r="AN145" s="34" t="str">
        <f>[69]Datos!$C$2</f>
        <v>General La Madrid</v>
      </c>
      <c r="AO145" s="25" t="str">
        <f>VLOOKUP($E145,Tabla13[],Inputs_costos!$D$1,FALSE)</f>
        <v>GENERAL LA MADRID</v>
      </c>
      <c r="AP145" s="28" t="str">
        <f>VLOOKUP($D145,'Costo Social x localidad'!$B$2:$M$156,1,FALSE)</f>
        <v>GENERAL LA MADRID</v>
      </c>
    </row>
    <row r="146" spans="1:42">
      <c r="A146" s="917"/>
      <c r="B146" s="887"/>
      <c r="C146" s="478" t="str">
        <f>IF(AND(D146=AN146,D146=AO146,D146=AP146),"ok","ATENCIÓN NO ESTÁ TOMANDO BIEN LA LOCALIDAD")</f>
        <v>ok</v>
      </c>
      <c r="D146" s="515" t="s">
        <v>219</v>
      </c>
      <c r="E146" s="115">
        <f>VLOOKUP(D146,Pobl_adoptada!$C$5:$D$158,2,FALSE)</f>
        <v>115</v>
      </c>
      <c r="F146" s="9" t="s">
        <v>308</v>
      </c>
      <c r="G146" s="9"/>
      <c r="H146" s="34">
        <f>'[70]Inversion rec-TA'!$G$21</f>
        <v>2471695.4807098256</v>
      </c>
      <c r="I146" s="34"/>
      <c r="J146" s="34">
        <f>'[70]Costos Operativos Rec-TA'!$G$23</f>
        <v>1124012.9814385131</v>
      </c>
      <c r="K146" s="25">
        <f>'[70]Inversion rec-TA'!$G$46</f>
        <v>0</v>
      </c>
      <c r="L146" s="25">
        <f>+'[70]Costos Operativos Rec-TA'!$G$46</f>
        <v>0</v>
      </c>
      <c r="M146" s="19">
        <f t="shared" si="89"/>
        <v>-11398442.356577583</v>
      </c>
      <c r="N146" s="19"/>
      <c r="O146" s="25">
        <f>IF(((VLOOKUP($E146,Tabla13[],Inputs_costos!$I$1,FALSE))*(O$3*$E$3+O$4*$E$4)-AG146)&lt;0,0,VLOOKUP($E146,Tabla13[],Inputs_costos!$I$1,FALSE)*(O$3*$E$3+O$4*$E$4)-AG146)</f>
        <v>0</v>
      </c>
      <c r="P146" s="25">
        <f>(VLOOKUP($E146,Tabla13[],Inputs_costos!$J$1,FALSE))*(P$3*$E$3+P$4*$E$4)</f>
        <v>26127.3549570752</v>
      </c>
      <c r="Q146" s="25"/>
      <c r="R146" s="25">
        <f>IF($AC146&gt;=15,(VLOOKUP($E146,Tabla13[],Inputs_costos!$G$1,FALSE))*($R$3*$E$3+$R$4*$E$4),(VLOOKUP($E146,Tabla13[],Inputs_costos!$G$1,FALSE))*($T$3*$E$3+$T$4*$E$4))-AH146</f>
        <v>932852.98063999997</v>
      </c>
      <c r="S146" s="25">
        <f t="shared" si="90"/>
        <v>0</v>
      </c>
      <c r="T146" s="25">
        <f>IF($AC146&gt;=15,(VLOOKUP($E146,Tabla13[],Inputs_costos!$H$1,FALSE))*($R$3*$E$3+$R$4*$E$4),(VLOOKUP($E146,Tabla13[],Inputs_costos!$H$1,FALSE))*($T$3*$E$3+$T$4*$E$4))</f>
        <v>175951.66450399999</v>
      </c>
      <c r="U146" s="465">
        <f>SUMIFS(Tabla24[Costo de Cierre Técnico de BCA (US$)],Tabla24[Localidad],Resumen!$D146)</f>
        <v>742000</v>
      </c>
      <c r="V146" s="461">
        <f t="shared" si="91"/>
        <v>1424968.2608</v>
      </c>
      <c r="W146" s="465">
        <f>SUMIFS(Tabla24[Costo anual de Manteniemiento Post-cierre (US$)],Tabla24[Localidad],Resumen!$D146)</f>
        <v>65879.07224691892</v>
      </c>
      <c r="X146" s="461">
        <f t="shared" si="92"/>
        <v>126516.96361564637</v>
      </c>
      <c r="Y146" s="28">
        <f>VLOOKUP($D146,'Costo Social x localidad'!$B$2:$M$156,12,FALSE)*(Y$3*$E$3+Y$4*$E$4)</f>
        <v>24858.010666399998</v>
      </c>
      <c r="Z146" s="28">
        <f>VLOOKUP(D146,'Estimación  PRESUPUESTO PCAS'!$B$4:$G$158,'Estimación  PRESUPUESTO PCAS'!$G$2,FALSE)</f>
        <v>180967.56722149826</v>
      </c>
      <c r="AA146" s="650">
        <f>(-O146-R146)/(1+0.12)+PV(12%,20,P146)+PV(12%,20,T146)-(O146*0.5)/(1+0.12)^10-S146/(1+0.12)^10</f>
        <v>-2342322.2905239007</v>
      </c>
      <c r="AB146" s="651">
        <f>M146+AA146</f>
        <v>-13740764.647101484</v>
      </c>
      <c r="AC146" s="10">
        <f>VLOOKUP($E146,Resumen_Generación!$B$5:$F$158,Resumen_Generación!$D$3,FALSE)</f>
        <v>12.889400720000001</v>
      </c>
      <c r="AD146" s="10">
        <f>VLOOKUP($E146,Resumen_Generación!$B$5:$G$158,Resumen_Generación!$G$3,FALSE)</f>
        <v>5.2267115999999998</v>
      </c>
      <c r="AE146" s="362">
        <f>VLOOKUP($E146,Resumen_Generación!$B$5:$F$158,Resumen_Generación!$E$3,FALSE)</f>
        <v>16105</v>
      </c>
      <c r="AF146" s="10">
        <f>VLOOKUP($E146,Resumen_Generación!$B$5:$F$158,Resumen_Generación!$F$3,FALSE)</f>
        <v>5.9597439999999997</v>
      </c>
      <c r="AG146" s="448">
        <f>VLOOKUP($D146,Valoración_Equip_actual!$D$4:$I$157,Valoración_Equip_actual!$E$2,FALSE)*$E$4</f>
        <v>1206846.2544</v>
      </c>
      <c r="AH146" s="448">
        <f>VLOOKUP($D146,Valoración_Equip_actual!$D$4:$I$157,Valoración_Equip_actual!$F$2,FALSE)*$E$4</f>
        <v>0</v>
      </c>
      <c r="AI146" s="448">
        <f>[70]P_Datos!$D$43</f>
        <v>0.44596721311475412</v>
      </c>
      <c r="AN146" s="34" t="str">
        <f>[70]Datos!$C$2</f>
        <v>Pigüé</v>
      </c>
      <c r="AO146" s="25" t="str">
        <f>VLOOKUP($E146,Tabla13[],Inputs_costos!$D$1,FALSE)</f>
        <v>PIGÜÉ</v>
      </c>
      <c r="AP146" s="28" t="str">
        <f>VLOOKUP($D146,'Costo Social x localidad'!$B$2:$M$156,1,FALSE)</f>
        <v>PIGÜÉ</v>
      </c>
    </row>
    <row r="147" spans="1:42" ht="15.75" thickBot="1">
      <c r="A147" s="917"/>
      <c r="B147" s="887"/>
      <c r="C147" s="478" t="str">
        <f>IF(AND(D147=AN147,D147=AO147,D147=AP147),"ok","ATENCIÓN NO ESTÁ TOMANDO BIEN LA LOCALIDAD")</f>
        <v>ok</v>
      </c>
      <c r="D147" s="36" t="s">
        <v>144</v>
      </c>
      <c r="E147" s="482">
        <f>VLOOKUP(D147,Pobl_adoptada!$C$5:$D$158,2,FALSE)</f>
        <v>55</v>
      </c>
      <c r="F147" s="37" t="s">
        <v>308</v>
      </c>
      <c r="G147" s="37"/>
      <c r="H147" s="117">
        <f>'[71]Inversion rec-TA'!$G$21</f>
        <v>3684194.5502797677</v>
      </c>
      <c r="I147" s="117"/>
      <c r="J147" s="117">
        <f>'[71]Costos Operativos Rec-TA'!$G$23</f>
        <v>1991217.9029103273</v>
      </c>
      <c r="K147" s="25">
        <f>'[71]Inversion rec-TA'!$G$46</f>
        <v>0</v>
      </c>
      <c r="L147" s="25">
        <f>+'[71]Costos Operativos Rec-TA'!$G$46</f>
        <v>0</v>
      </c>
      <c r="M147" s="19">
        <f t="shared" si="89"/>
        <v>-19348961.333016545</v>
      </c>
      <c r="N147" s="19"/>
      <c r="O147" s="25">
        <f>IF(((VLOOKUP($E147,Tabla13[],Inputs_costos!$I$1,FALSE))*(O$3*$E$3+O$4*$E$4)-AG147)&lt;0,0,VLOOKUP($E147,Tabla13[],Inputs_costos!$I$1,FALSE)*(O$3*$E$3+O$4*$E$4)-AG147)</f>
        <v>694802.74034400017</v>
      </c>
      <c r="P147" s="25">
        <f>(VLOOKUP($E147,Tabla13[],Inputs_costos!$J$1,FALSE))*(P$3*$E$3+P$4*$E$4)</f>
        <v>453373.90204800002</v>
      </c>
      <c r="Q147" s="25"/>
      <c r="R147" s="25">
        <f>IF($AC147&gt;=15,(VLOOKUP($E147,Tabla13[],Inputs_costos!$G$1,FALSE))*($R$3*$E$3+$R$4*$E$4),(VLOOKUP($E147,Tabla13[],Inputs_costos!$G$1,FALSE))*($T$3*$E$3+$T$4*$E$4))-AH147</f>
        <v>8552777.0911999997</v>
      </c>
      <c r="S147" s="25">
        <f t="shared" si="90"/>
        <v>815000</v>
      </c>
      <c r="T147" s="25">
        <f>IF($AC147&gt;=15,(VLOOKUP($E147,Tabla13[],Inputs_costos!$H$1,FALSE))*($R$3*$E$3+$R$4*$E$4),(VLOOKUP($E147,Tabla13[],Inputs_costos!$H$1,FALSE))*($T$3*$E$3+$T$4*$E$4))</f>
        <v>1655879.535048</v>
      </c>
      <c r="U147" s="465">
        <f>SUMIFS(Tabla24[Costo de Cierre Técnico de BCA (US$)],Tabla24[Localidad],Resumen!$D147)</f>
        <v>2798400</v>
      </c>
      <c r="V147" s="461">
        <f t="shared" si="91"/>
        <v>5374166.0121600004</v>
      </c>
      <c r="W147" s="465">
        <f>SUMIFS(Tabla24[Costo anual de Manteniemiento Post-cierre (US$)],Tabla24[Localidad],Resumen!$D147)</f>
        <v>248458.21533123709</v>
      </c>
      <c r="X147" s="461">
        <f t="shared" si="92"/>
        <v>477149.69135043776</v>
      </c>
      <c r="Y147" s="447">
        <f>VLOOKUP($D147,'Costo Social x localidad'!$B$2:$M$156,12,FALSE)*(Y$3*$E$3+Y$4*$E$4)</f>
        <v>55721.288446080005</v>
      </c>
      <c r="Z147" s="28">
        <f>VLOOKUP(D147,'Estimación  PRESUPUESTO PCAS'!$B$4:$G$158,'Estimación  PRESUPUESTO PCAS'!$G$2,FALSE)</f>
        <v>315731.80393983767</v>
      </c>
      <c r="AA147" s="650">
        <f>(-O147-R147)/(1+0.12)+PV(12%,20,P147)+PV(12%,20,T147)-(O147*0.5)/(1+0.12)^10-S147/(1+0.12)^10</f>
        <v>-24385979.475915242</v>
      </c>
      <c r="AB147" s="651">
        <f>M147+AA147</f>
        <v>-43734940.808931783</v>
      </c>
      <c r="AC147" s="10">
        <f>VLOOKUP($E147,Resumen_Generación!$B$5:$F$158,Resumen_Generación!$D$3,FALSE)</f>
        <v>24.736482663999997</v>
      </c>
      <c r="AD147" s="10">
        <f>VLOOKUP($E147,Resumen_Generación!$B$5:$G$158,Resumen_Generación!$G$3,FALSE)</f>
        <v>10.171555420000001</v>
      </c>
      <c r="AE147" s="362">
        <f>VLOOKUP($E147,Resumen_Generación!$B$5:$F$158,Resumen_Generación!$E$3,FALSE)</f>
        <v>31013</v>
      </c>
      <c r="AF147" s="10">
        <f>VLOOKUP($E147,Resumen_Generación!$B$5:$F$158,Resumen_Generación!$F$3,FALSE)</f>
        <v>11.407137000000001</v>
      </c>
      <c r="AG147" s="448">
        <f>VLOOKUP($D147,Valoración_Equip_actual!$D$4:$I$157,Valoración_Equip_actual!$E$2,FALSE)*$E$4</f>
        <v>1014183.700296</v>
      </c>
      <c r="AH147" s="448">
        <f>VLOOKUP($D147,Valoración_Equip_actual!$D$4:$I$157,Valoración_Equip_actual!$F$2,FALSE)*$E$4</f>
        <v>0</v>
      </c>
      <c r="AI147" s="448">
        <f>[71]P_Datos!$D$43</f>
        <v>0.80268852459016393</v>
      </c>
      <c r="AN147" s="34" t="str">
        <f>[71]Datos!$C$2</f>
        <v>Coronel Suárez</v>
      </c>
      <c r="AO147" s="25" t="str">
        <f>VLOOKUP($E147,Tabla13[],Inputs_costos!$D$1,FALSE)</f>
        <v>CORONEL SUÁREZ</v>
      </c>
      <c r="AP147" s="28" t="str">
        <f>VLOOKUP($D147,'Costo Social x localidad'!$B$2:$M$156,1,FALSE)</f>
        <v>CORONEL SUÁREZ</v>
      </c>
    </row>
    <row r="148" spans="1:42" ht="15.75" thickBot="1">
      <c r="A148" s="917"/>
      <c r="B148" s="888"/>
      <c r="C148" s="483"/>
      <c r="D148" s="12" t="s">
        <v>8</v>
      </c>
      <c r="E148" s="40"/>
      <c r="F148" s="13"/>
      <c r="G148" s="8"/>
      <c r="H148" s="32">
        <f>SUM(H143:H147)</f>
        <v>12825868.161119072</v>
      </c>
      <c r="I148" s="32"/>
      <c r="J148" s="32">
        <f>SUM(J143:J147)</f>
        <v>5739302.753909545</v>
      </c>
      <c r="K148" s="14"/>
      <c r="L148" s="14"/>
      <c r="M148" s="15">
        <f t="shared" ref="M148:T148" si="93">SUM(M143:M147)</f>
        <v>-58450652.648195699</v>
      </c>
      <c r="N148" s="15"/>
      <c r="O148" s="16">
        <f t="shared" si="93"/>
        <v>1772282.240952</v>
      </c>
      <c r="P148" s="16">
        <f t="shared" si="93"/>
        <v>557883.32187630085</v>
      </c>
      <c r="Q148" s="16"/>
      <c r="R148" s="26">
        <f t="shared" si="93"/>
        <v>11194452.359759999</v>
      </c>
      <c r="S148" s="26"/>
      <c r="T148" s="26">
        <f t="shared" si="93"/>
        <v>2052543.677104</v>
      </c>
      <c r="U148" s="26"/>
      <c r="V148" s="26">
        <f t="shared" ref="V148" si="94">SUM(V143:V147)</f>
        <v>10829758.78208</v>
      </c>
      <c r="W148" s="26"/>
      <c r="X148" s="26">
        <f t="shared" ref="X148:AA148" si="95">SUM(X143:X147)</f>
        <v>961528.92347891233</v>
      </c>
      <c r="Y148" s="26">
        <f t="shared" si="95"/>
        <v>129177.07628165334</v>
      </c>
      <c r="Z148" s="26">
        <f t="shared" si="95"/>
        <v>1029585.6154391107</v>
      </c>
      <c r="AA148" s="653">
        <f t="shared" si="95"/>
        <v>-31623600.824541785</v>
      </c>
      <c r="AB148" s="654">
        <f>+M148+AA148</f>
        <v>-90074253.472737491</v>
      </c>
      <c r="AC148" s="630">
        <f t="shared" ref="AC148:AI148" si="96">SUM(AC143:AC147)</f>
        <v>52.892924215999997</v>
      </c>
      <c r="AD148" s="630">
        <f t="shared" si="96"/>
        <v>21.642008480000001</v>
      </c>
      <c r="AE148" s="631">
        <f t="shared" si="96"/>
        <v>69142</v>
      </c>
      <c r="AF148" s="630">
        <f t="shared" si="96"/>
        <v>24.412885000000003</v>
      </c>
      <c r="AG148" s="630">
        <f t="shared" si="96"/>
        <v>2221029.9546960001</v>
      </c>
      <c r="AH148" s="630">
        <f t="shared" si="96"/>
        <v>0</v>
      </c>
      <c r="AI148" s="630">
        <f t="shared" si="96"/>
        <v>1.8922622950819674</v>
      </c>
      <c r="AJ148" s="4"/>
      <c r="AK148" s="4"/>
      <c r="AL148" s="4"/>
      <c r="AM148" s="4"/>
      <c r="AN148" s="4"/>
      <c r="AO148" s="4"/>
      <c r="AP148" s="4"/>
    </row>
    <row r="149" spans="1:42">
      <c r="A149" s="917"/>
      <c r="B149" s="886" t="s">
        <v>310</v>
      </c>
      <c r="C149" s="481" t="str">
        <f>IF(AND(D149=AN149,D149=AO149,D149=AP149),"ok","ATENCIÓN NO ESTÁ TOMANDO BIEN LA LOCALIDAD")</f>
        <v>ok</v>
      </c>
      <c r="D149" s="23" t="s">
        <v>257</v>
      </c>
      <c r="E149" s="114">
        <f>VLOOKUP(D149,Pobl_adoptada!$C$5:$D$158,2,FALSE)</f>
        <v>150</v>
      </c>
      <c r="F149" s="8" t="s">
        <v>308</v>
      </c>
      <c r="G149" s="576">
        <f>+'[72]Inversion rec-TA'!$G$21</f>
        <v>1768476.4744783517</v>
      </c>
      <c r="H149" s="577">
        <f>+($AC143/$AC148)*H154+G149</f>
        <v>1924086.2660254133</v>
      </c>
      <c r="I149" s="587">
        <f>+'[72]Costos Operativos Rec-TA'!$G$23</f>
        <v>897025.13018349453</v>
      </c>
      <c r="J149" s="579">
        <f>+($AC143/$AC148)*J154+I149</f>
        <v>900137.32601443573</v>
      </c>
      <c r="K149" s="10">
        <f>+'[72]Inversion rec-TA'!$G$46</f>
        <v>0</v>
      </c>
      <c r="L149" s="10">
        <f>+'[72]Costos Operativos Rec-TA'!$G$46</f>
        <v>0</v>
      </c>
      <c r="M149" s="19">
        <f t="shared" ref="M149:M153" si="97">-H149/(1+0.12)+PV(12%,20,J149)-H149/(1+0.12)^10</f>
        <v>-9060963.4594638459</v>
      </c>
      <c r="N149" s="614">
        <f>+$AD143/$AD148*N155</f>
        <v>139901.01854266395</v>
      </c>
      <c r="O149" s="25">
        <f>IF(N149-AG149&lt;0,0,N149-AG149)</f>
        <v>139901.01854266395</v>
      </c>
      <c r="P149" s="32">
        <f>+$AD143/$AD148*P155</f>
        <v>72748.807803073098</v>
      </c>
      <c r="Q149" s="614">
        <f>+$AC143/$AC148*Q155</f>
        <v>968528.40724334714</v>
      </c>
      <c r="R149" s="647">
        <f>IF(Q149-AH149&lt;0,0,Q149-AH149)</f>
        <v>968528.40724334714</v>
      </c>
      <c r="S149" s="647">
        <f>+S143</f>
        <v>0</v>
      </c>
      <c r="T149" s="32">
        <f>+$AC143/$AC148*T155</f>
        <v>103708.7637241161</v>
      </c>
      <c r="U149" s="27"/>
      <c r="V149" s="461">
        <f>+V143</f>
        <v>0</v>
      </c>
      <c r="W149" s="27"/>
      <c r="X149" s="461">
        <f t="shared" ref="X149:Z151" si="98">+X143</f>
        <v>0</v>
      </c>
      <c r="Y149" s="27">
        <f t="shared" si="98"/>
        <v>4923.2918963199991</v>
      </c>
      <c r="Z149" s="27">
        <f t="shared" si="98"/>
        <v>163872.01506805824</v>
      </c>
      <c r="AA149" s="650">
        <f>(-O149-R149)/(1+0.12)+PV(12%,20,P149)+PV(12%,20,T149)-(O149*0.5)/(1+0.12)^10-S149/(1+0.12)^10</f>
        <v>-2330231.2046454339</v>
      </c>
      <c r="AB149" s="651">
        <f>M149+AA149</f>
        <v>-11391194.66410928</v>
      </c>
      <c r="AG149" s="448">
        <f>VLOOKUP($D149,Valoración_Eq_REG!$D$4:$I$157,Valoración_Eq_REG!$E$2,FALSE)*$E$4</f>
        <v>0</v>
      </c>
      <c r="AH149" s="448">
        <f>VLOOKUP($D149,Valoración_Eq_REG!$D$4:$I$157,Valoración_Eq_REG!$F$2,FALSE)*$E$4</f>
        <v>0</v>
      </c>
      <c r="AJ149" s="512">
        <f>+'[72]Evaluacion Economica'!$L$25</f>
        <v>2</v>
      </c>
      <c r="AK149" s="513">
        <f>+'[72]Evaluacion Economica'!$R$25</f>
        <v>15</v>
      </c>
      <c r="AL149" s="512">
        <f>+'[72]P_Evaluacion Economica'!$L$27</f>
        <v>2</v>
      </c>
      <c r="AM149" s="513">
        <f>+'[72]P_Evaluacion Economica'!$Q$27</f>
        <v>6</v>
      </c>
      <c r="AN149" s="34" t="str">
        <f>+[72]Datos!$C$2</f>
        <v>Darregueira</v>
      </c>
      <c r="AO149" s="25" t="str">
        <f>VLOOKUP($E149,Tabla13[],Inputs_costos!$D$1,FALSE)</f>
        <v>DARREGUEIRA</v>
      </c>
      <c r="AP149" s="28" t="str">
        <f>VLOOKUP($D149,'Costo Social x localidad'!$B$2:$M$156,1,FALSE)</f>
        <v>Darregueira</v>
      </c>
    </row>
    <row r="150" spans="1:42">
      <c r="A150" s="917"/>
      <c r="B150" s="887"/>
      <c r="C150" s="478" t="str">
        <f>IF(AND(D150=AN150,D150=AO150,D150=AP150),"ok","ATENCIÓN NO ESTÁ TOMANDO BIEN LA LOCALIDAD")</f>
        <v>ok</v>
      </c>
      <c r="D150" s="24" t="s">
        <v>210</v>
      </c>
      <c r="E150" s="115">
        <f>VLOOKUP(D150,Pobl_adoptada!$C$5:$D$158,2,FALSE)</f>
        <v>108</v>
      </c>
      <c r="F150" s="9" t="s">
        <v>308</v>
      </c>
      <c r="G150" s="580">
        <f>+'[73]Inversion rec-TA'!$G$21</f>
        <v>1656242.5864783516</v>
      </c>
      <c r="H150" s="34">
        <f>+($AC144/$AC148)*H154+G150</f>
        <v>1807076.0641936387</v>
      </c>
      <c r="I150" s="465">
        <f>+'[73]Costos Operativos Rec-TA'!$G$23</f>
        <v>794622.96399114456</v>
      </c>
      <c r="J150" s="581">
        <f>+($AC144/$AC148)*J154+I150</f>
        <v>797639.63354545028</v>
      </c>
      <c r="K150" s="10">
        <f>+'[73]Inversion rec-TA'!$G$46</f>
        <v>0</v>
      </c>
      <c r="L150" s="10">
        <f>+'[73]Costos Operativos Rec-TA'!$G$46</f>
        <v>0</v>
      </c>
      <c r="M150" s="19">
        <f t="shared" si="97"/>
        <v>-8153215.1760525303</v>
      </c>
      <c r="N150" s="465">
        <f>+$AD144/$AD148*N155</f>
        <v>137682.0023276906</v>
      </c>
      <c r="O150" s="25">
        <f>IF(N150-AG150&lt;0,0,N150-AG150)</f>
        <v>137682.0023276906</v>
      </c>
      <c r="P150" s="25">
        <f>+$AD144/$AD148*P155</f>
        <v>71594.914959285321</v>
      </c>
      <c r="Q150" s="465">
        <f>+$AC144/$AC148*Q155</f>
        <v>938800.22894562117</v>
      </c>
      <c r="R150" s="647">
        <f>IF(Q150-AH150&lt;0,0,Q150-AH150)</f>
        <v>938800.22894562117</v>
      </c>
      <c r="S150" s="647">
        <f t="shared" ref="S150:S153" si="99">+S144</f>
        <v>0</v>
      </c>
      <c r="T150" s="25">
        <f>+$AC144/$AC148*T155</f>
        <v>100525.50900905578</v>
      </c>
      <c r="U150" s="28"/>
      <c r="V150" s="461">
        <f>+V144</f>
        <v>773554.19871999999</v>
      </c>
      <c r="W150" s="28"/>
      <c r="X150" s="461">
        <f t="shared" si="98"/>
        <v>68680.637391350887</v>
      </c>
      <c r="Y150" s="28">
        <f t="shared" si="98"/>
        <v>30981.079318453332</v>
      </c>
      <c r="Z150" s="28">
        <f t="shared" si="98"/>
        <v>170427.61095125825</v>
      </c>
      <c r="AA150" s="650">
        <f>(-O150-R150)/(1+0.12)+PV(12%,20,P150)+PV(12%,20,T150)-(O150*0.5)/(1+0.12)^10-S150/(1+0.12)^10</f>
        <v>-2268953.6127329264</v>
      </c>
      <c r="AB150" s="651">
        <f>M150+AA150</f>
        <v>-10422168.788785458</v>
      </c>
      <c r="AC150" s="10"/>
      <c r="AD150" s="10"/>
      <c r="AE150" s="362"/>
      <c r="AF150" s="10"/>
      <c r="AG150" s="448">
        <f>VLOOKUP($D150,Valoración_Eq_REG!$D$4:$I$157,Valoración_Eq_REG!$E$2,FALSE)*$E$4</f>
        <v>0</v>
      </c>
      <c r="AH150" s="448">
        <f>VLOOKUP($D150,Valoración_Eq_REG!$D$4:$I$157,Valoración_Eq_REG!$F$2,FALSE)*$E$4</f>
        <v>0</v>
      </c>
      <c r="AI150" s="10"/>
      <c r="AJ150" s="512">
        <f>+'[73]Evaluacion Economica'!$L$25</f>
        <v>2</v>
      </c>
      <c r="AK150" s="513">
        <f>+'[73]Evaluacion Economica'!$R$25</f>
        <v>15</v>
      </c>
      <c r="AL150" s="512">
        <f>+'[73]P_Evaluacion Economica'!$L$27</f>
        <v>2</v>
      </c>
      <c r="AM150" s="513">
        <f>+'[73]P_Evaluacion Economica'!$Q$27</f>
        <v>6</v>
      </c>
      <c r="AN150" s="34" t="str">
        <f>+[73]Datos!$C$2</f>
        <v>Puán</v>
      </c>
      <c r="AO150" s="25" t="str">
        <f>VLOOKUP($E150,Tabla13[],Inputs_costos!$D$1,FALSE)</f>
        <v>PUÁN</v>
      </c>
      <c r="AP150" s="28" t="str">
        <f>VLOOKUP($D150,'Costo Social x localidad'!$B$2:$M$156,1,FALSE)</f>
        <v>PUÁN</v>
      </c>
    </row>
    <row r="151" spans="1:42">
      <c r="A151" s="917"/>
      <c r="B151" s="887"/>
      <c r="C151" s="478" t="str">
        <f>IF(AND(D151=AN151,D151=AO151,D151=AP151),"ok","ATENCIÓN NO ESTÁ TOMANDO BIEN LA LOCALIDAD")</f>
        <v>ok</v>
      </c>
      <c r="D151" s="24" t="s">
        <v>160</v>
      </c>
      <c r="E151" s="115">
        <f>VLOOKUP(D151,Pobl_adoptada!$C$5:$D$158,2,FALSE)</f>
        <v>68</v>
      </c>
      <c r="F151" s="9" t="s">
        <v>308</v>
      </c>
      <c r="G151" s="580">
        <f>+'[74]Inversion rec-TA'!$G$21</f>
        <v>1827711.0264783516</v>
      </c>
      <c r="H151" s="34">
        <f>+($AC145/$AC148)*H154+G151</f>
        <v>2112240.7646316173</v>
      </c>
      <c r="I151" s="465">
        <f>+'[74]Costos Operativos Rec-TA'!$G$23</f>
        <v>931982.34817085788</v>
      </c>
      <c r="J151" s="581">
        <f>+($AC145/$AC148)*J154+I151</f>
        <v>937672.94293392322</v>
      </c>
      <c r="K151" s="10">
        <f>+'[74]Inversion rec-TA'!$G$46</f>
        <v>0</v>
      </c>
      <c r="L151" s="10">
        <f>+'[74]Costos Operativos Rec-TA'!$G$46</f>
        <v>0</v>
      </c>
      <c r="M151" s="19">
        <f t="shared" si="97"/>
        <v>-9569909.4348849077</v>
      </c>
      <c r="N151" s="465">
        <f>+$AD145/$AD148*N155</f>
        <v>260735.97182905269</v>
      </c>
      <c r="O151" s="25">
        <f>IF(N151-AG151&lt;0,0,N151-AG151)</f>
        <v>260735.97182905269</v>
      </c>
      <c r="P151" s="25">
        <f>+$AD145/$AD148*P155</f>
        <v>135583.22376441254</v>
      </c>
      <c r="Q151" s="465">
        <f>+$AC145/$AC148*Q155</f>
        <v>1770936.9787543591</v>
      </c>
      <c r="R151" s="647">
        <f>IF(Q151-AH151&lt;0,0,Q151-AH151)</f>
        <v>1770936.9787543591</v>
      </c>
      <c r="S151" s="647">
        <f t="shared" si="99"/>
        <v>0</v>
      </c>
      <c r="T151" s="25">
        <f>+$AC145/$AC148*T155</f>
        <v>189629.6312285552</v>
      </c>
      <c r="U151" s="458"/>
      <c r="V151" s="461">
        <f t="shared" ref="V151" si="100">+V145</f>
        <v>3257070.3103999998</v>
      </c>
      <c r="W151" s="28"/>
      <c r="X151" s="461">
        <f t="shared" si="98"/>
        <v>289181.6311214774</v>
      </c>
      <c r="Y151" s="28">
        <f t="shared" si="98"/>
        <v>12693.405954400001</v>
      </c>
      <c r="Z151" s="28">
        <f t="shared" si="98"/>
        <v>198586.61825845827</v>
      </c>
      <c r="AA151" s="650">
        <f>(-O151-R151)/(1+0.12)+PV(12%,20,P151)+PV(12%,20,T151)-(O151*0.5)/(1+0.12)^10-S151/(1+0.12)^10</f>
        <v>-4285127.7945273547</v>
      </c>
      <c r="AB151" s="651">
        <f>M151+AA151</f>
        <v>-13855037.229412261</v>
      </c>
      <c r="AC151" s="39"/>
      <c r="AD151" s="10"/>
      <c r="AE151" s="10"/>
      <c r="AF151" s="10"/>
      <c r="AG151" s="448">
        <f>VLOOKUP($D151,Valoración_Eq_REG!$D$4:$I$157,Valoración_Eq_REG!$E$2,FALSE)*$E$4</f>
        <v>0</v>
      </c>
      <c r="AH151" s="448">
        <f>VLOOKUP($D151,Valoración_Eq_REG!$D$4:$I$157,Valoración_Eq_REG!$F$2,FALSE)*$E$4</f>
        <v>0</v>
      </c>
      <c r="AI151" s="11"/>
      <c r="AJ151" s="484">
        <f>+'[74]Evaluacion Economica'!$L$25</f>
        <v>2</v>
      </c>
      <c r="AK151" s="448">
        <f>+'[74]Evaluacion Economica'!$R$25</f>
        <v>15</v>
      </c>
      <c r="AL151" s="484">
        <f>+'[74]P_Evaluacion Economica'!$L$27</f>
        <v>2</v>
      </c>
      <c r="AM151" s="448">
        <f>+'[74]P_Evaluacion Economica'!$Q$27</f>
        <v>6</v>
      </c>
      <c r="AN151" s="34" t="str">
        <f>+[74]Datos!$C$2</f>
        <v>General La Madrid</v>
      </c>
      <c r="AO151" s="25" t="str">
        <f>VLOOKUP($E151,Tabla13[],Inputs_costos!$D$1,FALSE)</f>
        <v>GENERAL LA MADRID</v>
      </c>
      <c r="AP151" s="28" t="str">
        <f>VLOOKUP($D151,'Costo Social x localidad'!$B$2:$M$156,1,FALSE)</f>
        <v>GENERAL LA MADRID</v>
      </c>
    </row>
    <row r="152" spans="1:42">
      <c r="A152" s="917"/>
      <c r="B152" s="887"/>
      <c r="C152" s="478" t="str">
        <f>IF(AND(D152=AN152,D152=AO152,D152=AP152),"ok","ATENCIÓN NO ESTÁ TOMANDO BIEN LA LOCALIDAD")</f>
        <v>ok</v>
      </c>
      <c r="D152" s="515" t="s">
        <v>219</v>
      </c>
      <c r="E152" s="115">
        <f>VLOOKUP(D152,Pobl_adoptada!$C$5:$D$158,2,FALSE)</f>
        <v>115</v>
      </c>
      <c r="F152" s="9" t="s">
        <v>308</v>
      </c>
      <c r="G152" s="580">
        <f>+'[75]Inversion rec-TA'!$G$21</f>
        <v>2287882.0414583273</v>
      </c>
      <c r="H152" s="34">
        <f>+($AC146/$AC148)*H154+G152</f>
        <v>2786818.8027537717</v>
      </c>
      <c r="I152" s="465">
        <f>+'[75]Costos Operativos Rec-TA'!$G$23</f>
        <v>1196824.1938886009</v>
      </c>
      <c r="J152" s="581">
        <f>+($AC146/$AC148)*J154+I152</f>
        <v>1206802.9291145098</v>
      </c>
      <c r="K152" s="10">
        <f>+'[75]Inversion rec-TA'!$G$46</f>
        <v>0</v>
      </c>
      <c r="L152" s="10">
        <f>+'[75]Costos Operativos Rec-TA'!$G$46</f>
        <v>0</v>
      </c>
      <c r="M152" s="19">
        <f t="shared" si="97"/>
        <v>-12399658.588295981</v>
      </c>
      <c r="N152" s="465">
        <f>+$AD146/$AD148*N155</f>
        <v>450633.34887705406</v>
      </c>
      <c r="O152" s="25">
        <f>IF(N152-AG152&lt;0,0,N152-AG152)</f>
        <v>0</v>
      </c>
      <c r="P152" s="25">
        <f>+$AD146/$AD148*P155</f>
        <v>234330.23739648142</v>
      </c>
      <c r="Q152" s="465">
        <f>+$AC146/$AC148*Q155</f>
        <v>3105424.2919314262</v>
      </c>
      <c r="R152" s="647">
        <f>IF(Q152-AH152&lt;0,0,Q152-AH152)</f>
        <v>3105424.2919314262</v>
      </c>
      <c r="S152" s="647">
        <f t="shared" si="99"/>
        <v>0</v>
      </c>
      <c r="T152" s="25">
        <f>+$AC146/$AC148*T155</f>
        <v>332524.799217508</v>
      </c>
      <c r="V152" s="461">
        <f t="shared" ref="V152" si="101">+V146</f>
        <v>1424968.2608</v>
      </c>
      <c r="W152" s="25"/>
      <c r="X152" s="461">
        <f t="shared" ref="X152:Y152" si="102">+X146</f>
        <v>126516.96361564637</v>
      </c>
      <c r="Y152" s="28">
        <f t="shared" si="102"/>
        <v>24858.010666399998</v>
      </c>
      <c r="Z152" s="28">
        <f>+Z146</f>
        <v>180967.56722149826</v>
      </c>
      <c r="AA152" s="650">
        <f>(-O152-R152)/(1+0.12)+PV(12%,20,P152)+PV(12%,20,T152)-(O152*0.5)/(1+0.12)^10-S152/(1+0.12)^10</f>
        <v>-7006791.9998074081</v>
      </c>
      <c r="AB152" s="651">
        <f>M152+AA152</f>
        <v>-19406450.588103391</v>
      </c>
      <c r="AC152" s="10"/>
      <c r="AD152" s="10"/>
      <c r="AE152" s="10"/>
      <c r="AF152" s="10"/>
      <c r="AG152" s="448">
        <f>VLOOKUP($D152,Valoración_Eq_REG!$D$4:$I$157,Valoración_Eq_REG!$E$2,FALSE)*$E$4</f>
        <v>1001548.7544000001</v>
      </c>
      <c r="AH152" s="448">
        <f>VLOOKUP($D152,Valoración_Eq_REG!$D$4:$I$157,Valoración_Eq_REG!$F$2,FALSE)*$E$4</f>
        <v>0</v>
      </c>
      <c r="AI152" s="2"/>
      <c r="AJ152" s="484">
        <f>+'[75]Evaluacion Economica'!$L$25</f>
        <v>3</v>
      </c>
      <c r="AK152" s="448">
        <f>+'[75]Evaluacion Economica'!$R$25</f>
        <v>15</v>
      </c>
      <c r="AL152" s="484">
        <f>+'[75]P_Evaluacion Economica'!$L$27</f>
        <v>2</v>
      </c>
      <c r="AM152" s="448">
        <f>+'[75]P_Evaluacion Economica'!$Q$27</f>
        <v>6</v>
      </c>
      <c r="AN152" s="34" t="str">
        <f>+[75]Datos!$C$2</f>
        <v>Pigüé</v>
      </c>
      <c r="AO152" s="25" t="str">
        <f>VLOOKUP($E152,Tabla13[],Inputs_costos!$D$1,FALSE)</f>
        <v>PIGÜÉ</v>
      </c>
      <c r="AP152" s="28" t="str">
        <f>VLOOKUP($D152,'Costo Social x localidad'!$B$2:$M$156,1,FALSE)</f>
        <v>PIGÜÉ</v>
      </c>
    </row>
    <row r="153" spans="1:42" ht="15.75" thickBot="1">
      <c r="A153" s="917"/>
      <c r="B153" s="887"/>
      <c r="C153" s="478" t="str">
        <f>IF(AND(D153=AN153,D153=AO153,D153=AP153),"ok","ATENCIÓN NO ESTÁ TOMANDO BIEN LA LOCALIDAD")</f>
        <v>ok</v>
      </c>
      <c r="D153" s="36" t="s">
        <v>144</v>
      </c>
      <c r="E153" s="115">
        <f>VLOOKUP(D153,Pobl_adoptada!$C$5:$D$158,2,FALSE)</f>
        <v>55</v>
      </c>
      <c r="F153" s="9" t="s">
        <v>308</v>
      </c>
      <c r="G153" s="580">
        <f>+'[76]Inversion rec-TA'!$G$21</f>
        <v>3201708.9742136761</v>
      </c>
      <c r="H153" s="34">
        <f>+($AC147/$AC148)*H154+G153</f>
        <v>4159235.3025763705</v>
      </c>
      <c r="I153" s="465">
        <f>+'[76]Costos Operativos Rec-TA'!$G$23</f>
        <v>1982730.4814772452</v>
      </c>
      <c r="J153" s="581">
        <f>+($AC147/$AC148)*J154+I153</f>
        <v>2001881.0080444992</v>
      </c>
      <c r="K153" s="10">
        <f>+'[76]Inversion rec-TA'!$G$46</f>
        <v>0</v>
      </c>
      <c r="L153" s="10">
        <f>+'[76]Costos Operativos Rec-TA'!$G$46</f>
        <v>0</v>
      </c>
      <c r="M153" s="19">
        <f t="shared" si="97"/>
        <v>-20005702.733042188</v>
      </c>
      <c r="N153" s="465">
        <f>+$AD147/$AD148*N155</f>
        <v>876964.79794353887</v>
      </c>
      <c r="O153" s="25">
        <f>IF(N153-AG153&lt;0,0,N153-AG153)</f>
        <v>0</v>
      </c>
      <c r="P153" s="25">
        <f>+$AD147/$AD148*P155</f>
        <v>456023.43857274763</v>
      </c>
      <c r="Q153" s="465">
        <f>+$AC147/$AC148*Q155</f>
        <v>5959724.2595252469</v>
      </c>
      <c r="R153" s="647">
        <f>IF(Q153-AH153&lt;0,0,Q153-AH153)</f>
        <v>5959724.2595252469</v>
      </c>
      <c r="S153" s="647">
        <f t="shared" si="99"/>
        <v>815000</v>
      </c>
      <c r="T153" s="25">
        <f>+$AC147/$AC148*T155</f>
        <v>638159.53199676506</v>
      </c>
      <c r="U153" s="29"/>
      <c r="V153" s="461">
        <f t="shared" ref="V153" si="103">+V147</f>
        <v>5374166.0121600004</v>
      </c>
      <c r="W153" s="25"/>
      <c r="X153" s="461">
        <f t="shared" ref="X153:Y153" si="104">+X147</f>
        <v>477149.69135043776</v>
      </c>
      <c r="Y153" s="28">
        <f t="shared" si="104"/>
        <v>55721.288446080005</v>
      </c>
      <c r="Z153" s="28">
        <f>+Z147</f>
        <v>315731.80393983767</v>
      </c>
      <c r="AA153" s="650">
        <f>(-O153-R153)/(1+0.12)+PV(12%,20,P153)+PV(12%,20,T153)-(O153*0.5)/(1+0.12)^10-S153/(1+0.12)^10</f>
        <v>-13756528.575765809</v>
      </c>
      <c r="AB153" s="651">
        <f>M153+AA153</f>
        <v>-33762231.308807999</v>
      </c>
      <c r="AC153" s="10"/>
      <c r="AD153" s="10"/>
      <c r="AE153" s="10"/>
      <c r="AF153" s="10"/>
      <c r="AG153" s="448">
        <f>VLOOKUP($D153,Valoración_Eq_REG!$D$4:$I$157,Valoración_Eq_REG!$E$2,FALSE)*$E$4</f>
        <v>1014183.700296</v>
      </c>
      <c r="AH153" s="448">
        <f>VLOOKUP($D153,Valoración_Eq_REG!$D$4:$I$157,Valoración_Eq_REG!$F$2,FALSE)*$E$4</f>
        <v>0</v>
      </c>
      <c r="AI153" s="2"/>
      <c r="AJ153" s="484">
        <f>+'[76]Evaluacion Economica'!$L$25</f>
        <v>3</v>
      </c>
      <c r="AK153" s="448">
        <f>+'[76]Evaluacion Economica'!$R$25</f>
        <v>12</v>
      </c>
      <c r="AL153" s="484">
        <f>+'[76]P_Evaluacion Economica'!$L$27</f>
        <v>3</v>
      </c>
      <c r="AM153" s="448">
        <f>+'[76]P_Evaluacion Economica'!$Q$27</f>
        <v>6</v>
      </c>
      <c r="AN153" s="34" t="str">
        <f>+[76]Datos!$C$2</f>
        <v>Coronel Suárez</v>
      </c>
      <c r="AO153" s="25" t="str">
        <f>VLOOKUP($E153,Tabla13[],Inputs_costos!$D$1,FALSE)</f>
        <v>CORONEL SUÁREZ</v>
      </c>
      <c r="AP153" s="28" t="str">
        <f>VLOOKUP($D153,'Costo Social x localidad'!$B$2:$M$156,1,FALSE)</f>
        <v>CORONEL SUÁREZ</v>
      </c>
    </row>
    <row r="154" spans="1:42" ht="30.75" thickBot="1">
      <c r="A154" s="917"/>
      <c r="B154" s="887"/>
      <c r="C154" s="912" t="s">
        <v>12</v>
      </c>
      <c r="D154" s="913"/>
      <c r="E154" s="498" t="s">
        <v>589</v>
      </c>
      <c r="F154" s="571">
        <f>+F137</f>
        <v>0.02</v>
      </c>
      <c r="G154" s="582"/>
      <c r="H154" s="461">
        <f>+AJ154*AJ156+AL154*AL156</f>
        <v>2047436.0970737534</v>
      </c>
      <c r="I154" s="461"/>
      <c r="J154" s="583">
        <f>+$F154*H154</f>
        <v>40948.721941475065</v>
      </c>
      <c r="K154" s="10"/>
      <c r="L154" s="10"/>
      <c r="M154" s="19"/>
      <c r="N154" s="465"/>
      <c r="O154" s="10"/>
      <c r="P154" s="10"/>
      <c r="Q154" s="618"/>
      <c r="R154" s="28"/>
      <c r="S154" s="28"/>
      <c r="T154" s="28"/>
      <c r="U154" s="28"/>
      <c r="V154" s="28"/>
      <c r="W154" s="28"/>
      <c r="X154" s="28"/>
      <c r="Y154" s="28"/>
      <c r="Z154" s="28"/>
      <c r="AA154" s="658"/>
      <c r="AB154" s="20"/>
      <c r="AC154" s="10"/>
      <c r="AD154" s="10"/>
      <c r="AE154" s="10"/>
      <c r="AF154" s="10"/>
      <c r="AG154" s="4"/>
      <c r="AH154" s="4"/>
      <c r="AI154" s="4"/>
      <c r="AJ154" s="501">
        <f>ROUNDUP(C155*SUM(AJ149:AJ153),0)</f>
        <v>4</v>
      </c>
      <c r="AK154" s="502">
        <f>AVERAGE(AK149:AK153)</f>
        <v>14.4</v>
      </c>
      <c r="AL154" s="501">
        <f>ROUNDUP(C155*SUM(AL149:AL153),0)</f>
        <v>4</v>
      </c>
      <c r="AM154" s="502">
        <f>AVERAGE(AM149:AM153)</f>
        <v>6</v>
      </c>
      <c r="AN154" s="4"/>
      <c r="AO154" s="4"/>
      <c r="AP154" s="4"/>
    </row>
    <row r="155" spans="1:42" ht="15.75" thickBot="1">
      <c r="A155" s="918"/>
      <c r="B155" s="888"/>
      <c r="C155" s="570">
        <v>0.3</v>
      </c>
      <c r="D155" s="500" t="str">
        <f>A143</f>
        <v>REGIÓN CORONEL SUÁREZ</v>
      </c>
      <c r="E155" s="468"/>
      <c r="F155" s="469"/>
      <c r="G155" s="584"/>
      <c r="H155" s="585">
        <f>SUM(H149:H153)</f>
        <v>12789457.20018081</v>
      </c>
      <c r="I155" s="585"/>
      <c r="J155" s="586">
        <f>SUM(J149:J153)</f>
        <v>5844133.8396528186</v>
      </c>
      <c r="K155" s="14"/>
      <c r="L155" s="14"/>
      <c r="M155" s="15">
        <f>SUM(M149:M154)</f>
        <v>-59189449.39173945</v>
      </c>
      <c r="N155" s="615">
        <f>(VLOOKUP($E149,Tabla13[],Inputs_costos!$P$1,FALSE))*(O$3*$E$3+O$4*$E$4)</f>
        <v>1865917.1395200002</v>
      </c>
      <c r="O155" s="35">
        <f>SUM(O149:O153)</f>
        <v>538318.99269940727</v>
      </c>
      <c r="P155" s="35">
        <f>(VLOOKUP($E149,Tabla13[],Inputs_costos!$Q$1,FALSE))*(P$3*$E$3+P$4*$E$4)</f>
        <v>970280.62249600003</v>
      </c>
      <c r="Q155" s="615">
        <f>IF($AC148&gt;=15,(VLOOKUP($E149,Tabla13[],Inputs_costos!$N$1,FALSE))*($R$3*$E$3+$R$4*$E$4),(VLOOKUP($E149,Tabla13[],Inputs_costos!$N$1,FALSE))*($T$3*$E$3+$T$4*$E$4))</f>
        <v>12743414.1664</v>
      </c>
      <c r="R155" s="35">
        <f>SUM(R149:R153)</f>
        <v>12743414.1664</v>
      </c>
      <c r="S155" s="35"/>
      <c r="T155" s="35">
        <f>IF($AC148&gt;=15,(VLOOKUP($E149,Tabla13[],Inputs_costos!$O$1,FALSE))*($R$3*$E$3+$R$4*$E$4),(VLOOKUP($E149,Tabla13[],Inputs_costos!$O$1,FALSE))*($T$3*$E$3+$T$4*$E$4))</f>
        <v>1364548.235176</v>
      </c>
      <c r="U155" s="35"/>
      <c r="V155" s="31">
        <f>SUM(V149:V153)</f>
        <v>10829758.78208</v>
      </c>
      <c r="W155" s="31"/>
      <c r="X155" s="31">
        <f>SUM(X149:X153)</f>
        <v>961528.92347891233</v>
      </c>
      <c r="Y155" s="31">
        <f>SUM(Y149:Y153)</f>
        <v>129177.07628165334</v>
      </c>
      <c r="Z155" s="31">
        <f>SUM(Z149:Z153)</f>
        <v>1029585.6154391107</v>
      </c>
      <c r="AA155" s="657">
        <f>SUM(AA149:AA153)</f>
        <v>-29647633.187478933</v>
      </c>
      <c r="AB155" s="654">
        <f>+M155+AA155</f>
        <v>-88837082.579218388</v>
      </c>
      <c r="AC155" s="38"/>
      <c r="AD155" s="38"/>
      <c r="AE155" s="38"/>
      <c r="AF155" s="38"/>
      <c r="AG155" s="4"/>
      <c r="AH155" s="4"/>
      <c r="AI155" s="4"/>
      <c r="AJ155" s="11"/>
      <c r="AK155" s="499">
        <f>VLOOKUP(ROUNDUP(AK154,0),DATOS!$F$16:$G$31,2,FALSE)</f>
        <v>15</v>
      </c>
      <c r="AL155" s="497"/>
      <c r="AM155" s="499">
        <f>VLOOKUP(ROUNDUP(AM154,0),DATOS!$J$16:$K$34,2,FALSE)</f>
        <v>6</v>
      </c>
      <c r="AN155" s="4"/>
      <c r="AO155" s="4"/>
      <c r="AP155" s="4"/>
    </row>
    <row r="156" spans="1:42">
      <c r="F156" s="2"/>
      <c r="G156" s="2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0"/>
      <c r="V156" s="2"/>
      <c r="W156" s="2"/>
      <c r="X156" s="2"/>
      <c r="Y156" s="2"/>
      <c r="Z156" s="2"/>
      <c r="AA156" s="4"/>
      <c r="AB156" s="4"/>
      <c r="AC156" s="4"/>
      <c r="AD156" s="4"/>
      <c r="AE156" s="4"/>
      <c r="AF156" s="4"/>
      <c r="AG156" s="448"/>
      <c r="AH156" s="448"/>
      <c r="AI156" s="4"/>
      <c r="AJ156" s="892">
        <f>VLOOKUP(AK155,DATOS!$F$3:$H$11,3,FALSE)</f>
        <v>277598.62978843832</v>
      </c>
      <c r="AK156" s="892"/>
      <c r="AL156" s="892">
        <f>VLOOKUP(AM155,DATOS!$J$3:$L$12,3,FALSE)</f>
        <v>234260.39447999999</v>
      </c>
      <c r="AM156" s="892"/>
      <c r="AN156" s="4"/>
      <c r="AO156" s="4"/>
      <c r="AP156" s="4"/>
    </row>
    <row r="157" spans="1:42" ht="15.75" thickBot="1">
      <c r="A157" s="503"/>
      <c r="B157" s="503"/>
      <c r="C157" s="503"/>
      <c r="D157" s="503"/>
      <c r="E157" s="503"/>
      <c r="F157" s="504"/>
      <c r="G157" s="504"/>
      <c r="H157" s="505"/>
      <c r="I157" s="505"/>
      <c r="J157" s="505"/>
      <c r="K157" s="505"/>
      <c r="L157" s="505"/>
      <c r="M157" s="505"/>
      <c r="N157" s="505"/>
      <c r="O157" s="505"/>
      <c r="P157" s="505"/>
      <c r="Q157" s="505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6"/>
      <c r="AB157" s="506"/>
      <c r="AC157" s="506"/>
      <c r="AD157" s="506"/>
      <c r="AE157" s="506"/>
      <c r="AF157" s="506"/>
      <c r="AG157" s="506"/>
      <c r="AH157" s="506"/>
      <c r="AI157" s="506"/>
      <c r="AJ157" s="506"/>
      <c r="AK157" s="506"/>
      <c r="AL157" s="506"/>
      <c r="AM157" s="506"/>
      <c r="AN157" s="506"/>
      <c r="AO157" s="506"/>
      <c r="AP157" s="506"/>
    </row>
    <row r="158" spans="1:42" ht="39" thickBot="1">
      <c r="A158" s="886" t="s">
        <v>7</v>
      </c>
      <c r="B158" s="886" t="s">
        <v>2</v>
      </c>
      <c r="C158" s="479"/>
      <c r="D158" s="882" t="s">
        <v>22</v>
      </c>
      <c r="E158" s="882" t="s">
        <v>23</v>
      </c>
      <c r="F158" s="882" t="s">
        <v>3</v>
      </c>
      <c r="G158" s="568"/>
      <c r="H158" s="901" t="s">
        <v>0</v>
      </c>
      <c r="I158" s="901"/>
      <c r="J158" s="901"/>
      <c r="K158" s="901" t="s">
        <v>1</v>
      </c>
      <c r="L158" s="901"/>
      <c r="M158" s="886" t="s">
        <v>10</v>
      </c>
      <c r="N158" s="879" t="s">
        <v>5</v>
      </c>
      <c r="O158" s="880"/>
      <c r="P158" s="881"/>
      <c r="Q158" s="902" t="s">
        <v>4</v>
      </c>
      <c r="R158" s="903"/>
      <c r="S158" s="903"/>
      <c r="T158" s="904"/>
      <c r="U158" s="902" t="s">
        <v>6</v>
      </c>
      <c r="V158" s="903"/>
      <c r="W158" s="903"/>
      <c r="X158" s="904"/>
      <c r="Y158" s="390" t="s">
        <v>689</v>
      </c>
      <c r="Z158" s="662" t="s">
        <v>690</v>
      </c>
      <c r="AA158" s="905" t="s">
        <v>686</v>
      </c>
      <c r="AB158" s="886" t="s">
        <v>9</v>
      </c>
      <c r="AC158" s="907" t="s">
        <v>312</v>
      </c>
      <c r="AD158" s="914" t="s">
        <v>649</v>
      </c>
      <c r="AE158" s="897" t="s">
        <v>20</v>
      </c>
      <c r="AF158" s="897" t="s">
        <v>313</v>
      </c>
      <c r="AG158" s="899" t="s">
        <v>552</v>
      </c>
      <c r="AH158" s="895" t="s">
        <v>578</v>
      </c>
      <c r="AI158" s="897" t="s">
        <v>579</v>
      </c>
      <c r="AJ158" s="882" t="s">
        <v>581</v>
      </c>
      <c r="AK158" s="882" t="s">
        <v>582</v>
      </c>
      <c r="AL158" s="882" t="s">
        <v>581</v>
      </c>
      <c r="AM158" s="882" t="s">
        <v>582</v>
      </c>
      <c r="AN158" s="884" t="s">
        <v>553</v>
      </c>
      <c r="AO158" s="885"/>
      <c r="AP158" s="885"/>
    </row>
    <row r="159" spans="1:42" ht="30.75" thickBot="1">
      <c r="A159" s="888"/>
      <c r="B159" s="888"/>
      <c r="C159" s="480"/>
      <c r="D159" s="883"/>
      <c r="E159" s="883"/>
      <c r="F159" s="883"/>
      <c r="G159" s="569"/>
      <c r="H159" s="17" t="s">
        <v>18</v>
      </c>
      <c r="I159" s="17"/>
      <c r="J159" s="17" t="s">
        <v>17</v>
      </c>
      <c r="K159" s="17" t="s">
        <v>18</v>
      </c>
      <c r="L159" s="17" t="s">
        <v>17</v>
      </c>
      <c r="M159" s="888"/>
      <c r="N159" s="464" t="s">
        <v>685</v>
      </c>
      <c r="O159" s="17" t="s">
        <v>18</v>
      </c>
      <c r="P159" s="17" t="s">
        <v>17</v>
      </c>
      <c r="Q159" s="464" t="s">
        <v>685</v>
      </c>
      <c r="R159" s="17" t="s">
        <v>18</v>
      </c>
      <c r="S159" s="17"/>
      <c r="T159" s="17" t="s">
        <v>17</v>
      </c>
      <c r="U159" s="464" t="s">
        <v>576</v>
      </c>
      <c r="V159" s="17" t="s">
        <v>18</v>
      </c>
      <c r="W159" s="464" t="s">
        <v>577</v>
      </c>
      <c r="X159" s="17" t="s">
        <v>17</v>
      </c>
      <c r="Y159" s="17" t="s">
        <v>18</v>
      </c>
      <c r="Z159" s="17" t="s">
        <v>17</v>
      </c>
      <c r="AA159" s="906"/>
      <c r="AB159" s="888"/>
      <c r="AC159" s="908"/>
      <c r="AD159" s="915"/>
      <c r="AE159" s="898"/>
      <c r="AF159" s="898"/>
      <c r="AG159" s="900"/>
      <c r="AH159" s="896"/>
      <c r="AI159" s="898"/>
      <c r="AJ159" s="883"/>
      <c r="AK159" s="883"/>
      <c r="AL159" s="883"/>
      <c r="AM159" s="883"/>
      <c r="AN159" s="1" t="s">
        <v>551</v>
      </c>
      <c r="AO159" s="9" t="s">
        <v>554</v>
      </c>
      <c r="AP159" s="1" t="s">
        <v>555</v>
      </c>
    </row>
    <row r="160" spans="1:42" ht="15" customHeight="1">
      <c r="A160" s="916" t="s">
        <v>600</v>
      </c>
      <c r="B160" s="886" t="s">
        <v>309</v>
      </c>
      <c r="C160" s="481" t="str">
        <f>IF(AND(D160=AN160,D160=AO160,D160=AP160),"ok","ATENCIÓN NO ESTÁ TOMANDO BIEN LA LOCALIDAD")</f>
        <v>ok</v>
      </c>
      <c r="D160" s="516" t="s">
        <v>206</v>
      </c>
      <c r="E160" s="114">
        <f>VLOOKUP(D160,Pobl_adoptada!$C$5:$D$158,2,FALSE)</f>
        <v>104</v>
      </c>
      <c r="F160" s="8" t="s">
        <v>308</v>
      </c>
      <c r="G160" s="8"/>
      <c r="H160" s="33">
        <f>'[77]Inversion rec-TA'!$G$21</f>
        <v>1285056.9507775998</v>
      </c>
      <c r="I160" s="33"/>
      <c r="J160" s="33">
        <f>'[77]Costos Operativos Rec-TA'!$G$23</f>
        <v>701097.10908238252</v>
      </c>
      <c r="K160" s="32">
        <f>'[77]Inversion rec-TA'!$G$46</f>
        <v>0</v>
      </c>
      <c r="L160" s="32">
        <f>+'[77]Costos Operativos Rec-TA'!$G$46</f>
        <v>0</v>
      </c>
      <c r="M160" s="19">
        <f t="shared" ref="M160:M164" si="105">-H160/(1+0.12)+PV(12%,20,J160)-H160/(1+0.12)^10</f>
        <v>-6797931.5545951463</v>
      </c>
      <c r="N160" s="19"/>
      <c r="O160" s="25">
        <f>IF(((VLOOKUP($E160,Tabla13[],Inputs_costos!$I$1,FALSE))*(O$3*$E$3+O$4*$E$4)-AG160)&lt;0,0,VLOOKUP($E160,Tabla13[],Inputs_costos!$I$1,FALSE)*(O$3*$E$3+O$4*$E$4)-AG160)</f>
        <v>44727.727786000003</v>
      </c>
      <c r="P160" s="25">
        <f>(VLOOKUP($E160,Tabla13[],Inputs_costos!$J$1,FALSE))*(P$3*$E$3+P$4*$E$4)</f>
        <v>26127.3549570752</v>
      </c>
      <c r="Q160" s="25"/>
      <c r="R160" s="25">
        <f>IF($AC160&gt;=15,(VLOOKUP($E160,Tabla13[],Inputs_costos!$G$1,FALSE))*($R$3*$E$3+$R$4*$E$4),(VLOOKUP($E160,Tabla13[],Inputs_costos!$G$1,FALSE))*($T$3*$E$3+$T$4*$E$4))-AH160</f>
        <v>370969.49112000002</v>
      </c>
      <c r="S160" s="25">
        <f t="shared" ref="S160:S164" si="106">IF(AC160&lt;15,0,IF(AC160&lt;=350,815000,1345000))</f>
        <v>0</v>
      </c>
      <c r="T160" s="25">
        <f>IF($AC160&gt;=15,(VLOOKUP($E160,Tabla13[],Inputs_costos!$H$1,FALSE))*($R$3*$E$3+$R$4*$E$4),(VLOOKUP($E160,Tabla13[],Inputs_costos!$H$1,FALSE))*($T$3*$E$3+$T$4*$E$4))</f>
        <v>53152.265343999999</v>
      </c>
      <c r="U160" s="465">
        <f>SUMIFS(Tabla24[Costo de Cierre Técnico de BCA (US$)],Tabla24[Localidad],Resumen!$D160)</f>
        <v>0</v>
      </c>
      <c r="V160" s="461">
        <f>+U160*(V$3*$E$3+V$4*$E$4)</f>
        <v>0</v>
      </c>
      <c r="W160" s="465">
        <f>SUMIFS(Tabla24[Costo anual de Manteniemiento Post-cierre (US$)],Tabla24[Localidad],Resumen!$D160)</f>
        <v>0</v>
      </c>
      <c r="X160" s="461">
        <f>+W160*(X$3*$E$3+X$4*$E$4)</f>
        <v>0</v>
      </c>
      <c r="Y160" s="27">
        <f>VLOOKUP($D160,'Costo Social x localidad'!$B$2:$M$156,12,FALSE)*(Y$3*$E$3+Y$4*$E$4)</f>
        <v>4011.9258044799999</v>
      </c>
      <c r="Z160" s="28">
        <f>VLOOKUP(D160,'Estimación  PRESUPUESTO PCAS'!$B$4:$G$158,'Estimación  PRESUPUESTO PCAS'!$G$2,FALSE)</f>
        <v>149679.941696836</v>
      </c>
      <c r="AA160" s="650">
        <f>(-O160-R160)/(1+0.12)+PV(12%,20,P160)+PV(12%,20,T160)-(O160*0.5)/(1+0.12)^10-S160/(1+0.12)^10</f>
        <v>-970533.45120335324</v>
      </c>
      <c r="AB160" s="651">
        <f>M160+AA160</f>
        <v>-7768465.0057985</v>
      </c>
      <c r="AC160" s="10">
        <f>VLOOKUP($E160,Resumen_Generación!$B$5:$F$158,Resumen_Generación!$D$3,FALSE)</f>
        <v>2.915574576</v>
      </c>
      <c r="AD160" s="10">
        <f>VLOOKUP($E160,Resumen_Generación!$B$5:$G$158,Resumen_Generación!$G$3,FALSE)</f>
        <v>1.2116942800000001</v>
      </c>
      <c r="AE160" s="362">
        <f>VLOOKUP($E160,Resumen_Generación!$B$5:$F$158,Resumen_Generación!$E$3,FALSE)</f>
        <v>4223</v>
      </c>
      <c r="AF160" s="10">
        <f>VLOOKUP($E160,Resumen_Generación!$B$5:$F$158,Resumen_Generación!$F$3,FALSE)</f>
        <v>1.3369439999999999</v>
      </c>
      <c r="AG160" s="448">
        <f>VLOOKUP($D160,Valoración_Equip_actual!$D$4:$I$157,Valoración_Equip_actual!$E$2,FALSE)*$E$4</f>
        <v>314432.10574999999</v>
      </c>
      <c r="AH160" s="448">
        <f>VLOOKUP($D160,Valoración_Equip_actual!$D$4:$I$157,Valoración_Equip_actual!$F$2,FALSE)*$E$4</f>
        <v>97377.24</v>
      </c>
      <c r="AI160" s="513">
        <f>[77]P_Datos!$D$43</f>
        <v>0.10826229508196722</v>
      </c>
      <c r="AJ160" s="514"/>
      <c r="AK160" s="514"/>
      <c r="AL160" s="514"/>
      <c r="AM160" s="514"/>
      <c r="AN160" s="449" t="str">
        <f>[77]Datos!$C$2</f>
        <v>Pila</v>
      </c>
      <c r="AO160" s="450" t="str">
        <f>VLOOKUP($E160,Tabla13[],Inputs_costos!$D$1,FALSE)</f>
        <v>PILA</v>
      </c>
      <c r="AP160" s="451" t="str">
        <f>VLOOKUP($D160,'Costo Social x localidad'!$B$2:$M$156,1,FALSE)</f>
        <v>PILA</v>
      </c>
    </row>
    <row r="161" spans="1:42" ht="12.75" customHeight="1">
      <c r="A161" s="917"/>
      <c r="B161" s="887"/>
      <c r="C161" s="478" t="str">
        <f>IF(AND(D161=AN161,D161=AO161,D161=AP161),"ok","ATENCIÓN NO ESTÁ TOMANDO BIEN LA LOCALIDAD")</f>
        <v>ok</v>
      </c>
      <c r="D161" s="515" t="s">
        <v>234</v>
      </c>
      <c r="E161" s="115">
        <f>VLOOKUP(D161,Pobl_adoptada!$C$5:$D$158,2,FALSE)</f>
        <v>128</v>
      </c>
      <c r="F161" s="9" t="s">
        <v>308</v>
      </c>
      <c r="G161" s="9"/>
      <c r="H161" s="34">
        <f>'[78]Inversion rec-TA'!$G$21</f>
        <v>1338056.2867775999</v>
      </c>
      <c r="I161" s="34"/>
      <c r="J161" s="34">
        <f>'[78]Costos Operativos Rec-TA'!$G$23</f>
        <v>753699.98994498781</v>
      </c>
      <c r="K161" s="25">
        <f>'[78]Inversion rec-TA'!$G$46</f>
        <v>0</v>
      </c>
      <c r="L161" s="25">
        <f>+'[78]Costos Operativos Rec-TA'!$G$46</f>
        <v>0</v>
      </c>
      <c r="M161" s="19">
        <f t="shared" si="105"/>
        <v>-7255231.0111389617</v>
      </c>
      <c r="N161" s="19"/>
      <c r="O161" s="25">
        <f>IF(((VLOOKUP($E161,Tabla13[],Inputs_costos!$I$1,FALSE))*(O$3*$E$3+O$4*$E$4)-AG161)&lt;0,0,VLOOKUP($E161,Tabla13[],Inputs_costos!$I$1,FALSE)*(O$3*$E$3+O$4*$E$4)-AG161)</f>
        <v>44727.727786000003</v>
      </c>
      <c r="P161" s="25">
        <f>(VLOOKUP($E161,Tabla13[],Inputs_costos!$J$1,FALSE))*(P$3*$E$3+P$4*$E$4)</f>
        <v>26127.3549570752</v>
      </c>
      <c r="Q161" s="25"/>
      <c r="R161" s="25">
        <f>IF($AC161&gt;=15,(VLOOKUP($E161,Tabla13[],Inputs_costos!$G$1,FALSE))*($R$3*$E$3+$R$4*$E$4),(VLOOKUP($E161,Tabla13[],Inputs_costos!$G$1,FALSE))*($T$3*$E$3+$T$4*$E$4))-AH161</f>
        <v>422645.00007999997</v>
      </c>
      <c r="S161" s="25">
        <f t="shared" si="106"/>
        <v>0</v>
      </c>
      <c r="T161" s="25">
        <f>IF($AC161&gt;=15,(VLOOKUP($E161,Tabla13[],Inputs_costos!$H$1,FALSE))*($R$3*$E$3+$R$4*$E$4),(VLOOKUP($E161,Tabla13[],Inputs_costos!$H$1,FALSE))*($T$3*$E$3+$T$4*$E$4))</f>
        <v>45797.74308</v>
      </c>
      <c r="U161" s="465">
        <f>SUMIFS(Tabla24[Costo de Cierre Técnico de BCA (US$)],Tabla24[Localidad],Resumen!$D161)</f>
        <v>106000</v>
      </c>
      <c r="V161" s="461">
        <f>+U161*(V$3*$E$3+V$4*$E$4)</f>
        <v>203566.89439999999</v>
      </c>
      <c r="W161" s="465">
        <f>SUMIFS(Tabla24[Costo anual de Manteniemiento Post-cierre (US$)],Tabla24[Localidad],Resumen!$D161)</f>
        <v>9411.296035274132</v>
      </c>
      <c r="X161" s="461">
        <f>+W161*(X$3*$E$3+X$4*$E$4)</f>
        <v>18073.851945092338</v>
      </c>
      <c r="Y161" s="28">
        <f>VLOOKUP($D161,'Costo Social x localidad'!$B$2:$M$156,12,FALSE)*(Y$3*$E$3+Y$4*$E$4)</f>
        <v>3876.4250197333331</v>
      </c>
      <c r="Z161" s="28">
        <f>VLOOKUP(D161,'Estimación  PRESUPUESTO PCAS'!$B$4:$G$158,'Estimación  PRESUPUESTO PCAS'!$G$2,FALSE)</f>
        <v>152762.35909043599</v>
      </c>
      <c r="AA161" s="650">
        <f>(-O161-R161)/(1+0.12)+PV(12%,20,P161)+PV(12%,20,T161)-(O161*0.5)/(1+0.12)^10-S161/(1+0.12)^10</f>
        <v>-961738.10905425728</v>
      </c>
      <c r="AB161" s="651">
        <f>M161+AA161</f>
        <v>-8216969.1201932188</v>
      </c>
      <c r="AC161" s="10">
        <f>VLOOKUP($E161,Resumen_Generación!$B$5:$F$158,Resumen_Generación!$D$3,FALSE)</f>
        <v>1.9320769119999999</v>
      </c>
      <c r="AD161" s="10">
        <f>VLOOKUP($E161,Resumen_Generación!$B$5:$G$158,Resumen_Generación!$G$3,FALSE)</f>
        <v>0.80927386000000001</v>
      </c>
      <c r="AE161" s="362">
        <f>VLOOKUP($E161,Resumen_Generación!$B$5:$F$158,Resumen_Generación!$E$3,FALSE)</f>
        <v>2804</v>
      </c>
      <c r="AF161" s="10">
        <f>VLOOKUP($E161,Resumen_Generación!$B$5:$F$158,Resumen_Generación!$F$3,FALSE)</f>
        <v>0.88904199999999989</v>
      </c>
      <c r="AG161" s="448">
        <f>VLOOKUP($D161,Valoración_Equip_actual!$D$4:$I$157,Valoración_Equip_actual!$E$2,FALSE)*$E$4</f>
        <v>314432.10574999999</v>
      </c>
      <c r="AH161" s="448">
        <f>VLOOKUP($D161,Valoración_Equip_actual!$D$4:$I$157,Valoración_Equip_actual!$F$2,FALSE)*$E$4</f>
        <v>0</v>
      </c>
      <c r="AI161" s="513">
        <f>[78]P_Datos!$D$43</f>
        <v>7.4819672131147541E-2</v>
      </c>
      <c r="AJ161" s="514"/>
      <c r="AK161" s="514"/>
      <c r="AL161" s="514"/>
      <c r="AM161" s="514"/>
      <c r="AN161" s="34" t="str">
        <f>[78]Datos!$C$2</f>
        <v>General Conesa</v>
      </c>
      <c r="AO161" s="25" t="str">
        <f>VLOOKUP($E161,Tabla13[],Inputs_costos!$D$1,FALSE)</f>
        <v>GENERAL CONESA</v>
      </c>
      <c r="AP161" s="28" t="str">
        <f>VLOOKUP($D161,'Costo Social x localidad'!$B$2:$M$156,1,FALSE)</f>
        <v>GENERAL CONESA</v>
      </c>
    </row>
    <row r="162" spans="1:42">
      <c r="A162" s="917"/>
      <c r="B162" s="887"/>
      <c r="C162" s="478" t="str">
        <f>IF(AND(D162=AN162,D162=AO162,D162=AP162),"ok","ATENCIÓN NO ESTÁ TOMANDO BIEN LA LOCALIDAD")</f>
        <v>ok</v>
      </c>
      <c r="D162" s="515" t="s">
        <v>158</v>
      </c>
      <c r="E162" s="115">
        <f>VLOOKUP(D162,Pobl_adoptada!$C$5:$D$158,2,FALSE)</f>
        <v>66</v>
      </c>
      <c r="F162" s="9" t="s">
        <v>308</v>
      </c>
      <c r="G162" s="9"/>
      <c r="H162" s="34">
        <f>'[79]Inversion rec-TA'!$G$21</f>
        <v>877549.90851840004</v>
      </c>
      <c r="I162" s="34"/>
      <c r="J162" s="34">
        <f>'[79]Costos Operativos Rec-TA'!$G$23</f>
        <v>411574.174930471</v>
      </c>
      <c r="K162" s="25">
        <f>'[79]Inversion rec-TA'!$G$46</f>
        <v>0</v>
      </c>
      <c r="L162" s="25">
        <f>+'[79]Costos Operativos Rec-TA'!$G$46</f>
        <v>0</v>
      </c>
      <c r="M162" s="19">
        <f t="shared" si="105"/>
        <v>-4140304.3852221216</v>
      </c>
      <c r="N162" s="19"/>
      <c r="O162" s="25">
        <f>IF(((VLOOKUP($E162,Tabla13[],Inputs_costos!$I$1,FALSE))*(O$3*$E$3+O$4*$E$4)-AG162)&lt;0,0,VLOOKUP($E162,Tabla13[],Inputs_costos!$I$1,FALSE)*(O$3*$E$3+O$4*$E$4)-AG162)</f>
        <v>359159.83353599999</v>
      </c>
      <c r="P162" s="25">
        <f>(VLOOKUP($E162,Tabla13[],Inputs_costos!$J$1,FALSE))*(P$3*$E$3+P$4*$E$4)</f>
        <v>26127.3549570752</v>
      </c>
      <c r="Q162" s="25"/>
      <c r="R162" s="25">
        <f>IF($AC162&gt;=15,(VLOOKUP($E162,Tabla13[],Inputs_costos!$G$1,FALSE))*($R$3*$E$3+$R$4*$E$4),(VLOOKUP($E162,Tabla13[],Inputs_costos!$G$1,FALSE))*($T$3*$E$3+$T$4*$E$4))-AH162</f>
        <v>388272.68975999998</v>
      </c>
      <c r="S162" s="25">
        <f t="shared" si="106"/>
        <v>0</v>
      </c>
      <c r="T162" s="25">
        <f>IF($AC162&gt;=15,(VLOOKUP($E162,Tabla13[],Inputs_costos!$H$1,FALSE))*($R$3*$E$3+$R$4*$E$4),(VLOOKUP($E162,Tabla13[],Inputs_costos!$H$1,FALSE))*($T$3*$E$3+$T$4*$E$4))</f>
        <v>40843.521816</v>
      </c>
      <c r="U162" s="465">
        <f>SUMIFS(Tabla24[Costo de Cierre Técnico de BCA (US$)],Tabla24[Localidad],Resumen!$D162)</f>
        <v>212000</v>
      </c>
      <c r="V162" s="461">
        <f t="shared" ref="V162:V164" si="107">+U162*(V$3*$E$3+V$4*$E$4)</f>
        <v>407133.78879999998</v>
      </c>
      <c r="W162" s="465">
        <f>SUMIFS(Tabla24[Costo anual de Manteniemiento Post-cierre (US$)],Tabla24[Localidad],Resumen!$D162)</f>
        <v>18822.592070548264</v>
      </c>
      <c r="X162" s="461">
        <f t="shared" ref="X162:X164" si="108">+W162*(X$3*$E$3+X$4*$E$4)</f>
        <v>36147.703890184675</v>
      </c>
      <c r="Y162" s="28">
        <f>VLOOKUP($D162,'Costo Social x localidad'!$B$2:$M$156,12,FALSE)*(Y$3*$E$3+Y$4*$E$4)</f>
        <v>3510.1086584</v>
      </c>
      <c r="Z162" s="28">
        <f>VLOOKUP(D162,'Estimación  PRESUPUESTO PCAS'!$B$4:$G$158,'Estimación  PRESUPUESTO PCAS'!$G$2,FALSE)</f>
        <v>152993.56220614398</v>
      </c>
      <c r="AA162" s="650">
        <f>(-O162-R162)/(1+0.12)+PV(12%,20,P162)+PV(12%,20,T162)-(O162*0.5)/(1+0.12)^10-S162/(1+0.12)^10</f>
        <v>-1225405.5827853277</v>
      </c>
      <c r="AB162" s="651">
        <f>M162+AA162</f>
        <v>-5365709.9680074491</v>
      </c>
      <c r="AC162" s="10">
        <f>VLOOKUP($E162,Resumen_Generación!$B$5:$F$158,Resumen_Generación!$D$3,FALSE)</f>
        <v>1.1945802559999998</v>
      </c>
      <c r="AD162" s="10">
        <f>VLOOKUP($E162,Resumen_Generación!$B$5:$G$158,Resumen_Generación!$G$3,FALSE)</f>
        <v>0.48971968000000005</v>
      </c>
      <c r="AE162" s="362">
        <f>VLOOKUP($E162,Resumen_Generación!$B$5:$F$158,Resumen_Generación!$E$3,FALSE)</f>
        <v>1724</v>
      </c>
      <c r="AF162" s="10">
        <f>VLOOKUP($E162,Resumen_Generación!$B$5:$F$158,Resumen_Generación!$F$3,FALSE)</f>
        <v>0.55094200000000004</v>
      </c>
      <c r="AG162" s="448">
        <f>VLOOKUP($D162,Valoración_Equip_actual!$D$4:$I$157,Valoración_Equip_actual!$E$2,FALSE)*$E$4</f>
        <v>0</v>
      </c>
      <c r="AH162" s="448">
        <f>VLOOKUP($D162,Valoración_Equip_actual!$D$4:$I$157,Valoración_Equip_actual!$F$2,FALSE)*$E$4</f>
        <v>0</v>
      </c>
      <c r="AI162" s="448">
        <f>[79]P_Datos!$D$43</f>
        <v>4.8983606557377046E-2</v>
      </c>
      <c r="AN162" s="34" t="str">
        <f>[79]Datos!$C$2</f>
        <v>General Guido</v>
      </c>
      <c r="AO162" s="25" t="str">
        <f>VLOOKUP($E162,Tabla13[],Inputs_costos!$D$1,FALSE)</f>
        <v>GENERAL GUIDO</v>
      </c>
      <c r="AP162" s="28" t="str">
        <f>VLOOKUP($D162,'Costo Social x localidad'!$B$2:$M$156,1,FALSE)</f>
        <v>GENERAL GUIDO</v>
      </c>
    </row>
    <row r="163" spans="1:42">
      <c r="A163" s="917"/>
      <c r="B163" s="887"/>
      <c r="C163" s="478" t="str">
        <f>IF(AND(D163=AN163,D163=AO163,D163=AP163),"ok","ATENCIÓN NO ESTÁ TOMANDO BIEN LA LOCALIDAD")</f>
        <v>ok</v>
      </c>
      <c r="D163" s="24" t="s">
        <v>136</v>
      </c>
      <c r="E163" s="115">
        <f>VLOOKUP(D163,Pobl_adoptada!$C$5:$D$158,2,FALSE)</f>
        <v>47</v>
      </c>
      <c r="F163" s="9" t="s">
        <v>308</v>
      </c>
      <c r="G163" s="9"/>
      <c r="H163" s="34">
        <f>'[80]Inversion rec-TA'!$G$21</f>
        <v>2206698.8007098255</v>
      </c>
      <c r="I163" s="34"/>
      <c r="J163" s="34">
        <f>'[80]Costos Operativos Rec-TA'!$G$23</f>
        <v>859059.82779555791</v>
      </c>
      <c r="K163" s="25">
        <f>'[80]Inversion rec-TA'!$G$46</f>
        <v>0</v>
      </c>
      <c r="L163" s="25">
        <f>+'[80]Costos Operativos Rec-TA'!$G$46</f>
        <v>0</v>
      </c>
      <c r="M163" s="19">
        <f t="shared" si="105"/>
        <v>-9097463.6950369012</v>
      </c>
      <c r="N163" s="19"/>
      <c r="O163" s="25">
        <f>IF(((VLOOKUP($E163,Tabla13[],Inputs_costos!$I$1,FALSE))*(O$3*$E$3+O$4*$E$4)-AG163)&lt;0,0,VLOOKUP($E163,Tabla13[],Inputs_costos!$I$1,FALSE)*(O$3*$E$3+O$4*$E$4)-AG163)</f>
        <v>44727.727786000003</v>
      </c>
      <c r="P163" s="25">
        <f>(VLOOKUP($E163,Tabla13[],Inputs_costos!$J$1,FALSE))*(P$3*$E$3+P$4*$E$4)</f>
        <v>26127.3549570752</v>
      </c>
      <c r="Q163" s="25"/>
      <c r="R163" s="25">
        <f>IF($AC163&gt;=15,(VLOOKUP($E163,Tabla13[],Inputs_costos!$G$1,FALSE))*($R$3*$E$3+$R$4*$E$4),(VLOOKUP($E163,Tabla13[],Inputs_costos!$G$1,FALSE))*($T$3*$E$3+$T$4*$E$4))-AH163</f>
        <v>690326.56759999995</v>
      </c>
      <c r="S163" s="25">
        <f t="shared" si="106"/>
        <v>0</v>
      </c>
      <c r="T163" s="25">
        <f>IF($AC163&gt;=15,(VLOOKUP($E163,Tabla13[],Inputs_costos!$H$1,FALSE))*($R$3*$E$3+$R$4*$E$4),(VLOOKUP($E163,Tabla13[],Inputs_costos!$H$1,FALSE))*($T$3*$E$3+$T$4*$E$4))</f>
        <v>100889.451632</v>
      </c>
      <c r="U163" s="465">
        <f>SUMIFS(Tabla24[Costo de Cierre Técnico de BCA (US$)],Tabla24[Localidad],Resumen!$D163)</f>
        <v>2035200</v>
      </c>
      <c r="V163" s="461">
        <f t="shared" si="107"/>
        <v>3908484.3724799999</v>
      </c>
      <c r="W163" s="465">
        <f>SUMIFS(Tabla24[Costo anual de Manteniemiento Post-cierre (US$)],Tabla24[Localidad],Resumen!$D163)</f>
        <v>180696.88387726335</v>
      </c>
      <c r="X163" s="461">
        <f t="shared" si="108"/>
        <v>347017.95734577294</v>
      </c>
      <c r="Y163" s="28">
        <f>VLOOKUP($D163,'Costo Social x localidad'!$B$2:$M$156,12,FALSE)*(Y$3*$E$3+Y$4*$E$4)</f>
        <v>15257.620483733333</v>
      </c>
      <c r="Z163" s="28">
        <f>VLOOKUP(D163,'Estimación  PRESUPUESTO PCAS'!$B$4:$G$158,'Estimación  PRESUPUESTO PCAS'!$G$2,FALSE)</f>
        <v>201174.77468575825</v>
      </c>
      <c r="AA163" s="650">
        <f>(-O163-R163)/(1+0.12)+PV(12%,20,P163)+PV(12%,20,T163)-(O163*0.5)/(1+0.12)^10-S163/(1+0.12)^10</f>
        <v>-1612243.9198227364</v>
      </c>
      <c r="AB163" s="651">
        <f>M163+AA163</f>
        <v>-10709707.614859637</v>
      </c>
      <c r="AC163" s="10">
        <f>VLOOKUP($E163,Resumen_Generación!$B$5:$F$158,Resumen_Generación!$D$3,FALSE)</f>
        <v>7.6809125600000003</v>
      </c>
      <c r="AD163" s="10">
        <f>VLOOKUP($E163,Resumen_Generación!$B$5:$G$158,Resumen_Generación!$G$3,FALSE)</f>
        <v>3.1832942999999991</v>
      </c>
      <c r="AE163" s="362">
        <f>VLOOKUP($E163,Resumen_Generación!$B$5:$F$158,Resumen_Generación!$E$3,FALSE)</f>
        <v>11117</v>
      </c>
      <c r="AF163" s="10">
        <f>VLOOKUP($E163,Resumen_Generación!$B$5:$F$158,Resumen_Generación!$F$3,FALSE)</f>
        <v>3.5403899999999995</v>
      </c>
      <c r="AG163" s="448">
        <f>VLOOKUP($D163,Valoración_Equip_actual!$D$4:$I$157,Valoración_Equip_actual!$E$2,FALSE)*$E$4</f>
        <v>314432.10574999999</v>
      </c>
      <c r="AH163" s="448">
        <f>VLOOKUP($D163,Valoración_Equip_actual!$D$4:$I$157,Valoración_Equip_actual!$F$2,FALSE)*$E$4</f>
        <v>0</v>
      </c>
      <c r="AI163" s="448">
        <f>[80]P_Datos!$D$43</f>
        <v>0.2752786885245902</v>
      </c>
      <c r="AN163" s="34" t="str">
        <f>[80]Datos!$C$2</f>
        <v>Castelli</v>
      </c>
      <c r="AO163" s="25" t="str">
        <f>VLOOKUP($E163,Tabla13[],Inputs_costos!$D$1,FALSE)</f>
        <v>CASTELLI</v>
      </c>
      <c r="AP163" s="28" t="str">
        <f>VLOOKUP($D163,'Costo Social x localidad'!$B$2:$M$156,1,FALSE)</f>
        <v>CASTELLI</v>
      </c>
    </row>
    <row r="164" spans="1:42" ht="15.75" thickBot="1">
      <c r="A164" s="917"/>
      <c r="B164" s="887"/>
      <c r="C164" s="478" t="str">
        <f>IF(AND(D164=AN164,D164=AO164,D164=AP164),"ok","ATENCIÓN NO ESTÁ TOMANDO BIEN LA LOCALIDAD")</f>
        <v>ok</v>
      </c>
      <c r="D164" s="36" t="s">
        <v>146</v>
      </c>
      <c r="E164" s="482">
        <f>VLOOKUP(D164,Pobl_adoptada!$C$5:$D$158,2,FALSE)</f>
        <v>57</v>
      </c>
      <c r="F164" s="37" t="s">
        <v>308</v>
      </c>
      <c r="G164" s="37"/>
      <c r="H164" s="117">
        <f>'[81]Inversion rec-TA'!$G$21</f>
        <v>3446605.6856182353</v>
      </c>
      <c r="I164" s="117"/>
      <c r="J164" s="117">
        <f>'[81]Costos Operativos Rec-TA'!$G$23</f>
        <v>1686775.5080934735</v>
      </c>
      <c r="K164" s="25">
        <f>'[81]Inversion rec-TA'!$G$46</f>
        <v>0</v>
      </c>
      <c r="L164" s="25">
        <f>+'[81]Costos Operativos Rec-TA'!$G$46</f>
        <v>0</v>
      </c>
      <c r="M164" s="19">
        <f t="shared" si="105"/>
        <v>-16786315.857467417</v>
      </c>
      <c r="N164" s="19"/>
      <c r="O164" s="25">
        <f>IF(((VLOOKUP($E164,Tabla13[],Inputs_costos!$I$1,FALSE))*(O$3*$E$3+O$4*$E$4)-AG164)&lt;0,0,VLOOKUP($E164,Tabla13[],Inputs_costos!$I$1,FALSE)*(O$3*$E$3+O$4*$E$4)-AG164)</f>
        <v>1319740.84345</v>
      </c>
      <c r="P164" s="25">
        <f>(VLOOKUP($E164,Tabla13[],Inputs_costos!$J$1,FALSE))*(P$3*$E$3+P$4*$E$4)</f>
        <v>531820.70175999997</v>
      </c>
      <c r="Q164" s="25"/>
      <c r="R164" s="25">
        <f>IF($AC164&gt;=15,(VLOOKUP($E164,Tabla13[],Inputs_costos!$G$1,FALSE))*($R$3*$E$3+$R$4*$E$4),(VLOOKUP($E164,Tabla13[],Inputs_costos!$G$1,FALSE))*($T$3*$E$3+$T$4*$E$4))-AH164</f>
        <v>9130226.6400000006</v>
      </c>
      <c r="S164" s="25">
        <f t="shared" si="106"/>
        <v>815000</v>
      </c>
      <c r="T164" s="25">
        <f>IF($AC164&gt;=15,(VLOOKUP($E164,Tabla13[],Inputs_costos!$H$1,FALSE))*($R$3*$E$3+$R$4*$E$4),(VLOOKUP($E164,Tabla13[],Inputs_costos!$H$1,FALSE))*($T$3*$E$3+$T$4*$E$4))</f>
        <v>1623032.9935600001</v>
      </c>
      <c r="U164" s="465">
        <f>SUMIFS(Tabla24[Costo de Cierre Técnico de BCA (US$)],Tabla24[Localidad],Resumen!$D164)</f>
        <v>636000</v>
      </c>
      <c r="V164" s="461">
        <f t="shared" si="107"/>
        <v>1221401.3663999999</v>
      </c>
      <c r="W164" s="465">
        <f>SUMIFS(Tabla24[Costo anual de Manteniemiento Post-cierre (US$)],Tabla24[Localidad],Resumen!$D164)</f>
        <v>56467.776211644792</v>
      </c>
      <c r="X164" s="461">
        <f t="shared" si="108"/>
        <v>108443.11167055403</v>
      </c>
      <c r="Y164" s="447">
        <f>VLOOKUP($D164,'Costo Social x localidad'!$B$2:$M$156,12,FALSE)*(Y$3*$E$3+Y$4*$E$4)</f>
        <v>41267.387820479998</v>
      </c>
      <c r="Z164" s="28">
        <f>VLOOKUP(D164,'Estimación  PRESUPUESTO PCAS'!$B$4:$G$158,'Estimación  PRESUPUESTO PCAS'!$G$2,FALSE)</f>
        <v>283852.14535468235</v>
      </c>
      <c r="AA164" s="650">
        <f>(-O164-R164)/(1+0.12)+PV(12%,20,P164)+PV(12%,20,T164)-(O164*0.5)/(1+0.12)^10-S164/(1+0.12)^10</f>
        <v>-25900755.109324638</v>
      </c>
      <c r="AB164" s="651">
        <f>M164+AA164</f>
        <v>-42687070.966792054</v>
      </c>
      <c r="AC164" s="10">
        <f>VLOOKUP($E164,Resumen_Generación!$B$5:$F$158,Resumen_Generación!$D$3,FALSE)</f>
        <v>29.016210616000006</v>
      </c>
      <c r="AD164" s="10">
        <f>VLOOKUP($E164,Resumen_Generación!$B$5:$G$158,Resumen_Generación!$G$3,FALSE)</f>
        <v>11.95635798</v>
      </c>
      <c r="AE164" s="362">
        <f>VLOOKUP($E164,Resumen_Generación!$B$5:$F$158,Resumen_Generación!$E$3,FALSE)</f>
        <v>36397</v>
      </c>
      <c r="AF164" s="10">
        <f>VLOOKUP($E164,Resumen_Generación!$B$5:$F$158,Resumen_Generación!$F$3,FALSE)</f>
        <v>13.380856999999999</v>
      </c>
      <c r="AG164" s="448">
        <f>VLOOKUP($D164,Valoración_Equip_actual!$D$4:$I$157,Valoración_Equip_actual!$E$2,FALSE)*$E$4</f>
        <v>413174.74631000002</v>
      </c>
      <c r="AH164" s="448">
        <f>VLOOKUP($D164,Valoración_Equip_actual!$D$4:$I$157,Valoración_Equip_actual!$F$2,FALSE)*$E$4</f>
        <v>97377.24</v>
      </c>
      <c r="AI164" s="448">
        <f>[81]P_Datos!$D$43</f>
        <v>0.90301639344262297</v>
      </c>
      <c r="AN164" s="34" t="str">
        <f>[81]Datos!$C$2</f>
        <v>Dolores</v>
      </c>
      <c r="AO164" s="25" t="str">
        <f>VLOOKUP($E164,Tabla13[],Inputs_costos!$D$1,FALSE)</f>
        <v>DOLORES</v>
      </c>
      <c r="AP164" s="28" t="str">
        <f>VLOOKUP($D164,'Costo Social x localidad'!$B$2:$M$156,1,FALSE)</f>
        <v>DOLORES</v>
      </c>
    </row>
    <row r="165" spans="1:42" ht="15.75" thickBot="1">
      <c r="A165" s="917"/>
      <c r="B165" s="888"/>
      <c r="C165" s="483"/>
      <c r="D165" s="12" t="s">
        <v>8</v>
      </c>
      <c r="E165" s="40"/>
      <c r="F165" s="13"/>
      <c r="G165" s="8"/>
      <c r="H165" s="32">
        <f>SUM(H160:H164)</f>
        <v>9153967.6324016601</v>
      </c>
      <c r="I165" s="32"/>
      <c r="J165" s="32">
        <f>SUM(J160:J164)</f>
        <v>4412206.6098468732</v>
      </c>
      <c r="K165" s="14"/>
      <c r="L165" s="14"/>
      <c r="M165" s="15">
        <f t="shared" ref="M165:T165" si="109">SUM(M160:M164)</f>
        <v>-44077246.503460541</v>
      </c>
      <c r="N165" s="15"/>
      <c r="O165" s="16">
        <f t="shared" si="109"/>
        <v>1813083.8603440002</v>
      </c>
      <c r="P165" s="16">
        <f t="shared" si="109"/>
        <v>636330.1215883008</v>
      </c>
      <c r="Q165" s="16"/>
      <c r="R165" s="26">
        <f t="shared" si="109"/>
        <v>11002440.388560001</v>
      </c>
      <c r="S165" s="26"/>
      <c r="T165" s="26">
        <f t="shared" si="109"/>
        <v>1863715.9754320001</v>
      </c>
      <c r="U165" s="26"/>
      <c r="V165" s="26">
        <f t="shared" ref="V165" si="110">SUM(V160:V164)</f>
        <v>5740586.4220799999</v>
      </c>
      <c r="W165" s="26"/>
      <c r="X165" s="26">
        <f t="shared" ref="X165:AA165" si="111">SUM(X160:X164)</f>
        <v>509682.62485160399</v>
      </c>
      <c r="Y165" s="26">
        <f t="shared" si="111"/>
        <v>67923.467786826659</v>
      </c>
      <c r="Z165" s="26">
        <f t="shared" si="111"/>
        <v>940462.78303385654</v>
      </c>
      <c r="AA165" s="653">
        <f t="shared" si="111"/>
        <v>-30670676.172190312</v>
      </c>
      <c r="AB165" s="654">
        <f>+M165+AA165</f>
        <v>-74747922.67565085</v>
      </c>
      <c r="AC165" s="630">
        <f t="shared" ref="AC165:AI165" si="112">SUM(AC160:AC164)</f>
        <v>42.739354920000011</v>
      </c>
      <c r="AD165" s="630">
        <f t="shared" si="112"/>
        <v>17.650340100000001</v>
      </c>
      <c r="AE165" s="631">
        <f t="shared" si="112"/>
        <v>56265</v>
      </c>
      <c r="AF165" s="630">
        <f t="shared" si="112"/>
        <v>19.698174999999999</v>
      </c>
      <c r="AG165" s="630">
        <f t="shared" si="112"/>
        <v>1356471.0635599999</v>
      </c>
      <c r="AH165" s="630">
        <f t="shared" si="112"/>
        <v>194754.48</v>
      </c>
      <c r="AI165" s="630">
        <f t="shared" si="112"/>
        <v>1.4103606557377049</v>
      </c>
      <c r="AJ165" s="4"/>
      <c r="AK165" s="4"/>
      <c r="AL165" s="4"/>
      <c r="AM165" s="4"/>
      <c r="AN165" s="4"/>
      <c r="AO165" s="4"/>
      <c r="AP165" s="4"/>
    </row>
    <row r="166" spans="1:42">
      <c r="A166" s="917"/>
      <c r="B166" s="886" t="s">
        <v>310</v>
      </c>
      <c r="C166" s="481" t="str">
        <f>IF(AND(D166=AN166,D166=AO166,D166=AP166),"ok","ATENCIÓN NO ESTÁ TOMANDO BIEN LA LOCALIDAD")</f>
        <v>ok</v>
      </c>
      <c r="D166" s="23" t="s">
        <v>206</v>
      </c>
      <c r="E166" s="114">
        <f>VLOOKUP(D166,Pobl_adoptada!$C$5:$D$158,2,FALSE)</f>
        <v>104</v>
      </c>
      <c r="F166" s="8" t="s">
        <v>308</v>
      </c>
      <c r="G166" s="576">
        <f>+'[82]Inversion rec-TA'!$G$21</f>
        <v>1041426.1405183999</v>
      </c>
      <c r="H166" s="577">
        <f>+($AC160/$AC165)*H171+G166</f>
        <v>1146179.464038138</v>
      </c>
      <c r="I166" s="587">
        <f>+'[82]Costos Operativos Rec-TA'!$G$23</f>
        <v>758392.05006214103</v>
      </c>
      <c r="J166" s="579">
        <f>+($AC160/$AC165)*J171+I166</f>
        <v>760487.11653253576</v>
      </c>
      <c r="K166" s="10">
        <f>+'[82]Inversion rec-TA'!$G$46</f>
        <v>0</v>
      </c>
      <c r="L166" s="10">
        <f>+'[82]Costos Operativos Rec-TA'!$G$46</f>
        <v>0</v>
      </c>
      <c r="M166" s="19">
        <f t="shared" ref="M166:M170" si="113">-H166/(1+0.12)+PV(12%,20,J166)-H166/(1+0.12)^10</f>
        <v>-7072829.2771799983</v>
      </c>
      <c r="N166" s="614">
        <f>+$AD160/$AD165*N172</f>
        <v>124185.59373929331</v>
      </c>
      <c r="O166" s="25">
        <f>IF(N166-AG166&lt;0,0,N166-AG166)</f>
        <v>0</v>
      </c>
      <c r="P166" s="32">
        <f>+$AD160/$AD165*P172</f>
        <v>53745.416158396991</v>
      </c>
      <c r="Q166" s="614">
        <f>+$AC160/$AC165*Q172</f>
        <v>769751.61637036083</v>
      </c>
      <c r="R166" s="647">
        <f>IF(Q166-AH166&lt;0,0,Q166-AH166)</f>
        <v>672374.37637036084</v>
      </c>
      <c r="S166" s="647">
        <f>+S160</f>
        <v>0</v>
      </c>
      <c r="T166" s="32">
        <f>+$AC160/$AC165*T172</f>
        <v>101405.52394017667</v>
      </c>
      <c r="U166" s="27"/>
      <c r="V166" s="461">
        <f>+V160</f>
        <v>0</v>
      </c>
      <c r="W166" s="27"/>
      <c r="X166" s="461">
        <f t="shared" ref="X166:Z168" si="114">+X160</f>
        <v>0</v>
      </c>
      <c r="Y166" s="27">
        <f t="shared" si="114"/>
        <v>4011.9258044799999</v>
      </c>
      <c r="Z166" s="27">
        <f t="shared" si="114"/>
        <v>149679.941696836</v>
      </c>
      <c r="AA166" s="650">
        <f>(-O166-R166)/(1+0.12)+PV(12%,20,P166)+PV(12%,20,T166)-(O166*0.5)/(1+0.12)^10-S166/(1+0.12)^10</f>
        <v>-1759225.4649441177</v>
      </c>
      <c r="AB166" s="651">
        <f>M166+AA166</f>
        <v>-8832054.742124116</v>
      </c>
      <c r="AG166" s="448">
        <f>VLOOKUP($D166,Valoración_Eq_REG!$D$4:$I$157,Valoración_Eq_REG!$E$2,FALSE)*$E$4</f>
        <v>263107.73074999999</v>
      </c>
      <c r="AH166" s="448">
        <f>VLOOKUP($D166,Valoración_Eq_REG!$D$4:$I$157,Valoración_Eq_REG!$F$2,FALSE)*$E$4</f>
        <v>97377.24</v>
      </c>
      <c r="AJ166" s="512">
        <f>+'[82]Evaluacion Economica'!$L$25</f>
        <v>2</v>
      </c>
      <c r="AK166" s="513">
        <f>+'[82]Evaluacion Economica'!$R$25</f>
        <v>24</v>
      </c>
      <c r="AL166" s="512">
        <f>+'[82]P_Evaluacion Economica'!$L$27</f>
        <v>2</v>
      </c>
      <c r="AM166" s="513">
        <f>+'[82]P_Evaluacion Economica'!$Q$27</f>
        <v>6</v>
      </c>
      <c r="AN166" s="34" t="str">
        <f>+[82]Datos!$C$2</f>
        <v>Pila</v>
      </c>
      <c r="AO166" s="25" t="str">
        <f>VLOOKUP($E166,Tabla13[],Inputs_costos!$D$1,FALSE)</f>
        <v>PILA</v>
      </c>
      <c r="AP166" s="28" t="str">
        <f>VLOOKUP($D166,'Costo Social x localidad'!$B$2:$M$156,1,FALSE)</f>
        <v>PILA</v>
      </c>
    </row>
    <row r="167" spans="1:42">
      <c r="A167" s="917"/>
      <c r="B167" s="887"/>
      <c r="C167" s="478" t="str">
        <f>IF(AND(D167=AN167,D167=AO167,D167=AP167),"ok","ATENCIÓN NO ESTÁ TOMANDO BIEN LA LOCALIDAD")</f>
        <v>ok</v>
      </c>
      <c r="D167" s="24" t="s">
        <v>234</v>
      </c>
      <c r="E167" s="115">
        <f>VLOOKUP(D167,Pobl_adoptada!$C$5:$D$158,2,FALSE)</f>
        <v>128</v>
      </c>
      <c r="F167" s="9" t="s">
        <v>308</v>
      </c>
      <c r="G167" s="580">
        <f>+'[83]Inversion rec-TA'!$G$21</f>
        <v>1094425.4765184</v>
      </c>
      <c r="H167" s="34">
        <f>+($AC161/$AC165)*H171+G167</f>
        <v>1163842.8323609736</v>
      </c>
      <c r="I167" s="465">
        <f>+'[83]Costos Operativos Rec-TA'!$G$23</f>
        <v>769466.64984796068</v>
      </c>
      <c r="J167" s="581">
        <f>+($AC161/$AC165)*J171+I167</f>
        <v>770854.99696481216</v>
      </c>
      <c r="K167" s="10">
        <f>+'[83]Inversion rec-TA'!$G$46</f>
        <v>0</v>
      </c>
      <c r="L167" s="10">
        <f>+'[83]Costos Operativos Rec-TA'!$G$46</f>
        <v>0</v>
      </c>
      <c r="M167" s="19">
        <f t="shared" si="113"/>
        <v>-7171729.572014614</v>
      </c>
      <c r="N167" s="465">
        <f>+$AD161/$AD165*N172</f>
        <v>82941.841403913975</v>
      </c>
      <c r="O167" s="25">
        <f>IF(N167-AG167&lt;0,0,N167-AG167)</f>
        <v>0</v>
      </c>
      <c r="P167" s="25">
        <f>+$AD161/$AD165*P172</f>
        <v>35895.820513250503</v>
      </c>
      <c r="Q167" s="465">
        <f>+$AC161/$AC165*Q172</f>
        <v>510094.76423828414</v>
      </c>
      <c r="R167" s="647">
        <f>IF(Q167-AH167&lt;0,0,Q167-AH167)</f>
        <v>510094.76423828414</v>
      </c>
      <c r="S167" s="647">
        <f t="shared" ref="S167:S170" si="115">+S161</f>
        <v>0</v>
      </c>
      <c r="T167" s="25">
        <f>+$AC161/$AC165*T172</f>
        <v>67198.854444283861</v>
      </c>
      <c r="U167" s="28"/>
      <c r="V167" s="461">
        <f>+V161</f>
        <v>203566.89439999999</v>
      </c>
      <c r="W167" s="28"/>
      <c r="X167" s="461">
        <f t="shared" si="114"/>
        <v>18073.851945092338</v>
      </c>
      <c r="Y167" s="28">
        <f t="shared" si="114"/>
        <v>3876.4250197333331</v>
      </c>
      <c r="Z167" s="28">
        <f t="shared" si="114"/>
        <v>152762.35909043599</v>
      </c>
      <c r="AA167" s="650">
        <f>(-O167-R167)/(1+0.12)+PV(12%,20,P167)+PV(12%,20,T167)-(O167*0.5)/(1+0.12)^10-S167/(1+0.12)^10</f>
        <v>-1225501.6163478633</v>
      </c>
      <c r="AB167" s="651">
        <f>M167+AA167</f>
        <v>-8397231.1883624773</v>
      </c>
      <c r="AC167" s="10"/>
      <c r="AD167" s="10"/>
      <c r="AE167" s="362"/>
      <c r="AF167" s="10"/>
      <c r="AG167" s="448">
        <f>VLOOKUP($D167,Valoración_Eq_REG!$D$4:$I$157,Valoración_Eq_REG!$E$2,FALSE)*$E$4</f>
        <v>263107.73074999999</v>
      </c>
      <c r="AH167" s="448">
        <f>VLOOKUP($D167,Valoración_Eq_REG!$D$4:$I$157,Valoración_Eq_REG!$F$2,FALSE)*$E$4</f>
        <v>0</v>
      </c>
      <c r="AI167" s="10"/>
      <c r="AJ167" s="512">
        <f>+'[83]Evaluacion Economica'!$L$25</f>
        <v>2</v>
      </c>
      <c r="AK167" s="513">
        <f>+'[83]Evaluacion Economica'!$R$25</f>
        <v>15</v>
      </c>
      <c r="AL167" s="512">
        <f>+'[83]P_Evaluacion Economica'!$L$27</f>
        <v>2</v>
      </c>
      <c r="AM167" s="513">
        <f>+'[83]P_Evaluacion Economica'!$Q$27</f>
        <v>6</v>
      </c>
      <c r="AN167" s="34" t="str">
        <f>+[83]Datos!$C$2</f>
        <v>General Conesa</v>
      </c>
      <c r="AO167" s="25" t="str">
        <f>VLOOKUP($E167,Tabla13[],Inputs_costos!$D$1,FALSE)</f>
        <v>GENERAL CONESA</v>
      </c>
      <c r="AP167" s="28" t="str">
        <f>VLOOKUP($D167,'Costo Social x localidad'!$B$2:$M$156,1,FALSE)</f>
        <v>GENERAL CONESA</v>
      </c>
    </row>
    <row r="168" spans="1:42">
      <c r="A168" s="917"/>
      <c r="B168" s="887"/>
      <c r="C168" s="478" t="str">
        <f>IF(AND(D168=AN168,D168=AO168,D168=AP168),"ok","ATENCIÓN NO ESTÁ TOMANDO BIEN LA LOCALIDAD")</f>
        <v>ok</v>
      </c>
      <c r="D168" s="24" t="s">
        <v>158</v>
      </c>
      <c r="E168" s="115">
        <f>VLOOKUP(D168,Pobl_adoptada!$C$5:$D$158,2,FALSE)</f>
        <v>66</v>
      </c>
      <c r="F168" s="9" t="s">
        <v>308</v>
      </c>
      <c r="G168" s="580">
        <f>+'[84]Inversion rec-TA'!$G$21</f>
        <v>707384.69825919997</v>
      </c>
      <c r="H168" s="34">
        <f>+($AC162/$AC165)*H171+G168</f>
        <v>750304.6266524361</v>
      </c>
      <c r="I168" s="465">
        <f>+'[84]Costos Operativos Rec-TA'!$G$23</f>
        <v>445564.31122410513</v>
      </c>
      <c r="J168" s="581">
        <f>+($AC162/$AC165)*J171+I168</f>
        <v>446422.70979196986</v>
      </c>
      <c r="K168" s="10">
        <f>+'[84]Inversion rec-TA'!$G$46</f>
        <v>0</v>
      </c>
      <c r="L168" s="10">
        <f>+'[84]Costos Operativos Rec-TA'!$G$46</f>
        <v>0</v>
      </c>
      <c r="M168" s="19">
        <f t="shared" si="113"/>
        <v>-4246022.1177083263</v>
      </c>
      <c r="N168" s="465">
        <f>+$AD162/$AD165*N172</f>
        <v>50190.984830444788</v>
      </c>
      <c r="O168" s="25">
        <f>IF(N168-AG168&lt;0,0,N168-AG168)</f>
        <v>50190.984830444788</v>
      </c>
      <c r="P168" s="25">
        <f>+$AD162/$AD165*P172</f>
        <v>21721.805934874101</v>
      </c>
      <c r="Q168" s="465">
        <f>+$AC162/$AC165*Q172</f>
        <v>315385.54716088291</v>
      </c>
      <c r="R168" s="647">
        <f>IF(Q168-AH168&lt;0,0,Q168-AH168)</f>
        <v>315385.54716088291</v>
      </c>
      <c r="S168" s="647">
        <f t="shared" si="115"/>
        <v>0</v>
      </c>
      <c r="T168" s="25">
        <f>+$AC162/$AC165*T172</f>
        <v>41548.255272023729</v>
      </c>
      <c r="U168" s="458"/>
      <c r="V168" s="461">
        <f t="shared" ref="V168" si="116">+V162</f>
        <v>407133.78879999998</v>
      </c>
      <c r="W168" s="28"/>
      <c r="X168" s="461">
        <f t="shared" si="114"/>
        <v>36147.703890184675</v>
      </c>
      <c r="Y168" s="28">
        <f t="shared" si="114"/>
        <v>3510.1086584</v>
      </c>
      <c r="Z168" s="28">
        <f t="shared" si="114"/>
        <v>152993.56220614398</v>
      </c>
      <c r="AA168" s="650">
        <f>(-O168-R168)/(1+0.12)+PV(12%,20,P168)+PV(12%,20,T168)-(O168*0.5)/(1+0.12)^10-S168/(1+0.12)^10</f>
        <v>-807079.85005884606</v>
      </c>
      <c r="AB168" s="651">
        <f>M168+AA168</f>
        <v>-5053101.9677671725</v>
      </c>
      <c r="AC168" s="39"/>
      <c r="AD168" s="10"/>
      <c r="AE168" s="10"/>
      <c r="AF168" s="10"/>
      <c r="AG168" s="448">
        <f>VLOOKUP($D168,Valoración_Eq_REG!$D$4:$I$157,Valoración_Eq_REG!$E$2,FALSE)*$E$4</f>
        <v>0</v>
      </c>
      <c r="AH168" s="448">
        <f>VLOOKUP($D168,Valoración_Eq_REG!$D$4:$I$157,Valoración_Eq_REG!$F$2,FALSE)*$E$4</f>
        <v>0</v>
      </c>
      <c r="AI168" s="11"/>
      <c r="AJ168" s="484">
        <f>+'[84]Evaluacion Economica'!$L$25</f>
        <v>1</v>
      </c>
      <c r="AK168" s="448">
        <f>+'[84]Evaluacion Economica'!$R$25</f>
        <v>9</v>
      </c>
      <c r="AL168" s="484">
        <f>+'[84]P_Evaluacion Economica'!$L$27</f>
        <v>1</v>
      </c>
      <c r="AM168" s="448">
        <f>+'[84]P_Evaluacion Economica'!$Q$27</f>
        <v>6</v>
      </c>
      <c r="AN168" s="34" t="str">
        <f>+[84]Datos!$C$2</f>
        <v>General Guido</v>
      </c>
      <c r="AO168" s="25" t="str">
        <f>VLOOKUP($E168,Tabla13[],Inputs_costos!$D$1,FALSE)</f>
        <v>GENERAL GUIDO</v>
      </c>
      <c r="AP168" s="28" t="str">
        <f>VLOOKUP($D168,'Costo Social x localidad'!$B$2:$M$156,1,FALSE)</f>
        <v>GENERAL GUIDO</v>
      </c>
    </row>
    <row r="169" spans="1:42">
      <c r="A169" s="917"/>
      <c r="B169" s="887"/>
      <c r="C169" s="478" t="str">
        <f>IF(AND(D169=AN169,D169=AO169,D169=AP169),"ok","ATENCIÓN NO ESTÁ TOMANDO BIEN LA LOCALIDAD")</f>
        <v>ok</v>
      </c>
      <c r="D169" s="24" t="s">
        <v>136</v>
      </c>
      <c r="E169" s="115">
        <f>VLOOKUP(D169,Pobl_adoptada!$C$5:$D$158,2,FALSE)</f>
        <v>47</v>
      </c>
      <c r="F169" s="9" t="s">
        <v>308</v>
      </c>
      <c r="G169" s="580">
        <f>+'[85]Inversion rec-TA'!$G$21</f>
        <v>1694304.5391398836</v>
      </c>
      <c r="H169" s="34">
        <f>+($AC163/$AC165)*H171+G169</f>
        <v>1970271.1101710959</v>
      </c>
      <c r="I169" s="465">
        <f>+'[85]Costos Operativos Rec-TA'!$G$23</f>
        <v>830273.895577705</v>
      </c>
      <c r="J169" s="581">
        <f>+($AC163/$AC165)*J171+I169</f>
        <v>835793.22699832928</v>
      </c>
      <c r="K169" s="10">
        <f>+'[85]Inversion rec-TA'!$G$46</f>
        <v>0</v>
      </c>
      <c r="L169" s="10">
        <f>+'[85]Costos Operativos Rec-TA'!$G$46</f>
        <v>0</v>
      </c>
      <c r="M169" s="19">
        <f t="shared" si="113"/>
        <v>-8636455.5910431258</v>
      </c>
      <c r="N169" s="465">
        <f>+$AD163/$AD165*N172</f>
        <v>326253.3290925562</v>
      </c>
      <c r="O169" s="25">
        <f>IF(N169-AG169&lt;0,0,N169-AG169)</f>
        <v>63145.598342556215</v>
      </c>
      <c r="P169" s="25">
        <f>+$AD163/$AD165*P172</f>
        <v>141196.90068038693</v>
      </c>
      <c r="Q169" s="465">
        <f>+$AC163/$AC165*Q172</f>
        <v>2027866.1046533305</v>
      </c>
      <c r="R169" s="647">
        <f>IF(Q169-AH169&lt;0,0,Q169-AH169)</f>
        <v>2027866.1046533305</v>
      </c>
      <c r="S169" s="647">
        <f t="shared" si="115"/>
        <v>0</v>
      </c>
      <c r="T169" s="25">
        <f>+$AC163/$AC165*T172</f>
        <v>267146.98670272797</v>
      </c>
      <c r="V169" s="461">
        <f t="shared" ref="V169" si="117">+V163</f>
        <v>3908484.3724799999</v>
      </c>
      <c r="W169" s="25"/>
      <c r="X169" s="461">
        <f t="shared" ref="X169:Y169" si="118">+X163</f>
        <v>347017.95734577294</v>
      </c>
      <c r="Y169" s="28">
        <f t="shared" si="118"/>
        <v>15257.620483733333</v>
      </c>
      <c r="Z169" s="28">
        <f>+Z163</f>
        <v>201174.77468575825</v>
      </c>
      <c r="AA169" s="650">
        <f>(-O169-R169)/(1+0.12)+PV(12%,20,P169)+PV(12%,20,T169)-(O169*0.5)/(1+0.12)^10-S169/(1+0.12)^10</f>
        <v>-4927241.9773021145</v>
      </c>
      <c r="AB169" s="651">
        <f>M169+AA169</f>
        <v>-13563697.568345241</v>
      </c>
      <c r="AC169" s="10"/>
      <c r="AD169" s="10"/>
      <c r="AE169" s="10"/>
      <c r="AF169" s="10"/>
      <c r="AG169" s="448">
        <f>VLOOKUP($D169,Valoración_Eq_REG!$D$4:$I$157,Valoración_Eq_REG!$E$2,FALSE)*$E$4</f>
        <v>263107.73074999999</v>
      </c>
      <c r="AH169" s="448">
        <f>VLOOKUP($D169,Valoración_Eq_REG!$D$4:$I$157,Valoración_Eq_REG!$F$2,FALSE)*$E$4</f>
        <v>0</v>
      </c>
      <c r="AI169" s="2"/>
      <c r="AJ169" s="484">
        <f>+'[85]Evaluacion Economica'!$L$25</f>
        <v>2</v>
      </c>
      <c r="AK169" s="448">
        <f>+'[85]Evaluacion Economica'!$R$25</f>
        <v>9</v>
      </c>
      <c r="AL169" s="484">
        <f>+'[85]P_Evaluacion Economica'!$L$27</f>
        <v>2</v>
      </c>
      <c r="AM169" s="448">
        <f>+'[85]P_Evaluacion Economica'!$Q$27</f>
        <v>6</v>
      </c>
      <c r="AN169" s="34" t="str">
        <f>+[85]Datos!$C$2</f>
        <v>Castelli</v>
      </c>
      <c r="AO169" s="25" t="str">
        <f>VLOOKUP($E169,Tabla13[],Inputs_costos!$D$1,FALSE)</f>
        <v>CASTELLI</v>
      </c>
      <c r="AP169" s="28" t="str">
        <f>VLOOKUP($D169,'Costo Social x localidad'!$B$2:$M$156,1,FALSE)</f>
        <v>CASTELLI</v>
      </c>
    </row>
    <row r="170" spans="1:42" ht="15.75" thickBot="1">
      <c r="A170" s="917"/>
      <c r="B170" s="887"/>
      <c r="C170" s="478" t="str">
        <f>IF(AND(D170=AN170,D170=AO170,D170=AP170),"ok","ATENCIÓN NO ESTÁ TOMANDO BIEN LA LOCALIDAD")</f>
        <v>ok</v>
      </c>
      <c r="D170" s="36" t="s">
        <v>146</v>
      </c>
      <c r="E170" s="115">
        <f>VLOOKUP(D170,Pobl_adoptada!$C$5:$D$158,2,FALSE)</f>
        <v>57</v>
      </c>
      <c r="F170" s="9" t="s">
        <v>308</v>
      </c>
      <c r="G170" s="580">
        <f>+'[86]Inversion rec-TA'!$G$21</f>
        <v>2974089.6713867611</v>
      </c>
      <c r="H170" s="34">
        <f>+($AC164/$AC165)*H171+G170</f>
        <v>4016609.5654053157</v>
      </c>
      <c r="I170" s="465">
        <f>+'[86]Costos Operativos Rec-TA'!$G$23</f>
        <v>1680554.9783776975</v>
      </c>
      <c r="J170" s="581">
        <f>+($AC164/$AC165)*J171+I170</f>
        <v>1701405.3762580687</v>
      </c>
      <c r="K170" s="10">
        <f>+'[86]Inversion rec-TA'!$G$46</f>
        <v>0</v>
      </c>
      <c r="L170" s="10">
        <f>+'[86]Costos Operativos Rec-TA'!$G$46</f>
        <v>0</v>
      </c>
      <c r="M170" s="19">
        <f t="shared" si="113"/>
        <v>-17588050.862522684</v>
      </c>
      <c r="N170" s="465">
        <f>+$AD164/$AD165*N172</f>
        <v>1225397.7254937915</v>
      </c>
      <c r="O170" s="25">
        <f>IF(N170-AG170&lt;0,0,N170-AG170)</f>
        <v>812222.97918379144</v>
      </c>
      <c r="P170" s="25">
        <f>+$AD164/$AD165*P172</f>
        <v>530331.32695309131</v>
      </c>
      <c r="Q170" s="465">
        <f>+$AC164/$AC165*Q172</f>
        <v>7660676.9747771416</v>
      </c>
      <c r="R170" s="647">
        <f>IF(Q170-AH170&lt;0,0,Q170-AH170)</f>
        <v>7563299.7347771414</v>
      </c>
      <c r="S170" s="647">
        <f t="shared" si="115"/>
        <v>815000</v>
      </c>
      <c r="T170" s="25">
        <f>+$AC164/$AC165*T172</f>
        <v>1009202.1190247878</v>
      </c>
      <c r="U170" s="29"/>
      <c r="V170" s="461">
        <f t="shared" ref="V170" si="119">+V164</f>
        <v>1221401.3663999999</v>
      </c>
      <c r="W170" s="25"/>
      <c r="X170" s="461">
        <f t="shared" ref="X170:Y170" si="120">+X164</f>
        <v>108443.11167055403</v>
      </c>
      <c r="Y170" s="28">
        <f t="shared" si="120"/>
        <v>41267.387820479998</v>
      </c>
      <c r="Z170" s="28">
        <f>+Z164</f>
        <v>283852.14535468235</v>
      </c>
      <c r="AA170" s="650">
        <f>(-O170-R170)/(1+0.12)+PV(12%,20,P170)+PV(12%,20,T170)-(O170*0.5)/(1+0.12)^10-S170/(1+0.12)^10</f>
        <v>-19370768.781362817</v>
      </c>
      <c r="AB170" s="651">
        <f>M170+AA170</f>
        <v>-36958819.643885501</v>
      </c>
      <c r="AC170" s="10"/>
      <c r="AD170" s="10"/>
      <c r="AE170" s="10"/>
      <c r="AF170" s="10"/>
      <c r="AG170" s="448">
        <f>VLOOKUP($D170,Valoración_Eq_REG!$D$4:$I$157,Valoración_Eq_REG!$E$2,FALSE)*$E$4</f>
        <v>413174.74631000002</v>
      </c>
      <c r="AH170" s="448">
        <f>VLOOKUP($D170,Valoración_Eq_REG!$D$4:$I$157,Valoración_Eq_REG!$F$2,FALSE)*$E$4</f>
        <v>97377.24</v>
      </c>
      <c r="AI170" s="2"/>
      <c r="AJ170" s="484">
        <f>+'[86]Evaluacion Economica'!$L$25</f>
        <v>3</v>
      </c>
      <c r="AK170" s="448">
        <f>+'[86]Evaluacion Economica'!$R$25</f>
        <v>17</v>
      </c>
      <c r="AL170" s="484">
        <f>+'[86]P_Evaluacion Economica'!$L$27</f>
        <v>3</v>
      </c>
      <c r="AM170" s="448">
        <f>+'[86]P_Evaluacion Economica'!$Q$27</f>
        <v>6</v>
      </c>
      <c r="AN170" s="34" t="str">
        <f>+[86]Datos!$C$2</f>
        <v>Dolores</v>
      </c>
      <c r="AO170" s="25" t="str">
        <f>VLOOKUP($E170,Tabla13[],Inputs_costos!$D$1,FALSE)</f>
        <v>DOLORES</v>
      </c>
      <c r="AP170" s="28" t="str">
        <f>VLOOKUP($D170,'Costo Social x localidad'!$B$2:$M$156,1,FALSE)</f>
        <v>DOLORES</v>
      </c>
    </row>
    <row r="171" spans="1:42" ht="30.75" thickBot="1">
      <c r="A171" s="917"/>
      <c r="B171" s="887"/>
      <c r="C171" s="912" t="s">
        <v>12</v>
      </c>
      <c r="D171" s="913"/>
      <c r="E171" s="498" t="s">
        <v>589</v>
      </c>
      <c r="F171" s="571">
        <f>+F154</f>
        <v>0.02</v>
      </c>
      <c r="G171" s="582"/>
      <c r="H171" s="461">
        <f>+AJ171*AJ173+AL171*AL173</f>
        <v>1535577.0728053148</v>
      </c>
      <c r="I171" s="461"/>
      <c r="J171" s="583">
        <f>+$F171*H171</f>
        <v>30711.541456106297</v>
      </c>
      <c r="K171" s="10"/>
      <c r="L171" s="10"/>
      <c r="M171" s="19"/>
      <c r="N171" s="465"/>
      <c r="O171" s="10"/>
      <c r="P171" s="10"/>
      <c r="Q171" s="618"/>
      <c r="R171" s="28"/>
      <c r="S171" s="28"/>
      <c r="T171" s="28"/>
      <c r="U171" s="28"/>
      <c r="V171" s="28"/>
      <c r="W171" s="28"/>
      <c r="X171" s="28"/>
      <c r="Y171" s="28"/>
      <c r="Z171" s="28"/>
      <c r="AA171" s="658"/>
      <c r="AB171" s="20"/>
      <c r="AC171" s="10"/>
      <c r="AD171" s="10"/>
      <c r="AE171" s="10"/>
      <c r="AF171" s="10"/>
      <c r="AG171" s="4"/>
      <c r="AH171" s="4"/>
      <c r="AI171" s="4"/>
      <c r="AJ171" s="501">
        <f>ROUNDUP(C172*SUM(AJ166:AJ170),0)</f>
        <v>3</v>
      </c>
      <c r="AK171" s="502">
        <f>AVERAGE(AK166:AK170)</f>
        <v>14.8</v>
      </c>
      <c r="AL171" s="501">
        <f>ROUNDUP(C172*SUM(AL166:AL170),0)</f>
        <v>3</v>
      </c>
      <c r="AM171" s="502">
        <f>AVERAGE(AM166:AM170)</f>
        <v>6</v>
      </c>
      <c r="AN171" s="4"/>
      <c r="AO171" s="4"/>
      <c r="AP171" s="4"/>
    </row>
    <row r="172" spans="1:42" ht="15.75" thickBot="1">
      <c r="A172" s="918"/>
      <c r="B172" s="888"/>
      <c r="C172" s="570">
        <v>0.3</v>
      </c>
      <c r="D172" s="500" t="str">
        <f>A160</f>
        <v>REGIÓN DOLORES</v>
      </c>
      <c r="E172" s="468"/>
      <c r="F172" s="469"/>
      <c r="G172" s="584"/>
      <c r="H172" s="585">
        <f>SUM(H166:H170)</f>
        <v>9047207.5986279584</v>
      </c>
      <c r="I172" s="585"/>
      <c r="J172" s="586">
        <f>SUM(J166:J170)</f>
        <v>4514963.4265457159</v>
      </c>
      <c r="K172" s="14"/>
      <c r="L172" s="14"/>
      <c r="M172" s="15">
        <f>SUM(M166:M171)</f>
        <v>-44715087.420468748</v>
      </c>
      <c r="N172" s="615">
        <f>(VLOOKUP($E166,Tabla13[],Inputs_costos!$P$1,FALSE))*(O$3*$E$3+O$4*$E$4)</f>
        <v>1808969.47456</v>
      </c>
      <c r="O172" s="35">
        <f>SUM(O166:O170)</f>
        <v>925559.56235679239</v>
      </c>
      <c r="P172" s="35">
        <f>(VLOOKUP($E166,Tabla13[],Inputs_costos!$Q$1,FALSE))*(P$3*$E$3+P$4*$E$4)</f>
        <v>782891.27023999998</v>
      </c>
      <c r="Q172" s="615">
        <f>IF($AC165&gt;=15,(VLOOKUP($E166,Tabla13[],Inputs_costos!$N$1,FALSE))*($R$3*$E$3+$R$4*$E$4),(VLOOKUP($E166,Tabla13[],Inputs_costos!$N$1,FALSE))*($T$3*$E$3+$T$4*$E$4))</f>
        <v>11283775.007200001</v>
      </c>
      <c r="R172" s="35">
        <f>SUM(R166:R170)</f>
        <v>11089020.5272</v>
      </c>
      <c r="S172" s="35"/>
      <c r="T172" s="35">
        <f>IF($AC165&gt;=15,(VLOOKUP($E166,Tabla13[],Inputs_costos!$O$1,FALSE))*($R$3*$E$3+$R$4*$E$4),(VLOOKUP($E166,Tabla13[],Inputs_costos!$O$1,FALSE))*($T$3*$E$3+$T$4*$E$4))</f>
        <v>1486501.7393840002</v>
      </c>
      <c r="U172" s="35"/>
      <c r="V172" s="31">
        <f>SUM(V166:V170)</f>
        <v>5740586.4220799999</v>
      </c>
      <c r="W172" s="31"/>
      <c r="X172" s="31">
        <f>SUM(X166:X170)</f>
        <v>509682.62485160399</v>
      </c>
      <c r="Y172" s="31">
        <f>SUM(Y166:Y170)</f>
        <v>67923.467786826659</v>
      </c>
      <c r="Z172" s="31">
        <f>SUM(Z166:Z170)</f>
        <v>940462.78303385654</v>
      </c>
      <c r="AA172" s="657">
        <f>SUM(AA166:AA170)</f>
        <v>-28089817.690015759</v>
      </c>
      <c r="AB172" s="654">
        <f>+M172+AA172</f>
        <v>-72804905.110484511</v>
      </c>
      <c r="AC172" s="38"/>
      <c r="AD172" s="38"/>
      <c r="AE172" s="38"/>
      <c r="AF172" s="38"/>
      <c r="AG172" s="4"/>
      <c r="AH172" s="4"/>
      <c r="AI172" s="4"/>
      <c r="AJ172" s="11"/>
      <c r="AK172" s="499">
        <f>VLOOKUP(ROUNDUP(AK171,0),DATOS!$F$16:$G$31,2,FALSE)</f>
        <v>15</v>
      </c>
      <c r="AL172" s="497"/>
      <c r="AM172" s="499">
        <f>VLOOKUP(ROUNDUP(AM171,0),DATOS!$J$16:$K$34,2,FALSE)</f>
        <v>6</v>
      </c>
      <c r="AN172" s="4"/>
      <c r="AO172" s="4"/>
      <c r="AP172" s="4"/>
    </row>
    <row r="173" spans="1:42">
      <c r="F173" s="2"/>
      <c r="G173" s="2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0"/>
      <c r="V173" s="2"/>
      <c r="W173" s="2"/>
      <c r="X173" s="2"/>
      <c r="Y173" s="2"/>
      <c r="Z173" s="2"/>
      <c r="AA173" s="4"/>
      <c r="AB173" s="4"/>
      <c r="AC173" s="4"/>
      <c r="AD173" s="4"/>
      <c r="AE173" s="4"/>
      <c r="AF173" s="4"/>
      <c r="AG173" s="448"/>
      <c r="AH173" s="448"/>
      <c r="AI173" s="4"/>
      <c r="AJ173" s="892">
        <f>VLOOKUP(AK172,DATOS!$F$3:$H$11,3,FALSE)</f>
        <v>277598.62978843832</v>
      </c>
      <c r="AK173" s="892"/>
      <c r="AL173" s="892">
        <f>VLOOKUP(AM172,DATOS!$J$3:$L$12,3,FALSE)</f>
        <v>234260.39447999999</v>
      </c>
      <c r="AM173" s="892"/>
      <c r="AN173" s="4"/>
      <c r="AO173" s="4"/>
      <c r="AP173" s="4"/>
    </row>
    <row r="174" spans="1:42" ht="15.75" thickBot="1">
      <c r="A174" s="503"/>
      <c r="B174" s="503"/>
      <c r="C174" s="503"/>
      <c r="D174" s="503"/>
      <c r="E174" s="503"/>
      <c r="F174" s="504"/>
      <c r="G174" s="504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6"/>
      <c r="AB174" s="506"/>
      <c r="AC174" s="506"/>
      <c r="AD174" s="506"/>
      <c r="AE174" s="506"/>
      <c r="AF174" s="506"/>
      <c r="AG174" s="506"/>
      <c r="AH174" s="506"/>
      <c r="AI174" s="506"/>
      <c r="AJ174" s="506"/>
      <c r="AK174" s="506"/>
      <c r="AL174" s="506"/>
      <c r="AM174" s="506"/>
      <c r="AN174" s="506"/>
      <c r="AO174" s="506"/>
      <c r="AP174" s="506"/>
    </row>
    <row r="175" spans="1:42" ht="39" thickBot="1">
      <c r="A175" s="886" t="s">
        <v>7</v>
      </c>
      <c r="B175" s="886" t="s">
        <v>2</v>
      </c>
      <c r="C175" s="479"/>
      <c r="D175" s="882" t="s">
        <v>22</v>
      </c>
      <c r="E175" s="882" t="s">
        <v>23</v>
      </c>
      <c r="F175" s="882" t="s">
        <v>3</v>
      </c>
      <c r="G175" s="568"/>
      <c r="H175" s="901" t="s">
        <v>0</v>
      </c>
      <c r="I175" s="901"/>
      <c r="J175" s="901"/>
      <c r="K175" s="901" t="s">
        <v>1</v>
      </c>
      <c r="L175" s="901"/>
      <c r="M175" s="886" t="s">
        <v>10</v>
      </c>
      <c r="N175" s="879" t="s">
        <v>5</v>
      </c>
      <c r="O175" s="880"/>
      <c r="P175" s="881"/>
      <c r="Q175" s="902" t="s">
        <v>4</v>
      </c>
      <c r="R175" s="903"/>
      <c r="S175" s="903"/>
      <c r="T175" s="904"/>
      <c r="U175" s="902" t="s">
        <v>6</v>
      </c>
      <c r="V175" s="903"/>
      <c r="W175" s="903"/>
      <c r="X175" s="904"/>
      <c r="Y175" s="390" t="s">
        <v>689</v>
      </c>
      <c r="Z175" s="662" t="s">
        <v>690</v>
      </c>
      <c r="AA175" s="905" t="s">
        <v>686</v>
      </c>
      <c r="AB175" s="886" t="s">
        <v>9</v>
      </c>
      <c r="AC175" s="907" t="s">
        <v>312</v>
      </c>
      <c r="AD175" s="914" t="s">
        <v>649</v>
      </c>
      <c r="AE175" s="897" t="s">
        <v>20</v>
      </c>
      <c r="AF175" s="897" t="s">
        <v>313</v>
      </c>
      <c r="AG175" s="899" t="s">
        <v>552</v>
      </c>
      <c r="AH175" s="895" t="s">
        <v>578</v>
      </c>
      <c r="AI175" s="897" t="s">
        <v>579</v>
      </c>
      <c r="AJ175" s="882" t="s">
        <v>581</v>
      </c>
      <c r="AK175" s="882" t="s">
        <v>582</v>
      </c>
      <c r="AL175" s="882" t="s">
        <v>581</v>
      </c>
      <c r="AM175" s="882" t="s">
        <v>582</v>
      </c>
      <c r="AN175" s="884" t="s">
        <v>553</v>
      </c>
      <c r="AO175" s="885"/>
      <c r="AP175" s="885"/>
    </row>
    <row r="176" spans="1:42" ht="30.75" thickBot="1">
      <c r="A176" s="888"/>
      <c r="B176" s="888"/>
      <c r="C176" s="480"/>
      <c r="D176" s="883"/>
      <c r="E176" s="883"/>
      <c r="F176" s="883"/>
      <c r="G176" s="569"/>
      <c r="H176" s="17" t="s">
        <v>18</v>
      </c>
      <c r="I176" s="17"/>
      <c r="J176" s="17" t="s">
        <v>17</v>
      </c>
      <c r="K176" s="17" t="s">
        <v>18</v>
      </c>
      <c r="L176" s="17" t="s">
        <v>17</v>
      </c>
      <c r="M176" s="888"/>
      <c r="N176" s="464" t="s">
        <v>685</v>
      </c>
      <c r="O176" s="17" t="s">
        <v>18</v>
      </c>
      <c r="P176" s="17" t="s">
        <v>17</v>
      </c>
      <c r="Q176" s="464" t="s">
        <v>685</v>
      </c>
      <c r="R176" s="17" t="s">
        <v>18</v>
      </c>
      <c r="S176" s="17"/>
      <c r="T176" s="17" t="s">
        <v>17</v>
      </c>
      <c r="U176" s="464" t="s">
        <v>576</v>
      </c>
      <c r="V176" s="17" t="s">
        <v>18</v>
      </c>
      <c r="W176" s="464" t="s">
        <v>577</v>
      </c>
      <c r="X176" s="17" t="s">
        <v>17</v>
      </c>
      <c r="Y176" s="17" t="s">
        <v>18</v>
      </c>
      <c r="Z176" s="17" t="s">
        <v>17</v>
      </c>
      <c r="AA176" s="906"/>
      <c r="AB176" s="888"/>
      <c r="AC176" s="908"/>
      <c r="AD176" s="915"/>
      <c r="AE176" s="898"/>
      <c r="AF176" s="898"/>
      <c r="AG176" s="900"/>
      <c r="AH176" s="896"/>
      <c r="AI176" s="898"/>
      <c r="AJ176" s="883"/>
      <c r="AK176" s="883"/>
      <c r="AL176" s="883"/>
      <c r="AM176" s="883"/>
      <c r="AN176" s="1" t="s">
        <v>551</v>
      </c>
      <c r="AO176" s="9" t="s">
        <v>554</v>
      </c>
      <c r="AP176" s="1" t="s">
        <v>555</v>
      </c>
    </row>
    <row r="177" spans="1:42">
      <c r="A177" s="916" t="s">
        <v>601</v>
      </c>
      <c r="B177" s="886" t="s">
        <v>309</v>
      </c>
      <c r="C177" s="481" t="str">
        <f>IF(AND(D177=AN177,D177=AO177,D177=AP177),"ok","ATENCIÓN NO ESTÁ TOMANDO BIEN LA LOCALIDAD")</f>
        <v>ok</v>
      </c>
      <c r="D177" s="23" t="s">
        <v>194</v>
      </c>
      <c r="E177" s="114">
        <f>VLOOKUP(D177,Pobl_adoptada!$C$5:$D$158,2,FALSE)</f>
        <v>95</v>
      </c>
      <c r="F177" s="8" t="s">
        <v>308</v>
      </c>
      <c r="G177" s="8"/>
      <c r="H177" s="33">
        <f>'[87]Inversion rec-TA'!$G$21</f>
        <v>3409845.0462797675</v>
      </c>
      <c r="I177" s="33"/>
      <c r="J177" s="33">
        <f>'[87]Costos Operativos Rec-TA'!$G$23</f>
        <v>1676198.150281623</v>
      </c>
      <c r="K177" s="32">
        <f>'[87]Inversion rec-TA'!$G$46</f>
        <v>0</v>
      </c>
      <c r="L177" s="32">
        <f>+'[87]Costos Operativos Rec-TA'!$G$46</f>
        <v>0</v>
      </c>
      <c r="M177" s="19">
        <f t="shared" ref="M177:M180" si="121">-H177/(1+0.12)+PV(12%,20,J177)-H177/(1+0.12)^10</f>
        <v>-16662650.938161163</v>
      </c>
      <c r="N177" s="19"/>
      <c r="O177" s="25">
        <f>IF(((VLOOKUP($E177,Tabla13[],Inputs_costos!$I$1,FALSE))*(O$3*$E$3+O$4*$E$4)-AG177)&lt;0,0,VLOOKUP($E177,Tabla13[],Inputs_costos!$I$1,FALSE)*(O$3*$E$3+O$4*$E$4)-AG177)</f>
        <v>1683016.8214400001</v>
      </c>
      <c r="P177" s="25">
        <f>(VLOOKUP($E177,Tabla13[],Inputs_costos!$J$1,FALSE))*(P$3*$E$3+P$4*$E$4)</f>
        <v>367655.60896000004</v>
      </c>
      <c r="Q177" s="25"/>
      <c r="R177" s="25">
        <f>IF($AC177&gt;=15,(VLOOKUP($E177,Tabla13[],Inputs_costos!$G$1,FALSE))*($R$3*$E$3+$R$4*$E$4),(VLOOKUP($E177,Tabla13[],Inputs_costos!$G$1,FALSE))*($T$3*$E$3+$T$4*$E$4))-AH177</f>
        <v>7779149.6952000009</v>
      </c>
      <c r="S177" s="25">
        <f t="shared" ref="S177:S180" si="122">IF(AC177&lt;15,0,IF(AC177&lt;=350,815000,1345000))</f>
        <v>815000</v>
      </c>
      <c r="T177" s="25">
        <f>IF($AC177&gt;=15,(VLOOKUP($E177,Tabla13[],Inputs_costos!$H$1,FALSE))*($R$3*$E$3+$R$4*$E$4),(VLOOKUP($E177,Tabla13[],Inputs_costos!$H$1,FALSE))*($T$3*$E$3+$T$4*$E$4))</f>
        <v>1682518.4157440001</v>
      </c>
      <c r="U177" s="465">
        <f>SUMIFS(Tabla24[Costo de Cierre Técnico de BCA (US$)],Tabla24[Localidad],Resumen!$D177)</f>
        <v>1272000</v>
      </c>
      <c r="V177" s="461">
        <f>+U177*(V$3*$E$3+V$4*$E$4)</f>
        <v>2442802.7327999999</v>
      </c>
      <c r="W177" s="465">
        <f>SUMIFS(Tabla24[Costo anual de Manteniemiento Post-cierre (US$)],Tabla24[Localidad],Resumen!$D177)</f>
        <v>112935.55242328958</v>
      </c>
      <c r="X177" s="461">
        <f>+W177*(X$3*$E$3+X$4*$E$4)</f>
        <v>216886.22334110807</v>
      </c>
      <c r="Y177" s="27">
        <f>VLOOKUP($D177,'Costo Social x localidad'!$B$2:$M$156,12,FALSE)*(Y$3*$E$3+Y$4*$E$4)</f>
        <v>37291.803500560003</v>
      </c>
      <c r="Z177" s="28">
        <f>VLOOKUP(D177,'Estimación  PRESUPUESTO PCAS'!$B$4:$G$158,'Estimación  PRESUPUESTO PCAS'!$G$2,FALSE)</f>
        <v>285820.5429571977</v>
      </c>
      <c r="AA177" s="650">
        <f>(-O177-R177)/(1+0.12)+PV(12%,20,P177)+PV(12%,20,T177)-(O177*0.5)/(1+0.12)^10-S177/(1+0.12)^10</f>
        <v>-24295373.633312285</v>
      </c>
      <c r="AB177" s="651">
        <f>M177+AA177</f>
        <v>-40958024.571473449</v>
      </c>
      <c r="AC177" s="10">
        <f>VLOOKUP($E177,Resumen_Generación!$B$5:$F$158,Resumen_Generación!$D$3,FALSE)</f>
        <v>20.016029608000004</v>
      </c>
      <c r="AD177" s="10">
        <f>VLOOKUP($E177,Resumen_Generación!$B$5:$G$158,Resumen_Generación!$G$3,FALSE)</f>
        <v>8.2333554899999992</v>
      </c>
      <c r="AE177" s="362">
        <f>VLOOKUP($E177,Resumen_Generación!$B$5:$F$158,Resumen_Generación!$E$3,FALSE)</f>
        <v>25097</v>
      </c>
      <c r="AF177" s="10">
        <f>VLOOKUP($E177,Resumen_Generación!$B$5:$F$158,Resumen_Generación!$F$3,FALSE)</f>
        <v>9.2505140000000008</v>
      </c>
      <c r="AG177" s="448">
        <f>VLOOKUP($D177,Valoración_Equip_actual!$D$4:$I$157,Valoración_Equip_actual!$E$2,FALSE)*$E$4</f>
        <v>0</v>
      </c>
      <c r="AH177" s="448">
        <f>VLOOKUP($D177,Valoración_Equip_actual!$D$4:$I$157,Valoración_Equip_actual!$F$2,FALSE)*$E$4</f>
        <v>0</v>
      </c>
      <c r="AI177" s="448">
        <f>[87]P_Datos!$D$43</f>
        <v>0.63186885245901636</v>
      </c>
      <c r="AN177" s="449" t="str">
        <f>[87]Datos!$C$2</f>
        <v>San Miguel del Monte</v>
      </c>
      <c r="AO177" s="450" t="str">
        <f>VLOOKUP($E177,Tabla13[],Inputs_costos!$D$1,FALSE)</f>
        <v>SAN MIGUEL DEL MONTE</v>
      </c>
      <c r="AP177" s="451" t="str">
        <f>VLOOKUP($D177,'Costo Social x localidad'!$B$2:$M$156,1,FALSE)</f>
        <v>SAN MIGUEL DEL MONTE</v>
      </c>
    </row>
    <row r="178" spans="1:42">
      <c r="A178" s="917"/>
      <c r="B178" s="887"/>
      <c r="C178" s="478" t="str">
        <f>IF(AND(D178=AN178,D178=AO178,D178=AP178),"ok","ATENCIÓN NO ESTÁ TOMANDO BIEN LA LOCALIDAD")</f>
        <v>ok</v>
      </c>
      <c r="D178" s="515" t="s">
        <v>128</v>
      </c>
      <c r="E178" s="115">
        <f>VLOOKUP(D178,Pobl_adoptada!$C$5:$D$158,2,FALSE)</f>
        <v>40</v>
      </c>
      <c r="F178" s="9" t="s">
        <v>308</v>
      </c>
      <c r="G178" s="9"/>
      <c r="H178" s="34">
        <f>'[88]Inversion rec-TA'!$G$21</f>
        <v>2919362.0765078356</v>
      </c>
      <c r="I178" s="34"/>
      <c r="J178" s="34">
        <f>'[88]Costos Operativos Rec-TA'!$G$23</f>
        <v>1294679.0151194716</v>
      </c>
      <c r="K178" s="25">
        <f>'[88]Inversion rec-TA'!$G$46</f>
        <v>0</v>
      </c>
      <c r="L178" s="25">
        <f>+'[88]Costos Operativos Rec-TA'!$G$46</f>
        <v>0</v>
      </c>
      <c r="M178" s="19">
        <f t="shared" si="121"/>
        <v>-13217061.654184513</v>
      </c>
      <c r="N178" s="19"/>
      <c r="O178" s="25">
        <f>IF(((VLOOKUP($E178,Tabla13[],Inputs_costos!$I$1,FALSE))*(O$3*$E$3+O$4*$E$4)-AG178)&lt;0,0,VLOOKUP($E178,Tabla13[],Inputs_costos!$I$1,FALSE)*(O$3*$E$3+O$4*$E$4)-AG178)</f>
        <v>1714922.3536</v>
      </c>
      <c r="P178" s="25">
        <f>(VLOOKUP($E178,Tabla13[],Inputs_costos!$J$1,FALSE))*(P$3*$E$3+P$4*$E$4)</f>
        <v>472925.31536000001</v>
      </c>
      <c r="Q178" s="25"/>
      <c r="R178" s="25">
        <f>IF($AC178&gt;=15,(VLOOKUP($E178,Tabla13[],Inputs_costos!$G$1,FALSE))*($R$3*$E$3+$R$4*$E$4),(VLOOKUP($E178,Tabla13[],Inputs_costos!$G$1,FALSE))*($T$3*$E$3+$T$4*$E$4))-AH178</f>
        <v>8742921.6560000014</v>
      </c>
      <c r="S178" s="25">
        <f t="shared" si="122"/>
        <v>815000</v>
      </c>
      <c r="T178" s="25">
        <f>IF($AC178&gt;=15,(VLOOKUP($E178,Tabla13[],Inputs_costos!$H$1,FALSE))*($R$3*$E$3+$R$4*$E$4),(VLOOKUP($E178,Tabla13[],Inputs_costos!$H$1,FALSE))*($T$3*$E$3+$T$4*$E$4))</f>
        <v>1649671.8742560002</v>
      </c>
      <c r="U178" s="465">
        <f>SUMIFS(Tabla24[Costo de Cierre Técnico de BCA (US$)],Tabla24[Localidad],Resumen!$D178)</f>
        <v>487600</v>
      </c>
      <c r="V178" s="461">
        <f t="shared" ref="V178:V180" si="123">+U178*(V$3*$E$3+V$4*$E$4)</f>
        <v>936407.71424</v>
      </c>
      <c r="W178" s="465">
        <f>SUMIFS(Tabla24[Costo anual de Manteniemiento Post-cierre (US$)],Tabla24[Localidad],Resumen!$D178)</f>
        <v>43291.961762261009</v>
      </c>
      <c r="X178" s="461">
        <f t="shared" ref="X178:X180" si="124">+W178*(X$3*$E$3+X$4*$E$4)</f>
        <v>83139.718947424757</v>
      </c>
      <c r="Y178" s="28">
        <f>VLOOKUP($D178,'Costo Social x localidad'!$B$2:$M$156,12,FALSE)*(Y$3*$E$3+Y$4*$E$4)</f>
        <v>62286.548095893326</v>
      </c>
      <c r="Z178" s="28">
        <f>VLOOKUP(D178,'Estimación  PRESUPUESTO PCAS'!$B$4:$G$158,'Estimación  PRESUPUESTO PCAS'!$G$2,FALSE)</f>
        <v>275808.53800347837</v>
      </c>
      <c r="AA178" s="650">
        <f>(-O178-R178)/(1+0.12)+PV(12%,20,P178)+PV(12%,20,T178)-(O178*0.5)/(1+0.12)^10-S178/(1+0.12)^10</f>
        <v>-25730468.506016634</v>
      </c>
      <c r="AB178" s="651">
        <f>M178+AA178</f>
        <v>-38947530.160201147</v>
      </c>
      <c r="AC178" s="10">
        <f>VLOOKUP($E178,Resumen_Generación!$B$5:$F$158,Resumen_Generación!$D$3,FALSE)</f>
        <v>25.927435487999997</v>
      </c>
      <c r="AD178" s="10">
        <f>VLOOKUP($E178,Resumen_Generación!$B$5:$G$158,Resumen_Generación!$G$3,FALSE)</f>
        <v>10.757483139999998</v>
      </c>
      <c r="AE178" s="362">
        <f>VLOOKUP($E178,Resumen_Generación!$B$5:$F$158,Resumen_Generación!$E$3,FALSE)</f>
        <v>32579</v>
      </c>
      <c r="AF178" s="10">
        <f>VLOOKUP($E178,Resumen_Generación!$B$5:$F$158,Resumen_Generación!$F$3,FALSE)</f>
        <v>11.899083000000001</v>
      </c>
      <c r="AG178" s="448">
        <f>VLOOKUP($D178,Valoración_Equip_actual!$D$4:$I$157,Valoración_Equip_actual!$E$2,FALSE)*$E$4</f>
        <v>0</v>
      </c>
      <c r="AH178" s="448">
        <f>VLOOKUP($D178,Valoración_Equip_actual!$D$4:$I$157,Valoración_Equip_actual!$F$2,FALSE)*$E$4</f>
        <v>0</v>
      </c>
      <c r="AI178" s="448">
        <f>[88]P_Datos!$D$43</f>
        <v>0.74085245901639352</v>
      </c>
      <c r="AN178" s="34" t="str">
        <f>[88]Datos!$C$2</f>
        <v>Coronel Brandsen</v>
      </c>
      <c r="AO178" s="25" t="str">
        <f>VLOOKUP($E178,Tabla13[],Inputs_costos!$D$1,FALSE)</f>
        <v>CORONEL BRANDSEN</v>
      </c>
      <c r="AP178" s="28" t="str">
        <f>VLOOKUP($D178,'Costo Social x localidad'!$B$2:$M$156,1,FALSE)</f>
        <v>CORONEL BRANDSEN</v>
      </c>
    </row>
    <row r="179" spans="1:42">
      <c r="A179" s="917"/>
      <c r="B179" s="887"/>
      <c r="C179" s="478" t="str">
        <f>IF(AND(D179=AN179,D179=AO179,D179=AP179),"ok","ATENCIÓN NO ESTÁ TOMANDO BIEN LA LOCALIDAD")</f>
        <v>ok</v>
      </c>
      <c r="D179" s="24" t="s">
        <v>157</v>
      </c>
      <c r="E179" s="115">
        <f>VLOOKUP(D179,Pobl_adoptada!$C$5:$D$158,2,FALSE)</f>
        <v>65</v>
      </c>
      <c r="F179" s="9" t="s">
        <v>308</v>
      </c>
      <c r="G179" s="9"/>
      <c r="H179" s="34">
        <f>'[89]Inversion rec-TA'!$G$21</f>
        <v>3484016.9816182349</v>
      </c>
      <c r="I179" s="34"/>
      <c r="J179" s="34">
        <f>'[89]Costos Operativos Rec-TA'!$G$23</f>
        <v>1724584.2153786202</v>
      </c>
      <c r="K179" s="25">
        <f>'[89]Inversion rec-TA'!$G$46</f>
        <v>0</v>
      </c>
      <c r="L179" s="25">
        <f>+'[89]Costos Operativos Rec-TA'!$G$46</f>
        <v>0</v>
      </c>
      <c r="M179" s="19">
        <f t="shared" si="121"/>
        <v>-17114174.24395784</v>
      </c>
      <c r="N179" s="19"/>
      <c r="O179" s="25">
        <f>IF(((VLOOKUP($E179,Tabla13[],Inputs_costos!$I$1,FALSE))*(O$3*$E$3+O$4*$E$4)-AG179)&lt;0,0,VLOOKUP($E179,Tabla13[],Inputs_costos!$I$1,FALSE)*(O$3*$E$3+O$4*$E$4)-AG179)</f>
        <v>1670403.0064000001</v>
      </c>
      <c r="P179" s="25">
        <f>(VLOOKUP($E179,Tabla13[],Inputs_costos!$J$1,FALSE))*(P$3*$E$3+P$4*$E$4)</f>
        <v>325807.42259199999</v>
      </c>
      <c r="Q179" s="25"/>
      <c r="R179" s="25">
        <f>IF($AC179&gt;=15,(VLOOKUP($E179,Tabla13[],Inputs_costos!$G$1,FALSE))*($R$3*$E$3+$R$4*$E$4),(VLOOKUP($E179,Tabla13[],Inputs_costos!$G$1,FALSE))*($T$3*$E$3+$T$4*$E$4))-AH179</f>
        <v>7402588.8904000008</v>
      </c>
      <c r="S179" s="25">
        <f t="shared" si="122"/>
        <v>815000</v>
      </c>
      <c r="T179" s="25">
        <f>IF($AC179&gt;=15,(VLOOKUP($E179,Tabla13[],Inputs_costos!$H$1,FALSE))*($R$3*$E$3+$R$4*$E$4),(VLOOKUP($E179,Tabla13[],Inputs_costos!$H$1,FALSE))*($T$3*$E$3+$T$4*$E$4))</f>
        <v>1692398.4764640001</v>
      </c>
      <c r="U179" s="465">
        <f>SUMIFS(Tabla24[Costo de Cierre Técnico de BCA (US$)],Tabla24[Localidad],Resumen!$D179)</f>
        <v>2204800</v>
      </c>
      <c r="V179" s="461">
        <f t="shared" si="123"/>
        <v>4234191.4035200002</v>
      </c>
      <c r="W179" s="465">
        <f>SUMIFS(Tabla24[Costo anual de Manteniemiento Post-cierre (US$)],Tabla24[Localidad],Resumen!$D179)</f>
        <v>195754.95753370196</v>
      </c>
      <c r="X179" s="461">
        <f t="shared" si="124"/>
        <v>375936.12045792065</v>
      </c>
      <c r="Y179" s="28">
        <f>VLOOKUP($D179,'Costo Social x localidad'!$B$2:$M$156,12,FALSE)*(Y$3*$E$3+Y$4*$E$4)</f>
        <v>32371.558195760001</v>
      </c>
      <c r="Z179" s="28">
        <f>VLOOKUP(D179,'Estimación  PRESUPUESTO PCAS'!$B$4:$G$158,'Estimación  PRESUPUESTO PCAS'!$G$2,FALSE)</f>
        <v>300584.40281938238</v>
      </c>
      <c r="AA179" s="650">
        <f>(-O179-R179)/(1+0.12)+PV(12%,20,P179)+PV(12%,20,T179)-(O179*0.5)/(1+0.12)^10-S179/(1+0.12)^10</f>
        <v>-23707081.526439179</v>
      </c>
      <c r="AB179" s="651">
        <f>M179+AA179</f>
        <v>-40821255.770397022</v>
      </c>
      <c r="AC179" s="10">
        <f>VLOOKUP($E179,Resumen_Generación!$B$5:$F$158,Resumen_Generación!$D$3,FALSE)</f>
        <v>17.804965856000003</v>
      </c>
      <c r="AD179" s="10">
        <f>VLOOKUP($E179,Resumen_Generación!$B$5:$G$158,Resumen_Generación!$G$3,FALSE)</f>
        <v>7.3353489299999994</v>
      </c>
      <c r="AE179" s="362">
        <f>VLOOKUP($E179,Resumen_Generación!$B$5:$F$158,Resumen_Generación!$E$3,FALSE)</f>
        <v>22333</v>
      </c>
      <c r="AF179" s="10">
        <f>VLOOKUP($E179,Resumen_Generación!$B$5:$F$158,Resumen_Generación!$F$3,FALSE)</f>
        <v>8.197616</v>
      </c>
      <c r="AG179" s="448">
        <f>VLOOKUP($D179,Valoración_Equip_actual!$D$4:$I$157,Valoración_Equip_actual!$E$2,FALSE)*$E$4</f>
        <v>0</v>
      </c>
      <c r="AH179" s="448">
        <f>VLOOKUP($D179,Valoración_Equip_actual!$D$4:$I$157,Valoración_Equip_actual!$F$2,FALSE)*$E$4</f>
        <v>0</v>
      </c>
      <c r="AI179" s="448">
        <f>[89]P_Datos!$D$43</f>
        <v>0.65029508196721308</v>
      </c>
      <c r="AN179" s="34" t="str">
        <f>[89]Datos!$C$2</f>
        <v>General Belgrano</v>
      </c>
      <c r="AO179" s="25" t="str">
        <f>VLOOKUP($E179,Tabla13[],Inputs_costos!$D$1,FALSE)</f>
        <v>GENERAL BELGRANO</v>
      </c>
      <c r="AP179" s="28" t="str">
        <f>VLOOKUP($D179,'Costo Social x localidad'!$B$2:$M$156,1,FALSE)</f>
        <v>GENERAL BELGRANO</v>
      </c>
    </row>
    <row r="180" spans="1:42" ht="15.75" thickBot="1">
      <c r="A180" s="917"/>
      <c r="B180" s="887"/>
      <c r="C180" s="478" t="str">
        <f>IF(AND(D180=AN180,D180=AO180,D180=AP180),"ok","ATENCIÓN NO ESTÁ TOMANDO BIEN LA LOCALIDAD")</f>
        <v>ok</v>
      </c>
      <c r="D180" s="36" t="s">
        <v>163</v>
      </c>
      <c r="E180" s="482">
        <f>VLOOKUP(D180,Pobl_adoptada!$C$5:$D$158,2,FALSE)</f>
        <v>71</v>
      </c>
      <c r="F180" s="37" t="s">
        <v>308</v>
      </c>
      <c r="G180" s="37"/>
      <c r="H180" s="117">
        <f>'[90]Inversion rec-TA'!$G$21</f>
        <v>2356343.9847098258</v>
      </c>
      <c r="I180" s="117"/>
      <c r="J180" s="117">
        <f>'[90]Costos Operativos Rec-TA'!$G$23</f>
        <v>998951.15498906153</v>
      </c>
      <c r="K180" s="25">
        <f>'[90]Inversion rec-TA'!$G$46</f>
        <v>0</v>
      </c>
      <c r="L180" s="25">
        <f>+'[90]Costos Operativos Rec-TA'!$G$46</f>
        <v>0</v>
      </c>
      <c r="M180" s="19">
        <f t="shared" si="121"/>
        <v>-10324167.592702404</v>
      </c>
      <c r="N180" s="19"/>
      <c r="O180" s="25">
        <f>IF(((VLOOKUP($E180,Tabla13[],Inputs_costos!$I$1,FALSE))*(O$3*$E$3+O$4*$E$4)-AG180)&lt;0,0,VLOOKUP($E180,Tabla13[],Inputs_costos!$I$1,FALSE)*(O$3*$E$3+O$4*$E$4)-AG180)</f>
        <v>359159.83353599999</v>
      </c>
      <c r="P180" s="25">
        <f>(VLOOKUP($E180,Tabla13[],Inputs_costos!$J$1,FALSE))*(P$3*$E$3+P$4*$E$4)</f>
        <v>26127.3549570752</v>
      </c>
      <c r="Q180" s="25"/>
      <c r="R180" s="25">
        <f>IF($AC180&gt;=15,(VLOOKUP($E180,Tabla13[],Inputs_costos!$G$1,FALSE))*($R$3*$E$3+$R$4*$E$4),(VLOOKUP($E180,Tabla13[],Inputs_costos!$G$1,FALSE))*($T$3*$E$3+$T$4*$E$4))-AH180</f>
        <v>730843.64847999997</v>
      </c>
      <c r="S180" s="25">
        <f t="shared" si="122"/>
        <v>0</v>
      </c>
      <c r="T180" s="25">
        <f>IF($AC180&gt;=15,(VLOOKUP($E180,Tabla13[],Inputs_costos!$H$1,FALSE))*($R$3*$E$3+$R$4*$E$4),(VLOOKUP($E180,Tabla13[],Inputs_costos!$H$1,FALSE))*($T$3*$E$3+$T$4*$E$4))</f>
        <v>111758.01456</v>
      </c>
      <c r="U180" s="465">
        <f>SUMIFS(Tabla24[Costo de Cierre Técnico de BCA (US$)],Tabla24[Localidad],Resumen!$D180)</f>
        <v>2014000</v>
      </c>
      <c r="V180" s="461">
        <f t="shared" si="123"/>
        <v>3867770.9936000002</v>
      </c>
      <c r="W180" s="465">
        <f>SUMIFS(Tabla24[Costo anual de Manteniemiento Post-cierre (US$)],Tabla24[Localidad],Resumen!$D180)</f>
        <v>178814.62467020852</v>
      </c>
      <c r="X180" s="461">
        <f t="shared" si="124"/>
        <v>343403.18695675448</v>
      </c>
      <c r="Y180" s="447">
        <f>VLOOKUP($D180,'Costo Social x localidad'!$B$2:$M$156,12,FALSE)*(Y$3*$E$3+Y$4*$E$4)</f>
        <v>21676.498664800005</v>
      </c>
      <c r="Z180" s="28">
        <f>VLOOKUP(D180,'Estimación  PRESUPUESTO PCAS'!$B$4:$G$158,'Estimación  PRESUPUESTO PCAS'!$G$2,FALSE)</f>
        <v>205813.58460325823</v>
      </c>
      <c r="AA180" s="650">
        <f>(-O180-R180)/(1+0.12)+PV(12%,20,P180)+PV(12%,20,T180)-(O180*0.5)/(1+0.12)^10-S180/(1+0.12)^10</f>
        <v>-2060964.3159129953</v>
      </c>
      <c r="AB180" s="651">
        <f>M180+AA180</f>
        <v>-12385131.908615399</v>
      </c>
      <c r="AC180" s="10">
        <f>VLOOKUP($E180,Resumen_Generación!$B$5:$F$158,Resumen_Generación!$D$3,FALSE)</f>
        <v>8.5516123360000016</v>
      </c>
      <c r="AD180" s="10">
        <f>VLOOKUP($E180,Resumen_Generación!$B$5:$G$158,Resumen_Generación!$G$3,FALSE)</f>
        <v>3.5386295799999998</v>
      </c>
      <c r="AE180" s="362">
        <f>VLOOKUP($E180,Resumen_Generación!$B$5:$F$158,Resumen_Generación!$E$3,FALSE)</f>
        <v>12372</v>
      </c>
      <c r="AF180" s="10">
        <f>VLOOKUP($E180,Resumen_Generación!$B$5:$F$158,Resumen_Generación!$F$3,FALSE)</f>
        <v>3.9422460000000004</v>
      </c>
      <c r="AG180" s="448">
        <f>VLOOKUP($D180,Valoración_Equip_actual!$D$4:$I$157,Valoración_Equip_actual!$E$2,FALSE)*$E$4</f>
        <v>0</v>
      </c>
      <c r="AH180" s="448">
        <f>VLOOKUP($D180,Valoración_Equip_actual!$D$4:$I$157,Valoración_Equip_actual!$F$2,FALSE)*$E$4</f>
        <v>0</v>
      </c>
      <c r="AI180" s="448">
        <f>[90]P_Datos!$D$43</f>
        <v>0.32806557377049184</v>
      </c>
      <c r="AN180" s="34" t="str">
        <f>[90]Datos!$C$2</f>
        <v>Ranchos</v>
      </c>
      <c r="AO180" s="25" t="str">
        <f>VLOOKUP($E180,Tabla13[],Inputs_costos!$D$1,FALSE)</f>
        <v>RANCHOS</v>
      </c>
      <c r="AP180" s="28" t="str">
        <f>VLOOKUP($D180,'Costo Social x localidad'!$B$2:$M$156,1,FALSE)</f>
        <v>Ranchos</v>
      </c>
    </row>
    <row r="181" spans="1:42" ht="15.75" thickBot="1">
      <c r="A181" s="917"/>
      <c r="B181" s="888"/>
      <c r="C181" s="483"/>
      <c r="D181" s="12" t="s">
        <v>8</v>
      </c>
      <c r="E181" s="40"/>
      <c r="F181" s="13"/>
      <c r="G181" s="8"/>
      <c r="H181" s="32">
        <f>SUM(H177:H180)</f>
        <v>12169568.089115664</v>
      </c>
      <c r="I181" s="32"/>
      <c r="J181" s="32">
        <f>SUM(J177:J180)</f>
        <v>5694412.5357687771</v>
      </c>
      <c r="K181" s="14"/>
      <c r="L181" s="14"/>
      <c r="M181" s="15">
        <f t="shared" ref="M181:T181" si="125">SUM(M177:M180)</f>
        <v>-57318054.429005921</v>
      </c>
      <c r="N181" s="15"/>
      <c r="O181" s="16">
        <f t="shared" si="125"/>
        <v>5427502.0149760004</v>
      </c>
      <c r="P181" s="16">
        <f t="shared" si="125"/>
        <v>1192515.701869075</v>
      </c>
      <c r="Q181" s="16"/>
      <c r="R181" s="26">
        <f t="shared" si="125"/>
        <v>24655503.890080005</v>
      </c>
      <c r="S181" s="26"/>
      <c r="T181" s="26">
        <f t="shared" si="125"/>
        <v>5136346.7810240006</v>
      </c>
      <c r="U181" s="26"/>
      <c r="V181" s="26">
        <f t="shared" ref="V181" si="126">SUM(V177:V180)</f>
        <v>11481172.84416</v>
      </c>
      <c r="W181" s="26"/>
      <c r="X181" s="26">
        <f t="shared" ref="X181:AA181" si="127">SUM(X177:X180)</f>
        <v>1019365.249703208</v>
      </c>
      <c r="Y181" s="26">
        <f t="shared" si="127"/>
        <v>153626.40845701331</v>
      </c>
      <c r="Z181" s="26">
        <f t="shared" si="127"/>
        <v>1068027.0683833167</v>
      </c>
      <c r="AA181" s="653">
        <f t="shared" si="127"/>
        <v>-75793887.981681094</v>
      </c>
      <c r="AB181" s="654">
        <f>+M181+AA181</f>
        <v>-133111942.41068701</v>
      </c>
      <c r="AC181" s="630">
        <f t="shared" ref="AC181:AI181" si="128">SUM(AC177:AC180)</f>
        <v>72.300043287999998</v>
      </c>
      <c r="AD181" s="630">
        <f t="shared" si="128"/>
        <v>29.864817139999996</v>
      </c>
      <c r="AE181" s="631">
        <f t="shared" si="128"/>
        <v>92381</v>
      </c>
      <c r="AF181" s="630">
        <f t="shared" si="128"/>
        <v>33.289459000000001</v>
      </c>
      <c r="AG181" s="630">
        <f t="shared" si="128"/>
        <v>0</v>
      </c>
      <c r="AH181" s="630">
        <f t="shared" si="128"/>
        <v>0</v>
      </c>
      <c r="AI181" s="630">
        <f t="shared" si="128"/>
        <v>2.3510819672131147</v>
      </c>
      <c r="AJ181" s="4"/>
      <c r="AK181" s="4"/>
      <c r="AL181" s="4"/>
      <c r="AM181" s="4"/>
      <c r="AN181" s="4"/>
      <c r="AO181" s="4"/>
      <c r="AP181" s="4"/>
    </row>
    <row r="182" spans="1:42">
      <c r="A182" s="917"/>
      <c r="B182" s="886" t="s">
        <v>310</v>
      </c>
      <c r="C182" s="481" t="str">
        <f>IF(AND(D182=AN182,D182=AO182,D182=AP182),"ok","ATENCIÓN NO ESTÁ TOMANDO BIEN LA LOCALIDAD")</f>
        <v>ok</v>
      </c>
      <c r="D182" s="23" t="s">
        <v>194</v>
      </c>
      <c r="E182" s="114">
        <f>VLOOKUP(D182,Pobl_adoptada!$C$5:$D$158,2,FALSE)</f>
        <v>95</v>
      </c>
      <c r="F182" s="8" t="s">
        <v>308</v>
      </c>
      <c r="G182" s="576">
        <f>+'[91]Inversion rec-TA'!$G$21</f>
        <v>2987176.8412213787</v>
      </c>
      <c r="H182" s="577">
        <f>+($AC177/$AC181)*H186+G182</f>
        <v>3568156.8319205241</v>
      </c>
      <c r="I182" s="587">
        <f>+'[91]Costos Operativos Rec-TA'!$G$23</f>
        <v>1689728.4764966078</v>
      </c>
      <c r="J182" s="579">
        <f>+($AC177/$AC181)*J186+I182</f>
        <v>1701348.0763105906</v>
      </c>
      <c r="K182" s="10">
        <f>+'[91]Inversion rec-TA'!$G$46</f>
        <v>0</v>
      </c>
      <c r="L182" s="10">
        <f>+'[91]Costos Operativos Rec-TA'!$G$46</f>
        <v>0</v>
      </c>
      <c r="M182" s="19">
        <f t="shared" ref="M182:M185" si="129">-H182/(1+0.12)+PV(12%,20,J182)-H182/(1+0.12)^10</f>
        <v>-17042828.859411571</v>
      </c>
      <c r="N182" s="614">
        <f>+$AD177/$AD181*N187</f>
        <v>543917.31184842496</v>
      </c>
      <c r="O182" s="25">
        <f>IF(N182-AG182&lt;0,0,N182-AG182)</f>
        <v>543917.31184842496</v>
      </c>
      <c r="P182" s="32">
        <f>+$AD177/$AD181*P187</f>
        <v>307791.9447933542</v>
      </c>
      <c r="Q182" s="614">
        <f>+$AC177/$AC181*Q187</f>
        <v>4278879.3068555845</v>
      </c>
      <c r="R182" s="646">
        <f>IF(Q182-AH182&lt;0,0,Q182-AH182)</f>
        <v>4278879.3068555845</v>
      </c>
      <c r="S182" s="25">
        <f>+S177</f>
        <v>815000</v>
      </c>
      <c r="T182" s="32">
        <f>+$AC177/$AC181*T187</f>
        <v>365018.18310852948</v>
      </c>
      <c r="U182" s="27"/>
      <c r="V182" s="461">
        <f>+V177</f>
        <v>2442802.7327999999</v>
      </c>
      <c r="W182" s="27"/>
      <c r="X182" s="461">
        <f>+X177</f>
        <v>216886.22334110807</v>
      </c>
      <c r="Y182" s="27">
        <f>+Y177</f>
        <v>37291.803500560003</v>
      </c>
      <c r="Z182" s="27">
        <f>+Z177</f>
        <v>285820.5429571977</v>
      </c>
      <c r="AA182" s="650">
        <f>(-O182-R182)/(1+0.12)+PV(12%,20,P182)+PV(12%,20,T182)-(O182*0.5)/(1+0.12)^10-S182/(1+0.12)^10</f>
        <v>-9681557.3262851052</v>
      </c>
      <c r="AB182" s="651">
        <f>M182+AA182</f>
        <v>-26724386.185696676</v>
      </c>
      <c r="AG182" s="448">
        <f>VLOOKUP($D182,Valoración_Eq_REG!$D$4:$I$157,Valoración_Eq_REG!$E$2,FALSE)*$E$4</f>
        <v>0</v>
      </c>
      <c r="AH182" s="448">
        <f>VLOOKUP($D182,Valoración_Eq_REG!$D$4:$I$157,Valoración_Eq_REG!$F$2,FALSE)*$E$4</f>
        <v>0</v>
      </c>
      <c r="AJ182" s="484">
        <f>+'[91]Evaluacion Economica'!$L$25</f>
        <v>3</v>
      </c>
      <c r="AK182" s="448">
        <f>+'[91]Evaluacion Economica'!$R$25</f>
        <v>18</v>
      </c>
      <c r="AL182" s="484">
        <f>+'[91]P_Evaluacion Economica'!$L$27</f>
        <v>3</v>
      </c>
      <c r="AM182" s="448">
        <f>+'[91]P_Evaluacion Economica'!$Q$27</f>
        <v>6</v>
      </c>
      <c r="AN182" s="34" t="str">
        <f>+[91]Datos!$C$2</f>
        <v>San Miguel del Monte</v>
      </c>
      <c r="AO182" s="25" t="str">
        <f>VLOOKUP($E182,Tabla13[],Inputs_costos!$D$1,FALSE)</f>
        <v>SAN MIGUEL DEL MONTE</v>
      </c>
      <c r="AP182" s="28" t="str">
        <f>VLOOKUP($D182,'Costo Social x localidad'!$B$2:$M$156,1,FALSE)</f>
        <v>SAN MIGUEL DEL MONTE</v>
      </c>
    </row>
    <row r="183" spans="1:42">
      <c r="A183" s="917"/>
      <c r="B183" s="887"/>
      <c r="C183" s="478" t="str">
        <f>IF(AND(D183=AN183,D183=AO183,D183=AP183),"ok","ATENCIÓN NO ESTÁ TOMANDO BIEN LA LOCALIDAD")</f>
        <v>ok</v>
      </c>
      <c r="D183" s="24" t="s">
        <v>128</v>
      </c>
      <c r="E183" s="115">
        <f>VLOOKUP(D183,Pobl_adoptada!$C$5:$D$158,2,FALSE)</f>
        <v>40</v>
      </c>
      <c r="F183" s="9" t="s">
        <v>308</v>
      </c>
      <c r="G183" s="580">
        <f>+'[92]Inversion rec-TA'!$G$21</f>
        <v>2773912.0343701788</v>
      </c>
      <c r="H183" s="34">
        <f>+($AC178/$AC181)*H186+G183</f>
        <v>3526474.9313919954</v>
      </c>
      <c r="I183" s="465">
        <f>+'[92]Costos Operativos Rec-TA'!$G$23</f>
        <v>1445379.5930279288</v>
      </c>
      <c r="J183" s="581">
        <f>+($AC178/$AC181)*J186+I183</f>
        <v>1460430.8509683651</v>
      </c>
      <c r="K183" s="10">
        <f>+'[92]Inversion rec-TA'!$G$46</f>
        <v>0</v>
      </c>
      <c r="L183" s="10">
        <f>+'[92]Costos Operativos Rec-TA'!$G$46</f>
        <v>0</v>
      </c>
      <c r="M183" s="19">
        <f t="shared" si="129"/>
        <v>-15192674.78755321</v>
      </c>
      <c r="N183" s="465">
        <f>+$AD178/$AD181*N187</f>
        <v>710667.8824775914</v>
      </c>
      <c r="O183" s="25">
        <f>IF(N183-AG183&lt;0,0,N183-AG183)</f>
        <v>710667.8824775914</v>
      </c>
      <c r="P183" s="25">
        <f>+$AD178/$AD181*P187</f>
        <v>402152.76271792775</v>
      </c>
      <c r="Q183" s="465">
        <f>+$AC178/$AC181*Q187</f>
        <v>5542576.0933674723</v>
      </c>
      <c r="R183" s="647">
        <f>IF(Q183-AH183&lt;0,0,Q183-AH183)</f>
        <v>5542576.0933674723</v>
      </c>
      <c r="S183" s="25">
        <f>+S178</f>
        <v>815000</v>
      </c>
      <c r="T183" s="25">
        <f>+$AC178/$AC181*T187</f>
        <v>472820.31351066771</v>
      </c>
      <c r="U183" s="458"/>
      <c r="V183" s="461">
        <f t="shared" ref="V183" si="130">+V178</f>
        <v>936407.71424</v>
      </c>
      <c r="W183" s="28"/>
      <c r="X183" s="461">
        <f t="shared" ref="X183:Z185" si="131">+X178</f>
        <v>83139.718947424757</v>
      </c>
      <c r="Y183" s="28">
        <f t="shared" si="131"/>
        <v>62286.548095893326</v>
      </c>
      <c r="Z183" s="28">
        <f t="shared" si="131"/>
        <v>275808.53800347837</v>
      </c>
      <c r="AA183" s="650">
        <f>(-O183-R183)/(1+0.12)+PV(12%,20,P183)+PV(12%,20,T183)-(O183*0.5)/(1+0.12)^10-S183/(1+0.12)^10</f>
        <v>-12495631.822508251</v>
      </c>
      <c r="AB183" s="651">
        <f>M183+AA183</f>
        <v>-27688306.610061459</v>
      </c>
      <c r="AC183" s="39"/>
      <c r="AD183" s="10"/>
      <c r="AE183" s="10"/>
      <c r="AF183" s="10"/>
      <c r="AG183" s="448">
        <f>VLOOKUP($D183,Valoración_Eq_REG!$D$4:$I$157,Valoración_Eq_REG!$E$2,FALSE)*$E$4</f>
        <v>0</v>
      </c>
      <c r="AH183" s="448">
        <f>VLOOKUP($D183,Valoración_Eq_REG!$D$4:$I$157,Valoración_Eq_REG!$F$2,FALSE)*$E$4</f>
        <v>0</v>
      </c>
      <c r="AI183" s="11"/>
      <c r="AJ183" s="484">
        <f>+'[92]Evaluacion Economica'!$L$25</f>
        <v>3</v>
      </c>
      <c r="AK183" s="448">
        <f>+'[92]Evaluacion Economica'!$R$25</f>
        <v>18</v>
      </c>
      <c r="AL183" s="484">
        <f>+'[92]P_Evaluacion Economica'!$L$27</f>
        <v>3</v>
      </c>
      <c r="AM183" s="448">
        <f>+'[92]P_Evaluacion Economica'!$Q$27</f>
        <v>9</v>
      </c>
      <c r="AN183" s="34" t="str">
        <f>+[92]Datos!$C$2</f>
        <v>Coronel Brandsen</v>
      </c>
      <c r="AO183" s="25" t="str">
        <f>VLOOKUP($E183,Tabla13[],Inputs_costos!$D$1,FALSE)</f>
        <v>CORONEL BRANDSEN</v>
      </c>
      <c r="AP183" s="28" t="str">
        <f>VLOOKUP($D183,'Costo Social x localidad'!$B$2:$M$156,1,FALSE)</f>
        <v>CORONEL BRANDSEN</v>
      </c>
    </row>
    <row r="184" spans="1:42">
      <c r="A184" s="917"/>
      <c r="B184" s="887"/>
      <c r="C184" s="478" t="str">
        <f>IF(AND(D184=AN184,D184=AO184,D184=AP184),"ok","ATENCIÓN NO ESTÁ TOMANDO BIEN LA LOCALIDAD")</f>
        <v>ok</v>
      </c>
      <c r="D184" s="24" t="s">
        <v>157</v>
      </c>
      <c r="E184" s="115">
        <f>VLOOKUP(D184,Pobl_adoptada!$C$5:$D$158,2,FALSE)</f>
        <v>65</v>
      </c>
      <c r="F184" s="9" t="s">
        <v>308</v>
      </c>
      <c r="G184" s="580">
        <f>+'[93]Inversion rec-TA'!$G$21</f>
        <v>3001531.4055521442</v>
      </c>
      <c r="H184" s="34">
        <f>+($AC179/$AC181)*H186+G184</f>
        <v>3518333.64355858</v>
      </c>
      <c r="I184" s="465">
        <f>+'[93]Costos Operativos Rec-TA'!$G$23</f>
        <v>1771079.0590597331</v>
      </c>
      <c r="J184" s="581">
        <f>+($AC179/$AC181)*J186+I184</f>
        <v>1781415.1038198618</v>
      </c>
      <c r="K184" s="10">
        <f>+'[93]Inversion rec-TA'!$G$46</f>
        <v>0</v>
      </c>
      <c r="L184" s="10">
        <f>+'[93]Costos Operativos Rec-TA'!$G$46</f>
        <v>0</v>
      </c>
      <c r="M184" s="19">
        <f t="shared" si="129"/>
        <v>-17580358.284736518</v>
      </c>
      <c r="N184" s="465">
        <f>+$AD179/$AD181*N187</f>
        <v>484592.6155285954</v>
      </c>
      <c r="O184" s="25">
        <f>IF(N184-AG184&lt;0,0,N184-AG184)</f>
        <v>484592.6155285954</v>
      </c>
      <c r="P184" s="25">
        <f>+$AD179/$AD181*P187</f>
        <v>274221.28385501669</v>
      </c>
      <c r="Q184" s="465">
        <f>+$AC179/$AC181*Q187</f>
        <v>3806214.3917922121</v>
      </c>
      <c r="R184" s="647">
        <f>IF(Q184-AH184&lt;0,0,Q184-AH184)</f>
        <v>3806214.3917922121</v>
      </c>
      <c r="S184" s="25">
        <f>+S179</f>
        <v>815000</v>
      </c>
      <c r="T184" s="25">
        <f>+$AC179/$AC181*T187</f>
        <v>324696.57641138532</v>
      </c>
      <c r="V184" s="461">
        <f t="shared" ref="V184" si="132">+V179</f>
        <v>4234191.4035200002</v>
      </c>
      <c r="W184" s="25"/>
      <c r="X184" s="461">
        <f t="shared" ref="X184:Y184" si="133">+X179</f>
        <v>375936.12045792065</v>
      </c>
      <c r="Y184" s="28">
        <f t="shared" si="133"/>
        <v>32371.558195760001</v>
      </c>
      <c r="Z184" s="28">
        <f t="shared" si="131"/>
        <v>300584.40281938238</v>
      </c>
      <c r="AA184" s="650">
        <f>(-O184-R184)/(1+0.12)+PV(12%,20,P184)+PV(12%,20,T184)-(O184*0.5)/(1+0.12)^10-S184/(1+0.12)^10</f>
        <v>-8645081.9922169298</v>
      </c>
      <c r="AB184" s="651">
        <f>M184+AA184</f>
        <v>-26225440.276953448</v>
      </c>
      <c r="AC184" s="10"/>
      <c r="AD184" s="10"/>
      <c r="AE184" s="10"/>
      <c r="AF184" s="10"/>
      <c r="AG184" s="448">
        <f>VLOOKUP($D184,Valoración_Eq_REG!$D$4:$I$157,Valoración_Eq_REG!$E$2,FALSE)*$E$4</f>
        <v>0</v>
      </c>
      <c r="AH184" s="448">
        <f>VLOOKUP($D184,Valoración_Eq_REG!$D$4:$I$157,Valoración_Eq_REG!$F$2,FALSE)*$E$4</f>
        <v>0</v>
      </c>
      <c r="AI184" s="2"/>
      <c r="AJ184" s="484">
        <f>+'[93]Evaluacion Economica'!$L$25</f>
        <v>3</v>
      </c>
      <c r="AK184" s="448">
        <f>+'[93]Evaluacion Economica'!$R$25</f>
        <v>16</v>
      </c>
      <c r="AL184" s="484">
        <f>+'[93]P_Evaluacion Economica'!$L$27</f>
        <v>3</v>
      </c>
      <c r="AM184" s="448">
        <f>+'[93]P_Evaluacion Economica'!$Q$27</f>
        <v>6</v>
      </c>
      <c r="AN184" s="34" t="str">
        <f>+[93]Datos!$C$2</f>
        <v>General Belgrano</v>
      </c>
      <c r="AO184" s="25" t="str">
        <f>VLOOKUP($E184,Tabla13[],Inputs_costos!$D$1,FALSE)</f>
        <v>GENERAL BELGRANO</v>
      </c>
      <c r="AP184" s="28" t="str">
        <f>VLOOKUP($D184,'Costo Social x localidad'!$B$2:$M$156,1,FALSE)</f>
        <v>GENERAL BELGRANO</v>
      </c>
    </row>
    <row r="185" spans="1:42" ht="15.75" thickBot="1">
      <c r="A185" s="917"/>
      <c r="B185" s="887"/>
      <c r="C185" s="478" t="str">
        <f>IF(AND(D185=AN185,D185=AO185,D185=AP185),"ok","ATENCIÓN NO ESTÁ TOMANDO BIEN LA LOCALIDAD")</f>
        <v>ok</v>
      </c>
      <c r="D185" s="36" t="s">
        <v>163</v>
      </c>
      <c r="E185" s="115">
        <f>VLOOKUP(D185,Pobl_adoptada!$C$5:$D$158,2,FALSE)</f>
        <v>71</v>
      </c>
      <c r="F185" s="9" t="s">
        <v>308</v>
      </c>
      <c r="G185" s="580">
        <f>+'[94]Inversion rec-TA'!$G$21</f>
        <v>1843949.7231398835</v>
      </c>
      <c r="H185" s="34">
        <f>+($AC180/$AC181)*H186+G185</f>
        <v>2092166.5649777995</v>
      </c>
      <c r="I185" s="465">
        <f>+'[94]Costos Operativos Rec-TA'!$G$23</f>
        <v>982336.97850251431</v>
      </c>
      <c r="J185" s="581">
        <f>+($AC180/$AC181)*J186+I185</f>
        <v>987301.31533927261</v>
      </c>
      <c r="K185" s="10">
        <f>+'[94]Inversion rec-TA'!$G$46</f>
        <v>0</v>
      </c>
      <c r="L185" s="10">
        <f>+'[94]Costos Operativos Rec-TA'!$G$46</f>
        <v>0</v>
      </c>
      <c r="M185" s="19">
        <f t="shared" si="129"/>
        <v>-9916219.0171512421</v>
      </c>
      <c r="N185" s="465">
        <f>+$AD180/$AD181*N187</f>
        <v>233771.26022538848</v>
      </c>
      <c r="O185" s="25">
        <f>IF(N185-AG185&lt;0,0,N185-AG185)</f>
        <v>233771.26022538848</v>
      </c>
      <c r="P185" s="25">
        <f>+$AD180/$AD181*P187</f>
        <v>132286.48776970155</v>
      </c>
      <c r="Q185" s="465">
        <f>+$AC180/$AC181*Q187</f>
        <v>1828100.6663847333</v>
      </c>
      <c r="R185" s="647">
        <f>IF(Q185-AH185&lt;0,0,Q185-AH185)</f>
        <v>1828100.6663847333</v>
      </c>
      <c r="S185" s="25">
        <f>+S180</f>
        <v>0</v>
      </c>
      <c r="T185" s="25">
        <f>+$AC180/$AC181*T187</f>
        <v>155949.7092414177</v>
      </c>
      <c r="U185" s="29"/>
      <c r="V185" s="461">
        <f t="shared" ref="V185" si="134">+V180</f>
        <v>3867770.9936000002</v>
      </c>
      <c r="W185" s="25"/>
      <c r="X185" s="461">
        <f t="shared" ref="X185:Y185" si="135">+X180</f>
        <v>343403.18695675448</v>
      </c>
      <c r="Y185" s="28">
        <f t="shared" si="135"/>
        <v>21676.498664800005</v>
      </c>
      <c r="Z185" s="28">
        <f t="shared" si="131"/>
        <v>205813.58460325823</v>
      </c>
      <c r="AA185" s="650">
        <f>(-O185-R185)/(1+0.12)+PV(12%,20,P185)+PV(12%,20,T185)-(O185*0.5)/(1+0.12)^10-S185/(1+0.12)^10</f>
        <v>-4031555.1460339306</v>
      </c>
      <c r="AB185" s="651">
        <f>M185+AA185</f>
        <v>-13947774.163185172</v>
      </c>
      <c r="AC185" s="10"/>
      <c r="AD185" s="10"/>
      <c r="AE185" s="10"/>
      <c r="AF185" s="10"/>
      <c r="AG185" s="448">
        <f>VLOOKUP($D185,Valoración_Eq_REG!$D$4:$I$157,Valoración_Eq_REG!$E$2,FALSE)*$E$4</f>
        <v>0</v>
      </c>
      <c r="AH185" s="448">
        <f>VLOOKUP($D185,Valoración_Eq_REG!$D$4:$I$157,Valoración_Eq_REG!$F$2,FALSE)*$E$4</f>
        <v>0</v>
      </c>
      <c r="AI185" s="2"/>
      <c r="AJ185" s="484">
        <f>+'[94]Evaluacion Economica'!$L$25</f>
        <v>2</v>
      </c>
      <c r="AK185" s="448">
        <f>+'[94]Evaluacion Economica'!$R$25</f>
        <v>9</v>
      </c>
      <c r="AL185" s="484">
        <f>+'[94]P_Evaluacion Economica'!$L$27</f>
        <v>2</v>
      </c>
      <c r="AM185" s="448">
        <f>+'[94]P_Evaluacion Economica'!$Q$27</f>
        <v>6</v>
      </c>
      <c r="AN185" s="34" t="str">
        <f>+[94]Datos!$C$2</f>
        <v>Ranchos</v>
      </c>
      <c r="AO185" s="25" t="str">
        <f>VLOOKUP($E185,Tabla13[],Inputs_costos!$D$1,FALSE)</f>
        <v>RANCHOS</v>
      </c>
      <c r="AP185" s="28" t="str">
        <f>VLOOKUP($D185,'Costo Social x localidad'!$B$2:$M$156,1,FALSE)</f>
        <v>Ranchos</v>
      </c>
    </row>
    <row r="186" spans="1:42" ht="30.75" thickBot="1">
      <c r="A186" s="917"/>
      <c r="B186" s="887"/>
      <c r="C186" s="912" t="s">
        <v>12</v>
      </c>
      <c r="D186" s="913"/>
      <c r="E186" s="498" t="s">
        <v>589</v>
      </c>
      <c r="F186" s="571">
        <f>+F171</f>
        <v>0.02</v>
      </c>
      <c r="G186" s="582"/>
      <c r="H186" s="461">
        <f>+AJ186*AJ188+AL186*AL188</f>
        <v>2098561.9675653139</v>
      </c>
      <c r="I186" s="461"/>
      <c r="J186" s="583">
        <f>+$F186*H186</f>
        <v>41971.239351306278</v>
      </c>
      <c r="K186" s="10"/>
      <c r="L186" s="10"/>
      <c r="M186" s="19"/>
      <c r="N186" s="465"/>
      <c r="O186" s="10"/>
      <c r="P186" s="10"/>
      <c r="Q186" s="618"/>
      <c r="R186" s="645"/>
      <c r="S186" s="645"/>
      <c r="T186" s="28"/>
      <c r="U186" s="28"/>
      <c r="V186" s="28"/>
      <c r="W186" s="28"/>
      <c r="X186" s="28"/>
      <c r="Y186" s="28"/>
      <c r="Z186" s="28"/>
      <c r="AA186" s="658"/>
      <c r="AB186" s="20"/>
      <c r="AC186" s="10"/>
      <c r="AD186" s="10"/>
      <c r="AE186" s="10"/>
      <c r="AF186" s="10"/>
      <c r="AG186" s="4"/>
      <c r="AH186" s="4"/>
      <c r="AI186" s="4"/>
      <c r="AJ186" s="501">
        <f>ROUNDUP(C187*SUM(AJ182:AJ185),0)</f>
        <v>4</v>
      </c>
      <c r="AK186" s="502">
        <f>AVERAGE(AK182:AK185)</f>
        <v>15.25</v>
      </c>
      <c r="AL186" s="501">
        <f>ROUNDUP(C187*SUM(AL182:AL185),0)</f>
        <v>4</v>
      </c>
      <c r="AM186" s="502">
        <f>AVERAGE(AM182:AM185)</f>
        <v>6.75</v>
      </c>
      <c r="AN186" s="4"/>
      <c r="AO186" s="4"/>
      <c r="AP186" s="4"/>
    </row>
    <row r="187" spans="1:42" ht="15.75" thickBot="1">
      <c r="A187" s="918"/>
      <c r="B187" s="888"/>
      <c r="C187" s="570">
        <v>0.3</v>
      </c>
      <c r="D187" s="500" t="str">
        <f>A177</f>
        <v>REGIÓN GENERAL PAZ RANCHOS</v>
      </c>
      <c r="E187" s="468"/>
      <c r="F187" s="469"/>
      <c r="G187" s="584"/>
      <c r="H187" s="585">
        <f>SUM(H182:H185)</f>
        <v>12705131.971848898</v>
      </c>
      <c r="I187" s="585"/>
      <c r="J187" s="586">
        <f>SUM(J182:J185)</f>
        <v>5930495.3464380903</v>
      </c>
      <c r="K187" s="14"/>
      <c r="L187" s="14"/>
      <c r="M187" s="15">
        <f>SUM(M182:M186)</f>
        <v>-59732080.948852547</v>
      </c>
      <c r="N187" s="615">
        <f>(VLOOKUP($E182,Tabla13[],Inputs_costos!$P$1,FALSE))*(O$3*$E$3+O$4*$E$4)</f>
        <v>1972949.0700800002</v>
      </c>
      <c r="O187" s="35">
        <f>SUM(O182:O185)</f>
        <v>1972949.0700800002</v>
      </c>
      <c r="P187" s="35">
        <f>(VLOOKUP($E182,Tabla13[],Inputs_costos!$Q$1,FALSE))*(P$3*$E$3+P$4*$E$4)</f>
        <v>1116452.4791360002</v>
      </c>
      <c r="Q187" s="615">
        <f>IF($AC181&gt;=15,(VLOOKUP($E182,Tabla13[],Inputs_costos!$N$1,FALSE))*($R$3*$E$3+$R$4*$E$4),(VLOOKUP($E182,Tabla13[],Inputs_costos!$N$1,FALSE))*($T$3*$E$3+$T$4*$E$4))</f>
        <v>15455770.458400002</v>
      </c>
      <c r="R187" s="35">
        <f>SUM(R182:R185)</f>
        <v>15455770.458400004</v>
      </c>
      <c r="S187" s="35"/>
      <c r="T187" s="35">
        <f>IF($AC181&gt;=15,(VLOOKUP($E182,Tabla13[],Inputs_costos!$O$1,FALSE))*($R$3*$E$3+$R$4*$E$4),(VLOOKUP($E182,Tabla13[],Inputs_costos!$O$1,FALSE))*($T$3*$E$3+$T$4*$E$4))</f>
        <v>1318484.7822720001</v>
      </c>
      <c r="U187" s="35"/>
      <c r="V187" s="31">
        <f>SUM(V182:V185)</f>
        <v>11481172.84416</v>
      </c>
      <c r="W187" s="31"/>
      <c r="X187" s="31">
        <f>SUM(X182:X185)</f>
        <v>1019365.249703208</v>
      </c>
      <c r="Y187" s="31">
        <f>SUM(Y182:Y185)</f>
        <v>153626.40845701331</v>
      </c>
      <c r="Z187" s="31">
        <f>SUM(Z182:Z185)</f>
        <v>1068027.0683833167</v>
      </c>
      <c r="AA187" s="657">
        <f>SUM(AA182:AA185)</f>
        <v>-34853826.287044212</v>
      </c>
      <c r="AB187" s="654">
        <f>+M187+AA187</f>
        <v>-94585907.235896766</v>
      </c>
      <c r="AC187" s="38"/>
      <c r="AD187" s="38"/>
      <c r="AE187" s="38"/>
      <c r="AF187" s="38"/>
      <c r="AG187" s="4"/>
      <c r="AH187" s="4"/>
      <c r="AI187" s="4"/>
      <c r="AJ187" s="11"/>
      <c r="AK187" s="499">
        <f>VLOOKUP(ROUNDUP(AK186,0),DATOS!$F$16:$G$31,2,FALSE)</f>
        <v>16</v>
      </c>
      <c r="AL187" s="497"/>
      <c r="AM187" s="499">
        <f>VLOOKUP(ROUNDUP(AM186,0),DATOS!$J$16:$K$34,2,FALSE)</f>
        <v>9</v>
      </c>
      <c r="AN187" s="4"/>
      <c r="AO187" s="4"/>
      <c r="AP187" s="4"/>
    </row>
    <row r="188" spans="1:42">
      <c r="F188" s="2"/>
      <c r="G188" s="2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0"/>
      <c r="V188" s="2"/>
      <c r="W188" s="2"/>
      <c r="X188" s="2"/>
      <c r="Y188" s="2"/>
      <c r="Z188" s="2"/>
      <c r="AA188" s="4"/>
      <c r="AB188" s="4"/>
      <c r="AC188" s="4"/>
      <c r="AD188" s="4"/>
      <c r="AE188" s="4"/>
      <c r="AF188" s="4"/>
      <c r="AG188" s="644"/>
      <c r="AH188" s="448"/>
      <c r="AI188" s="4"/>
      <c r="AJ188" s="892">
        <f>VLOOKUP(AK187,DATOS!$F$3:$H$11,3,FALSE)</f>
        <v>280794.00217132841</v>
      </c>
      <c r="AK188" s="892"/>
      <c r="AL188" s="892">
        <f>VLOOKUP(AM187,DATOS!$J$3:$L$12,3,FALSE)</f>
        <v>243846.48972000001</v>
      </c>
      <c r="AM188" s="892"/>
      <c r="AN188" s="4"/>
      <c r="AO188" s="4"/>
      <c r="AP188" s="4"/>
    </row>
    <row r="189" spans="1:42" ht="15.75" thickBot="1">
      <c r="A189" s="503"/>
      <c r="B189" s="503"/>
      <c r="C189" s="503"/>
      <c r="D189" s="503"/>
      <c r="E189" s="503"/>
      <c r="F189" s="504"/>
      <c r="G189" s="504"/>
      <c r="H189" s="505"/>
      <c r="I189" s="505"/>
      <c r="J189" s="505"/>
      <c r="K189" s="505"/>
      <c r="L189" s="505"/>
      <c r="M189" s="505"/>
      <c r="N189" s="505"/>
      <c r="O189" s="505"/>
      <c r="P189" s="505"/>
      <c r="Q189" s="505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6"/>
      <c r="AB189" s="506"/>
      <c r="AC189" s="506"/>
      <c r="AD189" s="506"/>
      <c r="AE189" s="506"/>
      <c r="AF189" s="506"/>
      <c r="AG189" s="506"/>
      <c r="AH189" s="506"/>
      <c r="AI189" s="506"/>
      <c r="AJ189" s="506"/>
      <c r="AK189" s="506"/>
      <c r="AL189" s="506"/>
      <c r="AM189" s="506"/>
      <c r="AN189" s="506"/>
      <c r="AO189" s="506"/>
      <c r="AP189" s="506"/>
    </row>
    <row r="190" spans="1:42" ht="39" thickBot="1">
      <c r="A190" s="886" t="s">
        <v>7</v>
      </c>
      <c r="B190" s="886" t="s">
        <v>2</v>
      </c>
      <c r="C190" s="479"/>
      <c r="D190" s="882" t="s">
        <v>22</v>
      </c>
      <c r="E190" s="882" t="s">
        <v>23</v>
      </c>
      <c r="F190" s="882" t="s">
        <v>3</v>
      </c>
      <c r="G190" s="568"/>
      <c r="H190" s="901" t="s">
        <v>0</v>
      </c>
      <c r="I190" s="901"/>
      <c r="J190" s="901"/>
      <c r="K190" s="901" t="s">
        <v>1</v>
      </c>
      <c r="L190" s="901"/>
      <c r="M190" s="886" t="s">
        <v>10</v>
      </c>
      <c r="N190" s="879" t="s">
        <v>5</v>
      </c>
      <c r="O190" s="880"/>
      <c r="P190" s="881"/>
      <c r="Q190" s="902" t="s">
        <v>4</v>
      </c>
      <c r="R190" s="903"/>
      <c r="S190" s="903"/>
      <c r="T190" s="904"/>
      <c r="U190" s="902" t="s">
        <v>6</v>
      </c>
      <c r="V190" s="903"/>
      <c r="W190" s="903"/>
      <c r="X190" s="904"/>
      <c r="Y190" s="390" t="s">
        <v>689</v>
      </c>
      <c r="Z190" s="662" t="s">
        <v>690</v>
      </c>
      <c r="AA190" s="905" t="s">
        <v>686</v>
      </c>
      <c r="AB190" s="886" t="s">
        <v>9</v>
      </c>
      <c r="AC190" s="907" t="s">
        <v>312</v>
      </c>
      <c r="AD190" s="914" t="s">
        <v>649</v>
      </c>
      <c r="AE190" s="897" t="s">
        <v>20</v>
      </c>
      <c r="AF190" s="897" t="s">
        <v>313</v>
      </c>
      <c r="AG190" s="899" t="s">
        <v>552</v>
      </c>
      <c r="AH190" s="895" t="s">
        <v>578</v>
      </c>
      <c r="AI190" s="897" t="s">
        <v>579</v>
      </c>
      <c r="AJ190" s="882" t="s">
        <v>581</v>
      </c>
      <c r="AK190" s="882" t="s">
        <v>582</v>
      </c>
      <c r="AL190" s="882" t="s">
        <v>581</v>
      </c>
      <c r="AM190" s="882" t="s">
        <v>582</v>
      </c>
      <c r="AN190" s="884" t="s">
        <v>553</v>
      </c>
      <c r="AO190" s="885"/>
      <c r="AP190" s="885"/>
    </row>
    <row r="191" spans="1:42" ht="30.75" thickBot="1">
      <c r="A191" s="888"/>
      <c r="B191" s="888"/>
      <c r="C191" s="480"/>
      <c r="D191" s="883"/>
      <c r="E191" s="883"/>
      <c r="F191" s="883"/>
      <c r="G191" s="569"/>
      <c r="H191" s="17" t="s">
        <v>18</v>
      </c>
      <c r="I191" s="17"/>
      <c r="J191" s="17" t="s">
        <v>17</v>
      </c>
      <c r="K191" s="17" t="s">
        <v>18</v>
      </c>
      <c r="L191" s="17" t="s">
        <v>17</v>
      </c>
      <c r="M191" s="888"/>
      <c r="N191" s="464" t="s">
        <v>685</v>
      </c>
      <c r="O191" s="17" t="s">
        <v>18</v>
      </c>
      <c r="P191" s="17" t="s">
        <v>17</v>
      </c>
      <c r="Q191" s="464" t="s">
        <v>685</v>
      </c>
      <c r="R191" s="17" t="s">
        <v>18</v>
      </c>
      <c r="S191" s="17"/>
      <c r="T191" s="17" t="s">
        <v>17</v>
      </c>
      <c r="U191" s="464" t="s">
        <v>576</v>
      </c>
      <c r="V191" s="17" t="s">
        <v>18</v>
      </c>
      <c r="W191" s="464" t="s">
        <v>577</v>
      </c>
      <c r="X191" s="17" t="s">
        <v>17</v>
      </c>
      <c r="Y191" s="17" t="s">
        <v>18</v>
      </c>
      <c r="Z191" s="17" t="s">
        <v>17</v>
      </c>
      <c r="AA191" s="906"/>
      <c r="AB191" s="888"/>
      <c r="AC191" s="908"/>
      <c r="AD191" s="915"/>
      <c r="AE191" s="898"/>
      <c r="AF191" s="898"/>
      <c r="AG191" s="900"/>
      <c r="AH191" s="896"/>
      <c r="AI191" s="898"/>
      <c r="AJ191" s="883"/>
      <c r="AK191" s="883"/>
      <c r="AL191" s="883"/>
      <c r="AM191" s="883"/>
      <c r="AN191" s="1" t="s">
        <v>551</v>
      </c>
      <c r="AO191" s="9" t="s">
        <v>554</v>
      </c>
      <c r="AP191" s="1" t="s">
        <v>555</v>
      </c>
    </row>
    <row r="192" spans="1:42">
      <c r="A192" s="916" t="s">
        <v>602</v>
      </c>
      <c r="B192" s="886" t="s">
        <v>309</v>
      </c>
      <c r="C192" s="481" t="str">
        <f>IF(AND(D192=AN192,D192=AO192,D192=AP192),"ok","ATENCIÓN NO ESTÁ TOMANDO BIEN LA LOCALIDAD")</f>
        <v>ok</v>
      </c>
      <c r="D192" s="23" t="s">
        <v>134</v>
      </c>
      <c r="E192" s="114">
        <f>VLOOKUP(D192,Pobl_adoptada!$C$5:$D$158,2,FALSE)</f>
        <v>45</v>
      </c>
      <c r="F192" s="8" t="s">
        <v>308</v>
      </c>
      <c r="G192" s="8"/>
      <c r="H192" s="33">
        <f>'[95]Inversion rec-TA'!$G$21</f>
        <v>2144346.6407098258</v>
      </c>
      <c r="I192" s="33"/>
      <c r="J192" s="33">
        <f>'[95]Costos Operativos Rec-TA'!$G$23</f>
        <v>797158.61560722918</v>
      </c>
      <c r="K192" s="32">
        <f>'[95]Inversion rec-TA'!$G$46</f>
        <v>0</v>
      </c>
      <c r="L192" s="32">
        <f>+'[95]Costos Operativos Rec-TA'!$G$46</f>
        <v>0</v>
      </c>
      <c r="M192" s="19">
        <f t="shared" ref="M192:M196" si="136">-H192/(1+0.12)+PV(12%,20,J192)-H192/(1+0.12)^10</f>
        <v>-8559348.7821264472</v>
      </c>
      <c r="N192" s="19"/>
      <c r="O192" s="25">
        <f>IF(((VLOOKUP($E192,Tabla13[],Inputs_costos!$I$1,FALSE))*(O$3*$E$3+O$4*$E$4)-AG192)&lt;0,0,VLOOKUP($E192,Tabla13[],Inputs_costos!$I$1,FALSE)*(O$3*$E$3+O$4*$E$4)-AG192)</f>
        <v>0</v>
      </c>
      <c r="P192" s="25">
        <f>(VLOOKUP($E192,Tabla13[],Inputs_costos!$J$1,FALSE))*(P$3*$E$3+P$4*$E$4)</f>
        <v>26127.3549570752</v>
      </c>
      <c r="Q192" s="25"/>
      <c r="R192" s="25">
        <f>IF($AC192&gt;=15,(VLOOKUP($E192,Tabla13[],Inputs_costos!$G$1,FALSE))*($R$3*$E$3+$R$4*$E$4),(VLOOKUP($E192,Tabla13[],Inputs_costos!$G$1,FALSE))*($T$3*$E$3+$T$4*$E$4))-AH192</f>
        <v>518272.99192</v>
      </c>
      <c r="S192" s="25">
        <f t="shared" ref="S192:S196" si="137">IF(AC192&lt;15,0,IF(AC192&lt;=350,815000,1345000))</f>
        <v>0</v>
      </c>
      <c r="T192" s="25">
        <f>IF($AC192&gt;=15,(VLOOKUP($E192,Tabla13[],Inputs_costos!$H$1,FALSE))*($R$3*$E$3+$R$4*$E$4),(VLOOKUP($E192,Tabla13[],Inputs_costos!$H$1,FALSE))*($T$3*$E$3+$T$4*$E$4))</f>
        <v>62158.194695999999</v>
      </c>
      <c r="U192" s="465">
        <f>SUMIFS(Tabla24[Costo de Cierre Técnico de BCA (US$)],Tabla24[Localidad],Resumen!$D192)</f>
        <v>763200</v>
      </c>
      <c r="V192" s="461">
        <f>+U192*(V$3*$E$3+V$4*$E$4)</f>
        <v>1465681.63968</v>
      </c>
      <c r="W192" s="465">
        <f>SUMIFS(Tabla24[Costo anual de Manteniemiento Post-cierre (US$)],Tabla24[Localidad],Resumen!$D192)</f>
        <v>67761.331453973748</v>
      </c>
      <c r="X192" s="461">
        <f>+W192*(X$3*$E$3+X$4*$E$4)</f>
        <v>130131.73400466483</v>
      </c>
      <c r="Y192" s="27">
        <f>VLOOKUP($D192,'Costo Social x localidad'!$B$2:$M$156,12,FALSE)*(Y$3*$E$3+Y$4*$E$4)</f>
        <v>6740.3661243200013</v>
      </c>
      <c r="Z192" s="28">
        <f>VLOOKUP(D192,'Estimación  PRESUPUESTO PCAS'!$B$4:$G$158,'Estimación  PRESUPUESTO PCAS'!$G$2,FALSE)</f>
        <v>173955.41272309824</v>
      </c>
      <c r="AA192" s="650">
        <f>(-O192-R192)/(1+0.12)+PV(12%,20,P192)+PV(12%,20,T192)-(O192*0.5)/(1+0.12)^10-S192/(1+0.12)^10</f>
        <v>-1122187.6787621342</v>
      </c>
      <c r="AB192" s="651">
        <f>M192+AA192</f>
        <v>-9681536.4608885814</v>
      </c>
      <c r="AC192" s="10">
        <f>VLOOKUP($E192,Resumen_Generación!$B$5:$F$158,Resumen_Generación!$D$3,FALSE)</f>
        <v>3.9881952159999989</v>
      </c>
      <c r="AD192" s="10">
        <f>VLOOKUP($E192,Resumen_Generación!$B$5:$G$158,Resumen_Generación!$G$3,FALSE)</f>
        <v>1.6149509799999997</v>
      </c>
      <c r="AE192" s="362">
        <f>VLOOKUP($E192,Resumen_Generación!$B$5:$F$158,Resumen_Generación!$E$3,FALSE)</f>
        <v>5739</v>
      </c>
      <c r="AF192" s="10">
        <f>VLOOKUP($E192,Resumen_Generación!$B$5:$F$158,Resumen_Generación!$F$3,FALSE)</f>
        <v>1.844738</v>
      </c>
      <c r="AG192" s="448">
        <f>VLOOKUP($D192,Valoración_Equip_actual!$D$4:$I$157,Valoración_Equip_actual!$E$2,FALSE)*$E$4</f>
        <v>398436.31075</v>
      </c>
      <c r="AH192" s="448">
        <f>VLOOKUP($D192,Valoración_Equip_actual!$D$4:$I$157,Valoración_Equip_actual!$F$2,FALSE)*$E$4</f>
        <v>0</v>
      </c>
      <c r="AI192" s="513">
        <f>[95]P_Datos!$D$43</f>
        <v>0.1519344262295082</v>
      </c>
      <c r="AJ192" s="514"/>
      <c r="AK192" s="514"/>
      <c r="AL192" s="514"/>
      <c r="AM192" s="514"/>
      <c r="AN192" s="449" t="str">
        <f>[95]Datos!$C$2</f>
        <v>Carlos Tejedor</v>
      </c>
      <c r="AO192" s="450" t="str">
        <f>VLOOKUP($E192,Tabla13[],Inputs_costos!$D$1,FALSE)</f>
        <v>CARLOS TEJEDOR</v>
      </c>
      <c r="AP192" s="451" t="str">
        <f>VLOOKUP($D192,'Costo Social x localidad'!$B$2:$M$156,1,FALSE)</f>
        <v>Carlos Tejedor</v>
      </c>
    </row>
    <row r="193" spans="1:42">
      <c r="A193" s="917"/>
      <c r="B193" s="887"/>
      <c r="C193" s="478" t="str">
        <f>IF(AND(D193=AN193,D193=AO193,D193=AP193),"ok","ATENCIÓN NO ESTÁ TOMANDO BIEN LA LOCALIDAD")</f>
        <v>ok</v>
      </c>
      <c r="D193" s="24" t="s">
        <v>151</v>
      </c>
      <c r="E193" s="115">
        <f>VLOOKUP(D193,Pobl_adoptada!$C$5:$D$158,2,FALSE)</f>
        <v>61</v>
      </c>
      <c r="F193" s="9" t="s">
        <v>308</v>
      </c>
      <c r="G193" s="9"/>
      <c r="H193" s="34">
        <f>'[96]Inversion rec-TA'!$G$21</f>
        <v>2208549.0142136766</v>
      </c>
      <c r="I193" s="34"/>
      <c r="J193" s="34">
        <f>'[96]Costos Operativos Rec-TA'!$G$23</f>
        <v>828669.0501491637</v>
      </c>
      <c r="K193" s="25">
        <f>'[96]Inversion rec-TA'!$G$46</f>
        <v>0</v>
      </c>
      <c r="L193" s="25">
        <f>+'[96]Costos Operativos Rec-TA'!$G$46</f>
        <v>0</v>
      </c>
      <c r="M193" s="19">
        <f t="shared" si="136"/>
        <v>-8872709.1902806275</v>
      </c>
      <c r="N193" s="19"/>
      <c r="O193" s="25">
        <f>IF(((VLOOKUP($E193,Tabla13[],Inputs_costos!$I$1,FALSE))*(O$3*$E$3+O$4*$E$4)-AG193)&lt;0,0,VLOOKUP($E193,Tabla13[],Inputs_costos!$I$1,FALSE)*(O$3*$E$3+O$4*$E$4)-AG193)</f>
        <v>359159.83353599999</v>
      </c>
      <c r="P193" s="25">
        <f>(VLOOKUP($E193,Tabla13[],Inputs_costos!$J$1,FALSE))*(P$3*$E$3+P$4*$E$4)</f>
        <v>26127.3549570752</v>
      </c>
      <c r="Q193" s="25"/>
      <c r="R193" s="25">
        <f>IF($AC193&gt;=15,(VLOOKUP($E193,Tabla13[],Inputs_costos!$G$1,FALSE))*($R$3*$E$3+$R$4*$E$4),(VLOOKUP($E193,Tabla13[],Inputs_costos!$G$1,FALSE))*($T$3*$E$3+$T$4*$E$4))-AH193</f>
        <v>652881.87199999997</v>
      </c>
      <c r="S193" s="25">
        <f t="shared" si="137"/>
        <v>0</v>
      </c>
      <c r="T193" s="25">
        <f>IF($AC193&gt;=15,(VLOOKUP($E193,Tabla13[],Inputs_costos!$H$1,FALSE))*($R$3*$E$3+$R$4*$E$4),(VLOOKUP($E193,Tabla13[],Inputs_costos!$H$1,FALSE))*($T$3*$E$3+$T$4*$E$4))</f>
        <v>91441.866895999992</v>
      </c>
      <c r="U193" s="465">
        <f>SUMIFS(Tabla24[Costo de Cierre Técnico de BCA (US$)],Tabla24[Localidad],Resumen!$D193)</f>
        <v>1462800</v>
      </c>
      <c r="V193" s="461">
        <f>+U193*(V$3*$E$3+V$4*$E$4)</f>
        <v>2809223.1427199999</v>
      </c>
      <c r="W193" s="465">
        <f>SUMIFS(Tabla24[Costo anual de Manteniemiento Post-cierre (US$)],Tabla24[Localidad],Resumen!$D193)</f>
        <v>129875.88528678303</v>
      </c>
      <c r="X193" s="461">
        <f>+W193*(X$3*$E$3+X$4*$E$4)</f>
        <v>249419.1568422743</v>
      </c>
      <c r="Y193" s="28">
        <f>VLOOKUP($D193,'Costo Social x localidad'!$B$2:$M$156,12,FALSE)*(Y$3*$E$3+Y$4*$E$4)</f>
        <v>10646.749293999999</v>
      </c>
      <c r="Z193" s="28">
        <f>VLOOKUP(D193,'Estimación  PRESUPUESTO PCAS'!$B$4:$G$158,'Estimación  PRESUPUESTO PCAS'!$G$2,FALSE)</f>
        <v>192970.53862469675</v>
      </c>
      <c r="AA193" s="650">
        <f>(-O193-R193)/(1+0.12)+PV(12%,20,P193)+PV(12%,20,T193)-(O193*0.5)/(1+0.12)^10-S193/(1+0.12)^10</f>
        <v>-1839605.2672732328</v>
      </c>
      <c r="AB193" s="651">
        <f>M193+AA193</f>
        <v>-10712314.45755386</v>
      </c>
      <c r="AC193" s="10">
        <f>VLOOKUP($E193,Resumen_Generación!$B$5:$F$158,Resumen_Generación!$D$3,FALSE)</f>
        <v>6.8786180960000012</v>
      </c>
      <c r="AD193" s="10">
        <f>VLOOKUP($E193,Resumen_Generación!$B$5:$G$158,Resumen_Generación!$G$3,FALSE)</f>
        <v>2.8188698799999998</v>
      </c>
      <c r="AE193" s="362">
        <f>VLOOKUP($E193,Resumen_Generación!$B$5:$F$158,Resumen_Generación!$E$3,FALSE)</f>
        <v>9928</v>
      </c>
      <c r="AF193" s="10">
        <f>VLOOKUP($E193,Resumen_Generación!$B$5:$F$158,Resumen_Generación!$F$3,FALSE)</f>
        <v>3.1797500000000003</v>
      </c>
      <c r="AG193" s="448">
        <f>VLOOKUP($D193,Valoración_Equip_actual!$D$4:$I$157,Valoración_Equip_actual!$E$2,FALSE)*$E$4</f>
        <v>0</v>
      </c>
      <c r="AH193" s="448">
        <f>VLOOKUP($D193,Valoración_Equip_actual!$D$4:$I$157,Valoración_Equip_actual!$F$2,FALSE)*$E$4</f>
        <v>0</v>
      </c>
      <c r="AI193" s="513">
        <f>[96]P_Datos!$D$43</f>
        <v>0.25659016393442624</v>
      </c>
      <c r="AJ193" s="514"/>
      <c r="AK193" s="514"/>
      <c r="AL193" s="514"/>
      <c r="AM193" s="514"/>
      <c r="AN193" s="34" t="str">
        <f>[96]Datos!$C$2</f>
        <v>Florentino Ameghino</v>
      </c>
      <c r="AO193" s="25" t="str">
        <f>VLOOKUP($E193,Tabla13[],Inputs_costos!$D$1,FALSE)</f>
        <v>FLORENTINO AMEGHINO</v>
      </c>
      <c r="AP193" s="28" t="str">
        <f>VLOOKUP($D193,'Costo Social x localidad'!$B$2:$M$156,1,FALSE)</f>
        <v>FLORENTINO AMEGHINO</v>
      </c>
    </row>
    <row r="194" spans="1:42">
      <c r="A194" s="917"/>
      <c r="B194" s="887"/>
      <c r="C194" s="478" t="str">
        <f>IF(AND(D194=AN194,D194=AO194,D194=AP194),"ok","ATENCIÓN NO ESTÁ TOMANDO BIEN LA LOCALIDAD")</f>
        <v>ok</v>
      </c>
      <c r="D194" s="24" t="s">
        <v>215</v>
      </c>
      <c r="E194" s="115">
        <f>VLOOKUP(D194,Pobl_adoptada!$C$5:$D$158,2,FALSE)</f>
        <v>112</v>
      </c>
      <c r="F194" s="9" t="s">
        <v>308</v>
      </c>
      <c r="G194" s="9"/>
      <c r="H194" s="34">
        <f>'[97]Inversion rec-TA'!$G$21</f>
        <v>2371932.0247098259</v>
      </c>
      <c r="I194" s="34"/>
      <c r="J194" s="34">
        <f>'[97]Costos Operativos Rec-TA'!$G$23</f>
        <v>1017087.2115367067</v>
      </c>
      <c r="K194" s="25">
        <f>'[97]Inversion rec-TA'!$G$46</f>
        <v>0</v>
      </c>
      <c r="L194" s="25">
        <f>+'[97]Costos Operativos Rec-TA'!$G$46</f>
        <v>0</v>
      </c>
      <c r="M194" s="19">
        <f t="shared" si="136"/>
        <v>-10478570.669200705</v>
      </c>
      <c r="N194" s="19"/>
      <c r="O194" s="25">
        <f>IF(((VLOOKUP($E194,Tabla13[],Inputs_costos!$I$1,FALSE))*(O$3*$E$3+O$4*$E$4)-AG194)&lt;0,0,VLOOKUP($E194,Tabla13[],Inputs_costos!$I$1,FALSE)*(O$3*$E$3+O$4*$E$4)-AG194)</f>
        <v>359159.83353599999</v>
      </c>
      <c r="P194" s="25">
        <f>(VLOOKUP($E194,Tabla13[],Inputs_costos!$J$1,FALSE))*(P$3*$E$3+P$4*$E$4)</f>
        <v>26127.3549570752</v>
      </c>
      <c r="Q194" s="25"/>
      <c r="R194" s="25">
        <f>IF($AC194&gt;=15,(VLOOKUP($E194,Tabla13[],Inputs_costos!$G$1,FALSE))*($R$3*$E$3+$R$4*$E$4),(VLOOKUP($E194,Tabla13[],Inputs_costos!$G$1,FALSE))*($T$3*$E$3+$T$4*$E$4))-AH194</f>
        <v>824359.37543999997</v>
      </c>
      <c r="S194" s="25">
        <f t="shared" si="137"/>
        <v>0</v>
      </c>
      <c r="T194" s="25">
        <f>IF($AC194&gt;=15,(VLOOKUP($E194,Tabla13[],Inputs_costos!$H$1,FALSE))*($R$3*$E$3+$R$4*$E$4),(VLOOKUP($E194,Tabla13[],Inputs_costos!$H$1,FALSE))*($T$3*$E$3+$T$4*$E$4))</f>
        <v>139409.48207999999</v>
      </c>
      <c r="U194" s="465">
        <f>SUMIFS(Tabla24[Costo de Cierre Técnico de BCA (US$)],Tabla24[Localidad],Resumen!$D194)</f>
        <v>767440</v>
      </c>
      <c r="V194" s="461">
        <f t="shared" ref="V194:V196" si="138">+U194*(V$3*$E$3+V$4*$E$4)</f>
        <v>1473824.3154559999</v>
      </c>
      <c r="W194" s="465">
        <f>SUMIFS(Tabla24[Costo anual de Manteniemiento Post-cierre (US$)],Tabla24[Localidad],Resumen!$D194)</f>
        <v>68137.783295384725</v>
      </c>
      <c r="X194" s="461">
        <f t="shared" ref="X194:X196" si="139">+W194*(X$3*$E$3+X$4*$E$4)</f>
        <v>130854.68808246855</v>
      </c>
      <c r="Y194" s="28">
        <f>VLOOKUP($D194,'Costo Social x localidad'!$B$2:$M$156,12,FALSE)*(Y$3*$E$3+Y$4*$E$4)</f>
        <v>30228.281061440004</v>
      </c>
      <c r="Z194" s="28">
        <f>VLOOKUP(D194,'Estimación  PRESUPUESTO PCAS'!$B$4:$G$158,'Estimación  PRESUPUESTO PCAS'!$G$2,FALSE)</f>
        <v>182965.15549141826</v>
      </c>
      <c r="AA194" s="650">
        <f>(-O194-R194)/(1+0.12)+PV(12%,20,P194)+PV(12%,20,T194)-(O194*0.5)/(1+0.12)^10-S194/(1+0.12)^10</f>
        <v>-2351001.5784692755</v>
      </c>
      <c r="AB194" s="651">
        <f>M194+AA194</f>
        <v>-12829572.24766998</v>
      </c>
      <c r="AC194" s="10">
        <f>VLOOKUP($E194,Resumen_Generación!$B$5:$F$158,Resumen_Generación!$D$3,FALSE)</f>
        <v>10.558557008000003</v>
      </c>
      <c r="AD194" s="10">
        <f>VLOOKUP($E194,Resumen_Generación!$B$5:$G$158,Resumen_Generación!$G$3,FALSE)</f>
        <v>4.3157862400000004</v>
      </c>
      <c r="AE194" s="362">
        <f>VLOOKUP($E194,Resumen_Generación!$B$5:$F$158,Resumen_Generación!$E$3,FALSE)</f>
        <v>15230</v>
      </c>
      <c r="AF194" s="10">
        <f>VLOOKUP($E194,Resumen_Generación!$B$5:$F$158,Resumen_Generación!$F$3,FALSE)</f>
        <v>4.8815200000000001</v>
      </c>
      <c r="AG194" s="448">
        <f>VLOOKUP($D194,Valoración_Equip_actual!$D$4:$I$157,Valoración_Equip_actual!$E$2,FALSE)*$E$4</f>
        <v>0</v>
      </c>
      <c r="AH194" s="448">
        <f>VLOOKUP($D194,Valoración_Equip_actual!$D$4:$I$157,Valoración_Equip_actual!$F$2,FALSE)*$E$4</f>
        <v>0</v>
      </c>
      <c r="AI194" s="448">
        <f>[97]P_Datos!$D$43</f>
        <v>0.34406557377049179</v>
      </c>
      <c r="AN194" s="34" t="str">
        <f>[97]Datos!$C$2</f>
        <v>América</v>
      </c>
      <c r="AO194" s="25" t="str">
        <f>VLOOKUP($E194,Tabla13[],Inputs_costos!$D$1,FALSE)</f>
        <v>AMÉRICA</v>
      </c>
      <c r="AP194" s="28" t="str">
        <f>VLOOKUP($D194,'Costo Social x localidad'!$B$2:$M$156,1,FALSE)</f>
        <v>AMÉRICA</v>
      </c>
    </row>
    <row r="195" spans="1:42">
      <c r="A195" s="917"/>
      <c r="B195" s="887"/>
      <c r="C195" s="478" t="str">
        <f>IF(AND(D195=AN195,D195=AO195,D195=AP195),"ok","ATENCIÓN NO ESTÁ TOMANDO BIEN LA LOCALIDAD")</f>
        <v>ok</v>
      </c>
      <c r="D195" s="515" t="s">
        <v>244</v>
      </c>
      <c r="E195" s="115">
        <f>VLOOKUP(D195,Pobl_adoptada!$C$5:$D$158,2,FALSE)</f>
        <v>138</v>
      </c>
      <c r="F195" s="9" t="s">
        <v>308</v>
      </c>
      <c r="G195" s="9"/>
      <c r="H195" s="34">
        <f>'[98]Inversion rec-TA'!$G$21</f>
        <v>1303762.5987776001</v>
      </c>
      <c r="I195" s="34"/>
      <c r="J195" s="34">
        <f>'[98]Costos Operativos Rec-TA'!$G$23</f>
        <v>720842.21338039811</v>
      </c>
      <c r="K195" s="25">
        <f>'[98]Inversion rec-TA'!$G$46</f>
        <v>0</v>
      </c>
      <c r="L195" s="25">
        <f>+'[98]Costos Operativos Rec-TA'!$G$46</f>
        <v>0</v>
      </c>
      <c r="M195" s="19">
        <f t="shared" si="136"/>
        <v>-6968140.6874633003</v>
      </c>
      <c r="N195" s="19"/>
      <c r="O195" s="25">
        <f>IF(((VLOOKUP($E195,Tabla13[],Inputs_costos!$I$1,FALSE))*(O$3*$E$3+O$4*$E$4)-AG195)&lt;0,0,VLOOKUP($E195,Tabla13[],Inputs_costos!$I$1,FALSE)*(O$3*$E$3+O$4*$E$4)-AG195)</f>
        <v>359159.83353599999</v>
      </c>
      <c r="P195" s="25">
        <f>(VLOOKUP($E195,Tabla13[],Inputs_costos!$J$1,FALSE))*(P$3*$E$3+P$4*$E$4)</f>
        <v>26127.3549570752</v>
      </c>
      <c r="Q195" s="25"/>
      <c r="R195" s="25">
        <f>IF($AC195&gt;=15,(VLOOKUP($E195,Tabla13[],Inputs_costos!$G$1,FALSE))*($R$3*$E$3+$R$4*$E$4),(VLOOKUP($E195,Tabla13[],Inputs_costos!$G$1,FALSE))*($T$3*$E$3+$T$4*$E$4))-AH195</f>
        <v>452408.73248000001</v>
      </c>
      <c r="S195" s="25">
        <f t="shared" si="137"/>
        <v>0</v>
      </c>
      <c r="T195" s="25">
        <f>IF($AC195&gt;=15,(VLOOKUP($E195,Tabla13[],Inputs_costos!$H$1,FALSE))*($R$3*$E$3+$R$4*$E$4),(VLOOKUP($E195,Tabla13[],Inputs_costos!$H$1,FALSE))*($T$3*$E$3+$T$4*$E$4))</f>
        <v>50483.130632</v>
      </c>
      <c r="U195" s="465">
        <f>SUMIFS(Tabla24[Costo de Cierre Técnico de BCA (US$)],Tabla24[Localidad],Resumen!$D195)</f>
        <v>0</v>
      </c>
      <c r="V195" s="461">
        <f t="shared" si="138"/>
        <v>0</v>
      </c>
      <c r="W195" s="465">
        <f>SUMIFS(Tabla24[Costo anual de Manteniemiento Post-cierre (US$)],Tabla24[Localidad],Resumen!$D195)</f>
        <v>0</v>
      </c>
      <c r="X195" s="461">
        <f t="shared" si="139"/>
        <v>0</v>
      </c>
      <c r="Y195" s="28">
        <f>VLOOKUP($D195,'Costo Social x localidad'!$B$2:$M$156,12,FALSE)*(Y$3*$E$3+Y$4*$E$4)</f>
        <v>3734.2507487999997</v>
      </c>
      <c r="Z195" s="28">
        <f>VLOOKUP(D195,'Estimación  PRESUPUESTO PCAS'!$B$4:$G$158,'Estimación  PRESUPUESTO PCAS'!$G$2,FALSE)</f>
        <v>153825.711647936</v>
      </c>
      <c r="AA195" s="650">
        <f>(-O195-R195)/(1+0.12)+PV(12%,20,P195)+PV(12%,20,T195)-(O195*0.5)/(1+0.12)^10-S195/(1+0.12)^10</f>
        <v>-1354672.4212541541</v>
      </c>
      <c r="AB195" s="651">
        <f>M195+AA195</f>
        <v>-8322813.1087174546</v>
      </c>
      <c r="AC195" s="10">
        <f>VLOOKUP($E195,Resumen_Generación!$B$5:$F$158,Resumen_Generación!$D$3,FALSE)</f>
        <v>2.5705285760000001</v>
      </c>
      <c r="AD195" s="10">
        <f>VLOOKUP($E195,Resumen_Generación!$B$5:$G$158,Resumen_Generación!$G$3,FALSE)</f>
        <v>1.0441392799999998</v>
      </c>
      <c r="AE195" s="362">
        <f>VLOOKUP($E195,Resumen_Generación!$B$5:$F$158,Resumen_Generación!$E$3,FALSE)</f>
        <v>3702</v>
      </c>
      <c r="AF195" s="10">
        <f>VLOOKUP($E195,Resumen_Generación!$B$5:$F$158,Resumen_Generación!$F$3,FALSE)</f>
        <v>1.1888240000000001</v>
      </c>
      <c r="AG195" s="448">
        <f>VLOOKUP($D195,Valoración_Equip_actual!$D$4:$I$157,Valoración_Equip_actual!$E$2,FALSE)*$E$4</f>
        <v>0</v>
      </c>
      <c r="AH195" s="448">
        <f>VLOOKUP($D195,Valoración_Equip_actual!$D$4:$I$157,Valoración_Equip_actual!$F$2,FALSE)*$E$4</f>
        <v>0</v>
      </c>
      <c r="AI195" s="448">
        <f>[98]P_Datos!$D$43</f>
        <v>9.5016393442622957E-2</v>
      </c>
      <c r="AN195" s="34" t="str">
        <f>[98]Datos!$C$2</f>
        <v>Tres Algarrobos</v>
      </c>
      <c r="AO195" s="25" t="str">
        <f>VLOOKUP($E195,Tabla13[],Inputs_costos!$D$1,FALSE)</f>
        <v>TRES ALGARROBOS</v>
      </c>
      <c r="AP195" s="28" t="str">
        <f>VLOOKUP($D195,'Costo Social x localidad'!$B$2:$M$156,1,FALSE)</f>
        <v>TRES ALGARROBOS</v>
      </c>
    </row>
    <row r="196" spans="1:42" ht="15.75" thickBot="1">
      <c r="A196" s="917"/>
      <c r="B196" s="887"/>
      <c r="C196" s="478" t="str">
        <f>IF(AND(D196=AN196,D196=AO196,D196=AP196),"ok","ATENCIÓN NO ESTÁ TOMANDO BIEN LA LOCALIDAD")</f>
        <v>ok</v>
      </c>
      <c r="D196" s="36" t="s">
        <v>171</v>
      </c>
      <c r="E196" s="482">
        <f>VLOOKUP(D196,Pobl_adoptada!$C$5:$D$158,2,FALSE)</f>
        <v>76</v>
      </c>
      <c r="F196" s="37" t="s">
        <v>308</v>
      </c>
      <c r="G196" s="37"/>
      <c r="H196" s="117">
        <f>'[99]Inversion rec-TA'!$G$21</f>
        <v>3374900.7016182351</v>
      </c>
      <c r="I196" s="117"/>
      <c r="J196" s="117">
        <f>'[99]Costos Operativos Rec-TA'!$G$23</f>
        <v>1591246.7336687413</v>
      </c>
      <c r="K196" s="25">
        <f>'[99]Inversion rec-TA'!$G$46</f>
        <v>0</v>
      </c>
      <c r="L196" s="25">
        <f>+'[99]Costos Operativos Rec-TA'!$G$46</f>
        <v>0</v>
      </c>
      <c r="M196" s="19">
        <f t="shared" si="136"/>
        <v>-15985659.66947975</v>
      </c>
      <c r="N196" s="19"/>
      <c r="O196" s="25">
        <f>IF(((VLOOKUP($E196,Tabla13[],Inputs_costos!$I$1,FALSE))*(O$3*$E$3+O$4*$E$4)-AG196)&lt;0,0,VLOOKUP($E196,Tabla13[],Inputs_costos!$I$1,FALSE)*(O$3*$E$3+O$4*$E$4)-AG196)</f>
        <v>1586410.6254800002</v>
      </c>
      <c r="P196" s="25">
        <f>(VLOOKUP($E196,Tabla13[],Inputs_costos!$J$1,FALSE))*(P$3*$E$3+P$4*$E$4)</f>
        <v>372144.64313600003</v>
      </c>
      <c r="Q196" s="25"/>
      <c r="R196" s="25">
        <f>IF($AC196&gt;=15,(VLOOKUP($E196,Tabla13[],Inputs_costos!$G$1,FALSE))*($R$3*$E$3+$R$4*$E$4),(VLOOKUP($E196,Tabla13[],Inputs_costos!$G$1,FALSE))*($T$3*$E$3+$T$4*$E$4))-AH196</f>
        <v>7831346.2424000008</v>
      </c>
      <c r="S196" s="25">
        <f t="shared" si="137"/>
        <v>815000</v>
      </c>
      <c r="T196" s="25">
        <f>IF($AC196&gt;=15,(VLOOKUP($E196,Tabla13[],Inputs_costos!$H$1,FALSE))*($R$3*$E$3+$R$4*$E$4),(VLOOKUP($E196,Tabla13[],Inputs_costos!$H$1,FALSE))*($T$3*$E$3+$T$4*$E$4))</f>
        <v>1682182.8665120001</v>
      </c>
      <c r="U196" s="465">
        <f>SUMIFS(Tabla24[Costo de Cierre Técnico de BCA (US$)],Tabla24[Localidad],Resumen!$D196)</f>
        <v>254400</v>
      </c>
      <c r="V196" s="461">
        <f t="shared" si="138"/>
        <v>488560.54655999999</v>
      </c>
      <c r="W196" s="465">
        <f>SUMIFS(Tabla24[Costo anual de Manteniemiento Post-cierre (US$)],Tabla24[Localidad],Resumen!$D196)</f>
        <v>22587.110484657918</v>
      </c>
      <c r="X196" s="461">
        <f t="shared" si="139"/>
        <v>43377.244668221618</v>
      </c>
      <c r="Y196" s="447">
        <f>VLOOKUP($D196,'Costo Social x localidad'!$B$2:$M$156,12,FALSE)*(Y$3*$E$3+Y$4*$E$4)</f>
        <v>51303.077901040007</v>
      </c>
      <c r="Z196" s="28">
        <f>VLOOKUP(D196,'Estimación  PRESUPUESTO PCAS'!$B$4:$G$158,'Estimación  PRESUPUESTO PCAS'!$G$2,FALSE)</f>
        <v>265484.58116058237</v>
      </c>
      <c r="AA196" s="650">
        <f>(-O196-R196)/(1+0.12)+PV(12%,20,P196)+PV(12%,20,T196)-(O196*0.5)/(1+0.12)^10-S196/(1+0.12)^10</f>
        <v>-24271194.078044865</v>
      </c>
      <c r="AB196" s="651">
        <f>M196+AA196</f>
        <v>-40256853.747524619</v>
      </c>
      <c r="AC196" s="10">
        <f>VLOOKUP($E196,Resumen_Generación!$B$5:$F$158,Resumen_Generación!$D$3,FALSE)</f>
        <v>20.319073432</v>
      </c>
      <c r="AD196" s="10">
        <f>VLOOKUP($E196,Resumen_Generación!$B$5:$G$158,Resumen_Generación!$G$3,FALSE)</f>
        <v>8.3512269600000018</v>
      </c>
      <c r="AE196" s="362">
        <f>VLOOKUP($E196,Resumen_Generación!$B$5:$F$158,Resumen_Generación!$E$3,FALSE)</f>
        <v>25472</v>
      </c>
      <c r="AF196" s="10">
        <f>VLOOKUP($E196,Resumen_Generación!$B$5:$F$158,Resumen_Generación!$F$3,FALSE)</f>
        <v>9.3632980000000003</v>
      </c>
      <c r="AG196" s="448">
        <f>VLOOKUP($D196,Valoración_Equip_actual!$D$4:$I$157,Valoración_Equip_actual!$E$2,FALSE)*$E$4</f>
        <v>98090.174199999994</v>
      </c>
      <c r="AH196" s="448">
        <f>VLOOKUP($D196,Valoración_Equip_actual!$D$4:$I$157,Valoración_Equip_actual!$F$2,FALSE)*$E$4</f>
        <v>0</v>
      </c>
      <c r="AI196" s="448">
        <f>[99]P_Datos!$D$43</f>
        <v>0.6224262295081967</v>
      </c>
      <c r="AN196" s="34" t="str">
        <f>[99]Datos!$C$2</f>
        <v>General Villegas</v>
      </c>
      <c r="AO196" s="25" t="str">
        <f>VLOOKUP($E196,Tabla13[],Inputs_costos!$D$1,FALSE)</f>
        <v>GENERAL VILLEGAS</v>
      </c>
      <c r="AP196" s="28" t="str">
        <f>VLOOKUP($D196,'Costo Social x localidad'!$B$2:$M$156,1,FALSE)</f>
        <v>GENERAL VILLEGAS</v>
      </c>
    </row>
    <row r="197" spans="1:42" ht="15.75" thickBot="1">
      <c r="A197" s="917"/>
      <c r="B197" s="888"/>
      <c r="C197" s="483"/>
      <c r="D197" s="12" t="s">
        <v>8</v>
      </c>
      <c r="E197" s="40"/>
      <c r="F197" s="13"/>
      <c r="G197" s="8"/>
      <c r="H197" s="32">
        <f>SUM(H192:H196)</f>
        <v>11403490.980029164</v>
      </c>
      <c r="I197" s="32"/>
      <c r="J197" s="32">
        <f>SUM(J192:J196)</f>
        <v>4955003.8243422396</v>
      </c>
      <c r="K197" s="14"/>
      <c r="L197" s="14"/>
      <c r="M197" s="15">
        <f t="shared" ref="M197:T197" si="140">SUM(M192:M196)</f>
        <v>-50864428.998550825</v>
      </c>
      <c r="N197" s="15"/>
      <c r="O197" s="16">
        <f t="shared" si="140"/>
        <v>2663890.1260879999</v>
      </c>
      <c r="P197" s="16">
        <f t="shared" si="140"/>
        <v>476654.06296430086</v>
      </c>
      <c r="Q197" s="16"/>
      <c r="R197" s="26">
        <f t="shared" si="140"/>
        <v>10279269.21424</v>
      </c>
      <c r="S197" s="26"/>
      <c r="T197" s="26">
        <f t="shared" si="140"/>
        <v>2025675.540816</v>
      </c>
      <c r="U197" s="26"/>
      <c r="V197" s="26">
        <f t="shared" ref="V197" si="141">SUM(V192:V196)</f>
        <v>6237289.6444159998</v>
      </c>
      <c r="W197" s="26"/>
      <c r="X197" s="26">
        <f t="shared" ref="X197:AA197" si="142">SUM(X192:X196)</f>
        <v>553782.82359762921</v>
      </c>
      <c r="Y197" s="26">
        <f t="shared" si="142"/>
        <v>102652.7251296</v>
      </c>
      <c r="Z197" s="26">
        <f t="shared" si="142"/>
        <v>969201.39964773168</v>
      </c>
      <c r="AA197" s="653">
        <f t="shared" si="142"/>
        <v>-30938661.023803663</v>
      </c>
      <c r="AB197" s="654">
        <f>+M197+AA197</f>
        <v>-81803090.022354484</v>
      </c>
      <c r="AC197" s="630">
        <f t="shared" ref="AC197:AI197" si="143">SUM(AC192:AC196)</f>
        <v>44.314972328000003</v>
      </c>
      <c r="AD197" s="630">
        <f t="shared" si="143"/>
        <v>18.14497334</v>
      </c>
      <c r="AE197" s="631">
        <f t="shared" si="143"/>
        <v>60071</v>
      </c>
      <c r="AF197" s="630">
        <f t="shared" si="143"/>
        <v>20.458130000000001</v>
      </c>
      <c r="AG197" s="630">
        <f t="shared" si="143"/>
        <v>496526.48495000001</v>
      </c>
      <c r="AH197" s="630">
        <f t="shared" si="143"/>
        <v>0</v>
      </c>
      <c r="AI197" s="630">
        <f t="shared" si="143"/>
        <v>1.4700327868852459</v>
      </c>
      <c r="AJ197" s="4"/>
      <c r="AK197" s="4"/>
      <c r="AL197" s="4"/>
      <c r="AM197" s="4"/>
      <c r="AN197" s="4"/>
      <c r="AO197" s="4"/>
      <c r="AP197" s="4"/>
    </row>
    <row r="198" spans="1:42">
      <c r="A198" s="917"/>
      <c r="B198" s="886" t="s">
        <v>310</v>
      </c>
      <c r="C198" s="481" t="str">
        <f>IF(AND(D198=AN198,D198=AO198,D198=AP198),"ok","ATENCIÓN NO ESTÁ TOMANDO BIEN LA LOCALIDAD")</f>
        <v>ok</v>
      </c>
      <c r="D198" s="23" t="s">
        <v>134</v>
      </c>
      <c r="E198" s="114">
        <f>VLOOKUP(D198,Pobl_adoptada!$C$5:$D$158,2,FALSE)</f>
        <v>45</v>
      </c>
      <c r="F198" s="8" t="s">
        <v>308</v>
      </c>
      <c r="G198" s="576">
        <f>+'[100]Inversion rec-TA'!$G$21</f>
        <v>1671830.6264783517</v>
      </c>
      <c r="H198" s="577">
        <f>+($AC192/$AC197)*H203+G198</f>
        <v>1857243.1290971749</v>
      </c>
      <c r="I198" s="587">
        <f>+'[100]Costos Operativos Rec-TA'!$G$23</f>
        <v>811530.43005918013</v>
      </c>
      <c r="J198" s="579">
        <f>+($AC192/$AC197)*J203+I198</f>
        <v>815238.68011155655</v>
      </c>
      <c r="K198" s="10">
        <f>+'[100]Inversion rec-TA'!$G$46</f>
        <v>0</v>
      </c>
      <c r="L198" s="10">
        <f>+'[100]Costos Operativos Rec-TA'!$G$46</f>
        <v>0</v>
      </c>
      <c r="M198" s="19">
        <f t="shared" ref="M198:M202" si="144">-H198/(1+0.12)+PV(12%,20,J198)-H198/(1+0.12)^10</f>
        <v>-8345614.7367125237</v>
      </c>
      <c r="N198" s="614">
        <f>+$AD192/$AD197*N204</f>
        <v>161828.59139086085</v>
      </c>
      <c r="O198" s="25">
        <f>IF(N198-AG198&lt;0,0,N198-AG198)</f>
        <v>0</v>
      </c>
      <c r="P198" s="32">
        <f>+$AD192/$AD197*P204</f>
        <v>72368.847939471481</v>
      </c>
      <c r="Q198" s="614">
        <f>+$AC192/$AC197*Q204</f>
        <v>1036136.4624317592</v>
      </c>
      <c r="R198" s="647">
        <f>IF(Q198-AH198&lt;0,0,Q198-AH198)</f>
        <v>1036136.4624317592</v>
      </c>
      <c r="S198" s="647">
        <f>+S192</f>
        <v>0</v>
      </c>
      <c r="T198" s="32">
        <f>+$AC192/$AC197*T204</f>
        <v>132050.3577687885</v>
      </c>
      <c r="U198" s="27"/>
      <c r="V198" s="461">
        <f>+V192</f>
        <v>1465681.63968</v>
      </c>
      <c r="W198" s="27"/>
      <c r="X198" s="461">
        <f t="shared" ref="X198:Z200" si="145">+X192</f>
        <v>130131.73400466483</v>
      </c>
      <c r="Y198" s="27">
        <f t="shared" si="145"/>
        <v>6740.3661243200013</v>
      </c>
      <c r="Z198" s="27">
        <f t="shared" si="145"/>
        <v>173955.41272309824</v>
      </c>
      <c r="AA198" s="650">
        <f>(-O198-R198)/(1+0.12)+PV(12%,20,P198)+PV(12%,20,T198)-(O198*0.5)/(1+0.12)^10-S198/(1+0.12)^10</f>
        <v>-2452019.5742246015</v>
      </c>
      <c r="AB198" s="651">
        <f>M198+AA198</f>
        <v>-10797634.310937125</v>
      </c>
      <c r="AG198" s="448">
        <f>VLOOKUP($D198,Valoración_Eq_REG!$D$4:$I$157,Valoración_Eq_REG!$E$2,FALSE)*$E$4</f>
        <v>336847.06075</v>
      </c>
      <c r="AH198" s="448">
        <f>VLOOKUP($D198,Valoración_Eq_REG!$D$4:$I$157,Valoración_Eq_REG!$F$2,FALSE)*$E$4</f>
        <v>0</v>
      </c>
      <c r="AJ198" s="512">
        <f>+'[100]Evaluacion Economica'!$L$25</f>
        <v>2</v>
      </c>
      <c r="AK198" s="513">
        <f>+'[100]Evaluacion Economica'!$R$25</f>
        <v>15</v>
      </c>
      <c r="AL198" s="512">
        <f>+'[100]P_Evaluacion Economica'!$L$27</f>
        <v>2</v>
      </c>
      <c r="AM198" s="513">
        <f>+'[100]P_Evaluacion Economica'!$Q$27</f>
        <v>6</v>
      </c>
      <c r="AN198" s="34" t="str">
        <f>+[100]Datos!$C$2</f>
        <v>Carlos Tejedor</v>
      </c>
      <c r="AO198" s="25" t="str">
        <f>VLOOKUP($E198,Tabla13[],Inputs_costos!$D$1,FALSE)</f>
        <v>CARLOS TEJEDOR</v>
      </c>
      <c r="AP198" s="28" t="str">
        <f>VLOOKUP($D198,'Costo Social x localidad'!$B$2:$M$156,1,FALSE)</f>
        <v>Carlos Tejedor</v>
      </c>
    </row>
    <row r="199" spans="1:42">
      <c r="A199" s="917"/>
      <c r="B199" s="887"/>
      <c r="C199" s="478" t="str">
        <f>IF(AND(D199=AN199,D199=AO199,D199=AP199),"ok","ATENCIÓN NO ESTÁ TOMANDO BIEN LA LOCALIDAD")</f>
        <v>ok</v>
      </c>
      <c r="D199" s="24" t="s">
        <v>151</v>
      </c>
      <c r="E199" s="115">
        <f>VLOOKUP(D199,Pobl_adoptada!$C$5:$D$158,2,FALSE)</f>
        <v>61</v>
      </c>
      <c r="F199" s="9" t="s">
        <v>308</v>
      </c>
      <c r="G199" s="580">
        <f>+'[101]Inversion rec-TA'!$G$21</f>
        <v>1686185.1908091174</v>
      </c>
      <c r="H199" s="34">
        <f>+($AC193/$AC197)*H203+G199</f>
        <v>2005974.4003798668</v>
      </c>
      <c r="I199" s="465">
        <f>+'[101]Costos Operativos Rec-TA'!$G$23</f>
        <v>831941.88907815213</v>
      </c>
      <c r="J199" s="581">
        <f>+($AC193/$AC197)*J203+I199</f>
        <v>838337.67326956708</v>
      </c>
      <c r="K199" s="10">
        <f>+'[101]Inversion rec-TA'!$G$46</f>
        <v>0</v>
      </c>
      <c r="L199" s="10">
        <f>+'[101]Costos Operativos Rec-TA'!$G$46</f>
        <v>0</v>
      </c>
      <c r="M199" s="19">
        <f t="shared" si="144"/>
        <v>-8698834.630613124</v>
      </c>
      <c r="N199" s="465">
        <f>+$AD193/$AD197*N204</f>
        <v>282469.09512666753</v>
      </c>
      <c r="O199" s="25">
        <f>IF(N199-AG199&lt;0,0,N199-AG199)</f>
        <v>282469.09512666753</v>
      </c>
      <c r="P199" s="25">
        <f>+$AD193/$AD197*P204</f>
        <v>126318.61166886702</v>
      </c>
      <c r="Q199" s="465">
        <f>+$AC193/$AC197*Q204</f>
        <v>1787070.7511546561</v>
      </c>
      <c r="R199" s="647">
        <f>IF(Q199-AH199&lt;0,0,Q199-AH199)</f>
        <v>1787070.7511546561</v>
      </c>
      <c r="S199" s="647">
        <f t="shared" ref="S199:S202" si="146">+S193</f>
        <v>0</v>
      </c>
      <c r="T199" s="25">
        <f>+$AC193/$AC197*T204</f>
        <v>227753.13928656574</v>
      </c>
      <c r="U199" s="28"/>
      <c r="V199" s="461">
        <f>+V193</f>
        <v>2809223.1427199999</v>
      </c>
      <c r="W199" s="28"/>
      <c r="X199" s="461">
        <f t="shared" si="145"/>
        <v>249419.1568422743</v>
      </c>
      <c r="Y199" s="28">
        <f t="shared" si="145"/>
        <v>10646.749293999999</v>
      </c>
      <c r="Z199" s="28">
        <f t="shared" si="145"/>
        <v>192970.53862469675</v>
      </c>
      <c r="AA199" s="650">
        <f>(-O199-R199)/(1+0.12)+PV(12%,20,P199)+PV(12%,20,T199)-(O199*0.5)/(1+0.12)^10-S199/(1+0.12)^10</f>
        <v>-4537996.1613057079</v>
      </c>
      <c r="AB199" s="651">
        <f>M199+AA199</f>
        <v>-13236830.791918833</v>
      </c>
      <c r="AC199" s="10"/>
      <c r="AD199" s="10"/>
      <c r="AE199" s="362"/>
      <c r="AF199" s="10"/>
      <c r="AG199" s="448">
        <f>VLOOKUP($D199,Valoración_Eq_REG!$D$4:$I$157,Valoración_Eq_REG!$E$2,FALSE)*$E$4</f>
        <v>0</v>
      </c>
      <c r="AH199" s="448">
        <f>VLOOKUP($D199,Valoración_Eq_REG!$D$4:$I$157,Valoración_Eq_REG!$F$2,FALSE)*$E$4</f>
        <v>0</v>
      </c>
      <c r="AI199" s="10"/>
      <c r="AJ199" s="512">
        <f>+'[101]Evaluacion Economica'!$L$25</f>
        <v>2</v>
      </c>
      <c r="AK199" s="513">
        <f>+'[101]Evaluacion Economica'!$R$25</f>
        <v>12</v>
      </c>
      <c r="AL199" s="512">
        <f>+'[101]P_Evaluacion Economica'!$L$27</f>
        <v>2</v>
      </c>
      <c r="AM199" s="513">
        <f>+'[101]P_Evaluacion Economica'!$Q$27</f>
        <v>6</v>
      </c>
      <c r="AN199" s="34" t="str">
        <f>+[101]Datos!$C$2</f>
        <v>Florentino Ameghino</v>
      </c>
      <c r="AO199" s="25" t="str">
        <f>VLOOKUP($E199,Tabla13[],Inputs_costos!$D$1,FALSE)</f>
        <v>FLORENTINO AMEGHINO</v>
      </c>
      <c r="AP199" s="28" t="str">
        <f>VLOOKUP($D199,'Costo Social x localidad'!$B$2:$M$156,1,FALSE)</f>
        <v>FLORENTINO AMEGHINO</v>
      </c>
    </row>
    <row r="200" spans="1:42">
      <c r="A200" s="917"/>
      <c r="B200" s="887"/>
      <c r="C200" s="478" t="str">
        <f>IF(AND(D200=AN200,D200=AO200,D200=AP200),"ok","ATENCIÓN NO ESTÁ TOMANDO BIEN LA LOCALIDAD")</f>
        <v>ok</v>
      </c>
      <c r="D200" s="24" t="s">
        <v>215</v>
      </c>
      <c r="E200" s="115">
        <f>VLOOKUP(D200,Pobl_adoptada!$C$5:$D$158,2,FALSE)</f>
        <v>112</v>
      </c>
      <c r="F200" s="9" t="s">
        <v>308</v>
      </c>
      <c r="G200" s="580">
        <f>+'[102]Inversion rec-TA'!$G$21</f>
        <v>1899416.0104783517</v>
      </c>
      <c r="H200" s="34">
        <f>+($AC194/$AC197)*H203+G200</f>
        <v>2390286.786071999</v>
      </c>
      <c r="I200" s="465">
        <f>+'[102]Costos Operativos Rec-TA'!$G$23</f>
        <v>985732.54759661853</v>
      </c>
      <c r="J200" s="581">
        <f>+($AC194/$AC197)*J203+I200</f>
        <v>995549.9631084915</v>
      </c>
      <c r="K200" s="10">
        <f>+'[102]Inversion rec-TA'!$G$46</f>
        <v>0</v>
      </c>
      <c r="L200" s="10">
        <f>+'[102]Costos Operativos Rec-TA'!$G$46</f>
        <v>0</v>
      </c>
      <c r="M200" s="19">
        <f t="shared" si="144"/>
        <v>-10339997.327953298</v>
      </c>
      <c r="N200" s="465">
        <f>+$AD194/$AD197*N204</f>
        <v>432469.8499289804</v>
      </c>
      <c r="O200" s="25">
        <f>IF(N200-AG200&lt;0,0,N200-AG200)</f>
        <v>432469.8499289804</v>
      </c>
      <c r="P200" s="25">
        <f>+$AD194/$AD197*P204</f>
        <v>193398.11672910556</v>
      </c>
      <c r="Q200" s="465">
        <f>+$AC194/$AC197*Q204</f>
        <v>2743121.9672405287</v>
      </c>
      <c r="R200" s="647">
        <f>IF(Q200-AH200&lt;0,0,Q200-AH200)</f>
        <v>2743121.9672405287</v>
      </c>
      <c r="S200" s="647">
        <f t="shared" si="146"/>
        <v>0</v>
      </c>
      <c r="T200" s="25">
        <f>+$AC194/$AC197*T204</f>
        <v>349597.03698429733</v>
      </c>
      <c r="U200" s="458"/>
      <c r="V200" s="461">
        <f t="shared" ref="V200" si="147">+V194</f>
        <v>1473824.3154559999</v>
      </c>
      <c r="W200" s="28"/>
      <c r="X200" s="461">
        <f t="shared" si="145"/>
        <v>130854.68808246855</v>
      </c>
      <c r="Y200" s="28">
        <f t="shared" si="145"/>
        <v>30228.281061440004</v>
      </c>
      <c r="Z200" s="28">
        <f t="shared" si="145"/>
        <v>182965.15549141826</v>
      </c>
      <c r="AA200" s="650">
        <f>(-O200-R200)/(1+0.12)+PV(12%,20,P200)+PV(12%,20,T200)-(O200*0.5)/(1+0.12)^10-S200/(1+0.12)^10</f>
        <v>-6960843.3843586147</v>
      </c>
      <c r="AB200" s="651">
        <f>M200+AA200</f>
        <v>-17300840.712311912</v>
      </c>
      <c r="AC200" s="39"/>
      <c r="AD200" s="10"/>
      <c r="AE200" s="10"/>
      <c r="AF200" s="10"/>
      <c r="AG200" s="448">
        <f>VLOOKUP($D200,Valoración_Eq_REG!$D$4:$I$157,Valoración_Eq_REG!$E$2,FALSE)*$E$4</f>
        <v>0</v>
      </c>
      <c r="AH200" s="448">
        <f>VLOOKUP($D200,Valoración_Eq_REG!$D$4:$I$157,Valoración_Eq_REG!$F$2,FALSE)*$E$4</f>
        <v>0</v>
      </c>
      <c r="AI200" s="11"/>
      <c r="AJ200" s="484">
        <f>+'[102]Evaluacion Economica'!$L$25</f>
        <v>2</v>
      </c>
      <c r="AK200" s="448">
        <f>+'[102]Evaluacion Economica'!$R$25</f>
        <v>15</v>
      </c>
      <c r="AL200" s="484">
        <f>+'[102]P_Evaluacion Economica'!$L$27</f>
        <v>2</v>
      </c>
      <c r="AM200" s="448">
        <f>+'[102]P_Evaluacion Economica'!$Q$27</f>
        <v>6</v>
      </c>
      <c r="AN200" s="34" t="str">
        <f>+[102]Datos!$C$2</f>
        <v>América</v>
      </c>
      <c r="AO200" s="25" t="str">
        <f>VLOOKUP($E200,Tabla13[],Inputs_costos!$D$1,FALSE)</f>
        <v>AMÉRICA</v>
      </c>
      <c r="AP200" s="28" t="str">
        <f>VLOOKUP($D200,'Costo Social x localidad'!$B$2:$M$156,1,FALSE)</f>
        <v>AMÉRICA</v>
      </c>
    </row>
    <row r="201" spans="1:42">
      <c r="A201" s="917"/>
      <c r="B201" s="887"/>
      <c r="C201" s="478" t="str">
        <f>IF(AND(D201=AN201,D201=AO201,D201=AP201),"ok","ATENCIÓN NO ESTÁ TOMANDO BIEN LA LOCALIDAD")</f>
        <v>ok</v>
      </c>
      <c r="D201" s="515" t="s">
        <v>244</v>
      </c>
      <c r="E201" s="115">
        <f>VLOOKUP(D201,Pobl_adoptada!$C$5:$D$158,2,FALSE)</f>
        <v>138</v>
      </c>
      <c r="F201" s="9" t="s">
        <v>308</v>
      </c>
      <c r="G201" s="580">
        <f>+'[103]Inversion rec-TA'!$G$21</f>
        <v>1060131.7885183999</v>
      </c>
      <c r="H201" s="34">
        <f>+($AC195/$AC197)*H203+G201</f>
        <v>1179636.50444035</v>
      </c>
      <c r="I201" s="465">
        <f>+'[103]Costos Operativos Rec-TA'!$G$23</f>
        <v>720238.30879729078</v>
      </c>
      <c r="J201" s="581">
        <f>+($AC195/$AC197)*J203+I201</f>
        <v>722628.4031157298</v>
      </c>
      <c r="K201" s="10">
        <f>+'[103]Inversion rec-TA'!$G$46</f>
        <v>0</v>
      </c>
      <c r="L201" s="10">
        <f>+'[103]Costos Operativos Rec-TA'!$G$46</f>
        <v>0</v>
      </c>
      <c r="M201" s="19">
        <f t="shared" si="144"/>
        <v>-6830690.380710613</v>
      </c>
      <c r="N201" s="465">
        <f>+$AD195/$AD197*N204</f>
        <v>104629.54664931541</v>
      </c>
      <c r="O201" s="25">
        <f>IF(N201-AG201&lt;0,0,N201-AG201)</f>
        <v>104629.54664931541</v>
      </c>
      <c r="P201" s="25">
        <f>+$AD195/$AD197*P204</f>
        <v>46789.752579331682</v>
      </c>
      <c r="Q201" s="465">
        <f>+$AC195/$AC197*Q204</f>
        <v>667825.48021500569</v>
      </c>
      <c r="R201" s="647">
        <f>IF(Q201-AH201&lt;0,0,Q201-AH201)</f>
        <v>667825.48021500569</v>
      </c>
      <c r="S201" s="647">
        <f t="shared" si="146"/>
        <v>0</v>
      </c>
      <c r="T201" s="25">
        <f>+$AC195/$AC197*T204</f>
        <v>85110.983723644909</v>
      </c>
      <c r="V201" s="461">
        <f t="shared" ref="V201" si="148">+V195</f>
        <v>0</v>
      </c>
      <c r="W201" s="25"/>
      <c r="X201" s="461">
        <f t="shared" ref="X201:Y201" si="149">+X195</f>
        <v>0</v>
      </c>
      <c r="Y201" s="28">
        <f t="shared" si="149"/>
        <v>3734.2507487999997</v>
      </c>
      <c r="Z201" s="28">
        <f>+Z195</f>
        <v>153825.711647936</v>
      </c>
      <c r="AA201" s="650">
        <f>(-O201-R201)/(1+0.12)+PV(12%,20,P201)+PV(12%,20,T201)-(O201*0.5)/(1+0.12)^10-S201/(1+0.12)^10</f>
        <v>-1691761.0589829481</v>
      </c>
      <c r="AB201" s="651">
        <f>M201+AA201</f>
        <v>-8522451.4396935608</v>
      </c>
      <c r="AC201" s="10"/>
      <c r="AD201" s="10"/>
      <c r="AE201" s="10"/>
      <c r="AF201" s="10"/>
      <c r="AG201" s="448">
        <f>VLOOKUP($D201,Valoración_Eq_REG!$D$4:$I$157,Valoración_Eq_REG!$E$2,FALSE)*$E$4</f>
        <v>0</v>
      </c>
      <c r="AH201" s="448">
        <f>VLOOKUP($D201,Valoración_Eq_REG!$D$4:$I$157,Valoración_Eq_REG!$F$2,FALSE)*$E$4</f>
        <v>0</v>
      </c>
      <c r="AI201" s="2"/>
      <c r="AJ201" s="484">
        <f>+'[103]Evaluacion Economica'!$L$25</f>
        <v>2</v>
      </c>
      <c r="AK201" s="448">
        <f>+'[103]Evaluacion Economica'!$R$25</f>
        <v>21</v>
      </c>
      <c r="AL201" s="484">
        <f>+'[103]P_Evaluacion Economica'!$L$27</f>
        <v>2</v>
      </c>
      <c r="AM201" s="448">
        <f>+'[103]P_Evaluacion Economica'!$Q$27</f>
        <v>6</v>
      </c>
      <c r="AN201" s="34" t="str">
        <f>+[103]Datos!$C$2</f>
        <v>Tres Algarrobos</v>
      </c>
      <c r="AO201" s="25" t="str">
        <f>VLOOKUP($E201,Tabla13[],Inputs_costos!$D$1,FALSE)</f>
        <v>TRES ALGARROBOS</v>
      </c>
      <c r="AP201" s="28" t="str">
        <f>VLOOKUP($D201,'Costo Social x localidad'!$B$2:$M$156,1,FALSE)</f>
        <v>TRES ALGARROBOS</v>
      </c>
    </row>
    <row r="202" spans="1:42" ht="15.75" thickBot="1">
      <c r="A202" s="917"/>
      <c r="B202" s="887"/>
      <c r="C202" s="478" t="str">
        <f>IF(AND(D202=AN202,D202=AO202,D202=AP202),"ok","ATENCIÓN NO ESTÁ TOMANDO BIEN LA LOCALIDAD")</f>
        <v>ok</v>
      </c>
      <c r="D202" s="36" t="s">
        <v>171</v>
      </c>
      <c r="E202" s="115">
        <f>VLOOKUP(D202,Pobl_adoptada!$C$5:$D$158,2,FALSE)</f>
        <v>76</v>
      </c>
      <c r="F202" s="9" t="s">
        <v>308</v>
      </c>
      <c r="G202" s="580">
        <f>+'[104]Inversion rec-TA'!$G$21</f>
        <v>2882445.5637175273</v>
      </c>
      <c r="H202" s="34">
        <f>+($AC196/$AC197)*H203+G202</f>
        <v>3827085.9466176708</v>
      </c>
      <c r="I202" s="465">
        <f>+'[104]Costos Operativos Rec-TA'!$G$23</f>
        <v>1585161.7203937971</v>
      </c>
      <c r="J202" s="581">
        <f>+($AC196/$AC197)*J203+I202</f>
        <v>1604054.5280518001</v>
      </c>
      <c r="K202" s="10">
        <f>+'[104]Inversion rec-TA'!$G$46</f>
        <v>0</v>
      </c>
      <c r="L202" s="10">
        <f>+'[104]Costos Operativos Rec-TA'!$G$46</f>
        <v>0</v>
      </c>
      <c r="M202" s="19">
        <f t="shared" si="144"/>
        <v>-16630655.140339367</v>
      </c>
      <c r="N202" s="465">
        <f>+$AD196/$AD197*N204</f>
        <v>836847.25546417595</v>
      </c>
      <c r="O202" s="25">
        <f>IF(N202-AG202&lt;0,0,N202-AG202)</f>
        <v>738757.08126417594</v>
      </c>
      <c r="P202" s="25">
        <f>+$AD196/$AD197*P204</f>
        <v>374233.44823522435</v>
      </c>
      <c r="Q202" s="465">
        <f>+$AC196/$AC197*Q204</f>
        <v>5278912.3213580502</v>
      </c>
      <c r="R202" s="647">
        <f>IF(Q202-AH202&lt;0,0,Q202-AH202)</f>
        <v>5278912.3213580502</v>
      </c>
      <c r="S202" s="647">
        <f t="shared" si="146"/>
        <v>815000</v>
      </c>
      <c r="T202" s="25">
        <f>+$AC196/$AC197*T204</f>
        <v>672770.70727670356</v>
      </c>
      <c r="U202" s="29"/>
      <c r="V202" s="461">
        <f t="shared" ref="V202" si="150">+V196</f>
        <v>488560.54655999999</v>
      </c>
      <c r="W202" s="25"/>
      <c r="X202" s="461">
        <f t="shared" ref="X202:Y202" si="151">+X196</f>
        <v>43377.244668221618</v>
      </c>
      <c r="Y202" s="28">
        <f t="shared" si="151"/>
        <v>51303.077901040007</v>
      </c>
      <c r="Z202" s="28">
        <f>+Z196</f>
        <v>265484.58116058237</v>
      </c>
      <c r="AA202" s="650">
        <f>(-O202-R202)/(1+0.12)+PV(12%,20,P202)+PV(12%,20,T202)-(O202*0.5)/(1+0.12)^10-S202/(1+0.12)^10</f>
        <v>-13574795.815593081</v>
      </c>
      <c r="AB202" s="651">
        <f>M202+AA202</f>
        <v>-30205450.955932446</v>
      </c>
      <c r="AC202" s="10"/>
      <c r="AD202" s="10"/>
      <c r="AE202" s="10"/>
      <c r="AF202" s="10"/>
      <c r="AG202" s="448">
        <f>VLOOKUP($D202,Valoración_Eq_REG!$D$4:$I$157,Valoración_Eq_REG!$E$2,FALSE)*$E$4</f>
        <v>98090.174199999994</v>
      </c>
      <c r="AH202" s="448">
        <f>VLOOKUP($D202,Valoración_Eq_REG!$D$4:$I$157,Valoración_Eq_REG!$F$2,FALSE)*$E$4</f>
        <v>0</v>
      </c>
      <c r="AI202" s="2"/>
      <c r="AJ202" s="484">
        <f>+'[104]Evaluacion Economica'!$L$25</f>
        <v>3</v>
      </c>
      <c r="AK202" s="448">
        <f>+'[104]Evaluacion Economica'!$R$25</f>
        <v>15</v>
      </c>
      <c r="AL202" s="484">
        <f>+'[104]P_Evaluacion Economica'!$L$27</f>
        <v>3</v>
      </c>
      <c r="AM202" s="448">
        <f>+'[104]P_Evaluacion Economica'!$Q$27</f>
        <v>6</v>
      </c>
      <c r="AN202" s="34" t="str">
        <f>+[104]Datos!$C$2</f>
        <v>General Villegas</v>
      </c>
      <c r="AO202" s="25" t="str">
        <f>VLOOKUP($E202,Tabla13[],Inputs_costos!$D$1,FALSE)</f>
        <v>GENERAL VILLEGAS</v>
      </c>
      <c r="AP202" s="28" t="str">
        <f>VLOOKUP($D202,'Costo Social x localidad'!$B$2:$M$156,1,FALSE)</f>
        <v>GENERAL VILLEGAS</v>
      </c>
    </row>
    <row r="203" spans="1:42" ht="30.75" thickBot="1">
      <c r="A203" s="917"/>
      <c r="B203" s="887"/>
      <c r="C203" s="912" t="s">
        <v>12</v>
      </c>
      <c r="D203" s="913"/>
      <c r="E203" s="498" t="s">
        <v>589</v>
      </c>
      <c r="F203" s="571">
        <f>+F186</f>
        <v>0.02</v>
      </c>
      <c r="G203" s="582"/>
      <c r="H203" s="461">
        <f>+AJ203*AJ205+AL203*AL205</f>
        <v>2060217.5866053137</v>
      </c>
      <c r="I203" s="461"/>
      <c r="J203" s="583">
        <f>+$F203*H203</f>
        <v>41204.351732106275</v>
      </c>
      <c r="K203" s="10"/>
      <c r="L203" s="10"/>
      <c r="M203" s="19"/>
      <c r="N203" s="465"/>
      <c r="O203" s="10"/>
      <c r="P203" s="10"/>
      <c r="Q203" s="618"/>
      <c r="R203" s="28"/>
      <c r="S203" s="28"/>
      <c r="T203" s="28"/>
      <c r="U203" s="28"/>
      <c r="V203" s="28"/>
      <c r="W203" s="28"/>
      <c r="X203" s="28"/>
      <c r="Y203" s="28"/>
      <c r="Z203" s="28"/>
      <c r="AA203" s="650"/>
      <c r="AB203" s="20"/>
      <c r="AC203" s="10"/>
      <c r="AD203" s="10"/>
      <c r="AE203" s="10"/>
      <c r="AF203" s="10"/>
      <c r="AG203" s="4"/>
      <c r="AH203" s="4"/>
      <c r="AI203" s="4"/>
      <c r="AJ203" s="501">
        <f>ROUNDUP(C204*SUM(AJ198:AJ202),0)</f>
        <v>4</v>
      </c>
      <c r="AK203" s="502">
        <f>AVERAGE(AK198:AK202)</f>
        <v>15.6</v>
      </c>
      <c r="AL203" s="501">
        <f>ROUNDUP(C204*SUM(AL198:AL202),0)</f>
        <v>4</v>
      </c>
      <c r="AM203" s="502">
        <f>AVERAGE(AM198:AM202)</f>
        <v>6</v>
      </c>
      <c r="AN203" s="4"/>
      <c r="AO203" s="4"/>
      <c r="AP203" s="4"/>
    </row>
    <row r="204" spans="1:42" ht="15.75" thickBot="1">
      <c r="A204" s="918"/>
      <c r="B204" s="888"/>
      <c r="C204" s="570">
        <v>0.3</v>
      </c>
      <c r="D204" s="500" t="str">
        <f>A192</f>
        <v>REGIÓN GENERAL VILLEGAS</v>
      </c>
      <c r="E204" s="468"/>
      <c r="F204" s="469"/>
      <c r="G204" s="584"/>
      <c r="H204" s="585">
        <f>SUM(H198:H202)</f>
        <v>11260226.766607061</v>
      </c>
      <c r="I204" s="585"/>
      <c r="J204" s="586">
        <f>SUM(J198:J202)</f>
        <v>4975809.2476571444</v>
      </c>
      <c r="K204" s="14"/>
      <c r="L204" s="14"/>
      <c r="M204" s="15">
        <f>SUM(M198:M203)</f>
        <v>-50845792.216328926</v>
      </c>
      <c r="N204" s="615">
        <f>(VLOOKUP($E198,Tabla13[],Inputs_costos!$P$1,FALSE))*(O$3*$E$3+O$4*$E$4)</f>
        <v>1818244.3385600001</v>
      </c>
      <c r="O204" s="35">
        <f>SUM(O198:O202)</f>
        <v>1558325.5729691393</v>
      </c>
      <c r="P204" s="35">
        <f>(VLOOKUP($E198,Tabla13[],Inputs_costos!$Q$1,FALSE))*(P$3*$E$3+P$4*$E$4)</f>
        <v>813108.777152</v>
      </c>
      <c r="Q204" s="615">
        <f>IF($AC197&gt;=15,(VLOOKUP($E198,Tabla13[],Inputs_costos!$N$1,FALSE))*($R$3*$E$3+$R$4*$E$4),(VLOOKUP($E198,Tabla13[],Inputs_costos!$N$1,FALSE))*($T$3*$E$3+$T$4*$E$4))</f>
        <v>11513066.9824</v>
      </c>
      <c r="R204" s="35">
        <f>SUM(R198:R202)</f>
        <v>11513066.9824</v>
      </c>
      <c r="S204" s="35"/>
      <c r="T204" s="35">
        <f>IF($AC197&gt;=15,(VLOOKUP($E198,Tabla13[],Inputs_costos!$O$1,FALSE))*($R$3*$E$3+$R$4*$E$4),(VLOOKUP($E198,Tabla13[],Inputs_costos!$O$1,FALSE))*($T$3*$E$3+$T$4*$E$4))</f>
        <v>1467282.2250400002</v>
      </c>
      <c r="U204" s="35"/>
      <c r="V204" s="31">
        <f>SUM(V198:V202)</f>
        <v>6237289.6444159998</v>
      </c>
      <c r="W204" s="31"/>
      <c r="X204" s="31">
        <f>SUM(X198:X202)</f>
        <v>553782.82359762921</v>
      </c>
      <c r="Y204" s="31">
        <f>SUM(Y198:Y202)</f>
        <v>102652.7251296</v>
      </c>
      <c r="Z204" s="31">
        <f>SUM(Z198:Z202)</f>
        <v>969201.39964773168</v>
      </c>
      <c r="AA204" s="657">
        <f>SUM(AA198:AA202)</f>
        <v>-29217415.994464952</v>
      </c>
      <c r="AB204" s="654">
        <f>+M204+AA204</f>
        <v>-80063208.210793883</v>
      </c>
      <c r="AC204" s="38"/>
      <c r="AD204" s="38"/>
      <c r="AE204" s="38"/>
      <c r="AF204" s="38"/>
      <c r="AG204" s="4"/>
      <c r="AH204" s="4"/>
      <c r="AI204" s="4"/>
      <c r="AJ204" s="11"/>
      <c r="AK204" s="499">
        <f>VLOOKUP(ROUNDUP(AK203,0),DATOS!$F$16:$G$31,2,FALSE)</f>
        <v>16</v>
      </c>
      <c r="AL204" s="497"/>
      <c r="AM204" s="499">
        <f>VLOOKUP(ROUNDUP(AM203,0),DATOS!$J$16:$K$34,2,FALSE)</f>
        <v>6</v>
      </c>
      <c r="AN204" s="4"/>
      <c r="AO204" s="4"/>
      <c r="AP204" s="4"/>
    </row>
    <row r="205" spans="1:42">
      <c r="F205" s="2"/>
      <c r="G205" s="2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0"/>
      <c r="V205" s="2"/>
      <c r="W205" s="2"/>
      <c r="X205" s="2"/>
      <c r="Y205" s="2"/>
      <c r="Z205" s="2"/>
      <c r="AA205" s="4"/>
      <c r="AB205" s="4"/>
      <c r="AC205" s="4"/>
      <c r="AD205" s="4"/>
      <c r="AE205" s="4"/>
      <c r="AF205" s="4"/>
      <c r="AG205" s="448"/>
      <c r="AH205" s="448"/>
      <c r="AI205" s="4"/>
      <c r="AJ205" s="892">
        <f>VLOOKUP(AK204,DATOS!$F$3:$H$11,3,FALSE)</f>
        <v>280794.00217132841</v>
      </c>
      <c r="AK205" s="892"/>
      <c r="AL205" s="892">
        <f>VLOOKUP(AM204,DATOS!$J$3:$L$12,3,FALSE)</f>
        <v>234260.39447999999</v>
      </c>
      <c r="AM205" s="892"/>
      <c r="AN205" s="4"/>
      <c r="AO205" s="4"/>
      <c r="AP205" s="4"/>
    </row>
    <row r="206" spans="1:42" ht="15.75" thickBot="1">
      <c r="A206" s="503"/>
      <c r="B206" s="503"/>
      <c r="C206" s="503"/>
      <c r="D206" s="503"/>
      <c r="E206" s="503"/>
      <c r="F206" s="504"/>
      <c r="G206" s="504"/>
      <c r="H206" s="505"/>
      <c r="I206" s="505"/>
      <c r="J206" s="505"/>
      <c r="K206" s="505"/>
      <c r="L206" s="505"/>
      <c r="M206" s="505"/>
      <c r="N206" s="505"/>
      <c r="O206" s="505"/>
      <c r="P206" s="505"/>
      <c r="Q206" s="505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6"/>
      <c r="AB206" s="506"/>
      <c r="AC206" s="506"/>
      <c r="AD206" s="506"/>
      <c r="AE206" s="506"/>
      <c r="AF206" s="506"/>
      <c r="AG206" s="506"/>
      <c r="AH206" s="506"/>
      <c r="AI206" s="506"/>
      <c r="AJ206" s="506"/>
      <c r="AK206" s="506"/>
      <c r="AL206" s="506"/>
      <c r="AM206" s="506"/>
      <c r="AN206" s="506"/>
      <c r="AO206" s="506"/>
      <c r="AP206" s="506"/>
    </row>
    <row r="207" spans="1:42" ht="39" thickBot="1">
      <c r="A207" s="886" t="s">
        <v>7</v>
      </c>
      <c r="B207" s="886" t="s">
        <v>2</v>
      </c>
      <c r="C207" s="508"/>
      <c r="D207" s="882" t="s">
        <v>22</v>
      </c>
      <c r="E207" s="882" t="s">
        <v>23</v>
      </c>
      <c r="F207" s="882" t="s">
        <v>3</v>
      </c>
      <c r="G207" s="568"/>
      <c r="H207" s="901" t="s">
        <v>0</v>
      </c>
      <c r="I207" s="901"/>
      <c r="J207" s="901"/>
      <c r="K207" s="901" t="s">
        <v>1</v>
      </c>
      <c r="L207" s="901"/>
      <c r="M207" s="886" t="s">
        <v>10</v>
      </c>
      <c r="N207" s="879" t="s">
        <v>5</v>
      </c>
      <c r="O207" s="880"/>
      <c r="P207" s="881"/>
      <c r="Q207" s="902" t="s">
        <v>4</v>
      </c>
      <c r="R207" s="903"/>
      <c r="S207" s="903"/>
      <c r="T207" s="904"/>
      <c r="U207" s="902" t="s">
        <v>6</v>
      </c>
      <c r="V207" s="903"/>
      <c r="W207" s="903"/>
      <c r="X207" s="904"/>
      <c r="Y207" s="390" t="s">
        <v>689</v>
      </c>
      <c r="Z207" s="662" t="s">
        <v>690</v>
      </c>
      <c r="AA207" s="905" t="s">
        <v>686</v>
      </c>
      <c r="AB207" s="886" t="s">
        <v>9</v>
      </c>
      <c r="AC207" s="907" t="s">
        <v>312</v>
      </c>
      <c r="AD207" s="914" t="s">
        <v>649</v>
      </c>
      <c r="AE207" s="897" t="s">
        <v>20</v>
      </c>
      <c r="AF207" s="897" t="s">
        <v>313</v>
      </c>
      <c r="AG207" s="899" t="s">
        <v>552</v>
      </c>
      <c r="AH207" s="895" t="s">
        <v>578</v>
      </c>
      <c r="AI207" s="897" t="s">
        <v>579</v>
      </c>
      <c r="AJ207" s="882" t="s">
        <v>581</v>
      </c>
      <c r="AK207" s="882" t="s">
        <v>582</v>
      </c>
      <c r="AL207" s="882" t="s">
        <v>581</v>
      </c>
      <c r="AM207" s="882" t="s">
        <v>582</v>
      </c>
      <c r="AN207" s="884" t="s">
        <v>553</v>
      </c>
      <c r="AO207" s="885"/>
      <c r="AP207" s="885"/>
    </row>
    <row r="208" spans="1:42" ht="30.75" thickBot="1">
      <c r="A208" s="888"/>
      <c r="B208" s="888"/>
      <c r="C208" s="509"/>
      <c r="D208" s="883"/>
      <c r="E208" s="883"/>
      <c r="F208" s="883"/>
      <c r="G208" s="569"/>
      <c r="H208" s="17" t="s">
        <v>18</v>
      </c>
      <c r="I208" s="17"/>
      <c r="J208" s="17" t="s">
        <v>17</v>
      </c>
      <c r="K208" s="17" t="s">
        <v>18</v>
      </c>
      <c r="L208" s="17" t="s">
        <v>17</v>
      </c>
      <c r="M208" s="888"/>
      <c r="N208" s="464" t="s">
        <v>685</v>
      </c>
      <c r="O208" s="17" t="s">
        <v>18</v>
      </c>
      <c r="P208" s="17" t="s">
        <v>17</v>
      </c>
      <c r="Q208" s="464" t="s">
        <v>685</v>
      </c>
      <c r="R208" s="17" t="s">
        <v>18</v>
      </c>
      <c r="S208" s="17"/>
      <c r="T208" s="17" t="s">
        <v>17</v>
      </c>
      <c r="U208" s="464" t="s">
        <v>576</v>
      </c>
      <c r="V208" s="17" t="s">
        <v>18</v>
      </c>
      <c r="W208" s="464" t="s">
        <v>577</v>
      </c>
      <c r="X208" s="17" t="s">
        <v>17</v>
      </c>
      <c r="Y208" s="17" t="s">
        <v>18</v>
      </c>
      <c r="Z208" s="17" t="s">
        <v>17</v>
      </c>
      <c r="AA208" s="906"/>
      <c r="AB208" s="888"/>
      <c r="AC208" s="908"/>
      <c r="AD208" s="915"/>
      <c r="AE208" s="898"/>
      <c r="AF208" s="898"/>
      <c r="AG208" s="900"/>
      <c r="AH208" s="896"/>
      <c r="AI208" s="898"/>
      <c r="AJ208" s="883"/>
      <c r="AK208" s="883"/>
      <c r="AL208" s="883"/>
      <c r="AM208" s="883"/>
      <c r="AN208" s="1" t="s">
        <v>551</v>
      </c>
      <c r="AO208" s="9" t="s">
        <v>554</v>
      </c>
      <c r="AP208" s="1" t="s">
        <v>555</v>
      </c>
    </row>
    <row r="209" spans="1:42">
      <c r="A209" s="916" t="s">
        <v>603</v>
      </c>
      <c r="B209" s="886" t="s">
        <v>309</v>
      </c>
      <c r="C209" s="507" t="str">
        <f>IF(AND(D209=AN209,D209=AO209,D209=AP209),"ok","ATENCIÓN NO ESTÁ TOMANDO BIEN LA LOCALIDAD")</f>
        <v>ok</v>
      </c>
      <c r="D209" s="516" t="s">
        <v>249</v>
      </c>
      <c r="E209" s="114">
        <f>VLOOKUP(D209,Pobl_adoptada!$C$5:$D$158,2,FALSE)</f>
        <v>143</v>
      </c>
      <c r="F209" s="8" t="s">
        <v>308</v>
      </c>
      <c r="G209" s="8"/>
      <c r="H209" s="33">
        <f>'[105]Inversion rec-TA'!$G$21</f>
        <v>1338056.2867775999</v>
      </c>
      <c r="I209" s="33"/>
      <c r="J209" s="33">
        <f>'[105]Costos Operativos Rec-TA'!$G$23</f>
        <v>753927.08164879878</v>
      </c>
      <c r="K209" s="32">
        <f>'[105]Inversion rec-TA'!$G$46</f>
        <v>0</v>
      </c>
      <c r="L209" s="32">
        <f>+'[105]Costos Operativos Rec-TA'!$G$46</f>
        <v>0</v>
      </c>
      <c r="M209" s="19">
        <f t="shared" ref="M209:M211" si="152">-H209/(1+0.12)+PV(12%,20,J209)-H209/(1+0.12)^10</f>
        <v>-7256927.2598181302</v>
      </c>
      <c r="N209" s="19"/>
      <c r="O209" s="25">
        <f>IF(((VLOOKUP($E209,Tabla13[],Inputs_costos!$I$1,FALSE))*(O$3*$E$3+O$4*$E$4)-AG209)&lt;0,0,VLOOKUP($E209,Tabla13[],Inputs_costos!$I$1,FALSE)*(O$3*$E$3+O$4*$E$4)-AG209)</f>
        <v>359159.83353599999</v>
      </c>
      <c r="P209" s="25">
        <f>(VLOOKUP($E209,Tabla13[],Inputs_costos!$J$1,FALSE))*(P$3*$E$3+P$4*$E$4)</f>
        <v>26127.3549570752</v>
      </c>
      <c r="Q209" s="25"/>
      <c r="R209" s="25">
        <f>IF($AC209&gt;=15,(VLOOKUP($E209,Tabla13[],Inputs_costos!$G$1,FALSE))*($R$3*$E$3+$R$4*$E$4),(VLOOKUP($E209,Tabla13[],Inputs_costos!$G$1,FALSE))*($T$3*$E$3+$T$4*$E$4))-AH209</f>
        <v>478908.05551999999</v>
      </c>
      <c r="S209" s="25">
        <f t="shared" ref="S209:S211" si="153">IF(AC209&lt;15,0,IF(AC209&lt;=350,815000,1345000))</f>
        <v>0</v>
      </c>
      <c r="T209" s="25">
        <f>IF($AC209&gt;=15,(VLOOKUP($E209,Tabla13[],Inputs_costos!$H$1,FALSE))*($R$3*$E$3+$R$4*$E$4),(VLOOKUP($E209,Tabla13[],Inputs_costos!$H$1,FALSE))*($T$3*$E$3+$T$4*$E$4))</f>
        <v>54976.494103999998</v>
      </c>
      <c r="U209" s="465">
        <f>SUMIFS(Tabla24[Costo de Cierre Técnico de BCA (US$)],Tabla24[Localidad],Resumen!$D209)</f>
        <v>0</v>
      </c>
      <c r="V209" s="461">
        <f>+U209*(V$3*$E$3+V$4*$E$4)</f>
        <v>0</v>
      </c>
      <c r="W209" s="465">
        <f>SUMIFS(Tabla24[Costo anual de Manteniemiento Post-cierre (US$)],Tabla24[Localidad],Resumen!$D209)</f>
        <v>0</v>
      </c>
      <c r="X209" s="461">
        <f>+W209*(X$3*$E$3+X$4*$E$4)</f>
        <v>0</v>
      </c>
      <c r="Y209" s="27">
        <f>VLOOKUP($D209,'Costo Social x localidad'!$B$2:$M$156,12,FALSE)*(Y$3*$E$3+Y$4*$E$4)</f>
        <v>3784.7371225599995</v>
      </c>
      <c r="Z209" s="28">
        <f>VLOOKUP(D209,'Estimación  PRESUPUESTO PCAS'!$B$4:$G$158,'Estimación  PRESUPUESTO PCAS'!$G$2,FALSE)</f>
        <v>154433.64175833599</v>
      </c>
      <c r="AA209" s="650">
        <f>(-O209-R209)/(1+0.12)+PV(12%,20,P209)+PV(12%,20,T209)-(O209*0.5)/(1+0.12)^10-S209/(1+0.12)^10</f>
        <v>-1411895.4562490135</v>
      </c>
      <c r="AB209" s="651">
        <f>M209+AA209</f>
        <v>-8668822.7160671428</v>
      </c>
      <c r="AC209" s="10">
        <f>VLOOKUP($E209,Resumen_Generación!$B$5:$F$158,Resumen_Generación!$D$3,FALSE)</f>
        <v>3.142841808</v>
      </c>
      <c r="AD209" s="10">
        <f>VLOOKUP($E209,Resumen_Generación!$B$5:$G$158,Resumen_Generación!$G$3,FALSE)</f>
        <v>1.2711727400000001</v>
      </c>
      <c r="AE209" s="362">
        <f>VLOOKUP($E209,Resumen_Generación!$B$5:$F$158,Resumen_Generación!$E$3,FALSE)</f>
        <v>4522</v>
      </c>
      <c r="AF209" s="10">
        <f>VLOOKUP($E209,Resumen_Generación!$B$5:$F$158,Resumen_Generación!$F$3,FALSE)</f>
        <v>1.45383</v>
      </c>
      <c r="AG209" s="448">
        <f>VLOOKUP($D209,Valoración_Equip_actual!$D$4:$I$157,Valoración_Equip_actual!$E$2,FALSE)*$E$4</f>
        <v>0</v>
      </c>
      <c r="AH209" s="448">
        <f>VLOOKUP($D209,Valoración_Equip_actual!$D$4:$I$157,Valoración_Equip_actual!$F$2,FALSE)*$E$4</f>
        <v>0</v>
      </c>
      <c r="AI209" s="448">
        <f>[105]P_Datos!$D$43</f>
        <v>0.12354098360655738</v>
      </c>
      <c r="AN209" s="449" t="str">
        <f>[105]Datos!$C$2</f>
        <v>Ascensión</v>
      </c>
      <c r="AO209" s="450" t="str">
        <f>VLOOKUP($E209,Tabla13[],Inputs_costos!$D$1,FALSE)</f>
        <v>ASCENSIÓN</v>
      </c>
      <c r="AP209" s="451" t="str">
        <f>VLOOKUP($D209,'Costo Social x localidad'!$B$2:$M$156,1,FALSE)</f>
        <v>ASCENSIÓN</v>
      </c>
    </row>
    <row r="210" spans="1:42" ht="15" customHeight="1">
      <c r="A210" s="917"/>
      <c r="B210" s="887"/>
      <c r="C210" s="478" t="str">
        <f>IF(AND(D210=AN210,D210=AO210,D210=AP210),"ok","ATENCIÓN NO ESTÁ TOMANDO BIEN LA LOCALIDAD")</f>
        <v>ok</v>
      </c>
      <c r="D210" s="515" t="s">
        <v>248</v>
      </c>
      <c r="E210" s="115">
        <f>VLOOKUP(D210,Pobl_adoptada!$C$5:$D$158,2,FALSE)</f>
        <v>142</v>
      </c>
      <c r="F210" s="9" t="s">
        <v>308</v>
      </c>
      <c r="G210" s="9"/>
      <c r="H210" s="34">
        <f>'[106]Inversion rec-TA'!$G$21</f>
        <v>1313115.4227775999</v>
      </c>
      <c r="I210" s="34"/>
      <c r="J210" s="34">
        <f>'[106]Costos Operativos Rec-TA'!$G$23</f>
        <v>729223.97875654791</v>
      </c>
      <c r="K210" s="25">
        <f>'[106]Inversion rec-TA'!$G$46</f>
        <v>0</v>
      </c>
      <c r="L210" s="25">
        <f>+'[106]Costos Operativos Rec-TA'!$G$46</f>
        <v>0</v>
      </c>
      <c r="M210" s="19">
        <f t="shared" si="152"/>
        <v>-7042109.9061416201</v>
      </c>
      <c r="N210" s="19"/>
      <c r="O210" s="25">
        <f>IF(((VLOOKUP($E210,Tabla13[],Inputs_costos!$I$1,FALSE))*(O$3*$E$3+O$4*$E$4)-AG210)&lt;0,0,VLOOKUP($E210,Tabla13[],Inputs_costos!$I$1,FALSE)*(O$3*$E$3+O$4*$E$4)-AG210)</f>
        <v>359159.83353599999</v>
      </c>
      <c r="P210" s="25">
        <f>(VLOOKUP($E210,Tabla13[],Inputs_costos!$J$1,FALSE))*(P$3*$E$3+P$4*$E$4)</f>
        <v>26127.3549570752</v>
      </c>
      <c r="Q210" s="25"/>
      <c r="R210" s="25">
        <f>IF($AC210&gt;=15,(VLOOKUP($E210,Tabla13[],Inputs_costos!$G$1,FALSE))*($R$3*$E$3+$R$4*$E$4),(VLOOKUP($E210,Tabla13[],Inputs_costos!$G$1,FALSE))*($T$3*$E$3+$T$4*$E$4))-AH210</f>
        <v>431670.13183999999</v>
      </c>
      <c r="S210" s="25">
        <f t="shared" si="153"/>
        <v>0</v>
      </c>
      <c r="T210" s="25">
        <f>IF($AC210&gt;=15,(VLOOKUP($E210,Tabla13[],Inputs_costos!$H$1,FALSE))*($R$3*$E$3+$R$4*$E$4),(VLOOKUP($E210,Tabla13[],Inputs_costos!$H$1,FALSE))*($T$3*$E$3+$T$4*$E$4))</f>
        <v>47180.316456</v>
      </c>
      <c r="U210" s="465">
        <f>SUMIFS(Tabla24[Costo de Cierre Técnico de BCA (US$)],Tabla24[Localidad],Resumen!$D210)</f>
        <v>0</v>
      </c>
      <c r="V210" s="461">
        <f t="shared" ref="V210:V211" si="154">+U210*(V$3*$E$3+V$4*$E$4)</f>
        <v>0</v>
      </c>
      <c r="W210" s="465">
        <f>SUMIFS(Tabla24[Costo anual de Manteniemiento Post-cierre (US$)],Tabla24[Localidad],Resumen!$D210)</f>
        <v>0</v>
      </c>
      <c r="X210" s="461">
        <f t="shared" ref="X210:X211" si="155">+W210*(X$3*$E$3+X$4*$E$4)</f>
        <v>0</v>
      </c>
      <c r="Y210" s="28">
        <f>VLOOKUP($D210,'Costo Social x localidad'!$B$2:$M$156,12,FALSE)*(Y$3*$E$3+Y$4*$E$4)</f>
        <v>17463.497819999997</v>
      </c>
      <c r="Z210" s="28">
        <f>VLOOKUP(D210,'Estimación  PRESUPUESTO PCAS'!$B$4:$G$158,'Estimación  PRESUPUESTO PCAS'!$G$2,FALSE)</f>
        <v>153711.85388153599</v>
      </c>
      <c r="AA210" s="650">
        <f>(-O210-R210)/(1+0.12)+PV(12%,20,P210)+PV(12%,20,T210)-(O210*0.5)/(1+0.12)^10-S210/(1+0.12)^10</f>
        <v>-1311485.6292506061</v>
      </c>
      <c r="AB210" s="651">
        <f>M210+AA210</f>
        <v>-8353595.5353922267</v>
      </c>
      <c r="AC210" s="10">
        <f>VLOOKUP($E210,Resumen_Generación!$B$5:$F$158,Resumen_Generación!$D$3,FALSE)</f>
        <v>2.1253129760000005</v>
      </c>
      <c r="AD210" s="10">
        <f>VLOOKUP($E210,Resumen_Generación!$B$5:$G$158,Resumen_Generación!$G$3,FALSE)</f>
        <v>0.85862128000000004</v>
      </c>
      <c r="AE210" s="362">
        <f>VLOOKUP($E210,Resumen_Generación!$B$5:$F$158,Resumen_Generación!$E$3,FALSE)</f>
        <v>3057</v>
      </c>
      <c r="AF210" s="10">
        <f>VLOOKUP($E210,Resumen_Generación!$B$5:$F$158,Resumen_Generación!$F$3,FALSE)</f>
        <v>0.98306600000000011</v>
      </c>
      <c r="AG210" s="448">
        <f>VLOOKUP($D210,Valoración_Equip_actual!$D$4:$I$157,Valoración_Equip_actual!$E$2,FALSE)*$E$4</f>
        <v>0</v>
      </c>
      <c r="AH210" s="448">
        <f>VLOOKUP($D210,Valoración_Equip_actual!$D$4:$I$157,Valoración_Equip_actual!$F$2,FALSE)*$E$4</f>
        <v>0</v>
      </c>
      <c r="AI210" s="448">
        <f>[106]P_Datos!$D$43</f>
        <v>8.7672131147540994E-2</v>
      </c>
      <c r="AN210" s="34" t="str">
        <f>[106]Datos!$C$2</f>
        <v>Arribeños</v>
      </c>
      <c r="AO210" s="25" t="str">
        <f>VLOOKUP($E210,Tabla13[],Inputs_costos!$D$1,FALSE)</f>
        <v>ARRIBEÑOS</v>
      </c>
      <c r="AP210" s="28" t="str">
        <f>VLOOKUP($D210,'Costo Social x localidad'!$B$2:$M$156,1,FALSE)</f>
        <v>ARRIBEÑOS</v>
      </c>
    </row>
    <row r="211" spans="1:42" ht="15.75" thickBot="1">
      <c r="A211" s="917"/>
      <c r="B211" s="887"/>
      <c r="C211" s="478" t="str">
        <f>IF(AND(D211=AN211,D211=AO211,D211=AP211),"ok","ATENCIÓN NO ESTÁ TOMANDO BIEN LA LOCALIDAD")</f>
        <v>ok</v>
      </c>
      <c r="D211" s="36" t="s">
        <v>156</v>
      </c>
      <c r="E211" s="511">
        <f>VLOOKUP(D211,Pobl_adoptada!$C$5:$D$158,2,FALSE)</f>
        <v>64</v>
      </c>
      <c r="F211" s="37" t="s">
        <v>308</v>
      </c>
      <c r="G211" s="37"/>
      <c r="H211" s="117">
        <f>'[107]Inversion rec-TA'!$G$21</f>
        <v>2131876.2087098258</v>
      </c>
      <c r="I211" s="117"/>
      <c r="J211" s="117">
        <f>'[107]Costos Operativos Rec-TA'!$G$23</f>
        <v>767825.00920547498</v>
      </c>
      <c r="K211" s="25">
        <f>'[107]Inversion rec-TA'!$G$46</f>
        <v>0</v>
      </c>
      <c r="L211" s="25">
        <f>+'[107]Costos Operativos Rec-TA'!$G$46</f>
        <v>0</v>
      </c>
      <c r="M211" s="19">
        <f t="shared" si="152"/>
        <v>-8325093.6031718915</v>
      </c>
      <c r="N211" s="19"/>
      <c r="O211" s="25">
        <f>IF(((VLOOKUP($E211,Tabla13[],Inputs_costos!$I$1,FALSE))*(O$3*$E$3+O$4*$E$4)-AG211)&lt;0,0,VLOOKUP($E211,Tabla13[],Inputs_costos!$I$1,FALSE)*(O$3*$E$3+O$4*$E$4)-AG211)</f>
        <v>359159.83353599999</v>
      </c>
      <c r="P211" s="25">
        <f>(VLOOKUP($E211,Tabla13[],Inputs_costos!$J$1,FALSE))*(P$3*$E$3+P$4*$E$4)</f>
        <v>26127.3549570752</v>
      </c>
      <c r="Q211" s="25"/>
      <c r="R211" s="25">
        <f>IF($AC211&gt;=15,(VLOOKUP($E211,Tabla13[],Inputs_costos!$G$1,FALSE))*($R$3*$E$3+$R$4*$E$4),(VLOOKUP($E211,Tabla13[],Inputs_costos!$G$1,FALSE))*($T$3*$E$3+$T$4*$E$4))-AH211</f>
        <v>506367.49896</v>
      </c>
      <c r="S211" s="25">
        <f t="shared" si="153"/>
        <v>0</v>
      </c>
      <c r="T211" s="25">
        <f>IF($AC211&gt;=15,(VLOOKUP($E211,Tabla13[],Inputs_costos!$H$1,FALSE))*($R$3*$E$3+$R$4*$E$4),(VLOOKUP($E211,Tabla13[],Inputs_costos!$H$1,FALSE))*($T$3*$E$3+$T$4*$E$4))</f>
        <v>59911.51296</v>
      </c>
      <c r="U211" s="465">
        <f>SUMIFS(Tabla24[Costo de Cierre Técnico de BCA (US$)],Tabla24[Localidad],Resumen!$D211)</f>
        <v>848000</v>
      </c>
      <c r="V211" s="461">
        <f t="shared" si="154"/>
        <v>1628535.1551999999</v>
      </c>
      <c r="W211" s="465">
        <f>SUMIFS(Tabla24[Costo anual de Manteniemiento Post-cierre (US$)],Tabla24[Localidad],Resumen!$D211)</f>
        <v>75290.368282193056</v>
      </c>
      <c r="X211" s="461">
        <f t="shared" si="155"/>
        <v>144590.8155607387</v>
      </c>
      <c r="Y211" s="447">
        <f>VLOOKUP($D211,'Costo Social x localidad'!$B$2:$M$156,12,FALSE)*(Y$3*$E$3+Y$4*$E$4)</f>
        <v>17463.497819999997</v>
      </c>
      <c r="Z211" s="28">
        <f>VLOOKUP(D211,'Estimación  PRESUPUESTO PCAS'!$B$4:$G$158,'Estimación  PRESUPUESTO PCAS'!$G$2,FALSE)</f>
        <v>178931.78696405826</v>
      </c>
      <c r="AA211" s="650">
        <f>(-O211-R211)/(1+0.12)+PV(12%,20,P211)+PV(12%,20,T211)-(O211*0.5)/(1+0.12)^10-S211/(1+0.12)^10</f>
        <v>-1473274.661593185</v>
      </c>
      <c r="AB211" s="651">
        <f>M211+AA211</f>
        <v>-9798368.2647650763</v>
      </c>
      <c r="AC211" s="10">
        <f>VLOOKUP($E211,Resumen_Generación!$B$5:$F$158,Resumen_Generación!$D$3,FALSE)</f>
        <v>3.7318199200000008</v>
      </c>
      <c r="AD211" s="10">
        <f>VLOOKUP($E211,Resumen_Generación!$B$5:$G$158,Resumen_Generación!$G$3,FALSE)</f>
        <v>1.5215350999999999</v>
      </c>
      <c r="AE211" s="362">
        <f>VLOOKUP($E211,Resumen_Generación!$B$5:$F$158,Resumen_Generación!$E$3,FALSE)</f>
        <v>5379</v>
      </c>
      <c r="AF211" s="10">
        <f>VLOOKUP($E211,Resumen_Generación!$B$5:$F$158,Resumen_Generación!$F$3,FALSE)</f>
        <v>1.7255980000000002</v>
      </c>
      <c r="AG211" s="448">
        <f>VLOOKUP($D211,Valoración_Equip_actual!$D$4:$I$157,Valoración_Equip_actual!$E$2,FALSE)*$E$4</f>
        <v>0</v>
      </c>
      <c r="AH211" s="448">
        <f>VLOOKUP($D211,Valoración_Equip_actual!$D$4:$I$157,Valoración_Equip_actual!$F$2,FALSE)*$E$4</f>
        <v>0</v>
      </c>
      <c r="AI211" s="448">
        <f>[107]P_Datos!$D$43</f>
        <v>0.15304918032786885</v>
      </c>
      <c r="AN211" s="34" t="str">
        <f>[107]Datos!$C$2</f>
        <v>General Arenales</v>
      </c>
      <c r="AO211" s="25" t="str">
        <f>VLOOKUP($E211,Tabla13[],Inputs_costos!$D$1,FALSE)</f>
        <v>GENERAL ARENALES</v>
      </c>
      <c r="AP211" s="28" t="str">
        <f>VLOOKUP($D211,'Costo Social x localidad'!$B$2:$M$156,1,FALSE)</f>
        <v>GENERAL ARENALES</v>
      </c>
    </row>
    <row r="212" spans="1:42" ht="15.75" thickBot="1">
      <c r="A212" s="917"/>
      <c r="B212" s="888"/>
      <c r="C212" s="510"/>
      <c r="D212" s="12" t="s">
        <v>8</v>
      </c>
      <c r="E212" s="40"/>
      <c r="F212" s="13"/>
      <c r="G212" s="8"/>
      <c r="H212" s="32">
        <f>SUM(H209:H211)</f>
        <v>4783047.9182650261</v>
      </c>
      <c r="I212" s="32"/>
      <c r="J212" s="32">
        <f>SUM(J209:J211)</f>
        <v>2250976.0696108215</v>
      </c>
      <c r="K212" s="14"/>
      <c r="L212" s="14"/>
      <c r="M212" s="15">
        <f>SUM(M209:M211)</f>
        <v>-22624130.769131642</v>
      </c>
      <c r="N212" s="15"/>
      <c r="O212" s="16">
        <f>SUM(O209:O211)</f>
        <v>1077479.500608</v>
      </c>
      <c r="P212" s="16">
        <f>SUM(P209:P211)</f>
        <v>78382.064871225593</v>
      </c>
      <c r="Q212" s="16"/>
      <c r="R212" s="26">
        <f>SUM(R209:R211)</f>
        <v>1416945.6863199999</v>
      </c>
      <c r="S212" s="26"/>
      <c r="T212" s="26">
        <f>SUM(T209:T211)</f>
        <v>162068.32352000001</v>
      </c>
      <c r="U212" s="26"/>
      <c r="V212" s="26">
        <f>SUM(V209:V211)</f>
        <v>1628535.1551999999</v>
      </c>
      <c r="W212" s="26"/>
      <c r="X212" s="26">
        <f>SUM(X209:X211)</f>
        <v>144590.8155607387</v>
      </c>
      <c r="Y212" s="26">
        <f>SUM(Y209:Y211)</f>
        <v>38711.732762559994</v>
      </c>
      <c r="Z212" s="26">
        <f>SUM(Z209:Z211)</f>
        <v>487077.28260393022</v>
      </c>
      <c r="AA212" s="653">
        <f>SUM(AA209:AA211)</f>
        <v>-4196655.7470928049</v>
      </c>
      <c r="AB212" s="654">
        <f>+M212+AA212</f>
        <v>-26820786.516224448</v>
      </c>
      <c r="AC212" s="630">
        <f t="shared" ref="AC212:AI212" si="156">SUM(AC209:AC211)</f>
        <v>8.9999747040000013</v>
      </c>
      <c r="AD212" s="630">
        <f t="shared" si="156"/>
        <v>3.6513291200000002</v>
      </c>
      <c r="AE212" s="631">
        <f t="shared" si="156"/>
        <v>12958</v>
      </c>
      <c r="AF212" s="630">
        <f t="shared" si="156"/>
        <v>4.1624940000000006</v>
      </c>
      <c r="AG212" s="630">
        <f t="shared" si="156"/>
        <v>0</v>
      </c>
      <c r="AH212" s="630">
        <f t="shared" si="156"/>
        <v>0</v>
      </c>
      <c r="AI212" s="630">
        <f t="shared" si="156"/>
        <v>0.36426229508196722</v>
      </c>
      <c r="AJ212" s="4"/>
      <c r="AK212" s="4"/>
      <c r="AL212" s="4"/>
      <c r="AM212" s="4"/>
      <c r="AN212" s="4"/>
      <c r="AO212" s="4"/>
      <c r="AP212" s="4"/>
    </row>
    <row r="213" spans="1:42">
      <c r="A213" s="917"/>
      <c r="B213" s="886" t="s">
        <v>310</v>
      </c>
      <c r="C213" s="507" t="str">
        <f>IF(AND(D213=AN213,D213=AO213,D213=AP213),"ok","ATENCIÓN NO ESTÁ TOMANDO BIEN LA LOCALIDAD")</f>
        <v>ok</v>
      </c>
      <c r="D213" s="23" t="s">
        <v>249</v>
      </c>
      <c r="E213" s="114">
        <f>VLOOKUP(D213,Pobl_adoptada!$C$5:$D$158,2,FALSE)</f>
        <v>143</v>
      </c>
      <c r="F213" s="8" t="s">
        <v>308</v>
      </c>
      <c r="G213" s="576">
        <f>+'[108]Inversion rec-TA'!$G$21</f>
        <v>1094425.4765184</v>
      </c>
      <c r="H213" s="577">
        <f>+($AC209/$AC212)*H216+G213</f>
        <v>1456376.9474226865</v>
      </c>
      <c r="I213" s="587">
        <f>+'[108]Costos Operativos Rec-TA'!$G$23</f>
        <v>747080.43587804888</v>
      </c>
      <c r="J213" s="579">
        <f>+($AC209/$AC212)*J216+I213</f>
        <v>754319.46529613459</v>
      </c>
      <c r="K213" s="10">
        <f>+'[108]Inversion rec-TA'!$G$46</f>
        <v>0</v>
      </c>
      <c r="L213" s="10">
        <f>+'[108]Costos Operativos Rec-TA'!$G$46</f>
        <v>0</v>
      </c>
      <c r="M213" s="19">
        <f t="shared" ref="M213:M215" si="157">-H213/(1+0.12)+PV(12%,20,J213)-H213/(1+0.12)^10</f>
        <v>-7403597.6804190017</v>
      </c>
      <c r="N213" s="614">
        <f>+$AD209/$AD212*N217</f>
        <v>125037.80806642295</v>
      </c>
      <c r="O213" s="25">
        <f>IF(N213-AG213&lt;0,0,N213-AG213)</f>
        <v>125037.80806642295</v>
      </c>
      <c r="P213" s="32">
        <f>+$AD209/$AD212*P217</f>
        <v>9095.9703434616331</v>
      </c>
      <c r="Q213" s="614">
        <f>+$AC209/$AC212*Q217</f>
        <v>262523.80631044199</v>
      </c>
      <c r="R213" s="647">
        <f>IF(Q213-AH213&lt;0,0,Q213-AH213)</f>
        <v>262523.80631044199</v>
      </c>
      <c r="S213" s="647">
        <f>+S209</f>
        <v>0</v>
      </c>
      <c r="T213" s="32">
        <f>+$AC209/$AC212*T217</f>
        <v>41078.43773838487</v>
      </c>
      <c r="U213" s="27"/>
      <c r="V213" s="461">
        <f>+V209</f>
        <v>0</v>
      </c>
      <c r="W213" s="27"/>
      <c r="X213" s="461">
        <f t="shared" ref="X213:Z215" si="158">+X209</f>
        <v>0</v>
      </c>
      <c r="Y213" s="27">
        <f t="shared" si="158"/>
        <v>3784.7371225599995</v>
      </c>
      <c r="Z213" s="27">
        <f t="shared" si="158"/>
        <v>154433.64175833599</v>
      </c>
      <c r="AA213" s="650">
        <f>(-O213-R213)/(1+0.12)+PV(12%,20,P213)+PV(12%,20,T213)-(O213*0.5)/(1+0.12)^10-S213/(1+0.12)^10</f>
        <v>-740941.48212466505</v>
      </c>
      <c r="AB213" s="651">
        <f>M213+AA213</f>
        <v>-8144539.1625436665</v>
      </c>
      <c r="AG213" s="448">
        <f>VLOOKUP($D213,Valoración_Eq_REG!$D$4:$I$157,Valoración_Eq_REG!$E$2,FALSE)*$E$4</f>
        <v>0</v>
      </c>
      <c r="AH213" s="448">
        <f>VLOOKUP($D213,Valoración_Eq_REG!$D$4:$I$157,Valoración_Eq_REG!$F$2,FALSE)*$E$4</f>
        <v>0</v>
      </c>
      <c r="AJ213" s="484">
        <f>+'[108]Evaluacion Economica'!$L$25</f>
        <v>2</v>
      </c>
      <c r="AK213" s="448">
        <f>+'[108]Evaluacion Economica'!$R$25</f>
        <v>24</v>
      </c>
      <c r="AL213" s="484">
        <f>+'[108]P_Evaluacion Economica'!$L$27</f>
        <v>2</v>
      </c>
      <c r="AM213" s="448">
        <f>+'[108]P_Evaluacion Economica'!$Q$27</f>
        <v>6</v>
      </c>
      <c r="AN213" s="34" t="str">
        <f>+[108]Datos!$C$2</f>
        <v>Ascensión</v>
      </c>
      <c r="AO213" s="25" t="str">
        <f>VLOOKUP($E213,Tabla13[],Inputs_costos!$D$1,FALSE)</f>
        <v>ASCENSIÓN</v>
      </c>
      <c r="AP213" s="28" t="str">
        <f>VLOOKUP($D213,'Costo Social x localidad'!$B$2:$M$156,1,FALSE)</f>
        <v>ASCENSIÓN</v>
      </c>
    </row>
    <row r="214" spans="1:42">
      <c r="A214" s="917"/>
      <c r="B214" s="887"/>
      <c r="C214" s="478" t="str">
        <f>IF(AND(D214=AN214,D214=AO214,D214=AP214),"ok","ATENCIÓN NO ESTÁ TOMANDO BIEN LA LOCALIDAD")</f>
        <v>ok</v>
      </c>
      <c r="D214" s="24" t="s">
        <v>248</v>
      </c>
      <c r="E214" s="115">
        <f>VLOOKUP(D214,Pobl_adoptada!$C$5:$D$158,2,FALSE)</f>
        <v>142</v>
      </c>
      <c r="F214" s="9" t="s">
        <v>308</v>
      </c>
      <c r="G214" s="580">
        <f>+'[109]Inversion rec-TA'!$G$21</f>
        <v>1069484.6125184</v>
      </c>
      <c r="H214" s="34">
        <f>+($AC210/$AC212)*H216+G214</f>
        <v>1314250.4024595418</v>
      </c>
      <c r="I214" s="465">
        <f>+'[109]Costos Operativos Rec-TA'!$G$23</f>
        <v>709754.44392633648</v>
      </c>
      <c r="J214" s="581">
        <f>+($AC210/$AC212)*J216+I214</f>
        <v>714649.75972515927</v>
      </c>
      <c r="K214" s="10">
        <f>+'[109]Inversion rec-TA'!$G$46</f>
        <v>0</v>
      </c>
      <c r="L214" s="10">
        <f>+'[109]Costos Operativos Rec-TA'!$G$46</f>
        <v>0</v>
      </c>
      <c r="M214" s="19">
        <f t="shared" si="157"/>
        <v>-6934627.4065157399</v>
      </c>
      <c r="N214" s="465">
        <f>+$AD210/$AD212*N217</f>
        <v>84457.540216278067</v>
      </c>
      <c r="O214" s="25">
        <f>IF(N214-AG214&lt;0,0,N214-AG214)</f>
        <v>84457.540216278067</v>
      </c>
      <c r="P214" s="25">
        <f>+$AD210/$AD212*P217</f>
        <v>6143.9279284301419</v>
      </c>
      <c r="Q214" s="465">
        <f>+$AC210/$AC212*Q217</f>
        <v>177528.9009584453</v>
      </c>
      <c r="R214" s="647">
        <f>IF(Q214-AH214&lt;0,0,Q214-AH214)</f>
        <v>177528.9009584453</v>
      </c>
      <c r="S214" s="647">
        <f>+S210</f>
        <v>0</v>
      </c>
      <c r="T214" s="25">
        <f>+$AC210/$AC212*T217</f>
        <v>27778.851782156729</v>
      </c>
      <c r="U214" s="458"/>
      <c r="V214" s="461">
        <f>+V210</f>
        <v>0</v>
      </c>
      <c r="W214" s="28"/>
      <c r="X214" s="461">
        <f t="shared" si="158"/>
        <v>0</v>
      </c>
      <c r="Y214" s="28">
        <f t="shared" si="158"/>
        <v>17463.497819999997</v>
      </c>
      <c r="Z214" s="28">
        <f t="shared" si="158"/>
        <v>153711.85388153599</v>
      </c>
      <c r="AA214" s="650">
        <f>(-O214-R214)/(1+0.12)+PV(12%,20,P214)+PV(12%,20,T214)-(O214*0.5)/(1+0.12)^10-S214/(1+0.12)^10</f>
        <v>-500897.28975224902</v>
      </c>
      <c r="AB214" s="651">
        <f>M214+AA214</f>
        <v>-7435524.6962679885</v>
      </c>
      <c r="AC214" s="39"/>
      <c r="AD214" s="10"/>
      <c r="AE214" s="10"/>
      <c r="AF214" s="10"/>
      <c r="AG214" s="448">
        <f>VLOOKUP($D214,Valoración_Eq_REG!$D$4:$I$157,Valoración_Eq_REG!$E$2,FALSE)*$E$4</f>
        <v>0</v>
      </c>
      <c r="AH214" s="448">
        <f>VLOOKUP($D214,Valoración_Eq_REG!$D$4:$I$157,Valoración_Eq_REG!$F$2,FALSE)*$E$4</f>
        <v>0</v>
      </c>
      <c r="AI214" s="11"/>
      <c r="AJ214" s="484">
        <f>+'[109]Evaluacion Economica'!$L$25</f>
        <v>2</v>
      </c>
      <c r="AK214" s="448">
        <f>+'[109]Evaluacion Economica'!$R$25</f>
        <v>16</v>
      </c>
      <c r="AL214" s="484">
        <f>+'[109]P_Evaluacion Economica'!$L$27</f>
        <v>2</v>
      </c>
      <c r="AM214" s="448">
        <f>+'[109]P_Evaluacion Economica'!$Q$27</f>
        <v>6</v>
      </c>
      <c r="AN214" s="34" t="str">
        <f>+[109]Datos!$C$2</f>
        <v>Arribeños</v>
      </c>
      <c r="AO214" s="25" t="str">
        <f>VLOOKUP($E214,Tabla13[],Inputs_costos!$D$1,FALSE)</f>
        <v>ARRIBEÑOS</v>
      </c>
      <c r="AP214" s="28" t="str">
        <f>VLOOKUP($D214,'Costo Social x localidad'!$B$2:$M$156,1,FALSE)</f>
        <v>ARRIBEÑOS</v>
      </c>
    </row>
    <row r="215" spans="1:42" ht="15.75" thickBot="1">
      <c r="A215" s="917"/>
      <c r="B215" s="887"/>
      <c r="C215" s="478" t="str">
        <f>IF(AND(D215=AN215,D215=AO215,D215=AP215),"ok","ATENCIÓN NO ESTÁ TOMANDO BIEN LA LOCALIDAD")</f>
        <v>ok</v>
      </c>
      <c r="D215" s="36" t="s">
        <v>156</v>
      </c>
      <c r="E215" s="115">
        <f>VLOOKUP(D215,Pobl_adoptada!$C$5:$D$158,2,FALSE)</f>
        <v>64</v>
      </c>
      <c r="F215" s="9" t="s">
        <v>308</v>
      </c>
      <c r="G215" s="580">
        <f>+'[110]Inversion rec-TA'!$G$21</f>
        <v>1619481.9471398836</v>
      </c>
      <c r="H215" s="34">
        <f>+($AC211/$AC212)*H216+G215</f>
        <v>2049264.2243628921</v>
      </c>
      <c r="I215" s="465">
        <f>+'[110]Costos Operativos Rec-TA'!$G$23</f>
        <v>760170.17874549376</v>
      </c>
      <c r="J215" s="581">
        <f>+($AC211/$AC212)*J216+I215</f>
        <v>768765.82428995392</v>
      </c>
      <c r="K215" s="10">
        <f>+'[110]Inversion rec-TA'!$G$46</f>
        <v>0</v>
      </c>
      <c r="L215" s="10">
        <f>+'[110]Costos Operativos Rec-TA'!$G$46</f>
        <v>0</v>
      </c>
      <c r="M215" s="19">
        <f t="shared" si="157"/>
        <v>-8231761.4201151989</v>
      </c>
      <c r="N215" s="465">
        <f>+$AD211/$AD212*N217</f>
        <v>149664.48525329895</v>
      </c>
      <c r="O215" s="25">
        <f>IF(N215-AG215&lt;0,0,N215-AG215)</f>
        <v>149664.48525329895</v>
      </c>
      <c r="P215" s="25">
        <f>+$AD211/$AD212*P217</f>
        <v>10887.456685183422</v>
      </c>
      <c r="Q215" s="465">
        <f>+$AC211/$AC212*Q217</f>
        <v>311721.56593111268</v>
      </c>
      <c r="R215" s="647">
        <f>IF(Q215-AH215&lt;0,0,Q215-AH215)</f>
        <v>311721.56593111268</v>
      </c>
      <c r="S215" s="647">
        <f>+S211</f>
        <v>0</v>
      </c>
      <c r="T215" s="25">
        <f>+$AC211/$AC212*T217</f>
        <v>48776.661887458395</v>
      </c>
      <c r="U215" s="29"/>
      <c r="V215" s="461">
        <f>+V211</f>
        <v>1628535.1551999999</v>
      </c>
      <c r="W215" s="25"/>
      <c r="X215" s="461">
        <f t="shared" si="158"/>
        <v>144590.8155607387</v>
      </c>
      <c r="Y215" s="28">
        <f t="shared" si="158"/>
        <v>17463.497819999997</v>
      </c>
      <c r="Z215" s="28">
        <f t="shared" si="158"/>
        <v>178931.78696405826</v>
      </c>
      <c r="AA215" s="650">
        <f>(-O215-R215)/(1+0.12)+PV(12%,20,P215)+PV(12%,20,T215)-(O215*0.5)/(1+0.12)^10-S215/(1+0.12)^10</f>
        <v>-881703.58084804099</v>
      </c>
      <c r="AB215" s="651">
        <f>M215+AA215</f>
        <v>-9113465.0009632409</v>
      </c>
      <c r="AC215" s="10"/>
      <c r="AD215" s="10"/>
      <c r="AE215" s="10"/>
      <c r="AF215" s="10"/>
      <c r="AG215" s="448">
        <f>VLOOKUP($D215,Valoración_Eq_REG!$D$4:$I$157,Valoración_Eq_REG!$E$2,FALSE)*$E$4</f>
        <v>0</v>
      </c>
      <c r="AH215" s="448">
        <f>VLOOKUP($D215,Valoración_Eq_REG!$D$4:$I$157,Valoración_Eq_REG!$F$2,FALSE)*$E$4</f>
        <v>0</v>
      </c>
      <c r="AI215" s="2"/>
      <c r="AJ215" s="484">
        <f>+'[110]Evaluacion Economica'!$L$25</f>
        <v>2</v>
      </c>
      <c r="AK215" s="448">
        <f>+'[110]Evaluacion Economica'!$R$25</f>
        <v>9</v>
      </c>
      <c r="AL215" s="484">
        <f>+'[110]P_Evaluacion Economica'!$L$27</f>
        <v>2</v>
      </c>
      <c r="AM215" s="448">
        <f>+'[110]P_Evaluacion Economica'!$Q$27</f>
        <v>6</v>
      </c>
      <c r="AN215" s="34" t="str">
        <f>+[110]Datos!$C$2</f>
        <v>General Arenales</v>
      </c>
      <c r="AO215" s="25" t="str">
        <f>VLOOKUP($E215,Tabla13[],Inputs_costos!$D$1,FALSE)</f>
        <v>GENERAL ARENALES</v>
      </c>
      <c r="AP215" s="28" t="str">
        <f>VLOOKUP($D215,'Costo Social x localidad'!$B$2:$M$156,1,FALSE)</f>
        <v>GENERAL ARENALES</v>
      </c>
    </row>
    <row r="216" spans="1:42" ht="30.75" thickBot="1">
      <c r="A216" s="917"/>
      <c r="B216" s="887"/>
      <c r="C216" s="912" t="s">
        <v>12</v>
      </c>
      <c r="D216" s="913"/>
      <c r="E216" s="498" t="s">
        <v>589</v>
      </c>
      <c r="F216" s="571">
        <f>+F203</f>
        <v>0.02</v>
      </c>
      <c r="G216" s="582"/>
      <c r="H216" s="461">
        <f>+AJ216*AJ218+AL216*AL218</f>
        <v>1036499.5380684368</v>
      </c>
      <c r="I216" s="461"/>
      <c r="J216" s="583">
        <f>+$F216*H216</f>
        <v>20729.990761368736</v>
      </c>
      <c r="K216" s="10"/>
      <c r="L216" s="10"/>
      <c r="M216" s="19"/>
      <c r="N216" s="465"/>
      <c r="O216" s="10"/>
      <c r="P216" s="10"/>
      <c r="Q216" s="618"/>
      <c r="R216" s="28"/>
      <c r="S216" s="28"/>
      <c r="T216" s="28"/>
      <c r="U216" s="28"/>
      <c r="V216" s="28"/>
      <c r="W216" s="28"/>
      <c r="X216" s="28"/>
      <c r="Y216" s="28"/>
      <c r="Z216" s="28"/>
      <c r="AA216" s="658"/>
      <c r="AB216" s="20"/>
      <c r="AC216" s="10"/>
      <c r="AD216" s="10"/>
      <c r="AE216" s="10"/>
      <c r="AF216" s="10"/>
      <c r="AG216" s="4"/>
      <c r="AH216" s="4"/>
      <c r="AI216" s="4"/>
      <c r="AJ216" s="501">
        <f>ROUNDUP(C217*SUM(AJ213:AJ215),0)</f>
        <v>2</v>
      </c>
      <c r="AK216" s="502">
        <f>AVERAGE(AK213:AK215)</f>
        <v>16.333333333333332</v>
      </c>
      <c r="AL216" s="501">
        <f>ROUNDUP(C217*SUM(AL213:AL215),0)</f>
        <v>2</v>
      </c>
      <c r="AM216" s="502">
        <f>AVERAGE(AM213:AM215)</f>
        <v>6</v>
      </c>
      <c r="AN216" s="4"/>
      <c r="AO216" s="4"/>
      <c r="AP216" s="4"/>
    </row>
    <row r="217" spans="1:42" ht="15.75" thickBot="1">
      <c r="A217" s="918"/>
      <c r="B217" s="888"/>
      <c r="C217" s="570">
        <v>0.3</v>
      </c>
      <c r="D217" s="500" t="str">
        <f>A209</f>
        <v>REGIÓN GENERAL ARENALES</v>
      </c>
      <c r="E217" s="468"/>
      <c r="F217" s="469"/>
      <c r="G217" s="584"/>
      <c r="H217" s="585">
        <f>SUM(H213:H215)</f>
        <v>4819891.5742451204</v>
      </c>
      <c r="I217" s="585"/>
      <c r="J217" s="586">
        <f>SUM(J213:J215)</f>
        <v>2237735.0493112477</v>
      </c>
      <c r="K217" s="14"/>
      <c r="L217" s="14"/>
      <c r="M217" s="15">
        <f>SUM(M213:M216)</f>
        <v>-22569986.507049941</v>
      </c>
      <c r="N217" s="615">
        <f>(VLOOKUP($E213,Tabla13[],Inputs_costos!$P$1,FALSE))*(O$3*$E$3+O$4*$E$4)</f>
        <v>359159.83353599999</v>
      </c>
      <c r="O217" s="35">
        <f>SUM(O213:O215)</f>
        <v>359159.83353599999</v>
      </c>
      <c r="P217" s="35">
        <f>(VLOOKUP($E213,Tabla13[],Inputs_costos!$Q$1,FALSE))*(P$3*$E$3+P$4*$E$4)</f>
        <v>26127.3549570752</v>
      </c>
      <c r="Q217" s="615">
        <f>IF($AC212&gt;=15,(VLOOKUP($E213,Tabla13[],Inputs_costos!$N$1,FALSE))*($R$3*$E$3+$R$4*$E$4),(VLOOKUP($E213,Tabla13[],Inputs_costos!$N$1,FALSE))*($T$3*$E$3+$T$4*$E$4))</f>
        <v>751774.27319999994</v>
      </c>
      <c r="R217" s="35">
        <f>SUM(R213:R215)</f>
        <v>751774.27319999994</v>
      </c>
      <c r="S217" s="35"/>
      <c r="T217" s="35">
        <f>IF($AC212&gt;=15,(VLOOKUP($E213,Tabla13[],Inputs_costos!$O$1,FALSE))*($R$3*$E$3+$R$4*$E$4),(VLOOKUP($E213,Tabla13[],Inputs_costos!$O$1,FALSE))*($T$3*$E$3+$T$4*$E$4))</f>
        <v>117633.95140799999</v>
      </c>
      <c r="U217" s="35"/>
      <c r="V217" s="31">
        <f>SUM(V213:V215)</f>
        <v>1628535.1551999999</v>
      </c>
      <c r="W217" s="31"/>
      <c r="X217" s="31">
        <f>SUM(X213:X215)</f>
        <v>144590.8155607387</v>
      </c>
      <c r="Y217" s="31">
        <f>SUM(Y213:Y215)</f>
        <v>38711.732762559994</v>
      </c>
      <c r="Z217" s="31">
        <f>SUM(Z213:Z215)</f>
        <v>487077.28260393022</v>
      </c>
      <c r="AA217" s="653">
        <f>SUM(AA213:AA215)</f>
        <v>-2123542.352724955</v>
      </c>
      <c r="AB217" s="654">
        <f>+M217+AA217</f>
        <v>-24693528.859774895</v>
      </c>
      <c r="AC217" s="38"/>
      <c r="AD217" s="38"/>
      <c r="AE217" s="38"/>
      <c r="AF217" s="38"/>
      <c r="AG217" s="4"/>
      <c r="AH217" s="4"/>
      <c r="AI217" s="4"/>
      <c r="AJ217" s="11"/>
      <c r="AK217" s="499">
        <f>VLOOKUP(ROUNDUP(AK216,0),DATOS!$F$16:$G$31,2,FALSE)</f>
        <v>17</v>
      </c>
      <c r="AL217" s="497"/>
      <c r="AM217" s="499">
        <f>VLOOKUP(ROUNDUP(AM216,0),DATOS!$J$16:$K$34,2,FALSE)</f>
        <v>6</v>
      </c>
      <c r="AN217" s="4"/>
      <c r="AO217" s="4"/>
      <c r="AP217" s="4"/>
    </row>
    <row r="218" spans="1:42">
      <c r="F218" s="2"/>
      <c r="G218" s="2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0"/>
      <c r="V218" s="2"/>
      <c r="W218" s="2"/>
      <c r="X218" s="2"/>
      <c r="Y218" s="2"/>
      <c r="Z218" s="2"/>
      <c r="AA218" s="4"/>
      <c r="AB218" s="4"/>
      <c r="AC218" s="4"/>
      <c r="AD218" s="4"/>
      <c r="AE218" s="4"/>
      <c r="AF218" s="4"/>
      <c r="AG218" s="644"/>
      <c r="AH218" s="448"/>
      <c r="AI218" s="4"/>
      <c r="AJ218" s="892">
        <f>VLOOKUP(AK217,DATOS!$F$3:$H$11,3,FALSE)</f>
        <v>283989.37455421843</v>
      </c>
      <c r="AK218" s="892"/>
      <c r="AL218" s="892">
        <f>VLOOKUP(AM217,DATOS!$J$3:$L$12,3,FALSE)</f>
        <v>234260.39447999999</v>
      </c>
      <c r="AM218" s="892"/>
      <c r="AN218" s="4"/>
      <c r="AO218" s="4"/>
      <c r="AP218" s="4"/>
    </row>
    <row r="219" spans="1:42" ht="15.75" thickBot="1">
      <c r="A219" s="503"/>
      <c r="B219" s="503"/>
      <c r="C219" s="503"/>
      <c r="D219" s="503"/>
      <c r="E219" s="503"/>
      <c r="F219" s="504"/>
      <c r="G219" s="504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6"/>
      <c r="AB219" s="506"/>
      <c r="AC219" s="506"/>
      <c r="AD219" s="506"/>
      <c r="AE219" s="506"/>
      <c r="AF219" s="506"/>
      <c r="AG219" s="506"/>
      <c r="AH219" s="506"/>
      <c r="AI219" s="506"/>
      <c r="AJ219" s="506"/>
      <c r="AK219" s="506"/>
      <c r="AL219" s="506"/>
      <c r="AM219" s="506"/>
      <c r="AN219" s="506"/>
      <c r="AO219" s="506"/>
      <c r="AP219" s="506"/>
    </row>
    <row r="220" spans="1:42" ht="39" thickBot="1">
      <c r="A220" s="886" t="s">
        <v>7</v>
      </c>
      <c r="B220" s="886" t="s">
        <v>2</v>
      </c>
      <c r="C220" s="508"/>
      <c r="D220" s="882" t="s">
        <v>22</v>
      </c>
      <c r="E220" s="882" t="s">
        <v>23</v>
      </c>
      <c r="F220" s="882" t="s">
        <v>3</v>
      </c>
      <c r="G220" s="568"/>
      <c r="H220" s="901" t="s">
        <v>0</v>
      </c>
      <c r="I220" s="901"/>
      <c r="J220" s="901"/>
      <c r="K220" s="901" t="s">
        <v>1</v>
      </c>
      <c r="L220" s="901"/>
      <c r="M220" s="886" t="s">
        <v>10</v>
      </c>
      <c r="N220" s="879" t="s">
        <v>5</v>
      </c>
      <c r="O220" s="880"/>
      <c r="P220" s="881"/>
      <c r="Q220" s="902" t="s">
        <v>4</v>
      </c>
      <c r="R220" s="903"/>
      <c r="S220" s="903"/>
      <c r="T220" s="904"/>
      <c r="U220" s="902" t="s">
        <v>6</v>
      </c>
      <c r="V220" s="903"/>
      <c r="W220" s="903"/>
      <c r="X220" s="904"/>
      <c r="Y220" s="390" t="s">
        <v>689</v>
      </c>
      <c r="Z220" s="662" t="s">
        <v>690</v>
      </c>
      <c r="AA220" s="905" t="s">
        <v>686</v>
      </c>
      <c r="AB220" s="886" t="s">
        <v>9</v>
      </c>
      <c r="AC220" s="907" t="s">
        <v>312</v>
      </c>
      <c r="AD220" s="914" t="s">
        <v>649</v>
      </c>
      <c r="AE220" s="897" t="s">
        <v>20</v>
      </c>
      <c r="AF220" s="897" t="s">
        <v>313</v>
      </c>
      <c r="AG220" s="899" t="s">
        <v>552</v>
      </c>
      <c r="AH220" s="895" t="s">
        <v>578</v>
      </c>
      <c r="AI220" s="897" t="s">
        <v>579</v>
      </c>
      <c r="AJ220" s="882" t="s">
        <v>581</v>
      </c>
      <c r="AK220" s="882" t="s">
        <v>582</v>
      </c>
      <c r="AL220" s="882" t="s">
        <v>581</v>
      </c>
      <c r="AM220" s="882" t="s">
        <v>582</v>
      </c>
      <c r="AN220" s="884" t="s">
        <v>553</v>
      </c>
      <c r="AO220" s="885"/>
      <c r="AP220" s="885"/>
    </row>
    <row r="221" spans="1:42" ht="30.75" thickBot="1">
      <c r="A221" s="888"/>
      <c r="B221" s="888"/>
      <c r="C221" s="509"/>
      <c r="D221" s="883"/>
      <c r="E221" s="883"/>
      <c r="F221" s="883"/>
      <c r="G221" s="569"/>
      <c r="H221" s="17" t="s">
        <v>18</v>
      </c>
      <c r="I221" s="17"/>
      <c r="J221" s="17" t="s">
        <v>17</v>
      </c>
      <c r="K221" s="17" t="s">
        <v>18</v>
      </c>
      <c r="L221" s="17" t="s">
        <v>17</v>
      </c>
      <c r="M221" s="888"/>
      <c r="N221" s="464" t="s">
        <v>685</v>
      </c>
      <c r="O221" s="17" t="s">
        <v>18</v>
      </c>
      <c r="P221" s="17" t="s">
        <v>17</v>
      </c>
      <c r="Q221" s="464" t="s">
        <v>685</v>
      </c>
      <c r="R221" s="17" t="s">
        <v>18</v>
      </c>
      <c r="S221" s="17"/>
      <c r="T221" s="17" t="s">
        <v>17</v>
      </c>
      <c r="U221" s="464" t="s">
        <v>576</v>
      </c>
      <c r="V221" s="17" t="s">
        <v>18</v>
      </c>
      <c r="W221" s="464" t="s">
        <v>577</v>
      </c>
      <c r="X221" s="17" t="s">
        <v>17</v>
      </c>
      <c r="Y221" s="17" t="s">
        <v>18</v>
      </c>
      <c r="Z221" s="17" t="s">
        <v>17</v>
      </c>
      <c r="AA221" s="906"/>
      <c r="AB221" s="888"/>
      <c r="AC221" s="908"/>
      <c r="AD221" s="915"/>
      <c r="AE221" s="898"/>
      <c r="AF221" s="898"/>
      <c r="AG221" s="900"/>
      <c r="AH221" s="896"/>
      <c r="AI221" s="898"/>
      <c r="AJ221" s="883"/>
      <c r="AK221" s="883"/>
      <c r="AL221" s="883"/>
      <c r="AM221" s="883"/>
      <c r="AN221" s="1" t="s">
        <v>551</v>
      </c>
      <c r="AO221" s="9" t="s">
        <v>554</v>
      </c>
      <c r="AP221" s="1" t="s">
        <v>555</v>
      </c>
    </row>
    <row r="222" spans="1:42">
      <c r="A222" s="916" t="s">
        <v>604</v>
      </c>
      <c r="B222" s="886" t="s">
        <v>309</v>
      </c>
      <c r="C222" s="507" t="str">
        <f>IF(AND(D222=AN222,D222=AO222,D222=AP222),"ok","ATENCIÓN NO ESTÁ TOMANDO BIEN LA LOCALIDAD")</f>
        <v>ok</v>
      </c>
      <c r="D222" s="516" t="s">
        <v>549</v>
      </c>
      <c r="E222" s="114">
        <f>VLOOKUP(D222,Pobl_adoptada!$C$5:$D$158,2,FALSE)</f>
        <v>148</v>
      </c>
      <c r="F222" s="8" t="s">
        <v>308</v>
      </c>
      <c r="G222" s="8"/>
      <c r="H222" s="33">
        <f>'[111]Inversion rec-TA'!$G$21</f>
        <v>1281939.3427775998</v>
      </c>
      <c r="I222" s="33"/>
      <c r="J222" s="33">
        <f>'[111]Costos Operativos Rec-TA'!$G$23</f>
        <v>700501.52041207952</v>
      </c>
      <c r="K222" s="32">
        <f>'[111]Inversion rec-TA'!$G$46</f>
        <v>0</v>
      </c>
      <c r="L222" s="32">
        <f>+'[111]Costos Operativos Rec-TA'!$G$46</f>
        <v>0</v>
      </c>
      <c r="M222" s="19">
        <f t="shared" ref="M222:M226" si="159">-H222/(1+0.12)+PV(12%,20,J222)-H222/(1+0.12)^10</f>
        <v>-6789695.4736894192</v>
      </c>
      <c r="N222" s="19"/>
      <c r="O222" s="25">
        <f>IF(((VLOOKUP($E222,Tabla13[],Inputs_costos!$I$1,FALSE))*(O$3*$E$3+O$4*$E$4)-AG222)&lt;0,0,VLOOKUP($E222,Tabla13[],Inputs_costos!$I$1,FALSE)*(O$3*$E$3+O$4*$E$4)-AG222)</f>
        <v>359159.83353599999</v>
      </c>
      <c r="P222" s="25">
        <f>(VLOOKUP($E222,Tabla13[],Inputs_costos!$J$1,FALSE))*(P$3*$E$3+P$4*$E$4)</f>
        <v>26127.3549570752</v>
      </c>
      <c r="Q222" s="25"/>
      <c r="R222" s="25">
        <f>IF($AC222&gt;=15,(VLOOKUP($E222,Tabla13[],Inputs_costos!$G$1,FALSE))*($R$3*$E$3+$R$4*$E$4),(VLOOKUP($E222,Tabla13[],Inputs_costos!$G$1,FALSE))*($T$3*$E$3+$T$4*$E$4))-AH222</f>
        <v>442807.52847999998</v>
      </c>
      <c r="S222" s="25">
        <f t="shared" ref="S222:S226" si="160">IF(AC222&lt;15,0,IF(AC222&lt;=350,815000,1345000))</f>
        <v>0</v>
      </c>
      <c r="T222" s="25">
        <f>IF($AC222&gt;=15,(VLOOKUP($E222,Tabla13[],Inputs_costos!$H$1,FALSE))*($R$3*$E$3+$R$4*$E$4),(VLOOKUP($E222,Tabla13[],Inputs_costos!$H$1,FALSE))*($T$3*$E$3+$T$4*$E$4))</f>
        <v>48946.937991999999</v>
      </c>
      <c r="U222" s="465">
        <v>0</v>
      </c>
      <c r="V222" s="461">
        <f>+U222*(V$3*$E$3+V$4*$E$4)</f>
        <v>0</v>
      </c>
      <c r="W222" s="465">
        <f>SUMIFS(Tabla24[Costo anual de Manteniemiento Post-cierre (US$)],Tabla24[Localidad],Resumen!$D222)</f>
        <v>0</v>
      </c>
      <c r="X222" s="461">
        <f>+W222*(X$3*$E$3+X$4*$E$4)</f>
        <v>0</v>
      </c>
      <c r="Y222" s="27">
        <f>VLOOKUP($D222,'Costo Social x localidad'!$B$2:$M$156,12,FALSE)*(Y$3*$E$3+Y$4*$E$4)</f>
        <v>3705.9609704</v>
      </c>
      <c r="Z222" s="28">
        <f>VLOOKUP(D222,'Estimación  PRESUPUESTO PCAS'!$B$4:$G$158,'Estimación  PRESUPUESTO PCAS'!$G$2,FALSE)</f>
        <v>153511.46704793599</v>
      </c>
      <c r="AA222" s="650">
        <f>(-O222-R222)/(1+0.12)+PV(12%,20,P222)+PV(12%,20,T222)-(O222*0.5)/(1+0.12)^10-S222/(1+0.12)^10</f>
        <v>-1334625.4133621384</v>
      </c>
      <c r="AB222" s="651">
        <f>M222+AA222</f>
        <v>-8124320.8870515581</v>
      </c>
      <c r="AC222" s="10">
        <f>VLOOKUP($E222,Resumen_Generación!$B$5:$F$158,Resumen_Generación!$D$3,FALSE)</f>
        <v>2.3665263039999997</v>
      </c>
      <c r="AD222" s="10">
        <f>VLOOKUP($E222,Resumen_Generación!$B$5:$G$158,Resumen_Generación!$G$3,FALSE)</f>
        <v>0.95247462000000005</v>
      </c>
      <c r="AE222" s="362">
        <f>VLOOKUP($E222,Resumen_Generación!$B$5:$F$158,Resumen_Generación!$E$3,FALSE)</f>
        <v>3401</v>
      </c>
      <c r="AF222" s="10">
        <f>VLOOKUP($E222,Resumen_Generación!$B$5:$F$158,Resumen_Generación!$F$3,FALSE)</f>
        <v>1.0951219999999999</v>
      </c>
      <c r="AG222" s="448">
        <f>VLOOKUP($D222,Valoración_Equip_actual!$D$4:$I$157,Valoración_Equip_actual!$E$2,FALSE)*$E$4</f>
        <v>0</v>
      </c>
      <c r="AH222" s="448">
        <f>VLOOKUP($D222,Valoración_Equip_actual!$D$4:$I$157,Valoración_Equip_actual!$F$2,FALSE)*$E$4</f>
        <v>0</v>
      </c>
      <c r="AI222" s="513">
        <f>[111]P_Datos!$D$43</f>
        <v>8.6229508196721316E-2</v>
      </c>
      <c r="AJ222" s="514"/>
      <c r="AK222" s="514"/>
      <c r="AL222" s="514"/>
      <c r="AM222" s="514"/>
      <c r="AN222" s="449" t="str">
        <f>[111]Datos!$C$2</f>
        <v>Juan Bautista Alberdi</v>
      </c>
      <c r="AO222" s="450" t="str">
        <f>VLOOKUP($E222,Tabla13[],Inputs_costos!$D$1,FALSE)</f>
        <v>JUAN BAUTISTA ALBERDI</v>
      </c>
      <c r="AP222" s="451" t="str">
        <f>VLOOKUP($D222,'Costo Social x localidad'!$B$2:$M$156,1,FALSE)</f>
        <v>Juan Bautista Alberdi</v>
      </c>
    </row>
    <row r="223" spans="1:42">
      <c r="A223" s="917"/>
      <c r="B223" s="887"/>
      <c r="C223" s="478" t="str">
        <f>IF(AND(D223=AN223,D223=AO223,D223=AP223),"ok","ATENCIÓN NO ESTÁ TOMANDO BIEN LA LOCALIDAD")</f>
        <v>ok</v>
      </c>
      <c r="D223" s="24" t="s">
        <v>137</v>
      </c>
      <c r="E223" s="115">
        <f>VLOOKUP(D223,Pobl_adoptada!$C$5:$D$158,2,FALSE)</f>
        <v>48</v>
      </c>
      <c r="F223" s="9" t="s">
        <v>308</v>
      </c>
      <c r="G223" s="9"/>
      <c r="H223" s="34">
        <f>'[112]Inversion rec-TA'!$G$21</f>
        <v>4707842.6050227936</v>
      </c>
      <c r="I223" s="34"/>
      <c r="J223" s="34">
        <f>'[112]Costos Operativos Rec-TA'!$G$23</f>
        <v>2648249.3613163503</v>
      </c>
      <c r="K223" s="25">
        <f>'[112]Inversion rec-TA'!$G$46</f>
        <v>0</v>
      </c>
      <c r="L223" s="25">
        <f>+'[112]Costos Operativos Rec-TA'!$G$46</f>
        <v>0</v>
      </c>
      <c r="M223" s="19">
        <f t="shared" si="159"/>
        <v>-25500179.52575459</v>
      </c>
      <c r="N223" s="19"/>
      <c r="O223" s="25">
        <f>IF(((VLOOKUP($E223,Tabla13[],Inputs_costos!$I$1,FALSE))*(O$3*$E$3+O$4*$E$4)-AG223)&lt;0,0,VLOOKUP($E223,Tabla13[],Inputs_costos!$I$1,FALSE)*(O$3*$E$3+O$4*$E$4)-AG223)</f>
        <v>1598623.2492800001</v>
      </c>
      <c r="P223" s="25">
        <f>(VLOOKUP($E223,Tabla13[],Inputs_costos!$J$1,FALSE))*(P$3*$E$3+P$4*$E$4)</f>
        <v>721027.92736000009</v>
      </c>
      <c r="Q223" s="25"/>
      <c r="R223" s="25">
        <f>IF($AC223&gt;=15,(VLOOKUP($E223,Tabla13[],Inputs_costos!$G$1,FALSE))*($R$3*$E$3+$R$4*$E$4),(VLOOKUP($E223,Tabla13[],Inputs_costos!$G$1,FALSE))*($T$3*$E$3+$T$4*$E$4))-AH223</f>
        <v>10726440.684800001</v>
      </c>
      <c r="S223" s="25">
        <f t="shared" si="160"/>
        <v>815000</v>
      </c>
      <c r="T223" s="25">
        <f>IF($AC223&gt;=15,(VLOOKUP($E223,Tabla13[],Inputs_costos!$H$1,FALSE))*($R$3*$E$3+$R$4*$E$4),(VLOOKUP($E223,Tabla13[],Inputs_costos!$H$1,FALSE))*($T$3*$E$3+$T$4*$E$4))</f>
        <v>1522591.9234480001</v>
      </c>
      <c r="U223" s="465">
        <f>SUMIFS(Tabla24[Costo de Cierre Técnico de BCA (US$)],Tabla24[Localidad],Resumen!$D223)</f>
        <v>1643000</v>
      </c>
      <c r="V223" s="461">
        <f>+U223*(V$3*$E$3+V$4*$E$4)</f>
        <v>3155286.8632</v>
      </c>
      <c r="W223" s="465">
        <f>SUMIFS(Tabla24[Costo anual de Manteniemiento Post-cierre (US$)],Tabla24[Localidad],Resumen!$D223)</f>
        <v>145875.08854674906</v>
      </c>
      <c r="X223" s="461">
        <f>+W223*(X$3*$E$3+X$4*$E$4)</f>
        <v>280144.7051489313</v>
      </c>
      <c r="Y223" s="28">
        <f>VLOOKUP($D223,'Costo Social x localidad'!$B$2:$M$156,12,FALSE)*(Y$3*$E$3+Y$4*$E$4)</f>
        <v>80973.83271432</v>
      </c>
      <c r="Z223" s="28">
        <f>VLOOKUP(D223,'Estimación  PRESUPUESTO PCAS'!$B$4:$G$158,'Estimación  PRESUPUESTO PCAS'!$G$2,FALSE)</f>
        <v>385024.81752878497</v>
      </c>
      <c r="AA223" s="650">
        <f>(-O223-R223)/(1+0.12)+PV(12%,20,P223)+PV(12%,20,T223)-(O223*0.5)/(1+0.12)^10-S223/(1+0.12)^10</f>
        <v>-28282878.498398263</v>
      </c>
      <c r="AB223" s="651">
        <f>M223+AA223</f>
        <v>-53783058.024152853</v>
      </c>
      <c r="AC223" s="10">
        <f>VLOOKUP($E223,Resumen_Generación!$B$5:$F$158,Resumen_Generación!$D$3,FALSE)</f>
        <v>39.237783407999999</v>
      </c>
      <c r="AD223" s="10">
        <f>VLOOKUP($E223,Resumen_Generación!$B$5:$G$158,Resumen_Generación!$G$3,FALSE)</f>
        <v>16.01914824</v>
      </c>
      <c r="AE223" s="362">
        <f>VLOOKUP($E223,Resumen_Generación!$B$5:$F$158,Resumen_Generación!$E$3,FALSE)</f>
        <v>49107</v>
      </c>
      <c r="AF223" s="10">
        <f>VLOOKUP($E223,Resumen_Generación!$B$5:$F$158,Resumen_Generación!$F$3,FALSE)</f>
        <v>18.141528999999998</v>
      </c>
      <c r="AG223" s="448">
        <f>VLOOKUP($D223,Valoración_Equip_actual!$D$4:$I$157,Valoración_Equip_actual!$E$2,FALSE)*$E$4</f>
        <v>191611</v>
      </c>
      <c r="AH223" s="448">
        <f>VLOOKUP($D223,Valoración_Equip_actual!$D$4:$I$157,Valoración_Equip_actual!$F$2,FALSE)*$E$4</f>
        <v>42825.5</v>
      </c>
      <c r="AI223" s="513">
        <f>[112]P_Datos!$D$43</f>
        <v>1.1971803278688524</v>
      </c>
      <c r="AJ223" s="514"/>
      <c r="AK223" s="514"/>
      <c r="AL223" s="514"/>
      <c r="AM223" s="514"/>
      <c r="AN223" s="34" t="str">
        <f>[112]Datos!$C$2</f>
        <v>Chacabuco</v>
      </c>
      <c r="AO223" s="25" t="str">
        <f>VLOOKUP($E223,Tabla13[],Inputs_costos!$D$1,FALSE)</f>
        <v>CHACABUCO</v>
      </c>
      <c r="AP223" s="28" t="str">
        <f>VLOOKUP($D223,'Costo Social x localidad'!$B$2:$M$156,1,FALSE)</f>
        <v>CHACABUCO</v>
      </c>
    </row>
    <row r="224" spans="1:42">
      <c r="A224" s="917"/>
      <c r="B224" s="887"/>
      <c r="C224" s="478" t="str">
        <f>IF(AND(D224=AN224,D224=AO224,D224=AP224),"ok","ATENCIÓN NO ESTÁ TOMANDO BIEN LA LOCALIDAD")</f>
        <v>ok</v>
      </c>
      <c r="D224" s="24" t="s">
        <v>183</v>
      </c>
      <c r="E224" s="115">
        <f>VLOOKUP(D224,Pobl_adoptada!$C$5:$D$158,2,FALSE)</f>
        <v>85</v>
      </c>
      <c r="F224" s="9" t="s">
        <v>308</v>
      </c>
      <c r="G224" s="9"/>
      <c r="H224" s="34">
        <f>'[113]Inversion rec-TA'!$G$21</f>
        <v>2272168.5687098252</v>
      </c>
      <c r="I224" s="34"/>
      <c r="J224" s="34">
        <f>'[113]Costos Operativos Rec-TA'!$G$23</f>
        <v>943421.56251513364</v>
      </c>
      <c r="K224" s="25">
        <f>'[113]Inversion rec-TA'!$G$46</f>
        <v>0</v>
      </c>
      <c r="L224" s="25">
        <f>+'[113]Costos Operativos Rec-TA'!$G$46</f>
        <v>0</v>
      </c>
      <c r="M224" s="19">
        <f t="shared" si="159"/>
        <v>-9807133.5796770547</v>
      </c>
      <c r="N224" s="19"/>
      <c r="O224" s="25">
        <f>IF(((VLOOKUP($E224,Tabla13[],Inputs_costos!$I$1,FALSE))*(O$3*$E$3+O$4*$E$4)-AG224)&lt;0,0,VLOOKUP($E224,Tabla13[],Inputs_costos!$I$1,FALSE)*(O$3*$E$3+O$4*$E$4)-AG224)</f>
        <v>0</v>
      </c>
      <c r="P224" s="25">
        <f>(VLOOKUP($E224,Tabla13[],Inputs_costos!$J$1,FALSE))*(P$3*$E$3+P$4*$E$4)</f>
        <v>26127.3549570752</v>
      </c>
      <c r="Q224" s="25"/>
      <c r="R224" s="25">
        <f>IF($AC224&gt;=15,(VLOOKUP($E224,Tabla13[],Inputs_costos!$G$1,FALSE))*($R$3*$E$3+$R$4*$E$4),(VLOOKUP($E224,Tabla13[],Inputs_costos!$G$1,FALSE))*($T$3*$E$3+$T$4*$E$4))-AH224</f>
        <v>686678.11008000001</v>
      </c>
      <c r="S224" s="25">
        <f t="shared" si="160"/>
        <v>0</v>
      </c>
      <c r="T224" s="25">
        <f>IF($AC224&gt;=15,(VLOOKUP($E224,Tabla13[],Inputs_costos!$H$1,FALSE))*($R$3*$E$3+$R$4*$E$4),(VLOOKUP($E224,Tabla13[],Inputs_costos!$H$1,FALSE))*($T$3*$E$3+$T$4*$E$4))</f>
        <v>99929.331231999997</v>
      </c>
      <c r="U224" s="465">
        <f>SUMIFS(Tabla24[Costo de Cierre Técnico de BCA (US$)],Tabla24[Localidad],Resumen!$D224)</f>
        <v>1590000</v>
      </c>
      <c r="V224" s="461">
        <f t="shared" ref="V224:V226" si="161">+U224*(V$3*$E$3+V$4*$E$4)</f>
        <v>3053503.4160000002</v>
      </c>
      <c r="W224" s="465">
        <f>SUMIFS(Tabla24[Costo anual de Manteniemiento Post-cierre (US$)],Tabla24[Localidad],Resumen!$D224)</f>
        <v>141169.44052911201</v>
      </c>
      <c r="X224" s="461">
        <f t="shared" ref="X224:X226" si="162">+W224*(X$3*$E$3+X$4*$E$4)</f>
        <v>271107.77917638514</v>
      </c>
      <c r="Y224" s="28">
        <f>VLOOKUP($D224,'Costo Social x localidad'!$B$2:$M$156,12,FALSE)*(Y$3*$E$3+Y$4*$E$4)</f>
        <v>22963.030740959999</v>
      </c>
      <c r="Z224" s="28">
        <f>VLOOKUP(D224,'Estimación  PRESUPUESTO PCAS'!$B$4:$G$158,'Estimación  PRESUPUESTO PCAS'!$G$2,FALSE)</f>
        <v>192795.90094789825</v>
      </c>
      <c r="AA224" s="650">
        <f>(-O224-R224)/(1+0.12)+PV(12%,20,P224)+PV(12%,20,T224)-(O224*0.5)/(1+0.12)^10-S224/(1+0.12)^10</f>
        <v>-1554678.7663874237</v>
      </c>
      <c r="AB224" s="651">
        <f>M224+AA224</f>
        <v>-11361812.346064478</v>
      </c>
      <c r="AC224" s="10">
        <f>VLOOKUP($E224,Resumen_Generación!$B$5:$F$158,Resumen_Generación!$D$3,FALSE)</f>
        <v>7.6028792639999994</v>
      </c>
      <c r="AD224" s="10">
        <f>VLOOKUP($E224,Resumen_Generación!$B$5:$G$158,Resumen_Generación!$G$3,FALSE)</f>
        <v>3.0995959200000001</v>
      </c>
      <c r="AE224" s="362">
        <f>VLOOKUP($E224,Resumen_Generación!$B$5:$F$158,Resumen_Generación!$E$3,FALSE)</f>
        <v>10959</v>
      </c>
      <c r="AF224" s="10">
        <f>VLOOKUP($E224,Resumen_Generación!$B$5:$F$158,Resumen_Generación!$F$3,FALSE)</f>
        <v>3.5155959999999999</v>
      </c>
      <c r="AG224" s="448">
        <f>VLOOKUP($D224,Valoración_Equip_actual!$D$4:$I$157,Valoración_Equip_actual!$E$2,FALSE)*$E$4</f>
        <v>810611.66</v>
      </c>
      <c r="AH224" s="448">
        <f>VLOOKUP($D224,Valoración_Equip_actual!$D$4:$I$157,Valoración_Equip_actual!$F$2,FALSE)*$E$4</f>
        <v>0</v>
      </c>
      <c r="AI224" s="448">
        <f>[113]P_Datos!$D$43</f>
        <v>0.28045901639344262</v>
      </c>
      <c r="AN224" s="34" t="str">
        <f>[113]Datos!$C$2</f>
        <v>Vedia</v>
      </c>
      <c r="AO224" s="25" t="str">
        <f>VLOOKUP($E224,Tabla13[],Inputs_costos!$D$1,FALSE)</f>
        <v>VEDIA</v>
      </c>
      <c r="AP224" s="28" t="str">
        <f>VLOOKUP($D224,'Costo Social x localidad'!$B$2:$M$156,1,FALSE)</f>
        <v>VEDIA</v>
      </c>
    </row>
    <row r="225" spans="1:42">
      <c r="A225" s="917"/>
      <c r="B225" s="887"/>
      <c r="C225" s="478" t="str">
        <f>IF(AND(D225=AN225,D225=AO225,D225=AP225),"ok","ATENCIÓN NO ESTÁ TOMANDO BIEN LA LOCALIDAD")</f>
        <v>ok</v>
      </c>
      <c r="D225" s="24" t="s">
        <v>169</v>
      </c>
      <c r="E225" s="115">
        <f>VLOOKUP(D225,Pobl_adoptada!$C$5:$D$158,2,FALSE)</f>
        <v>75</v>
      </c>
      <c r="F225" s="9" t="s">
        <v>308</v>
      </c>
      <c r="G225" s="9"/>
      <c r="H225" s="34">
        <f>'[114]Inversion rec-TA'!$G$21</f>
        <v>2443637.0087098256</v>
      </c>
      <c r="I225" s="34"/>
      <c r="J225" s="34">
        <f>'[114]Costos Operativos Rec-TA'!$G$23</f>
        <v>1111918.7444559573</v>
      </c>
      <c r="K225" s="25">
        <f>'[114]Inversion rec-TA'!$G$46</f>
        <v>0</v>
      </c>
      <c r="L225" s="25">
        <f>+'[114]Costos Operativos Rec-TA'!$G$46</f>
        <v>0</v>
      </c>
      <c r="M225" s="19">
        <f t="shared" si="159"/>
        <v>-11274018.851070635</v>
      </c>
      <c r="N225" s="19"/>
      <c r="O225" s="25">
        <f>IF(((VLOOKUP($E225,Tabla13[],Inputs_costos!$I$1,FALSE))*(O$3*$E$3+O$4*$E$4)-AG225)&lt;0,0,VLOOKUP($E225,Tabla13[],Inputs_costos!$I$1,FALSE)*(O$3*$E$3+O$4*$E$4)-AG225)</f>
        <v>359159.83353599999</v>
      </c>
      <c r="P225" s="25">
        <f>(VLOOKUP($E225,Tabla13[],Inputs_costos!$J$1,FALSE))*(P$3*$E$3+P$4*$E$4)</f>
        <v>26127.3549570752</v>
      </c>
      <c r="Q225" s="25"/>
      <c r="R225" s="25">
        <f>IF($AC225&gt;=15,(VLOOKUP($E225,Tabla13[],Inputs_costos!$G$1,FALSE))*($R$3*$E$3+$R$4*$E$4),(VLOOKUP($E225,Tabla13[],Inputs_costos!$G$1,FALSE))*($T$3*$E$3+$T$4*$E$4))-AH225</f>
        <v>988347.93975999998</v>
      </c>
      <c r="S225" s="25">
        <f t="shared" si="160"/>
        <v>0</v>
      </c>
      <c r="T225" s="25">
        <f>IF($AC225&gt;=15,(VLOOKUP($E225,Tabla13[],Inputs_costos!$H$1,FALSE))*($R$3*$E$3+$R$4*$E$4),(VLOOKUP($E225,Tabla13[],Inputs_costos!$H$1,FALSE))*($T$3*$E$3+$T$4*$E$4))</f>
        <v>196517.44347199998</v>
      </c>
      <c r="U225" s="465">
        <f>SUMIFS(Tabla24[Costo de Cierre Técnico de BCA (US$)],Tabla24[Localidad],Resumen!$D225)</f>
        <v>1314400</v>
      </c>
      <c r="V225" s="461">
        <f t="shared" si="161"/>
        <v>2524229.4905599998</v>
      </c>
      <c r="W225" s="465">
        <f>SUMIFS(Tabla24[Costo anual de Manteniemiento Post-cierre (US$)],Tabla24[Localidad],Resumen!$D225)</f>
        <v>116700.07083739924</v>
      </c>
      <c r="X225" s="461">
        <f t="shared" si="162"/>
        <v>224115.76411914499</v>
      </c>
      <c r="Y225" s="28">
        <f>VLOOKUP($D225,'Costo Social x localidad'!$B$2:$M$156,12,FALSE)*(Y$3*$E$3+Y$4*$E$4)</f>
        <v>26202.42798144</v>
      </c>
      <c r="Z225" s="28">
        <f>VLOOKUP(D225,'Estimación  PRESUPUESTO PCAS'!$B$4:$G$158,'Estimación  PRESUPUESTO PCAS'!$G$2,FALSE)</f>
        <v>195826.14272565825</v>
      </c>
      <c r="AA225" s="650">
        <f>(-O225-R225)/(1+0.12)+PV(12%,20,P225)+PV(12%,20,T225)-(O225*0.5)/(1+0.12)^10-S225/(1+0.12)^10</f>
        <v>-2923984.6375870965</v>
      </c>
      <c r="AB225" s="651">
        <f>M225+AA225</f>
        <v>-14198003.488657732</v>
      </c>
      <c r="AC225" s="10">
        <f>VLOOKUP($E225,Resumen_Generación!$B$5:$F$158,Resumen_Generación!$D$3,FALSE)</f>
        <v>14.081941424000002</v>
      </c>
      <c r="AD225" s="10">
        <f>VLOOKUP($E225,Resumen_Generación!$B$5:$G$158,Resumen_Generación!$G$3,FALSE)</f>
        <v>5.7342019699999991</v>
      </c>
      <c r="AE225" s="362">
        <f>VLOOKUP($E225,Resumen_Generación!$B$5:$F$158,Resumen_Generación!$E$3,FALSE)</f>
        <v>17613</v>
      </c>
      <c r="AF225" s="10">
        <f>VLOOKUP($E225,Resumen_Generación!$B$5:$F$158,Resumen_Generación!$F$3,FALSE)</f>
        <v>6.5117920000000007</v>
      </c>
      <c r="AG225" s="448">
        <f>VLOOKUP($D225,Valoración_Equip_actual!$D$4:$I$157,Valoración_Equip_actual!$E$2,FALSE)*$E$4</f>
        <v>0</v>
      </c>
      <c r="AH225" s="448">
        <f>VLOOKUP($D225,Valoración_Equip_actual!$D$4:$I$157,Valoración_Equip_actual!$F$2,FALSE)*$E$4</f>
        <v>0</v>
      </c>
      <c r="AI225" s="448">
        <f>[114]P_Datos!$D$43</f>
        <v>0.46216393442622955</v>
      </c>
      <c r="AN225" s="34" t="str">
        <f>[114]Datos!$C$2</f>
        <v>Los Toldos</v>
      </c>
      <c r="AO225" s="25" t="str">
        <f>VLOOKUP($E225,Tabla13[],Inputs_costos!$D$1,FALSE)</f>
        <v>LOS TOLDOS</v>
      </c>
      <c r="AP225" s="28" t="str">
        <f>VLOOKUP($D225,'Costo Social x localidad'!$B$2:$M$156,1,FALSE)</f>
        <v>LOS TOLDOS</v>
      </c>
    </row>
    <row r="226" spans="1:42" ht="15.75" thickBot="1">
      <c r="A226" s="917"/>
      <c r="B226" s="887"/>
      <c r="C226" s="478" t="str">
        <f>IF(AND(D226=AN226,D226=AO226,D226=AP226),"ok","ATENCIÓN NO ESTÁ TOMANDO BIEN LA LOCALIDAD")</f>
        <v>ok</v>
      </c>
      <c r="D226" s="36" t="s">
        <v>175</v>
      </c>
      <c r="E226" s="511">
        <f>VLOOKUP(D226,Pobl_adoptada!$C$5:$D$158,2,FALSE)</f>
        <v>79</v>
      </c>
      <c r="F226" s="37" t="s">
        <v>308</v>
      </c>
      <c r="G226" s="37"/>
      <c r="H226" s="117">
        <f>'[115]Inversion rec-TA'!$G$21</f>
        <v>5750938.3644238552</v>
      </c>
      <c r="I226" s="117"/>
      <c r="J226" s="117">
        <f>'[115]Costos Operativos Rec-TA'!$G$23</f>
        <v>3407698.8555898853</v>
      </c>
      <c r="K226" s="25">
        <f>'[115]Inversion rec-TA'!$G$46</f>
        <v>0</v>
      </c>
      <c r="L226" s="25">
        <f>+'[115]Costos Operativos Rec-TA'!$G$46</f>
        <v>0</v>
      </c>
      <c r="M226" s="19">
        <f t="shared" si="159"/>
        <v>-32440029.125948481</v>
      </c>
      <c r="N226" s="19"/>
      <c r="O226" s="25">
        <f>IF(((VLOOKUP($E226,Tabla13[],Inputs_costos!$I$1,FALSE))*(O$3*$E$3+O$4*$E$4)-AG226)&lt;0,0,VLOOKUP($E226,Tabla13[],Inputs_costos!$I$1,FALSE)*(O$3*$E$3+O$4*$E$4)-AG226)</f>
        <v>1850647.2441500002</v>
      </c>
      <c r="P226" s="25">
        <f>(VLOOKUP($E226,Tabla13[],Inputs_costos!$J$1,FALSE))*(P$3*$E$3+P$4*$E$4)</f>
        <v>1119049.4410560001</v>
      </c>
      <c r="Q226" s="25"/>
      <c r="R226" s="25">
        <f>IF($AC226&gt;=15,(VLOOKUP($E226,Tabla13[],Inputs_costos!$G$1,FALSE))*($R$3*$E$3+$R$4*$E$4),(VLOOKUP($E226,Tabla13[],Inputs_costos!$G$1,FALSE))*($T$3*$E$3+$T$4*$E$4))-AH226</f>
        <v>16222971.510400001</v>
      </c>
      <c r="S226" s="25">
        <f t="shared" si="160"/>
        <v>815000</v>
      </c>
      <c r="T226" s="25">
        <f>IF($AC226&gt;=15,(VLOOKUP($E226,Tabla13[],Inputs_costos!$H$1,FALSE))*($R$3*$E$3+$R$4*$E$4),(VLOOKUP($E226,Tabla13[],Inputs_costos!$H$1,FALSE))*($T$3*$E$3+$T$4*$E$4))</f>
        <v>1351629.589744</v>
      </c>
      <c r="U226" s="465">
        <f>SUMIFS(Tabla24[Costo de Cierre Técnico de BCA (US$)],Tabla24[Localidad],Resumen!$D226)</f>
        <v>6355760</v>
      </c>
      <c r="V226" s="461">
        <f t="shared" si="161"/>
        <v>12205870.988224</v>
      </c>
      <c r="W226" s="465">
        <f>SUMIFS(Tabla24[Costo anual de Manteniemiento Post-cierre (US$)],Tabla24[Localidad],Resumen!$D226)</f>
        <v>564301.31027503707</v>
      </c>
      <c r="X226" s="461">
        <f t="shared" si="162"/>
        <v>1083708.1626277368</v>
      </c>
      <c r="Y226" s="447">
        <f>VLOOKUP($D226,'Costo Social x localidad'!$B$2:$M$156,12,FALSE)*(Y$3*$E$3+Y$4*$E$4)</f>
        <v>106842.96851903999</v>
      </c>
      <c r="Z226" s="28">
        <f>VLOOKUP(D226,'Estimación  PRESUPUESTO PCAS'!$B$4:$G$158,'Estimación  PRESUPUESTO PCAS'!$G$2,FALSE)</f>
        <v>583052.7513399733</v>
      </c>
      <c r="AA226" s="650">
        <f>(-O226-R226)/(1+0.12)+PV(12%,20,P226)+PV(12%,20,T226)-(O226*0.5)/(1+0.12)^10-S226/(1+0.12)^10</f>
        <v>-35152094.965960473</v>
      </c>
      <c r="AB226" s="651">
        <f>M226+AA226</f>
        <v>-67592124.091908962</v>
      </c>
      <c r="AC226" s="10">
        <f>VLOOKUP($E226,Resumen_Generación!$B$5:$F$158,Resumen_Generación!$D$3,FALSE)</f>
        <v>80.523946104000004</v>
      </c>
      <c r="AD226" s="10">
        <f>VLOOKUP($E226,Resumen_Generación!$B$5:$G$158,Resumen_Generación!$G$3,FALSE)</f>
        <v>32.757688619999996</v>
      </c>
      <c r="AE226" s="362">
        <f>VLOOKUP($E226,Resumen_Generación!$B$5:$F$158,Resumen_Generación!$E$3,FALSE)</f>
        <v>104637</v>
      </c>
      <c r="AF226" s="10">
        <f>VLOOKUP($E226,Resumen_Generación!$B$5:$F$158,Resumen_Generación!$F$3,FALSE)</f>
        <v>37.237598999999996</v>
      </c>
      <c r="AG226" s="448">
        <f>VLOOKUP($D226,Valoración_Equip_actual!$D$4:$I$157,Valoración_Equip_actual!$E$2,FALSE)*$E$4</f>
        <v>169789.12960999997</v>
      </c>
      <c r="AH226" s="448">
        <f>VLOOKUP($D226,Valoración_Equip_actual!$D$4:$I$157,Valoración_Equip_actual!$F$2,FALSE)*$E$4</f>
        <v>360617.2</v>
      </c>
      <c r="AI226" s="448">
        <f>[115]P_Datos!$D$43</f>
        <v>2.6733770491803277</v>
      </c>
      <c r="AN226" s="34" t="str">
        <f>[115]Datos!$C$2</f>
        <v>Junín</v>
      </c>
      <c r="AO226" s="25" t="str">
        <f>VLOOKUP($E226,Tabla13[],Inputs_costos!$D$1,FALSE)</f>
        <v>JUNÍN</v>
      </c>
      <c r="AP226" s="28" t="str">
        <f>VLOOKUP($D226,'Costo Social x localidad'!$B$2:$M$156,1,FALSE)</f>
        <v>JUNÍN</v>
      </c>
    </row>
    <row r="227" spans="1:42" ht="15.75" thickBot="1">
      <c r="A227" s="917"/>
      <c r="B227" s="888"/>
      <c r="C227" s="510"/>
      <c r="D227" s="12" t="s">
        <v>8</v>
      </c>
      <c r="E227" s="40"/>
      <c r="F227" s="13"/>
      <c r="G227" s="8"/>
      <c r="H227" s="32">
        <f>SUM(H222:H226)</f>
        <v>16456525.8896439</v>
      </c>
      <c r="I227" s="32"/>
      <c r="J227" s="32">
        <f>SUM(J222:J226)</f>
        <v>8811790.0442894064</v>
      </c>
      <c r="K227" s="14"/>
      <c r="L227" s="14"/>
      <c r="M227" s="15">
        <f t="shared" ref="M227:T227" si="163">SUM(M222:M226)</f>
        <v>-85811056.556140184</v>
      </c>
      <c r="N227" s="15"/>
      <c r="O227" s="16">
        <f t="shared" si="163"/>
        <v>4167590.1605020002</v>
      </c>
      <c r="P227" s="16">
        <f t="shared" si="163"/>
        <v>1918459.4332872257</v>
      </c>
      <c r="Q227" s="16"/>
      <c r="R227" s="26">
        <f t="shared" si="163"/>
        <v>29067245.77352</v>
      </c>
      <c r="S227" s="26"/>
      <c r="T227" s="26">
        <f t="shared" si="163"/>
        <v>3219615.2258879999</v>
      </c>
      <c r="U227" s="26"/>
      <c r="V227" s="26">
        <f t="shared" ref="V227" si="164">SUM(V222:V226)</f>
        <v>20938890.757984001</v>
      </c>
      <c r="W227" s="26"/>
      <c r="X227" s="26">
        <f t="shared" ref="X227:AA227" si="165">SUM(X222:X226)</f>
        <v>1859076.4110721983</v>
      </c>
      <c r="Y227" s="26">
        <f t="shared" si="165"/>
        <v>240688.22092615999</v>
      </c>
      <c r="Z227" s="26">
        <f t="shared" si="165"/>
        <v>1510211.0795902507</v>
      </c>
      <c r="AA227" s="653">
        <f t="shared" si="165"/>
        <v>-69248262.281695396</v>
      </c>
      <c r="AB227" s="654">
        <f>+M227+AA227</f>
        <v>-155059318.83783558</v>
      </c>
      <c r="AC227" s="630">
        <f t="shared" ref="AC227:AI227" si="166">SUM(AC222:AC226)</f>
        <v>143.81307650400001</v>
      </c>
      <c r="AD227" s="630">
        <f t="shared" si="166"/>
        <v>58.563109369999992</v>
      </c>
      <c r="AE227" s="631">
        <f t="shared" si="166"/>
        <v>185717</v>
      </c>
      <c r="AF227" s="630">
        <f t="shared" si="166"/>
        <v>66.501637999999986</v>
      </c>
      <c r="AG227" s="630">
        <f t="shared" si="166"/>
        <v>1172011.7896100001</v>
      </c>
      <c r="AH227" s="630">
        <f t="shared" si="166"/>
        <v>403442.7</v>
      </c>
      <c r="AI227" s="630">
        <f t="shared" si="166"/>
        <v>4.6994098360655734</v>
      </c>
      <c r="AJ227" s="4"/>
      <c r="AK227" s="4"/>
      <c r="AL227" s="4"/>
      <c r="AM227" s="4"/>
      <c r="AN227" s="4"/>
      <c r="AO227" s="4"/>
      <c r="AP227" s="4"/>
    </row>
    <row r="228" spans="1:42">
      <c r="A228" s="917"/>
      <c r="B228" s="886" t="s">
        <v>310</v>
      </c>
      <c r="C228" s="507" t="str">
        <f>IF(AND(D228=AN228,D228=AO228,D228=AP228),"ok","ATENCIÓN NO ESTÁ TOMANDO BIEN LA LOCALIDAD")</f>
        <v>ok</v>
      </c>
      <c r="D228" s="23" t="s">
        <v>549</v>
      </c>
      <c r="E228" s="114">
        <f>VLOOKUP(D228,Pobl_adoptada!$C$5:$D$158,2,FALSE)</f>
        <v>148</v>
      </c>
      <c r="F228" s="8" t="s">
        <v>308</v>
      </c>
      <c r="G228" s="576">
        <f>+'[116]Inversion rec-TA'!$G$21</f>
        <v>1038308.5325184</v>
      </c>
      <c r="H228" s="577">
        <f>+($AC222/$AC227)*H233+G228</f>
        <v>1081737.7354589535</v>
      </c>
      <c r="I228" s="587">
        <f>+'[116]Costos Operativos Rec-TA'!$G$23</f>
        <v>758545.50785256969</v>
      </c>
      <c r="J228" s="579">
        <f>+($AC222/$AC227)*J233+I228</f>
        <v>759414.09191138076</v>
      </c>
      <c r="K228" s="10">
        <f>+'[116]Inversion rec-TA'!$G$46</f>
        <v>0</v>
      </c>
      <c r="L228" s="10">
        <f>+'[116]Costos Operativos Rec-TA'!$G$46</f>
        <v>0</v>
      </c>
      <c r="M228" s="19">
        <f t="shared" ref="M228:M232" si="167">-H228/(1+0.12)+PV(12%,20,J228)-H228/(1+0.12)^10</f>
        <v>-6986528.6106826412</v>
      </c>
      <c r="N228" s="614">
        <f>+$AD222/$AD227*N234</f>
        <v>38601.761303905223</v>
      </c>
      <c r="O228" s="25">
        <f>IF(N228-AG228&lt;0,0,N228-AG228)</f>
        <v>38601.761303905223</v>
      </c>
      <c r="P228" s="32">
        <f>+$AD222/$AD227*P234</f>
        <v>18512.553943964303</v>
      </c>
      <c r="Q228" s="614">
        <f>+$AC222/$AC227*Q234</f>
        <v>412344.86838832701</v>
      </c>
      <c r="R228" s="647">
        <f>IF(Q228-AH228&lt;0,0,Q228-AH228)</f>
        <v>412344.86838832701</v>
      </c>
      <c r="S228" s="647">
        <f>+S222</f>
        <v>0</v>
      </c>
      <c r="T228" s="32">
        <f>+$AC222/$AC227*T234</f>
        <v>25242.855880677755</v>
      </c>
      <c r="U228" s="27"/>
      <c r="V228" s="461">
        <f>+V222</f>
        <v>0</v>
      </c>
      <c r="W228" s="27"/>
      <c r="X228" s="461">
        <f t="shared" ref="X228:Z230" si="168">+X222</f>
        <v>0</v>
      </c>
      <c r="Y228" s="27">
        <f t="shared" si="168"/>
        <v>3705.9609704</v>
      </c>
      <c r="Z228" s="27">
        <f t="shared" si="168"/>
        <v>153511.46704793599</v>
      </c>
      <c r="AA228" s="650">
        <f>(-O228-R228)/(1+0.12)+PV(12%,20,P228)+PV(12%,20,T228)-(O228*0.5)/(1+0.12)^10-S228/(1+0.12)^10</f>
        <v>-735673.8533251381</v>
      </c>
      <c r="AB228" s="651">
        <f>M228+AA228</f>
        <v>-7722202.464007779</v>
      </c>
      <c r="AG228" s="448">
        <f>VLOOKUP($D228,Valoración_Eq_REG!$D$4:$I$157,Valoración_Eq_REG!$E$2,FALSE)*$E$4</f>
        <v>0</v>
      </c>
      <c r="AH228" s="448">
        <f>VLOOKUP($D228,Valoración_Eq_REG!$D$4:$I$157,Valoración_Eq_REG!$F$2,FALSE)*$E$4</f>
        <v>0</v>
      </c>
      <c r="AJ228" s="512">
        <f>+'[116]Evaluacion Economica'!$L$25</f>
        <v>2</v>
      </c>
      <c r="AK228" s="513">
        <f>+'[116]Evaluacion Economica'!$R$25</f>
        <v>18</v>
      </c>
      <c r="AL228" s="512">
        <f>+'[116]P_Evaluacion Economica'!$L$27</f>
        <v>2</v>
      </c>
      <c r="AM228" s="513">
        <f>+'[116]P_Evaluacion Economica'!$Q$27</f>
        <v>6</v>
      </c>
      <c r="AN228" s="34" t="str">
        <f>+[116]Datos!$C$2</f>
        <v>Juan Bautista Alberdi</v>
      </c>
      <c r="AO228" s="25" t="str">
        <f>VLOOKUP($E228,Tabla13[],Inputs_costos!$D$1,FALSE)</f>
        <v>JUAN BAUTISTA ALBERDI</v>
      </c>
      <c r="AP228" s="28" t="str">
        <f>VLOOKUP($D228,'Costo Social x localidad'!$B$2:$M$156,1,FALSE)</f>
        <v>Juan Bautista Alberdi</v>
      </c>
    </row>
    <row r="229" spans="1:42" ht="22.5" customHeight="1">
      <c r="A229" s="917"/>
      <c r="B229" s="887"/>
      <c r="C229" s="478" t="str">
        <f>IF(AND(D229=AN229,D229=AO229,D229=AP229),"ok","ATENCIÓN NO ESTÁ TOMANDO BIEN LA LOCALIDAD")</f>
        <v>ok</v>
      </c>
      <c r="D229" s="24" t="s">
        <v>137</v>
      </c>
      <c r="E229" s="115">
        <f>VLOOKUP(D229,Pobl_adoptada!$C$5:$D$158,2,FALSE)</f>
        <v>48</v>
      </c>
      <c r="F229" s="9" t="s">
        <v>308</v>
      </c>
      <c r="G229" s="580">
        <f>+'[117]Inversion rec-TA'!$G$21</f>
        <v>4344991.7709721066</v>
      </c>
      <c r="H229" s="34">
        <f>+($AC223/$AC227)*H233+G229</f>
        <v>5065062.2200870104</v>
      </c>
      <c r="I229" s="465">
        <f>+'[117]Costos Operativos Rec-TA'!$G$23</f>
        <v>2758597.0180224897</v>
      </c>
      <c r="J229" s="581">
        <f>+($AC223/$AC227)*J233+I229</f>
        <v>2772998.4270047876</v>
      </c>
      <c r="K229" s="10">
        <f>+'[117]Inversion rec-TA'!$G$46</f>
        <v>0</v>
      </c>
      <c r="L229" s="10">
        <f>+'[117]Costos Operativos Rec-TA'!$G$46</f>
        <v>0</v>
      </c>
      <c r="M229" s="19">
        <f t="shared" si="167"/>
        <v>-26865946.879616585</v>
      </c>
      <c r="N229" s="465">
        <f>+$AD223/$AD227*N234</f>
        <v>649221.85186661826</v>
      </c>
      <c r="O229" s="25">
        <f>IF(N229-AG229&lt;0,0,N229-AG229)</f>
        <v>649221.85186661826</v>
      </c>
      <c r="P229" s="25">
        <f>+$AD223/$AD227*P234</f>
        <v>311352.49139694747</v>
      </c>
      <c r="Q229" s="465">
        <f>+$AC223/$AC227*Q234</f>
        <v>6836813.3529190812</v>
      </c>
      <c r="R229" s="647">
        <f>IF(Q229-AH229&lt;0,0,Q229-AH229)</f>
        <v>6793987.8529190812</v>
      </c>
      <c r="S229" s="647">
        <f t="shared" ref="S229:S232" si="169">+S223</f>
        <v>815000</v>
      </c>
      <c r="T229" s="25">
        <f>+$AC223/$AC227*T234</f>
        <v>418534.84154021589</v>
      </c>
      <c r="U229" s="28"/>
      <c r="V229" s="461">
        <f>+V223</f>
        <v>3155286.8632</v>
      </c>
      <c r="W229" s="28"/>
      <c r="X229" s="461">
        <f t="shared" si="168"/>
        <v>280144.7051489313</v>
      </c>
      <c r="Y229" s="28">
        <f t="shared" si="168"/>
        <v>80973.83271432</v>
      </c>
      <c r="Z229" s="28">
        <f t="shared" si="168"/>
        <v>385024.81752878497</v>
      </c>
      <c r="AA229" s="650">
        <f>(-O229-R229)/(1+0.12)+PV(12%,20,P229)+PV(12%,20,T229)-(O229*0.5)/(1+0.12)^10-S229/(1+0.12)^10</f>
        <v>-12464499.454463353</v>
      </c>
      <c r="AB229" s="651">
        <f>M229+AA229</f>
        <v>-39330446.334079936</v>
      </c>
      <c r="AC229" s="10"/>
      <c r="AD229" s="10"/>
      <c r="AE229" s="362"/>
      <c r="AF229" s="10"/>
      <c r="AG229" s="448">
        <f>VLOOKUP($D229,Valoración_Eq_REG!$D$4:$I$157,Valoración_Eq_REG!$E$2,FALSE)*$E$4</f>
        <v>0</v>
      </c>
      <c r="AH229" s="448">
        <f>VLOOKUP($D229,Valoración_Eq_REG!$D$4:$I$157,Valoración_Eq_REG!$F$2,FALSE)*$E$4</f>
        <v>42825.5</v>
      </c>
      <c r="AI229" s="10"/>
      <c r="AJ229" s="512">
        <f>+'[117]Evaluacion Economica'!$L$25</f>
        <v>4</v>
      </c>
      <c r="AK229" s="513">
        <f>+'[117]Evaluacion Economica'!$R$25</f>
        <v>24</v>
      </c>
      <c r="AL229" s="512">
        <f>+'[117]P_Evaluacion Economica'!$L$27</f>
        <v>4</v>
      </c>
      <c r="AM229" s="513">
        <f>+'[117]P_Evaluacion Economica'!$Q$27</f>
        <v>6</v>
      </c>
      <c r="AN229" s="34" t="str">
        <f>+[117]Datos!$C$2</f>
        <v>Chacabuco</v>
      </c>
      <c r="AO229" s="25" t="str">
        <f>VLOOKUP($E229,Tabla13[],Inputs_costos!$D$1,FALSE)</f>
        <v>CHACABUCO</v>
      </c>
      <c r="AP229" s="28" t="str">
        <f>VLOOKUP($D229,'Costo Social x localidad'!$B$2:$M$156,1,FALSE)</f>
        <v>CHACABUCO</v>
      </c>
    </row>
    <row r="230" spans="1:42">
      <c r="A230" s="917"/>
      <c r="B230" s="887"/>
      <c r="C230" s="478" t="str">
        <f>IF(AND(D230=AN230,D230=AO230,D230=AP230),"ok","ATENCIÓN NO ESTÁ TOMANDO BIEN LA LOCALIDAD")</f>
        <v>ok</v>
      </c>
      <c r="D230" s="24" t="s">
        <v>183</v>
      </c>
      <c r="E230" s="115">
        <f>VLOOKUP(D230,Pobl_adoptada!$C$5:$D$158,2,FALSE)</f>
        <v>85</v>
      </c>
      <c r="F230" s="9" t="s">
        <v>308</v>
      </c>
      <c r="G230" s="580">
        <f>+'[118]Inversion rec-TA'!$G$21</f>
        <v>1759774.3071398835</v>
      </c>
      <c r="H230" s="34">
        <f>+($AC224/$AC227)*H233+G230</f>
        <v>1899298.2101409556</v>
      </c>
      <c r="I230" s="465">
        <f>+'[118]Costos Operativos Rec-TA'!$G$23</f>
        <v>911022.26641415618</v>
      </c>
      <c r="J230" s="581">
        <f>+($AC224/$AC227)*J233+I230</f>
        <v>913812.7444741776</v>
      </c>
      <c r="K230" s="10">
        <f>+'[118]Inversion rec-TA'!$G$46</f>
        <v>0</v>
      </c>
      <c r="L230" s="10">
        <f>+'[118]Costos Operativos Rec-TA'!$G$46</f>
        <v>0</v>
      </c>
      <c r="M230" s="19">
        <f t="shared" si="167"/>
        <v>-9132997.9433520883</v>
      </c>
      <c r="N230" s="465">
        <f>+$AD224/$AD227*N234</f>
        <v>125620.00008189038</v>
      </c>
      <c r="O230" s="25">
        <f>IF(N230-AG230&lt;0,0,N230-AG230)</f>
        <v>0</v>
      </c>
      <c r="P230" s="25">
        <f>+$AD224/$AD227*P234</f>
        <v>60244.583392145039</v>
      </c>
      <c r="Q230" s="465">
        <f>+$AC224/$AC227*Q234</f>
        <v>1324729.9403296302</v>
      </c>
      <c r="R230" s="647">
        <f>IF(Q230-AH230&lt;0,0,Q230-AH230)</f>
        <v>1324729.9403296302</v>
      </c>
      <c r="S230" s="647">
        <f t="shared" si="169"/>
        <v>0</v>
      </c>
      <c r="T230" s="25">
        <f>+$AC224/$AC227*T234</f>
        <v>81097.085299646584</v>
      </c>
      <c r="U230" s="458"/>
      <c r="V230" s="461">
        <f t="shared" ref="V230" si="170">+V224</f>
        <v>3053503.4160000002</v>
      </c>
      <c r="W230" s="28"/>
      <c r="X230" s="461">
        <f t="shared" si="168"/>
        <v>271107.77917638514</v>
      </c>
      <c r="Y230" s="28">
        <f t="shared" si="168"/>
        <v>22963.030740959999</v>
      </c>
      <c r="Z230" s="28">
        <f t="shared" si="168"/>
        <v>192795.90094789825</v>
      </c>
      <c r="AA230" s="650">
        <f>(-O230-R230)/(1+0.12)+PV(12%,20,P230)+PV(12%,20,T230)-(O230*0.5)/(1+0.12)^10-S230/(1+0.12)^10</f>
        <v>-2238538.2156417537</v>
      </c>
      <c r="AB230" s="651">
        <f>M230+AA230</f>
        <v>-11371536.158993842</v>
      </c>
      <c r="AC230" s="39"/>
      <c r="AD230" s="10"/>
      <c r="AE230" s="10"/>
      <c r="AF230" s="10"/>
      <c r="AG230" s="448">
        <f>VLOOKUP($D230,Valoración_Eq_REG!$D$4:$I$157,Valoración_Eq_REG!$E$2,FALSE)*$E$4</f>
        <v>640899.06000000006</v>
      </c>
      <c r="AH230" s="448">
        <f>VLOOKUP($D230,Valoración_Eq_REG!$D$4:$I$157,Valoración_Eq_REG!$F$2,FALSE)*$E$4</f>
        <v>0</v>
      </c>
      <c r="AI230" s="11"/>
      <c r="AJ230" s="484">
        <f>+'[118]Evaluacion Economica'!$L$25</f>
        <v>2</v>
      </c>
      <c r="AK230" s="448">
        <f>+'[118]Evaluacion Economica'!$R$25</f>
        <v>9</v>
      </c>
      <c r="AL230" s="484">
        <f>+'[118]P_Evaluacion Economica'!$L$27</f>
        <v>2</v>
      </c>
      <c r="AM230" s="448">
        <f>+'[118]P_Evaluacion Economica'!$Q$27</f>
        <v>6</v>
      </c>
      <c r="AN230" s="34" t="str">
        <f>+[118]Datos!$C$2</f>
        <v>Vedia</v>
      </c>
      <c r="AO230" s="25" t="str">
        <f>VLOOKUP($E230,Tabla13[],Inputs_costos!$D$1,FALSE)</f>
        <v>VEDIA</v>
      </c>
      <c r="AP230" s="28" t="str">
        <f>VLOOKUP($D230,'Costo Social x localidad'!$B$2:$M$156,1,FALSE)</f>
        <v>VEDIA</v>
      </c>
    </row>
    <row r="231" spans="1:42">
      <c r="A231" s="917"/>
      <c r="B231" s="887"/>
      <c r="C231" s="478" t="str">
        <f>IF(AND(D231=AN231,D231=AO231,D231=AP231),"ok","ATENCIÓN NO ESTÁ TOMANDO BIEN LA LOCALIDAD")</f>
        <v>ok</v>
      </c>
      <c r="D231" s="24" t="s">
        <v>169</v>
      </c>
      <c r="E231" s="115">
        <f>VLOOKUP(D231,Pobl_adoptada!$C$5:$D$158,2,FALSE)</f>
        <v>75</v>
      </c>
      <c r="F231" s="9" t="s">
        <v>308</v>
      </c>
      <c r="G231" s="580">
        <f>+'[119]Inversion rec-TA'!$G$21</f>
        <v>2279762.6931275614</v>
      </c>
      <c r="H231" s="34">
        <f>+($AC225/$AC227)*H233+G231</f>
        <v>2538186.8191836234</v>
      </c>
      <c r="I231" s="465">
        <f>+'[119]Costos Operativos Rec-TA'!$G$23</f>
        <v>1183500.80272752</v>
      </c>
      <c r="J231" s="581">
        <f>+($AC225/$AC227)*J233+I231</f>
        <v>1188669.2852486412</v>
      </c>
      <c r="K231" s="10">
        <f>+'[119]Inversion rec-TA'!$G$46</f>
        <v>0</v>
      </c>
      <c r="L231" s="10">
        <f>+'[119]Costos Operativos Rec-TA'!$G$46</f>
        <v>0</v>
      </c>
      <c r="M231" s="19">
        <f t="shared" si="167"/>
        <v>-11962164.670792848</v>
      </c>
      <c r="N231" s="465">
        <f>+$AD225/$AD227*N234</f>
        <v>232394.95422389632</v>
      </c>
      <c r="O231" s="25">
        <f>IF(N231-AG231&lt;0,0,N231-AG231)</f>
        <v>232394.95422389632</v>
      </c>
      <c r="P231" s="25">
        <f>+$AD225/$AD227*P234</f>
        <v>111451.49809368291</v>
      </c>
      <c r="Q231" s="465">
        <f>+$AC225/$AC227*Q234</f>
        <v>2453645.3591565113</v>
      </c>
      <c r="R231" s="647">
        <f>IF(Q231-AH231&lt;0,0,Q231-AH231)</f>
        <v>2453645.3591565113</v>
      </c>
      <c r="S231" s="647">
        <f t="shared" si="169"/>
        <v>0</v>
      </c>
      <c r="T231" s="25">
        <f>+$AC225/$AC227*T234</f>
        <v>150206.83154265</v>
      </c>
      <c r="V231" s="461">
        <f t="shared" ref="V231" si="171">+V225</f>
        <v>2524229.4905599998</v>
      </c>
      <c r="W231" s="25"/>
      <c r="X231" s="461">
        <f t="shared" ref="X231:Y231" si="172">+X225</f>
        <v>224115.76411914499</v>
      </c>
      <c r="Y231" s="28">
        <f t="shared" si="172"/>
        <v>26202.42798144</v>
      </c>
      <c r="Z231" s="28">
        <f>+Z225</f>
        <v>195826.14272565825</v>
      </c>
      <c r="AA231" s="650">
        <f>(-O231-R231)/(1+0.12)+PV(12%,20,P231)+PV(12%,20,T231)-(O231*0.5)/(1+0.12)^10-S231/(1+0.12)^10</f>
        <v>-4390104.8996476578</v>
      </c>
      <c r="AB231" s="651">
        <f>M231+AA231</f>
        <v>-16352269.570440505</v>
      </c>
      <c r="AC231" s="10"/>
      <c r="AD231" s="10"/>
      <c r="AE231" s="10"/>
      <c r="AF231" s="10"/>
      <c r="AG231" s="448">
        <f>VLOOKUP($D231,Valoración_Eq_REG!$D$4:$I$157,Valoración_Eq_REG!$E$2,FALSE)*$E$4</f>
        <v>0</v>
      </c>
      <c r="AH231" s="448">
        <f>VLOOKUP($D231,Valoración_Eq_REG!$D$4:$I$157,Valoración_Eq_REG!$F$2,FALSE)*$E$4</f>
        <v>0</v>
      </c>
      <c r="AI231" s="2"/>
      <c r="AJ231" s="484">
        <f>+'[119]Evaluacion Economica'!$L$25</f>
        <v>3</v>
      </c>
      <c r="AK231" s="448">
        <f>+'[119]Evaluacion Economica'!$R$25</f>
        <v>17</v>
      </c>
      <c r="AL231" s="484">
        <f>+'[119]P_Evaluacion Economica'!$L$27</f>
        <v>2</v>
      </c>
      <c r="AM231" s="448">
        <f>+'[119]P_Evaluacion Economica'!$Q$27</f>
        <v>6</v>
      </c>
      <c r="AN231" s="34" t="str">
        <f>+[119]Datos!$C$2</f>
        <v>Los Toldos</v>
      </c>
      <c r="AO231" s="25" t="str">
        <f>VLOOKUP($E231,Tabla13[],Inputs_costos!$D$1,FALSE)</f>
        <v>LOS TOLDOS</v>
      </c>
      <c r="AP231" s="28" t="str">
        <f>VLOOKUP($D231,'Costo Social x localidad'!$B$2:$M$156,1,FALSE)</f>
        <v>LOS TOLDOS</v>
      </c>
    </row>
    <row r="232" spans="1:42" ht="15.75" thickBot="1">
      <c r="A232" s="917"/>
      <c r="B232" s="887"/>
      <c r="C232" s="478" t="str">
        <f>IF(AND(D232=AN232,D232=AO232,D232=AP232),"ok","ATENCIÓN NO ESTÁ TOMANDO BIEN LA LOCALIDAD")</f>
        <v>ok</v>
      </c>
      <c r="D232" s="36" t="s">
        <v>175</v>
      </c>
      <c r="E232" s="115">
        <f>VLOOKUP(D232,Pobl_adoptada!$C$5:$D$158,2,FALSE)</f>
        <v>79</v>
      </c>
      <c r="F232" s="9" t="s">
        <v>308</v>
      </c>
      <c r="G232" s="580">
        <f>+'[120]Inversion rec-TA'!$G$21</f>
        <v>5321623.6253139358</v>
      </c>
      <c r="H232" s="34">
        <f>+($AC226/$AC227)*H233+G232</f>
        <v>6799355.2655724362</v>
      </c>
      <c r="I232" s="465">
        <f>+'[120]Costos Operativos Rec-TA'!$G$23</f>
        <v>3427409.5671868431</v>
      </c>
      <c r="J232" s="581">
        <f>+($AC226/$AC227)*J233+I232</f>
        <v>3456964.1999920132</v>
      </c>
      <c r="K232" s="10">
        <f>+'[120]Inversion rec-TA'!$G$46</f>
        <v>0</v>
      </c>
      <c r="L232" s="10">
        <f>+'[120]Costos Operativos Rec-TA'!$G$46</f>
        <v>0</v>
      </c>
      <c r="M232" s="19">
        <f t="shared" si="167"/>
        <v>-34081662.540435113</v>
      </c>
      <c r="N232" s="465">
        <f>+$AD226/$AD227*N234</f>
        <v>1327599.13012369</v>
      </c>
      <c r="O232" s="25">
        <f>IF(N232-AG232&lt;0,0,N232-AG232)</f>
        <v>1157810.0005136901</v>
      </c>
      <c r="P232" s="25">
        <f>+$AD226/$AD227*P234</f>
        <v>636687.28270926047</v>
      </c>
      <c r="Q232" s="465">
        <f>+$AC226/$AC227*Q234</f>
        <v>14030537.460006453</v>
      </c>
      <c r="R232" s="647">
        <f>IF(Q232-AH232&lt;0,0,Q232-AH232)</f>
        <v>13669920.260006454</v>
      </c>
      <c r="S232" s="647">
        <f t="shared" si="169"/>
        <v>815000</v>
      </c>
      <c r="T232" s="25">
        <f>+$AC226/$AC227*T234</f>
        <v>858918.98307280976</v>
      </c>
      <c r="U232" s="29"/>
      <c r="V232" s="461">
        <f t="shared" ref="V232" si="173">+V226</f>
        <v>12205870.988224</v>
      </c>
      <c r="W232" s="25"/>
      <c r="X232" s="461">
        <f t="shared" ref="X232:Y232" si="174">+X226</f>
        <v>1083708.1626277368</v>
      </c>
      <c r="Y232" s="28">
        <f t="shared" si="174"/>
        <v>106842.96851903999</v>
      </c>
      <c r="Z232" s="28">
        <f>+Z226</f>
        <v>583052.7513399733</v>
      </c>
      <c r="AA232" s="650">
        <f>(-O232-R232)/(1+0.12)+PV(12%,20,P232)+PV(12%,20,T232)-(O232*0.5)/(1+0.12)^10-S232/(1+0.12)^10</f>
        <v>-24859191.666347358</v>
      </c>
      <c r="AB232" s="651">
        <f>M232+AA232</f>
        <v>-58940854.206782475</v>
      </c>
      <c r="AC232" s="10"/>
      <c r="AD232" s="10"/>
      <c r="AE232" s="10"/>
      <c r="AF232" s="10"/>
      <c r="AG232" s="448">
        <f>VLOOKUP($D232,Valoración_Eq_REG!$D$4:$I$157,Valoración_Eq_REG!$E$2,FALSE)*$E$4</f>
        <v>169789.12960999997</v>
      </c>
      <c r="AH232" s="448">
        <f>VLOOKUP($D232,Valoración_Eq_REG!$D$4:$I$157,Valoración_Eq_REG!$F$2,FALSE)*$E$4</f>
        <v>360617.2</v>
      </c>
      <c r="AI232" s="2"/>
      <c r="AJ232" s="484">
        <f>+'[120]Evaluacion Economica'!$L$25</f>
        <v>5</v>
      </c>
      <c r="AK232" s="448">
        <f>+'[120]Evaluacion Economica'!$R$25</f>
        <v>17</v>
      </c>
      <c r="AL232" s="484">
        <f>+'[120]P_Evaluacion Economica'!$L$27</f>
        <v>4</v>
      </c>
      <c r="AM232" s="448">
        <f>+'[120]P_Evaluacion Economica'!$Q$27</f>
        <v>15</v>
      </c>
      <c r="AN232" s="34" t="str">
        <f>+[120]Datos!$C$2</f>
        <v>Junín</v>
      </c>
      <c r="AO232" s="25" t="str">
        <f>VLOOKUP($E232,Tabla13[],Inputs_costos!$D$1,FALSE)</f>
        <v>JUNÍN</v>
      </c>
      <c r="AP232" s="28" t="str">
        <f>VLOOKUP($D232,'Costo Social x localidad'!$B$2:$M$156,1,FALSE)</f>
        <v>JUNÍN</v>
      </c>
    </row>
    <row r="233" spans="1:42" ht="30.75" thickBot="1">
      <c r="A233" s="917"/>
      <c r="B233" s="887"/>
      <c r="C233" s="912" t="s">
        <v>12</v>
      </c>
      <c r="D233" s="913"/>
      <c r="E233" s="498" t="s">
        <v>589</v>
      </c>
      <c r="F233" s="571">
        <f>+F216</f>
        <v>0.02</v>
      </c>
      <c r="G233" s="582"/>
      <c r="H233" s="461">
        <f>+AJ233*AJ235+AL233*AL235</f>
        <v>2639179.3213710925</v>
      </c>
      <c r="I233" s="461"/>
      <c r="J233" s="583">
        <f>+$F233*H233</f>
        <v>52783.586427421847</v>
      </c>
      <c r="K233" s="10"/>
      <c r="L233" s="10"/>
      <c r="M233" s="19"/>
      <c r="N233" s="465"/>
      <c r="O233" s="10"/>
      <c r="P233" s="10"/>
      <c r="Q233" s="618"/>
      <c r="R233" s="28"/>
      <c r="S233" s="28"/>
      <c r="T233" s="28"/>
      <c r="U233" s="28"/>
      <c r="V233" s="28"/>
      <c r="W233" s="28"/>
      <c r="X233" s="28"/>
      <c r="Y233" s="28"/>
      <c r="Z233" s="28"/>
      <c r="AA233" s="658"/>
      <c r="AB233" s="20"/>
      <c r="AC233" s="10"/>
      <c r="AD233" s="10"/>
      <c r="AE233" s="10"/>
      <c r="AF233" s="10"/>
      <c r="AG233" s="4"/>
      <c r="AH233" s="4"/>
      <c r="AI233" s="4"/>
      <c r="AJ233" s="501">
        <f>ROUNDUP(C234*SUM(AJ228:AJ232),0)</f>
        <v>5</v>
      </c>
      <c r="AK233" s="502">
        <f>AVERAGE(AK228:AK232)</f>
        <v>17</v>
      </c>
      <c r="AL233" s="501">
        <f>ROUNDUP(C234*SUM(AL228:AL232),0)</f>
        <v>5</v>
      </c>
      <c r="AM233" s="502">
        <f>AVERAGE(AM228:AM232)</f>
        <v>7.8</v>
      </c>
      <c r="AN233" s="4"/>
      <c r="AO233" s="4"/>
      <c r="AP233" s="4"/>
    </row>
    <row r="234" spans="1:42" ht="15.75" thickBot="1">
      <c r="A234" s="918"/>
      <c r="B234" s="888"/>
      <c r="C234" s="570">
        <v>0.3</v>
      </c>
      <c r="D234" s="500" t="str">
        <f>A222</f>
        <v>REGIÓN JUNÍN</v>
      </c>
      <c r="E234" s="468"/>
      <c r="F234" s="469"/>
      <c r="G234" s="584"/>
      <c r="H234" s="585">
        <f>SUM(H228:H232)</f>
        <v>17383640.250442978</v>
      </c>
      <c r="I234" s="585"/>
      <c r="J234" s="586">
        <f>SUM(J228:J232)</f>
        <v>9091858.7486310005</v>
      </c>
      <c r="K234" s="14"/>
      <c r="L234" s="14"/>
      <c r="M234" s="15">
        <f>SUM(M228:M233)</f>
        <v>-89029300.644879282</v>
      </c>
      <c r="N234" s="615">
        <f>(VLOOKUP($E228,Tabla13[],Inputs_costos!$P$1,FALSE))*(O$3*$E$3+O$4*$E$4)</f>
        <v>2373437.6976000001</v>
      </c>
      <c r="O234" s="35">
        <f>SUM(O228:O232)</f>
        <v>2078028.5679081099</v>
      </c>
      <c r="P234" s="35">
        <f>(VLOOKUP($E228,Tabla13[],Inputs_costos!$Q$1,FALSE))*(P$3*$E$3+P$4*$E$4)</f>
        <v>1138248.4095360001</v>
      </c>
      <c r="Q234" s="615">
        <f>IF($AC227&gt;=15,(VLOOKUP($E228,Tabla13[],Inputs_costos!$N$1,FALSE))*($R$3*$E$3+$R$4*$E$4),(VLOOKUP($E228,Tabla13[],Inputs_costos!$N$1,FALSE))*($T$3*$E$3+$T$4*$E$4))</f>
        <v>25058070.980800003</v>
      </c>
      <c r="R234" s="35">
        <f>SUM(R228:R232)</f>
        <v>24654628.280800004</v>
      </c>
      <c r="S234" s="35"/>
      <c r="T234" s="35">
        <f>IF($AC227&gt;=15,(VLOOKUP($E228,Tabla13[],Inputs_costos!$O$1,FALSE))*($R$3*$E$3+$R$4*$E$4),(VLOOKUP($E228,Tabla13[],Inputs_costos!$O$1,FALSE))*($T$3*$E$3+$T$4*$E$4))</f>
        <v>1534000.5973360001</v>
      </c>
      <c r="U234" s="35"/>
      <c r="V234" s="31">
        <f>SUM(V228:V232)</f>
        <v>20938890.757984001</v>
      </c>
      <c r="W234" s="31"/>
      <c r="X234" s="31">
        <f>SUM(X228:X232)</f>
        <v>1859076.4110721983</v>
      </c>
      <c r="Y234" s="31">
        <f>SUM(Y228:Y232)</f>
        <v>240688.22092615999</v>
      </c>
      <c r="Z234" s="31">
        <f>SUM(Z228:Z232)</f>
        <v>1510211.0795902507</v>
      </c>
      <c r="AA234" s="657">
        <f>SUM(AA228:AA232)</f>
        <v>-44688008.089425266</v>
      </c>
      <c r="AB234" s="654">
        <f>+M234+AA234</f>
        <v>-133717308.73430455</v>
      </c>
      <c r="AC234" s="38"/>
      <c r="AD234" s="38"/>
      <c r="AE234" s="38"/>
      <c r="AF234" s="38"/>
      <c r="AG234" s="4"/>
      <c r="AH234" s="4"/>
      <c r="AI234" s="4"/>
      <c r="AJ234" s="11"/>
      <c r="AK234" s="499">
        <f>VLOOKUP(ROUNDUP(AK233,0),DATOS!$F$16:$G$31,2,FALSE)</f>
        <v>17</v>
      </c>
      <c r="AL234" s="497"/>
      <c r="AM234" s="499">
        <f>VLOOKUP(ROUNDUP(AM233,0),DATOS!$J$16:$K$34,2,FALSE)</f>
        <v>9</v>
      </c>
      <c r="AN234" s="4"/>
      <c r="AO234" s="4"/>
      <c r="AP234" s="4"/>
    </row>
    <row r="235" spans="1:42">
      <c r="F235" s="2"/>
      <c r="G235" s="2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0"/>
      <c r="V235" s="2"/>
      <c r="W235" s="2"/>
      <c r="X235" s="2"/>
      <c r="Y235" s="2"/>
      <c r="Z235" s="2"/>
      <c r="AA235" s="4"/>
      <c r="AB235" s="4"/>
      <c r="AC235" s="4"/>
      <c r="AD235" s="4"/>
      <c r="AE235" s="4"/>
      <c r="AF235" s="4"/>
      <c r="AG235" s="448"/>
      <c r="AH235" s="448"/>
      <c r="AI235" s="4"/>
      <c r="AJ235" s="892">
        <f>VLOOKUP(AK234,DATOS!$F$3:$H$11,3,FALSE)</f>
        <v>283989.37455421843</v>
      </c>
      <c r="AK235" s="892"/>
      <c r="AL235" s="892">
        <f>VLOOKUP(AM234,DATOS!$J$3:$L$12,3,FALSE)</f>
        <v>243846.48972000001</v>
      </c>
      <c r="AM235" s="892"/>
      <c r="AN235" s="4"/>
      <c r="AO235" s="4"/>
      <c r="AP235" s="4"/>
    </row>
    <row r="236" spans="1:42" ht="15.75" thickBot="1">
      <c r="A236" s="503"/>
      <c r="B236" s="503"/>
      <c r="C236" s="503"/>
      <c r="D236" s="503"/>
      <c r="E236" s="503"/>
      <c r="F236" s="504"/>
      <c r="G236" s="504"/>
      <c r="H236" s="505"/>
      <c r="I236" s="505"/>
      <c r="J236" s="505"/>
      <c r="K236" s="505"/>
      <c r="L236" s="505"/>
      <c r="M236" s="505"/>
      <c r="N236" s="505"/>
      <c r="O236" s="505"/>
      <c r="P236" s="505"/>
      <c r="Q236" s="505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6"/>
      <c r="AB236" s="506"/>
      <c r="AC236" s="506"/>
      <c r="AD236" s="506"/>
      <c r="AE236" s="506"/>
      <c r="AF236" s="506"/>
      <c r="AG236" s="506"/>
      <c r="AH236" s="506"/>
      <c r="AI236" s="506"/>
      <c r="AJ236" s="506"/>
      <c r="AK236" s="506"/>
      <c r="AL236" s="506"/>
      <c r="AM236" s="506"/>
      <c r="AN236" s="506"/>
      <c r="AO236" s="506"/>
      <c r="AP236" s="506"/>
    </row>
    <row r="237" spans="1:42" ht="39" thickBot="1">
      <c r="A237" s="886" t="s">
        <v>7</v>
      </c>
      <c r="B237" s="886" t="s">
        <v>2</v>
      </c>
      <c r="C237" s="508"/>
      <c r="D237" s="882" t="s">
        <v>22</v>
      </c>
      <c r="E237" s="882" t="s">
        <v>23</v>
      </c>
      <c r="F237" s="882" t="s">
        <v>3</v>
      </c>
      <c r="G237" s="568"/>
      <c r="H237" s="901" t="s">
        <v>0</v>
      </c>
      <c r="I237" s="901"/>
      <c r="J237" s="901"/>
      <c r="K237" s="901" t="s">
        <v>1</v>
      </c>
      <c r="L237" s="901"/>
      <c r="M237" s="886" t="s">
        <v>10</v>
      </c>
      <c r="N237" s="879" t="s">
        <v>5</v>
      </c>
      <c r="O237" s="880"/>
      <c r="P237" s="881"/>
      <c r="Q237" s="902" t="s">
        <v>4</v>
      </c>
      <c r="R237" s="903"/>
      <c r="S237" s="903"/>
      <c r="T237" s="904"/>
      <c r="U237" s="902" t="s">
        <v>6</v>
      </c>
      <c r="V237" s="903"/>
      <c r="W237" s="903"/>
      <c r="X237" s="904"/>
      <c r="Y237" s="390" t="s">
        <v>689</v>
      </c>
      <c r="Z237" s="662" t="s">
        <v>690</v>
      </c>
      <c r="AA237" s="905" t="s">
        <v>686</v>
      </c>
      <c r="AB237" s="886" t="s">
        <v>9</v>
      </c>
      <c r="AC237" s="907" t="s">
        <v>312</v>
      </c>
      <c r="AD237" s="914" t="s">
        <v>649</v>
      </c>
      <c r="AE237" s="897" t="s">
        <v>20</v>
      </c>
      <c r="AF237" s="897" t="s">
        <v>313</v>
      </c>
      <c r="AG237" s="899" t="s">
        <v>552</v>
      </c>
      <c r="AH237" s="895" t="s">
        <v>578</v>
      </c>
      <c r="AI237" s="897" t="s">
        <v>579</v>
      </c>
      <c r="AJ237" s="882" t="s">
        <v>581</v>
      </c>
      <c r="AK237" s="882" t="s">
        <v>582</v>
      </c>
      <c r="AL237" s="882" t="s">
        <v>581</v>
      </c>
      <c r="AM237" s="882" t="s">
        <v>582</v>
      </c>
      <c r="AN237" s="884" t="s">
        <v>553</v>
      </c>
      <c r="AO237" s="885"/>
      <c r="AP237" s="885"/>
    </row>
    <row r="238" spans="1:42" ht="30.75" thickBot="1">
      <c r="A238" s="888"/>
      <c r="B238" s="888"/>
      <c r="C238" s="509"/>
      <c r="D238" s="883"/>
      <c r="E238" s="883"/>
      <c r="F238" s="883"/>
      <c r="G238" s="569"/>
      <c r="H238" s="17" t="s">
        <v>18</v>
      </c>
      <c r="I238" s="17"/>
      <c r="J238" s="17" t="s">
        <v>17</v>
      </c>
      <c r="K238" s="17" t="s">
        <v>18</v>
      </c>
      <c r="L238" s="17" t="s">
        <v>17</v>
      </c>
      <c r="M238" s="888"/>
      <c r="N238" s="464" t="s">
        <v>685</v>
      </c>
      <c r="O238" s="17" t="s">
        <v>18</v>
      </c>
      <c r="P238" s="17" t="s">
        <v>17</v>
      </c>
      <c r="Q238" s="464" t="s">
        <v>685</v>
      </c>
      <c r="R238" s="17" t="s">
        <v>18</v>
      </c>
      <c r="S238" s="17"/>
      <c r="T238" s="17" t="s">
        <v>17</v>
      </c>
      <c r="U238" s="464" t="s">
        <v>576</v>
      </c>
      <c r="V238" s="17" t="s">
        <v>18</v>
      </c>
      <c r="W238" s="464" t="s">
        <v>577</v>
      </c>
      <c r="X238" s="17" t="s">
        <v>17</v>
      </c>
      <c r="Y238" s="17" t="s">
        <v>18</v>
      </c>
      <c r="Z238" s="17" t="s">
        <v>17</v>
      </c>
      <c r="AA238" s="906"/>
      <c r="AB238" s="888"/>
      <c r="AC238" s="908"/>
      <c r="AD238" s="915"/>
      <c r="AE238" s="898"/>
      <c r="AF238" s="898"/>
      <c r="AG238" s="900"/>
      <c r="AH238" s="896"/>
      <c r="AI238" s="898"/>
      <c r="AJ238" s="883"/>
      <c r="AK238" s="883"/>
      <c r="AL238" s="883"/>
      <c r="AM238" s="883"/>
      <c r="AN238" s="1" t="s">
        <v>551</v>
      </c>
      <c r="AO238" s="9" t="s">
        <v>554</v>
      </c>
      <c r="AP238" s="1" t="s">
        <v>555</v>
      </c>
    </row>
    <row r="239" spans="1:42">
      <c r="A239" s="916" t="s">
        <v>605</v>
      </c>
      <c r="B239" s="886" t="s">
        <v>309</v>
      </c>
      <c r="C239" s="507" t="str">
        <f>IF(AND(D239=AN239,D239=AO239,D239=AP239),"ok","ATENCIÓN NO ESTÁ TOMANDO BIEN LA LOCALIDAD")</f>
        <v>ok</v>
      </c>
      <c r="D239" s="23" t="s">
        <v>165</v>
      </c>
      <c r="E239" s="114">
        <f>VLOOKUP(D239,Pobl_adoptada!$C$5:$D$158,2,FALSE)</f>
        <v>72</v>
      </c>
      <c r="F239" s="8" t="s">
        <v>308</v>
      </c>
      <c r="G239" s="8"/>
      <c r="H239" s="33">
        <f>'[121]Inversion rec-TA'!$G$21</f>
        <v>2217901.8382136761</v>
      </c>
      <c r="I239" s="33"/>
      <c r="J239" s="33">
        <f>'[121]Costos Operativos Rec-TA'!$G$23</f>
        <v>837335.1494937127</v>
      </c>
      <c r="K239" s="32">
        <f>'[121]Inversion rec-TA'!$G$46</f>
        <v>0</v>
      </c>
      <c r="L239" s="32">
        <f>+'[121]Costos Operativos Rec-TA'!$G$46</f>
        <v>0</v>
      </c>
      <c r="M239" s="19">
        <f t="shared" ref="M239:M240" si="175">-H239/(1+0.12)+PV(12%,20,J239)-H239/(1+0.12)^10</f>
        <v>-8948802.2255063877</v>
      </c>
      <c r="N239" s="19"/>
      <c r="O239" s="25">
        <f>IF(((VLOOKUP($E239,Tabla13[],Inputs_costos!$I$1,FALSE))*(O$3*$E$3+O$4*$E$4)-AG239)&lt;0,0,VLOOKUP($E239,Tabla13[],Inputs_costos!$I$1,FALSE)*(O$3*$E$3+O$4*$E$4)-AG239)</f>
        <v>359159.83353599999</v>
      </c>
      <c r="P239" s="25">
        <f>(VLOOKUP($E239,Tabla13[],Inputs_costos!$J$1,FALSE))*(P$3*$E$3+P$4*$E$4)</f>
        <v>26127.3549570752</v>
      </c>
      <c r="Q239" s="25"/>
      <c r="R239" s="25">
        <f>IF($AC239&gt;=15,(VLOOKUP($E239,Tabla13[],Inputs_costos!$G$1,FALSE))*($R$3*$E$3+$R$4*$E$4),(VLOOKUP($E239,Tabla13[],Inputs_costos!$G$1,FALSE))*($T$3*$E$3+$T$4*$E$4))-AH239</f>
        <v>483879.65015999996</v>
      </c>
      <c r="S239" s="25">
        <f t="shared" ref="S239:S240" si="176">IF(AC239&lt;15,0,IF(AC239&lt;=350,815000,1345000))</f>
        <v>0</v>
      </c>
      <c r="T239" s="25">
        <f>IF($AC239&gt;=15,(VLOOKUP($E239,Tabla13[],Inputs_costos!$H$1,FALSE))*($R$3*$E$3+$R$4*$E$4),(VLOOKUP($E239,Tabla13[],Inputs_costos!$H$1,FALSE))*($T$3*$E$3+$T$4*$E$4))</f>
        <v>74908.593607999996</v>
      </c>
      <c r="U239" s="465">
        <f>SUMIFS(Tabla24[Costo de Cierre Técnico de BCA (US$)],Tabla24[Localidad],Resumen!$D239)</f>
        <v>744120</v>
      </c>
      <c r="V239" s="461">
        <f>+U239*(V$3*$E$3+V$4*$E$4)</f>
        <v>1429039.5986879999</v>
      </c>
      <c r="W239" s="465">
        <f>SUMIFS(Tabla24[Costo anual de Manteniemiento Post-cierre (US$)],Tabla24[Localidad],Resumen!$D239)</f>
        <v>66067.298167624409</v>
      </c>
      <c r="X239" s="461">
        <f>+W239*(X$3*$E$3+X$4*$E$4)</f>
        <v>126878.44065454822</v>
      </c>
      <c r="Y239" s="27">
        <f>VLOOKUP($D239,'Costo Social x localidad'!$B$2:$M$156,12,FALSE)*(Y$3*$E$3+Y$4*$E$4)</f>
        <v>13299.460053199999</v>
      </c>
      <c r="Z239" s="28">
        <f>VLOOKUP(D239,'Estimación  PRESUPUESTO PCAS'!$B$4:$G$158,'Estimación  PRESUPUESTO PCAS'!$G$2,FALSE)</f>
        <v>177572.20920597675</v>
      </c>
      <c r="AA239" s="650">
        <f>(-O239-R239)/(1+0.12)+PV(12%,20,P239)+PV(12%,20,T239)-(O239*0.5)/(1+0.12)^10-S239/(1+0.12)^10</f>
        <v>-1565216.0735943441</v>
      </c>
      <c r="AB239" s="651">
        <f>M239+AA239</f>
        <v>-10514018.299100732</v>
      </c>
      <c r="AC239" s="10">
        <f>VLOOKUP($E239,Resumen_Generación!$B$5:$F$158,Resumen_Generación!$D$3,FALSE)</f>
        <v>5.3377608799999994</v>
      </c>
      <c r="AD239" s="10">
        <f>VLOOKUP($E239,Resumen_Generación!$B$5:$G$158,Resumen_Generación!$G$3,FALSE)</f>
        <v>2.1695164</v>
      </c>
      <c r="AE239" s="362">
        <f>VLOOKUP($E239,Resumen_Generación!$B$5:$F$158,Resumen_Generación!$E$3,FALSE)</f>
        <v>7688</v>
      </c>
      <c r="AF239" s="10">
        <f>VLOOKUP($E239,Resumen_Generación!$B$5:$F$158,Resumen_Generación!$F$3,FALSE)</f>
        <v>2.4684519999999996</v>
      </c>
      <c r="AG239" s="448">
        <f>VLOOKUP($D239,Valoración_Equip_actual!$D$4:$I$157,Valoración_Equip_actual!$E$2,FALSE)*$E$4</f>
        <v>0</v>
      </c>
      <c r="AH239" s="448">
        <f>VLOOKUP($D239,Valoración_Equip_actual!$D$4:$I$157,Valoración_Equip_actual!$F$2,FALSE)*$E$4</f>
        <v>97377.24</v>
      </c>
      <c r="AI239" s="448">
        <f>[121]P_Datos!$D$43</f>
        <v>0.21540983606557379</v>
      </c>
      <c r="AN239" s="449" t="str">
        <f>[121]Datos!$C$2</f>
        <v>General Pinto</v>
      </c>
      <c r="AO239" s="450" t="str">
        <f>VLOOKUP($E239,Tabla13[],Inputs_costos!$D$1,FALSE)</f>
        <v>GENERAL PINTO</v>
      </c>
      <c r="AP239" s="451" t="str">
        <f>VLOOKUP($D239,'Costo Social x localidad'!$B$2:$M$156,1,FALSE)</f>
        <v>GENERAL PINTO</v>
      </c>
    </row>
    <row r="240" spans="1:42" ht="15.75" thickBot="1">
      <c r="A240" s="917"/>
      <c r="B240" s="887"/>
      <c r="C240" s="478" t="str">
        <f>IF(AND(D240=AN240,D240=AO240,D240=AP240),"ok","ATENCIÓN NO ESTÁ TOMANDO BIEN LA LOCALIDAD")</f>
        <v>ok</v>
      </c>
      <c r="D240" s="36" t="s">
        <v>185</v>
      </c>
      <c r="E240" s="511">
        <f>VLOOKUP(D240,Pobl_adoptada!$C$5:$D$158,2,FALSE)</f>
        <v>86</v>
      </c>
      <c r="F240" s="37" t="s">
        <v>308</v>
      </c>
      <c r="G240" s="37"/>
      <c r="H240" s="117">
        <f>'[122]Inversion rec-TA'!$G$21</f>
        <v>3399841.5656182352</v>
      </c>
      <c r="I240" s="117"/>
      <c r="J240" s="117">
        <f>'[122]Costos Operativos Rec-TA'!$G$23</f>
        <v>1644626.8972191433</v>
      </c>
      <c r="K240" s="25">
        <f>'[122]Inversion rec-TA'!$G$46</f>
        <v>0</v>
      </c>
      <c r="L240" s="25">
        <f>+'[122]Costos Operativos Rec-TA'!$G$46</f>
        <v>0</v>
      </c>
      <c r="M240" s="19">
        <f t="shared" si="175"/>
        <v>-16414678.711053744</v>
      </c>
      <c r="N240" s="19"/>
      <c r="O240" s="25">
        <f>IF(((VLOOKUP($E240,Tabla13[],Inputs_costos!$I$1,FALSE))*(O$3*$E$3+O$4*$E$4)-AG240)&lt;0,0,VLOOKUP($E240,Tabla13[],Inputs_costos!$I$1,FALSE)*(O$3*$E$3+O$4*$E$4)-AG240)</f>
        <v>1288435.3889840001</v>
      </c>
      <c r="P240" s="25">
        <f>(VLOOKUP($E240,Tabla13[],Inputs_costos!$J$1,FALSE))*(P$3*$E$3+P$4*$E$4)</f>
        <v>463761.74972800002</v>
      </c>
      <c r="Q240" s="25"/>
      <c r="R240" s="25">
        <f>IF($AC240&gt;=15,(VLOOKUP($E240,Tabla13[],Inputs_costos!$G$1,FALSE))*($R$3*$E$3+$R$4*$E$4),(VLOOKUP($E240,Tabla13[],Inputs_costos!$G$1,FALSE))*($T$3*$E$3+$T$4*$E$4))-AH240</f>
        <v>8632936.0744000003</v>
      </c>
      <c r="S240" s="25">
        <f t="shared" si="176"/>
        <v>815000</v>
      </c>
      <c r="T240" s="25">
        <f>IF($AC240&gt;=15,(VLOOKUP($E240,Tabla13[],Inputs_costos!$H$1,FALSE))*($R$3*$E$3+$R$4*$E$4),(VLOOKUP($E240,Tabla13[],Inputs_costos!$H$1,FALSE))*($T$3*$E$3+$T$4*$E$4))</f>
        <v>1651163.2041760001</v>
      </c>
      <c r="U240" s="465">
        <f>SUMIFS(Tabla24[Costo de Cierre Técnico de BCA (US$)],Tabla24[Localidad],Resumen!$D240)</f>
        <v>2522800</v>
      </c>
      <c r="V240" s="461">
        <f t="shared" ref="V240" si="177">+U240*(V$3*$E$3+V$4*$E$4)</f>
        <v>4844892.08672</v>
      </c>
      <c r="W240" s="465">
        <f>SUMIFS(Tabla24[Costo anual de Manteniemiento Post-cierre (US$)],Tabla24[Localidad],Resumen!$D240)</f>
        <v>223988.84563952437</v>
      </c>
      <c r="X240" s="461">
        <f t="shared" ref="X240" si="178">+W240*(X$3*$E$3+X$4*$E$4)</f>
        <v>430157.67629319773</v>
      </c>
      <c r="Y240" s="447">
        <f>VLOOKUP($D240,'Costo Social x localidad'!$B$2:$M$156,12,FALSE)*(Y$3*$E$3+Y$4*$E$4)</f>
        <v>68508.703510239997</v>
      </c>
      <c r="Z240" s="28">
        <f>VLOOKUP(D240,'Estimación  PRESUPUESTO PCAS'!$B$4:$G$158,'Estimación  PRESUPUESTO PCAS'!$G$2,FALSE)</f>
        <v>314333.45115722239</v>
      </c>
      <c r="AA240" s="650">
        <f>(-O240-R240)/(1+0.12)+PV(12%,20,P240)+PV(12%,20,T240)-(O240*0.5)/(1+0.12)^10-S240/(1+0.12)^10</f>
        <v>-25125509.134877004</v>
      </c>
      <c r="AB240" s="651">
        <f>M240+AA240</f>
        <v>-41540187.845930748</v>
      </c>
      <c r="AC240" s="10">
        <f>VLOOKUP($E240,Resumen_Generación!$B$5:$F$158,Resumen_Generación!$D$3,FALSE)</f>
        <v>25.237431880000006</v>
      </c>
      <c r="AD240" s="10">
        <f>VLOOKUP($E240,Resumen_Generación!$B$5:$G$158,Resumen_Generación!$G$3,FALSE)</f>
        <v>10.236488900000001</v>
      </c>
      <c r="AE240" s="362">
        <f>VLOOKUP($E240,Resumen_Generación!$B$5:$F$158,Resumen_Generación!$E$3,FALSE)</f>
        <v>31535</v>
      </c>
      <c r="AF240" s="10">
        <f>VLOOKUP($E240,Resumen_Generación!$B$5:$F$158,Resumen_Generación!$F$3,FALSE)</f>
        <v>11.668321000000001</v>
      </c>
      <c r="AG240" s="448">
        <f>VLOOKUP($D240,Valoración_Equip_actual!$D$4:$I$157,Valoración_Equip_actual!$E$2,FALSE)*$E$4</f>
        <v>423704.50541600003</v>
      </c>
      <c r="AH240" s="448">
        <f>VLOOKUP($D240,Valoración_Equip_actual!$D$4:$I$157,Valoración_Equip_actual!$F$2,FALSE)*$E$4</f>
        <v>0</v>
      </c>
      <c r="AI240" s="448">
        <f>[122]P_Datos!$D$43</f>
        <v>0.81829508196721312</v>
      </c>
      <c r="AN240" s="34" t="str">
        <f>[122]Datos!$C$2</f>
        <v>Lincoln</v>
      </c>
      <c r="AO240" s="25" t="str">
        <f>VLOOKUP($E240,Tabla13[],Inputs_costos!$D$1,FALSE)</f>
        <v>LINCOLN</v>
      </c>
      <c r="AP240" s="28" t="str">
        <f>VLOOKUP($D240,'Costo Social x localidad'!$B$2:$M$156,1,FALSE)</f>
        <v>LINCOLN</v>
      </c>
    </row>
    <row r="241" spans="1:42" ht="15.75" thickBot="1">
      <c r="A241" s="917"/>
      <c r="B241" s="888"/>
      <c r="C241" s="510"/>
      <c r="D241" s="12" t="s">
        <v>8</v>
      </c>
      <c r="E241" s="40"/>
      <c r="F241" s="13"/>
      <c r="G241" s="8"/>
      <c r="H241" s="32">
        <f>SUM(H239:H240)</f>
        <v>5617743.4038319113</v>
      </c>
      <c r="I241" s="32"/>
      <c r="J241" s="32">
        <f>SUM(J239:J240)</f>
        <v>2481962.0467128558</v>
      </c>
      <c r="K241" s="14"/>
      <c r="L241" s="14"/>
      <c r="M241" s="15">
        <f>SUM(M239:M240)</f>
        <v>-25363480.936560132</v>
      </c>
      <c r="N241" s="15"/>
      <c r="O241" s="16">
        <f>SUM(O239:O240)</f>
        <v>1647595.2225200001</v>
      </c>
      <c r="P241" s="16">
        <f>SUM(P239:P240)</f>
        <v>489889.10468507523</v>
      </c>
      <c r="Q241" s="16"/>
      <c r="R241" s="26">
        <f>SUM(R239:R240)</f>
        <v>9116815.72456</v>
      </c>
      <c r="S241" s="26"/>
      <c r="T241" s="26">
        <f>SUM(T239:T240)</f>
        <v>1726071.7977840002</v>
      </c>
      <c r="U241" s="26"/>
      <c r="V241" s="26">
        <f>SUM(V239:V240)</f>
        <v>6273931.6854079999</v>
      </c>
      <c r="W241" s="26"/>
      <c r="X241" s="26">
        <f>SUM(X239:X240)</f>
        <v>557036.1169477459</v>
      </c>
      <c r="Y241" s="26">
        <f>SUM(Y239:Y240)</f>
        <v>81808.163563440001</v>
      </c>
      <c r="Z241" s="26">
        <f>SUM(Z239:Z240)</f>
        <v>491905.66036319913</v>
      </c>
      <c r="AA241" s="653">
        <f>SUM(AA239:AA240)</f>
        <v>-26690725.208471347</v>
      </c>
      <c r="AB241" s="654">
        <f>+M241+AA241</f>
        <v>-52054206.145031482</v>
      </c>
      <c r="AC241" s="630">
        <f t="shared" ref="AC241:AI241" si="179">SUM(AC239:AC240)</f>
        <v>30.575192760000007</v>
      </c>
      <c r="AD241" s="630">
        <f t="shared" si="179"/>
        <v>12.4060053</v>
      </c>
      <c r="AE241" s="631">
        <f t="shared" si="179"/>
        <v>39223</v>
      </c>
      <c r="AF241" s="630">
        <f t="shared" si="179"/>
        <v>14.136773</v>
      </c>
      <c r="AG241" s="630">
        <f t="shared" si="179"/>
        <v>423704.50541600003</v>
      </c>
      <c r="AH241" s="630">
        <f t="shared" si="179"/>
        <v>97377.24</v>
      </c>
      <c r="AI241" s="630">
        <f t="shared" si="179"/>
        <v>1.0337049180327869</v>
      </c>
      <c r="AJ241" s="4"/>
      <c r="AK241" s="4"/>
      <c r="AL241" s="4"/>
      <c r="AM241" s="4"/>
      <c r="AN241" s="4"/>
      <c r="AO241" s="4"/>
      <c r="AP241" s="4"/>
    </row>
    <row r="242" spans="1:42">
      <c r="A242" s="917"/>
      <c r="B242" s="886" t="s">
        <v>310</v>
      </c>
      <c r="C242" s="507" t="str">
        <f>IF(AND(D242=AN242,D242=AO242,D242=AP242),"ok","ATENCIÓN NO ESTÁ TOMANDO BIEN LA LOCALIDAD")</f>
        <v>ok</v>
      </c>
      <c r="D242" s="23" t="s">
        <v>165</v>
      </c>
      <c r="E242" s="114">
        <f>VLOOKUP(D242,Pobl_adoptada!$C$5:$D$158,2,FALSE)</f>
        <v>72</v>
      </c>
      <c r="F242" s="8" t="s">
        <v>308</v>
      </c>
      <c r="G242" s="576">
        <f>+'[123]Inversion rec-TA'!$G$21</f>
        <v>1695538.0148091177</v>
      </c>
      <c r="H242" s="577">
        <f>+($AC239/$AC241)*H244+G242</f>
        <v>1963616.2340302977</v>
      </c>
      <c r="I242" s="587">
        <f>+'[123]Costos Operativos Rec-TA'!$G$23</f>
        <v>825592.603812129</v>
      </c>
      <c r="J242" s="579">
        <f>+($AC239/$AC241)*J244+I242</f>
        <v>830954.16819655255</v>
      </c>
      <c r="K242" s="10">
        <f>+'[123]Inversion rec-TA'!$G$46</f>
        <v>0</v>
      </c>
      <c r="L242" s="10">
        <f>+'[123]Costos Operativos Rec-TA'!$G$46</f>
        <v>0</v>
      </c>
      <c r="M242" s="19">
        <f t="shared" ref="M242:M243" si="180">-H242/(1+0.12)+PV(12%,20,J242)-H242/(1+0.12)^10</f>
        <v>-8592225.9684211425</v>
      </c>
      <c r="N242" s="614">
        <f>+$AD239/$AD241*N245</f>
        <v>304635.39476036222</v>
      </c>
      <c r="O242" s="25">
        <f>IF(N242-AG242&lt;0,0,N242-AG242)</f>
        <v>304635.39476036222</v>
      </c>
      <c r="P242" s="32">
        <f>+$AD239/$AD241*P245</f>
        <v>98254.727631739035</v>
      </c>
      <c r="Q242" s="614">
        <f>+$AC239/$AC241*Q245</f>
        <v>1652920.1257247222</v>
      </c>
      <c r="R242" s="647">
        <f>IF(Q242-AH242&lt;0,0,Q242-AH242)</f>
        <v>1555542.8857247222</v>
      </c>
      <c r="S242" s="647">
        <f>+S239</f>
        <v>0</v>
      </c>
      <c r="T242" s="32">
        <f>+$AC239/$AC241*T245</f>
        <v>280745.83100171073</v>
      </c>
      <c r="U242" s="27"/>
      <c r="V242" s="461">
        <f>+V239</f>
        <v>1429039.5986879999</v>
      </c>
      <c r="W242" s="27"/>
      <c r="X242" s="461">
        <f t="shared" ref="X242:Z243" si="181">+X239</f>
        <v>126878.44065454822</v>
      </c>
      <c r="Y242" s="27">
        <f t="shared" si="181"/>
        <v>13299.460053199999</v>
      </c>
      <c r="Z242" s="27">
        <f t="shared" si="181"/>
        <v>177572.20920597675</v>
      </c>
      <c r="AA242" s="650">
        <f>(-O242-R242)/(1+0.12)+PV(12%,20,P242)+PV(12%,20,T242)-(O242*0.5)/(1+0.12)^10-S242/(1+0.12)^10</f>
        <v>-4540838.9930355838</v>
      </c>
      <c r="AB242" s="651">
        <f>M242+AA242</f>
        <v>-13133064.961456727</v>
      </c>
      <c r="AG242" s="448">
        <f>VLOOKUP($D242,Valoración_Eq_REG!$D$4:$I$157,Valoración_Eq_REG!$E$2,FALSE)*$E$4</f>
        <v>0</v>
      </c>
      <c r="AH242" s="448">
        <f>VLOOKUP($D242,Valoración_Eq_REG!$D$4:$I$157,Valoración_Eq_REG!$F$2,FALSE)*$E$4</f>
        <v>97377.24</v>
      </c>
      <c r="AJ242" s="484">
        <f>+'[123]Evaluacion Economica'!$L$25</f>
        <v>2</v>
      </c>
      <c r="AK242" s="448">
        <f>+'[123]Evaluacion Economica'!$R$25</f>
        <v>12</v>
      </c>
      <c r="AL242" s="484">
        <f>+'[123]P_Evaluacion Economica'!$L$27</f>
        <v>2</v>
      </c>
      <c r="AM242" s="448">
        <f>+'[123]P_Evaluacion Economica'!$Q$27</f>
        <v>6</v>
      </c>
      <c r="AN242" s="34" t="str">
        <f>+[123]Datos!$C$2</f>
        <v>General Pinto</v>
      </c>
      <c r="AO242" s="25" t="str">
        <f>VLOOKUP($E242,Tabla13[],Inputs_costos!$D$1,FALSE)</f>
        <v>GENERAL PINTO</v>
      </c>
      <c r="AP242" s="28" t="str">
        <f>VLOOKUP($D242,'Costo Social x localidad'!$B$2:$M$156,1,FALSE)</f>
        <v>GENERAL PINTO</v>
      </c>
    </row>
    <row r="243" spans="1:42" ht="15.75" thickBot="1">
      <c r="A243" s="917"/>
      <c r="B243" s="887"/>
      <c r="C243" s="478" t="str">
        <f>IF(AND(D243=AN243,D243=AO243,D243=AP243),"ok","ATENCIÓN NO ESTÁ TOMANDO BIEN LA LOCALIDAD")</f>
        <v>ok</v>
      </c>
      <c r="D243" s="36" t="s">
        <v>185</v>
      </c>
      <c r="E243" s="115">
        <f>VLOOKUP(D243,Pobl_adoptada!$C$5:$D$158,2,FALSE)</f>
        <v>86</v>
      </c>
      <c r="F243" s="9" t="s">
        <v>308</v>
      </c>
      <c r="G243" s="580">
        <f>+'[124]Inversion rec-TA'!$G$21</f>
        <v>2937295.1132213781</v>
      </c>
      <c r="H243" s="34">
        <f>+($AC240/$AC241)*H244+G243</f>
        <v>4204793.966805513</v>
      </c>
      <c r="I243" s="465">
        <f>+'[124]Costos Operativos Rec-TA'!$G$23</f>
        <v>1637966.2410155702</v>
      </c>
      <c r="J243" s="581">
        <f>+($AC240/$AC241)*J244+I243</f>
        <v>1663316.2180872529</v>
      </c>
      <c r="K243" s="10">
        <f>+'[124]Inversion rec-TA'!$G$46</f>
        <v>0</v>
      </c>
      <c r="L243" s="10">
        <f>+'[124]Costos Operativos Rec-TA'!$G$46</f>
        <v>0</v>
      </c>
      <c r="M243" s="19">
        <f t="shared" si="180"/>
        <v>-17532158.170626849</v>
      </c>
      <c r="N243" s="465">
        <f>+$AD240/$AD241*N245</f>
        <v>1437369.5617196381</v>
      </c>
      <c r="O243" s="25">
        <f>IF(N243-AG243&lt;0,0,N243-AG243)</f>
        <v>1013665.056303638</v>
      </c>
      <c r="P243" s="25">
        <f>+$AD240/$AD241*P245</f>
        <v>463597.98376026109</v>
      </c>
      <c r="Q243" s="465">
        <f>+$AC240/$AC241*Q245</f>
        <v>7815160.7038752781</v>
      </c>
      <c r="R243" s="647">
        <f>IF(Q243-AH243&lt;0,0,Q243-AH243)</f>
        <v>7815160.7038752781</v>
      </c>
      <c r="S243" s="647">
        <f>+S240</f>
        <v>815000</v>
      </c>
      <c r="T243" s="25">
        <f>+$AC240/$AC241*T245</f>
        <v>1327392.5049822892</v>
      </c>
      <c r="U243" s="29"/>
      <c r="V243" s="461">
        <f>+V240</f>
        <v>4844892.08672</v>
      </c>
      <c r="W243" s="25"/>
      <c r="X243" s="461">
        <f t="shared" si="181"/>
        <v>430157.67629319773</v>
      </c>
      <c r="Y243" s="28">
        <f t="shared" si="181"/>
        <v>68508.703510239997</v>
      </c>
      <c r="Z243" s="28">
        <f t="shared" si="181"/>
        <v>314333.45115722239</v>
      </c>
      <c r="AA243" s="650">
        <f>(-O243-R243)/(1+0.12)+PV(12%,20,P243)+PV(12%,20,T243)-(O243*0.5)/(1+0.12)^10-S243/(1+0.12)^10</f>
        <v>-21686177.327706199</v>
      </c>
      <c r="AB243" s="651">
        <f>M243+AA243</f>
        <v>-39218335.498333052</v>
      </c>
      <c r="AC243" s="10"/>
      <c r="AD243" s="10"/>
      <c r="AE243" s="10"/>
      <c r="AF243" s="10"/>
      <c r="AG243" s="448">
        <f>VLOOKUP($D243,Valoración_Eq_REG!$D$4:$I$157,Valoración_Eq_REG!$E$2,FALSE)*$E$4</f>
        <v>423704.50541600003</v>
      </c>
      <c r="AH243" s="448">
        <f>VLOOKUP($D243,Valoración_Eq_REG!$D$4:$I$157,Valoración_Eq_REG!$F$2,FALSE)*$E$4</f>
        <v>0</v>
      </c>
      <c r="AI243" s="2"/>
      <c r="AJ243" s="484">
        <f>+'[124]Evaluacion Economica'!$L$25</f>
        <v>3</v>
      </c>
      <c r="AK243" s="448">
        <f>+'[124]Evaluacion Economica'!$R$25</f>
        <v>18</v>
      </c>
      <c r="AL243" s="484">
        <f>+'[124]P_Evaluacion Economica'!$L$27</f>
        <v>3</v>
      </c>
      <c r="AM243" s="448">
        <f>+'[124]P_Evaluacion Economica'!$Q$27</f>
        <v>6</v>
      </c>
      <c r="AN243" s="34" t="str">
        <f>+[124]Datos!$C$2</f>
        <v>Lincoln</v>
      </c>
      <c r="AO243" s="25" t="str">
        <f>VLOOKUP($E243,Tabla13[],Inputs_costos!$D$1,FALSE)</f>
        <v>LINCOLN</v>
      </c>
      <c r="AP243" s="28" t="str">
        <f>VLOOKUP($D243,'Costo Social x localidad'!$B$2:$M$156,1,FALSE)</f>
        <v>LINCOLN</v>
      </c>
    </row>
    <row r="244" spans="1:42" ht="30.75" thickBot="1">
      <c r="A244" s="917"/>
      <c r="B244" s="887"/>
      <c r="C244" s="912" t="s">
        <v>12</v>
      </c>
      <c r="D244" s="913"/>
      <c r="E244" s="498" t="s">
        <v>589</v>
      </c>
      <c r="F244" s="571">
        <f>+F233</f>
        <v>0.02</v>
      </c>
      <c r="G244" s="582"/>
      <c r="H244" s="461">
        <f>+AJ244*AJ246+AL244*AL246</f>
        <v>1535577.0728053148</v>
      </c>
      <c r="I244" s="461"/>
      <c r="J244" s="583">
        <f>+$F244*H244</f>
        <v>30711.541456106297</v>
      </c>
      <c r="K244" s="10"/>
      <c r="L244" s="10"/>
      <c r="M244" s="19"/>
      <c r="N244" s="465"/>
      <c r="O244" s="10"/>
      <c r="P244" s="10"/>
      <c r="Q244" s="618"/>
      <c r="R244" s="28"/>
      <c r="S244" s="28"/>
      <c r="T244" s="28"/>
      <c r="U244" s="28"/>
      <c r="V244" s="28"/>
      <c r="W244" s="28"/>
      <c r="X244" s="28"/>
      <c r="Y244" s="28"/>
      <c r="Z244" s="28"/>
      <c r="AA244" s="658"/>
      <c r="AB244" s="20"/>
      <c r="AC244" s="10"/>
      <c r="AD244" s="10"/>
      <c r="AE244" s="10"/>
      <c r="AF244" s="10"/>
      <c r="AG244" s="4"/>
      <c r="AH244" s="4"/>
      <c r="AI244" s="4"/>
      <c r="AJ244" s="501">
        <f>ROUNDUP(C245*SUM(AJ242:AJ243),0)</f>
        <v>3</v>
      </c>
      <c r="AK244" s="502">
        <f>AVERAGE(AK242:AK243)</f>
        <v>15</v>
      </c>
      <c r="AL244" s="501">
        <f>ROUNDUP(C245*SUM(AL242:AL243),0)</f>
        <v>3</v>
      </c>
      <c r="AM244" s="502">
        <f>AVERAGE(AM242:AM243)</f>
        <v>6</v>
      </c>
      <c r="AN244" s="4"/>
      <c r="AO244" s="4"/>
      <c r="AP244" s="4"/>
    </row>
    <row r="245" spans="1:42" ht="15.75" thickBot="1">
      <c r="A245" s="918"/>
      <c r="B245" s="888"/>
      <c r="C245" s="570">
        <v>0.5</v>
      </c>
      <c r="D245" s="500" t="str">
        <f>A239</f>
        <v>REGIÓN LINCOLN</v>
      </c>
      <c r="E245" s="468"/>
      <c r="F245" s="469"/>
      <c r="G245" s="584"/>
      <c r="H245" s="585">
        <f>SUM(H242:H243)</f>
        <v>6168410.200835811</v>
      </c>
      <c r="I245" s="585"/>
      <c r="J245" s="586">
        <f>SUM(J242:J243)</f>
        <v>2494270.3862838056</v>
      </c>
      <c r="K245" s="14"/>
      <c r="L245" s="14"/>
      <c r="M245" s="15">
        <f>SUM(M242:M244)</f>
        <v>-26124384.139047991</v>
      </c>
      <c r="N245" s="615">
        <f>(VLOOKUP($E242,Tabla13[],Inputs_costos!$P$1,FALSE))*(O$3*$E$3+O$4*$E$4)</f>
        <v>1742004.9564800002</v>
      </c>
      <c r="O245" s="35">
        <f>SUM(O242:O243)</f>
        <v>1318300.4510640004</v>
      </c>
      <c r="P245" s="35">
        <f>(VLOOKUP($E242,Tabla13[],Inputs_costos!$Q$1,FALSE))*(P$3*$E$3+P$4*$E$4)</f>
        <v>561852.71139200008</v>
      </c>
      <c r="Q245" s="615">
        <f>IF($AC241&gt;=15,(VLOOKUP($E242,Tabla13[],Inputs_costos!$N$1,FALSE))*($R$3*$E$3+$R$4*$E$4),(VLOOKUP($E242,Tabla13[],Inputs_costos!$N$1,FALSE))*($T$3*$E$3+$T$4*$E$4))</f>
        <v>9468080.8296000008</v>
      </c>
      <c r="R245" s="35">
        <f>SUM(R242:R243)</f>
        <v>9370703.5896000005</v>
      </c>
      <c r="S245" s="35"/>
      <c r="T245" s="35">
        <f>IF($AC241&gt;=15,(VLOOKUP($E242,Tabla13[],Inputs_costos!$O$1,FALSE))*($R$3*$E$3+$R$4*$E$4),(VLOOKUP($E242,Tabla13[],Inputs_costos!$O$1,FALSE))*($T$3*$E$3+$T$4*$E$4))</f>
        <v>1608138.335984</v>
      </c>
      <c r="U245" s="35"/>
      <c r="V245" s="31">
        <f>SUM(V242:V243)</f>
        <v>6273931.6854079999</v>
      </c>
      <c r="W245" s="31"/>
      <c r="X245" s="31">
        <f>SUM(X242:X243)</f>
        <v>557036.1169477459</v>
      </c>
      <c r="Y245" s="31">
        <f>SUM(Y242:Y243)</f>
        <v>81808.163563440001</v>
      </c>
      <c r="Z245" s="31">
        <f>SUM(Z242:Z243)</f>
        <v>491905.66036319913</v>
      </c>
      <c r="AA245" s="657">
        <f>SUM(AA242:AA243)</f>
        <v>-26227016.320741784</v>
      </c>
      <c r="AB245" s="654">
        <f>+M245+AA245</f>
        <v>-52351400.459789775</v>
      </c>
      <c r="AC245" s="38"/>
      <c r="AD245" s="38"/>
      <c r="AE245" s="38"/>
      <c r="AF245" s="38"/>
      <c r="AG245" s="4"/>
      <c r="AH245" s="4"/>
      <c r="AI245" s="4"/>
      <c r="AJ245" s="11"/>
      <c r="AK245" s="499">
        <f>VLOOKUP(ROUNDUP(AK244,0),DATOS!$F$16:$G$31,2,FALSE)</f>
        <v>15</v>
      </c>
      <c r="AL245" s="497"/>
      <c r="AM245" s="499">
        <f>VLOOKUP(ROUNDUP(AM244,0),DATOS!$J$16:$K$34,2,FALSE)</f>
        <v>6</v>
      </c>
      <c r="AN245" s="4"/>
      <c r="AO245" s="4"/>
      <c r="AP245" s="4"/>
    </row>
    <row r="246" spans="1:42">
      <c r="F246" s="2"/>
      <c r="G246" s="2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0"/>
      <c r="V246" s="2"/>
      <c r="W246" s="2"/>
      <c r="X246" s="2"/>
      <c r="Y246" s="2"/>
      <c r="Z246" s="2"/>
      <c r="AA246" s="4"/>
      <c r="AB246" s="4"/>
      <c r="AC246" s="4"/>
      <c r="AD246" s="4"/>
      <c r="AE246" s="4"/>
      <c r="AF246" s="4"/>
      <c r="AG246" s="448"/>
      <c r="AH246" s="448"/>
      <c r="AI246" s="4"/>
      <c r="AJ246" s="892">
        <f>VLOOKUP(AK245,DATOS!$F$3:$H$11,3,FALSE)</f>
        <v>277598.62978843832</v>
      </c>
      <c r="AK246" s="892"/>
      <c r="AL246" s="892">
        <f>VLOOKUP(AM245,DATOS!$J$3:$L$12,3,FALSE)</f>
        <v>234260.39447999999</v>
      </c>
      <c r="AM246" s="892"/>
      <c r="AN246" s="4"/>
      <c r="AO246" s="4"/>
      <c r="AP246" s="4"/>
    </row>
    <row r="247" spans="1:42" ht="15.75" thickBot="1">
      <c r="A247" s="503"/>
      <c r="B247" s="503"/>
      <c r="C247" s="503"/>
      <c r="D247" s="503"/>
      <c r="E247" s="503"/>
      <c r="F247" s="504"/>
      <c r="G247" s="504"/>
      <c r="H247" s="505"/>
      <c r="I247" s="505"/>
      <c r="J247" s="505"/>
      <c r="K247" s="505"/>
      <c r="L247" s="505"/>
      <c r="M247" s="505"/>
      <c r="N247" s="505"/>
      <c r="O247" s="505"/>
      <c r="P247" s="505"/>
      <c r="Q247" s="505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6"/>
      <c r="AB247" s="506"/>
      <c r="AC247" s="506"/>
      <c r="AD247" s="506"/>
      <c r="AE247" s="506"/>
      <c r="AF247" s="506"/>
      <c r="AG247" s="506"/>
      <c r="AH247" s="506"/>
      <c r="AI247" s="506"/>
      <c r="AJ247" s="506"/>
      <c r="AK247" s="506"/>
      <c r="AL247" s="506"/>
      <c r="AM247" s="506"/>
      <c r="AN247" s="506"/>
      <c r="AO247" s="506"/>
      <c r="AP247" s="506"/>
    </row>
    <row r="248" spans="1:42" ht="39" thickBot="1">
      <c r="A248" s="886" t="s">
        <v>7</v>
      </c>
      <c r="B248" s="886" t="s">
        <v>2</v>
      </c>
      <c r="C248" s="508"/>
      <c r="D248" s="882" t="s">
        <v>22</v>
      </c>
      <c r="E248" s="882" t="s">
        <v>23</v>
      </c>
      <c r="F248" s="882" t="s">
        <v>3</v>
      </c>
      <c r="G248" s="568"/>
      <c r="H248" s="901" t="s">
        <v>0</v>
      </c>
      <c r="I248" s="901"/>
      <c r="J248" s="901"/>
      <c r="K248" s="901" t="s">
        <v>1</v>
      </c>
      <c r="L248" s="901"/>
      <c r="M248" s="886" t="s">
        <v>10</v>
      </c>
      <c r="N248" s="879" t="s">
        <v>5</v>
      </c>
      <c r="O248" s="880"/>
      <c r="P248" s="881"/>
      <c r="Q248" s="902" t="s">
        <v>4</v>
      </c>
      <c r="R248" s="903"/>
      <c r="S248" s="903"/>
      <c r="T248" s="904"/>
      <c r="U248" s="902" t="s">
        <v>6</v>
      </c>
      <c r="V248" s="903"/>
      <c r="W248" s="903"/>
      <c r="X248" s="904"/>
      <c r="Y248" s="390" t="s">
        <v>689</v>
      </c>
      <c r="Z248" s="662" t="s">
        <v>690</v>
      </c>
      <c r="AA248" s="905" t="s">
        <v>686</v>
      </c>
      <c r="AB248" s="886" t="s">
        <v>9</v>
      </c>
      <c r="AC248" s="907" t="s">
        <v>312</v>
      </c>
      <c r="AD248" s="914" t="s">
        <v>649</v>
      </c>
      <c r="AE248" s="897" t="s">
        <v>20</v>
      </c>
      <c r="AF248" s="897" t="s">
        <v>313</v>
      </c>
      <c r="AG248" s="899" t="s">
        <v>552</v>
      </c>
      <c r="AH248" s="895" t="s">
        <v>578</v>
      </c>
      <c r="AI248" s="897" t="s">
        <v>579</v>
      </c>
      <c r="AJ248" s="882" t="s">
        <v>581</v>
      </c>
      <c r="AK248" s="882" t="s">
        <v>582</v>
      </c>
      <c r="AL248" s="882" t="s">
        <v>581</v>
      </c>
      <c r="AM248" s="882" t="s">
        <v>582</v>
      </c>
      <c r="AN248" s="884" t="s">
        <v>553</v>
      </c>
      <c r="AO248" s="885"/>
      <c r="AP248" s="885"/>
    </row>
    <row r="249" spans="1:42" ht="30.75" thickBot="1">
      <c r="A249" s="888"/>
      <c r="B249" s="888"/>
      <c r="C249" s="509"/>
      <c r="D249" s="883"/>
      <c r="E249" s="883"/>
      <c r="F249" s="883"/>
      <c r="G249" s="569"/>
      <c r="H249" s="17" t="s">
        <v>18</v>
      </c>
      <c r="I249" s="17"/>
      <c r="J249" s="17" t="s">
        <v>17</v>
      </c>
      <c r="K249" s="17" t="s">
        <v>18</v>
      </c>
      <c r="L249" s="17" t="s">
        <v>17</v>
      </c>
      <c r="M249" s="888"/>
      <c r="N249" s="464" t="s">
        <v>685</v>
      </c>
      <c r="O249" s="17" t="s">
        <v>18</v>
      </c>
      <c r="P249" s="17" t="s">
        <v>17</v>
      </c>
      <c r="Q249" s="464" t="s">
        <v>685</v>
      </c>
      <c r="R249" s="17" t="s">
        <v>18</v>
      </c>
      <c r="S249" s="17"/>
      <c r="T249" s="17" t="s">
        <v>17</v>
      </c>
      <c r="U249" s="464" t="s">
        <v>576</v>
      </c>
      <c r="V249" s="17" t="s">
        <v>18</v>
      </c>
      <c r="W249" s="464" t="s">
        <v>577</v>
      </c>
      <c r="X249" s="17" t="s">
        <v>17</v>
      </c>
      <c r="Y249" s="17" t="s">
        <v>18</v>
      </c>
      <c r="Z249" s="17" t="s">
        <v>17</v>
      </c>
      <c r="AA249" s="906"/>
      <c r="AB249" s="888"/>
      <c r="AC249" s="908"/>
      <c r="AD249" s="915"/>
      <c r="AE249" s="898"/>
      <c r="AF249" s="898"/>
      <c r="AG249" s="900"/>
      <c r="AH249" s="896"/>
      <c r="AI249" s="898"/>
      <c r="AJ249" s="883"/>
      <c r="AK249" s="883"/>
      <c r="AL249" s="883"/>
      <c r="AM249" s="883"/>
      <c r="AN249" s="1" t="s">
        <v>551</v>
      </c>
      <c r="AO249" s="9" t="s">
        <v>554</v>
      </c>
      <c r="AP249" s="1" t="s">
        <v>555</v>
      </c>
    </row>
    <row r="250" spans="1:42">
      <c r="A250" s="916" t="s">
        <v>606</v>
      </c>
      <c r="B250" s="886" t="s">
        <v>309</v>
      </c>
      <c r="C250" s="507" t="str">
        <f>IF(AND(D250=AN250,D250=AO250,D250=AP250),"ok","ATENCIÓN NO ESTÁ TOMANDO BIEN LA LOCALIDAD")</f>
        <v>ok</v>
      </c>
      <c r="D250" s="23" t="s">
        <v>142</v>
      </c>
      <c r="E250" s="114">
        <f>VLOOKUP(D250,Pobl_adoptada!$C$5:$D$158,2,FALSE)</f>
        <v>53</v>
      </c>
      <c r="F250" s="8" t="s">
        <v>308</v>
      </c>
      <c r="G250" s="8"/>
      <c r="H250" s="33">
        <f>'[125]Inversion rec-TA'!$G$21</f>
        <v>2412460.9287098255</v>
      </c>
      <c r="I250" s="33"/>
      <c r="J250" s="33">
        <f>'[125]Costos Operativos Rec-TA'!$G$23</f>
        <v>1051748.9895826047</v>
      </c>
      <c r="K250" s="32">
        <f>'[125]Inversion rec-TA'!$G$46</f>
        <v>0</v>
      </c>
      <c r="L250" s="32">
        <f>+'[125]Costos Operativos Rec-TA'!$G$46</f>
        <v>0</v>
      </c>
      <c r="M250" s="19">
        <f t="shared" ref="M250:M251" si="182">-H250/(1+0.12)+PV(12%,20,J250)-H250/(1+0.12)^10</f>
        <v>-10786710.610058421</v>
      </c>
      <c r="N250" s="19"/>
      <c r="O250" s="25">
        <f>IF(((VLOOKUP($E250,Tabla13[],Inputs_costos!$I$1,FALSE))*(O$3*$E$3+O$4*$E$4)-AG250)&lt;0,0,VLOOKUP($E250,Tabla13[],Inputs_costos!$I$1,FALSE)*(O$3*$E$3+O$4*$E$4)-AG250)</f>
        <v>34462.852786000003</v>
      </c>
      <c r="P250" s="25">
        <f>(VLOOKUP($E250,Tabla13[],Inputs_costos!$J$1,FALSE))*(P$3*$E$3+P$4*$E$4)</f>
        <v>26127.3549570752</v>
      </c>
      <c r="Q250" s="25"/>
      <c r="R250" s="25">
        <f>IF($AC250&gt;=15,(VLOOKUP($E250,Tabla13[],Inputs_costos!$G$1,FALSE))*($R$3*$E$3+$R$4*$E$4),(VLOOKUP($E250,Tabla13[],Inputs_costos!$G$1,FALSE))*($T$3*$E$3+$T$4*$E$4))-AH250</f>
        <v>711833.26456000004</v>
      </c>
      <c r="S250" s="25">
        <f t="shared" ref="S250:S251" si="183">IF(AC250&lt;15,0,IF(AC250&lt;=350,815000,1345000))</f>
        <v>0</v>
      </c>
      <c r="T250" s="25">
        <f>IF($AC250&gt;=15,(VLOOKUP($E250,Tabla13[],Inputs_costos!$H$1,FALSE))*($R$3*$E$3+$R$4*$E$4),(VLOOKUP($E250,Tabla13[],Inputs_costos!$H$1,FALSE))*($T$3*$E$3+$T$4*$E$4))</f>
        <v>106573.36439999999</v>
      </c>
      <c r="U250" s="465">
        <f>SUMIFS(Tabla24[Costo de Cierre Técnico de BCA (US$)],Tabla24[Localidad],Resumen!$D250)</f>
        <v>3239360</v>
      </c>
      <c r="V250" s="461">
        <f>+U250*(V$3*$E$3+V$4*$E$4)</f>
        <v>6221004.2928640004</v>
      </c>
      <c r="W250" s="465">
        <f>SUMIFS(Tabla24[Costo anual de Manteniemiento Post-cierre (US$)],Tabla24[Localidad],Resumen!$D250)</f>
        <v>287609.20683797752</v>
      </c>
      <c r="X250" s="461">
        <f>+W250*(X$3*$E$3+X$4*$E$4)</f>
        <v>552336.91544202191</v>
      </c>
      <c r="Y250" s="27">
        <f>VLOOKUP($D250,'Costo Social x localidad'!$B$2:$M$156,12,FALSE)*(Y$3*$E$3+Y$4*$E$4)</f>
        <v>23541.447902399996</v>
      </c>
      <c r="Z250" s="28">
        <f>VLOOKUP(D250,'Estimación  PRESUPUESTO PCAS'!$B$4:$G$158,'Estimación  PRESUPUESTO PCAS'!$G$2,FALSE)</f>
        <v>226470.01338919826</v>
      </c>
      <c r="AA250" s="650">
        <f>(-O250-R250)/(1+0.12)+PV(12%,20,P250)+PV(12%,20,T250)-(O250*0.5)/(1+0.12)^10-S250/(1+0.12)^10</f>
        <v>-1663084.4193311483</v>
      </c>
      <c r="AB250" s="651">
        <f>M250+AA250</f>
        <v>-12449795.02938957</v>
      </c>
      <c r="AC250" s="10">
        <f>VLOOKUP($E250,Resumen_Generación!$B$5:$F$158,Resumen_Generación!$D$3,FALSE)</f>
        <v>8.143243840000002</v>
      </c>
      <c r="AD250" s="10">
        <f>VLOOKUP($E250,Resumen_Generación!$B$5:$G$158,Resumen_Generación!$G$3,FALSE)</f>
        <v>3.2806027000000002</v>
      </c>
      <c r="AE250" s="362">
        <f>VLOOKUP($E250,Resumen_Generación!$B$5:$F$158,Resumen_Generación!$E$3,FALSE)</f>
        <v>11704</v>
      </c>
      <c r="AF250" s="10">
        <f>VLOOKUP($E250,Resumen_Generación!$B$5:$F$158,Resumen_Generación!$F$3,FALSE)</f>
        <v>3.7677219999999996</v>
      </c>
      <c r="AG250" s="448">
        <f>VLOOKUP($D250,Valoración_Equip_actual!$D$4:$I$157,Valoración_Equip_actual!$E$2,FALSE)*$E$4</f>
        <v>324696.98074999999</v>
      </c>
      <c r="AH250" s="448">
        <f>VLOOKUP($D250,Valoración_Equip_actual!$D$4:$I$157,Valoración_Equip_actual!$F$2,FALSE)*$E$4</f>
        <v>0</v>
      </c>
      <c r="AI250" s="448">
        <f>[125]P_Datos!$D$43</f>
        <v>0.31488524590163935</v>
      </c>
      <c r="AN250" s="449" t="str">
        <f>[125]Datos!$C$2</f>
        <v>Coronel Dorrego</v>
      </c>
      <c r="AO250" s="450" t="str">
        <f>VLOOKUP($E250,Tabla13[],Inputs_costos!$D$1,FALSE)</f>
        <v>CORONEL DORREGO</v>
      </c>
      <c r="AP250" s="451" t="str">
        <f>VLOOKUP($D250,'Costo Social x localidad'!$B$2:$M$156,1,FALSE)</f>
        <v>CORONEL DORREGO</v>
      </c>
    </row>
    <row r="251" spans="1:42" ht="15.75" thickBot="1">
      <c r="A251" s="917"/>
      <c r="B251" s="887"/>
      <c r="C251" s="478" t="str">
        <f>IF(AND(D251=AN251,D251=AO251,D251=AP251),"ok","ATENCIÓN NO ESTÁ TOMANDO BIEN LA LOCALIDAD")</f>
        <v>ok</v>
      </c>
      <c r="D251" s="36" t="s">
        <v>45</v>
      </c>
      <c r="E251" s="511">
        <f>VLOOKUP(D251,Pobl_adoptada!$C$5:$D$158,2,FALSE)</f>
        <v>96</v>
      </c>
      <c r="F251" s="37" t="s">
        <v>308</v>
      </c>
      <c r="G251" s="37"/>
      <c r="H251" s="117">
        <f>'[126]Inversion rec-TA'!$G$21</f>
        <v>3343073.9649567031</v>
      </c>
      <c r="I251" s="117"/>
      <c r="J251" s="117">
        <f>'[126]Costos Operativos Rec-TA'!$G$23</f>
        <v>1553195.5879469644</v>
      </c>
      <c r="K251" s="25">
        <f>'[126]Inversion rec-TA'!$G$46</f>
        <v>0</v>
      </c>
      <c r="L251" s="25">
        <f>+'[126]Costos Operativos Rec-TA'!$G$46</f>
        <v>0</v>
      </c>
      <c r="M251" s="19">
        <f t="shared" si="182"/>
        <v>-15662774.695094747</v>
      </c>
      <c r="N251" s="19"/>
      <c r="O251" s="25">
        <f>IF(((VLOOKUP($E251,Tabla13[],Inputs_costos!$I$1,FALSE))*(O$3*$E$3+O$4*$E$4)-AG251)&lt;0,0,VLOOKUP($E251,Tabla13[],Inputs_costos!$I$1,FALSE)*(O$3*$E$3+O$4*$E$4)-AG251)</f>
        <v>833549.18217200018</v>
      </c>
      <c r="P251" s="25">
        <f>(VLOOKUP($E251,Tabla13[],Inputs_costos!$J$1,FALSE))*(P$3*$E$3+P$4*$E$4)</f>
        <v>359456.62918400002</v>
      </c>
      <c r="Q251" s="25"/>
      <c r="R251" s="25">
        <f>IF($AC251&gt;=15,(VLOOKUP($E251,Tabla13[],Inputs_costos!$G$1,FALSE))*($R$3*$E$3+$R$4*$E$4),(VLOOKUP($E251,Tabla13[],Inputs_costos!$G$1,FALSE))*($T$3*$E$3+$T$4*$E$4))-AH251</f>
        <v>7099669.9479999999</v>
      </c>
      <c r="S251" s="25">
        <f t="shared" si="183"/>
        <v>815000</v>
      </c>
      <c r="T251" s="25">
        <f>IF($AC251&gt;=15,(VLOOKUP($E251,Tabla13[],Inputs_costos!$H$1,FALSE))*($R$3*$E$3+$R$4*$E$4),(VLOOKUP($E251,Tabla13[],Inputs_costos!$H$1,FALSE))*($T$3*$E$3+$T$4*$E$4))</f>
        <v>1686414.5151600002</v>
      </c>
      <c r="U251" s="465">
        <f>SUMIFS(Tabla24[Costo de Cierre Técnico de BCA (US$)],Tabla24[Localidad],Resumen!$D251)</f>
        <v>2305500</v>
      </c>
      <c r="V251" s="461">
        <f t="shared" ref="V251" si="184">+U251*(V$3*$E$3+V$4*$E$4)</f>
        <v>4427579.9532000003</v>
      </c>
      <c r="W251" s="465">
        <f>SUMIFS(Tabla24[Costo anual de Manteniemiento Post-cierre (US$)],Tabla24[Localidad],Resumen!$D251)</f>
        <v>204695.68876721238</v>
      </c>
      <c r="X251" s="461">
        <f t="shared" ref="X251" si="185">+W251*(X$3*$E$3+X$4*$E$4)</f>
        <v>393106.27980575839</v>
      </c>
      <c r="Y251" s="447">
        <f>VLOOKUP($D251,'Costo Social x localidad'!$B$2:$M$156,12,FALSE)*(Y$3*$E$3+Y$4*$E$4)</f>
        <v>13436.991898960001</v>
      </c>
      <c r="Z251" s="28">
        <f>VLOOKUP(D251,'Estimación  PRESUPUESTO PCAS'!$B$4:$G$158,'Estimación  PRESUPUESTO PCAS'!$G$2,FALSE)</f>
        <v>289711.13048328704</v>
      </c>
      <c r="AA251" s="650">
        <f>(-O251-R251)/(1+0.12)+PV(12%,20,P251)+PV(12%,20,T251)-(O251*0.5)/(1+0.12)^10-S251/(1+0.12)^10</f>
        <v>-22761348.99338324</v>
      </c>
      <c r="AB251" s="651">
        <f>M251+AA251</f>
        <v>-38424123.688477986</v>
      </c>
      <c r="AC251" s="10">
        <f>VLOOKUP($E251,Resumen_Generación!$B$5:$F$158,Resumen_Generación!$D$3,FALSE)</f>
        <v>20.911354792000004</v>
      </c>
      <c r="AD251" s="10">
        <f>VLOOKUP($E251,Resumen_Generación!$B$5:$G$158,Resumen_Generación!$G$3,FALSE)</f>
        <v>8.7071802599999994</v>
      </c>
      <c r="AE251" s="362">
        <f>VLOOKUP($E251,Resumen_Generación!$B$5:$F$158,Resumen_Generación!$E$3,FALSE)</f>
        <v>26299</v>
      </c>
      <c r="AF251" s="10">
        <f>VLOOKUP($E251,Resumen_Generación!$B$5:$F$158,Resumen_Generación!$F$3,FALSE)</f>
        <v>9.5985119999999995</v>
      </c>
      <c r="AG251" s="448">
        <f>VLOOKUP($D251,Valoración_Equip_actual!$D$4:$I$157,Valoración_Equip_actual!$E$2,FALSE)*$E$4</f>
        <v>847056.17462800001</v>
      </c>
      <c r="AH251" s="448">
        <f>VLOOKUP($D251,Valoración_Equip_actual!$D$4:$I$157,Valoración_Equip_actual!$F$2,FALSE)*$E$4</f>
        <v>627283.19999999995</v>
      </c>
      <c r="AI251" s="448">
        <f>[126]P_Datos!$D$43</f>
        <v>0.63383606557377048</v>
      </c>
      <c r="AN251" s="34" t="str">
        <f>[126]Datos!$C$2</f>
        <v>Monte Hermoso</v>
      </c>
      <c r="AO251" s="25" t="str">
        <f>VLOOKUP($E251,Tabla13[],Inputs_costos!$D$1,FALSE)</f>
        <v>MONTE HERMOSO</v>
      </c>
      <c r="AP251" s="28" t="str">
        <f>VLOOKUP($D251,'Costo Social x localidad'!$B$2:$M$156,1,FALSE)</f>
        <v>MONTE HERMOSO</v>
      </c>
    </row>
    <row r="252" spans="1:42" ht="15.75" thickBot="1">
      <c r="A252" s="917"/>
      <c r="B252" s="888"/>
      <c r="C252" s="510"/>
      <c r="D252" s="12" t="s">
        <v>8</v>
      </c>
      <c r="E252" s="40"/>
      <c r="F252" s="13"/>
      <c r="G252" s="8"/>
      <c r="H252" s="32">
        <f>SUM(H250:H251)</f>
        <v>5755534.8936665282</v>
      </c>
      <c r="I252" s="32"/>
      <c r="J252" s="32">
        <f>SUM(J250:J251)</f>
        <v>2604944.5775295692</v>
      </c>
      <c r="K252" s="14"/>
      <c r="L252" s="14"/>
      <c r="M252" s="15">
        <f>SUM(M250:M251)</f>
        <v>-26449485.305153169</v>
      </c>
      <c r="N252" s="15"/>
      <c r="O252" s="16">
        <f>SUM(O250:O251)</f>
        <v>868012.03495800018</v>
      </c>
      <c r="P252" s="16">
        <f>SUM(P250:P251)</f>
        <v>385583.98414107523</v>
      </c>
      <c r="Q252" s="16"/>
      <c r="R252" s="26">
        <f>SUM(R250:R251)</f>
        <v>7811503.2125599999</v>
      </c>
      <c r="S252" s="26"/>
      <c r="T252" s="26">
        <f>SUM(T250:T251)</f>
        <v>1792987.8795600003</v>
      </c>
      <c r="U252" s="26"/>
      <c r="V252" s="26">
        <f>SUM(V250:V251)</f>
        <v>10648584.246064</v>
      </c>
      <c r="W252" s="26"/>
      <c r="X252" s="26">
        <f>SUM(X250:X251)</f>
        <v>945443.1952477803</v>
      </c>
      <c r="Y252" s="26">
        <f>SUM(Y250:Y251)</f>
        <v>36978.43980136</v>
      </c>
      <c r="Z252" s="26">
        <f>SUM(Z250:Z251)</f>
        <v>516181.14387248526</v>
      </c>
      <c r="AA252" s="653">
        <f>SUM(AA250:AA251)</f>
        <v>-24424433.412714388</v>
      </c>
      <c r="AB252" s="654">
        <f>+M252+AA252</f>
        <v>-50873918.717867553</v>
      </c>
      <c r="AC252" s="630">
        <f t="shared" ref="AC252:AI252" si="186">SUM(AC250:AC251)</f>
        <v>29.054598632000008</v>
      </c>
      <c r="AD252" s="630">
        <f t="shared" si="186"/>
        <v>11.987782960000001</v>
      </c>
      <c r="AE252" s="631">
        <f t="shared" si="186"/>
        <v>38003</v>
      </c>
      <c r="AF252" s="630">
        <f t="shared" si="186"/>
        <v>13.366233999999999</v>
      </c>
      <c r="AG252" s="630">
        <f t="shared" si="186"/>
        <v>1171753.1553779999</v>
      </c>
      <c r="AH252" s="630">
        <f t="shared" si="186"/>
        <v>627283.19999999995</v>
      </c>
      <c r="AI252" s="630">
        <f t="shared" si="186"/>
        <v>0.94872131147540983</v>
      </c>
      <c r="AJ252" s="4"/>
      <c r="AK252" s="4"/>
      <c r="AL252" s="4"/>
      <c r="AM252" s="4"/>
      <c r="AN252" s="4"/>
      <c r="AO252" s="4"/>
      <c r="AP252" s="4"/>
    </row>
    <row r="253" spans="1:42">
      <c r="A253" s="917"/>
      <c r="B253" s="886" t="s">
        <v>310</v>
      </c>
      <c r="C253" s="507" t="str">
        <f>IF(AND(D253=AN253,D253=AO253,D253=AP253),"ok","ATENCIÓN NO ESTÁ TOMANDO BIEN LA LOCALIDAD")</f>
        <v>ok</v>
      </c>
      <c r="D253" s="23" t="s">
        <v>142</v>
      </c>
      <c r="E253" s="114">
        <f>VLOOKUP(D253,Pobl_adoptada!$C$5:$D$158,2,FALSE)</f>
        <v>53</v>
      </c>
      <c r="F253" s="8" t="s">
        <v>308</v>
      </c>
      <c r="G253" s="576">
        <f>+'[127]Inversion rec-TA'!$G$21</f>
        <v>1939944.9144783516</v>
      </c>
      <c r="H253" s="577">
        <f>+($AC250/$AC252)*H255+G253</f>
        <v>2362266.7791208569</v>
      </c>
      <c r="I253" s="587">
        <f>+'[127]Costos Operativos Rec-TA'!$G$23</f>
        <v>1013438.8371357837</v>
      </c>
      <c r="J253" s="579">
        <f>+($AC250/$AC252)*J255+I253</f>
        <v>1021885.2744286339</v>
      </c>
      <c r="K253" s="10">
        <f>+'[127]Inversion rec-TA'!$G$46</f>
        <v>0</v>
      </c>
      <c r="L253" s="10">
        <f>+'[127]Costos Operativos Rec-TA'!$G$46</f>
        <v>0</v>
      </c>
      <c r="M253" s="19">
        <f t="shared" ref="M253:M254" si="187">-H253/(1+0.12)+PV(12%,20,J253)-H253/(1+0.12)^10</f>
        <v>-10502667.895511631</v>
      </c>
      <c r="N253" s="614">
        <f>+$AD250/$AD252*N256</f>
        <v>472355.18819963303</v>
      </c>
      <c r="O253" s="25">
        <f>IF(N253-AG253&lt;0,0,N253-AG253)</f>
        <v>209247.45744963305</v>
      </c>
      <c r="P253" s="32">
        <f>+$AD250/$AD252*P256</f>
        <v>139351.12596741674</v>
      </c>
      <c r="Q253" s="614">
        <f>+$AC250/$AC252*Q256</f>
        <v>2535053.3024590998</v>
      </c>
      <c r="R253" s="647">
        <f>IF(Q253-AH253&lt;0,0,Q253-AH253)</f>
        <v>2535053.3024590998</v>
      </c>
      <c r="S253" s="647">
        <f>+S250</f>
        <v>0</v>
      </c>
      <c r="T253" s="32">
        <f>+$AC250/$AC252*T256</f>
        <v>457913.59560474631</v>
      </c>
      <c r="U253" s="27"/>
      <c r="V253" s="461">
        <f>+V250</f>
        <v>6221004.2928640004</v>
      </c>
      <c r="W253" s="27"/>
      <c r="X253" s="461">
        <f t="shared" ref="X253:Z254" si="188">+X250</f>
        <v>552336.91544202191</v>
      </c>
      <c r="Y253" s="27">
        <f t="shared" si="188"/>
        <v>23541.447902399996</v>
      </c>
      <c r="Z253" s="27">
        <f t="shared" si="188"/>
        <v>226470.01338919826</v>
      </c>
      <c r="AA253" s="650">
        <f>(-O253-R253)/(1+0.12)+PV(12%,20,P253)+PV(12%,20,T253)-(O253*0.5)/(1+0.12)^10-S253/(1+0.12)^10</f>
        <v>-6945189.7427775031</v>
      </c>
      <c r="AB253" s="651">
        <f>M253+AA253</f>
        <v>-17447857.638289135</v>
      </c>
      <c r="AG253" s="448">
        <f>VLOOKUP($D253,Valoración_Eq_REG!$D$4:$I$157,Valoración_Eq_REG!$E$2,FALSE)*$E$4</f>
        <v>263107.73074999999</v>
      </c>
      <c r="AH253" s="448">
        <f>VLOOKUP($D253,Valoración_Eq_REG!$D$4:$I$157,Valoración_Eq_REG!$F$2,FALSE)*$E$4</f>
        <v>0</v>
      </c>
      <c r="AJ253" s="484">
        <f>+'[127]Evaluacion Economica'!$L$25</f>
        <v>2</v>
      </c>
      <c r="AK253" s="448">
        <f>+'[127]Evaluacion Economica'!$R$25</f>
        <v>15</v>
      </c>
      <c r="AL253" s="484">
        <f>+'[127]P_Evaluacion Economica'!$L$27</f>
        <v>2</v>
      </c>
      <c r="AM253" s="448">
        <f>+'[127]P_Evaluacion Economica'!$Q$27</f>
        <v>6</v>
      </c>
      <c r="AN253" s="34" t="str">
        <f>+[127]Datos!$C$2</f>
        <v>Coronel Dorrego</v>
      </c>
      <c r="AO253" s="25" t="str">
        <f>VLOOKUP($E253,Tabla13[],Inputs_costos!$D$1,FALSE)</f>
        <v>CORONEL DORREGO</v>
      </c>
      <c r="AP253" s="28" t="str">
        <f>VLOOKUP($D253,'Costo Social x localidad'!$B$2:$M$156,1,FALSE)</f>
        <v>CORONEL DORREGO</v>
      </c>
    </row>
    <row r="254" spans="1:42" ht="15.75" thickBot="1">
      <c r="A254" s="917"/>
      <c r="B254" s="887"/>
      <c r="C254" s="478" t="str">
        <f>IF(AND(D254=AN254,D254=AO254,D254=AP254),"ok","ATENCIÓN NO ESTÁ TOMANDO BIEN LA LOCALIDAD")</f>
        <v>ok</v>
      </c>
      <c r="D254" s="36" t="s">
        <v>45</v>
      </c>
      <c r="E254" s="115">
        <f>VLOOKUP(D254,Pobl_adoptada!$C$5:$D$158,2,FALSE)</f>
        <v>96</v>
      </c>
      <c r="F254" s="9" t="s">
        <v>308</v>
      </c>
      <c r="G254" s="580">
        <f>+'[128]Inversion rec-TA'!$G$21</f>
        <v>2750923.2087098253</v>
      </c>
      <c r="H254" s="34">
        <f>+($AC251/$AC252)*H255+G254</f>
        <v>3835420.0654266239</v>
      </c>
      <c r="I254" s="465">
        <f>+'[128]Costos Operativos Rec-TA'!$G$23</f>
        <v>1567624.5169445437</v>
      </c>
      <c r="J254" s="581">
        <f>+($AC251/$AC252)*J255+I254</f>
        <v>1589314.4540788797</v>
      </c>
      <c r="K254" s="10">
        <f>+'[128]Inversion rec-TA'!$G$46</f>
        <v>0</v>
      </c>
      <c r="L254" s="10">
        <f>+'[128]Costos Operativos Rec-TA'!$G$46</f>
        <v>0</v>
      </c>
      <c r="M254" s="19">
        <f t="shared" si="187"/>
        <v>-16530679.529495263</v>
      </c>
      <c r="N254" s="465">
        <f>+$AD251/$AD252*N256</f>
        <v>1253697.0022003669</v>
      </c>
      <c r="O254" s="25">
        <f>IF(N254-AG254&lt;0,0,N254-AG254)</f>
        <v>406640.82757236692</v>
      </c>
      <c r="P254" s="25">
        <f>+$AD251/$AD252*P256</f>
        <v>369857.4573605833</v>
      </c>
      <c r="Q254" s="465">
        <f>+$AC251/$AC252*Q256</f>
        <v>6509862.6623408999</v>
      </c>
      <c r="R254" s="647">
        <f>IF(Q254-AH254&lt;0,0,Q254-AH254)</f>
        <v>5882579.4623408997</v>
      </c>
      <c r="S254" s="647">
        <f>+S251</f>
        <v>815000</v>
      </c>
      <c r="T254" s="25">
        <f>+$AC251/$AC252*T256</f>
        <v>1175894.2566272537</v>
      </c>
      <c r="U254" s="29"/>
      <c r="V254" s="461">
        <f>+V251</f>
        <v>4427579.9532000003</v>
      </c>
      <c r="W254" s="25"/>
      <c r="X254" s="461">
        <f t="shared" si="188"/>
        <v>393106.27980575839</v>
      </c>
      <c r="Y254" s="28">
        <f t="shared" si="188"/>
        <v>13436.991898960001</v>
      </c>
      <c r="Z254" s="28">
        <f t="shared" si="188"/>
        <v>289711.13048328704</v>
      </c>
      <c r="AA254" s="650">
        <f>(-O254-R254)/(1+0.12)+PV(12%,20,P254)+PV(12%,20,T254)-(O254*0.5)/(1+0.12)^10-S254/(1+0.12)^10</f>
        <v>-17489152.463204149</v>
      </c>
      <c r="AB254" s="651">
        <f>M254+AA254</f>
        <v>-34019831.992699414</v>
      </c>
      <c r="AC254" s="10"/>
      <c r="AD254" s="10"/>
      <c r="AE254" s="10"/>
      <c r="AF254" s="10"/>
      <c r="AG254" s="448">
        <f>VLOOKUP($D254,Valoración_Eq_REG!$D$4:$I$157,Valoración_Eq_REG!$E$2,FALSE)*$E$4</f>
        <v>847056.17462800001</v>
      </c>
      <c r="AH254" s="448">
        <f>VLOOKUP($D254,Valoración_Eq_REG!$D$4:$I$157,Valoración_Eq_REG!$F$2,FALSE)*$E$4</f>
        <v>627283.19999999995</v>
      </c>
      <c r="AI254" s="2"/>
      <c r="AJ254" s="484">
        <f>+'[128]Evaluacion Economica'!$L$25</f>
        <v>3</v>
      </c>
      <c r="AK254" s="448">
        <f>+'[128]Evaluacion Economica'!$R$25</f>
        <v>9</v>
      </c>
      <c r="AL254" s="484">
        <f>+'[128]P_Evaluacion Economica'!$L$27</f>
        <v>3</v>
      </c>
      <c r="AM254" s="448">
        <f>+'[128]P_Evaluacion Economica'!$Q$27</f>
        <v>6</v>
      </c>
      <c r="AN254" s="34" t="str">
        <f>+[128]Datos!$C$2</f>
        <v>Monte Hermoso</v>
      </c>
      <c r="AO254" s="25" t="str">
        <f>VLOOKUP($E254,Tabla13[],Inputs_costos!$D$1,FALSE)</f>
        <v>MONTE HERMOSO</v>
      </c>
      <c r="AP254" s="28" t="str">
        <f>VLOOKUP($D254,'Costo Social x localidad'!$B$2:$M$156,1,FALSE)</f>
        <v>MONTE HERMOSO</v>
      </c>
    </row>
    <row r="255" spans="1:42" ht="30.75" thickBot="1">
      <c r="A255" s="917"/>
      <c r="B255" s="887"/>
      <c r="C255" s="912" t="s">
        <v>12</v>
      </c>
      <c r="D255" s="913"/>
      <c r="E255" s="498" t="s">
        <v>589</v>
      </c>
      <c r="F255" s="571">
        <f>+F244</f>
        <v>0.02</v>
      </c>
      <c r="G255" s="582"/>
      <c r="H255" s="461">
        <f>+AJ255*AJ257+AL255*AL257</f>
        <v>1506818.7213593042</v>
      </c>
      <c r="I255" s="461"/>
      <c r="J255" s="583">
        <f>+$F255*H255</f>
        <v>30136.374427186085</v>
      </c>
      <c r="K255" s="10"/>
      <c r="L255" s="10"/>
      <c r="M255" s="19"/>
      <c r="N255" s="465"/>
      <c r="O255" s="10"/>
      <c r="P255" s="10"/>
      <c r="Q255" s="618"/>
      <c r="R255" s="28"/>
      <c r="S255" s="28"/>
      <c r="T255" s="28"/>
      <c r="U255" s="28"/>
      <c r="V255" s="28"/>
      <c r="W255" s="28"/>
      <c r="X255" s="28"/>
      <c r="Y255" s="28"/>
      <c r="Z255" s="28"/>
      <c r="AA255" s="658"/>
      <c r="AB255" s="20"/>
      <c r="AC255" s="10"/>
      <c r="AD255" s="10"/>
      <c r="AE255" s="10"/>
      <c r="AF255" s="10"/>
      <c r="AG255" s="4"/>
      <c r="AH255" s="4"/>
      <c r="AI255" s="4"/>
      <c r="AJ255" s="501">
        <f>ROUNDUP(C256*SUM(AJ253:AJ254),0)</f>
        <v>3</v>
      </c>
      <c r="AK255" s="502">
        <f>AVERAGE(AK253:AK254)</f>
        <v>12</v>
      </c>
      <c r="AL255" s="501">
        <f>ROUNDUP(C256*SUM(AL253:AL254),0)</f>
        <v>3</v>
      </c>
      <c r="AM255" s="502">
        <f>AVERAGE(AM253:AM254)</f>
        <v>6</v>
      </c>
      <c r="AN255" s="4"/>
      <c r="AO255" s="4"/>
      <c r="AP255" s="4"/>
    </row>
    <row r="256" spans="1:42" ht="15.75" thickBot="1">
      <c r="A256" s="918"/>
      <c r="B256" s="888"/>
      <c r="C256" s="570">
        <v>0.5</v>
      </c>
      <c r="D256" s="500" t="str">
        <f>A250</f>
        <v>REGIÓN MONTE HERMOSO</v>
      </c>
      <c r="E256" s="468"/>
      <c r="F256" s="469"/>
      <c r="G256" s="584"/>
      <c r="H256" s="585">
        <f>SUM(H253:H254)</f>
        <v>6197686.8445474803</v>
      </c>
      <c r="I256" s="585"/>
      <c r="J256" s="586">
        <f>SUM(J253:J254)</f>
        <v>2611199.7285075136</v>
      </c>
      <c r="K256" s="14"/>
      <c r="L256" s="14"/>
      <c r="M256" s="15">
        <f>SUM(M253:M255)</f>
        <v>-27033347.425006896</v>
      </c>
      <c r="N256" s="615">
        <f>(VLOOKUP($E253,Tabla13[],Inputs_costos!$P$1,FALSE))*(O$3*$E$3+O$4*$E$4)</f>
        <v>1726052.1904000002</v>
      </c>
      <c r="O256" s="35">
        <f>SUM(O253:O254)</f>
        <v>615888.28502199997</v>
      </c>
      <c r="P256" s="35">
        <f>(VLOOKUP($E253,Tabla13[],Inputs_costos!$Q$1,FALSE))*(P$3*$E$3+P$4*$E$4)</f>
        <v>509208.58332800004</v>
      </c>
      <c r="Q256" s="615">
        <f>IF($AC252&gt;=15,(VLOOKUP($E253,Tabla13[],Inputs_costos!$N$1,FALSE))*($R$3*$E$3+$R$4*$E$4),(VLOOKUP($E253,Tabla13[],Inputs_costos!$N$1,FALSE))*($T$3*$E$3+$T$4*$E$4))</f>
        <v>9044915.9648000002</v>
      </c>
      <c r="R256" s="35">
        <f>SUM(R253:R254)</f>
        <v>8417632.7647999991</v>
      </c>
      <c r="S256" s="35"/>
      <c r="T256" s="35">
        <f>IF($AC252&gt;=15,(VLOOKUP($E253,Tabla13[],Inputs_costos!$O$1,FALSE))*($R$3*$E$3+$R$4*$E$4),(VLOOKUP($E253,Tabla13[],Inputs_costos!$O$1,FALSE))*($T$3*$E$3+$T$4*$E$4))</f>
        <v>1633807.8522320001</v>
      </c>
      <c r="U256" s="35"/>
      <c r="V256" s="31">
        <f>SUM(V253:V254)</f>
        <v>10648584.246064</v>
      </c>
      <c r="W256" s="31"/>
      <c r="X256" s="31">
        <f>SUM(X253:X254)</f>
        <v>945443.1952477803</v>
      </c>
      <c r="Y256" s="31">
        <f>SUM(Y253:Y254)</f>
        <v>36978.43980136</v>
      </c>
      <c r="Z256" s="31">
        <f>SUM(Z253:Z254)</f>
        <v>516181.14387248526</v>
      </c>
      <c r="AA256" s="657">
        <f>SUM(AA253:AA254)</f>
        <v>-24434342.205981653</v>
      </c>
      <c r="AB256" s="654">
        <f>+M256+AA256</f>
        <v>-51467689.630988553</v>
      </c>
      <c r="AC256" s="38"/>
      <c r="AD256" s="38"/>
      <c r="AE256" s="38"/>
      <c r="AF256" s="38"/>
      <c r="AG256" s="4"/>
      <c r="AH256" s="4"/>
      <c r="AI256" s="4"/>
      <c r="AJ256" s="11"/>
      <c r="AK256" s="499">
        <f>VLOOKUP(ROUNDUP(AK255,0),DATOS!$F$16:$G$31,2,FALSE)</f>
        <v>12</v>
      </c>
      <c r="AL256" s="497"/>
      <c r="AM256" s="499">
        <f>VLOOKUP(ROUNDUP(AM255,0),DATOS!$J$16:$K$34,2,FALSE)</f>
        <v>6</v>
      </c>
      <c r="AN256" s="4"/>
      <c r="AO256" s="4"/>
      <c r="AP256" s="4"/>
    </row>
    <row r="257" spans="1:42">
      <c r="F257" s="2"/>
      <c r="G257" s="2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0"/>
      <c r="V257" s="2"/>
      <c r="W257" s="2"/>
      <c r="X257" s="2"/>
      <c r="Y257" s="2"/>
      <c r="Z257" s="2"/>
      <c r="AA257" s="4"/>
      <c r="AB257" s="4"/>
      <c r="AC257" s="4"/>
      <c r="AD257" s="4"/>
      <c r="AE257" s="4"/>
      <c r="AF257" s="4"/>
      <c r="AG257" s="448"/>
      <c r="AH257" s="448"/>
      <c r="AI257" s="4"/>
      <c r="AJ257" s="892">
        <f>VLOOKUP(AK256,DATOS!$F$3:$H$11,3,FALSE)</f>
        <v>268012.51263976813</v>
      </c>
      <c r="AK257" s="892"/>
      <c r="AL257" s="892">
        <f>VLOOKUP(AM256,DATOS!$J$3:$L$12,3,FALSE)</f>
        <v>234260.39447999999</v>
      </c>
      <c r="AM257" s="892"/>
      <c r="AN257" s="4"/>
      <c r="AO257" s="4"/>
      <c r="AP257" s="4"/>
    </row>
    <row r="258" spans="1:42" ht="15.75" thickBot="1">
      <c r="A258" s="503"/>
      <c r="B258" s="503"/>
      <c r="C258" s="503"/>
      <c r="D258" s="503"/>
      <c r="E258" s="503"/>
      <c r="F258" s="504"/>
      <c r="G258" s="504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6"/>
      <c r="AB258" s="506"/>
      <c r="AC258" s="506"/>
      <c r="AD258" s="506"/>
      <c r="AE258" s="506"/>
      <c r="AF258" s="506"/>
      <c r="AG258" s="506"/>
      <c r="AH258" s="506"/>
      <c r="AI258" s="506"/>
      <c r="AJ258" s="506"/>
      <c r="AK258" s="506"/>
      <c r="AL258" s="506"/>
      <c r="AM258" s="506"/>
      <c r="AN258" s="506"/>
      <c r="AO258" s="506"/>
      <c r="AP258" s="506"/>
    </row>
    <row r="259" spans="1:42" ht="39" thickBot="1">
      <c r="A259" s="886" t="s">
        <v>7</v>
      </c>
      <c r="B259" s="886" t="s">
        <v>2</v>
      </c>
      <c r="C259" s="508"/>
      <c r="D259" s="882" t="s">
        <v>22</v>
      </c>
      <c r="E259" s="882" t="s">
        <v>23</v>
      </c>
      <c r="F259" s="882" t="s">
        <v>3</v>
      </c>
      <c r="G259" s="568"/>
      <c r="H259" s="901" t="s">
        <v>0</v>
      </c>
      <c r="I259" s="901"/>
      <c r="J259" s="901"/>
      <c r="K259" s="901" t="s">
        <v>1</v>
      </c>
      <c r="L259" s="901"/>
      <c r="M259" s="886" t="s">
        <v>10</v>
      </c>
      <c r="N259" s="879" t="s">
        <v>5</v>
      </c>
      <c r="O259" s="880"/>
      <c r="P259" s="881"/>
      <c r="Q259" s="902" t="s">
        <v>4</v>
      </c>
      <c r="R259" s="903"/>
      <c r="S259" s="903"/>
      <c r="T259" s="904"/>
      <c r="U259" s="902" t="s">
        <v>6</v>
      </c>
      <c r="V259" s="903"/>
      <c r="W259" s="903"/>
      <c r="X259" s="904"/>
      <c r="Y259" s="390" t="s">
        <v>689</v>
      </c>
      <c r="Z259" s="662" t="s">
        <v>690</v>
      </c>
      <c r="AA259" s="905" t="s">
        <v>686</v>
      </c>
      <c r="AB259" s="886" t="s">
        <v>9</v>
      </c>
      <c r="AC259" s="907" t="s">
        <v>312</v>
      </c>
      <c r="AD259" s="914" t="s">
        <v>649</v>
      </c>
      <c r="AE259" s="897" t="s">
        <v>20</v>
      </c>
      <c r="AF259" s="897" t="s">
        <v>313</v>
      </c>
      <c r="AG259" s="899" t="s">
        <v>552</v>
      </c>
      <c r="AH259" s="895" t="s">
        <v>578</v>
      </c>
      <c r="AI259" s="897" t="s">
        <v>579</v>
      </c>
      <c r="AJ259" s="882" t="s">
        <v>581</v>
      </c>
      <c r="AK259" s="882" t="s">
        <v>582</v>
      </c>
      <c r="AL259" s="882" t="s">
        <v>581</v>
      </c>
      <c r="AM259" s="882" t="s">
        <v>582</v>
      </c>
      <c r="AN259" s="884" t="s">
        <v>553</v>
      </c>
      <c r="AO259" s="885"/>
      <c r="AP259" s="885"/>
    </row>
    <row r="260" spans="1:42" ht="30.75" thickBot="1">
      <c r="A260" s="888"/>
      <c r="B260" s="888"/>
      <c r="C260" s="509"/>
      <c r="D260" s="883"/>
      <c r="E260" s="883"/>
      <c r="F260" s="883"/>
      <c r="G260" s="569"/>
      <c r="H260" s="17" t="s">
        <v>18</v>
      </c>
      <c r="I260" s="17"/>
      <c r="J260" s="17" t="s">
        <v>17</v>
      </c>
      <c r="K260" s="17" t="s">
        <v>18</v>
      </c>
      <c r="L260" s="17" t="s">
        <v>17</v>
      </c>
      <c r="M260" s="888"/>
      <c r="N260" s="464" t="s">
        <v>685</v>
      </c>
      <c r="O260" s="17" t="s">
        <v>18</v>
      </c>
      <c r="P260" s="17" t="s">
        <v>17</v>
      </c>
      <c r="Q260" s="464" t="s">
        <v>685</v>
      </c>
      <c r="R260" s="17" t="s">
        <v>18</v>
      </c>
      <c r="S260" s="17"/>
      <c r="T260" s="17" t="s">
        <v>17</v>
      </c>
      <c r="U260" s="464" t="s">
        <v>576</v>
      </c>
      <c r="V260" s="17" t="s">
        <v>18</v>
      </c>
      <c r="W260" s="464" t="s">
        <v>577</v>
      </c>
      <c r="X260" s="17" t="s">
        <v>17</v>
      </c>
      <c r="Y260" s="17" t="s">
        <v>18</v>
      </c>
      <c r="Z260" s="17" t="s">
        <v>17</v>
      </c>
      <c r="AA260" s="906"/>
      <c r="AB260" s="888"/>
      <c r="AC260" s="908"/>
      <c r="AD260" s="915"/>
      <c r="AE260" s="898"/>
      <c r="AF260" s="898"/>
      <c r="AG260" s="900"/>
      <c r="AH260" s="896"/>
      <c r="AI260" s="898"/>
      <c r="AJ260" s="883"/>
      <c r="AK260" s="883"/>
      <c r="AL260" s="883"/>
      <c r="AM260" s="883"/>
      <c r="AN260" s="1" t="s">
        <v>551</v>
      </c>
      <c r="AO260" s="9" t="s">
        <v>554</v>
      </c>
      <c r="AP260" s="1" t="s">
        <v>555</v>
      </c>
    </row>
    <row r="261" spans="1:42">
      <c r="A261" s="916" t="s">
        <v>607</v>
      </c>
      <c r="B261" s="886" t="s">
        <v>309</v>
      </c>
      <c r="C261" s="507" t="str">
        <f>IF(AND(D261=AN261,D261=AO261,D261=AP261),"ok","ATENCIÓN NO ESTÁ TOMANDO BIEN LA LOCALIDAD")</f>
        <v>ok</v>
      </c>
      <c r="D261" s="23" t="s">
        <v>231</v>
      </c>
      <c r="E261" s="114">
        <f>VLOOKUP(D261,Pobl_adoptada!$C$5:$D$158,2,FALSE)</f>
        <v>125</v>
      </c>
      <c r="F261" s="8" t="s">
        <v>308</v>
      </c>
      <c r="G261" s="8"/>
      <c r="H261" s="33">
        <f>'[129]Inversion rec-TA'!$G$21</f>
        <v>2300227.0407098257</v>
      </c>
      <c r="I261" s="33"/>
      <c r="J261" s="33">
        <f>'[129]Costos Operativos Rec-TA'!$G$23</f>
        <v>963546.56240623328</v>
      </c>
      <c r="K261" s="32">
        <f>'[129]Inversion rec-TA'!$G$46</f>
        <v>0</v>
      </c>
      <c r="L261" s="32">
        <f>+'[129]Costos Operativos Rec-TA'!$G$46</f>
        <v>0</v>
      </c>
      <c r="M261" s="19">
        <f t="shared" ref="M261:M265" si="189">-H261/(1+0.12)+PV(12%,20,J261)-H261/(1+0.12)^10</f>
        <v>-9991542.4159897082</v>
      </c>
      <c r="N261" s="19"/>
      <c r="O261" s="25">
        <f>IF(((VLOOKUP($E261,Tabla13[],Inputs_costos!$I$1,FALSE))*(O$3*$E$3+O$4*$E$4)-AG261)&lt;0,0,VLOOKUP($E261,Tabla13[],Inputs_costos!$I$1,FALSE)*(O$3*$E$3+O$4*$E$4)-AG261)</f>
        <v>359159.83353599999</v>
      </c>
      <c r="P261" s="25">
        <f>(VLOOKUP($E261,Tabla13[],Inputs_costos!$J$1,FALSE))*(P$3*$E$3+P$4*$E$4)</f>
        <v>26127.3549570752</v>
      </c>
      <c r="Q261" s="25"/>
      <c r="R261" s="25">
        <f>IF($AC261&gt;=15,(VLOOKUP($E261,Tabla13[],Inputs_costos!$G$1,FALSE))*($R$3*$E$3+$R$4*$E$4),(VLOOKUP($E261,Tabla13[],Inputs_costos!$G$1,FALSE))*($T$3*$E$3+$T$4*$E$4))-AH261</f>
        <v>710681.12008000002</v>
      </c>
      <c r="S261" s="25">
        <f t="shared" ref="S261:S265" si="190">IF(AC261&lt;15,0,IF(AC261&lt;=350,815000,1345000))</f>
        <v>0</v>
      </c>
      <c r="T261" s="25">
        <f>IF($AC261&gt;=15,(VLOOKUP($E261,Tabla13[],Inputs_costos!$H$1,FALSE))*($R$3*$E$3+$R$4*$E$4),(VLOOKUP($E261,Tabla13[],Inputs_costos!$H$1,FALSE))*($T$3*$E$3+$T$4*$E$4))</f>
        <v>106285.32828</v>
      </c>
      <c r="U261" s="465">
        <f>SUMIFS(Tabla24[Costo de Cierre Técnico de BCA (US$)],Tabla24[Localidad],Resumen!$D261)</f>
        <v>784400</v>
      </c>
      <c r="V261" s="461">
        <f>+U261*(V$3*$E$3+V$4*$E$4)</f>
        <v>1506395.01856</v>
      </c>
      <c r="W261" s="465">
        <f>SUMIFS(Tabla24[Costo anual de Manteniemiento Post-cierre (US$)],Tabla24[Localidad],Resumen!$D261)</f>
        <v>69643.590661028575</v>
      </c>
      <c r="X261" s="461">
        <f>+W261*(X$3*$E$3+X$4*$E$4)</f>
        <v>133746.50439368331</v>
      </c>
      <c r="Y261" s="27">
        <f>VLOOKUP($D261,'Costo Social x localidad'!$B$2:$M$156,12,FALSE)*(Y$3*$E$3+Y$4*$E$4)</f>
        <v>15494.529243359997</v>
      </c>
      <c r="Z261" s="28">
        <f>VLOOKUP(D261,'Estimación  PRESUPUESTO PCAS'!$B$4:$G$158,'Estimación  PRESUPUESTO PCAS'!$G$2,FALSE)</f>
        <v>181437.03012885826</v>
      </c>
      <c r="AA261" s="650">
        <f>(-O261-R261)/(1+0.12)+PV(12%,20,P261)+PV(12%,20,T261)-(O261*0.5)/(1+0.12)^10-S261/(1+0.12)^10</f>
        <v>-2002084.1367709045</v>
      </c>
      <c r="AB261" s="651">
        <f>M261+AA261</f>
        <v>-11993626.552760612</v>
      </c>
      <c r="AC261" s="10">
        <f>VLOOKUP($E261,Resumen_Generación!$B$5:$F$158,Resumen_Generación!$D$3,FALSE)</f>
        <v>8.1197518240000015</v>
      </c>
      <c r="AD261" s="10">
        <f>VLOOKUP($E261,Resumen_Generación!$B$5:$G$158,Resumen_Generación!$G$3,FALSE)</f>
        <v>3.3299202200000004</v>
      </c>
      <c r="AE261" s="362">
        <f>VLOOKUP($E261,Resumen_Generación!$B$5:$F$158,Resumen_Generación!$E$3,FALSE)</f>
        <v>11721</v>
      </c>
      <c r="AF261" s="10">
        <f>VLOOKUP($E261,Resumen_Generación!$B$5:$F$158,Resumen_Generación!$F$3,FALSE)</f>
        <v>3.7532320000000001</v>
      </c>
      <c r="AG261" s="448">
        <f>VLOOKUP($D261,Valoración_Equip_actual!$D$4:$I$157,Valoración_Equip_actual!$E$2,FALSE)*$E$4</f>
        <v>0</v>
      </c>
      <c r="AH261" s="448">
        <f>VLOOKUP($D261,Valoración_Equip_actual!$D$4:$I$157,Valoración_Equip_actual!$F$2,FALSE)*$E$4</f>
        <v>0</v>
      </c>
      <c r="AI261" s="513">
        <f>[129]P_Datos!$D$43</f>
        <v>0.27632786885245902</v>
      </c>
      <c r="AJ261" s="514"/>
      <c r="AK261" s="514"/>
      <c r="AL261" s="514"/>
      <c r="AM261" s="514"/>
      <c r="AN261" s="449" t="str">
        <f>[129]Datos!$C$2</f>
        <v>Suipacha</v>
      </c>
      <c r="AO261" s="450" t="str">
        <f>VLOOKUP($E261,Tabla13[],Inputs_costos!$D$1,FALSE)</f>
        <v>SUIPACHA</v>
      </c>
      <c r="AP261" s="451" t="str">
        <f>VLOOKUP($D261,'Costo Social x localidad'!$B$2:$M$156,1,FALSE)</f>
        <v>SUIPACHA</v>
      </c>
    </row>
    <row r="262" spans="1:42" ht="21" customHeight="1">
      <c r="A262" s="917"/>
      <c r="B262" s="887"/>
      <c r="C262" s="478" t="str">
        <f>IF(AND(D262=AN262,D262=AO262,D262=AP262),"ok","ATENCIÓN NO ESTÁ TOMANDO BIEN LA LOCALIDAD")</f>
        <v>ok</v>
      </c>
      <c r="D262" s="515" t="s">
        <v>193</v>
      </c>
      <c r="E262" s="115">
        <f>VLOOKUP(D262,Pobl_adoptada!$C$5:$D$158,2,FALSE)</f>
        <v>94</v>
      </c>
      <c r="F262" s="9" t="s">
        <v>308</v>
      </c>
      <c r="G262" s="9"/>
      <c r="H262" s="34">
        <f>'[130]Inversion rec-TA'!$G$21</f>
        <v>4798219.3181958785</v>
      </c>
      <c r="I262" s="34"/>
      <c r="J262" s="34">
        <f>'[130]Costos Operativos Rec-TA'!$G$23</f>
        <v>2670227.1264396827</v>
      </c>
      <c r="K262" s="25">
        <f>'[130]Inversion rec-TA'!$G$46</f>
        <v>0</v>
      </c>
      <c r="L262" s="25">
        <f>+'[130]Costos Operativos Rec-TA'!$G$46</f>
        <v>0</v>
      </c>
      <c r="M262" s="19">
        <f t="shared" si="189"/>
        <v>-25774133.580089338</v>
      </c>
      <c r="N262" s="19"/>
      <c r="O262" s="25">
        <f>IF(((VLOOKUP($E262,Tabla13[],Inputs_costos!$I$1,FALSE))*(O$3*$E$3+O$4*$E$4)-AG262)&lt;0,0,VLOOKUP($E262,Tabla13[],Inputs_costos!$I$1,FALSE)*(O$3*$E$3+O$4*$E$4)-AG262)</f>
        <v>1750055.7074000002</v>
      </c>
      <c r="P262" s="25">
        <f>(VLOOKUP($E262,Tabla13[],Inputs_costos!$J$1,FALSE))*(P$3*$E$3+P$4*$E$4)</f>
        <v>983506.57856000005</v>
      </c>
      <c r="Q262" s="25"/>
      <c r="R262" s="25">
        <f>IF($AC262&gt;=15,(VLOOKUP($E262,Tabla13[],Inputs_costos!$G$1,FALSE))*($R$3*$E$3+$R$4*$E$4),(VLOOKUP($E262,Tabla13[],Inputs_costos!$G$1,FALSE))*($T$3*$E$3+$T$4*$E$4))-AH262</f>
        <v>12842214.773600001</v>
      </c>
      <c r="S262" s="25">
        <f t="shared" si="190"/>
        <v>815000</v>
      </c>
      <c r="T262" s="25">
        <f>IF($AC262&gt;=15,(VLOOKUP($E262,Tabla13[],Inputs_costos!$H$1,FALSE))*($R$3*$E$3+$R$4*$E$4),(VLOOKUP($E262,Tabla13[],Inputs_costos!$H$1,FALSE))*($T$3*$E$3+$T$4*$E$4))</f>
        <v>1355395.1977920001</v>
      </c>
      <c r="U262" s="465">
        <f>SUMIFS(Tabla24[Costo de Cierre Técnico de BCA (US$)],Tabla24[Localidad],Resumen!$D262)</f>
        <v>805600</v>
      </c>
      <c r="V262" s="461">
        <f>+U262*(V$3*$E$3+V$4*$E$4)</f>
        <v>1547108.39744</v>
      </c>
      <c r="W262" s="465">
        <f>SUMIFS(Tabla24[Costo anual de Manteniemiento Post-cierre (US$)],Tabla24[Localidad],Resumen!$D262)</f>
        <v>71525.849868083402</v>
      </c>
      <c r="X262" s="461">
        <f>+W262*(X$3*$E$3+X$4*$E$4)</f>
        <v>137361.27478270177</v>
      </c>
      <c r="Y262" s="28">
        <f>VLOOKUP($D262,'Costo Social x localidad'!$B$2:$M$156,12,FALSE)*(Y$3*$E$3+Y$4*$E$4)</f>
        <v>127916.80292288</v>
      </c>
      <c r="Z262" s="28">
        <f>VLOOKUP(D262,'Estimación  PRESUPUESTO PCAS'!$B$4:$G$158,'Estimación  PRESUPUESTO PCAS'!$G$2,FALSE)</f>
        <v>394392.37745794852</v>
      </c>
      <c r="AA262" s="650">
        <f>(-O262-R262)/(1+0.12)+PV(12%,20,P262)+PV(12%,20,T262)-(O262*0.5)/(1+0.12)^10-S262/(1+0.12)^10</f>
        <v>-31043251.628749438</v>
      </c>
      <c r="AB262" s="651">
        <f>M262+AA262</f>
        <v>-56817385.208838776</v>
      </c>
      <c r="AC262" s="10">
        <f>VLOOKUP($E262,Resumen_Generación!$B$5:$F$158,Resumen_Generación!$D$3,FALSE)</f>
        <v>53.587953792000008</v>
      </c>
      <c r="AD262" s="10">
        <f>VLOOKUP($E262,Resumen_Generación!$B$5:$G$158,Resumen_Generación!$G$3,FALSE)</f>
        <v>21.871337759999996</v>
      </c>
      <c r="AE262" s="362">
        <f>VLOOKUP($E262,Resumen_Generación!$B$5:$F$158,Resumen_Generación!$E$3,FALSE)</f>
        <v>69691</v>
      </c>
      <c r="AF262" s="10">
        <f>VLOOKUP($E262,Resumen_Generación!$B$5:$F$158,Resumen_Generación!$F$3,FALSE)</f>
        <v>24.745455</v>
      </c>
      <c r="AG262" s="448">
        <f>VLOOKUP($D262,Valoración_Equip_actual!$D$4:$I$157,Valoración_Equip_actual!$E$2,FALSE)*$E$4</f>
        <v>119756.875</v>
      </c>
      <c r="AH262" s="448">
        <f>VLOOKUP($D262,Valoración_Equip_actual!$D$4:$I$157,Valoración_Equip_actual!$F$2,FALSE)*$E$4</f>
        <v>0</v>
      </c>
      <c r="AI262" s="513">
        <f>[130]P_Datos!$D$43</f>
        <v>1.6528524590163935</v>
      </c>
      <c r="AJ262" s="514"/>
      <c r="AK262" s="514"/>
      <c r="AL262" s="514"/>
      <c r="AM262" s="514"/>
      <c r="AN262" s="34" t="str">
        <f>[130]Datos!$C$2</f>
        <v>Mercedes</v>
      </c>
      <c r="AO262" s="25" t="str">
        <f>VLOOKUP($E262,Tabla13[],Inputs_costos!$D$1,FALSE)</f>
        <v>MERCEDES</v>
      </c>
      <c r="AP262" s="28" t="str">
        <f>VLOOKUP($D262,'Costo Social x localidad'!$B$2:$M$156,1,FALSE)</f>
        <v>MERCEDES</v>
      </c>
    </row>
    <row r="263" spans="1:42">
      <c r="A263" s="917"/>
      <c r="B263" s="887"/>
      <c r="C263" s="478" t="str">
        <f>IF(AND(D263=AN263,D263=AO263,D263=AP263),"ok","ATENCIÓN NO ESTÁ TOMANDO BIEN LA LOCALIDAD")</f>
        <v>ok</v>
      </c>
      <c r="D263" s="24" t="s">
        <v>187</v>
      </c>
      <c r="E263" s="115">
        <f>VLOOKUP(D263,Pobl_adoptada!$C$5:$D$158,2,FALSE)</f>
        <v>88</v>
      </c>
      <c r="F263" s="9" t="s">
        <v>308</v>
      </c>
      <c r="G263" s="9"/>
      <c r="H263" s="34">
        <f>'[131]Inversion rec-TA'!$G$21</f>
        <v>3605603.6936182352</v>
      </c>
      <c r="I263" s="34"/>
      <c r="J263" s="34">
        <f>'[131]Costos Operativos Rec-TA'!$G$23</f>
        <v>1877073.4540470568</v>
      </c>
      <c r="K263" s="25">
        <f>'[131]Inversion rec-TA'!$G$46</f>
        <v>0</v>
      </c>
      <c r="L263" s="25">
        <f>+'[131]Costos Operativos Rec-TA'!$G$46</f>
        <v>0</v>
      </c>
      <c r="M263" s="19">
        <f t="shared" si="189"/>
        <v>-18400891.246983141</v>
      </c>
      <c r="N263" s="19"/>
      <c r="O263" s="25">
        <f>IF(((VLOOKUP($E263,Tabla13[],Inputs_costos!$I$1,FALSE))*(O$3*$E$3+O$4*$E$4)-AG263)&lt;0,0,VLOOKUP($E263,Tabla13[],Inputs_costos!$I$1,FALSE)*(O$3*$E$3+O$4*$E$4)-AG263)</f>
        <v>1274656.8303600003</v>
      </c>
      <c r="P263" s="25">
        <f>(VLOOKUP($E263,Tabla13[],Inputs_costos!$J$1,FALSE))*(P$3*$E$3+P$4*$E$4)</f>
        <v>586764.99609600008</v>
      </c>
      <c r="Q263" s="25"/>
      <c r="R263" s="25">
        <f>IF($AC263&gt;=15,(VLOOKUP($E263,Tabla13[],Inputs_costos!$G$1,FALSE))*($R$3*$E$3+$R$4*$E$4),(VLOOKUP($E263,Tabla13[],Inputs_costos!$G$1,FALSE))*($T$3*$E$3+$T$4*$E$4))-AH263</f>
        <v>9688051.9928000011</v>
      </c>
      <c r="S263" s="25">
        <f t="shared" si="190"/>
        <v>815000</v>
      </c>
      <c r="T263" s="25">
        <f>IF($AC263&gt;=15,(VLOOKUP($E263,Tabla13[],Inputs_costos!$H$1,FALSE))*($R$3*$E$3+$R$4*$E$4),(VLOOKUP($E263,Tabla13[],Inputs_costos!$H$1,FALSE))*($T$3*$E$3+$T$4*$E$4))</f>
        <v>1596636.4539760002</v>
      </c>
      <c r="U263" s="465">
        <f>SUMIFS(Tabla24[Costo de Cierre Técnico de BCA (US$)],Tabla24[Localidad],Resumen!$D263)</f>
        <v>0</v>
      </c>
      <c r="V263" s="461">
        <f t="shared" ref="V263:V265" si="191">+U263*(V$3*$E$3+V$4*$E$4)</f>
        <v>0</v>
      </c>
      <c r="W263" s="465">
        <f>SUMIFS(Tabla24[Costo anual de Manteniemiento Post-cierre (US$)],Tabla24[Localidad],Resumen!$D263)</f>
        <v>0</v>
      </c>
      <c r="X263" s="461">
        <f t="shared" ref="X263:X265" si="192">+W263*(X$3*$E$3+X$4*$E$4)</f>
        <v>0</v>
      </c>
      <c r="Y263" s="28">
        <f>VLOOKUP($D263,'Costo Social x localidad'!$B$2:$M$156,12,FALSE)*(Y$3*$E$3+Y$4*$E$4)</f>
        <v>45390.949442799996</v>
      </c>
      <c r="Z263" s="28">
        <f>VLOOKUP(D263,'Estimación  PRESUPUESTO PCAS'!$B$4:$G$158,'Estimación  PRESUPUESTO PCAS'!$G$2,FALSE)</f>
        <v>278355.52516778233</v>
      </c>
      <c r="AA263" s="650">
        <f>(-O263-R263)/(1+0.12)+PV(12%,20,P263)+PV(12%,20,T263)-(O263*0.5)/(1+0.12)^10-S263/(1+0.12)^10</f>
        <v>-26564537.798837505</v>
      </c>
      <c r="AB263" s="651">
        <f>M263+AA263</f>
        <v>-44965429.045820646</v>
      </c>
      <c r="AC263" s="10">
        <f>VLOOKUP($E263,Resumen_Generación!$B$5:$F$158,Resumen_Generación!$D$3,FALSE)</f>
        <v>32.013558623999998</v>
      </c>
      <c r="AD263" s="10">
        <f>VLOOKUP($E263,Resumen_Generación!$B$5:$G$158,Resumen_Generación!$G$3,FALSE)</f>
        <v>13.128404219999998</v>
      </c>
      <c r="AE263" s="362">
        <f>VLOOKUP($E263,Resumen_Generación!$B$5:$F$158,Resumen_Generación!$E$3,FALSE)</f>
        <v>40110</v>
      </c>
      <c r="AF263" s="10">
        <f>VLOOKUP($E263,Resumen_Generación!$B$5:$F$158,Resumen_Generación!$F$3,FALSE)</f>
        <v>14.763202999999999</v>
      </c>
      <c r="AG263" s="448">
        <f>VLOOKUP($D263,Valoración_Equip_actual!$D$4:$I$157,Valoración_Equip_actual!$E$2,FALSE)*$E$4</f>
        <v>474953.51459999994</v>
      </c>
      <c r="AH263" s="448">
        <f>VLOOKUP($D263,Valoración_Equip_actual!$D$4:$I$157,Valoración_Equip_actual!$F$2,FALSE)*$E$4</f>
        <v>0</v>
      </c>
      <c r="AI263" s="448">
        <f>[131]P_Datos!$D$43</f>
        <v>0.942360655737705</v>
      </c>
      <c r="AN263" s="34" t="str">
        <f>[131]Datos!$C$2</f>
        <v>Lobos</v>
      </c>
      <c r="AO263" s="25" t="str">
        <f>VLOOKUP($E263,Tabla13[],Inputs_costos!$D$1,FALSE)</f>
        <v>LOBOS</v>
      </c>
      <c r="AP263" s="28" t="str">
        <f>VLOOKUP($D263,'Costo Social x localidad'!$B$2:$M$156,1,FALSE)</f>
        <v>LOBOS</v>
      </c>
    </row>
    <row r="264" spans="1:42">
      <c r="A264" s="917"/>
      <c r="B264" s="887"/>
      <c r="C264" s="478" t="str">
        <f>IF(AND(D264=AN264,D264=AO264,D264=AP264),"ok","ATENCIÓN NO ESTÁ TOMANDO BIEN LA LOCALIDAD")</f>
        <v>ok</v>
      </c>
      <c r="D264" s="515" t="s">
        <v>161</v>
      </c>
      <c r="E264" s="115">
        <f>VLOOKUP(D264,Pobl_adoptada!$C$5:$D$158,2,FALSE)</f>
        <v>69</v>
      </c>
      <c r="F264" s="9" t="s">
        <v>308</v>
      </c>
      <c r="G264" s="9"/>
      <c r="H264" s="34">
        <f>'[132]Inversion rec-TA'!$G$21</f>
        <v>2484748.7317175274</v>
      </c>
      <c r="I264" s="34"/>
      <c r="J264" s="34">
        <f>'[132]Costos Operativos Rec-TA'!$G$23</f>
        <v>1076444.4614672498</v>
      </c>
      <c r="K264" s="25">
        <f>'[132]Inversion rec-TA'!$G$46</f>
        <v>0</v>
      </c>
      <c r="L264" s="25">
        <f>+'[132]Costos Operativos Rec-TA'!$G$46</f>
        <v>0</v>
      </c>
      <c r="M264" s="19">
        <f t="shared" si="189"/>
        <v>-11058989.464234242</v>
      </c>
      <c r="N264" s="19"/>
      <c r="O264" s="25">
        <f>IF(((VLOOKUP($E264,Tabla13[],Inputs_costos!$I$1,FALSE))*(O$3*$E$3+O$4*$E$4)-AG264)&lt;0,0,VLOOKUP($E264,Tabla13[],Inputs_costos!$I$1,FALSE)*(O$3*$E$3+O$4*$E$4)-AG264)</f>
        <v>359159.83353599999</v>
      </c>
      <c r="P264" s="25">
        <f>(VLOOKUP($E264,Tabla13[],Inputs_costos!$J$1,FALSE))*(P$3*$E$3+P$4*$E$4)</f>
        <v>26127.3549570752</v>
      </c>
      <c r="Q264" s="25"/>
      <c r="R264" s="25">
        <f>IF($AC264&gt;=15,(VLOOKUP($E264,Tabla13[],Inputs_costos!$G$1,FALSE))*($R$3*$E$3+$R$4*$E$4),(VLOOKUP($E264,Tabla13[],Inputs_costos!$G$1,FALSE))*($T$3*$E$3+$T$4*$E$4))-AH264</f>
        <v>851050.72256000002</v>
      </c>
      <c r="S264" s="25">
        <f t="shared" si="190"/>
        <v>0</v>
      </c>
      <c r="T264" s="25">
        <f>IF($AC264&gt;=15,(VLOOKUP($E264,Tabla13[],Inputs_costos!$H$1,FALSE))*($R$3*$E$3+$R$4*$E$4),(VLOOKUP($E264,Tabla13[],Inputs_costos!$H$1,FALSE))*($T$3*$E$3+$T$4*$E$4))</f>
        <v>147992.95845599999</v>
      </c>
      <c r="U264" s="465">
        <f>SUMIFS(Tabla24[Costo de Cierre Técnico de BCA (US$)],Tabla24[Localidad],Resumen!$D264)</f>
        <v>0</v>
      </c>
      <c r="V264" s="461">
        <f t="shared" si="191"/>
        <v>0</v>
      </c>
      <c r="W264" s="465">
        <f>SUMIFS(Tabla24[Costo anual de Manteniemiento Post-cierre (US$)],Tabla24[Localidad],Resumen!$D264)</f>
        <v>0</v>
      </c>
      <c r="X264" s="461">
        <f t="shared" si="192"/>
        <v>0</v>
      </c>
      <c r="Y264" s="28">
        <f>VLOOKUP($D264,'Costo Social x localidad'!$B$2:$M$156,12,FALSE)*(Y$3*$E$3+Y$4*$E$4)</f>
        <v>25492.717233066665</v>
      </c>
      <c r="Z264" s="28">
        <f>VLOOKUP(D264,'Estimación  PRESUPUESTO PCAS'!$B$4:$G$158,'Estimación  PRESUPUESTO PCAS'!$G$2,FALSE)</f>
        <v>169621.99287813526</v>
      </c>
      <c r="AA264" s="650">
        <f>(-O264-R264)/(1+0.12)+PV(12%,20,P264)+PV(12%,20,T264)-(O264*0.5)/(1+0.12)^10-S264/(1+0.12)^10</f>
        <v>-2438946.9312891271</v>
      </c>
      <c r="AB264" s="651">
        <f>M264+AA264</f>
        <v>-13497936.395523369</v>
      </c>
      <c r="AC264" s="10">
        <f>VLOOKUP($E264,Resumen_Generación!$B$5:$F$158,Resumen_Generación!$D$3,FALSE)</f>
        <v>11.134731296</v>
      </c>
      <c r="AD264" s="10">
        <f>VLOOKUP($E264,Resumen_Generación!$B$5:$G$158,Resumen_Generación!$G$3,FALSE)</f>
        <v>4.5688708800000004</v>
      </c>
      <c r="AE264" s="362">
        <f>VLOOKUP($E264,Resumen_Generación!$B$5:$F$158,Resumen_Generación!$E$3,FALSE)</f>
        <v>16076</v>
      </c>
      <c r="AF264" s="10">
        <f>VLOOKUP($E264,Resumen_Generación!$B$5:$F$158,Resumen_Generación!$F$3,FALSE)</f>
        <v>5.1465259999999997</v>
      </c>
      <c r="AG264" s="448">
        <f>VLOOKUP($D264,Valoración_Equip_actual!$D$4:$I$157,Valoración_Equip_actual!$E$2,FALSE)*$E$4</f>
        <v>0</v>
      </c>
      <c r="AH264" s="448">
        <f>VLOOKUP($D264,Valoración_Equip_actual!$D$4:$I$157,Valoración_Equip_actual!$F$2,FALSE)*$E$4</f>
        <v>0</v>
      </c>
      <c r="AI264" s="448">
        <f>[132]P_Datos!$D$43</f>
        <v>0.36708196721311476</v>
      </c>
      <c r="AN264" s="34" t="str">
        <f>[132]Datos!$C$2</f>
        <v>General Las Heras</v>
      </c>
      <c r="AO264" s="25" t="str">
        <f>VLOOKUP($E264,Tabla13[],Inputs_costos!$D$1,FALSE)</f>
        <v>GENERAL LAS HERAS</v>
      </c>
      <c r="AP264" s="28" t="str">
        <f>VLOOKUP($D264,'Costo Social x localidad'!$B$2:$M$156,1,FALSE)</f>
        <v>GENERAL LAS HERAS</v>
      </c>
    </row>
    <row r="265" spans="1:42" ht="15.75" thickBot="1">
      <c r="A265" s="917"/>
      <c r="B265" s="887"/>
      <c r="C265" s="478" t="str">
        <f>IF(AND(D265=AN265,D265=AO265,D265=AP265),"ok","ATENCIÓN NO ESTÁ TOMANDO BIEN LA LOCALIDAD")</f>
        <v>ok</v>
      </c>
      <c r="D265" s="36" t="s">
        <v>197</v>
      </c>
      <c r="E265" s="511">
        <f>VLOOKUP(D265,Pobl_adoptada!$C$5:$D$158,2,FALSE)</f>
        <v>97</v>
      </c>
      <c r="F265" s="37" t="s">
        <v>308</v>
      </c>
      <c r="G265" s="37"/>
      <c r="H265" s="117">
        <f>'[133]Inversion rec-TA'!$G$21</f>
        <v>3269552.6862797677</v>
      </c>
      <c r="I265" s="117"/>
      <c r="J265" s="117">
        <f>'[133]Costos Operativos Rec-TA'!$G$23</f>
        <v>1543884.2242898394</v>
      </c>
      <c r="K265" s="25">
        <f>'[133]Inversion rec-TA'!$G$46</f>
        <v>0</v>
      </c>
      <c r="L265" s="25">
        <f>+'[133]Costos Operativos Rec-TA'!$G$46</f>
        <v>0</v>
      </c>
      <c r="M265" s="19">
        <f t="shared" si="189"/>
        <v>-15503908.106319649</v>
      </c>
      <c r="N265" s="19"/>
      <c r="O265" s="25">
        <f>IF(((VLOOKUP($E265,Tabla13[],Inputs_costos!$I$1,FALSE))*(O$3*$E$3+O$4*$E$4)-AG265)&lt;0,0,VLOOKUP($E265,Tabla13[],Inputs_costos!$I$1,FALSE)*(O$3*$E$3+O$4*$E$4)-AG265)</f>
        <v>780518.72018000006</v>
      </c>
      <c r="P265" s="25">
        <f>(VLOOKUP($E265,Tabla13[],Inputs_costos!$J$1,FALSE))*(P$3*$E$3+P$4*$E$4)</f>
        <v>283161.59792000003</v>
      </c>
      <c r="Q265" s="25"/>
      <c r="R265" s="25">
        <f>IF($AC265&gt;=15,(VLOOKUP($E265,Tabla13[],Inputs_costos!$G$1,FALSE))*($R$3*$E$3+$R$4*$E$4),(VLOOKUP($E265,Tabla13[],Inputs_costos!$G$1,FALSE))*($T$3*$E$3+$T$4*$E$4))-AH265</f>
        <v>6182956.4224000005</v>
      </c>
      <c r="S265" s="25">
        <f t="shared" si="190"/>
        <v>815000</v>
      </c>
      <c r="T265" s="25">
        <f>IF($AC265&gt;=15,(VLOOKUP($E265,Tabla13[],Inputs_costos!$H$1,FALSE))*($R$3*$E$3+$R$4*$E$4),(VLOOKUP($E265,Tabla13[],Inputs_costos!$H$1,FALSE))*($T$3*$E$3+$T$4*$E$4))</f>
        <v>1697450.356568</v>
      </c>
      <c r="U265" s="465">
        <f>SUMIFS(Tabla24[Costo de Cierre Técnico de BCA (US$)],Tabla24[Localidad],Resumen!$D265)</f>
        <v>1590000</v>
      </c>
      <c r="V265" s="461">
        <f t="shared" si="191"/>
        <v>3053503.4160000002</v>
      </c>
      <c r="W265" s="465">
        <f>SUMIFS(Tabla24[Costo anual de Manteniemiento Post-cierre (US$)],Tabla24[Localidad],Resumen!$D265)</f>
        <v>141169.44052911198</v>
      </c>
      <c r="X265" s="461">
        <f t="shared" si="192"/>
        <v>271107.77917638508</v>
      </c>
      <c r="Y265" s="447">
        <f>VLOOKUP($D265,'Costo Social x localidad'!$B$2:$M$156,12,FALSE)*(Y$3*$E$3+Y$4*$E$4)</f>
        <v>31049.33747608</v>
      </c>
      <c r="Z265" s="28">
        <f>VLOOKUP(D265,'Estimación  PRESUPUESTO PCAS'!$B$4:$G$158,'Estimación  PRESUPUESTO PCAS'!$G$2,FALSE)</f>
        <v>265537.71244859765</v>
      </c>
      <c r="AA265" s="650">
        <f>(-O265-R265)/(1+0.12)+PV(12%,20,P265)+PV(12%,20,T265)-(O265*0.5)/(1+0.12)^10-S265/(1+0.12)^10</f>
        <v>-21399519.112977538</v>
      </c>
      <c r="AB265" s="651">
        <f>M265+AA265</f>
        <v>-36903427.219297186</v>
      </c>
      <c r="AC265" s="10">
        <f>VLOOKUP($E265,Resumen_Generación!$B$5:$F$158,Resumen_Generación!$D$3,FALSE)</f>
        <v>15.479222824000001</v>
      </c>
      <c r="AD265" s="10">
        <f>VLOOKUP($E265,Resumen_Generación!$B$5:$G$158,Resumen_Generación!$G$3,FALSE)</f>
        <v>6.381742720000001</v>
      </c>
      <c r="AE265" s="362">
        <f>VLOOKUP($E265,Resumen_Generación!$B$5:$F$158,Resumen_Generación!$E$3,FALSE)</f>
        <v>19419</v>
      </c>
      <c r="AF265" s="10">
        <f>VLOOKUP($E265,Resumen_Generación!$B$5:$F$158,Resumen_Generación!$F$3,FALSE)</f>
        <v>7.1246840000000002</v>
      </c>
      <c r="AG265" s="448">
        <f>VLOOKUP($D265,Valoración_Equip_actual!$D$4:$I$157,Valoración_Equip_actual!$E$2,FALSE)*$E$4</f>
        <v>876899.47661999997</v>
      </c>
      <c r="AH265" s="448">
        <f>VLOOKUP($D265,Valoración_Equip_actual!$D$4:$I$157,Valoración_Equip_actual!$F$2,FALSE)*$E$4</f>
        <v>809516.74</v>
      </c>
      <c r="AI265" s="448">
        <f>[133]P_Datos!$D$43</f>
        <v>0.45888524590163937</v>
      </c>
      <c r="AN265" s="34" t="str">
        <f>[133]Datos!$C$2</f>
        <v>Navarro</v>
      </c>
      <c r="AO265" s="25" t="str">
        <f>VLOOKUP($E265,Tabla13[],Inputs_costos!$D$1,FALSE)</f>
        <v>NAVARRO</v>
      </c>
      <c r="AP265" s="28" t="str">
        <f>VLOOKUP($D265,'Costo Social x localidad'!$B$2:$M$156,1,FALSE)</f>
        <v>NAVARRO</v>
      </c>
    </row>
    <row r="266" spans="1:42" ht="15.75" thickBot="1">
      <c r="A266" s="917"/>
      <c r="B266" s="888"/>
      <c r="C266" s="510"/>
      <c r="D266" s="12" t="s">
        <v>8</v>
      </c>
      <c r="E266" s="40"/>
      <c r="F266" s="13"/>
      <c r="G266" s="8"/>
      <c r="H266" s="32">
        <f>SUM(H261:H265)</f>
        <v>16458351.470521236</v>
      </c>
      <c r="I266" s="32"/>
      <c r="J266" s="32">
        <f>SUM(J261:J265)</f>
        <v>8131175.828650062</v>
      </c>
      <c r="K266" s="14"/>
      <c r="L266" s="14"/>
      <c r="M266" s="15">
        <f t="shared" ref="M266:T266" si="193">SUM(M261:M265)</f>
        <v>-80729464.813616067</v>
      </c>
      <c r="N266" s="15"/>
      <c r="O266" s="16">
        <f t="shared" si="193"/>
        <v>4523550.9250120008</v>
      </c>
      <c r="P266" s="16">
        <f t="shared" si="193"/>
        <v>1905687.8824901504</v>
      </c>
      <c r="Q266" s="16"/>
      <c r="R266" s="26">
        <f t="shared" si="193"/>
        <v>30274955.031440005</v>
      </c>
      <c r="S266" s="26"/>
      <c r="T266" s="26">
        <f t="shared" si="193"/>
        <v>4903760.2950720005</v>
      </c>
      <c r="U266" s="26"/>
      <c r="V266" s="26">
        <f t="shared" ref="V266" si="194">SUM(V261:V265)</f>
        <v>6107006.8320000004</v>
      </c>
      <c r="W266" s="26"/>
      <c r="X266" s="26">
        <f t="shared" ref="X266:AA266" si="195">SUM(X261:X265)</f>
        <v>542215.55835277017</v>
      </c>
      <c r="Y266" s="26">
        <f t="shared" si="195"/>
        <v>245344.33631818666</v>
      </c>
      <c r="Z266" s="26">
        <f t="shared" si="195"/>
        <v>1289344.638081322</v>
      </c>
      <c r="AA266" s="653">
        <f t="shared" si="195"/>
        <v>-83448339.608624518</v>
      </c>
      <c r="AB266" s="654">
        <f>+M266+AA266</f>
        <v>-164177804.42224059</v>
      </c>
      <c r="AC266" s="630">
        <f t="shared" ref="AC266:AI266" si="196">SUM(AC261:AC265)</f>
        <v>120.33521836000001</v>
      </c>
      <c r="AD266" s="630">
        <f t="shared" si="196"/>
        <v>49.280275799999991</v>
      </c>
      <c r="AE266" s="631">
        <f t="shared" si="196"/>
        <v>157017</v>
      </c>
      <c r="AF266" s="630">
        <f t="shared" si="196"/>
        <v>55.533100000000005</v>
      </c>
      <c r="AG266" s="630">
        <f t="shared" si="196"/>
        <v>1471609.8662199997</v>
      </c>
      <c r="AH266" s="630">
        <f t="shared" si="196"/>
        <v>809516.74</v>
      </c>
      <c r="AI266" s="630">
        <f t="shared" si="196"/>
        <v>3.6975081967213117</v>
      </c>
      <c r="AJ266" s="4"/>
      <c r="AK266" s="4"/>
      <c r="AL266" s="4"/>
      <c r="AM266" s="4"/>
      <c r="AN266" s="4"/>
      <c r="AO266" s="4"/>
      <c r="AP266" s="4"/>
    </row>
    <row r="267" spans="1:42">
      <c r="A267" s="917"/>
      <c r="B267" s="886" t="s">
        <v>310</v>
      </c>
      <c r="C267" s="507" t="str">
        <f>IF(AND(D267=AN267,D267=AO267,D267=AP267),"ok","ATENCIÓN NO ESTÁ TOMANDO BIEN LA LOCALIDAD")</f>
        <v>ok</v>
      </c>
      <c r="D267" s="23" t="s">
        <v>231</v>
      </c>
      <c r="E267" s="114">
        <f>VLOOKUP(D267,Pobl_adoptada!$C$5:$D$158,2,FALSE)</f>
        <v>125</v>
      </c>
      <c r="F267" s="8" t="s">
        <v>308</v>
      </c>
      <c r="G267" s="576">
        <f>+'[134]Inversion rec-TA'!$G$21</f>
        <v>1827711.0264783516</v>
      </c>
      <c r="H267" s="577">
        <f>+($AC261/$AC266)*H272+G267</f>
        <v>2005792.5673657139</v>
      </c>
      <c r="I267" s="587">
        <f>+'[134]Costos Operativos Rec-TA'!$G$23</f>
        <v>936302.61581151746</v>
      </c>
      <c r="J267" s="579">
        <f>+($AC261/$AC266)*J272+I267</f>
        <v>939864.24662926467</v>
      </c>
      <c r="K267" s="10">
        <f>+'[134]Inversion rec-TA'!$G$46</f>
        <v>0</v>
      </c>
      <c r="L267" s="10">
        <f>+'[134]Costos Operativos Rec-TA'!$G$46</f>
        <v>0</v>
      </c>
      <c r="M267" s="19">
        <f t="shared" ref="M267:M271" si="197">-H267/(1+0.12)+PV(12%,20,J267)-H267/(1+0.12)^10</f>
        <v>-9456960.7504249662</v>
      </c>
      <c r="N267" s="614">
        <f>+$AD261/$AD266*N273</f>
        <v>151438.77086185131</v>
      </c>
      <c r="O267" s="25">
        <f>IF(N267-AG267&lt;0,0,N267-AG267)</f>
        <v>151438.77086185131</v>
      </c>
      <c r="P267" s="32">
        <f>+$AD261/$AD266*P273</f>
        <v>76426.316955226954</v>
      </c>
      <c r="Q267" s="614">
        <f>+$AC261/$AC266*Q273</f>
        <v>1480757.7098472845</v>
      </c>
      <c r="R267" s="647">
        <f>IF(Q267-AH267&lt;0,0,Q267-AH267)</f>
        <v>1480757.7098472845</v>
      </c>
      <c r="S267" s="647">
        <f>+S261</f>
        <v>0</v>
      </c>
      <c r="T267" s="32">
        <f>+$AC261/$AC266*T273</f>
        <v>99700.830443353261</v>
      </c>
      <c r="U267" s="27"/>
      <c r="V267" s="461">
        <f>+V261</f>
        <v>1506395.01856</v>
      </c>
      <c r="W267" s="27"/>
      <c r="X267" s="461">
        <f t="shared" ref="X267:Z269" si="198">+X261</f>
        <v>133746.50439368331</v>
      </c>
      <c r="Y267" s="27">
        <f t="shared" si="198"/>
        <v>15494.529243359997</v>
      </c>
      <c r="Z267" s="27">
        <f t="shared" si="198"/>
        <v>181437.03012885826</v>
      </c>
      <c r="AA267" s="650">
        <f>(-O267-R267)/(1+0.12)+PV(12%,20,P267)+PV(12%,20,T267)-(O267*0.5)/(1+0.12)^10-S267/(1+0.12)^10</f>
        <v>-2797269.7001546281</v>
      </c>
      <c r="AB267" s="651">
        <f>M267+AA267</f>
        <v>-12254230.450579595</v>
      </c>
      <c r="AG267" s="448">
        <f>VLOOKUP($D267,Valoración_Eq_REG!$D$4:$I$157,Valoración_Eq_REG!$E$2,FALSE)*$E$4</f>
        <v>0</v>
      </c>
      <c r="AH267" s="448">
        <f>VLOOKUP($D267,Valoración_Eq_REG!$D$4:$I$157,Valoración_Eq_REG!$F$2,FALSE)*$E$4</f>
        <v>0</v>
      </c>
      <c r="AJ267" s="512">
        <f>+'[134]Evaluacion Economica'!$L$25</f>
        <v>2</v>
      </c>
      <c r="AK267" s="513">
        <f>+'[134]Evaluacion Economica'!$R$25</f>
        <v>15</v>
      </c>
      <c r="AL267" s="512">
        <f>+'[134]P_Evaluacion Economica'!$L$27</f>
        <v>2</v>
      </c>
      <c r="AM267" s="513">
        <f>+'[134]P_Evaluacion Economica'!$Q$27</f>
        <v>6</v>
      </c>
      <c r="AN267" s="34" t="str">
        <f>+[134]Datos!$C$2</f>
        <v>Suipacha</v>
      </c>
      <c r="AO267" s="25" t="str">
        <f>VLOOKUP($E267,Tabla13[],Inputs_costos!$D$1,FALSE)</f>
        <v>SUIPACHA</v>
      </c>
      <c r="AP267" s="28" t="str">
        <f>VLOOKUP($D267,'Costo Social x localidad'!$B$2:$M$156,1,FALSE)</f>
        <v>SUIPACHA</v>
      </c>
    </row>
    <row r="268" spans="1:42">
      <c r="A268" s="917"/>
      <c r="B268" s="887"/>
      <c r="C268" s="478" t="str">
        <f>IF(AND(D268=AN268,D268=AO268,D268=AP268),"ok","ATENCIÓN NO ESTÁ TOMANDO BIEN LA LOCALIDAD")</f>
        <v>ok</v>
      </c>
      <c r="D268" s="24" t="s">
        <v>193</v>
      </c>
      <c r="E268" s="115">
        <f>VLOOKUP(D268,Pobl_adoptada!$C$5:$D$158,2,FALSE)</f>
        <v>94</v>
      </c>
      <c r="F268" s="9" t="s">
        <v>308</v>
      </c>
      <c r="G268" s="580">
        <f>+'[135]Inversion rec-TA'!$G$21</f>
        <v>4660930.4096991923</v>
      </c>
      <c r="H268" s="34">
        <f>+($AC262/$AC266)*H272+G268</f>
        <v>5836215.7621496553</v>
      </c>
      <c r="I268" s="465">
        <f>+'[135]Costos Operativos Rec-TA'!$G$23</f>
        <v>2865694.1068767202</v>
      </c>
      <c r="J268" s="581">
        <f>+($AC262/$AC266)*J272+I268</f>
        <v>2889199.8139257296</v>
      </c>
      <c r="K268" s="10">
        <f>+'[135]Inversion rec-TA'!$G$46</f>
        <v>0</v>
      </c>
      <c r="L268" s="10">
        <f>+'[135]Costos Operativos Rec-TA'!$G$46</f>
        <v>0</v>
      </c>
      <c r="M268" s="19">
        <f t="shared" si="197"/>
        <v>-28670727.33840774</v>
      </c>
      <c r="N268" s="465">
        <f>+$AD262/$AD266*N273</f>
        <v>994669.02767982695</v>
      </c>
      <c r="O268" s="25">
        <f>IF(N268-AG268&lt;0,0,N268-AG268)</f>
        <v>994669.02767982695</v>
      </c>
      <c r="P268" s="25">
        <f>+$AD262/$AD266*P273</f>
        <v>501977.72962878464</v>
      </c>
      <c r="Q268" s="465">
        <f>+$AC262/$AC266*Q273</f>
        <v>9772561.7053839676</v>
      </c>
      <c r="R268" s="647">
        <f>IF(Q268-AH268&lt;0,0,Q268-AH268)</f>
        <v>9772561.7053839676</v>
      </c>
      <c r="S268" s="647">
        <f t="shared" ref="S268:S271" si="199">+S262</f>
        <v>815000</v>
      </c>
      <c r="T268" s="25">
        <f>+$AC262/$AC266*T273</f>
        <v>657995.91054378531</v>
      </c>
      <c r="U268" s="28"/>
      <c r="V268" s="461">
        <f>+V262</f>
        <v>1547108.39744</v>
      </c>
      <c r="W268" s="28"/>
      <c r="X268" s="461">
        <f t="shared" si="198"/>
        <v>137361.27478270177</v>
      </c>
      <c r="Y268" s="28">
        <f t="shared" si="198"/>
        <v>127916.80292288</v>
      </c>
      <c r="Z268" s="28">
        <f t="shared" si="198"/>
        <v>394392.37745794852</v>
      </c>
      <c r="AA268" s="650">
        <f>(-O268-R268)/(1+0.12)+PV(12%,20,P268)+PV(12%,20,T268)-(O268*0.5)/(1+0.12)^10-S268/(1+0.12)^10</f>
        <v>-18700493.170692749</v>
      </c>
      <c r="AB268" s="651">
        <f>M268+AA268</f>
        <v>-47371220.509100489</v>
      </c>
      <c r="AC268" s="10"/>
      <c r="AD268" s="10"/>
      <c r="AE268" s="362"/>
      <c r="AF268" s="10"/>
      <c r="AG268" s="448">
        <f>VLOOKUP($D268,Valoración_Eq_REG!$D$4:$I$157,Valoración_Eq_REG!$E$2,FALSE)*$E$4</f>
        <v>0</v>
      </c>
      <c r="AH268" s="448">
        <f>VLOOKUP($D268,Valoración_Eq_REG!$D$4:$I$157,Valoración_Eq_REG!$F$2,FALSE)*$E$4</f>
        <v>0</v>
      </c>
      <c r="AI268" s="10"/>
      <c r="AJ268" s="512">
        <f>+'[135]Evaluacion Economica'!$L$25</f>
        <v>5</v>
      </c>
      <c r="AK268" s="513">
        <f>+'[135]Evaluacion Economica'!$R$25</f>
        <v>19</v>
      </c>
      <c r="AL268" s="512">
        <f>+'[135]P_Evaluacion Economica'!$L$27</f>
        <v>4</v>
      </c>
      <c r="AM268" s="513">
        <f>+'[135]P_Evaluacion Economica'!$Q$27</f>
        <v>9</v>
      </c>
      <c r="AN268" s="34" t="str">
        <f>+[135]Datos!$C$2</f>
        <v>Mercedes</v>
      </c>
      <c r="AO268" s="25" t="str">
        <f>VLOOKUP($E268,Tabla13[],Inputs_costos!$D$1,FALSE)</f>
        <v>MERCEDES</v>
      </c>
      <c r="AP268" s="28" t="str">
        <f>VLOOKUP($D268,'Costo Social x localidad'!$B$2:$M$156,1,FALSE)</f>
        <v>MERCEDES</v>
      </c>
    </row>
    <row r="269" spans="1:42">
      <c r="A269" s="917"/>
      <c r="B269" s="887"/>
      <c r="C269" s="478" t="str">
        <f>IF(AND(D269=AN269,D269=AO269,D269=AP269),"ok","ATENCIÓN NO ESTÁ TOMANDO BIEN LA LOCALIDAD")</f>
        <v>ok</v>
      </c>
      <c r="D269" s="24" t="s">
        <v>187</v>
      </c>
      <c r="E269" s="115">
        <f>VLOOKUP(D269,Pobl_adoptada!$C$5:$D$158,2,FALSE)</f>
        <v>88</v>
      </c>
      <c r="F269" s="9" t="s">
        <v>308</v>
      </c>
      <c r="G269" s="580">
        <f>+'[136]Inversion rec-TA'!$G$21</f>
        <v>3484930.7442975938</v>
      </c>
      <c r="H269" s="34">
        <f>+($AC263/$AC266)*H272+G269</f>
        <v>4187048.7366479258</v>
      </c>
      <c r="I269" s="465">
        <f>+'[136]Costos Operativos Rec-TA'!$G$23</f>
        <v>2006391.7719001852</v>
      </c>
      <c r="J269" s="581">
        <f>+($AC263/$AC266)*J272+I269</f>
        <v>2020434.1317471918</v>
      </c>
      <c r="K269" s="10">
        <f>+'[136]Inversion rec-TA'!$G$46</f>
        <v>0</v>
      </c>
      <c r="L269" s="10">
        <f>+'[136]Costos Operativos Rec-TA'!$G$46</f>
        <v>0</v>
      </c>
      <c r="M269" s="19">
        <f t="shared" si="197"/>
        <v>-20178072.849261519</v>
      </c>
      <c r="N269" s="465">
        <f>+$AD263/$AD266*N273</f>
        <v>597056.16564421507</v>
      </c>
      <c r="O269" s="25">
        <f>IF(N269-AG269&lt;0,0,N269-AG269)</f>
        <v>293183.90104421508</v>
      </c>
      <c r="P269" s="25">
        <f>+$AD263/$AD266*P273</f>
        <v>301315.20148973988</v>
      </c>
      <c r="Q269" s="465">
        <f>+$AC263/$AC266*Q273</f>
        <v>5838149.3399860365</v>
      </c>
      <c r="R269" s="647">
        <f>IF(Q269-AH269&lt;0,0,Q269-AH269)</f>
        <v>5838149.3399860365</v>
      </c>
      <c r="S269" s="647">
        <f t="shared" si="199"/>
        <v>815000</v>
      </c>
      <c r="T269" s="25">
        <f>+$AC263/$AC266*T273</f>
        <v>393088.16937306593</v>
      </c>
      <c r="U269" s="458"/>
      <c r="V269" s="461">
        <f t="shared" ref="V269" si="200">+V263</f>
        <v>0</v>
      </c>
      <c r="W269" s="28"/>
      <c r="X269" s="461">
        <f t="shared" si="198"/>
        <v>0</v>
      </c>
      <c r="Y269" s="28">
        <f t="shared" si="198"/>
        <v>45390.949442799996</v>
      </c>
      <c r="Z269" s="28">
        <f t="shared" si="198"/>
        <v>278355.52516778233</v>
      </c>
      <c r="AA269" s="650">
        <f>(-O269-R269)/(1+0.12)+PV(12%,20,P269)+PV(12%,20,T269)-(O269*0.5)/(1+0.12)^10-S269/(1+0.12)^10</f>
        <v>-10970818.383283235</v>
      </c>
      <c r="AB269" s="651">
        <f>M269+AA269</f>
        <v>-31148891.232544754</v>
      </c>
      <c r="AC269" s="39"/>
      <c r="AD269" s="10"/>
      <c r="AE269" s="10"/>
      <c r="AF269" s="10"/>
      <c r="AG269" s="448">
        <f>VLOOKUP($D269,Valoración_Eq_REG!$D$4:$I$157,Valoración_Eq_REG!$E$2,FALSE)*$E$4</f>
        <v>303872.26459999999</v>
      </c>
      <c r="AH269" s="448">
        <f>VLOOKUP($D269,Valoración_Eq_REG!$D$4:$I$157,Valoración_Eq_REG!$F$2,FALSE)*$E$4</f>
        <v>0</v>
      </c>
      <c r="AI269" s="11"/>
      <c r="AJ269" s="484">
        <f>+'[136]Evaluacion Economica'!$L$25</f>
        <v>4</v>
      </c>
      <c r="AK269" s="448">
        <f>+'[136]Evaluacion Economica'!$R$25</f>
        <v>19</v>
      </c>
      <c r="AL269" s="484">
        <f>+'[136]P_Evaluacion Economica'!$L$27</f>
        <v>3</v>
      </c>
      <c r="AM269" s="448">
        <f>+'[136]P_Evaluacion Economica'!$Q$27</f>
        <v>9</v>
      </c>
      <c r="AN269" s="34" t="str">
        <f>+[136]Datos!$C$2</f>
        <v>Lobos</v>
      </c>
      <c r="AO269" s="25" t="str">
        <f>VLOOKUP($E269,Tabla13[],Inputs_costos!$D$1,FALSE)</f>
        <v>LOBOS</v>
      </c>
      <c r="AP269" s="28" t="str">
        <f>VLOOKUP($D269,'Costo Social x localidad'!$B$2:$M$156,1,FALSE)</f>
        <v>LOBOS</v>
      </c>
    </row>
    <row r="270" spans="1:42">
      <c r="A270" s="917"/>
      <c r="B270" s="887"/>
      <c r="C270" s="478" t="str">
        <f>IF(AND(D270=AN270,D270=AO270,D270=AP270),"ok","ATENCIÓN NO ESTÁ TOMANDO BIEN LA LOCALIDAD")</f>
        <v>ok</v>
      </c>
      <c r="D270" s="24" t="s">
        <v>161</v>
      </c>
      <c r="E270" s="115">
        <f>VLOOKUP(D270,Pobl_adoptada!$C$5:$D$158,2,FALSE)</f>
        <v>69</v>
      </c>
      <c r="F270" s="9" t="s">
        <v>308</v>
      </c>
      <c r="G270" s="580">
        <f>+'[137]Inversion rec-TA'!$G$21</f>
        <v>1952415.3464783516</v>
      </c>
      <c r="H270" s="34">
        <f>+($AC264/$AC266)*H272+G270</f>
        <v>2196621.0992573318</v>
      </c>
      <c r="I270" s="465">
        <f>+'[137]Costos Operativos Rec-TA'!$G$23</f>
        <v>1057296.1238175405</v>
      </c>
      <c r="J270" s="581">
        <f>+($AC264/$AC266)*J272+I270</f>
        <v>1062180.2388731202</v>
      </c>
      <c r="K270" s="10">
        <f>+'[137]Inversion rec-TA'!$G$46</f>
        <v>0</v>
      </c>
      <c r="L270" s="10">
        <f>+'[137]Costos Operativos Rec-TA'!$G$46</f>
        <v>0</v>
      </c>
      <c r="M270" s="19">
        <f t="shared" si="197"/>
        <v>-10602417.456651505</v>
      </c>
      <c r="N270" s="465">
        <f>+$AD264/$AD266*N273</f>
        <v>207784.01420491238</v>
      </c>
      <c r="O270" s="25">
        <f>IF(N270-AG270&lt;0,0,N270-AG270)</f>
        <v>207784.01420491238</v>
      </c>
      <c r="P270" s="25">
        <f>+$AD264/$AD266*P273</f>
        <v>104861.96393089162</v>
      </c>
      <c r="Q270" s="465">
        <f>+$AC264/$AC266*Q273</f>
        <v>2030584.1324972303</v>
      </c>
      <c r="R270" s="647">
        <f>IF(Q270-AH270&lt;0,0,Q270-AH270)</f>
        <v>2030584.1324972303</v>
      </c>
      <c r="S270" s="647">
        <f t="shared" si="199"/>
        <v>0</v>
      </c>
      <c r="T270" s="25">
        <f>+$AC264/$AC266*T273</f>
        <v>136721.16845905152</v>
      </c>
      <c r="V270" s="461">
        <f t="shared" ref="V270" si="201">+V264</f>
        <v>0</v>
      </c>
      <c r="W270" s="25"/>
      <c r="X270" s="461">
        <f t="shared" ref="X270:Y270" si="202">+X264</f>
        <v>0</v>
      </c>
      <c r="Y270" s="28">
        <f t="shared" si="202"/>
        <v>25492.717233066665</v>
      </c>
      <c r="Z270" s="28">
        <f>+Z264</f>
        <v>169621.99287813526</v>
      </c>
      <c r="AA270" s="650">
        <f>(-O270-R270)/(1+0.12)+PV(12%,20,P270)+PV(12%,20,T270)-(O270*0.5)/(1+0.12)^10-S270/(1+0.12)^10</f>
        <v>-3836485.021884745</v>
      </c>
      <c r="AB270" s="651">
        <f>M270+AA270</f>
        <v>-14438902.47853625</v>
      </c>
      <c r="AC270" s="10"/>
      <c r="AD270" s="10"/>
      <c r="AE270" s="10"/>
      <c r="AF270" s="10"/>
      <c r="AG270" s="448">
        <f>VLOOKUP($D270,Valoración_Eq_REG!$D$4:$I$157,Valoración_Eq_REG!$E$2,FALSE)*$E$4</f>
        <v>0</v>
      </c>
      <c r="AH270" s="448">
        <f>VLOOKUP($D270,Valoración_Eq_REG!$D$4:$I$157,Valoración_Eq_REG!$F$2,FALSE)*$E$4</f>
        <v>0</v>
      </c>
      <c r="AI270" s="2"/>
      <c r="AJ270" s="484">
        <f>+'[137]Evaluacion Economica'!$L$25</f>
        <v>2</v>
      </c>
      <c r="AK270" s="448">
        <f>+'[137]Evaluacion Economica'!$R$25</f>
        <v>15</v>
      </c>
      <c r="AL270" s="484">
        <f>+'[137]P_Evaluacion Economica'!$L$27</f>
        <v>2</v>
      </c>
      <c r="AM270" s="448">
        <f>+'[137]P_Evaluacion Economica'!$Q$27</f>
        <v>6</v>
      </c>
      <c r="AN270" s="34" t="str">
        <f>+[137]Datos!$C$2</f>
        <v>General Las Heras</v>
      </c>
      <c r="AO270" s="25" t="str">
        <f>VLOOKUP($E270,Tabla13[],Inputs_costos!$D$1,FALSE)</f>
        <v>GENERAL LAS HERAS</v>
      </c>
      <c r="AP270" s="28" t="str">
        <f>VLOOKUP($D270,'Costo Social x localidad'!$B$2:$M$156,1,FALSE)</f>
        <v>GENERAL LAS HERAS</v>
      </c>
    </row>
    <row r="271" spans="1:42" ht="15.75" thickBot="1">
      <c r="A271" s="917"/>
      <c r="B271" s="887"/>
      <c r="C271" s="478" t="str">
        <f>IF(AND(D271=AN271,D271=AO271,D271=AP271),"ok","ATENCIÓN NO ESTÁ TOMANDO BIEN LA LOCALIDAD")</f>
        <v>ok</v>
      </c>
      <c r="D271" s="36" t="s">
        <v>197</v>
      </c>
      <c r="E271" s="115">
        <f>VLOOKUP(D271,Pobl_adoptada!$C$5:$D$158,2,FALSE)</f>
        <v>97</v>
      </c>
      <c r="F271" s="9" t="s">
        <v>308</v>
      </c>
      <c r="G271" s="580">
        <f>+'[138]Inversion rec-TA'!$G$21</f>
        <v>2816975.7957175272</v>
      </c>
      <c r="H271" s="34">
        <f>+($AC265/$AC266)*H272+G271</f>
        <v>3156464.4786214824</v>
      </c>
      <c r="I271" s="465">
        <f>+'[138]Costos Operativos Rec-TA'!$G$23</f>
        <v>1528599.2591643201</v>
      </c>
      <c r="J271" s="581">
        <f>+($AC265/$AC266)*J272+I271</f>
        <v>1535389.0328223992</v>
      </c>
      <c r="K271" s="10">
        <f>+'[138]Inversion rec-TA'!$G$46</f>
        <v>0</v>
      </c>
      <c r="L271" s="10">
        <f>+'[138]Costos Operativos Rec-TA'!$G$46</f>
        <v>0</v>
      </c>
      <c r="M271" s="19">
        <f t="shared" si="197"/>
        <v>-15303070.762355147</v>
      </c>
      <c r="N271" s="465">
        <f>+$AD265/$AD266*N273</f>
        <v>290230.15856919473</v>
      </c>
      <c r="O271" s="25">
        <f>IF(N271-AG271&lt;0,0,N271-AG271)</f>
        <v>0</v>
      </c>
      <c r="P271" s="25">
        <f>+$AD265/$AD266*P273</f>
        <v>146469.90306735702</v>
      </c>
      <c r="Q271" s="465">
        <f>+$AC265/$AC266*Q273</f>
        <v>2822866.8850854835</v>
      </c>
      <c r="R271" s="647">
        <f>IF(Q271-AH271&lt;0,0,Q271-AH271)</f>
        <v>2013350.1450854836</v>
      </c>
      <c r="S271" s="647">
        <f t="shared" si="199"/>
        <v>815000</v>
      </c>
      <c r="T271" s="25">
        <f>+$AC265/$AC266*T273</f>
        <v>190066.32266874413</v>
      </c>
      <c r="U271" s="29"/>
      <c r="V271" s="461">
        <f t="shared" ref="V271" si="203">+V265</f>
        <v>3053503.4160000002</v>
      </c>
      <c r="W271" s="25"/>
      <c r="X271" s="461">
        <f t="shared" ref="X271:Y271" si="204">+X265</f>
        <v>271107.77917638508</v>
      </c>
      <c r="Y271" s="28">
        <f t="shared" si="204"/>
        <v>31049.33747608</v>
      </c>
      <c r="Z271" s="28">
        <f>+Z265</f>
        <v>265537.71244859765</v>
      </c>
      <c r="AA271" s="650">
        <f>(-O271-R271)/(1+0.12)+PV(12%,20,P271)+PV(12%,20,T271)-(O271*0.5)/(1+0.12)^10-S271/(1+0.12)^10</f>
        <v>-4573780.6116132494</v>
      </c>
      <c r="AB271" s="651">
        <f>M271+AA271</f>
        <v>-19876851.373968396</v>
      </c>
      <c r="AC271" s="10"/>
      <c r="AD271" s="10"/>
      <c r="AE271" s="10"/>
      <c r="AF271" s="10"/>
      <c r="AG271" s="448">
        <f>VLOOKUP($D271,Valoración_Eq_REG!$D$4:$I$157,Valoración_Eq_REG!$E$2,FALSE)*$E$4</f>
        <v>876899.47661999997</v>
      </c>
      <c r="AH271" s="448">
        <f>VLOOKUP($D271,Valoración_Eq_REG!$D$4:$I$157,Valoración_Eq_REG!$F$2,FALSE)*$E$4</f>
        <v>809516.74</v>
      </c>
      <c r="AI271" s="2"/>
      <c r="AJ271" s="484">
        <f>+'[138]Evaluacion Economica'!$L$25</f>
        <v>3</v>
      </c>
      <c r="AK271" s="448">
        <f>+'[138]Evaluacion Economica'!$R$25</f>
        <v>15</v>
      </c>
      <c r="AL271" s="484">
        <f>+'[138]P_Evaluacion Economica'!$L$27</f>
        <v>3</v>
      </c>
      <c r="AM271" s="448">
        <f>+'[138]P_Evaluacion Economica'!$Q$27</f>
        <v>6</v>
      </c>
      <c r="AN271" s="34" t="str">
        <f>+[138]Datos!$C$2</f>
        <v>Navarro</v>
      </c>
      <c r="AO271" s="25" t="str">
        <f>VLOOKUP($E271,Tabla13[],Inputs_costos!$D$1,FALSE)</f>
        <v>NAVARRO</v>
      </c>
      <c r="AP271" s="28" t="str">
        <f>VLOOKUP($D271,'Costo Social x localidad'!$B$2:$M$156,1,FALSE)</f>
        <v>NAVARRO</v>
      </c>
    </row>
    <row r="272" spans="1:42" ht="30.75" thickBot="1">
      <c r="A272" s="917"/>
      <c r="B272" s="887"/>
      <c r="C272" s="912" t="s">
        <v>12</v>
      </c>
      <c r="D272" s="913"/>
      <c r="E272" s="498" t="s">
        <v>589</v>
      </c>
      <c r="F272" s="571">
        <f>+F255</f>
        <v>0.02</v>
      </c>
      <c r="G272" s="582"/>
      <c r="H272" s="461">
        <f>+AJ272*AJ274+AL272*AL274</f>
        <v>2639179.3213710925</v>
      </c>
      <c r="I272" s="461"/>
      <c r="J272" s="583">
        <f>+$F272*H272</f>
        <v>52783.586427421847</v>
      </c>
      <c r="K272" s="10"/>
      <c r="L272" s="10"/>
      <c r="M272" s="19"/>
      <c r="N272" s="465"/>
      <c r="O272" s="10"/>
      <c r="P272" s="10"/>
      <c r="Q272" s="618"/>
      <c r="R272" s="28"/>
      <c r="S272" s="28"/>
      <c r="T272" s="28"/>
      <c r="U272" s="28"/>
      <c r="V272" s="28"/>
      <c r="W272" s="28"/>
      <c r="X272" s="28"/>
      <c r="Y272" s="28"/>
      <c r="Z272" s="28"/>
      <c r="AA272" s="658"/>
      <c r="AB272" s="20"/>
      <c r="AC272" s="10"/>
      <c r="AD272" s="10"/>
      <c r="AE272" s="10"/>
      <c r="AF272" s="10"/>
      <c r="AG272" s="4"/>
      <c r="AH272" s="4"/>
      <c r="AI272" s="4"/>
      <c r="AJ272" s="501">
        <f>ROUNDUP(C273*SUM(AJ267:AJ271),0)</f>
        <v>5</v>
      </c>
      <c r="AK272" s="502">
        <f>AVERAGE(AK267:AK271)</f>
        <v>16.600000000000001</v>
      </c>
      <c r="AL272" s="501">
        <f>ROUNDUP(C273*SUM(AL267:AL271),0)</f>
        <v>5</v>
      </c>
      <c r="AM272" s="502">
        <f>AVERAGE(AM267:AM271)</f>
        <v>7.2</v>
      </c>
      <c r="AN272" s="4"/>
      <c r="AO272" s="4"/>
      <c r="AP272" s="4"/>
    </row>
    <row r="273" spans="1:42" ht="15.75" thickBot="1">
      <c r="A273" s="918"/>
      <c r="B273" s="888"/>
      <c r="C273" s="570">
        <v>0.3</v>
      </c>
      <c r="D273" s="500" t="str">
        <f>A261</f>
        <v>REGIÓN NAVARRO</v>
      </c>
      <c r="E273" s="468"/>
      <c r="F273" s="469"/>
      <c r="G273" s="584"/>
      <c r="H273" s="585">
        <f>SUM(H267:H271)</f>
        <v>17382142.644042108</v>
      </c>
      <c r="I273" s="585"/>
      <c r="J273" s="586">
        <f>SUM(J267:J271)</f>
        <v>8447067.4639977049</v>
      </c>
      <c r="K273" s="14"/>
      <c r="L273" s="14"/>
      <c r="M273" s="15">
        <f>SUM(M267:M272)</f>
        <v>-84211249.157100886</v>
      </c>
      <c r="N273" s="615">
        <f>(VLOOKUP($E267,Tabla13[],Inputs_costos!$P$1,FALSE))*(O$3*$E$3+O$4*$E$4)</f>
        <v>2241178.1369600003</v>
      </c>
      <c r="O273" s="35">
        <f>SUM(O267:O271)</f>
        <v>1647075.7137908058</v>
      </c>
      <c r="P273" s="35">
        <f>(VLOOKUP($E267,Tabla13[],Inputs_costos!$Q$1,FALSE))*(P$3*$E$3+P$4*$E$4)</f>
        <v>1131051.1150720001</v>
      </c>
      <c r="Q273" s="615">
        <f>IF($AC266&gt;=15,(VLOOKUP($E267,Tabla13[],Inputs_costos!$N$1,FALSE))*($R$3*$E$3+$R$4*$E$4),(VLOOKUP($E267,Tabla13[],Inputs_costos!$N$1,FALSE))*($T$3*$E$3+$T$4*$E$4))</f>
        <v>21944919.772800002</v>
      </c>
      <c r="R273" s="35">
        <f>SUM(R267:R271)</f>
        <v>21135403.0328</v>
      </c>
      <c r="S273" s="35"/>
      <c r="T273" s="35">
        <f>IF($AC266&gt;=15,(VLOOKUP($E267,Tabla13[],Inputs_costos!$O$1,FALSE))*($R$3*$E$3+$R$4*$E$4),(VLOOKUP($E267,Tabla13[],Inputs_costos!$O$1,FALSE))*($T$3*$E$3+$T$4*$E$4))</f>
        <v>1477572.4014880001</v>
      </c>
      <c r="U273" s="35"/>
      <c r="V273" s="31">
        <f>SUM(V267:V271)</f>
        <v>6107006.8320000004</v>
      </c>
      <c r="W273" s="31"/>
      <c r="X273" s="31">
        <f>SUM(X267:X271)</f>
        <v>542215.55835277017</v>
      </c>
      <c r="Y273" s="31">
        <f>SUM(Y267:Y271)</f>
        <v>245344.33631818666</v>
      </c>
      <c r="Z273" s="31">
        <f>SUM(Z267:Z271)</f>
        <v>1289344.638081322</v>
      </c>
      <c r="AA273" s="657">
        <f>SUM(AA267:AA271)</f>
        <v>-40878846.887628607</v>
      </c>
      <c r="AB273" s="654">
        <f>+M273+AA273</f>
        <v>-125090096.0447295</v>
      </c>
      <c r="AC273" s="38"/>
      <c r="AD273" s="38"/>
      <c r="AE273" s="38"/>
      <c r="AF273" s="38"/>
      <c r="AG273" s="4"/>
      <c r="AH273" s="4"/>
      <c r="AI273" s="4"/>
      <c r="AJ273" s="11"/>
      <c r="AK273" s="499">
        <f>VLOOKUP(ROUNDUP(AK272,0),DATOS!$F$16:$G$31,2,FALSE)</f>
        <v>17</v>
      </c>
      <c r="AL273" s="497"/>
      <c r="AM273" s="499">
        <f>VLOOKUP(ROUNDUP(AM272,0),DATOS!$J$16:$K$34,2,FALSE)</f>
        <v>9</v>
      </c>
      <c r="AN273" s="4"/>
      <c r="AO273" s="4"/>
      <c r="AP273" s="4"/>
    </row>
    <row r="274" spans="1:42">
      <c r="F274" s="2"/>
      <c r="G274" s="2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0"/>
      <c r="V274" s="2"/>
      <c r="W274" s="2"/>
      <c r="X274" s="2"/>
      <c r="Y274" s="2"/>
      <c r="Z274" s="2"/>
      <c r="AA274" s="4"/>
      <c r="AB274" s="4"/>
      <c r="AC274" s="4"/>
      <c r="AD274" s="4"/>
      <c r="AE274" s="4"/>
      <c r="AF274" s="4"/>
      <c r="AG274" s="448"/>
      <c r="AH274" s="448"/>
      <c r="AI274" s="4"/>
      <c r="AJ274" s="892">
        <f>VLOOKUP(AK273,DATOS!$F$3:$H$11,3,FALSE)</f>
        <v>283989.37455421843</v>
      </c>
      <c r="AK274" s="892"/>
      <c r="AL274" s="892">
        <f>VLOOKUP(AM273,DATOS!$J$3:$L$12,3,FALSE)</f>
        <v>243846.48972000001</v>
      </c>
      <c r="AM274" s="892"/>
      <c r="AN274" s="4"/>
      <c r="AO274" s="4"/>
      <c r="AP274" s="4"/>
    </row>
    <row r="275" spans="1:42" ht="15.75" thickBot="1">
      <c r="A275" s="503"/>
      <c r="B275" s="503"/>
      <c r="C275" s="503"/>
      <c r="D275" s="503"/>
      <c r="E275" s="503"/>
      <c r="F275" s="504"/>
      <c r="G275" s="504"/>
      <c r="H275" s="505"/>
      <c r="I275" s="505"/>
      <c r="J275" s="505"/>
      <c r="K275" s="505"/>
      <c r="L275" s="505"/>
      <c r="M275" s="505"/>
      <c r="N275" s="505"/>
      <c r="O275" s="505"/>
      <c r="P275" s="505"/>
      <c r="Q275" s="505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6"/>
      <c r="AB275" s="506"/>
      <c r="AC275" s="506"/>
      <c r="AD275" s="506"/>
      <c r="AE275" s="506"/>
      <c r="AF275" s="506"/>
      <c r="AG275" s="506"/>
      <c r="AH275" s="506"/>
      <c r="AI275" s="506"/>
      <c r="AJ275" s="506"/>
      <c r="AK275" s="506"/>
      <c r="AL275" s="506"/>
      <c r="AM275" s="506"/>
      <c r="AN275" s="506"/>
      <c r="AO275" s="506"/>
      <c r="AP275" s="506"/>
    </row>
    <row r="276" spans="1:42" ht="39" thickBot="1">
      <c r="A276" s="886" t="s">
        <v>7</v>
      </c>
      <c r="B276" s="886" t="s">
        <v>2</v>
      </c>
      <c r="C276" s="508"/>
      <c r="D276" s="882" t="s">
        <v>22</v>
      </c>
      <c r="E276" s="882" t="s">
        <v>23</v>
      </c>
      <c r="F276" s="882" t="s">
        <v>3</v>
      </c>
      <c r="G276" s="574"/>
      <c r="H276" s="879" t="s">
        <v>0</v>
      </c>
      <c r="I276" s="880"/>
      <c r="J276" s="881"/>
      <c r="K276" s="879" t="s">
        <v>1</v>
      </c>
      <c r="L276" s="881"/>
      <c r="M276" s="886" t="s">
        <v>10</v>
      </c>
      <c r="N276" s="879" t="s">
        <v>5</v>
      </c>
      <c r="O276" s="880"/>
      <c r="P276" s="881"/>
      <c r="Q276" s="902" t="s">
        <v>4</v>
      </c>
      <c r="R276" s="903"/>
      <c r="S276" s="903"/>
      <c r="T276" s="904"/>
      <c r="U276" s="902" t="s">
        <v>6</v>
      </c>
      <c r="V276" s="903"/>
      <c r="W276" s="903"/>
      <c r="X276" s="904"/>
      <c r="Y276" s="390" t="s">
        <v>689</v>
      </c>
      <c r="Z276" s="662" t="s">
        <v>690</v>
      </c>
      <c r="AA276" s="905" t="s">
        <v>686</v>
      </c>
      <c r="AB276" s="886" t="s">
        <v>9</v>
      </c>
      <c r="AC276" s="907" t="s">
        <v>312</v>
      </c>
      <c r="AD276" s="914" t="s">
        <v>649</v>
      </c>
      <c r="AE276" s="897" t="s">
        <v>20</v>
      </c>
      <c r="AF276" s="897" t="s">
        <v>313</v>
      </c>
      <c r="AG276" s="899" t="s">
        <v>552</v>
      </c>
      <c r="AH276" s="926" t="s">
        <v>578</v>
      </c>
      <c r="AI276" s="882" t="s">
        <v>579</v>
      </c>
      <c r="AJ276" s="882" t="s">
        <v>581</v>
      </c>
      <c r="AK276" s="882" t="s">
        <v>582</v>
      </c>
      <c r="AL276" s="882" t="s">
        <v>581</v>
      </c>
      <c r="AM276" s="882" t="s">
        <v>582</v>
      </c>
      <c r="AN276" s="884" t="s">
        <v>553</v>
      </c>
      <c r="AO276" s="928"/>
      <c r="AP276" s="928"/>
    </row>
    <row r="277" spans="1:42" ht="30.75" thickBot="1">
      <c r="A277" s="888"/>
      <c r="B277" s="888"/>
      <c r="C277" s="509"/>
      <c r="D277" s="883"/>
      <c r="E277" s="883"/>
      <c r="F277" s="883"/>
      <c r="G277" s="569"/>
      <c r="H277" s="17" t="s">
        <v>18</v>
      </c>
      <c r="I277" s="17"/>
      <c r="J277" s="17" t="s">
        <v>17</v>
      </c>
      <c r="K277" s="17" t="s">
        <v>18</v>
      </c>
      <c r="L277" s="17" t="s">
        <v>17</v>
      </c>
      <c r="M277" s="888"/>
      <c r="N277" s="464" t="s">
        <v>685</v>
      </c>
      <c r="O277" s="17" t="s">
        <v>18</v>
      </c>
      <c r="P277" s="17" t="s">
        <v>17</v>
      </c>
      <c r="Q277" s="464" t="s">
        <v>685</v>
      </c>
      <c r="R277" s="17" t="s">
        <v>18</v>
      </c>
      <c r="S277" s="17"/>
      <c r="T277" s="17" t="s">
        <v>17</v>
      </c>
      <c r="U277" s="464" t="s">
        <v>576</v>
      </c>
      <c r="V277" s="17" t="s">
        <v>18</v>
      </c>
      <c r="W277" s="464" t="s">
        <v>577</v>
      </c>
      <c r="X277" s="17" t="s">
        <v>17</v>
      </c>
      <c r="Y277" s="17" t="s">
        <v>18</v>
      </c>
      <c r="Z277" s="17" t="s">
        <v>17</v>
      </c>
      <c r="AA277" s="906"/>
      <c r="AB277" s="888"/>
      <c r="AC277" s="908"/>
      <c r="AD277" s="915"/>
      <c r="AE277" s="898"/>
      <c r="AF277" s="898"/>
      <c r="AG277" s="900"/>
      <c r="AH277" s="927"/>
      <c r="AI277" s="883"/>
      <c r="AJ277" s="883"/>
      <c r="AK277" s="883"/>
      <c r="AL277" s="883"/>
      <c r="AM277" s="883"/>
      <c r="AN277" s="1" t="s">
        <v>551</v>
      </c>
      <c r="AO277" s="9" t="s">
        <v>554</v>
      </c>
      <c r="AP277" s="1" t="s">
        <v>555</v>
      </c>
    </row>
    <row r="278" spans="1:42">
      <c r="A278" s="916" t="s">
        <v>608</v>
      </c>
      <c r="B278" s="886" t="s">
        <v>309</v>
      </c>
      <c r="C278" s="507" t="str">
        <f>IF(AND(D278=AN278,D278=AO278,D278=AP278),"ok","ATENCIÓN NO ESTÁ TOMANDO BIEN LA LOCALIDAD")</f>
        <v>ok</v>
      </c>
      <c r="D278" s="23" t="s">
        <v>198</v>
      </c>
      <c r="E278" s="114">
        <f>VLOOKUP(D278,Pobl_adoptada!$C$5:$D$158,2,FALSE)</f>
        <v>98</v>
      </c>
      <c r="F278" s="8" t="s">
        <v>308</v>
      </c>
      <c r="G278" s="8"/>
      <c r="H278" s="33">
        <f>'[139]Inversion rec-TA'!$G$21</f>
        <v>6729708.0387735227</v>
      </c>
      <c r="I278" s="33"/>
      <c r="J278" s="33">
        <f>'[139]Costos Operativos Rec-TA'!$G$23</f>
        <v>4262465.0678163618</v>
      </c>
      <c r="K278" s="32">
        <f>'[139]Inversion rec-TA'!$G$46</f>
        <v>0</v>
      </c>
      <c r="L278" s="32">
        <f>+'[139]Costos Operativos Rec-TA'!$G$46</f>
        <v>0</v>
      </c>
      <c r="M278" s="19">
        <f t="shared" ref="M278:M279" si="205">-H278/(1+0.12)+PV(12%,20,J278)-H278/(1+0.12)^10</f>
        <v>-40013696.295036428</v>
      </c>
      <c r="N278" s="19"/>
      <c r="O278" s="25">
        <f>IF(((VLOOKUP($E278,Tabla13[],Inputs_costos!$I$1,FALSE))*(O$3*$E$3+O$4*$E$4)-AG278)&lt;0,0,VLOOKUP($E278,Tabla13[],Inputs_costos!$I$1,FALSE)*(O$3*$E$3+O$4*$E$4)-AG278)</f>
        <v>2088328.37824</v>
      </c>
      <c r="P278" s="25">
        <f>(VLOOKUP($E278,Tabla13[],Inputs_costos!$J$1,FALSE))*(P$3*$E$3+P$4*$E$4)</f>
        <v>1122740.836928</v>
      </c>
      <c r="Q278" s="25"/>
      <c r="R278" s="25">
        <f>IF($AC278&gt;=15,(VLOOKUP($E278,Tabla13[],Inputs_costos!$G$1,FALSE))*($R$3*$E$3+$R$4*$E$4),(VLOOKUP($E278,Tabla13[],Inputs_costos!$G$1,FALSE))*($T$3*$E$3+$T$4*$E$4))-AH278</f>
        <v>18046864.494400002</v>
      </c>
      <c r="S278" s="25">
        <f t="shared" ref="S278:S279" si="206">IF(AC278&lt;15,0,IF(AC278&lt;=350,815000,1345000))</f>
        <v>815000</v>
      </c>
      <c r="T278" s="25">
        <f>IF($AC278&gt;=15,(VLOOKUP($E278,Tabla13[],Inputs_costos!$H$1,FALSE))*($R$3*$E$3+$R$4*$E$4),(VLOOKUP($E278,Tabla13[],Inputs_costos!$H$1,FALSE))*($T$3*$E$3+$T$4*$E$4))</f>
        <v>1396593.186832</v>
      </c>
      <c r="U278" s="465">
        <f>SUMIFS(Tabla24[Costo de Cierre Técnico de BCA (US$)],Tabla24[Localidad],Resumen!$D278)</f>
        <v>1908000</v>
      </c>
      <c r="V278" s="461">
        <f>+U278*(V$3*$E$3+V$4*$E$4)</f>
        <v>3664204.0992000001</v>
      </c>
      <c r="W278" s="465">
        <f>SUMIFS(Tabla24[Costo anual de Manteniemiento Post-cierre (US$)],Tabla24[Localidad],Resumen!$D278)</f>
        <v>169403.32863493438</v>
      </c>
      <c r="X278" s="461">
        <f>+W278*(X$3*$E$3+X$4*$E$4)</f>
        <v>325329.3350116621</v>
      </c>
      <c r="Y278" s="27">
        <f>VLOOKUP($D278,'Costo Social x localidad'!$B$2:$M$156,12,FALSE)*(Y$3*$E$3+Y$4*$E$4)</f>
        <v>101740.14758016</v>
      </c>
      <c r="Z278" s="28">
        <f>VLOOKUP(D278,'Estimación  PRESUPUESTO PCAS'!$B$4:$G$158,'Estimación  PRESUPUESTO PCAS'!$G$2,FALSE)</f>
        <v>514286.21263266902</v>
      </c>
      <c r="AA278" s="650">
        <f>(-O278-R278)/(1+0.12)+PV(12%,20,P278)+PV(12%,20,T278)-(O278*0.5)/(1+0.12)^10-S278/(1+0.12)^10</f>
        <v>-37394475.351793058</v>
      </c>
      <c r="AB278" s="651">
        <f>M278+AA278</f>
        <v>-77408171.646829486</v>
      </c>
      <c r="AC278" s="10">
        <f>VLOOKUP($E278,Resumen_Generación!$B$5:$F$158,Resumen_Generación!$D$3,FALSE)</f>
        <v>92.71010764799999</v>
      </c>
      <c r="AD278" s="10">
        <f>VLOOKUP($E278,Resumen_Generación!$B$5:$G$158,Resumen_Generación!$G$3,FALSE)</f>
        <v>37.987525439999999</v>
      </c>
      <c r="AE278" s="362">
        <f>VLOOKUP($E278,Resumen_Generación!$B$5:$F$158,Resumen_Generación!$E$3,FALSE)</f>
        <v>120686</v>
      </c>
      <c r="AF278" s="10">
        <f>VLOOKUP($E278,Resumen_Generación!$B$5:$F$158,Resumen_Generación!$F$3,FALSE)</f>
        <v>42.720405</v>
      </c>
      <c r="AG278" s="448">
        <f>VLOOKUP($D278,Valoración_Equip_actual!$D$4:$I$157,Valoración_Equip_actual!$E$2,FALSE)*$E$4</f>
        <v>0</v>
      </c>
      <c r="AH278" s="448">
        <f>VLOOKUP($D278,Valoración_Equip_actual!$D$4:$I$157,Valoración_Equip_actual!$F$2,FALSE)*$E$4</f>
        <v>233112</v>
      </c>
      <c r="AI278" s="448">
        <f>[139]P_Datos!$D$43</f>
        <v>2.4934426229508198</v>
      </c>
      <c r="AN278" s="449" t="str">
        <f>[139]Datos!$C$2</f>
        <v>Necochea - Quequén</v>
      </c>
      <c r="AO278" s="450" t="str">
        <f>VLOOKUP($E278,Tabla13[],Inputs_costos!$D$1,FALSE)</f>
        <v>NECOCHEA - QUEQUÉN</v>
      </c>
      <c r="AP278" s="451" t="str">
        <f>VLOOKUP($D278,'Costo Social x localidad'!$B$2:$M$156,1,FALSE)</f>
        <v>NECOCHEA - QUEQUÉN</v>
      </c>
    </row>
    <row r="279" spans="1:42" ht="15.75" thickBot="1">
      <c r="A279" s="917"/>
      <c r="B279" s="887"/>
      <c r="C279" s="478" t="str">
        <f>IF(AND(D279=AN279,D279=AO279,D279=AP279),"ok","ATENCIÓN NO ESTÁ TOMANDO BIEN LA LOCALIDAD")</f>
        <v>ok</v>
      </c>
      <c r="D279" s="36" t="s">
        <v>186</v>
      </c>
      <c r="E279" s="511">
        <f>VLOOKUP(D279,Pobl_adoptada!$C$5:$D$158,2,FALSE)</f>
        <v>87</v>
      </c>
      <c r="F279" s="37" t="s">
        <v>308</v>
      </c>
      <c r="G279" s="37"/>
      <c r="H279" s="117">
        <f>'[140]Inversion rec-TA'!$G$21</f>
        <v>2428048.9687098255</v>
      </c>
      <c r="I279" s="117"/>
      <c r="J279" s="117">
        <f>'[140]Costos Operativos Rec-TA'!$G$23</f>
        <v>1091157.3037871043</v>
      </c>
      <c r="K279" s="25">
        <f>'[140]Inversion rec-TA'!$G$46</f>
        <v>0</v>
      </c>
      <c r="L279" s="25">
        <f>+'[140]Costos Operativos Rec-TA'!$G$46</f>
        <v>0</v>
      </c>
      <c r="M279" s="19">
        <f t="shared" si="205"/>
        <v>-11100005.615886768</v>
      </c>
      <c r="N279" s="19"/>
      <c r="O279" s="25">
        <f>IF(((VLOOKUP($E279,Tabla13[],Inputs_costos!$I$1,FALSE))*(O$3*$E$3+O$4*$E$4)-AG279)&lt;0,0,VLOOKUP($E279,Tabla13[],Inputs_costos!$I$1,FALSE)*(O$3*$E$3+O$4*$E$4)-AG279)</f>
        <v>359159.83353599999</v>
      </c>
      <c r="P279" s="25">
        <f>(VLOOKUP($E279,Tabla13[],Inputs_costos!$J$1,FALSE))*(P$3*$E$3+P$4*$E$4)</f>
        <v>26127.3549570752</v>
      </c>
      <c r="Q279" s="25"/>
      <c r="R279" s="25">
        <f>IF($AC279&gt;=15,(VLOOKUP($E279,Tabla13[],Inputs_costos!$G$1,FALSE))*($R$3*$E$3+$R$4*$E$4),(VLOOKUP($E279,Tabla13[],Inputs_costos!$G$1,FALSE))*($T$3*$E$3+$T$4*$E$4))-AH279</f>
        <v>836840.94064000004</v>
      </c>
      <c r="S279" s="25">
        <f t="shared" si="206"/>
        <v>0</v>
      </c>
      <c r="T279" s="25">
        <f>IF($AC279&gt;=15,(VLOOKUP($E279,Tabla13[],Inputs_costos!$H$1,FALSE))*($R$3*$E$3+$R$4*$E$4),(VLOOKUP($E279,Tabla13[],Inputs_costos!$H$1,FALSE))*($T$3*$E$3+$T$4*$E$4))</f>
        <v>143365.178128</v>
      </c>
      <c r="U279" s="465">
        <f>SUMIFS(Tabla24[Costo de Cierre Técnico de BCA (US$)],Tabla24[Localidad],Resumen!$D279)</f>
        <v>951880</v>
      </c>
      <c r="V279" s="461">
        <f t="shared" ref="V279" si="207">+U279*(V$3*$E$3+V$4*$E$4)</f>
        <v>1828030.711712</v>
      </c>
      <c r="W279" s="465">
        <f>SUMIFS(Tabla24[Costo anual de Manteniemiento Post-cierre (US$)],Tabla24[Localidad],Resumen!$D279)</f>
        <v>84513.438396761718</v>
      </c>
      <c r="X279" s="461">
        <f t="shared" ref="X279" si="208">+W279*(X$3*$E$3+X$4*$E$4)</f>
        <v>162303.19046692923</v>
      </c>
      <c r="Y279" s="447">
        <f>VLOOKUP($D279,'Costo Social x localidad'!$B$2:$M$156,12,FALSE)*(Y$3*$E$3+Y$4*$E$4)</f>
        <v>30421.086781919996</v>
      </c>
      <c r="Z279" s="28">
        <f>VLOOKUP(D279,'Estimación  PRESUPUESTO PCAS'!$B$4:$G$158,'Estimación  PRESUPUESTO PCAS'!$G$2,FALSE)</f>
        <v>187193.20454597825</v>
      </c>
      <c r="AA279" s="650">
        <f>(-O279-R279)/(1+0.12)+PV(12%,20,P279)+PV(12%,20,T279)-(O279*0.5)/(1+0.12)^10-S279/(1+0.12)^10</f>
        <v>-2391692.6817376446</v>
      </c>
      <c r="AB279" s="651">
        <f>M279+AA279</f>
        <v>-13491698.297624413</v>
      </c>
      <c r="AC279" s="10">
        <f>VLOOKUP($E279,Resumen_Generación!$B$5:$F$158,Resumen_Generación!$D$3,FALSE)</f>
        <v>10.826968480000001</v>
      </c>
      <c r="AD279" s="10">
        <f>VLOOKUP($E279,Resumen_Generación!$B$5:$G$158,Resumen_Generación!$G$3,FALSE)</f>
        <v>4.4094518999999996</v>
      </c>
      <c r="AE279" s="362">
        <f>VLOOKUP($E279,Resumen_Generación!$B$5:$F$158,Resumen_Generación!$E$3,FALSE)</f>
        <v>15603</v>
      </c>
      <c r="AF279" s="10">
        <f>VLOOKUP($E279,Resumen_Generación!$B$5:$F$158,Resumen_Generación!$F$3,FALSE)</f>
        <v>5.0019479999999996</v>
      </c>
      <c r="AG279" s="448">
        <f>VLOOKUP($D279,Valoración_Equip_actual!$D$4:$I$157,Valoración_Equip_actual!$E$2,FALSE)*$E$4</f>
        <v>0</v>
      </c>
      <c r="AH279" s="448">
        <f>VLOOKUP($D279,Valoración_Equip_actual!$D$4:$I$157,Valoración_Equip_actual!$F$2,FALSE)*$E$4</f>
        <v>0</v>
      </c>
      <c r="AI279" s="448">
        <f>[140]P_Datos!$D$43</f>
        <v>0.37331147540983606</v>
      </c>
      <c r="AN279" s="34" t="str">
        <f>[140]Datos!$C$2</f>
        <v>Lobería</v>
      </c>
      <c r="AO279" s="25" t="str">
        <f>VLOOKUP($E279,Tabla13[],Inputs_costos!$D$1,FALSE)</f>
        <v>LOBERÍA</v>
      </c>
      <c r="AP279" s="28" t="str">
        <f>VLOOKUP($D279,'Costo Social x localidad'!$B$2:$M$156,1,FALSE)</f>
        <v>LOBERÍA</v>
      </c>
    </row>
    <row r="280" spans="1:42" ht="15.75" thickBot="1">
      <c r="A280" s="917"/>
      <c r="B280" s="888"/>
      <c r="C280" s="510"/>
      <c r="D280" s="12" t="s">
        <v>8</v>
      </c>
      <c r="E280" s="40"/>
      <c r="F280" s="13"/>
      <c r="G280" s="8"/>
      <c r="H280" s="32">
        <f>SUM(H278:H279)</f>
        <v>9157757.0074833483</v>
      </c>
      <c r="I280" s="32"/>
      <c r="J280" s="32">
        <f>SUM(J278:J279)</f>
        <v>5353622.3716034666</v>
      </c>
      <c r="K280" s="14"/>
      <c r="L280" s="14"/>
      <c r="M280" s="15">
        <f>SUM(M278:M279)</f>
        <v>-51113701.910923198</v>
      </c>
      <c r="N280" s="15"/>
      <c r="O280" s="16">
        <f>SUM(O278:O279)</f>
        <v>2447488.211776</v>
      </c>
      <c r="P280" s="16">
        <f>SUM(P278:P279)</f>
        <v>1148868.1918850751</v>
      </c>
      <c r="Q280" s="16"/>
      <c r="R280" s="26">
        <f>SUM(R278:R279)</f>
        <v>18883705.435040001</v>
      </c>
      <c r="S280" s="26"/>
      <c r="T280" s="26">
        <f>SUM(T278:T279)</f>
        <v>1539958.3649599999</v>
      </c>
      <c r="U280" s="26"/>
      <c r="V280" s="26">
        <f>SUM(V278:V279)</f>
        <v>5492234.810912</v>
      </c>
      <c r="W280" s="26"/>
      <c r="X280" s="26">
        <f>SUM(X278:X279)</f>
        <v>487632.52547859133</v>
      </c>
      <c r="Y280" s="26">
        <f>SUM(Y278:Y279)</f>
        <v>132161.23436207999</v>
      </c>
      <c r="Z280" s="26">
        <f>SUM(Z278:Z279)</f>
        <v>701479.41717864724</v>
      </c>
      <c r="AA280" s="653">
        <f>SUM(AA278:AA279)</f>
        <v>-39786168.033530705</v>
      </c>
      <c r="AB280" s="654">
        <f>+M280+AA280</f>
        <v>-90899869.944453895</v>
      </c>
      <c r="AC280" s="630">
        <f t="shared" ref="AC280:AI280" si="209">SUM(AC278:AC279)</f>
        <v>103.537076128</v>
      </c>
      <c r="AD280" s="630">
        <f t="shared" si="209"/>
        <v>42.396977339999999</v>
      </c>
      <c r="AE280" s="631">
        <f t="shared" si="209"/>
        <v>136289</v>
      </c>
      <c r="AF280" s="630">
        <f t="shared" si="209"/>
        <v>47.722352999999998</v>
      </c>
      <c r="AG280" s="630">
        <f t="shared" si="209"/>
        <v>0</v>
      </c>
      <c r="AH280" s="630">
        <f t="shared" si="209"/>
        <v>233112</v>
      </c>
      <c r="AI280" s="630">
        <f t="shared" si="209"/>
        <v>2.8667540983606559</v>
      </c>
      <c r="AJ280" s="4"/>
      <c r="AK280" s="4"/>
      <c r="AL280" s="4"/>
      <c r="AM280" s="4"/>
      <c r="AN280" s="4"/>
      <c r="AO280" s="4"/>
      <c r="AP280" s="4"/>
    </row>
    <row r="281" spans="1:42">
      <c r="A281" s="917"/>
      <c r="B281" s="886" t="s">
        <v>310</v>
      </c>
      <c r="C281" s="507" t="str">
        <f>IF(AND(D281=AN281,D281=AO281,D281=AP281),"ok","ATENCIÓN NO ESTÁ TOMANDO BIEN LA LOCALIDAD")</f>
        <v>ok</v>
      </c>
      <c r="D281" s="23" t="s">
        <v>198</v>
      </c>
      <c r="E281" s="114">
        <f>VLOOKUP(D281,Pobl_adoptada!$C$5:$D$158,2,FALSE)</f>
        <v>98</v>
      </c>
      <c r="F281" s="8" t="s">
        <v>308</v>
      </c>
      <c r="G281" s="576">
        <f>+'[141]Inversion rec-TA'!$G$21</f>
        <v>6519664.5811758544</v>
      </c>
      <c r="H281" s="577">
        <f>+($AC278/$AC280)*H283+G281</f>
        <v>8421667.88230142</v>
      </c>
      <c r="I281" s="587">
        <f>+'[141]Costos Operativos Rec-TA'!$G$23</f>
        <v>4423281.6153089572</v>
      </c>
      <c r="J281" s="579">
        <f>+($AC278/$AC280)*J283+I281</f>
        <v>4461321.6813314687</v>
      </c>
      <c r="K281" s="10">
        <f>+'[141]Inversion rec-TA'!$G$46</f>
        <v>0</v>
      </c>
      <c r="L281" s="10">
        <f>+'[141]Costos Operativos Rec-TA'!$G$46</f>
        <v>0</v>
      </c>
      <c r="M281" s="19">
        <f t="shared" ref="M281:M282" si="210">-H281/(1+0.12)+PV(12%,20,J281)-H281/(1+0.12)^10</f>
        <v>-43554488.777735725</v>
      </c>
      <c r="N281" s="614">
        <f>+$AD278/$AD280*N284</f>
        <v>1925150.6092027798</v>
      </c>
      <c r="O281" s="25">
        <f>IF(N281-AG281&lt;0,0,N281-AG281)</f>
        <v>1925150.6092027798</v>
      </c>
      <c r="P281" s="32">
        <f>+$AD278/$AD280*P284</f>
        <v>1008913.2127293132</v>
      </c>
      <c r="Q281" s="32">
        <f>+$AC278/$AC280*Q284</f>
        <v>17675425.660204537</v>
      </c>
      <c r="R281" s="647">
        <f>IF(Q281-AH281&lt;0,0,Q281-AH281)</f>
        <v>17442313.660204537</v>
      </c>
      <c r="S281" s="647">
        <f>+S278</f>
        <v>815000</v>
      </c>
      <c r="T281" s="32">
        <f>+$AC278/$AC280*T284</f>
        <v>1281464.1873018248</v>
      </c>
      <c r="U281" s="27"/>
      <c r="V281" s="461">
        <f>+V278</f>
        <v>3664204.0992000001</v>
      </c>
      <c r="W281" s="27"/>
      <c r="X281" s="461">
        <f t="shared" ref="X281:Z282" si="211">+X278</f>
        <v>325329.3350116621</v>
      </c>
      <c r="Y281" s="27">
        <f t="shared" si="211"/>
        <v>101740.14758016</v>
      </c>
      <c r="Z281" s="27">
        <f t="shared" si="211"/>
        <v>514286.21263266902</v>
      </c>
      <c r="AA281" s="650">
        <f>(-O281-R281)/(1+0.12)+PV(12%,20,P281)+PV(12%,20,T281)-(O281*0.5)/(1+0.12)^10-S281/(1+0.12)^10</f>
        <v>-34972555.354043625</v>
      </c>
      <c r="AB281" s="651">
        <f>M281+AA281</f>
        <v>-78527044.131779343</v>
      </c>
      <c r="AG281" s="448">
        <f>VLOOKUP($D281,Valoración_Eq_REG!$D$4:$I$157,Valoración_Eq_REG!$E$2,FALSE)*$E$4</f>
        <v>0</v>
      </c>
      <c r="AH281" s="448">
        <f>VLOOKUP($D281,Valoración_Eq_REG!$D$4:$I$157,Valoración_Eq_REG!$F$2,FALSE)*$E$4</f>
        <v>233112</v>
      </c>
      <c r="AJ281" s="484">
        <f>+'[141]Evaluacion Economica'!$L$25</f>
        <v>6</v>
      </c>
      <c r="AK281" s="448">
        <f>+'[141]Evaluacion Economica'!$R$25</f>
        <v>15</v>
      </c>
      <c r="AL281" s="484">
        <f>+'[141]P_Evaluacion Economica'!$L$27</f>
        <v>5</v>
      </c>
      <c r="AM281" s="448">
        <f>+'[141]P_Evaluacion Economica'!$Q$27</f>
        <v>6</v>
      </c>
      <c r="AN281" s="34" t="str">
        <f>+[141]Datos!$C$2</f>
        <v>Necochea - Quequén</v>
      </c>
      <c r="AO281" s="25" t="str">
        <f>VLOOKUP($E281,Tabla13[],Inputs_costos!$D$1,FALSE)</f>
        <v>NECOCHEA - QUEQUÉN</v>
      </c>
      <c r="AP281" s="28" t="str">
        <f>VLOOKUP($D281,'Costo Social x localidad'!$B$2:$M$156,1,FALSE)</f>
        <v>NECOCHEA - QUEQUÉN</v>
      </c>
    </row>
    <row r="282" spans="1:42" ht="15.75" thickBot="1">
      <c r="A282" s="917"/>
      <c r="B282" s="887"/>
      <c r="C282" s="478" t="str">
        <f>IF(AND(D282=AN282,D282=AO282,D282=AP282),"ok","ATENCIÓN NO ESTÁ TOMANDO BIEN LA LOCALIDAD")</f>
        <v>ok</v>
      </c>
      <c r="D282" s="36" t="s">
        <v>186</v>
      </c>
      <c r="E282" s="115">
        <f>VLOOKUP(D282,Pobl_adoptada!$C$5:$D$158,2,FALSE)</f>
        <v>87</v>
      </c>
      <c r="F282" s="9" t="s">
        <v>308</v>
      </c>
      <c r="G282" s="580">
        <f>+'[142]Inversion rec-TA'!$G$21</f>
        <v>2015350.3254860535</v>
      </c>
      <c r="H282" s="34">
        <f>+($AC279/$AC280)*H283+G282</f>
        <v>2237472.0586236021</v>
      </c>
      <c r="I282" s="465">
        <f>+'[142]Costos Operativos Rec-TA'!$G$23</f>
        <v>1072982.1780975978</v>
      </c>
      <c r="J282" s="581">
        <f>+($AC279/$AC280)*J283+I282</f>
        <v>1077424.6127603487</v>
      </c>
      <c r="K282" s="10">
        <f>+'[142]Inversion rec-TA'!$G$46</f>
        <v>0</v>
      </c>
      <c r="L282" s="10">
        <f>+'[142]Costos Operativos Rec-TA'!$G$46</f>
        <v>0</v>
      </c>
      <c r="M282" s="19">
        <f t="shared" si="210"/>
        <v>-10765911.434458064</v>
      </c>
      <c r="N282" s="465">
        <f>+$AD279/$AD280*N284</f>
        <v>223464.38503722011</v>
      </c>
      <c r="O282" s="25">
        <f>IF(N282-AG282&lt;0,0,N282-AG282)</f>
        <v>223464.38503722011</v>
      </c>
      <c r="P282" s="25">
        <f>+$AD279/$AD280*P284</f>
        <v>117110.9260546868</v>
      </c>
      <c r="Q282" s="25">
        <f>+$AC279/$AC280*Q284</f>
        <v>2064189.9933954626</v>
      </c>
      <c r="R282" s="647">
        <f>IF(Q282-AH282&lt;0,0,Q282-AH282)</f>
        <v>2064189.9933954626</v>
      </c>
      <c r="S282" s="647">
        <f>+S279</f>
        <v>0</v>
      </c>
      <c r="T282" s="25">
        <f>+$AC279/$AC280*T284</f>
        <v>149653.28717817515</v>
      </c>
      <c r="U282" s="29"/>
      <c r="V282" s="461">
        <f>+V279</f>
        <v>1828030.711712</v>
      </c>
      <c r="W282" s="25"/>
      <c r="X282" s="461">
        <f t="shared" si="211"/>
        <v>162303.19046692923</v>
      </c>
      <c r="Y282" s="28">
        <f t="shared" si="211"/>
        <v>30421.086781919996</v>
      </c>
      <c r="Z282" s="28">
        <f t="shared" si="211"/>
        <v>187193.20454597825</v>
      </c>
      <c r="AA282" s="650">
        <f>(-O282-R282)/(1+0.12)+PV(12%,20,P282)+PV(12%,20,T282)-(O282*0.5)/(1+0.12)^10-S282/(1+0.12)^10</f>
        <v>-4071103.5795595981</v>
      </c>
      <c r="AB282" s="651">
        <f>M282+AA282</f>
        <v>-14837015.014017662</v>
      </c>
      <c r="AC282" s="10"/>
      <c r="AD282" s="10"/>
      <c r="AE282" s="10"/>
      <c r="AF282" s="10"/>
      <c r="AG282" s="448">
        <f>VLOOKUP($D282,Valoración_Eq_REG!$D$4:$I$157,Valoración_Eq_REG!$E$2,FALSE)*$E$4</f>
        <v>0</v>
      </c>
      <c r="AH282" s="448">
        <f>VLOOKUP($D282,Valoración_Eq_REG!$D$4:$I$157,Valoración_Eq_REG!$F$2,FALSE)*$E$4</f>
        <v>0</v>
      </c>
      <c r="AI282" s="2"/>
      <c r="AJ282" s="484">
        <f>+'[142]Evaluacion Economica'!$L$25</f>
        <v>2</v>
      </c>
      <c r="AK282" s="448">
        <f>+'[142]Evaluacion Economica'!$R$25</f>
        <v>24</v>
      </c>
      <c r="AL282" s="484">
        <f>+'[142]P_Evaluacion Economica'!$L$27</f>
        <v>2</v>
      </c>
      <c r="AM282" s="448">
        <f>+'[142]P_Evaluacion Economica'!$Q$27</f>
        <v>6</v>
      </c>
      <c r="AN282" s="34" t="str">
        <f>+[142]Datos!$C$2</f>
        <v>Lobería</v>
      </c>
      <c r="AO282" s="25" t="str">
        <f>VLOOKUP($E282,Tabla13[],Inputs_costos!$D$1,FALSE)</f>
        <v>LOBERÍA</v>
      </c>
      <c r="AP282" s="28" t="str">
        <f>VLOOKUP($D282,'Costo Social x localidad'!$B$2:$M$156,1,FALSE)</f>
        <v>LOBERÍA</v>
      </c>
    </row>
    <row r="283" spans="1:42" ht="30.75" thickBot="1">
      <c r="A283" s="917"/>
      <c r="B283" s="887"/>
      <c r="C283" s="912" t="s">
        <v>12</v>
      </c>
      <c r="D283" s="913"/>
      <c r="E283" s="498" t="s">
        <v>589</v>
      </c>
      <c r="F283" s="571">
        <f>+F272</f>
        <v>0.02</v>
      </c>
      <c r="G283" s="582"/>
      <c r="H283" s="461">
        <f>+AJ283*AJ285+AL283*AL285</f>
        <v>2124125.0342631149</v>
      </c>
      <c r="I283" s="461"/>
      <c r="J283" s="583">
        <f>+$F283*H283</f>
        <v>42482.500685262297</v>
      </c>
      <c r="K283" s="10"/>
      <c r="L283" s="10"/>
      <c r="M283" s="19"/>
      <c r="N283" s="465"/>
      <c r="O283" s="10"/>
      <c r="P283" s="10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658"/>
      <c r="AB283" s="20"/>
      <c r="AC283" s="10"/>
      <c r="AD283" s="10"/>
      <c r="AE283" s="10"/>
      <c r="AF283" s="10"/>
      <c r="AG283" s="4"/>
      <c r="AH283" s="4"/>
      <c r="AI283" s="4"/>
      <c r="AJ283" s="501">
        <f>ROUNDUP(C284*SUM(AJ281:AJ282),0)</f>
        <v>4</v>
      </c>
      <c r="AK283" s="502">
        <f>AVERAGE(AK281:AK282)</f>
        <v>19.5</v>
      </c>
      <c r="AL283" s="501">
        <f>ROUNDUP(C284*SUM(AL281:AL282),0)</f>
        <v>4</v>
      </c>
      <c r="AM283" s="502">
        <f>AVERAGE(AM281:AM282)</f>
        <v>6</v>
      </c>
      <c r="AN283" s="4"/>
      <c r="AO283" s="4"/>
      <c r="AP283" s="4"/>
    </row>
    <row r="284" spans="1:42" ht="15.75" thickBot="1">
      <c r="A284" s="918"/>
      <c r="B284" s="888"/>
      <c r="C284" s="570">
        <v>0.5</v>
      </c>
      <c r="D284" s="500" t="str">
        <f>A278</f>
        <v>REGIÓN NECOCHEA</v>
      </c>
      <c r="E284" s="468"/>
      <c r="F284" s="469"/>
      <c r="G284" s="584"/>
      <c r="H284" s="585">
        <f>SUM(H281:H282)</f>
        <v>10659139.940925023</v>
      </c>
      <c r="I284" s="585"/>
      <c r="J284" s="586">
        <f>SUM(J281:J282)</f>
        <v>5538746.294091817</v>
      </c>
      <c r="K284" s="14"/>
      <c r="L284" s="14"/>
      <c r="M284" s="15">
        <f>SUM(M281:M283)</f>
        <v>-54320400.212193787</v>
      </c>
      <c r="N284" s="615">
        <f>(VLOOKUP($E281,Tabla13[],Inputs_costos!$P$1,FALSE))*(O$3*$E$3+O$4*$E$4)</f>
        <v>2148614.9942399999</v>
      </c>
      <c r="O284" s="35">
        <f>SUM(O281:O282)</f>
        <v>2148614.9942399999</v>
      </c>
      <c r="P284" s="35">
        <f>(VLOOKUP($E281,Tabla13[],Inputs_costos!$Q$1,FALSE))*(P$3*$E$3+P$4*$E$4)</f>
        <v>1126024.138784</v>
      </c>
      <c r="Q284" s="35">
        <f>IF($AC280&gt;=15,(VLOOKUP($E281,Tabla13[],Inputs_costos!$N$1,FALSE))*($R$3*$E$3+$R$4*$E$4),(VLOOKUP($E281,Tabla13[],Inputs_costos!$N$1,FALSE))*($T$3*$E$3+$T$4*$E$4))</f>
        <v>19739615.6536</v>
      </c>
      <c r="R284" s="35">
        <f>SUM(R281:R282)</f>
        <v>19506503.6536</v>
      </c>
      <c r="S284" s="35"/>
      <c r="T284" s="35">
        <f>IF($AC280&gt;=15,(VLOOKUP($E281,Tabla13[],Inputs_costos!$O$1,FALSE))*($R$3*$E$3+$R$4*$E$4),(VLOOKUP($E281,Tabla13[],Inputs_costos!$O$1,FALSE))*($T$3*$E$3+$T$4*$E$4))</f>
        <v>1431117.4744800001</v>
      </c>
      <c r="U284" s="35"/>
      <c r="V284" s="31">
        <f>SUM(V281:V282)</f>
        <v>5492234.810912</v>
      </c>
      <c r="W284" s="31"/>
      <c r="X284" s="31">
        <f>SUM(X281:X282)</f>
        <v>487632.52547859133</v>
      </c>
      <c r="Y284" s="31">
        <f>SUM(Y281:Y282)</f>
        <v>132161.23436207999</v>
      </c>
      <c r="Z284" s="31">
        <f>SUM(Z281:Z282)</f>
        <v>701479.41717864724</v>
      </c>
      <c r="AA284" s="657">
        <f>SUM(AA281:AA282)</f>
        <v>-39043658.933603227</v>
      </c>
      <c r="AB284" s="654">
        <f>+M284+AA284</f>
        <v>-93364059.145797014</v>
      </c>
      <c r="AC284" s="38"/>
      <c r="AD284" s="38"/>
      <c r="AE284" s="38"/>
      <c r="AF284" s="38"/>
      <c r="AG284" s="4"/>
      <c r="AH284" s="4"/>
      <c r="AI284" s="4"/>
      <c r="AJ284" s="11"/>
      <c r="AK284" s="499">
        <f>VLOOKUP(ROUNDUP(AK283,0),DATOS!$F$16:$G$31,2,FALSE)</f>
        <v>21</v>
      </c>
      <c r="AL284" s="497"/>
      <c r="AM284" s="499">
        <f>VLOOKUP(ROUNDUP(AM283,0),DATOS!$J$16:$K$34,2,FALSE)</f>
        <v>6</v>
      </c>
      <c r="AN284" s="4"/>
      <c r="AO284" s="4"/>
      <c r="AP284" s="4"/>
    </row>
    <row r="285" spans="1:42">
      <c r="F285" s="2"/>
      <c r="G285" s="2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0"/>
      <c r="V285" s="2"/>
      <c r="W285" s="2"/>
      <c r="X285" s="2"/>
      <c r="Y285" s="2"/>
      <c r="Z285" s="2"/>
      <c r="AA285" s="4"/>
      <c r="AB285" s="4"/>
      <c r="AC285" s="4"/>
      <c r="AD285" s="4"/>
      <c r="AE285" s="4"/>
      <c r="AF285" s="4"/>
      <c r="AG285" s="448"/>
      <c r="AH285" s="448"/>
      <c r="AI285" s="4"/>
      <c r="AJ285" s="892">
        <f>VLOOKUP(AK284,DATOS!$F$3:$H$11,3,FALSE)</f>
        <v>296770.86408577871</v>
      </c>
      <c r="AK285" s="892"/>
      <c r="AL285" s="892">
        <f>VLOOKUP(AM284,DATOS!$J$3:$L$12,3,FALSE)</f>
        <v>234260.39447999999</v>
      </c>
      <c r="AM285" s="892"/>
      <c r="AN285" s="4"/>
      <c r="AO285" s="4"/>
      <c r="AP285" s="4"/>
    </row>
    <row r="286" spans="1:42" ht="15.75" thickBot="1">
      <c r="A286" s="503"/>
      <c r="B286" s="503"/>
      <c r="C286" s="503"/>
      <c r="D286" s="503"/>
      <c r="E286" s="503"/>
      <c r="F286" s="504"/>
      <c r="G286" s="504"/>
      <c r="H286" s="505"/>
      <c r="I286" s="505"/>
      <c r="J286" s="505"/>
      <c r="K286" s="505"/>
      <c r="L286" s="505"/>
      <c r="M286" s="505"/>
      <c r="N286" s="505"/>
      <c r="O286" s="505"/>
      <c r="P286" s="505"/>
      <c r="Q286" s="505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6"/>
      <c r="AB286" s="506"/>
      <c r="AC286" s="506"/>
      <c r="AD286" s="506"/>
      <c r="AE286" s="506"/>
      <c r="AF286" s="506"/>
      <c r="AG286" s="506"/>
      <c r="AH286" s="506"/>
      <c r="AI286" s="506"/>
      <c r="AJ286" s="506"/>
      <c r="AK286" s="506"/>
      <c r="AL286" s="506"/>
      <c r="AM286" s="506"/>
      <c r="AN286" s="506"/>
      <c r="AO286" s="506"/>
      <c r="AP286" s="506"/>
    </row>
    <row r="287" spans="1:42" ht="39" thickBot="1">
      <c r="A287" s="886" t="s">
        <v>7</v>
      </c>
      <c r="B287" s="886" t="s">
        <v>2</v>
      </c>
      <c r="C287" s="508"/>
      <c r="D287" s="882" t="s">
        <v>22</v>
      </c>
      <c r="E287" s="882" t="s">
        <v>23</v>
      </c>
      <c r="F287" s="882" t="s">
        <v>3</v>
      </c>
      <c r="G287" s="574"/>
      <c r="H287" s="879" t="s">
        <v>0</v>
      </c>
      <c r="I287" s="880"/>
      <c r="J287" s="881"/>
      <c r="K287" s="879" t="s">
        <v>1</v>
      </c>
      <c r="L287" s="881"/>
      <c r="M287" s="886" t="s">
        <v>10</v>
      </c>
      <c r="N287" s="879" t="s">
        <v>5</v>
      </c>
      <c r="O287" s="880"/>
      <c r="P287" s="881"/>
      <c r="Q287" s="902" t="s">
        <v>4</v>
      </c>
      <c r="R287" s="903"/>
      <c r="S287" s="903"/>
      <c r="T287" s="904"/>
      <c r="U287" s="902" t="s">
        <v>6</v>
      </c>
      <c r="V287" s="903"/>
      <c r="W287" s="903"/>
      <c r="X287" s="904"/>
      <c r="Y287" s="390" t="s">
        <v>689</v>
      </c>
      <c r="Z287" s="662" t="s">
        <v>690</v>
      </c>
      <c r="AA287" s="905" t="s">
        <v>686</v>
      </c>
      <c r="AB287" s="886" t="s">
        <v>9</v>
      </c>
      <c r="AC287" s="907" t="s">
        <v>312</v>
      </c>
      <c r="AD287" s="914" t="s">
        <v>649</v>
      </c>
      <c r="AE287" s="897" t="s">
        <v>20</v>
      </c>
      <c r="AF287" s="897" t="s">
        <v>313</v>
      </c>
      <c r="AG287" s="899" t="s">
        <v>552</v>
      </c>
      <c r="AH287" s="926" t="s">
        <v>578</v>
      </c>
      <c r="AI287" s="882" t="s">
        <v>579</v>
      </c>
      <c r="AJ287" s="882" t="s">
        <v>581</v>
      </c>
      <c r="AK287" s="882" t="s">
        <v>582</v>
      </c>
      <c r="AL287" s="882" t="s">
        <v>581</v>
      </c>
      <c r="AM287" s="882" t="s">
        <v>582</v>
      </c>
      <c r="AN287" s="884" t="s">
        <v>553</v>
      </c>
      <c r="AO287" s="928"/>
      <c r="AP287" s="928"/>
    </row>
    <row r="288" spans="1:42" ht="30.75" thickBot="1">
      <c r="A288" s="888"/>
      <c r="B288" s="888"/>
      <c r="C288" s="509"/>
      <c r="D288" s="883"/>
      <c r="E288" s="883"/>
      <c r="F288" s="883"/>
      <c r="G288" s="569"/>
      <c r="H288" s="17" t="s">
        <v>18</v>
      </c>
      <c r="I288" s="17"/>
      <c r="J288" s="17" t="s">
        <v>17</v>
      </c>
      <c r="K288" s="17" t="s">
        <v>18</v>
      </c>
      <c r="L288" s="17" t="s">
        <v>17</v>
      </c>
      <c r="M288" s="888"/>
      <c r="N288" s="464" t="s">
        <v>685</v>
      </c>
      <c r="O288" s="17" t="s">
        <v>18</v>
      </c>
      <c r="P288" s="17" t="s">
        <v>17</v>
      </c>
      <c r="Q288" s="464" t="s">
        <v>685</v>
      </c>
      <c r="R288" s="17" t="s">
        <v>18</v>
      </c>
      <c r="S288" s="17"/>
      <c r="T288" s="17" t="s">
        <v>17</v>
      </c>
      <c r="U288" s="464" t="s">
        <v>576</v>
      </c>
      <c r="V288" s="17" t="s">
        <v>18</v>
      </c>
      <c r="W288" s="464" t="s">
        <v>577</v>
      </c>
      <c r="X288" s="17" t="s">
        <v>17</v>
      </c>
      <c r="Y288" s="17" t="s">
        <v>18</v>
      </c>
      <c r="Z288" s="17" t="s">
        <v>17</v>
      </c>
      <c r="AA288" s="906"/>
      <c r="AB288" s="888"/>
      <c r="AC288" s="908"/>
      <c r="AD288" s="915"/>
      <c r="AE288" s="898"/>
      <c r="AF288" s="898"/>
      <c r="AG288" s="900"/>
      <c r="AH288" s="927"/>
      <c r="AI288" s="883"/>
      <c r="AJ288" s="883"/>
      <c r="AK288" s="883"/>
      <c r="AL288" s="883"/>
      <c r="AM288" s="883"/>
      <c r="AN288" s="1" t="s">
        <v>551</v>
      </c>
      <c r="AO288" s="9" t="s">
        <v>554</v>
      </c>
      <c r="AP288" s="1" t="s">
        <v>555</v>
      </c>
    </row>
    <row r="289" spans="1:42" ht="15" customHeight="1">
      <c r="A289" s="916" t="s">
        <v>609</v>
      </c>
      <c r="B289" s="886" t="s">
        <v>309</v>
      </c>
      <c r="C289" s="507" t="str">
        <f>IF(AND(D289=AN289,D289=AO289,D289=AP289),"ok","ATENCIÓN NO ESTÁ TOMANDO BIEN LA LOCALIDAD")</f>
        <v>ok</v>
      </c>
      <c r="D289" s="23" t="s">
        <v>223</v>
      </c>
      <c r="E289" s="114">
        <f>VLOOKUP(D289,Pobl_adoptada!$C$5:$D$158,2,FALSE)</f>
        <v>118</v>
      </c>
      <c r="F289" s="8" t="s">
        <v>308</v>
      </c>
      <c r="G289" s="8"/>
      <c r="H289" s="33">
        <f>'[143]Inversion rec-TA'!$G$21</f>
        <v>3334371.7976182355</v>
      </c>
      <c r="I289" s="33"/>
      <c r="J289" s="33">
        <f>'[143]Costos Operativos Rec-TA'!$G$23</f>
        <v>1583491.8459045743</v>
      </c>
      <c r="K289" s="32">
        <f>'[143]Inversion rec-TA'!$G$46</f>
        <v>0</v>
      </c>
      <c r="L289" s="32">
        <f>+'[143]Costos Operativos Rec-TA'!$G$46</f>
        <v>0</v>
      </c>
      <c r="M289" s="19">
        <f t="shared" ref="M289:M293" si="212">-H289/(1+0.12)+PV(12%,20,J289)-H289/(1+0.12)^10</f>
        <v>-15878499.228687393</v>
      </c>
      <c r="N289" s="19"/>
      <c r="O289" s="25">
        <f>IF(((VLOOKUP($E289,Tabla13[],Inputs_costos!$I$1,FALSE))*(O$3*$E$3+O$4*$E$4)-AG289)&lt;0,0,VLOOKUP($E289,Tabla13[],Inputs_costos!$I$1,FALSE)*(O$3*$E$3+O$4*$E$4)-AG289)</f>
        <v>1709327.8104900001</v>
      </c>
      <c r="P289" s="25">
        <f>(VLOOKUP($E289,Tabla13[],Inputs_costos!$J$1,FALSE))*(P$3*$E$3+P$4*$E$4)</f>
        <v>579567.70163200004</v>
      </c>
      <c r="Q289" s="25"/>
      <c r="R289" s="25">
        <f>IF($AC289&gt;=15,(VLOOKUP($E289,Tabla13[],Inputs_costos!$G$1,FALSE))*($R$3*$E$3+$R$4*$E$4),(VLOOKUP($E289,Tabla13[],Inputs_costos!$G$1,FALSE))*($T$3*$E$3+$T$4*$E$4))-AH289</f>
        <v>9270311.1056000013</v>
      </c>
      <c r="S289" s="25">
        <f t="shared" ref="S289:S293" si="213">IF(AC289&lt;15,0,IF(AC289&lt;=350,815000,1345000))</f>
        <v>815000</v>
      </c>
      <c r="T289" s="25">
        <f>IF($AC289&gt;=15,(VLOOKUP($E289,Tabla13[],Inputs_costos!$H$1,FALSE))*($R$3*$E$3+$R$4*$E$4),(VLOOKUP($E289,Tabla13[],Inputs_costos!$H$1,FALSE))*($T$3*$E$3+$T$4*$E$4))</f>
        <v>1600681.6863840001</v>
      </c>
      <c r="U289" s="465">
        <f>SUMIFS(Tabla24[Costo de Cierre Técnico de BCA (US$)],Tabla24[Localidad],Resumen!$D289)</f>
        <v>0</v>
      </c>
      <c r="V289" s="461">
        <f>+U289*(V$3*$E$3+V$4*$E$4)</f>
        <v>0</v>
      </c>
      <c r="W289" s="465">
        <f>SUMIFS(Tabla24[Costo anual de Manteniemiento Post-cierre (US$)],Tabla24[Localidad],Resumen!$D289)</f>
        <v>0</v>
      </c>
      <c r="X289" s="461">
        <f>+W289*(X$3*$E$3+X$4*$E$4)</f>
        <v>0</v>
      </c>
      <c r="Y289" s="27">
        <f>VLOOKUP($D289,'Costo Social x localidad'!$B$2:$M$156,12,FALSE)*(Y$3*$E$3+Y$4*$E$4)</f>
        <v>52432.275286559998</v>
      </c>
      <c r="Z289" s="28">
        <f>VLOOKUP(D289,'Estimación  PRESUPUESTO PCAS'!$B$4:$G$158,'Estimación  PRESUPUESTO PCAS'!$G$2,FALSE)</f>
        <v>275812.5071370824</v>
      </c>
      <c r="AA289" s="650">
        <f>(-O289-R289)/(1+0.12)+PV(12%,20,P289)+PV(12%,20,T289)-(O289*0.5)/(1+0.12)^10-S289/(1+0.12)^10</f>
        <v>-26626086.014573865</v>
      </c>
      <c r="AB289" s="651">
        <f>M289+AA289</f>
        <v>-42504585.243261255</v>
      </c>
      <c r="AC289" s="10">
        <f>VLOOKUP($E289,Resumen_Generación!$B$5:$F$158,Resumen_Generación!$D$3,FALSE)</f>
        <v>31.670421359999999</v>
      </c>
      <c r="AD289" s="10">
        <f>VLOOKUP($E289,Resumen_Generación!$B$5:$G$158,Resumen_Generación!$G$3,FALSE)</f>
        <v>13.04527955</v>
      </c>
      <c r="AE289" s="362">
        <f>VLOOKUP($E289,Resumen_Generación!$B$5:$F$158,Resumen_Generación!$E$3,FALSE)</f>
        <v>39723</v>
      </c>
      <c r="AF289" s="10">
        <f>VLOOKUP($E289,Resumen_Generación!$B$5:$F$158,Resumen_Generación!$F$3,FALSE)</f>
        <v>14.582154999999998</v>
      </c>
      <c r="AG289" s="448">
        <f>VLOOKUP($D289,Valoración_Equip_actual!$D$4:$I$157,Valoración_Equip_actual!$E$2,FALSE)*$E$4</f>
        <v>38056.567109999996</v>
      </c>
      <c r="AH289" s="448">
        <f>VLOOKUP($D289,Valoración_Equip_actual!$D$4:$I$157,Valoración_Equip_actual!$F$2,FALSE)*$E$4</f>
        <v>365544.34</v>
      </c>
      <c r="AI289" s="513">
        <f>[143]P_Datos!$D$43</f>
        <v>0.93462295081967217</v>
      </c>
      <c r="AJ289" s="514"/>
      <c r="AK289" s="514"/>
      <c r="AL289" s="514"/>
      <c r="AM289" s="514"/>
      <c r="AN289" s="449" t="str">
        <f>[143]Datos!$C$2</f>
        <v>Salto</v>
      </c>
      <c r="AO289" s="450" t="str">
        <f>VLOOKUP($E289,Tabla13[],Inputs_costos!$D$1,FALSE)</f>
        <v>SALTO</v>
      </c>
      <c r="AP289" s="451" t="str">
        <f>VLOOKUP($D289,'Costo Social x localidad'!$B$2:$M$156,1,FALSE)</f>
        <v>SALTO</v>
      </c>
    </row>
    <row r="290" spans="1:42" ht="15" customHeight="1">
      <c r="A290" s="917"/>
      <c r="B290" s="887"/>
      <c r="C290" s="478" t="str">
        <f>IF(AND(D290=AN290,D290=AO290,D290=AP290),"ok","ATENCIÓN NO ESTÁ TOMANDO BIEN LA LOCALIDAD")</f>
        <v>ok</v>
      </c>
      <c r="D290" s="515" t="s">
        <v>140</v>
      </c>
      <c r="E290" s="115">
        <f>VLOOKUP(D290,Pobl_adoptada!$C$5:$D$158,2,FALSE)</f>
        <v>51</v>
      </c>
      <c r="F290" s="9" t="s">
        <v>308</v>
      </c>
      <c r="G290" s="9"/>
      <c r="H290" s="34">
        <f>'[144]Inversion rec-TA'!$G$21</f>
        <v>3250847.0382797671</v>
      </c>
      <c r="I290" s="34"/>
      <c r="J290" s="34">
        <f>'[144]Costos Operativos Rec-TA'!$G$23</f>
        <v>1535943.4348162354</v>
      </c>
      <c r="K290" s="25">
        <f>'[144]Inversion rec-TA'!$G$46</f>
        <v>0</v>
      </c>
      <c r="L290" s="25">
        <f>+'[144]Costos Operativos Rec-TA'!$G$46</f>
        <v>0</v>
      </c>
      <c r="M290" s="19">
        <f t="shared" si="212"/>
        <v>-15421870.637556253</v>
      </c>
      <c r="N290" s="19"/>
      <c r="O290" s="25">
        <f>IF(((VLOOKUP($E290,Tabla13[],Inputs_costos!$I$1,FALSE))*(O$3*$E$3+O$4*$E$4)-AG290)&lt;0,0,VLOOKUP($E290,Tabla13[],Inputs_costos!$I$1,FALSE)*(O$3*$E$3+O$4*$E$4)-AG290)</f>
        <v>1701566.54944</v>
      </c>
      <c r="P290" s="25">
        <f>(VLOOKUP($E290,Tabla13[],Inputs_costos!$J$1,FALSE))*(P$3*$E$3+P$4*$E$4)</f>
        <v>428758.412992</v>
      </c>
      <c r="Q290" s="25"/>
      <c r="R290" s="25">
        <f>IF($AC290&gt;=15,(VLOOKUP($E290,Tabla13[],Inputs_costos!$G$1,FALSE))*($R$3*$E$3+$R$4*$E$4),(VLOOKUP($E290,Tabla13[],Inputs_costos!$G$1,FALSE))*($T$3*$E$3+$T$4*$E$4))-AH290</f>
        <v>8332805.9280000003</v>
      </c>
      <c r="S290" s="25">
        <f t="shared" si="213"/>
        <v>815000</v>
      </c>
      <c r="T290" s="25">
        <f>IF($AC290&gt;=15,(VLOOKUP($E290,Tabla13[],Inputs_costos!$H$1,FALSE))*($R$3*$E$3+$R$4*$E$4),(VLOOKUP($E290,Tabla13[],Inputs_costos!$H$1,FALSE))*($T$3*$E$3+$T$4*$E$4))</f>
        <v>1664454.682088</v>
      </c>
      <c r="U290" s="465">
        <f>SUMIFS(Tabla24[Costo de Cierre Técnico de BCA (US$)],Tabla24[Localidad],Resumen!$D290)</f>
        <v>1134200</v>
      </c>
      <c r="V290" s="461">
        <f>+U290*(V$3*$E$3+V$4*$E$4)</f>
        <v>2178165.7700800002</v>
      </c>
      <c r="W290" s="465">
        <f>SUMIFS(Tabla24[Costo anual de Manteniemiento Post-cierre (US$)],Tabla24[Localidad],Resumen!$D290)</f>
        <v>100700.86757743322</v>
      </c>
      <c r="X290" s="461">
        <f>+W290*(X$3*$E$3+X$4*$E$4)</f>
        <v>193390.21581248805</v>
      </c>
      <c r="Y290" s="28">
        <f>VLOOKUP($D290,'Costo Social x localidad'!$B$2:$M$156,12,FALSE)*(Y$3*$E$3+Y$4*$E$4)</f>
        <v>45639.972030613324</v>
      </c>
      <c r="Z290" s="28">
        <f>VLOOKUP(D290,'Estimación  PRESUPUESTO PCAS'!$B$4:$G$158,'Estimación  PRESUPUESTO PCAS'!$G$2,FALSE)</f>
        <v>287306.25285799766</v>
      </c>
      <c r="AA290" s="650">
        <f>(-O290-R290)/(1+0.12)+PV(12%,20,P290)+PV(12%,20,T290)-(O290*0.5)/(1+0.12)^10-S290/(1+0.12)^10</f>
        <v>-25130735.980396017</v>
      </c>
      <c r="AB290" s="651">
        <f>M290+AA290</f>
        <v>-40552606.617952272</v>
      </c>
      <c r="AC290" s="10">
        <f>VLOOKUP($E290,Resumen_Generación!$B$5:$F$158,Resumen_Generación!$D$3,FALSE)</f>
        <v>23.367467224000002</v>
      </c>
      <c r="AD290" s="10">
        <f>VLOOKUP($E290,Resumen_Generación!$B$5:$G$158,Resumen_Generación!$G$3,FALSE)</f>
        <v>9.5458559699999999</v>
      </c>
      <c r="AE290" s="362">
        <f>VLOOKUP($E290,Resumen_Generación!$B$5:$F$158,Resumen_Generación!$E$3,FALSE)</f>
        <v>29249</v>
      </c>
      <c r="AF290" s="10">
        <f>VLOOKUP($E290,Resumen_Generación!$B$5:$F$158,Resumen_Generación!$F$3,FALSE)</f>
        <v>10.787938</v>
      </c>
      <c r="AG290" s="448">
        <f>VLOOKUP($D290,Valoración_Equip_actual!$D$4:$I$157,Valoración_Equip_actual!$E$2,FALSE)*$E$4</f>
        <v>0</v>
      </c>
      <c r="AH290" s="448">
        <f>VLOOKUP($D290,Valoración_Equip_actual!$D$4:$I$157,Valoración_Equip_actual!$F$2,FALSE)*$E$4</f>
        <v>0</v>
      </c>
      <c r="AI290" s="513">
        <f>[144]P_Datos!$D$43</f>
        <v>0.69062295081967218</v>
      </c>
      <c r="AJ290" s="514"/>
      <c r="AK290" s="514"/>
      <c r="AL290" s="514"/>
      <c r="AM290" s="514"/>
      <c r="AN290" s="34" t="str">
        <f>[144]Datos!$C$2</f>
        <v>Colón</v>
      </c>
      <c r="AO290" s="25" t="str">
        <f>VLOOKUP($E290,Tabla13[],Inputs_costos!$D$1,FALSE)</f>
        <v>COLÓN</v>
      </c>
      <c r="AP290" s="28" t="str">
        <f>VLOOKUP($D290,'Costo Social x localidad'!$B$2:$M$156,1,FALSE)</f>
        <v>COLÓN</v>
      </c>
    </row>
    <row r="291" spans="1:42" ht="15" customHeight="1">
      <c r="A291" s="917"/>
      <c r="B291" s="887"/>
      <c r="C291" s="478" t="str">
        <f>IF(AND(D291=AN291,D291=AO291,D291=AP291),"ok","ATENCIÓN NO ESTÁ TOMANDO BIEN LA LOCALIDAD")</f>
        <v>ok</v>
      </c>
      <c r="D291" s="24" t="s">
        <v>118</v>
      </c>
      <c r="E291" s="115">
        <f>VLOOKUP(D291,Pobl_adoptada!$C$5:$D$158,2,FALSE)</f>
        <v>30</v>
      </c>
      <c r="F291" s="9" t="s">
        <v>308</v>
      </c>
      <c r="G291" s="9"/>
      <c r="H291" s="34">
        <f>'[145]Inversion rec-TA'!$G$21</f>
        <v>3421664.8216182347</v>
      </c>
      <c r="I291" s="34"/>
      <c r="J291" s="34">
        <f>'[145]Costos Operativos Rec-TA'!$G$23</f>
        <v>1661573.7630132395</v>
      </c>
      <c r="K291" s="25">
        <f>'[145]Inversion rec-TA'!$G$46</f>
        <v>0</v>
      </c>
      <c r="L291" s="25">
        <f>+'[145]Costos Operativos Rec-TA'!$G$46</f>
        <v>0</v>
      </c>
      <c r="M291" s="19">
        <f t="shared" si="212"/>
        <v>-16567773.924079057</v>
      </c>
      <c r="N291" s="19"/>
      <c r="O291" s="25">
        <f>IF(((VLOOKUP($E291,Tabla13[],Inputs_costos!$I$1,FALSE))*(O$3*$E$3+O$4*$E$4)-AG291)&lt;0,0,VLOOKUP($E291,Tabla13[],Inputs_costos!$I$1,FALSE)*(O$3*$E$3+O$4*$E$4)-AG291)</f>
        <v>1719559.7856000001</v>
      </c>
      <c r="P291" s="25">
        <f>(VLOOKUP($E291,Tabla13[],Inputs_costos!$J$1,FALSE))*(P$3*$E$3+P$4*$E$4)</f>
        <v>488061.893408</v>
      </c>
      <c r="Q291" s="25"/>
      <c r="R291" s="25">
        <f>IF($AC291&gt;=15,(VLOOKUP($E291,Tabla13[],Inputs_costos!$G$1,FALSE))*($R$3*$E$3+$R$4*$E$4),(VLOOKUP($E291,Tabla13[],Inputs_costos!$G$1,FALSE))*($T$3*$E$3+$T$4*$E$4))-AH291</f>
        <v>8849178.912800001</v>
      </c>
      <c r="S291" s="25">
        <f t="shared" si="213"/>
        <v>815000</v>
      </c>
      <c r="T291" s="25">
        <f>IF($AC291&gt;=15,(VLOOKUP($E291,Tabla13[],Inputs_costos!$H$1,FALSE))*($R$3*$E$3+$R$4*$E$4),(VLOOKUP($E291,Tabla13[],Inputs_costos!$H$1,FALSE))*($T$3*$E$3+$T$4*$E$4))</f>
        <v>1641805.1089280001</v>
      </c>
      <c r="U291" s="465">
        <f>SUMIFS(Tabla24[Costo de Cierre Técnico de BCA (US$)],Tabla24[Localidad],Resumen!$D291)</f>
        <v>2650000</v>
      </c>
      <c r="V291" s="461">
        <f t="shared" ref="V291:V293" si="214">+U291*(V$3*$E$3+V$4*$E$4)</f>
        <v>5089172.3600000003</v>
      </c>
      <c r="W291" s="465">
        <f>SUMIFS(Tabla24[Costo anual de Manteniemiento Post-cierre (US$)],Tabla24[Localidad],Resumen!$D291)</f>
        <v>235282.40088185333</v>
      </c>
      <c r="X291" s="461">
        <f t="shared" ref="X291:X293" si="215">+W291*(X$3*$E$3+X$4*$E$4)</f>
        <v>451846.29862730851</v>
      </c>
      <c r="Y291" s="28">
        <f>VLOOKUP($D291,'Costo Social x localidad'!$B$2:$M$156,12,FALSE)*(Y$3*$E$3+Y$4*$E$4)</f>
        <v>49362.399102800009</v>
      </c>
      <c r="Z291" s="28">
        <f>VLOOKUP(D291,'Estimación  PRESUPUESTO PCAS'!$B$4:$G$158,'Estimación  PRESUPUESTO PCAS'!$G$2,FALSE)</f>
        <v>323468.15880018234</v>
      </c>
      <c r="AA291" s="650">
        <f>(-O291-R291)/(1+0.12)+PV(12%,20,P291)+PV(12%,20,T291)-(O291*0.5)/(1+0.12)^10-S291/(1+0.12)^10</f>
        <v>-25884529.641783349</v>
      </c>
      <c r="AB291" s="651">
        <f>M291+AA291</f>
        <v>-42452303.565862402</v>
      </c>
      <c r="AC291" s="10">
        <f>VLOOKUP($E291,Resumen_Generación!$B$5:$F$158,Resumen_Generación!$D$3,FALSE)</f>
        <v>26.598669040000004</v>
      </c>
      <c r="AD291" s="10">
        <f>VLOOKUP($E291,Resumen_Generación!$B$5:$G$158,Resumen_Generación!$G$3,FALSE)</f>
        <v>10.866213699999999</v>
      </c>
      <c r="AE291" s="362">
        <f>VLOOKUP($E291,Resumen_Generación!$B$5:$F$158,Resumen_Generación!$E$3,FALSE)</f>
        <v>33294</v>
      </c>
      <c r="AF291" s="10">
        <f>VLOOKUP($E291,Resumen_Generación!$B$5:$F$158,Resumen_Generación!$F$3,FALSE)</f>
        <v>12.279729</v>
      </c>
      <c r="AG291" s="448">
        <f>VLOOKUP($D291,Valoración_Equip_actual!$D$4:$I$157,Valoración_Equip_actual!$E$2,FALSE)*$E$4</f>
        <v>0</v>
      </c>
      <c r="AH291" s="448">
        <f>VLOOKUP($D291,Valoración_Equip_actual!$D$4:$I$157,Valoración_Equip_actual!$F$2,FALSE)*$E$4</f>
        <v>0</v>
      </c>
      <c r="AI291" s="448">
        <f>[145]P_Datos!$D$43</f>
        <v>0.78603278688524592</v>
      </c>
      <c r="AN291" s="34" t="str">
        <f>[145]Datos!$C$2</f>
        <v>Arrecifes</v>
      </c>
      <c r="AO291" s="25" t="str">
        <f>VLOOKUP($E291,Tabla13[],Inputs_costos!$D$1,FALSE)</f>
        <v>ARRECIFES</v>
      </c>
      <c r="AP291" s="28" t="str">
        <f>VLOOKUP($D291,'Costo Social x localidad'!$B$2:$M$156,1,FALSE)</f>
        <v>ARRECIFES</v>
      </c>
    </row>
    <row r="292" spans="1:42" ht="15" customHeight="1">
      <c r="A292" s="917"/>
      <c r="B292" s="887"/>
      <c r="C292" s="478" t="str">
        <f>IF(AND(D292=AN292,D292=AO292,D292=AP292),"ok","ATENCIÓN NO ESTÁ TOMANDO BIEN LA LOCALIDAD")</f>
        <v>ok</v>
      </c>
      <c r="D292" s="24" t="s">
        <v>217</v>
      </c>
      <c r="E292" s="115">
        <f>VLOOKUP(D292,Pobl_adoptada!$C$5:$D$158,2,FALSE)</f>
        <v>113</v>
      </c>
      <c r="F292" s="9" t="s">
        <v>308</v>
      </c>
      <c r="G292" s="9"/>
      <c r="H292" s="34">
        <f>'[146]Inversion rec-TA'!$G$21</f>
        <v>2686708.6762290802</v>
      </c>
      <c r="I292" s="34"/>
      <c r="J292" s="34">
        <f>'[146]Costos Operativos Rec-TA'!$G$23</f>
        <v>1191028.4764311931</v>
      </c>
      <c r="K292" s="25">
        <f>'[146]Inversion rec-TA'!$G$46</f>
        <v>0</v>
      </c>
      <c r="L292" s="25">
        <f>+'[146]Costos Operativos Rec-TA'!$G$46</f>
        <v>0</v>
      </c>
      <c r="M292" s="19">
        <f t="shared" si="212"/>
        <v>-12160215.380280759</v>
      </c>
      <c r="N292" s="19"/>
      <c r="O292" s="25">
        <f>IF(((VLOOKUP($E292,Tabla13[],Inputs_costos!$I$1,FALSE))*(O$3*$E$3+O$4*$E$4)-AG292)&lt;0,0,VLOOKUP($E292,Tabla13[],Inputs_costos!$I$1,FALSE)*(O$3*$E$3+O$4*$E$4)-AG292)</f>
        <v>1674483.9465600001</v>
      </c>
      <c r="P292" s="25">
        <f>(VLOOKUP($E292,Tabla13[],Inputs_costos!$J$1,FALSE))*(P$3*$E$3+P$4*$E$4)</f>
        <v>339571.32076800003</v>
      </c>
      <c r="Q292" s="25"/>
      <c r="R292" s="25">
        <f>IF($AC292&gt;=15,(VLOOKUP($E292,Tabla13[],Inputs_costos!$G$1,FALSE))*($R$3*$E$3+$R$4*$E$4),(VLOOKUP($E292,Tabla13[],Inputs_costos!$G$1,FALSE))*($T$3*$E$3+$T$4*$E$4))-AH292</f>
        <v>7520031.1216000002</v>
      </c>
      <c r="S292" s="25">
        <f t="shared" si="213"/>
        <v>815000</v>
      </c>
      <c r="T292" s="25">
        <f>IF($AC292&gt;=15,(VLOOKUP($E292,Tabla13[],Inputs_costos!$H$1,FALSE))*($R$3*$E$3+$R$4*$E$4),(VLOOKUP($E292,Tabla13[],Inputs_costos!$H$1,FALSE))*($T$3*$E$3+$T$4*$E$4))</f>
        <v>1688856.5679040002</v>
      </c>
      <c r="U292" s="465">
        <f>SUMIFS(Tabla24[Costo de Cierre Técnico de BCA (US$)],Tabla24[Localidad],Resumen!$D292)</f>
        <v>1187200</v>
      </c>
      <c r="V292" s="461">
        <f t="shared" si="214"/>
        <v>2279949.21728</v>
      </c>
      <c r="W292" s="465">
        <f>SUMIFS(Tabla24[Costo anual de Manteniemiento Post-cierre (US$)],Tabla24[Localidad],Resumen!$D292)</f>
        <v>105406.51559507028</v>
      </c>
      <c r="X292" s="461">
        <f t="shared" si="215"/>
        <v>202427.14178503418</v>
      </c>
      <c r="Y292" s="28">
        <f>VLOOKUP($D292,'Costo Social x localidad'!$B$2:$M$156,12,FALSE)*(Y$3*$E$3+Y$4*$E$4)</f>
        <v>33020.699803199997</v>
      </c>
      <c r="Z292" s="28">
        <f>VLOOKUP(D292,'Estimación  PRESUPUESTO PCAS'!$B$4:$G$158,'Estimación  PRESUPUESTO PCAS'!$G$2,FALSE)</f>
        <v>274284.1296166908</v>
      </c>
      <c r="AA292" s="650">
        <f>(-O292-R292)/(1+0.12)+PV(12%,20,P292)+PV(12%,20,T292)-(O292*0.5)/(1+0.12)^10-S292/(1+0.12)^10</f>
        <v>-23892593.909931608</v>
      </c>
      <c r="AB292" s="651">
        <f>M292+AA292</f>
        <v>-36052809.290212363</v>
      </c>
      <c r="AC292" s="10">
        <f>VLOOKUP($E292,Resumen_Generación!$B$5:$F$158,Resumen_Generación!$D$3,FALSE)</f>
        <v>18.487353152000004</v>
      </c>
      <c r="AD292" s="10">
        <f>VLOOKUP($E292,Resumen_Generación!$B$5:$G$158,Resumen_Generación!$G$3,FALSE)</f>
        <v>7.5172560599999994</v>
      </c>
      <c r="AE292" s="362">
        <f>VLOOKUP($E292,Resumen_Generación!$B$5:$F$158,Resumen_Generación!$E$3,FALSE)</f>
        <v>23114</v>
      </c>
      <c r="AF292" s="10">
        <f>VLOOKUP($E292,Resumen_Generación!$B$5:$F$158,Resumen_Generación!$F$3,FALSE)</f>
        <v>8.5437589999999997</v>
      </c>
      <c r="AG292" s="448">
        <f>VLOOKUP($D292,Valoración_Equip_actual!$D$4:$I$157,Valoración_Equip_actual!$E$2,FALSE)*$E$4</f>
        <v>0</v>
      </c>
      <c r="AH292" s="448">
        <f>VLOOKUP($D292,Valoración_Equip_actual!$D$4:$I$157,Valoración_Equip_actual!$F$2,FALSE)*$E$4</f>
        <v>0</v>
      </c>
      <c r="AI292" s="448">
        <f>[146]P_Datos!$D$43</f>
        <v>0.59803278688524597</v>
      </c>
      <c r="AN292" s="34" t="str">
        <f>[146]Datos!$C$2</f>
        <v>Rojas</v>
      </c>
      <c r="AO292" s="25" t="str">
        <f>VLOOKUP($E292,Tabla13[],Inputs_costos!$D$1,FALSE)</f>
        <v>ROJAS</v>
      </c>
      <c r="AP292" s="28" t="str">
        <f>VLOOKUP($D292,'Costo Social x localidad'!$B$2:$M$156,1,FALSE)</f>
        <v>ROJAS</v>
      </c>
    </row>
    <row r="293" spans="1:42" ht="15" customHeight="1" thickBot="1">
      <c r="A293" s="917"/>
      <c r="B293" s="887"/>
      <c r="C293" s="478" t="str">
        <f>IF(AND(D293=AN293,D293=AO293,D293=AP293),"ok","ATENCIÓN NO ESTÁ TOMANDO BIEN LA LOCALIDAD")</f>
        <v>ok</v>
      </c>
      <c r="D293" s="36" t="s">
        <v>205</v>
      </c>
      <c r="E293" s="511">
        <f>VLOOKUP(D293,Pobl_adoptada!$C$5:$D$158,2,FALSE)</f>
        <v>103</v>
      </c>
      <c r="F293" s="37" t="s">
        <v>308</v>
      </c>
      <c r="G293" s="37"/>
      <c r="H293" s="117">
        <f>'[147]Inversion rec-TA'!$G$21</f>
        <v>5508898.1529631335</v>
      </c>
      <c r="I293" s="117"/>
      <c r="J293" s="117">
        <f>'[147]Costos Operativos Rec-TA'!$G$23</f>
        <v>3228914.2735003131</v>
      </c>
      <c r="K293" s="25">
        <f>'[147]Inversion rec-TA'!$G$46</f>
        <v>0</v>
      </c>
      <c r="L293" s="25">
        <f>+'[147]Costos Operativos Rec-TA'!$G$46</f>
        <v>0</v>
      </c>
      <c r="M293" s="19">
        <f t="shared" si="212"/>
        <v>-30810569.967200991</v>
      </c>
      <c r="N293" s="19"/>
      <c r="O293" s="25">
        <f>IF(((VLOOKUP($E293,Tabla13[],Inputs_costos!$I$1,FALSE))*(O$3*$E$3+O$4*$E$4)-AG293)&lt;0,0,VLOOKUP($E293,Tabla13[],Inputs_costos!$I$1,FALSE)*(O$3*$E$3+O$4*$E$4)-AG293)</f>
        <v>1165228.7191400002</v>
      </c>
      <c r="P293" s="25">
        <f>(VLOOKUP($E293,Tabla13[],Inputs_costos!$J$1,FALSE))*(P$3*$E$3+P$4*$E$4)</f>
        <v>1119754.33072</v>
      </c>
      <c r="Q293" s="25"/>
      <c r="R293" s="25">
        <f>IF($AC293&gt;=15,(VLOOKUP($E293,Tabla13[],Inputs_costos!$G$1,FALSE))*($R$3*$E$3+$R$4*$E$4),(VLOOKUP($E293,Tabla13[],Inputs_costos!$G$1,FALSE))*($T$3*$E$3+$T$4*$E$4))-AH293</f>
        <v>16846272.320800003</v>
      </c>
      <c r="S293" s="25">
        <f t="shared" si="213"/>
        <v>815000</v>
      </c>
      <c r="T293" s="25">
        <f>IF($AC293&gt;=15,(VLOOKUP($E293,Tabla13[],Inputs_costos!$H$1,FALSE))*($R$3*$E$3+$R$4*$E$4),(VLOOKUP($E293,Tabla13[],Inputs_costos!$H$1,FALSE))*($T$3*$E$3+$T$4*$E$4))</f>
        <v>1360503.0027680001</v>
      </c>
      <c r="U293" s="465">
        <f>SUMIFS(Tabla24[Costo de Cierre Técnico de BCA (US$)],Tabla24[Localidad],Resumen!$D293)</f>
        <v>0</v>
      </c>
      <c r="V293" s="461">
        <f t="shared" si="214"/>
        <v>0</v>
      </c>
      <c r="W293" s="465">
        <f>SUMIFS(Tabla24[Costo anual de Manteniemiento Post-cierre (US$)],Tabla24[Localidad],Resumen!$D293)</f>
        <v>0</v>
      </c>
      <c r="X293" s="461">
        <f t="shared" si="215"/>
        <v>0</v>
      </c>
      <c r="Y293" s="447">
        <f>VLOOKUP($D293,'Costo Social x localidad'!$B$2:$M$156,12,FALSE)*(Y$3*$E$3+Y$4*$E$4)</f>
        <v>82901.497317120011</v>
      </c>
      <c r="Z293" s="28">
        <f>VLOOKUP(D293,'Estimación  PRESUPUESTO PCAS'!$B$4:$G$158,'Estimación  PRESUPUESTO PCAS'!$G$2,FALSE)</f>
        <v>426677.38991128921</v>
      </c>
      <c r="AA293" s="650">
        <f>(-O293-R293)/(1+0.12)+PV(12%,20,P293)+PV(12%,20,T293)-(O293*0.5)/(1+0.12)^10-S293/(1+0.12)^10</f>
        <v>-35057834.102259383</v>
      </c>
      <c r="AB293" s="651">
        <f>M293+AA293</f>
        <v>-65868404.069460377</v>
      </c>
      <c r="AC293" s="10">
        <f>VLOOKUP($E293,Resumen_Generación!$B$5:$F$158,Resumen_Generación!$D$3,FALSE)</f>
        <v>82.860197759999991</v>
      </c>
      <c r="AD293" s="10">
        <f>VLOOKUP($E293,Resumen_Generación!$B$5:$G$158,Resumen_Generación!$G$3,FALSE)</f>
        <v>33.687619049999995</v>
      </c>
      <c r="AE293" s="362">
        <f>VLOOKUP($E293,Resumen_Generación!$B$5:$F$158,Resumen_Generación!$E$3,FALSE)</f>
        <v>107657</v>
      </c>
      <c r="AF293" s="10">
        <f>VLOOKUP($E293,Resumen_Generación!$B$5:$F$158,Resumen_Generación!$F$3,FALSE)</f>
        <v>38.319309000000004</v>
      </c>
      <c r="AG293" s="448">
        <f>VLOOKUP($D293,Valoración_Equip_actual!$D$4:$I$157,Valoración_Equip_actual!$E$2,FALSE)*$E$4</f>
        <v>868377.96149999998</v>
      </c>
      <c r="AH293" s="448">
        <f>VLOOKUP($D293,Valoración_Equip_actual!$D$4:$I$157,Valoración_Equip_actual!$F$2,FALSE)*$E$4</f>
        <v>56088.160000000003</v>
      </c>
      <c r="AI293" s="448">
        <f>[147]P_Datos!$D$43</f>
        <v>2.5925901639344264</v>
      </c>
      <c r="AN293" s="34" t="str">
        <f>[147]Datos!$C$2</f>
        <v>Pergamino</v>
      </c>
      <c r="AO293" s="25" t="str">
        <f>VLOOKUP($E293,Tabla13[],Inputs_costos!$D$1,FALSE)</f>
        <v>PERGAMINO</v>
      </c>
      <c r="AP293" s="28" t="str">
        <f>VLOOKUP($D293,'Costo Social x localidad'!$B$2:$M$156,1,FALSE)</f>
        <v>PERGAMINO</v>
      </c>
    </row>
    <row r="294" spans="1:42" ht="15.75" thickBot="1">
      <c r="A294" s="917"/>
      <c r="B294" s="888"/>
      <c r="C294" s="510"/>
      <c r="D294" s="12" t="s">
        <v>8</v>
      </c>
      <c r="E294" s="40"/>
      <c r="F294" s="13"/>
      <c r="G294" s="8"/>
      <c r="H294" s="32">
        <f>SUM(H289:H293)</f>
        <v>18202490.486708451</v>
      </c>
      <c r="I294" s="32"/>
      <c r="J294" s="32">
        <f>SUM(J289:J293)</f>
        <v>9200951.7936655544</v>
      </c>
      <c r="K294" s="14"/>
      <c r="L294" s="14"/>
      <c r="M294" s="15">
        <f t="shared" ref="M294:T294" si="216">SUM(M289:M293)</f>
        <v>-90838929.137804464</v>
      </c>
      <c r="N294" s="15"/>
      <c r="O294" s="16">
        <f t="shared" si="216"/>
        <v>7970166.8112300001</v>
      </c>
      <c r="P294" s="16">
        <f t="shared" si="216"/>
        <v>2955713.6595200002</v>
      </c>
      <c r="Q294" s="16"/>
      <c r="R294" s="26">
        <f t="shared" si="216"/>
        <v>50818599.38880001</v>
      </c>
      <c r="S294" s="26"/>
      <c r="T294" s="26">
        <f t="shared" si="216"/>
        <v>7956301.048072001</v>
      </c>
      <c r="U294" s="26"/>
      <c r="V294" s="26">
        <f t="shared" ref="V294" si="217">SUM(V289:V293)</f>
        <v>9547287.34736</v>
      </c>
      <c r="W294" s="26"/>
      <c r="X294" s="26">
        <f t="shared" ref="X294:AA294" si="218">SUM(X289:X293)</f>
        <v>847663.65622483077</v>
      </c>
      <c r="Y294" s="26">
        <f t="shared" si="218"/>
        <v>263356.84354029334</v>
      </c>
      <c r="Z294" s="26">
        <f t="shared" si="218"/>
        <v>1587548.4383232426</v>
      </c>
      <c r="AA294" s="653">
        <f t="shared" si="218"/>
        <v>-136591779.6489442</v>
      </c>
      <c r="AB294" s="654">
        <f>+M294+AA294</f>
        <v>-227430708.78674865</v>
      </c>
      <c r="AC294" s="630">
        <f t="shared" ref="AC294:AI294" si="219">SUM(AC289:AC293)</f>
        <v>182.98410853600001</v>
      </c>
      <c r="AD294" s="630">
        <f t="shared" si="219"/>
        <v>74.662224329999987</v>
      </c>
      <c r="AE294" s="631">
        <f t="shared" si="219"/>
        <v>233037</v>
      </c>
      <c r="AF294" s="630">
        <f t="shared" si="219"/>
        <v>84.512889999999999</v>
      </c>
      <c r="AG294" s="630">
        <f t="shared" si="219"/>
        <v>906434.52860999992</v>
      </c>
      <c r="AH294" s="630">
        <f t="shared" si="219"/>
        <v>421632.5</v>
      </c>
      <c r="AI294" s="630">
        <f t="shared" si="219"/>
        <v>5.6019016393442627</v>
      </c>
      <c r="AJ294" s="4"/>
      <c r="AK294" s="4"/>
      <c r="AL294" s="4"/>
      <c r="AM294" s="4"/>
      <c r="AN294" s="4"/>
      <c r="AO294" s="4"/>
      <c r="AP294" s="4"/>
    </row>
    <row r="295" spans="1:42">
      <c r="A295" s="917"/>
      <c r="B295" s="886" t="s">
        <v>310</v>
      </c>
      <c r="C295" s="507" t="str">
        <f>IF(AND(D295=AN295,D295=AO295,D295=AP295),"ok","ATENCIÓN NO ESTÁ TOMANDO BIEN LA LOCALIDAD")</f>
        <v>ok</v>
      </c>
      <c r="D295" s="23" t="s">
        <v>223</v>
      </c>
      <c r="E295" s="114">
        <f>VLOOKUP(D295,Pobl_adoptada!$C$5:$D$158,2,FALSE)</f>
        <v>118</v>
      </c>
      <c r="F295" s="8" t="s">
        <v>308</v>
      </c>
      <c r="G295" s="576">
        <f>+'[148]Inversion rec-TA'!$G$21</f>
        <v>2911703.5242047952</v>
      </c>
      <c r="H295" s="577">
        <f>+($AC289/$AC294)*H300+G295</f>
        <v>3432570.3301986246</v>
      </c>
      <c r="I295" s="587">
        <f>+'[148]Costos Operativos Rec-TA'!$G$23</f>
        <v>1613782.4507592293</v>
      </c>
      <c r="J295" s="579">
        <f>+($AC289/$AC294)*J300+I295</f>
        <v>1624199.7868791057</v>
      </c>
      <c r="K295" s="10">
        <f>+'[148]Inversion rec-TA'!$G$46</f>
        <v>0</v>
      </c>
      <c r="L295" s="10">
        <f>+'[148]Costos Operativos Rec-TA'!$G$46</f>
        <v>0</v>
      </c>
      <c r="M295" s="19">
        <f t="shared" ref="M295:M299" si="220">-H295/(1+0.12)+PV(12%,20,J295)-H295/(1+0.12)^10</f>
        <v>-16301859.459454967</v>
      </c>
      <c r="N295" s="614">
        <f>+$AD289/$AD294*N301</f>
        <v>452617.09378190152</v>
      </c>
      <c r="O295" s="25">
        <f>IF(N295-AG295&lt;0,0,N295-AG295)</f>
        <v>414560.52667190152</v>
      </c>
      <c r="P295" s="32">
        <f>+$AD289/$AD294*P301</f>
        <v>200943.83958026578</v>
      </c>
      <c r="Q295" s="32">
        <f>+$AC289/$AC294*Q301</f>
        <v>5227808.1680501169</v>
      </c>
      <c r="R295" s="647">
        <f>IF(Q295-AH295&lt;0,0,Q295-AH295)</f>
        <v>4862263.828050117</v>
      </c>
      <c r="S295" s="647">
        <f>+S289</f>
        <v>815000</v>
      </c>
      <c r="T295" s="32">
        <f>+$AC289/$AC294*T301</f>
        <v>278768.03896050004</v>
      </c>
      <c r="U295" s="27"/>
      <c r="V295" s="461">
        <f>+V289</f>
        <v>0</v>
      </c>
      <c r="W295" s="27"/>
      <c r="X295" s="461">
        <f t="shared" ref="X295:Z296" si="221">+X289</f>
        <v>0</v>
      </c>
      <c r="Y295" s="27">
        <f t="shared" si="221"/>
        <v>52432.275286559998</v>
      </c>
      <c r="Z295" s="27">
        <f t="shared" si="221"/>
        <v>275812.5071370824</v>
      </c>
      <c r="AA295" s="650">
        <f>(-O295-R295)/(1+0.12)+PV(12%,20,P295)+PV(12%,20,T295)-(O295*0.5)/(1+0.12)^10-S295/(1+0.12)^10</f>
        <v>-8623778.0344856903</v>
      </c>
      <c r="AB295" s="651">
        <f>M295+AA295</f>
        <v>-24925637.493940659</v>
      </c>
      <c r="AG295" s="448">
        <f>VLOOKUP($D295,Valoración_Eq_REG!$D$4:$I$157,Valoración_Eq_REG!$E$2,FALSE)*$E$4</f>
        <v>38056.567109999996</v>
      </c>
      <c r="AH295" s="448">
        <f>VLOOKUP($D295,Valoración_Eq_REG!$D$4:$I$157,Valoración_Eq_REG!$F$2,FALSE)*$E$4</f>
        <v>365544.34</v>
      </c>
      <c r="AJ295" s="512">
        <f>+'[148]Evaluacion Economica'!$L$25</f>
        <v>3</v>
      </c>
      <c r="AK295" s="513">
        <f>+'[148]Evaluacion Economica'!$R$25</f>
        <v>19</v>
      </c>
      <c r="AL295" s="512">
        <f>+'[148]P_Evaluacion Economica'!$L$27</f>
        <v>3</v>
      </c>
      <c r="AM295" s="513">
        <f>+'[148]P_Evaluacion Economica'!$Q$27</f>
        <v>9</v>
      </c>
      <c r="AN295" s="34" t="str">
        <f>+[148]Datos!$C$2</f>
        <v>Salto</v>
      </c>
      <c r="AO295" s="25" t="str">
        <f>VLOOKUP($E295,Tabla13[],Inputs_costos!$D$1,FALSE)</f>
        <v>SALTO</v>
      </c>
      <c r="AP295" s="28" t="str">
        <f>VLOOKUP($D295,'Costo Social x localidad'!$B$2:$M$156,1,FALSE)</f>
        <v>SALTO</v>
      </c>
    </row>
    <row r="296" spans="1:42">
      <c r="A296" s="917"/>
      <c r="B296" s="887"/>
      <c r="C296" s="478" t="str">
        <f>IF(AND(D296=AN296,D296=AO296,D296=AP296),"ok","ATENCIÓN NO ESTÁ TOMANDO BIEN LA LOCALIDAD")</f>
        <v>ok</v>
      </c>
      <c r="D296" s="24" t="s">
        <v>140</v>
      </c>
      <c r="E296" s="115">
        <f>VLOOKUP(D296,Pobl_adoptada!$C$5:$D$158,2,FALSE)</f>
        <v>51</v>
      </c>
      <c r="F296" s="9" t="s">
        <v>308</v>
      </c>
      <c r="G296" s="580">
        <f>+'[149]Inversion rec-TA'!$G$21</f>
        <v>2848117.888535561</v>
      </c>
      <c r="H296" s="34">
        <f>+($AC290/$AC294)*H300+G296</f>
        <v>3232430.3635348007</v>
      </c>
      <c r="I296" s="465">
        <f>+'[149]Costos Operativos Rec-TA'!$G$23</f>
        <v>1562268.4501141631</v>
      </c>
      <c r="J296" s="581">
        <f>+($AC290/$AC294)*J300+I296</f>
        <v>1569954.6996141479</v>
      </c>
      <c r="K296" s="10">
        <f>+'[149]Inversion rec-TA'!$G$46</f>
        <v>0</v>
      </c>
      <c r="L296" s="10">
        <f>+'[149]Costos Operativos Rec-TA'!$G$46</f>
        <v>0</v>
      </c>
      <c r="M296" s="19">
        <f t="shared" si="220"/>
        <v>-15653542.726587743</v>
      </c>
      <c r="N296" s="465">
        <f>+$AD290/$AD294*N301</f>
        <v>331201.60976558103</v>
      </c>
      <c r="O296" s="25">
        <f>IF(N296-AG296&lt;0,0,N296-AG296)</f>
        <v>331201.60976558103</v>
      </c>
      <c r="P296" s="25">
        <f>+$AD290/$AD294*P301</f>
        <v>147040.23346835846</v>
      </c>
      <c r="Q296" s="25">
        <f>+$AC290/$AC294*Q301</f>
        <v>3857246.9444489456</v>
      </c>
      <c r="R296" s="647">
        <f>IF(Q296-AH296&lt;0,0,Q296-AH296)</f>
        <v>3857246.9444489456</v>
      </c>
      <c r="S296" s="647">
        <f t="shared" ref="S296:S299" si="222">+S290</f>
        <v>815000</v>
      </c>
      <c r="T296" s="25">
        <f>+$AC290/$AC294*T301</f>
        <v>205684.128400502</v>
      </c>
      <c r="U296" s="28"/>
      <c r="V296" s="461">
        <f>+V290</f>
        <v>2178165.7700800002</v>
      </c>
      <c r="W296" s="28"/>
      <c r="X296" s="461">
        <f t="shared" si="221"/>
        <v>193390.21581248805</v>
      </c>
      <c r="Y296" s="28">
        <f t="shared" si="221"/>
        <v>45639.972030613324</v>
      </c>
      <c r="Z296" s="28">
        <f t="shared" si="221"/>
        <v>287306.25285799766</v>
      </c>
      <c r="AA296" s="650">
        <f>(-O296-R296)/(1+0.12)+PV(12%,20,P296)+PV(12%,20,T296)-(O296*0.5)/(1+0.12)^10-S296/(1+0.12)^10</f>
        <v>-6690068.1599780452</v>
      </c>
      <c r="AB296" s="651">
        <f>M296+AA296</f>
        <v>-22343610.88656579</v>
      </c>
      <c r="AC296" s="10"/>
      <c r="AD296" s="10"/>
      <c r="AE296" s="362"/>
      <c r="AF296" s="10"/>
      <c r="AG296" s="448">
        <f>VLOOKUP($D296,Valoración_Eq_REG!$D$4:$I$157,Valoración_Eq_REG!$E$2,FALSE)*$E$4</f>
        <v>0</v>
      </c>
      <c r="AH296" s="448">
        <f>VLOOKUP($D296,Valoración_Eq_REG!$D$4:$I$157,Valoración_Eq_REG!$F$2,FALSE)*$E$4</f>
        <v>0</v>
      </c>
      <c r="AI296" s="10"/>
      <c r="AJ296" s="512">
        <f>+'[149]Evaluacion Economica'!$L$25</f>
        <v>3</v>
      </c>
      <c r="AK296" s="513">
        <f>+'[149]Evaluacion Economica'!$R$25</f>
        <v>17</v>
      </c>
      <c r="AL296" s="512">
        <f>+'[149]P_Evaluacion Economica'!$L$27</f>
        <v>3</v>
      </c>
      <c r="AM296" s="513">
        <f>+'[149]P_Evaluacion Economica'!$Q$27</f>
        <v>9</v>
      </c>
      <c r="AN296" s="34" t="str">
        <f>+[149]Datos!$C$2</f>
        <v>Colón</v>
      </c>
      <c r="AO296" s="25" t="str">
        <f>VLOOKUP($E296,Tabla13[],Inputs_costos!$D$1,FALSE)</f>
        <v>COLÓN</v>
      </c>
      <c r="AP296" s="28" t="str">
        <f>VLOOKUP($D296,'Costo Social x localidad'!$B$2:$M$156,1,FALSE)</f>
        <v>COLÓN</v>
      </c>
    </row>
    <row r="297" spans="1:42">
      <c r="A297" s="917"/>
      <c r="B297" s="887"/>
      <c r="C297" s="478" t="str">
        <f>IF(AND(D297=AN297,D297=AO297,D297=AP297),"ok","ATENCIÓN NO ESTÁ TOMANDO BIEN LA LOCALIDAD")</f>
        <v>ok</v>
      </c>
      <c r="D297" s="24" t="s">
        <v>118</v>
      </c>
      <c r="E297" s="115">
        <f>VLOOKUP(D297,Pobl_adoptada!$C$5:$D$158,2,FALSE)</f>
        <v>30</v>
      </c>
      <c r="F297" s="9" t="s">
        <v>308</v>
      </c>
      <c r="G297" s="580">
        <f>+'[150]Inversion rec-TA'!$G$21</f>
        <v>2998996.5482047955</v>
      </c>
      <c r="H297" s="34">
        <f>+($AC291/$AC294)*H300+G297</f>
        <v>3436450.9044025927</v>
      </c>
      <c r="I297" s="465">
        <f>+'[150]Costos Operativos Rec-TA'!$G$23</f>
        <v>1676632.0451414578</v>
      </c>
      <c r="J297" s="581">
        <f>+($AC291/$AC294)*J300+I297</f>
        <v>1685381.1322654136</v>
      </c>
      <c r="K297" s="10">
        <f>+'[150]Inversion rec-TA'!$G$46</f>
        <v>0</v>
      </c>
      <c r="L297" s="10">
        <f>+'[150]Costos Operativos Rec-TA'!$G$46</f>
        <v>0</v>
      </c>
      <c r="M297" s="19">
        <f t="shared" si="220"/>
        <v>-16763564.309111191</v>
      </c>
      <c r="N297" s="465">
        <f>+$AD291/$AD294*N301</f>
        <v>377012.54668069445</v>
      </c>
      <c r="O297" s="25">
        <f>IF(N297-AG297&lt;0,0,N297-AG297)</f>
        <v>377012.54668069445</v>
      </c>
      <c r="P297" s="25">
        <f>+$AD291/$AD294*P301</f>
        <v>167378.45242861708</v>
      </c>
      <c r="Q297" s="25">
        <f>+$AC291/$AC294*Q301</f>
        <v>4390618.5423285374</v>
      </c>
      <c r="R297" s="647">
        <f>IF(Q297-AH297&lt;0,0,Q297-AH297)</f>
        <v>4390618.5423285374</v>
      </c>
      <c r="S297" s="647">
        <f t="shared" si="222"/>
        <v>815000</v>
      </c>
      <c r="T297" s="25">
        <f>+$AC291/$AC294*T301</f>
        <v>234125.67590923162</v>
      </c>
      <c r="U297" s="458"/>
      <c r="V297" s="461">
        <f>+V291</f>
        <v>5089172.3600000003</v>
      </c>
      <c r="W297" s="28"/>
      <c r="X297" s="461">
        <f t="shared" ref="X297:Z297" si="223">+X291</f>
        <v>451846.29862730851</v>
      </c>
      <c r="Y297" s="28">
        <f t="shared" si="223"/>
        <v>49362.399102800009</v>
      </c>
      <c r="Z297" s="28">
        <f t="shared" si="223"/>
        <v>323468.15880018234</v>
      </c>
      <c r="AA297" s="650">
        <f>(-O297-R297)/(1+0.12)+PV(12%,20,P297)+PV(12%,20,T297)-(O297*0.5)/(1+0.12)^10-S297/(1+0.12)^10</f>
        <v>-7578928.0866504833</v>
      </c>
      <c r="AB297" s="651">
        <f>M297+AA297</f>
        <v>-24342492.395761676</v>
      </c>
      <c r="AC297" s="39"/>
      <c r="AD297" s="10"/>
      <c r="AE297" s="10"/>
      <c r="AF297" s="10"/>
      <c r="AG297" s="448">
        <f>VLOOKUP($D297,Valoración_Eq_REG!$D$4:$I$157,Valoración_Eq_REG!$E$2,FALSE)*$E$4</f>
        <v>0</v>
      </c>
      <c r="AH297" s="448">
        <f>VLOOKUP($D297,Valoración_Eq_REG!$D$4:$I$157,Valoración_Eq_REG!$F$2,FALSE)*$E$4</f>
        <v>0</v>
      </c>
      <c r="AI297" s="11"/>
      <c r="AJ297" s="484">
        <f>+'[150]Evaluacion Economica'!$L$25</f>
        <v>3</v>
      </c>
      <c r="AK297" s="448">
        <f>+'[150]Evaluacion Economica'!$R$25</f>
        <v>19</v>
      </c>
      <c r="AL297" s="484">
        <f>+'[150]P_Evaluacion Economica'!$L$27</f>
        <v>3</v>
      </c>
      <c r="AM297" s="448">
        <f>+'[150]P_Evaluacion Economica'!$Q$27</f>
        <v>9</v>
      </c>
      <c r="AN297" s="34" t="str">
        <f>+[150]Datos!$C$2</f>
        <v>Arrecifes</v>
      </c>
      <c r="AO297" s="25" t="str">
        <f>VLOOKUP($E297,Tabla13[],Inputs_costos!$D$1,FALSE)</f>
        <v>ARRECIFES</v>
      </c>
      <c r="AP297" s="28" t="str">
        <f>VLOOKUP($D297,'Costo Social x localidad'!$B$2:$M$156,1,FALSE)</f>
        <v>ARRECIFES</v>
      </c>
    </row>
    <row r="298" spans="1:42">
      <c r="A298" s="917"/>
      <c r="B298" s="887"/>
      <c r="C298" s="478" t="str">
        <f>IF(AND(D298=AN298,D298=AO298,D298=AP298),"ok","ATENCIÓN NO ESTÁ TOMANDO BIEN LA LOCALIDAD")</f>
        <v>ok</v>
      </c>
      <c r="D298" s="24" t="s">
        <v>217</v>
      </c>
      <c r="E298" s="115">
        <f>VLOOKUP(D298,Pobl_adoptada!$C$5:$D$158,2,FALSE)</f>
        <v>113</v>
      </c>
      <c r="F298" s="9" t="s">
        <v>308</v>
      </c>
      <c r="G298" s="580">
        <f>+'[151]Inversion rec-TA'!$G$21</f>
        <v>2443077.86596988</v>
      </c>
      <c r="H298" s="34">
        <f>+($AC292/$AC294)*H300+G298</f>
        <v>2747129.6649056617</v>
      </c>
      <c r="I298" s="465">
        <f>+'[151]Costos Operativos Rec-TA'!$G$23</f>
        <v>1268697.9158133767</v>
      </c>
      <c r="J298" s="581">
        <f>+($AC292/$AC294)*J300+I298</f>
        <v>1274778.9517920923</v>
      </c>
      <c r="K298" s="10">
        <f>+'[151]Inversion rec-TA'!$G$46</f>
        <v>0</v>
      </c>
      <c r="L298" s="10">
        <f>+'[151]Costos Operativos Rec-TA'!$G$46</f>
        <v>0</v>
      </c>
      <c r="M298" s="19">
        <f t="shared" si="220"/>
        <v>-12859186.087100219</v>
      </c>
      <c r="N298" s="465">
        <f>+$AD292/$AD294*N301</f>
        <v>260817.60670982228</v>
      </c>
      <c r="O298" s="25">
        <f>IF(N298-AG298&lt;0,0,N298-AG298)</f>
        <v>260817.60670982228</v>
      </c>
      <c r="P298" s="25">
        <f>+$AD292/$AD294*P301</f>
        <v>115792.55852776421</v>
      </c>
      <c r="Q298" s="25">
        <f>+$AC292/$AC294*Q301</f>
        <v>3051690.8731666054</v>
      </c>
      <c r="R298" s="647">
        <f>IF(Q298-AH298&lt;0,0,Q298-AH298)</f>
        <v>3051690.8731666054</v>
      </c>
      <c r="S298" s="647">
        <f t="shared" si="222"/>
        <v>815000</v>
      </c>
      <c r="T298" s="25">
        <f>+$AC292/$AC294*T301</f>
        <v>162728.59540360913</v>
      </c>
      <c r="V298" s="461">
        <f>+V292</f>
        <v>2279949.21728</v>
      </c>
      <c r="W298" s="25"/>
      <c r="X298" s="461">
        <f t="shared" ref="X298:Z298" si="224">+X292</f>
        <v>202427.14178503418</v>
      </c>
      <c r="Y298" s="28">
        <f t="shared" si="224"/>
        <v>33020.699803199997</v>
      </c>
      <c r="Z298" s="28">
        <f t="shared" si="224"/>
        <v>274284.1296166908</v>
      </c>
      <c r="AA298" s="650">
        <f>(-O298-R298)/(1+0.12)+PV(12%,20,P298)+PV(12%,20,T298)-(O298*0.5)/(1+0.12)^10-S298/(1+0.12)^10</f>
        <v>-5342391.2468231032</v>
      </c>
      <c r="AB298" s="651">
        <f>M298+AA298</f>
        <v>-18201577.333923321</v>
      </c>
      <c r="AC298" s="10"/>
      <c r="AD298" s="10"/>
      <c r="AE298" s="10"/>
      <c r="AF298" s="10"/>
      <c r="AG298" s="448">
        <f>VLOOKUP($D298,Valoración_Eq_REG!$D$4:$I$157,Valoración_Eq_REG!$E$2,FALSE)*$E$4</f>
        <v>0</v>
      </c>
      <c r="AH298" s="448">
        <f>VLOOKUP($D298,Valoración_Eq_REG!$D$4:$I$157,Valoración_Eq_REG!$F$2,FALSE)*$E$4</f>
        <v>0</v>
      </c>
      <c r="AI298" s="2"/>
      <c r="AJ298" s="484">
        <f>+'[151]Evaluacion Economica'!$L$25</f>
        <v>3</v>
      </c>
      <c r="AK298" s="448">
        <f>+'[151]Evaluacion Economica'!$R$25</f>
        <v>24</v>
      </c>
      <c r="AL298" s="484">
        <f>+'[151]P_Evaluacion Economica'!$L$27</f>
        <v>2</v>
      </c>
      <c r="AM298" s="448">
        <f>+'[151]P_Evaluacion Economica'!$Q$27</f>
        <v>6</v>
      </c>
      <c r="AN298" s="34" t="str">
        <f>+[151]Datos!$C$2</f>
        <v>Rojas</v>
      </c>
      <c r="AO298" s="25" t="str">
        <f>VLOOKUP($E298,Tabla13[],Inputs_costos!$D$1,FALSE)</f>
        <v>ROJAS</v>
      </c>
      <c r="AP298" s="28" t="str">
        <f>VLOOKUP($D298,'Costo Social x localidad'!$B$2:$M$156,1,FALSE)</f>
        <v>ROJAS</v>
      </c>
    </row>
    <row r="299" spans="1:42" ht="15.75" thickBot="1">
      <c r="A299" s="917"/>
      <c r="B299" s="887"/>
      <c r="C299" s="478" t="str">
        <f>IF(AND(D299=AN299,D299=AO299,D299=AP299),"ok","ATENCIÓN NO ESTÁ TOMANDO BIEN LA LOCALIDAD")</f>
        <v>ok</v>
      </c>
      <c r="D299" s="36" t="s">
        <v>205</v>
      </c>
      <c r="E299" s="115">
        <f>VLOOKUP(D299,Pobl_adoptada!$C$5:$D$158,2,FALSE)</f>
        <v>103</v>
      </c>
      <c r="F299" s="9" t="s">
        <v>308</v>
      </c>
      <c r="G299" s="580">
        <f>+'[152]Inversion rec-TA'!$G$21</f>
        <v>5185510.6885318784</v>
      </c>
      <c r="H299" s="34">
        <f>+($AC293/$AC294)*H300+G299</f>
        <v>6548268.8931252221</v>
      </c>
      <c r="I299" s="465">
        <f>+'[152]Costos Operativos Rec-TA'!$G$23</f>
        <v>3329915.6053165519</v>
      </c>
      <c r="J299" s="581">
        <f>+($AC293/$AC294)*J300+I299</f>
        <v>3357170.7694084188</v>
      </c>
      <c r="K299" s="10">
        <f>+'[152]Inversion rec-TA'!$G$46</f>
        <v>0</v>
      </c>
      <c r="L299" s="10">
        <f>+'[152]Costos Operativos Rec-TA'!$G$46</f>
        <v>0</v>
      </c>
      <c r="M299" s="19">
        <f t="shared" si="220"/>
        <v>-33031233.783498481</v>
      </c>
      <c r="N299" s="465">
        <f>+$AD293/$AD294*N301</f>
        <v>1168820.6582620011</v>
      </c>
      <c r="O299" s="25">
        <f>IF(N299-AG299&lt;0,0,N299-AG299)</f>
        <v>300442.69676200114</v>
      </c>
      <c r="P299" s="25">
        <f>+$AD293/$AD294*P301</f>
        <v>518909.50226699468</v>
      </c>
      <c r="Q299" s="25">
        <f>+$AC293/$AC294*Q301</f>
        <v>13677658.839205796</v>
      </c>
      <c r="R299" s="647">
        <f>IF(Q299-AH299&lt;0,0,Q299-AH299)</f>
        <v>13621570.679205796</v>
      </c>
      <c r="S299" s="647">
        <f t="shared" si="222"/>
        <v>815000</v>
      </c>
      <c r="T299" s="25">
        <f>+$AC293/$AC294*T301</f>
        <v>729348.51655015734</v>
      </c>
      <c r="U299" s="29"/>
      <c r="V299" s="461">
        <f>+V293</f>
        <v>0</v>
      </c>
      <c r="W299" s="25"/>
      <c r="X299" s="461">
        <f t="shared" ref="X299:Z299" si="225">+X293</f>
        <v>0</v>
      </c>
      <c r="Y299" s="28">
        <f t="shared" si="225"/>
        <v>82901.497317120011</v>
      </c>
      <c r="Z299" s="28">
        <f t="shared" si="225"/>
        <v>426677.38991128921</v>
      </c>
      <c r="AA299" s="650">
        <f>(-O299-R299)/(1+0.12)+PV(12%,20,P299)+PV(12%,20,T299)-(O299*0.5)/(1+0.12)^10-S299/(1+0.12)^10</f>
        <v>-22064937.427419771</v>
      </c>
      <c r="AB299" s="651">
        <f>M299+AA299</f>
        <v>-55096171.210918248</v>
      </c>
      <c r="AC299" s="10"/>
      <c r="AD299" s="10"/>
      <c r="AE299" s="10"/>
      <c r="AF299" s="10"/>
      <c r="AG299" s="448">
        <f>VLOOKUP($D299,Valoración_Eq_REG!$D$4:$I$157,Valoración_Eq_REG!$E$2,FALSE)*$E$4</f>
        <v>868377.96149999998</v>
      </c>
      <c r="AH299" s="448">
        <f>VLOOKUP($D299,Valoración_Eq_REG!$D$4:$I$157,Valoración_Eq_REG!$F$2,FALSE)*$E$4</f>
        <v>56088.160000000003</v>
      </c>
      <c r="AI299" s="2"/>
      <c r="AJ299" s="484">
        <f>+'[152]Evaluacion Economica'!$L$25</f>
        <v>5</v>
      </c>
      <c r="AK299" s="448">
        <f>+'[152]Evaluacion Economica'!$R$25</f>
        <v>15</v>
      </c>
      <c r="AL299" s="484">
        <f>+'[152]P_Evaluacion Economica'!$L$27</f>
        <v>4</v>
      </c>
      <c r="AM299" s="448">
        <f>+'[152]P_Evaluacion Economica'!$Q$27</f>
        <v>15</v>
      </c>
      <c r="AN299" s="34" t="str">
        <f>+[152]Datos!$C$2</f>
        <v>Pergamino</v>
      </c>
      <c r="AO299" s="25" t="str">
        <f>VLOOKUP($E299,Tabla13[],Inputs_costos!$D$1,FALSE)</f>
        <v>PERGAMINO</v>
      </c>
      <c r="AP299" s="28" t="str">
        <f>VLOOKUP($D299,'Costo Social x localidad'!$B$2:$M$156,1,FALSE)</f>
        <v>PERGAMINO</v>
      </c>
    </row>
    <row r="300" spans="1:42" ht="30.75" thickBot="1">
      <c r="A300" s="917"/>
      <c r="B300" s="887"/>
      <c r="C300" s="912" t="s">
        <v>12</v>
      </c>
      <c r="D300" s="913"/>
      <c r="E300" s="498" t="s">
        <v>589</v>
      </c>
      <c r="F300" s="571">
        <f>+F283</f>
        <v>0.02</v>
      </c>
      <c r="G300" s="582"/>
      <c r="H300" s="461">
        <f>+AJ300*AJ302+AL300*AL302</f>
        <v>3009443.6407199912</v>
      </c>
      <c r="I300" s="461"/>
      <c r="J300" s="583">
        <f>+$F300*H300</f>
        <v>60188.872814399823</v>
      </c>
      <c r="K300" s="10"/>
      <c r="L300" s="10"/>
      <c r="M300" s="19"/>
      <c r="N300" s="465"/>
      <c r="O300" s="10"/>
      <c r="P300" s="10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658"/>
      <c r="AB300" s="20"/>
      <c r="AC300" s="10"/>
      <c r="AD300" s="10"/>
      <c r="AE300" s="10"/>
      <c r="AF300" s="10"/>
      <c r="AG300" s="4"/>
      <c r="AH300" s="4"/>
      <c r="AI300" s="4"/>
      <c r="AJ300" s="501">
        <f>ROUNDUP(C301*SUM(AJ295:AJ299),0)</f>
        <v>6</v>
      </c>
      <c r="AK300" s="502">
        <f>AVERAGE(AK295:AK299)</f>
        <v>18.8</v>
      </c>
      <c r="AL300" s="501">
        <f>ROUNDUP(C301*SUM(AL295:AL299),0)</f>
        <v>5</v>
      </c>
      <c r="AM300" s="502">
        <f>AVERAGE(AM295:AM299)</f>
        <v>9.6</v>
      </c>
      <c r="AN300" s="4"/>
      <c r="AO300" s="4"/>
      <c r="AP300" s="4"/>
    </row>
    <row r="301" spans="1:42" ht="15.75" thickBot="1">
      <c r="A301" s="918"/>
      <c r="B301" s="888"/>
      <c r="C301" s="570">
        <v>0.3</v>
      </c>
      <c r="D301" s="500" t="str">
        <f>A289</f>
        <v>REGIÓN PERGAMINO</v>
      </c>
      <c r="E301" s="468"/>
      <c r="F301" s="469"/>
      <c r="G301" s="584"/>
      <c r="H301" s="585">
        <f>SUM(H295:H299)</f>
        <v>19396850.156166904</v>
      </c>
      <c r="I301" s="585"/>
      <c r="J301" s="586">
        <f>SUM(J295:J299)</f>
        <v>9511485.3399591781</v>
      </c>
      <c r="K301" s="14"/>
      <c r="L301" s="14"/>
      <c r="M301" s="15">
        <f>SUM(M295:M300)</f>
        <v>-94609386.365752608</v>
      </c>
      <c r="N301" s="615">
        <f>(VLOOKUP($E295,Tabla13[],Inputs_costos!$P$1,FALSE))*(O$3*$E$3+O$4*$E$4)</f>
        <v>2590469.5152000003</v>
      </c>
      <c r="O301" s="35">
        <f>SUM(O295:O299)</f>
        <v>1684034.9865900006</v>
      </c>
      <c r="P301" s="35">
        <f>(VLOOKUP($E295,Tabla13[],Inputs_costos!$Q$1,FALSE))*(P$3*$E$3+P$4*$E$4)</f>
        <v>1150064.5862720001</v>
      </c>
      <c r="Q301" s="35">
        <f>IF($AC294&gt;=15,(VLOOKUP($E295,Tabla13[],Inputs_costos!$N$1,FALSE))*($R$3*$E$3+$R$4*$E$4),(VLOOKUP($E295,Tabla13[],Inputs_costos!$N$1,FALSE))*($T$3*$E$3+$T$4*$E$4))</f>
        <v>30205023.367200002</v>
      </c>
      <c r="R301" s="35">
        <f>SUM(R295:R299)</f>
        <v>29783390.867200002</v>
      </c>
      <c r="S301" s="35"/>
      <c r="T301" s="35">
        <f>IF($AC294&gt;=15,(VLOOKUP($E295,Tabla13[],Inputs_costos!$O$1,FALSE))*($R$3*$E$3+$R$4*$E$4),(VLOOKUP($E295,Tabla13[],Inputs_costos!$O$1,FALSE))*($T$3*$E$3+$T$4*$E$4))</f>
        <v>1610654.9552240002</v>
      </c>
      <c r="U301" s="35"/>
      <c r="V301" s="31">
        <f>SUM(V295:V299)</f>
        <v>9547287.34736</v>
      </c>
      <c r="W301" s="31"/>
      <c r="X301" s="31">
        <f>SUM(X295:X299)</f>
        <v>847663.65622483077</v>
      </c>
      <c r="Y301" s="31">
        <f>SUM(Y295:Y299)</f>
        <v>263356.84354029334</v>
      </c>
      <c r="Z301" s="31">
        <f>SUM(Z295:Z299)</f>
        <v>1587548.4383232426</v>
      </c>
      <c r="AA301" s="657">
        <f>SUM(AA295:AA299)</f>
        <v>-50300102.95535709</v>
      </c>
      <c r="AB301" s="654">
        <f>+M301+AA301</f>
        <v>-144909489.32110971</v>
      </c>
      <c r="AC301" s="38"/>
      <c r="AD301" s="38"/>
      <c r="AE301" s="38"/>
      <c r="AF301" s="38"/>
      <c r="AG301" s="4"/>
      <c r="AH301" s="4"/>
      <c r="AI301" s="4"/>
      <c r="AJ301" s="11"/>
      <c r="AK301" s="499">
        <f>VLOOKUP(ROUNDUP(AK300,0),DATOS!$F$16:$G$31,2,FALSE)</f>
        <v>19</v>
      </c>
      <c r="AL301" s="497"/>
      <c r="AM301" s="499">
        <f>VLOOKUP(ROUNDUP(AM300,0),DATOS!$J$16:$K$34,2,FALSE)</f>
        <v>12</v>
      </c>
      <c r="AN301" s="4"/>
      <c r="AO301" s="4"/>
      <c r="AP301" s="4"/>
    </row>
    <row r="302" spans="1:42">
      <c r="F302" s="2"/>
      <c r="G302" s="2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0"/>
      <c r="V302" s="2"/>
      <c r="W302" s="2"/>
      <c r="X302" s="2"/>
      <c r="Y302" s="2"/>
      <c r="Z302" s="2"/>
      <c r="AA302" s="4"/>
      <c r="AB302" s="4"/>
      <c r="AC302" s="4"/>
      <c r="AD302" s="4"/>
      <c r="AE302" s="4"/>
      <c r="AF302" s="4"/>
      <c r="AG302" s="448"/>
      <c r="AH302" s="448"/>
      <c r="AI302" s="4"/>
      <c r="AJ302" s="892">
        <f>VLOOKUP(AK301,DATOS!$F$3:$H$11,3,FALSE)</f>
        <v>290380.11931999854</v>
      </c>
      <c r="AK302" s="892"/>
      <c r="AL302" s="892">
        <f>VLOOKUP(AM301,DATOS!$J$3:$L$12,3,FALSE)</f>
        <v>253432.58496000001</v>
      </c>
      <c r="AM302" s="892"/>
      <c r="AN302" s="4"/>
      <c r="AO302" s="4"/>
      <c r="AP302" s="4"/>
    </row>
    <row r="303" spans="1:42" ht="15.75" thickBot="1">
      <c r="A303" s="503"/>
      <c r="B303" s="503"/>
      <c r="C303" s="503"/>
      <c r="D303" s="503"/>
      <c r="E303" s="503"/>
      <c r="F303" s="504"/>
      <c r="G303" s="504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6"/>
      <c r="AB303" s="506"/>
      <c r="AC303" s="506"/>
      <c r="AD303" s="506"/>
      <c r="AE303" s="506"/>
      <c r="AF303" s="506"/>
      <c r="AG303" s="506"/>
      <c r="AH303" s="506"/>
      <c r="AI303" s="506"/>
      <c r="AJ303" s="506"/>
      <c r="AK303" s="506"/>
      <c r="AL303" s="506"/>
      <c r="AM303" s="506"/>
      <c r="AN303" s="506"/>
      <c r="AO303" s="506"/>
      <c r="AP303" s="506"/>
    </row>
    <row r="304" spans="1:42" ht="39" thickBot="1">
      <c r="A304" s="886" t="s">
        <v>7</v>
      </c>
      <c r="B304" s="886" t="s">
        <v>2</v>
      </c>
      <c r="C304" s="508"/>
      <c r="D304" s="882" t="s">
        <v>22</v>
      </c>
      <c r="E304" s="882" t="s">
        <v>23</v>
      </c>
      <c r="F304" s="882" t="s">
        <v>3</v>
      </c>
      <c r="G304" s="574"/>
      <c r="H304" s="879" t="s">
        <v>0</v>
      </c>
      <c r="I304" s="880"/>
      <c r="J304" s="881"/>
      <c r="K304" s="879" t="s">
        <v>1</v>
      </c>
      <c r="L304" s="881"/>
      <c r="M304" s="886" t="s">
        <v>10</v>
      </c>
      <c r="N304" s="879" t="s">
        <v>5</v>
      </c>
      <c r="O304" s="880"/>
      <c r="P304" s="881"/>
      <c r="Q304" s="902" t="s">
        <v>4</v>
      </c>
      <c r="R304" s="903"/>
      <c r="S304" s="903"/>
      <c r="T304" s="904"/>
      <c r="U304" s="902" t="s">
        <v>6</v>
      </c>
      <c r="V304" s="903"/>
      <c r="W304" s="903"/>
      <c r="X304" s="904"/>
      <c r="Y304" s="390" t="s">
        <v>689</v>
      </c>
      <c r="Z304" s="662" t="s">
        <v>690</v>
      </c>
      <c r="AA304" s="905" t="s">
        <v>686</v>
      </c>
      <c r="AB304" s="886" t="s">
        <v>9</v>
      </c>
      <c r="AC304" s="907" t="s">
        <v>312</v>
      </c>
      <c r="AD304" s="914" t="s">
        <v>649</v>
      </c>
      <c r="AE304" s="897" t="s">
        <v>20</v>
      </c>
      <c r="AF304" s="897" t="s">
        <v>313</v>
      </c>
      <c r="AG304" s="899" t="s">
        <v>552</v>
      </c>
      <c r="AH304" s="926" t="s">
        <v>578</v>
      </c>
      <c r="AI304" s="882" t="s">
        <v>579</v>
      </c>
      <c r="AJ304" s="882" t="s">
        <v>581</v>
      </c>
      <c r="AK304" s="882" t="s">
        <v>582</v>
      </c>
      <c r="AL304" s="882" t="s">
        <v>581</v>
      </c>
      <c r="AM304" s="882" t="s">
        <v>582</v>
      </c>
      <c r="AN304" s="884" t="s">
        <v>553</v>
      </c>
      <c r="AO304" s="928"/>
      <c r="AP304" s="928"/>
    </row>
    <row r="305" spans="1:42" ht="30.75" thickBot="1">
      <c r="A305" s="888"/>
      <c r="B305" s="888"/>
      <c r="C305" s="509"/>
      <c r="D305" s="883"/>
      <c r="E305" s="883"/>
      <c r="F305" s="883"/>
      <c r="G305" s="569"/>
      <c r="H305" s="17" t="s">
        <v>18</v>
      </c>
      <c r="I305" s="17"/>
      <c r="J305" s="17" t="s">
        <v>17</v>
      </c>
      <c r="K305" s="17" t="s">
        <v>18</v>
      </c>
      <c r="L305" s="17" t="s">
        <v>17</v>
      </c>
      <c r="M305" s="888"/>
      <c r="N305" s="464" t="s">
        <v>685</v>
      </c>
      <c r="O305" s="17" t="s">
        <v>18</v>
      </c>
      <c r="P305" s="17" t="s">
        <v>17</v>
      </c>
      <c r="Q305" s="464" t="s">
        <v>685</v>
      </c>
      <c r="R305" s="17" t="s">
        <v>18</v>
      </c>
      <c r="S305" s="17"/>
      <c r="T305" s="17" t="s">
        <v>17</v>
      </c>
      <c r="U305" s="464" t="s">
        <v>576</v>
      </c>
      <c r="V305" s="17" t="s">
        <v>18</v>
      </c>
      <c r="W305" s="464" t="s">
        <v>577</v>
      </c>
      <c r="X305" s="17" t="s">
        <v>17</v>
      </c>
      <c r="Y305" s="17" t="s">
        <v>18</v>
      </c>
      <c r="Z305" s="17" t="s">
        <v>17</v>
      </c>
      <c r="AA305" s="906"/>
      <c r="AB305" s="888"/>
      <c r="AC305" s="908"/>
      <c r="AD305" s="915"/>
      <c r="AE305" s="898"/>
      <c r="AF305" s="898"/>
      <c r="AG305" s="900"/>
      <c r="AH305" s="927"/>
      <c r="AI305" s="883"/>
      <c r="AJ305" s="883"/>
      <c r="AK305" s="883"/>
      <c r="AL305" s="883"/>
      <c r="AM305" s="883"/>
      <c r="AN305" s="1" t="s">
        <v>551</v>
      </c>
      <c r="AO305" s="9" t="s">
        <v>554</v>
      </c>
      <c r="AP305" s="1" t="s">
        <v>555</v>
      </c>
    </row>
    <row r="306" spans="1:42">
      <c r="A306" s="916" t="s">
        <v>610</v>
      </c>
      <c r="B306" s="886" t="s">
        <v>309</v>
      </c>
      <c r="C306" s="507" t="str">
        <f>IF(AND(D306=AN306,D306=AO306,D306=AP306),"ok","ATENCIÓN NO ESTÁ TOMANDO BIEN LA LOCALIDAD")</f>
        <v>ok</v>
      </c>
      <c r="D306" s="23" t="s">
        <v>213</v>
      </c>
      <c r="E306" s="114">
        <f>VLOOKUP(D306,Pobl_adoptada!$C$5:$D$158,2,FALSE)</f>
        <v>110</v>
      </c>
      <c r="F306" s="8" t="s">
        <v>308</v>
      </c>
      <c r="G306" s="8"/>
      <c r="H306" s="33">
        <f>'[153]Inversion rec-TA'!$G$21</f>
        <v>2287756.6087098252</v>
      </c>
      <c r="I306" s="33"/>
      <c r="J306" s="33">
        <f>'[153]Costos Operativos Rec-TA'!$G$23</f>
        <v>951668.13238528091</v>
      </c>
      <c r="K306" s="32">
        <f>'[153]Inversion rec-TA'!$G$46</f>
        <v>0</v>
      </c>
      <c r="L306" s="32">
        <f>+'[153]Costos Operativos Rec-TA'!$G$46</f>
        <v>0</v>
      </c>
      <c r="M306" s="19">
        <f t="shared" ref="M306:M308" si="226">-H306/(1+0.12)+PV(12%,20,J306)-H306/(1+0.12)^10</f>
        <v>-9887667.6929642446</v>
      </c>
      <c r="N306" s="19"/>
      <c r="O306" s="25">
        <f>IF(((VLOOKUP($E306,Tabla13[],Inputs_costos!$I$1,FALSE))*(O$3*$E$3+O$4*$E$4)-AG306)&lt;0,0,VLOOKUP($E306,Tabla13[],Inputs_costos!$I$1,FALSE)*(O$3*$E$3+O$4*$E$4)-AG306)</f>
        <v>359159.83353599999</v>
      </c>
      <c r="P306" s="25">
        <f>(VLOOKUP($E306,Tabla13[],Inputs_costos!$J$1,FALSE))*(P$3*$E$3+P$4*$E$4)</f>
        <v>26127.3549570752</v>
      </c>
      <c r="Q306" s="25"/>
      <c r="R306" s="25">
        <f>IF($AC306&gt;=15,(VLOOKUP($E306,Tabla13[],Inputs_costos!$G$1,FALSE))*($R$3*$E$3+$R$4*$E$4),(VLOOKUP($E306,Tabla13[],Inputs_costos!$G$1,FALSE))*($T$3*$E$3+$T$4*$E$4))-AH306</f>
        <v>6940276.6152000008</v>
      </c>
      <c r="S306" s="25">
        <f t="shared" ref="S306:S308" si="227">IF(AC306&lt;15,0,IF(AC306&lt;=350,815000,1345000))</f>
        <v>815000</v>
      </c>
      <c r="T306" s="25">
        <f>IF($AC306&gt;=15,(VLOOKUP($E306,Tabla13[],Inputs_costos!$H$1,FALSE))*($R$3*$E$3+$R$4*$E$4),(VLOOKUP($E306,Tabla13[],Inputs_costos!$H$1,FALSE))*($T$3*$E$3+$T$4*$E$4))</f>
        <v>1950864.5932240002</v>
      </c>
      <c r="U306" s="465">
        <f>SUMIFS(Tabla24[Costo de Cierre Técnico de BCA (US$)],Tabla24[Localidad],Resumen!$D306)</f>
        <v>1950400</v>
      </c>
      <c r="V306" s="461">
        <f>+U306*(V$3*$E$3+V$4*$E$4)</f>
        <v>3745630.85696</v>
      </c>
      <c r="W306" s="465">
        <f>SUMIFS(Tabla24[Costo anual de Manteniemiento Post-cierre (US$)],Tabla24[Localidad],Resumen!$D306)</f>
        <v>173167.84704904404</v>
      </c>
      <c r="X306" s="461">
        <f>+W306*(X$3*$E$3+X$4*$E$4)</f>
        <v>332558.87578969903</v>
      </c>
      <c r="Y306" s="27">
        <f>VLOOKUP($D306,'Costo Social x localidad'!$B$2:$M$156,12,FALSE)*(Y$3*$E$3+Y$4*$E$4)</f>
        <v>73772.198126293326</v>
      </c>
      <c r="Z306" s="28">
        <f>VLOOKUP(D306,'Estimación  PRESUPUESTO PCAS'!$B$4:$G$158,'Estimación  PRESUPUESTO PCAS'!$G$2,FALSE)</f>
        <v>266000.63914405822</v>
      </c>
      <c r="AA306" s="650">
        <f>(-O306-R306)/(1+0.12)+PV(12%,20,P306)+PV(12%,20,T306)-(O306*0.5)/(1+0.12)^10-S306/(1+0.12)^10</f>
        <v>-21604611.98962374</v>
      </c>
      <c r="AB306" s="651">
        <f>M306+AA306</f>
        <v>-31492279.682587985</v>
      </c>
      <c r="AC306" s="10">
        <f>VLOOKUP($E306,Resumen_Generación!$B$5:$F$158,Resumen_Generación!$D$3,FALSE)</f>
        <v>15.19791324</v>
      </c>
      <c r="AD306" s="10">
        <f>VLOOKUP($E306,Resumen_Generación!$B$5:$G$158,Resumen_Generación!$G$3,FALSE)</f>
        <v>6.2561809499999992</v>
      </c>
      <c r="AE306" s="362">
        <f>VLOOKUP($E306,Resumen_Generación!$B$5:$F$158,Resumen_Generación!$E$3,FALSE)</f>
        <v>19059</v>
      </c>
      <c r="AF306" s="10">
        <f>VLOOKUP($E306,Resumen_Generación!$B$5:$F$158,Resumen_Generación!$F$3,FALSE)</f>
        <v>6.9992860000000006</v>
      </c>
      <c r="AG306" s="448">
        <f>VLOOKUP($D306,Valoración_Equip_actual!$D$4:$I$157,Valoración_Equip_actual!$E$2,FALSE)*$E$4</f>
        <v>0</v>
      </c>
      <c r="AH306" s="448">
        <f>VLOOKUP($D306,Valoración_Equip_actual!$D$4:$I$157,Valoración_Equip_actual!$F$2,FALSE)*$E$4</f>
        <v>0</v>
      </c>
      <c r="AI306" s="448">
        <f>[153]P_Datos!$D$43</f>
        <v>0.39311475409836066</v>
      </c>
      <c r="AN306" s="449" t="str">
        <f>[153]Datos!$C$2</f>
        <v>Ramallo</v>
      </c>
      <c r="AO306" s="450" t="str">
        <f>VLOOKUP($E306,Tabla13[],Inputs_costos!$D$1,FALSE)</f>
        <v>RAMALLO</v>
      </c>
      <c r="AP306" s="451" t="str">
        <f>VLOOKUP($D306,'Costo Social x localidad'!$B$2:$M$156,1,FALSE)</f>
        <v>RAMALLO</v>
      </c>
    </row>
    <row r="307" spans="1:42">
      <c r="A307" s="917"/>
      <c r="B307" s="887"/>
      <c r="C307" s="478" t="str">
        <f>IF(AND(D307=AN307,D307=AO307,D307=AP307),"ok","ATENCIÓN NO ESTÁ TOMANDO BIEN LA LOCALIDAD")</f>
        <v>ok</v>
      </c>
      <c r="D307" s="24" t="s">
        <v>258</v>
      </c>
      <c r="E307" s="115">
        <f>VLOOKUP(D307,Pobl_adoptada!$C$5:$D$158,2,FALSE)</f>
        <v>151</v>
      </c>
      <c r="F307" s="9" t="s">
        <v>308</v>
      </c>
      <c r="G307" s="9"/>
      <c r="H307" s="34">
        <f>'[154]Inversion rec-TA'!$G$21</f>
        <v>2362579.2007098258</v>
      </c>
      <c r="I307" s="34"/>
      <c r="J307" s="34">
        <f>'[154]Costos Operativos Rec-TA'!$G$23</f>
        <v>990640.11106081447</v>
      </c>
      <c r="K307" s="25">
        <f>'[154]Inversion rec-TA'!$G$46</f>
        <v>0</v>
      </c>
      <c r="L307" s="25">
        <f>+'[154]Costos Operativos Rec-TA'!$G$46</f>
        <v>0</v>
      </c>
      <c r="M307" s="19">
        <f t="shared" si="226"/>
        <v>-10269663.448440272</v>
      </c>
      <c r="N307" s="19"/>
      <c r="O307" s="25">
        <f>IF(((VLOOKUP($E307,Tabla13[],Inputs_costos!$I$1,FALSE))*(O$3*$E$3+O$4*$E$4)-AG307)&lt;0,0,VLOOKUP($E307,Tabla13[],Inputs_costos!$I$1,FALSE)*(O$3*$E$3+O$4*$E$4)-AG307)</f>
        <v>359159.83353599999</v>
      </c>
      <c r="P307" s="25">
        <f>(VLOOKUP($E307,Tabla13[],Inputs_costos!$J$1,FALSE))*(P$3*$E$3+P$4*$E$4)</f>
        <v>26127.3549570752</v>
      </c>
      <c r="Q307" s="25"/>
      <c r="R307" s="25">
        <f>IF($AC307&gt;=15,(VLOOKUP($E307,Tabla13[],Inputs_costos!$G$1,FALSE))*($R$3*$E$3+$R$4*$E$4),(VLOOKUP($E307,Tabla13[],Inputs_costos!$G$1,FALSE))*($T$3*$E$3+$T$4*$E$4))-AH307</f>
        <v>774049.06648000004</v>
      </c>
      <c r="S307" s="25">
        <f t="shared" si="227"/>
        <v>0</v>
      </c>
      <c r="T307" s="25">
        <f>IF($AC307&gt;=15,(VLOOKUP($E307,Tabla13[],Inputs_costos!$H$1,FALSE))*($R$3*$E$3+$R$4*$E$4),(VLOOKUP($E307,Tabla13[],Inputs_costos!$H$1,FALSE))*($T$3*$E$3+$T$4*$E$4))</f>
        <v>124105.162904</v>
      </c>
      <c r="U307" s="465">
        <f>SUMIFS(Tabla24[Costo de Cierre Técnico de BCA (US$)],Tabla24[Localidad],Resumen!$D307)</f>
        <v>0</v>
      </c>
      <c r="V307" s="461">
        <f t="shared" ref="V307:V308" si="228">+U307*(V$3*$E$3+V$4*$E$4)</f>
        <v>0</v>
      </c>
      <c r="W307" s="465">
        <f>SUMIFS(Tabla24[Costo anual de Manteniemiento Post-cierre (US$)],Tabla24[Localidad],Resumen!$D307)</f>
        <v>0</v>
      </c>
      <c r="X307" s="461">
        <f t="shared" ref="X307:X308" si="229">+W307*(X$3*$E$3+X$4*$E$4)</f>
        <v>0</v>
      </c>
      <c r="Y307" s="28">
        <f>VLOOKUP($D307,'Costo Social x localidad'!$B$2:$M$156,12,FALSE)*(Y$3*$E$3+Y$4*$E$4)</f>
        <v>17902.352074666662</v>
      </c>
      <c r="Z307" s="28">
        <f>VLOOKUP(D307,'Estimación  PRESUPUESTO PCAS'!$B$4:$G$158,'Estimación  PRESUPUESTO PCAS'!$G$2,FALSE)</f>
        <v>167630.28100725825</v>
      </c>
      <c r="AA307" s="650">
        <f>(-O307-R307)/(1+0.12)+PV(12%,20,P307)+PV(12%,20,T307)-(O307*0.5)/(1+0.12)^10-S307/(1+0.12)^10</f>
        <v>-2191766.9104611422</v>
      </c>
      <c r="AB307" s="651">
        <f>M307+AA307</f>
        <v>-12461430.358901415</v>
      </c>
      <c r="AC307" s="10">
        <f>VLOOKUP($E307,Resumen_Generación!$B$5:$F$158,Resumen_Generación!$D$3,FALSE)</f>
        <v>9.4804822399999988</v>
      </c>
      <c r="AD307" s="10">
        <f>VLOOKUP($E307,Resumen_Generación!$B$5:$G$158,Resumen_Generación!$G$3,FALSE)</f>
        <v>3.8633997</v>
      </c>
      <c r="AE307" s="362">
        <f>VLOOKUP($E307,Resumen_Generación!$B$5:$F$158,Resumen_Generación!$E$3,FALSE)</f>
        <v>13664</v>
      </c>
      <c r="AF307" s="10">
        <f>VLOOKUP($E307,Resumen_Generación!$B$5:$F$158,Resumen_Generación!$F$3,FALSE)</f>
        <v>4.3795219999999997</v>
      </c>
      <c r="AG307" s="448">
        <f>VLOOKUP($D307,Valoración_Equip_actual!$D$4:$I$157,Valoración_Equip_actual!$E$2,FALSE)*$E$4</f>
        <v>0</v>
      </c>
      <c r="AH307" s="448">
        <f>VLOOKUP($D307,Valoración_Equip_actual!$D$4:$I$157,Valoración_Equip_actual!$F$2,FALSE)*$E$4</f>
        <v>0</v>
      </c>
      <c r="AI307" s="448">
        <f>[154]P_Datos!$D$43</f>
        <v>0.31265573770491806</v>
      </c>
      <c r="AN307" s="34" t="str">
        <f>[154]Datos!$C$2</f>
        <v>Villa Ramallo</v>
      </c>
      <c r="AO307" s="25" t="str">
        <f>VLOOKUP($E307,Tabla13[],Inputs_costos!$D$1,FALSE)</f>
        <v>VILLA RAMALLO</v>
      </c>
      <c r="AP307" s="28" t="str">
        <f>VLOOKUP($D307,'Costo Social x localidad'!$B$2:$M$156,1,FALSE)</f>
        <v>VILLA RAMALLO</v>
      </c>
    </row>
    <row r="308" spans="1:42" ht="15.75" thickBot="1">
      <c r="A308" s="917"/>
      <c r="B308" s="887"/>
      <c r="C308" s="478" t="str">
        <f>IF(AND(D308=AN308,D308=AO308,D308=AP308),"ok","ATENCIÓN NO ESTÁ TOMANDO BIEN LA LOCALIDAD")</f>
        <v>ok</v>
      </c>
      <c r="D308" s="36" t="s">
        <v>227</v>
      </c>
      <c r="E308" s="511">
        <f>VLOOKUP(D308,Pobl_adoptada!$C$5:$D$158,2,FALSE)</f>
        <v>122</v>
      </c>
      <c r="F308" s="37" t="s">
        <v>308</v>
      </c>
      <c r="G308" s="37"/>
      <c r="H308" s="117">
        <f>'[155]Inversion rec-TA'!$G$21</f>
        <v>6752696.6593687227</v>
      </c>
      <c r="I308" s="117"/>
      <c r="J308" s="117">
        <f>'[155]Costos Operativos Rec-TA'!$G$23</f>
        <v>4137972.202804218</v>
      </c>
      <c r="K308" s="25">
        <f>'[155]Inversion rec-TA'!$G$46</f>
        <v>0</v>
      </c>
      <c r="L308" s="25">
        <f>+'[155]Costos Operativos Rec-TA'!$G$46</f>
        <v>0</v>
      </c>
      <c r="M308" s="19">
        <f t="shared" si="226"/>
        <v>-39111731.132877849</v>
      </c>
      <c r="N308" s="19"/>
      <c r="O308" s="25">
        <f>IF(((VLOOKUP($E308,Tabla13[],Inputs_costos!$I$1,FALSE))*(O$3*$E$3+O$4*$E$4)-AG308)&lt;0,0,VLOOKUP($E308,Tabla13[],Inputs_costos!$I$1,FALSE)*(O$3*$E$3+O$4*$E$4)-AG308)</f>
        <v>768253.9576640001</v>
      </c>
      <c r="P308" s="25">
        <f>(VLOOKUP($E308,Tabla13[],Inputs_costos!$J$1,FALSE))*(P$3*$E$3+P$4*$E$4)</f>
        <v>1135855.494624</v>
      </c>
      <c r="Q308" s="25"/>
      <c r="R308" s="25">
        <f>IF($AC308&gt;=15,(VLOOKUP($E308,Tabla13[],Inputs_costos!$G$1,FALSE))*($R$3*$E$3+$R$4*$E$4),(VLOOKUP($E308,Tabla13[],Inputs_costos!$G$1,FALSE))*($T$3*$E$3+$T$4*$E$4))-AH308</f>
        <v>23591655.970400002</v>
      </c>
      <c r="S308" s="25">
        <f t="shared" si="227"/>
        <v>815000</v>
      </c>
      <c r="T308" s="25">
        <f>IF($AC308&gt;=15,(VLOOKUP($E308,Tabla13[],Inputs_costos!$H$1,FALSE))*($R$3*$E$3+$R$4*$E$4),(VLOOKUP($E308,Tabla13[],Inputs_costos!$H$1,FALSE))*($T$3*$E$3+$T$4*$E$4))</f>
        <v>1517521.4017200002</v>
      </c>
      <c r="U308" s="465">
        <f>SUMIFS(Tabla24[Costo de Cierre Técnico de BCA (US$)],Tabla24[Localidad],Resumen!$D308)</f>
        <v>0</v>
      </c>
      <c r="V308" s="461">
        <f t="shared" si="228"/>
        <v>0</v>
      </c>
      <c r="W308" s="465">
        <f>SUMIFS(Tabla24[Costo anual de Manteniemiento Post-cierre (US$)],Tabla24[Localidad],Resumen!$D308)</f>
        <v>0</v>
      </c>
      <c r="X308" s="461">
        <f t="shared" si="229"/>
        <v>0</v>
      </c>
      <c r="Y308" s="447">
        <f>VLOOKUP($D308,'Costo Social x localidad'!$B$2:$M$156,12,FALSE)*(Y$3*$E$3+Y$4*$E$4)</f>
        <v>153597.68046</v>
      </c>
      <c r="Z308" s="28">
        <f>VLOOKUP(D308,'Estimación  PRESUPUESTO PCAS'!$B$4:$G$158,'Estimación  PRESUPUESTO PCAS'!$G$2,FALSE)</f>
        <v>521579.98234290909</v>
      </c>
      <c r="AA308" s="650">
        <f>(-O308-R308)/(1+0.12)+PV(12%,20,P308)+PV(12%,20,T308)-(O308*0.5)/(1+0.12)^10-S308/(1+0.12)^10</f>
        <v>-41955255.51442118</v>
      </c>
      <c r="AB308" s="651">
        <f>M308+AA308</f>
        <v>-81066986.647299021</v>
      </c>
      <c r="AC308" s="10">
        <f>VLOOKUP($E308,Resumen_Generación!$B$5:$F$158,Resumen_Generación!$D$3,FALSE)</f>
        <v>136.466160672</v>
      </c>
      <c r="AD308" s="10">
        <f>VLOOKUP($E308,Resumen_Generación!$B$5:$G$158,Resumen_Generación!$G$3,FALSE)</f>
        <v>55.977786659999978</v>
      </c>
      <c r="AE308" s="362">
        <f>VLOOKUP($E308,Resumen_Generación!$B$5:$F$158,Resumen_Generación!$E$3,FALSE)</f>
        <v>177695</v>
      </c>
      <c r="AF308" s="10">
        <f>VLOOKUP($E308,Resumen_Generación!$B$5:$F$158,Resumen_Generación!$F$3,FALSE)</f>
        <v>62.866272000000002</v>
      </c>
      <c r="AG308" s="448">
        <f>VLOOKUP($D308,Valoración_Equip_actual!$D$4:$I$157,Valoración_Equip_actual!$E$2,FALSE)*$E$4</f>
        <v>1561220.884576</v>
      </c>
      <c r="AH308" s="448">
        <f>VLOOKUP($D308,Valoración_Equip_actual!$D$4:$I$157,Valoración_Equip_actual!$F$2,FALSE)*$E$4</f>
        <v>495186.4</v>
      </c>
      <c r="AI308" s="448">
        <f>[155]P_Datos!$D$43</f>
        <v>3.7959344262295081</v>
      </c>
      <c r="AN308" s="34" t="str">
        <f>[155]Datos!$C$2</f>
        <v>San Nicolás de los Arroyos</v>
      </c>
      <c r="AO308" s="25" t="str">
        <f>VLOOKUP($E308,Tabla13[],Inputs_costos!$D$1,FALSE)</f>
        <v>SAN NICOLÁS DE LOS ARROYOS</v>
      </c>
      <c r="AP308" s="28" t="str">
        <f>VLOOKUP($D308,'Costo Social x localidad'!$B$2:$M$156,1,FALSE)</f>
        <v>SAN NICOLÁS DE LOS ARROYOS</v>
      </c>
    </row>
    <row r="309" spans="1:42" ht="15.75" thickBot="1">
      <c r="A309" s="917"/>
      <c r="B309" s="888"/>
      <c r="C309" s="510"/>
      <c r="D309" s="12" t="s">
        <v>8</v>
      </c>
      <c r="E309" s="40"/>
      <c r="F309" s="13"/>
      <c r="G309" s="8"/>
      <c r="H309" s="32">
        <f>SUM(H306:H308)</f>
        <v>11403032.468788374</v>
      </c>
      <c r="I309" s="32"/>
      <c r="J309" s="32">
        <f>SUM(J306:J308)</f>
        <v>6080280.4462503139</v>
      </c>
      <c r="K309" s="14"/>
      <c r="L309" s="14"/>
      <c r="M309" s="15">
        <f>SUM(M306:M308)</f>
        <v>-59269062.274282366</v>
      </c>
      <c r="N309" s="15"/>
      <c r="O309" s="16">
        <f>SUM(O306:O308)</f>
        <v>1486573.6247360001</v>
      </c>
      <c r="P309" s="16">
        <f>SUM(P306:P308)</f>
        <v>1188110.2045381505</v>
      </c>
      <c r="Q309" s="16"/>
      <c r="R309" s="26">
        <f>SUM(R306:R308)</f>
        <v>31305981.652080003</v>
      </c>
      <c r="S309" s="26"/>
      <c r="T309" s="26">
        <f>SUM(T306:T308)</f>
        <v>3592491.1578480005</v>
      </c>
      <c r="U309" s="26"/>
      <c r="V309" s="26">
        <f>SUM(V306:V308)</f>
        <v>3745630.85696</v>
      </c>
      <c r="W309" s="26"/>
      <c r="X309" s="26">
        <f>SUM(X306:X308)</f>
        <v>332558.87578969903</v>
      </c>
      <c r="Y309" s="26">
        <f>SUM(Y306:Y308)</f>
        <v>245272.23066095999</v>
      </c>
      <c r="Z309" s="26">
        <f>SUM(Z306:Z308)</f>
        <v>955210.90249422553</v>
      </c>
      <c r="AA309" s="653">
        <f>SUM(AA306:AA308)</f>
        <v>-65751634.414506063</v>
      </c>
      <c r="AB309" s="654">
        <f>+M309+AA309</f>
        <v>-125020696.68878843</v>
      </c>
      <c r="AC309" s="630">
        <f t="shared" ref="AC309:AI309" si="230">SUM(AC306:AC308)</f>
        <v>161.14455615200001</v>
      </c>
      <c r="AD309" s="630">
        <f t="shared" si="230"/>
        <v>66.097367309999981</v>
      </c>
      <c r="AE309" s="631">
        <f t="shared" si="230"/>
        <v>210418</v>
      </c>
      <c r="AF309" s="630">
        <f t="shared" si="230"/>
        <v>74.245080000000002</v>
      </c>
      <c r="AG309" s="630">
        <f t="shared" si="230"/>
        <v>1561220.884576</v>
      </c>
      <c r="AH309" s="630">
        <f t="shared" si="230"/>
        <v>495186.4</v>
      </c>
      <c r="AI309" s="630">
        <f t="shared" si="230"/>
        <v>4.5017049180327868</v>
      </c>
      <c r="AJ309" s="4"/>
      <c r="AK309" s="4"/>
      <c r="AL309" s="4"/>
      <c r="AM309" s="4"/>
      <c r="AN309" s="4"/>
      <c r="AO309" s="4"/>
      <c r="AP309" s="4"/>
    </row>
    <row r="310" spans="1:42">
      <c r="A310" s="917"/>
      <c r="B310" s="886" t="s">
        <v>310</v>
      </c>
      <c r="C310" s="507" t="str">
        <f>IF(AND(D310=AN310,D310=AO310,D310=AP310),"ok","ATENCIÓN NO ESTÁ TOMANDO BIEN LA LOCALIDAD")</f>
        <v>ok</v>
      </c>
      <c r="D310" s="23" t="s">
        <v>213</v>
      </c>
      <c r="E310" s="114">
        <f>VLOOKUP(D310,Pobl_adoptada!$C$5:$D$158,2,FALSE)</f>
        <v>110</v>
      </c>
      <c r="F310" s="8" t="s">
        <v>308</v>
      </c>
      <c r="G310" s="576">
        <f>+'[156]Inversion rec-TA'!$G$21</f>
        <v>1835179.7181475854</v>
      </c>
      <c r="H310" s="577">
        <f>+($AC306/$AC309)*H313+G310</f>
        <v>1981811.6965620979</v>
      </c>
      <c r="I310" s="587">
        <f>+'[156]Costos Operativos Rec-TA'!$G$23</f>
        <v>927346.34717199416</v>
      </c>
      <c r="J310" s="579">
        <f>+($AC306/$AC309)*J313+I310</f>
        <v>930278.98674028437</v>
      </c>
      <c r="K310" s="10">
        <f>+'[156]Inversion rec-TA'!$G$46</f>
        <v>0</v>
      </c>
      <c r="L310" s="10">
        <f>+'[156]Costos Operativos Rec-TA'!$G$46</f>
        <v>0</v>
      </c>
      <c r="M310" s="19">
        <f t="shared" ref="M310:M312" si="231">-H310/(1+0.12)+PV(12%,20,J310)-H310/(1+0.12)^10</f>
        <v>-9356231.5016818531</v>
      </c>
      <c r="N310" s="614">
        <f>+$AD306/$AD309*N314</f>
        <v>233479.6396006658</v>
      </c>
      <c r="O310" s="25">
        <f>IF(N310-AG310&lt;0,0,N310-AG310)</f>
        <v>233479.6396006658</v>
      </c>
      <c r="P310" s="32">
        <f>+$AD306/$AD309*P314</f>
        <v>108217.40913240063</v>
      </c>
      <c r="Q310" s="614">
        <f>+$AC306/$AC309*Q314</f>
        <v>2578655.6940904688</v>
      </c>
      <c r="R310" s="647">
        <f>IF(Q310-AH310&lt;0,0,Q310-AH310)</f>
        <v>2578655.6940904688</v>
      </c>
      <c r="S310" s="647">
        <f>+S306</f>
        <v>815000</v>
      </c>
      <c r="T310" s="32">
        <f>+$AC306/$AC309*T314</f>
        <v>148103.48197619623</v>
      </c>
      <c r="U310" s="27"/>
      <c r="V310" s="461">
        <f>+V306</f>
        <v>3745630.85696</v>
      </c>
      <c r="W310" s="27"/>
      <c r="X310" s="461">
        <f t="shared" ref="X310:Z312" si="232">+X306</f>
        <v>332558.87578969903</v>
      </c>
      <c r="Y310" s="27">
        <f t="shared" si="232"/>
        <v>73772.198126293326</v>
      </c>
      <c r="Z310" s="27">
        <f t="shared" si="232"/>
        <v>266000.63914405822</v>
      </c>
      <c r="AA310" s="650">
        <f>(-O310-R310)/(1+0.12)+PV(12%,20,P310)+PV(12%,20,T310)-(O310*0.5)/(1+0.12)^10-S310/(1+0.12)^10</f>
        <v>-4725404.8506817054</v>
      </c>
      <c r="AB310" s="651">
        <f>M310+AA310</f>
        <v>-14081636.352363558</v>
      </c>
      <c r="AG310" s="448">
        <f>VLOOKUP($D310,Valoración_Eq_REG!$D$4:$I$157,Valoración_Eq_REG!$E$2,FALSE)*$E$4</f>
        <v>0</v>
      </c>
      <c r="AH310" s="448">
        <f>VLOOKUP($D310,Valoración_Eq_REG!$D$4:$I$157,Valoración_Eq_REG!$F$2,FALSE)*$E$4</f>
        <v>0</v>
      </c>
      <c r="AJ310" s="484">
        <f>+'[156]Evaluacion Economica'!$L$25</f>
        <v>2</v>
      </c>
      <c r="AK310" s="448">
        <f>+'[156]Evaluacion Economica'!$R$25</f>
        <v>18</v>
      </c>
      <c r="AL310" s="484">
        <f>+'[156]P_Evaluacion Economica'!$L$27</f>
        <v>2</v>
      </c>
      <c r="AM310" s="448">
        <f>+'[156]P_Evaluacion Economica'!$Q$27</f>
        <v>6</v>
      </c>
      <c r="AN310" s="34" t="str">
        <f>+[156]Datos!$C$2</f>
        <v>Ramallo</v>
      </c>
      <c r="AO310" s="25" t="str">
        <f>VLOOKUP($E310,Tabla13[],Inputs_costos!$D$1,FALSE)</f>
        <v>RAMALLO</v>
      </c>
      <c r="AP310" s="28" t="str">
        <f>VLOOKUP($D310,'Costo Social x localidad'!$B$2:$M$156,1,FALSE)</f>
        <v>RAMALLO</v>
      </c>
    </row>
    <row r="311" spans="1:42">
      <c r="A311" s="917"/>
      <c r="B311" s="887"/>
      <c r="C311" s="478" t="str">
        <f>IF(AND(D311=AN311,D311=AO311,D311=AP311),"ok","ATENCIÓN NO ESTÁ TOMANDO BIEN LA LOCALIDAD")</f>
        <v>ok</v>
      </c>
      <c r="D311" s="24" t="s">
        <v>258</v>
      </c>
      <c r="E311" s="115">
        <f>VLOOKUP(D311,Pobl_adoptada!$C$5:$D$158,2,FALSE)</f>
        <v>151</v>
      </c>
      <c r="F311" s="9" t="s">
        <v>308</v>
      </c>
      <c r="G311" s="580">
        <f>+'[157]Inversion rec-TA'!$G$21</f>
        <v>1870124.0628091176</v>
      </c>
      <c r="H311" s="34">
        <f>+($AC307/$AC309)*H313+G311</f>
        <v>1961593.3221226975</v>
      </c>
      <c r="I311" s="465">
        <f>+'[157]Costos Operativos Rec-TA'!$G$23</f>
        <v>962837.13033436914</v>
      </c>
      <c r="J311" s="581">
        <f>+($AC307/$AC309)*J313+I311</f>
        <v>964666.51552064077</v>
      </c>
      <c r="K311" s="10">
        <f>+'[157]Inversion rec-TA'!$G$46</f>
        <v>0</v>
      </c>
      <c r="L311" s="10">
        <f>+'[157]Costos Operativos Rec-TA'!$G$46</f>
        <v>0</v>
      </c>
      <c r="M311" s="19">
        <f t="shared" si="231"/>
        <v>-9588525.3137946315</v>
      </c>
      <c r="N311" s="465">
        <f>+$AD307/$AD309*N314</f>
        <v>144181.43861221286</v>
      </c>
      <c r="O311" s="25">
        <f>IF(N311-AG311&lt;0,0,N311-AG311)</f>
        <v>144181.43861221286</v>
      </c>
      <c r="P311" s="25">
        <f>+$AD307/$AD309*P314</f>
        <v>66827.847422938416</v>
      </c>
      <c r="Q311" s="465">
        <f>+$AC307/$AC309*Q314</f>
        <v>1608569.4874581057</v>
      </c>
      <c r="R311" s="647">
        <f>IF(Q311-AH311&lt;0,0,Q311-AH311)</f>
        <v>1608569.4874581057</v>
      </c>
      <c r="S311" s="647">
        <f>+S307</f>
        <v>0</v>
      </c>
      <c r="T311" s="25">
        <f>+$AC307/$AC309*T314</f>
        <v>92387.185555316944</v>
      </c>
      <c r="U311" s="458"/>
      <c r="V311" s="461">
        <f>+V307</f>
        <v>0</v>
      </c>
      <c r="W311" s="28"/>
      <c r="X311" s="461">
        <f t="shared" si="232"/>
        <v>0</v>
      </c>
      <c r="Y311" s="28">
        <f t="shared" si="232"/>
        <v>17902.352074666662</v>
      </c>
      <c r="Z311" s="28">
        <f t="shared" si="232"/>
        <v>167630.28100725825</v>
      </c>
      <c r="AA311" s="650">
        <f>(-O311-R311)/(1+0.12)+PV(12%,20,P311)+PV(12%,20,T311)-(O311*0.5)/(1+0.12)^10-S311/(1+0.12)^10</f>
        <v>-2777415.179191032</v>
      </c>
      <c r="AB311" s="651">
        <f>M311+AA311</f>
        <v>-12365940.492985664</v>
      </c>
      <c r="AC311" s="39"/>
      <c r="AD311" s="10"/>
      <c r="AE311" s="10"/>
      <c r="AF311" s="10"/>
      <c r="AG311" s="448">
        <f>VLOOKUP($D311,Valoración_Eq_REG!$D$4:$I$157,Valoración_Eq_REG!$E$2,FALSE)*$E$4</f>
        <v>0</v>
      </c>
      <c r="AH311" s="448">
        <f>VLOOKUP($D311,Valoración_Eq_REG!$D$4:$I$157,Valoración_Eq_REG!$F$2,FALSE)*$E$4</f>
        <v>0</v>
      </c>
      <c r="AI311" s="11"/>
      <c r="AJ311" s="484">
        <f>+'[157]Evaluacion Economica'!$L$25</f>
        <v>2</v>
      </c>
      <c r="AK311" s="448">
        <f>+'[157]Evaluacion Economica'!$R$25</f>
        <v>12</v>
      </c>
      <c r="AL311" s="484">
        <f>+'[157]P_Evaluacion Economica'!$L$27</f>
        <v>2</v>
      </c>
      <c r="AM311" s="448">
        <f>+'[157]P_Evaluacion Economica'!$Q$27</f>
        <v>6</v>
      </c>
      <c r="AN311" s="34" t="str">
        <f>+[157]Datos!$C$2</f>
        <v>Villa Ramallo</v>
      </c>
      <c r="AO311" s="25" t="str">
        <f>VLOOKUP($E311,Tabla13[],Inputs_costos!$D$1,FALSE)</f>
        <v>VILLA RAMALLO</v>
      </c>
      <c r="AP311" s="28" t="str">
        <f>VLOOKUP($D311,'Costo Social x localidad'!$B$2:$M$156,1,FALSE)</f>
        <v>VILLA RAMALLO</v>
      </c>
    </row>
    <row r="312" spans="1:42" ht="15.75" thickBot="1">
      <c r="A312" s="917"/>
      <c r="B312" s="887"/>
      <c r="C312" s="478" t="str">
        <f>IF(AND(D312=AN312,D312=AO312,D312=AP312),"ok","ATENCIÓN NO ESTÁ TOMANDO BIEN LA LOCALIDAD")</f>
        <v>ok</v>
      </c>
      <c r="D312" s="36" t="s">
        <v>227</v>
      </c>
      <c r="E312" s="115">
        <f>VLOOKUP(D312,Pobl_adoptada!$C$5:$D$158,2,FALSE)</f>
        <v>122</v>
      </c>
      <c r="F312" s="9" t="s">
        <v>308</v>
      </c>
      <c r="G312" s="580">
        <f>+'[158]Inversion rec-TA'!$G$21</f>
        <v>6502775.2278527906</v>
      </c>
      <c r="H312" s="34">
        <f>+($AC308/$AC309)*H313+G312</f>
        <v>7819423.2972273529</v>
      </c>
      <c r="I312" s="465">
        <f>+'[158]Costos Operativos Rec-TA'!$G$23</f>
        <v>4345368.3915134724</v>
      </c>
      <c r="J312" s="581">
        <f>+($AC308/$AC309)*J313+I312</f>
        <v>4371701.3529009633</v>
      </c>
      <c r="K312" s="10">
        <f>+'[158]Inversion rec-TA'!$G$46</f>
        <v>0</v>
      </c>
      <c r="L312" s="10">
        <f>+'[158]Costos Operativos Rec-TA'!$G$46</f>
        <v>0</v>
      </c>
      <c r="M312" s="19">
        <f t="shared" si="231"/>
        <v>-42153449.769124404</v>
      </c>
      <c r="N312" s="465">
        <f>+$AD308/$AD309*N314</f>
        <v>2089081.7512271213</v>
      </c>
      <c r="O312" s="25">
        <f>IF(N312-AG312&lt;0,0,N312-AG312)</f>
        <v>527860.86665112129</v>
      </c>
      <c r="P312" s="25">
        <f>+$AD308/$AD309*P314</f>
        <v>968285.77845266089</v>
      </c>
      <c r="Q312" s="465">
        <f>+$AC308/$AC309*Q314</f>
        <v>23154444.739251427</v>
      </c>
      <c r="R312" s="647">
        <f>IF(Q312-AH312&lt;0,0,Q312-AH312)</f>
        <v>22659258.339251429</v>
      </c>
      <c r="S312" s="647">
        <f>+S308</f>
        <v>815000</v>
      </c>
      <c r="T312" s="25">
        <f>+$AC308/$AC309*T314</f>
        <v>1329861.0966044869</v>
      </c>
      <c r="U312" s="29"/>
      <c r="V312" s="461">
        <f>+V308</f>
        <v>0</v>
      </c>
      <c r="W312" s="25"/>
      <c r="X312" s="461">
        <f t="shared" si="232"/>
        <v>0</v>
      </c>
      <c r="Y312" s="28">
        <f t="shared" si="232"/>
        <v>153597.68046</v>
      </c>
      <c r="Z312" s="28">
        <f t="shared" si="232"/>
        <v>521579.98234290909</v>
      </c>
      <c r="AA312" s="650">
        <f>(-O312-R312)/(1+0.12)+PV(12%,20,P312)+PV(12%,20,T312)-(O312*0.5)/(1+0.12)^10-S312/(1+0.12)^10</f>
        <v>-38216050.252608173</v>
      </c>
      <c r="AB312" s="651">
        <f>M312+AA312</f>
        <v>-80369500.021732569</v>
      </c>
      <c r="AC312" s="10"/>
      <c r="AD312" s="10"/>
      <c r="AE312" s="10"/>
      <c r="AF312" s="10"/>
      <c r="AG312" s="448">
        <f>VLOOKUP($D312,Valoración_Eq_REG!$D$4:$I$157,Valoración_Eq_REG!$E$2,FALSE)*$E$4</f>
        <v>1561220.884576</v>
      </c>
      <c r="AH312" s="448">
        <f>VLOOKUP($D312,Valoración_Eq_REG!$D$4:$I$157,Valoración_Eq_REG!$F$2,FALSE)*$E$4</f>
        <v>495186.4</v>
      </c>
      <c r="AI312" s="2"/>
      <c r="AJ312" s="484">
        <f>+'[158]Evaluacion Economica'!$L$25</f>
        <v>6</v>
      </c>
      <c r="AK312" s="448">
        <f>+'[158]Evaluacion Economica'!$R$25</f>
        <v>19</v>
      </c>
      <c r="AL312" s="484">
        <f>+'[158]P_Evaluacion Economica'!$L$27</f>
        <v>5</v>
      </c>
      <c r="AM312" s="448">
        <f>+'[158]P_Evaluacion Economica'!$Q$27</f>
        <v>6</v>
      </c>
      <c r="AN312" s="34" t="str">
        <f>+[158]Datos!$C$2</f>
        <v>San Nicolás de los Arroyos</v>
      </c>
      <c r="AO312" s="25" t="str">
        <f>VLOOKUP($E312,Tabla13[],Inputs_costos!$D$1,FALSE)</f>
        <v>SAN NICOLÁS DE LOS ARROYOS</v>
      </c>
      <c r="AP312" s="28" t="str">
        <f>VLOOKUP($D312,'Costo Social x localidad'!$B$2:$M$156,1,FALSE)</f>
        <v>SAN NICOLÁS DE LOS ARROYOS</v>
      </c>
    </row>
    <row r="313" spans="1:42" ht="30.75" thickBot="1">
      <c r="A313" s="917"/>
      <c r="B313" s="887"/>
      <c r="C313" s="912" t="s">
        <v>12</v>
      </c>
      <c r="D313" s="913"/>
      <c r="E313" s="498" t="s">
        <v>589</v>
      </c>
      <c r="F313" s="571">
        <f>+F300</f>
        <v>0.02</v>
      </c>
      <c r="G313" s="582"/>
      <c r="H313" s="461">
        <f>+AJ313*AJ315+AL313*AL315</f>
        <v>1554749.3071026551</v>
      </c>
      <c r="I313" s="461"/>
      <c r="J313" s="583">
        <f>+$F313*H313</f>
        <v>31094.986142053102</v>
      </c>
      <c r="K313" s="10"/>
      <c r="L313" s="10"/>
      <c r="M313" s="19"/>
      <c r="N313" s="465"/>
      <c r="O313" s="10"/>
      <c r="P313" s="10"/>
      <c r="Q313" s="618"/>
      <c r="R313" s="28"/>
      <c r="S313" s="28"/>
      <c r="T313" s="28"/>
      <c r="U313" s="28"/>
      <c r="V313" s="28"/>
      <c r="W313" s="28"/>
      <c r="X313" s="28"/>
      <c r="Y313" s="28"/>
      <c r="Z313" s="28"/>
      <c r="AA313" s="658"/>
      <c r="AB313" s="20"/>
      <c r="AC313" s="10"/>
      <c r="AD313" s="10"/>
      <c r="AE313" s="10"/>
      <c r="AF313" s="10"/>
      <c r="AG313" s="4"/>
      <c r="AH313" s="4"/>
      <c r="AI313" s="4"/>
      <c r="AJ313" s="501">
        <f>ROUNDUP(C314*SUM(AJ310:AJ312),0)</f>
        <v>3</v>
      </c>
      <c r="AK313" s="502">
        <f>AVERAGE(AK310:AK312)</f>
        <v>16.333333333333332</v>
      </c>
      <c r="AL313" s="501">
        <f>ROUNDUP(C314*SUM(AL310:AL312),0)</f>
        <v>3</v>
      </c>
      <c r="AM313" s="502">
        <f>AVERAGE(AM310:AM312)</f>
        <v>6</v>
      </c>
      <c r="AN313" s="4"/>
      <c r="AO313" s="4"/>
      <c r="AP313" s="4"/>
    </row>
    <row r="314" spans="1:42" ht="15.75" thickBot="1">
      <c r="A314" s="918"/>
      <c r="B314" s="888"/>
      <c r="C314" s="570">
        <v>0.3</v>
      </c>
      <c r="D314" s="500" t="str">
        <f>A306</f>
        <v>REGIÓN SAN NICOLÁS DE LOS ARROYOS</v>
      </c>
      <c r="E314" s="468"/>
      <c r="F314" s="469"/>
      <c r="G314" s="584"/>
      <c r="H314" s="585">
        <f>SUM(H310:H312)</f>
        <v>11762828.315912148</v>
      </c>
      <c r="I314" s="585"/>
      <c r="J314" s="586">
        <f>SUM(J310:J312)</f>
        <v>6266646.8551618885</v>
      </c>
      <c r="K314" s="14"/>
      <c r="L314" s="14"/>
      <c r="M314" s="15">
        <f>SUM(M310:M313)</f>
        <v>-61098206.584600888</v>
      </c>
      <c r="N314" s="615">
        <f>(VLOOKUP($E310,Tabla13[],Inputs_costos!$P$1,FALSE))*(O$3*$E$3+O$4*$E$4)</f>
        <v>2466742.82944</v>
      </c>
      <c r="O314" s="35">
        <f>SUM(O310:O312)</f>
        <v>905521.94486399996</v>
      </c>
      <c r="P314" s="35">
        <f>(VLOOKUP($E310,Tabla13[],Inputs_costos!$Q$1,FALSE))*(P$3*$E$3+P$4*$E$4)</f>
        <v>1143331.035008</v>
      </c>
      <c r="Q314" s="615">
        <f>IF($AC309&gt;=15,(VLOOKUP($E310,Tabla13[],Inputs_costos!$N$1,FALSE))*($R$3*$E$3+$R$4*$E$4),(VLOOKUP($E310,Tabla13[],Inputs_costos!$N$1,FALSE))*($T$3*$E$3+$T$4*$E$4))</f>
        <v>27341669.9208</v>
      </c>
      <c r="R314" s="35">
        <f>SUM(R310:R312)</f>
        <v>26846483.520800002</v>
      </c>
      <c r="S314" s="35"/>
      <c r="T314" s="35">
        <f>IF($AC309&gt;=15,(VLOOKUP($E310,Tabla13[],Inputs_costos!$O$1,FALSE))*($R$3*$E$3+$R$4*$E$4),(VLOOKUP($E310,Tabla13[],Inputs_costos!$O$1,FALSE))*($T$3*$E$3+$T$4*$E$4))</f>
        <v>1570351.7641360001</v>
      </c>
      <c r="U314" s="35"/>
      <c r="V314" s="31">
        <f>SUM(V310:V312)</f>
        <v>3745630.85696</v>
      </c>
      <c r="W314" s="31"/>
      <c r="X314" s="31">
        <f>SUM(X310:X312)</f>
        <v>332558.87578969903</v>
      </c>
      <c r="Y314" s="31">
        <f>SUM(Y310:Y312)</f>
        <v>245272.23066095999</v>
      </c>
      <c r="Z314" s="31">
        <f>SUM(Z310:Z312)</f>
        <v>955210.90249422553</v>
      </c>
      <c r="AA314" s="653">
        <f>SUM(AA310:AA312)</f>
        <v>-45718870.28248091</v>
      </c>
      <c r="AB314" s="654">
        <f>+M314+AA314</f>
        <v>-106817076.86708179</v>
      </c>
      <c r="AC314" s="38"/>
      <c r="AD314" s="38"/>
      <c r="AE314" s="38"/>
      <c r="AF314" s="38"/>
      <c r="AG314" s="4"/>
      <c r="AH314" s="4"/>
      <c r="AI314" s="4"/>
      <c r="AJ314" s="11"/>
      <c r="AK314" s="499">
        <f>VLOOKUP(ROUNDUP(AK313,0),DATOS!$F$16:$G$31,2,FALSE)</f>
        <v>17</v>
      </c>
      <c r="AL314" s="497"/>
      <c r="AM314" s="499">
        <f>VLOOKUP(ROUNDUP(AM313,0),DATOS!$J$16:$K$34,2,FALSE)</f>
        <v>6</v>
      </c>
      <c r="AN314" s="4"/>
      <c r="AO314" s="4"/>
      <c r="AP314" s="4"/>
    </row>
    <row r="315" spans="1:42">
      <c r="F315" s="2"/>
      <c r="G315" s="2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0"/>
      <c r="V315" s="2"/>
      <c r="W315" s="2"/>
      <c r="X315" s="2"/>
      <c r="Y315" s="2"/>
      <c r="Z315" s="2"/>
      <c r="AA315" s="4"/>
      <c r="AB315" s="4"/>
      <c r="AC315" s="4"/>
      <c r="AD315" s="4"/>
      <c r="AE315" s="4"/>
      <c r="AF315" s="4"/>
      <c r="AG315" s="644"/>
      <c r="AH315" s="448"/>
      <c r="AI315" s="4"/>
      <c r="AJ315" s="892">
        <f>VLOOKUP(AK314,DATOS!$F$3:$H$11,3,FALSE)</f>
        <v>283989.37455421843</v>
      </c>
      <c r="AK315" s="892"/>
      <c r="AL315" s="892">
        <f>VLOOKUP(AM314,DATOS!$J$3:$L$12,3,FALSE)</f>
        <v>234260.39447999999</v>
      </c>
      <c r="AM315" s="892"/>
      <c r="AN315" s="4"/>
      <c r="AO315" s="4"/>
      <c r="AP315" s="4"/>
    </row>
    <row r="316" spans="1:42" ht="15.75" thickBot="1">
      <c r="A316" s="503"/>
      <c r="B316" s="503"/>
      <c r="C316" s="503"/>
      <c r="D316" s="503"/>
      <c r="E316" s="503"/>
      <c r="F316" s="504"/>
      <c r="G316" s="504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6"/>
      <c r="AB316" s="506"/>
      <c r="AC316" s="506"/>
      <c r="AD316" s="506"/>
      <c r="AE316" s="506"/>
      <c r="AF316" s="506"/>
      <c r="AG316" s="506"/>
      <c r="AH316" s="506"/>
      <c r="AI316" s="506"/>
      <c r="AJ316" s="506"/>
      <c r="AK316" s="506"/>
      <c r="AL316" s="506"/>
      <c r="AM316" s="506"/>
      <c r="AN316" s="506"/>
      <c r="AO316" s="506"/>
      <c r="AP316" s="506"/>
    </row>
    <row r="317" spans="1:42" ht="39" thickBot="1">
      <c r="A317" s="886" t="s">
        <v>7</v>
      </c>
      <c r="B317" s="886" t="s">
        <v>2</v>
      </c>
      <c r="C317" s="508"/>
      <c r="D317" s="882" t="s">
        <v>22</v>
      </c>
      <c r="E317" s="882" t="s">
        <v>23</v>
      </c>
      <c r="F317" s="882" t="s">
        <v>3</v>
      </c>
      <c r="G317" s="574"/>
      <c r="H317" s="879" t="s">
        <v>0</v>
      </c>
      <c r="I317" s="880"/>
      <c r="J317" s="881"/>
      <c r="K317" s="879" t="s">
        <v>1</v>
      </c>
      <c r="L317" s="881"/>
      <c r="M317" s="886" t="s">
        <v>10</v>
      </c>
      <c r="N317" s="879" t="s">
        <v>5</v>
      </c>
      <c r="O317" s="880"/>
      <c r="P317" s="881"/>
      <c r="Q317" s="902" t="s">
        <v>4</v>
      </c>
      <c r="R317" s="903"/>
      <c r="S317" s="903"/>
      <c r="T317" s="904"/>
      <c r="U317" s="902" t="s">
        <v>6</v>
      </c>
      <c r="V317" s="903"/>
      <c r="W317" s="903"/>
      <c r="X317" s="904"/>
      <c r="Y317" s="390" t="s">
        <v>689</v>
      </c>
      <c r="Z317" s="662" t="s">
        <v>690</v>
      </c>
      <c r="AA317" s="905" t="s">
        <v>686</v>
      </c>
      <c r="AB317" s="886" t="s">
        <v>9</v>
      </c>
      <c r="AC317" s="907" t="s">
        <v>312</v>
      </c>
      <c r="AD317" s="914" t="s">
        <v>649</v>
      </c>
      <c r="AE317" s="897" t="s">
        <v>20</v>
      </c>
      <c r="AF317" s="897" t="s">
        <v>313</v>
      </c>
      <c r="AG317" s="899" t="s">
        <v>552</v>
      </c>
      <c r="AH317" s="926" t="s">
        <v>578</v>
      </c>
      <c r="AI317" s="882" t="s">
        <v>579</v>
      </c>
      <c r="AJ317" s="882" t="s">
        <v>581</v>
      </c>
      <c r="AK317" s="882" t="s">
        <v>582</v>
      </c>
      <c r="AL317" s="882" t="s">
        <v>581</v>
      </c>
      <c r="AM317" s="882" t="s">
        <v>582</v>
      </c>
      <c r="AN317" s="884" t="s">
        <v>553</v>
      </c>
      <c r="AO317" s="928"/>
      <c r="AP317" s="928"/>
    </row>
    <row r="318" spans="1:42" ht="30.75" thickBot="1">
      <c r="A318" s="888"/>
      <c r="B318" s="888"/>
      <c r="C318" s="509"/>
      <c r="D318" s="883"/>
      <c r="E318" s="883"/>
      <c r="F318" s="883"/>
      <c r="G318" s="569"/>
      <c r="H318" s="17" t="s">
        <v>18</v>
      </c>
      <c r="I318" s="17"/>
      <c r="J318" s="17" t="s">
        <v>17</v>
      </c>
      <c r="K318" s="17" t="s">
        <v>18</v>
      </c>
      <c r="L318" s="17" t="s">
        <v>17</v>
      </c>
      <c r="M318" s="888"/>
      <c r="N318" s="464" t="s">
        <v>685</v>
      </c>
      <c r="O318" s="17" t="s">
        <v>18</v>
      </c>
      <c r="P318" s="17" t="s">
        <v>17</v>
      </c>
      <c r="Q318" s="464" t="s">
        <v>685</v>
      </c>
      <c r="R318" s="17" t="s">
        <v>18</v>
      </c>
      <c r="S318" s="17"/>
      <c r="T318" s="17" t="s">
        <v>17</v>
      </c>
      <c r="U318" s="464" t="s">
        <v>576</v>
      </c>
      <c r="V318" s="17" t="s">
        <v>18</v>
      </c>
      <c r="W318" s="464" t="s">
        <v>577</v>
      </c>
      <c r="X318" s="17" t="s">
        <v>17</v>
      </c>
      <c r="Y318" s="17" t="s">
        <v>18</v>
      </c>
      <c r="Z318" s="17" t="s">
        <v>17</v>
      </c>
      <c r="AA318" s="906"/>
      <c r="AB318" s="888"/>
      <c r="AC318" s="908"/>
      <c r="AD318" s="915"/>
      <c r="AE318" s="898"/>
      <c r="AF318" s="898"/>
      <c r="AG318" s="900"/>
      <c r="AH318" s="927"/>
      <c r="AI318" s="883"/>
      <c r="AJ318" s="883"/>
      <c r="AK318" s="883"/>
      <c r="AL318" s="883"/>
      <c r="AM318" s="883"/>
      <c r="AN318" s="1" t="s">
        <v>551</v>
      </c>
      <c r="AO318" s="9" t="s">
        <v>554</v>
      </c>
      <c r="AP318" s="1" t="s">
        <v>555</v>
      </c>
    </row>
    <row r="319" spans="1:42">
      <c r="A319" s="916" t="s">
        <v>611</v>
      </c>
      <c r="B319" s="886" t="s">
        <v>309</v>
      </c>
      <c r="C319" s="507" t="str">
        <f>IF(AND(D319=AN319,D319=AO319,D319=AP319),"ok","ATENCIÓN NO ESTÁ TOMANDO BIEN LA LOCALIDAD")</f>
        <v>ok</v>
      </c>
      <c r="D319" s="23" t="s">
        <v>182</v>
      </c>
      <c r="E319" s="114">
        <f>VLOOKUP(D319,Pobl_adoptada!$C$5:$D$158,2,FALSE)</f>
        <v>84</v>
      </c>
      <c r="F319" s="8" t="s">
        <v>308</v>
      </c>
      <c r="G319" s="8"/>
      <c r="H319" s="33">
        <f>'[159]Inversion rec-TA'!$G$21</f>
        <v>3222137.9096182352</v>
      </c>
      <c r="I319" s="33"/>
      <c r="J319" s="33">
        <f>'[159]Costos Operativos Rec-TA'!$G$23</f>
        <v>1468290.762718054</v>
      </c>
      <c r="K319" s="32">
        <f>'[159]Inversion rec-TA'!$G$46</f>
        <v>0</v>
      </c>
      <c r="L319" s="32">
        <f>+'[159]Costos Operativos Rec-TA'!$G$46</f>
        <v>0</v>
      </c>
      <c r="M319" s="19">
        <f t="shared" ref="M319:M329" si="233">-H319/(1+0.12)+PV(12%,20,J319)-H319/(1+0.12)^10</f>
        <v>-14881666.095618261</v>
      </c>
      <c r="N319" s="19"/>
      <c r="O319" s="25">
        <f>IF(((VLOOKUP($E319,Tabla13[],Inputs_costos!$I$1,FALSE))*(O$3*$E$3+O$4*$E$4)-AG319)&lt;0,0,VLOOKUP($E319,Tabla13[],Inputs_costos!$I$1,FALSE)*(O$3*$E$3+O$4*$E$4)-AG319)</f>
        <v>1196052.0927400002</v>
      </c>
      <c r="P319" s="25">
        <f>(VLOOKUP($E319,Tabla13[],Inputs_costos!$J$1,FALSE))*(P$3*$E$3+P$4*$E$4)</f>
        <v>411525.71568000002</v>
      </c>
      <c r="Q319" s="25"/>
      <c r="R319" s="25">
        <f>IF($AC319&gt;=15,(VLOOKUP($E319,Tabla13[],Inputs_costos!$G$1,FALSE))*($R$3*$E$3+$R$4*$E$4),(VLOOKUP($E319,Tabla13[],Inputs_costos!$G$1,FALSE))*($T$3*$E$3+$T$4*$E$4))-AH319</f>
        <v>8140847.4360000007</v>
      </c>
      <c r="S319" s="25">
        <f t="shared" ref="S319:S323" si="234">IF(AC319&lt;15,0,IF(AC319&lt;=350,815000,1345000))</f>
        <v>815000</v>
      </c>
      <c r="T319" s="25">
        <f>IF($AC319&gt;=15,(VLOOKUP($E319,Tabla13[],Inputs_costos!$H$1,FALSE))*($R$3*$E$3+$R$4*$E$4),(VLOOKUP($E319,Tabla13[],Inputs_costos!$H$1,FALSE))*($T$3*$E$3+$T$4*$E$4))</f>
        <v>1670531.8515120002</v>
      </c>
      <c r="U319" s="465">
        <f>SUMIFS(Tabla24[Costo de Cierre Técnico de BCA (US$)],Tabla24[Localidad],Resumen!$D319)</f>
        <v>430360</v>
      </c>
      <c r="V319" s="461">
        <f>+U319*(V$3*$E$3+V$4*$E$4)</f>
        <v>826481.59126400005</v>
      </c>
      <c r="W319" s="465">
        <f>SUMIFS(Tabla24[Costo anual de Manteniemiento Post-cierre (US$)],Tabla24[Localidad],Resumen!$D319)</f>
        <v>38209.861903212979</v>
      </c>
      <c r="X319" s="461">
        <f>+W319*(X$3*$E$3+X$4*$E$4)</f>
        <v>73379.838897074907</v>
      </c>
      <c r="Y319" s="27">
        <f>VLOOKUP($D319,'Costo Social x localidad'!$B$2:$M$156,12,FALSE)*(Y$3*$E$3+Y$4*$E$4)</f>
        <v>34797.733114080002</v>
      </c>
      <c r="Z319" s="28">
        <f>VLOOKUP(D319,'Estimación  PRESUPUESTO PCAS'!$B$4:$G$158,'Estimación  PRESUPUESTO PCAS'!$G$2,FALSE)</f>
        <v>266527.59029622236</v>
      </c>
      <c r="AA319" s="650">
        <f>(-O319-R319)/(1+0.12)+PV(12%,20,P319)+PV(12%,20,T319)-(O319*0.5)/(1+0.12)^10-S319/(1+0.12)^10</f>
        <v>-24343285.62665702</v>
      </c>
      <c r="AB319" s="651">
        <f>M319+AA319</f>
        <v>-39224951.722275279</v>
      </c>
      <c r="AC319" s="10">
        <f>VLOOKUP($E319,Resumen_Generación!$B$5:$F$158,Resumen_Generación!$D$3,FALSE)</f>
        <v>22.454112712000001</v>
      </c>
      <c r="AD319" s="10">
        <f>VLOOKUP($E319,Resumen_Generación!$B$5:$G$158,Resumen_Generación!$G$3,FALSE)</f>
        <v>9.2343553599999986</v>
      </c>
      <c r="AE319" s="362">
        <f>VLOOKUP($E319,Resumen_Generación!$B$5:$F$158,Resumen_Generación!$E$3,FALSE)</f>
        <v>28152</v>
      </c>
      <c r="AF319" s="10">
        <f>VLOOKUP($E319,Resumen_Generación!$B$5:$F$158,Resumen_Generación!$F$3,FALSE)</f>
        <v>10.354239</v>
      </c>
      <c r="AG319" s="448">
        <f>VLOOKUP($D319,Valoración_Equip_actual!$D$4:$I$157,Valoración_Equip_actual!$E$2,FALSE)*$E$4</f>
        <v>500320.53285999992</v>
      </c>
      <c r="AH319" s="448">
        <f>VLOOKUP($D319,Valoración_Equip_actual!$D$4:$I$157,Valoración_Equip_actual!$F$2,FALSE)*$E$4</f>
        <v>42825.5</v>
      </c>
      <c r="AI319" s="513">
        <f>[159]P_Datos!$D$43</f>
        <v>0.71849180327868856</v>
      </c>
      <c r="AJ319" s="514"/>
      <c r="AK319" s="514"/>
      <c r="AL319" s="514"/>
      <c r="AM319" s="514"/>
      <c r="AN319" s="449" t="str">
        <f>[159]Datos!$C$2</f>
        <v>Las Flores</v>
      </c>
      <c r="AO319" s="450" t="str">
        <f>VLOOKUP($E319,Tabla13[],Inputs_costos!$D$1,FALSE)</f>
        <v>LAS FLORES</v>
      </c>
      <c r="AP319" s="451" t="str">
        <f>VLOOKUP($D319,'Costo Social x localidad'!$B$2:$M$156,1,FALSE)</f>
        <v>LAS FLORES</v>
      </c>
    </row>
    <row r="320" spans="1:42">
      <c r="A320" s="917"/>
      <c r="B320" s="887"/>
      <c r="C320" s="478" t="str">
        <f>IF(AND(D320=AN320,D320=AO320,D320=AP320),"ok","ATENCIÓN NO ESTÁ TOMANDO BIEN LA LOCALIDAD")</f>
        <v>ok</v>
      </c>
      <c r="D320" s="24" t="s">
        <v>218</v>
      </c>
      <c r="E320" s="115">
        <f>VLOOKUP(D320,Pobl_adoptada!$C$5:$D$158,2,FALSE)</f>
        <v>114</v>
      </c>
      <c r="F320" s="9" t="s">
        <v>308</v>
      </c>
      <c r="G320" s="9"/>
      <c r="H320" s="34">
        <f>'[160]Inversion rec-TA'!$G$21</f>
        <v>2406225.7127098255</v>
      </c>
      <c r="I320" s="34"/>
      <c r="J320" s="34">
        <f>'[160]Costos Operativos Rec-TA'!$G$23</f>
        <v>1055102.6128738597</v>
      </c>
      <c r="K320" s="25">
        <f>'[160]Inversion rec-TA'!$G$46</f>
        <v>0</v>
      </c>
      <c r="L320" s="25">
        <f>+'[160]Costos Operativos Rec-TA'!$G$46</f>
        <v>0</v>
      </c>
      <c r="M320" s="19">
        <f t="shared" si="233"/>
        <v>-10804185.580350462</v>
      </c>
      <c r="N320" s="19"/>
      <c r="O320" s="25">
        <f>IF(((VLOOKUP($E320,Tabla13[],Inputs_costos!$I$1,FALSE))*(O$3*$E$3+O$4*$E$4)-AG320)&lt;0,0,VLOOKUP($E320,Tabla13[],Inputs_costos!$I$1,FALSE)*(O$3*$E$3+O$4*$E$4)-AG320)</f>
        <v>73943.442519250617</v>
      </c>
      <c r="P320" s="25">
        <f>(VLOOKUP($E320,Tabla13[],Inputs_costos!$J$1,FALSE))*(P$3*$E$3+P$4*$E$4)</f>
        <v>26127.3549570752</v>
      </c>
      <c r="Q320" s="25"/>
      <c r="R320" s="25">
        <f>IF($AC320&gt;=15,(VLOOKUP($E320,Tabla13[],Inputs_costos!$G$1,FALSE))*($R$3*$E$3+$R$4*$E$4),(VLOOKUP($E320,Tabla13[],Inputs_costos!$G$1,FALSE))*($T$3*$E$3+$T$4*$E$4))-AH320</f>
        <v>523633.86783999996</v>
      </c>
      <c r="S320" s="25">
        <f t="shared" si="234"/>
        <v>0</v>
      </c>
      <c r="T320" s="25">
        <f>IF($AC320&gt;=15,(VLOOKUP($E320,Tabla13[],Inputs_costos!$H$1,FALSE))*($R$3*$E$3+$R$4*$E$4),(VLOOKUP($E320,Tabla13[],Inputs_costos!$H$1,FALSE))*($T$3*$E$3+$T$4*$E$4))</f>
        <v>148953.07885600001</v>
      </c>
      <c r="U320" s="465">
        <f>SUMIFS(Tabla24[Costo de Cierre Técnico de BCA (US$)],Tabla24[Localidad],Resumen!$D320)</f>
        <v>381600</v>
      </c>
      <c r="V320" s="461">
        <f>+U320*(V$3*$E$3+V$4*$E$4)</f>
        <v>732840.81984000001</v>
      </c>
      <c r="W320" s="465">
        <f>SUMIFS(Tabla24[Costo anual de Manteniemiento Post-cierre (US$)],Tabla24[Localidad],Resumen!$D320)</f>
        <v>33880.665726986874</v>
      </c>
      <c r="X320" s="461">
        <f>+W320*(X$3*$E$3+X$4*$E$4)</f>
        <v>65065.867002332416</v>
      </c>
      <c r="Y320" s="28">
        <f>VLOOKUP($D320,'Costo Social x localidad'!$B$2:$M$156,12,FALSE)*(Y$3*$E$3+Y$4*$E$4)</f>
        <v>18321.33094656</v>
      </c>
      <c r="Z320" s="28">
        <f>VLOOKUP(D320,'Estimación  PRESUPUESTO PCAS'!$B$4:$G$158,'Estimación  PRESUPUESTO PCAS'!$G$2,FALSE)</f>
        <v>170038.83842909074</v>
      </c>
      <c r="AA320" s="650">
        <f>(-O320-R320)/(1+0.12)+PV(12%,20,P320)+PV(12%,20,T320)-(O320*0.5)/(1+0.12)^10-S320/(1+0.12)^10</f>
        <v>-1853208.5048094916</v>
      </c>
      <c r="AB320" s="651">
        <f>M320+AA320</f>
        <v>-12657394.085159954</v>
      </c>
      <c r="AC320" s="10">
        <f>VLOOKUP($E320,Resumen_Generación!$B$5:$F$158,Resumen_Generación!$D$3,FALSE)</f>
        <v>11.198584448000004</v>
      </c>
      <c r="AD320" s="10">
        <f>VLOOKUP($E320,Resumen_Generación!$B$5:$G$158,Resumen_Generación!$G$3,FALSE)</f>
        <v>4.6145194400000005</v>
      </c>
      <c r="AE320" s="362">
        <f>VLOOKUP($E320,Resumen_Generación!$B$5:$F$158,Resumen_Generación!$E$3,FALSE)</f>
        <v>16185</v>
      </c>
      <c r="AF320" s="10">
        <f>VLOOKUP($E320,Resumen_Generación!$B$5:$F$158,Resumen_Generación!$F$3,FALSE)</f>
        <v>5.1748620000000001</v>
      </c>
      <c r="AG320" s="448">
        <f>VLOOKUP($D320,Valoración_Equip_actual!$D$4:$I$157,Valoración_Equip_actual!$E$2,FALSE)*$E$4</f>
        <v>285216.39101674937</v>
      </c>
      <c r="AH320" s="448">
        <f>VLOOKUP($D320,Valoración_Equip_actual!$D$4:$I$157,Valoración_Equip_actual!$F$2,FALSE)*$E$4</f>
        <v>330489.24</v>
      </c>
      <c r="AI320" s="513">
        <f>[160]P_Datos!$D$43</f>
        <v>0.40990163934426227</v>
      </c>
      <c r="AJ320" s="514"/>
      <c r="AK320" s="514"/>
      <c r="AL320" s="514"/>
      <c r="AM320" s="514"/>
      <c r="AN320" s="34" t="str">
        <f>[160]Datos!$C$2</f>
        <v>Roque Pérez</v>
      </c>
      <c r="AO320" s="25" t="str">
        <f>VLOOKUP($E320,Tabla13[],Inputs_costos!$D$1,FALSE)</f>
        <v>ROQUE PÉREZ</v>
      </c>
      <c r="AP320" s="28" t="str">
        <f>VLOOKUP($D320,'Costo Social x localidad'!$B$2:$M$156,1,FALSE)</f>
        <v>ROQUE PÉREZ</v>
      </c>
    </row>
    <row r="321" spans="1:42">
      <c r="A321" s="917"/>
      <c r="B321" s="887"/>
      <c r="C321" s="478" t="str">
        <f>IF(AND(D321=AN321,D321=AO321,D321=AP321),"ok","ATENCIÓN NO ESTÁ TOMANDO BIEN LA LOCALIDAD")</f>
        <v>ok</v>
      </c>
      <c r="D321" s="24" t="s">
        <v>155</v>
      </c>
      <c r="E321" s="115">
        <f>VLOOKUP(D321,Pobl_adoptada!$C$5:$D$158,2,FALSE)</f>
        <v>63</v>
      </c>
      <c r="F321" s="9" t="s">
        <v>308</v>
      </c>
      <c r="G321" s="9"/>
      <c r="H321" s="34">
        <f>'[161]Inversion rec-TA'!$G$21</f>
        <v>2309579.8647098257</v>
      </c>
      <c r="I321" s="34"/>
      <c r="J321" s="34">
        <f>'[161]Costos Operativos Rec-TA'!$G$23</f>
        <v>967123.29766280018</v>
      </c>
      <c r="K321" s="25">
        <f>'[161]Inversion rec-TA'!$G$46</f>
        <v>0</v>
      </c>
      <c r="L321" s="25">
        <f>+'[161]Costos Operativos Rec-TA'!$G$46</f>
        <v>0</v>
      </c>
      <c r="M321" s="19">
        <f t="shared" si="233"/>
        <v>-10029620.73307661</v>
      </c>
      <c r="N321" s="19"/>
      <c r="O321" s="25">
        <f>IF(((VLOOKUP($E321,Tabla13[],Inputs_costos!$I$1,FALSE))*(O$3*$E$3+O$4*$E$4)-AG321)&lt;0,0,VLOOKUP($E321,Tabla13[],Inputs_costos!$I$1,FALSE)*(O$3*$E$3+O$4*$E$4)-AG321)</f>
        <v>65389.380019250617</v>
      </c>
      <c r="P321" s="25">
        <f>(VLOOKUP($E321,Tabla13[],Inputs_costos!$J$1,FALSE))*(P$3*$E$3+P$4*$E$4)</f>
        <v>26127.3549570752</v>
      </c>
      <c r="Q321" s="25"/>
      <c r="R321" s="25">
        <f>IF($AC321&gt;=15,(VLOOKUP($E321,Tabla13[],Inputs_costos!$G$1,FALSE))*($R$3*$E$3+$R$4*$E$4),(VLOOKUP($E321,Tabla13[],Inputs_costos!$G$1,FALSE))*($T$3*$E$3+$T$4*$E$4))-AH321</f>
        <v>675732.73751999997</v>
      </c>
      <c r="S321" s="25">
        <f t="shared" si="234"/>
        <v>0</v>
      </c>
      <c r="T321" s="25">
        <f>IF($AC321&gt;=15,(VLOOKUP($E321,Tabla13[],Inputs_costos!$H$1,FALSE))*($R$3*$E$3+$R$4*$E$4),(VLOOKUP($E321,Tabla13[],Inputs_costos!$H$1,FALSE))*($T$3*$E$3+$T$4*$E$4))</f>
        <v>97144.982071999999</v>
      </c>
      <c r="U321" s="465">
        <f>SUMIFS(Tabla24[Costo de Cierre Técnico de BCA (US$)],Tabla24[Localidad],Resumen!$D321)</f>
        <v>572400</v>
      </c>
      <c r="V321" s="461">
        <f t="shared" ref="V321:V323" si="235">+U321*(V$3*$E$3+V$4*$E$4)</f>
        <v>1099261.22976</v>
      </c>
      <c r="W321" s="465">
        <f>SUMIFS(Tabla24[Costo anual de Manteniemiento Post-cierre (US$)],Tabla24[Localidad],Resumen!$D321)</f>
        <v>50820.998590480318</v>
      </c>
      <c r="X321" s="461">
        <f t="shared" ref="X321:X323" si="236">+W321*(X$3*$E$3+X$4*$E$4)</f>
        <v>97598.800503498642</v>
      </c>
      <c r="Y321" s="28">
        <f>VLOOKUP($D321,'Costo Social x localidad'!$B$2:$M$156,12,FALSE)*(Y$3*$E$3+Y$4*$E$4)</f>
        <v>14080.693164400001</v>
      </c>
      <c r="Z321" s="28">
        <f>VLOOKUP(D321,'Estimación  PRESUPUESTO PCAS'!$B$4:$G$158,'Estimación  PRESUPUESTO PCAS'!$G$2,FALSE)</f>
        <v>174172.03212009076</v>
      </c>
      <c r="AA321" s="650">
        <f>(-O321-R321)/(1+0.12)+PV(12%,20,P321)+PV(12%,20,T321)-(O321*0.5)/(1+0.12)^10-S321/(1+0.12)^10</f>
        <v>-1593018.7634138479</v>
      </c>
      <c r="AB321" s="651">
        <f>M321+AA321</f>
        <v>-11622639.496490458</v>
      </c>
      <c r="AC321" s="10">
        <f>VLOOKUP($E321,Resumen_Generación!$B$5:$F$158,Resumen_Generación!$D$3,FALSE)</f>
        <v>7.3686895840000002</v>
      </c>
      <c r="AD321" s="10">
        <f>VLOOKUP($E321,Resumen_Generación!$B$5:$G$158,Resumen_Generación!$G$3,FALSE)</f>
        <v>2.98126552</v>
      </c>
      <c r="AE321" s="362">
        <f>VLOOKUP($E321,Resumen_Generación!$B$5:$F$158,Resumen_Generación!$E$3,FALSE)</f>
        <v>10602</v>
      </c>
      <c r="AF321" s="10">
        <f>VLOOKUP($E321,Resumen_Generación!$B$5:$F$158,Resumen_Generación!$F$3,FALSE)</f>
        <v>3.408048</v>
      </c>
      <c r="AG321" s="448">
        <f>VLOOKUP($D321,Valoración_Equip_actual!$D$4:$I$157,Valoración_Equip_actual!$E$2,FALSE)*$E$4</f>
        <v>293770.45351674937</v>
      </c>
      <c r="AH321" s="448">
        <f>VLOOKUP($D321,Valoración_Equip_actual!$D$4:$I$157,Valoración_Equip_actual!$F$2,FALSE)*$E$4</f>
        <v>0</v>
      </c>
      <c r="AI321" s="448">
        <f>[161]P_Datos!$D$43</f>
        <v>0.2337049180327869</v>
      </c>
      <c r="AN321" s="34" t="str">
        <f>[161]Datos!$C$2</f>
        <v>General Alvear</v>
      </c>
      <c r="AO321" s="25" t="str">
        <f>VLOOKUP($E321,Tabla13[],Inputs_costos!$D$1,FALSE)</f>
        <v>GENERAL ALVEAR</v>
      </c>
      <c r="AP321" s="28" t="str">
        <f>VLOOKUP($D321,'Costo Social x localidad'!$B$2:$M$156,1,FALSE)</f>
        <v>GENERAL ALVEAR</v>
      </c>
    </row>
    <row r="322" spans="1:42">
      <c r="A322" s="917"/>
      <c r="B322" s="887"/>
      <c r="C322" s="478" t="str">
        <f>IF(AND(D322=AN322,D322=AO322,D322=AP322),"ok","ATENCIÓN NO ESTÁ TOMANDO BIEN LA LOCALIDAD")</f>
        <v>ok</v>
      </c>
      <c r="D322" s="24" t="s">
        <v>112</v>
      </c>
      <c r="E322" s="115">
        <f>VLOOKUP(D322,Pobl_adoptada!$C$5:$D$158,2,FALSE)</f>
        <v>25</v>
      </c>
      <c r="F322" s="9" t="s">
        <v>308</v>
      </c>
      <c r="G322" s="9"/>
      <c r="H322" s="34">
        <f>'[162]Inversion rec-TA'!$G$21</f>
        <v>3403609.8302797675</v>
      </c>
      <c r="I322" s="34"/>
      <c r="J322" s="34">
        <f>'[162]Costos Operativos Rec-TA'!$G$23</f>
        <v>1682867.9803502634</v>
      </c>
      <c r="K322" s="25">
        <f>'[162]Inversion rec-TA'!$G$46</f>
        <v>0</v>
      </c>
      <c r="L322" s="25">
        <f>+'[162]Costos Operativos Rec-TA'!$G$46</f>
        <v>0</v>
      </c>
      <c r="M322" s="19">
        <f t="shared" si="233"/>
        <v>-16704896.128023498</v>
      </c>
      <c r="N322" s="19"/>
      <c r="O322" s="25">
        <f>IF(((VLOOKUP($E322,Tabla13[],Inputs_costos!$I$1,FALSE))*(O$3*$E$3+O$4*$E$4)-AG322)&lt;0,0,VLOOKUP($E322,Tabla13[],Inputs_costos!$I$1,FALSE)*(O$3*$E$3+O$4*$E$4)-AG322)</f>
        <v>1308896.7802592507</v>
      </c>
      <c r="P322" s="25">
        <f>(VLOOKUP($E322,Tabla13[],Inputs_costos!$J$1,FALSE))*(P$3*$E$3+P$4*$E$4)</f>
        <v>381438.05686400004</v>
      </c>
      <c r="Q322" s="25"/>
      <c r="R322" s="25">
        <f>IF($AC322&gt;=15,(VLOOKUP($E322,Tabla13[],Inputs_costos!$G$1,FALSE))*($R$3*$E$3+$R$4*$E$4),(VLOOKUP($E322,Tabla13[],Inputs_costos!$G$1,FALSE))*($T$3*$E$3+$T$4*$E$4))-AH322</f>
        <v>7741753.176</v>
      </c>
      <c r="S322" s="25">
        <f t="shared" si="234"/>
        <v>815000</v>
      </c>
      <c r="T322" s="25">
        <f>IF($AC322&gt;=15,(VLOOKUP($E322,Tabla13[],Inputs_costos!$H$1,FALSE))*($R$3*$E$3+$R$4*$E$4),(VLOOKUP($E322,Tabla13[],Inputs_costos!$H$1,FALSE))*($T$3*$E$3+$T$4*$E$4))</f>
        <v>1678715.5244480001</v>
      </c>
      <c r="U322" s="465">
        <f>SUMIFS(Tabla24[Costo de Cierre Técnico de BCA (US$)],Tabla24[Localidad],Resumen!$D322)</f>
        <v>3112160</v>
      </c>
      <c r="V322" s="461">
        <f t="shared" si="235"/>
        <v>5976724.0195840001</v>
      </c>
      <c r="W322" s="465">
        <f>SUMIFS(Tabla24[Costo anual de Manteniemiento Post-cierre (US$)],Tabla24[Localidad],Resumen!$D322)</f>
        <v>276315.65159564855</v>
      </c>
      <c r="X322" s="461">
        <f t="shared" si="236"/>
        <v>530648.29310791113</v>
      </c>
      <c r="Y322" s="28">
        <f>VLOOKUP($D322,'Costo Social x localidad'!$B$2:$M$156,12,FALSE)*(Y$3*$E$3+Y$4*$E$4)</f>
        <v>61189.194845546655</v>
      </c>
      <c r="Z322" s="28">
        <f>VLOOKUP(D322,'Estimación  PRESUPUESTO PCAS'!$B$4:$G$158,'Estimación  PRESUPUESTO PCAS'!$G$2,FALSE)</f>
        <v>316982.23806123016</v>
      </c>
      <c r="AA322" s="650">
        <f>(-O322-R322)/(1+0.12)+PV(12%,20,P322)+PV(12%,20,T322)-(O322*0.5)/(1+0.12)^10-S322/(1+0.12)^10</f>
        <v>-23942261.548185367</v>
      </c>
      <c r="AB322" s="651">
        <f>M322+AA322</f>
        <v>-40647157.676208869</v>
      </c>
      <c r="AC322" s="10">
        <f>VLOOKUP($E322,Resumen_Generación!$B$5:$F$158,Resumen_Generación!$D$3,FALSE)</f>
        <v>20.753856175999999</v>
      </c>
      <c r="AD322" s="10">
        <f>VLOOKUP($E322,Resumen_Generación!$B$5:$G$158,Resumen_Generación!$G$3,FALSE)</f>
        <v>8.4099610299999998</v>
      </c>
      <c r="AE322" s="362">
        <f>VLOOKUP($E322,Resumen_Generación!$B$5:$F$158,Resumen_Generación!$E$3,FALSE)</f>
        <v>25926</v>
      </c>
      <c r="AF322" s="10">
        <f>VLOOKUP($E322,Resumen_Generación!$B$5:$F$158,Resumen_Generación!$F$3,FALSE)</f>
        <v>9.5970279999999999</v>
      </c>
      <c r="AG322" s="448">
        <f>VLOOKUP($D322,Valoración_Equip_actual!$D$4:$I$157,Valoración_Equip_actual!$E$2,FALSE)*$E$4</f>
        <v>378386.47862074937</v>
      </c>
      <c r="AH322" s="448">
        <f>VLOOKUP($D322,Valoración_Equip_actual!$D$4:$I$157,Valoración_Equip_actual!$F$2,FALSE)*$E$4</f>
        <v>162295.4</v>
      </c>
      <c r="AI322" s="448">
        <f>[162]P_Datos!$D$43</f>
        <v>0.67180327868852463</v>
      </c>
      <c r="AN322" s="34" t="str">
        <f>[162]Datos!$C$2</f>
        <v>25 de Mayo</v>
      </c>
      <c r="AO322" s="25" t="str">
        <f>VLOOKUP($E322,Tabla13[],Inputs_costos!$D$1,FALSE)</f>
        <v>25 DE MAYO</v>
      </c>
      <c r="AP322" s="28" t="str">
        <f>VLOOKUP($D322,'Costo Social x localidad'!$B$2:$M$156,1,FALSE)</f>
        <v>25 DE MAYO</v>
      </c>
    </row>
    <row r="323" spans="1:42" ht="15.75" thickBot="1">
      <c r="A323" s="917"/>
      <c r="B323" s="887"/>
      <c r="C323" s="478" t="str">
        <f>IF(AND(D323=AN323,D323=AO323,D323=AP323),"ok","ATENCIÓN NO ESTÁ TOMANDO BIEN LA LOCALIDAD")</f>
        <v>ok</v>
      </c>
      <c r="D323" s="36" t="s">
        <v>221</v>
      </c>
      <c r="E323" s="511">
        <f>VLOOKUP(D323,Pobl_adoptada!$C$5:$D$158,2,FALSE)</f>
        <v>116</v>
      </c>
      <c r="F323" s="37" t="s">
        <v>308</v>
      </c>
      <c r="G323" s="37"/>
      <c r="H323" s="117">
        <f>'[163]Inversion rec-TA'!$G$21</f>
        <v>3508307.1889567031</v>
      </c>
      <c r="I323" s="117"/>
      <c r="J323" s="117">
        <f>'[163]Costos Operativos Rec-TA'!$G$23</f>
        <v>1711243.7547334253</v>
      </c>
      <c r="K323" s="25">
        <f>'[163]Inversion rec-TA'!$G$46</f>
        <v>0</v>
      </c>
      <c r="L323" s="25">
        <f>+'[163]Costos Operativos Rec-TA'!$G$46</f>
        <v>0</v>
      </c>
      <c r="M323" s="19">
        <f t="shared" si="233"/>
        <v>-17044036.907043856</v>
      </c>
      <c r="N323" s="19"/>
      <c r="O323" s="25">
        <f>IF(((VLOOKUP($E323,Tabla13[],Inputs_costos!$I$1,FALSE))*(O$3*$E$3+O$4*$E$4)-AG323)&lt;0,0,VLOOKUP($E323,Tabla13[],Inputs_costos!$I$1,FALSE)*(O$3*$E$3+O$4*$E$4)-AG323)</f>
        <v>1467979.3882499505</v>
      </c>
      <c r="P323" s="25">
        <f>(VLOOKUP($E323,Tabla13[],Inputs_costos!$J$1,FALSE))*(P$3*$E$3+P$4*$E$4)</f>
        <v>544490.16598400008</v>
      </c>
      <c r="Q323" s="25"/>
      <c r="R323" s="25">
        <f>IF($AC323&gt;=15,(VLOOKUP($E323,Tabla13[],Inputs_costos!$G$1,FALSE))*($R$3*$E$3+$R$4*$E$4),(VLOOKUP($E323,Tabla13[],Inputs_costos!$G$1,FALSE))*($T$3*$E$3+$T$4*$E$4))-AH323</f>
        <v>9182808.9624000005</v>
      </c>
      <c r="S323" s="25">
        <f t="shared" si="234"/>
        <v>815000</v>
      </c>
      <c r="T323" s="25">
        <f>IF($AC323&gt;=15,(VLOOKUP($E323,Tabla13[],Inputs_costos!$H$1,FALSE))*($R$3*$E$3+$R$4*$E$4),(VLOOKUP($E323,Tabla13[],Inputs_costos!$H$1,FALSE))*($T$3*$E$3+$T$4*$E$4))</f>
        <v>1616471.141912</v>
      </c>
      <c r="U323" s="465">
        <f>SUMIFS(Tabla24[Costo de Cierre Técnico de BCA (US$)],Tabla24[Localidad],Resumen!$D323)</f>
        <v>3095200</v>
      </c>
      <c r="V323" s="461">
        <f t="shared" si="235"/>
        <v>5944153.3164799996</v>
      </c>
      <c r="W323" s="465">
        <f>SUMIFS(Tabla24[Costo anual de Manteniemiento Post-cierre (US$)],Tabla24[Localidad],Resumen!$D323)</f>
        <v>274809.84423000464</v>
      </c>
      <c r="X323" s="461">
        <f t="shared" si="236"/>
        <v>527756.47679669631</v>
      </c>
      <c r="Y323" s="447">
        <f>VLOOKUP($D323,'Costo Social x localidad'!$B$2:$M$156,12,FALSE)*(Y$3*$E$3+Y$4*$E$4)</f>
        <v>59509.144698053322</v>
      </c>
      <c r="Z323" s="28">
        <f>VLOOKUP(D323,'Estimación  PRESUPUESTO PCAS'!$B$4:$G$158,'Estimación  PRESUPUESTO PCAS'!$G$2,FALSE)</f>
        <v>333704.88856086653</v>
      </c>
      <c r="AA323" s="650">
        <f>(-O323-R323)/(1+0.12)+PV(12%,20,P323)+PV(12%,20,T323)-(O323*0.5)/(1+0.12)^10-S323/(1+0.12)^10</f>
        <v>-26149544.344882913</v>
      </c>
      <c r="AB323" s="651">
        <f>M323+AA323</f>
        <v>-43193581.251926765</v>
      </c>
      <c r="AC323" s="10">
        <f>VLOOKUP($E323,Resumen_Generación!$B$5:$F$158,Resumen_Generación!$D$3,FALSE)</f>
        <v>29.637268855999999</v>
      </c>
      <c r="AD323" s="10">
        <f>VLOOKUP($E323,Resumen_Generación!$B$5:$G$158,Resumen_Generación!$G$3,FALSE)</f>
        <v>12.148146430000001</v>
      </c>
      <c r="AE323" s="362">
        <f>VLOOKUP($E323,Resumen_Generación!$B$5:$F$158,Resumen_Generación!$E$3,FALSE)</f>
        <v>37128</v>
      </c>
      <c r="AF323" s="10">
        <f>VLOOKUP($E323,Resumen_Generación!$B$5:$F$158,Resumen_Generación!$F$3,FALSE)</f>
        <v>13.699546000000002</v>
      </c>
      <c r="AG323" s="448">
        <f>VLOOKUP($D323,Valoración_Equip_actual!$D$4:$I$157,Valoración_Equip_actual!$E$2,FALSE)*$E$4</f>
        <v>268646.14711004967</v>
      </c>
      <c r="AH323" s="448">
        <f>VLOOKUP($D323,Valoración_Equip_actual!$D$4:$I$157,Valoración_Equip_actual!$F$2,FALSE)*$E$4</f>
        <v>139867.20000000001</v>
      </c>
      <c r="AI323" s="448">
        <f>[163]P_Datos!$D$43</f>
        <v>0.93822950819672135</v>
      </c>
      <c r="AN323" s="34" t="str">
        <f>[163]Datos!$C$2</f>
        <v>Saladillo</v>
      </c>
      <c r="AO323" s="25" t="str">
        <f>VLOOKUP($E323,Tabla13[],Inputs_costos!$D$1,FALSE)</f>
        <v>SALADILLO</v>
      </c>
      <c r="AP323" s="28" t="str">
        <f>VLOOKUP($D323,'Costo Social x localidad'!$B$2:$M$156,1,FALSE)</f>
        <v>SALADILLO</v>
      </c>
    </row>
    <row r="324" spans="1:42" ht="15.75" thickBot="1">
      <c r="A324" s="917"/>
      <c r="B324" s="888"/>
      <c r="C324" s="510"/>
      <c r="D324" s="12" t="s">
        <v>8</v>
      </c>
      <c r="E324" s="40"/>
      <c r="F324" s="13"/>
      <c r="G324" s="8"/>
      <c r="H324" s="32">
        <f>SUM(H319:H323)</f>
        <v>14849860.506274357</v>
      </c>
      <c r="I324" s="32"/>
      <c r="J324" s="32">
        <f>SUM(J319:J323)</f>
        <v>6884628.4083384024</v>
      </c>
      <c r="K324" s="14"/>
      <c r="L324" s="14"/>
      <c r="M324" s="15">
        <f t="shared" ref="M324:T324" si="237">SUM(M319:M323)</f>
        <v>-69464405.444112688</v>
      </c>
      <c r="N324" s="15"/>
      <c r="O324" s="16">
        <f t="shared" si="237"/>
        <v>4112261.0837877025</v>
      </c>
      <c r="P324" s="16">
        <f t="shared" si="237"/>
        <v>1389708.6484421506</v>
      </c>
      <c r="Q324" s="16"/>
      <c r="R324" s="26">
        <f t="shared" si="237"/>
        <v>26264776.179760002</v>
      </c>
      <c r="S324" s="26"/>
      <c r="T324" s="26">
        <f t="shared" si="237"/>
        <v>5211816.5788000003</v>
      </c>
      <c r="U324" s="26"/>
      <c r="V324" s="26">
        <f t="shared" ref="V324" si="238">SUM(V319:V323)</f>
        <v>14579460.976927999</v>
      </c>
      <c r="W324" s="26"/>
      <c r="X324" s="26">
        <f t="shared" ref="X324:AA324" si="239">SUM(X319:X323)</f>
        <v>1294449.2763075135</v>
      </c>
      <c r="Y324" s="26">
        <f t="shared" si="239"/>
        <v>187898.09676863998</v>
      </c>
      <c r="Z324" s="26">
        <f t="shared" si="239"/>
        <v>1261425.5874675005</v>
      </c>
      <c r="AA324" s="653">
        <f t="shared" si="239"/>
        <v>-77881318.787948638</v>
      </c>
      <c r="AB324" s="654">
        <f>+M324+AA324</f>
        <v>-147345724.23206133</v>
      </c>
      <c r="AC324" s="630">
        <f t="shared" ref="AC324:AI324" si="240">SUM(AC319:AC323)</f>
        <v>91.412511776000002</v>
      </c>
      <c r="AD324" s="630">
        <f t="shared" si="240"/>
        <v>37.38824778</v>
      </c>
      <c r="AE324" s="631">
        <f t="shared" si="240"/>
        <v>117993</v>
      </c>
      <c r="AF324" s="630">
        <f t="shared" si="240"/>
        <v>42.233722999999998</v>
      </c>
      <c r="AG324" s="630">
        <f t="shared" si="240"/>
        <v>1726340.0031242978</v>
      </c>
      <c r="AH324" s="630">
        <f t="shared" si="240"/>
        <v>675477.34000000008</v>
      </c>
      <c r="AI324" s="630">
        <f t="shared" si="240"/>
        <v>2.9721311475409835</v>
      </c>
      <c r="AJ324" s="4"/>
      <c r="AK324" s="4"/>
      <c r="AL324" s="4"/>
      <c r="AM324" s="4"/>
      <c r="AN324" s="4"/>
      <c r="AO324" s="4"/>
      <c r="AP324" s="4"/>
    </row>
    <row r="325" spans="1:42">
      <c r="A325" s="917"/>
      <c r="B325" s="886" t="s">
        <v>310</v>
      </c>
      <c r="C325" s="507" t="str">
        <f>IF(AND(D325=AN325,D325=AO325,D325=AP325),"ok","ATENCIÓN NO ESTÁ TOMANDO BIEN LA LOCALIDAD")</f>
        <v>ok</v>
      </c>
      <c r="D325" s="23" t="s">
        <v>182</v>
      </c>
      <c r="E325" s="114">
        <f>VLOOKUP(D325,Pobl_adoptada!$C$5:$D$158,2,FALSE)</f>
        <v>84</v>
      </c>
      <c r="F325" s="8" t="s">
        <v>308</v>
      </c>
      <c r="G325" s="576">
        <f>+'[164]Inversion rec-TA'!$G$21</f>
        <v>2849317.4453778807</v>
      </c>
      <c r="H325" s="577">
        <f>+($AC319/$AC324)*H330+G325</f>
        <v>3429846.0824014852</v>
      </c>
      <c r="I325" s="587">
        <f>+'[164]Costos Operativos Rec-TA'!$G$23</f>
        <v>1556198.4736167486</v>
      </c>
      <c r="J325" s="579">
        <f>+($AC319/$AC324)*J330+I325</f>
        <v>1567809.0463572207</v>
      </c>
      <c r="K325" s="10">
        <f>+'[164]Inversion rec-TA'!$G$46</f>
        <v>0</v>
      </c>
      <c r="L325" s="10">
        <f>+'[164]Costos Operativos Rec-TA'!$G$46</f>
        <v>0</v>
      </c>
      <c r="M325" s="19">
        <f t="shared" si="233"/>
        <v>-15877342.503207553</v>
      </c>
      <c r="N325" s="614">
        <f>+$AD319/$AD324*N331</f>
        <v>513908.42401134525</v>
      </c>
      <c r="O325" s="25">
        <f>IF(N325-AG325&lt;0,0,N325-AG325)</f>
        <v>116236.64115134528</v>
      </c>
      <c r="P325" s="32">
        <f>+$AD319/$AD324*P331</f>
        <v>277199.92231775372</v>
      </c>
      <c r="Q325" s="614">
        <f>+$AC319/$AC324*Q331</f>
        <v>4437085.2920580385</v>
      </c>
      <c r="R325" s="647">
        <f>IF(Q325-AH325&lt;0,0,Q325-AH325)</f>
        <v>4394259.7920580385</v>
      </c>
      <c r="S325" s="647">
        <f>+S319</f>
        <v>815000</v>
      </c>
      <c r="T325" s="32">
        <f>+$AC319/$AC324*T331</f>
        <v>341701.35784236016</v>
      </c>
      <c r="U325" s="27"/>
      <c r="V325" s="461">
        <f>+V319</f>
        <v>826481.59126400005</v>
      </c>
      <c r="W325" s="27"/>
      <c r="X325" s="461">
        <f t="shared" ref="X325:Z326" si="241">+X319</f>
        <v>73379.838897074907</v>
      </c>
      <c r="Y325" s="27">
        <f t="shared" si="241"/>
        <v>34797.733114080002</v>
      </c>
      <c r="Z325" s="27">
        <f t="shared" si="241"/>
        <v>266527.59029622236</v>
      </c>
      <c r="AA325" s="650">
        <f>(-O325-R325)/(1+0.12)+PV(12%,20,P325)+PV(12%,20,T325)-(O325*0.5)/(1+0.12)^10-S325/(1+0.12)^10</f>
        <v>-8931197.9110051971</v>
      </c>
      <c r="AB325" s="651">
        <f>M325+AA325</f>
        <v>-24808540.414212748</v>
      </c>
      <c r="AG325" s="448">
        <f>VLOOKUP($D325,Valoración_Eq_REG!$D$4:$I$157,Valoración_Eq_REG!$E$2,FALSE)*$E$4</f>
        <v>397671.78285999998</v>
      </c>
      <c r="AH325" s="448">
        <f>VLOOKUP($D325,Valoración_Eq_REG!$D$4:$I$157,Valoración_Eq_REG!$F$2,FALSE)*$E$4</f>
        <v>42825.5</v>
      </c>
      <c r="AJ325" s="512">
        <f>+'[164]Evaluacion Economica'!$L$25</f>
        <v>3</v>
      </c>
      <c r="AK325" s="513">
        <f>+'[164]Evaluacion Economica'!$R$25</f>
        <v>24</v>
      </c>
      <c r="AL325" s="512">
        <f>+'[164]P_Evaluacion Economica'!$L$27</f>
        <v>3</v>
      </c>
      <c r="AM325" s="513">
        <f>+'[164]P_Evaluacion Economica'!$Q$27</f>
        <v>9</v>
      </c>
      <c r="AN325" s="34" t="str">
        <f>+[164]Datos!$C$2</f>
        <v>Las Flores</v>
      </c>
      <c r="AO325" s="25" t="str">
        <f>VLOOKUP($E325,Tabla13[],Inputs_costos!$D$1,FALSE)</f>
        <v>LAS FLORES</v>
      </c>
      <c r="AP325" s="28" t="str">
        <f>VLOOKUP($D325,'Costo Social x localidad'!$B$2:$M$156,1,FALSE)</f>
        <v>LAS FLORES</v>
      </c>
    </row>
    <row r="326" spans="1:42">
      <c r="A326" s="917"/>
      <c r="B326" s="887"/>
      <c r="C326" s="478" t="str">
        <f>IF(AND(D326=AN326,D326=AO326,D326=AP326),"ok","ATENCIÓN NO ESTÁ TOMANDO BIEN LA LOCALIDAD")</f>
        <v>ok</v>
      </c>
      <c r="D326" s="24" t="s">
        <v>218</v>
      </c>
      <c r="E326" s="115">
        <f>VLOOKUP(D326,Pobl_adoptada!$C$5:$D$158,2,FALSE)</f>
        <v>114</v>
      </c>
      <c r="F326" s="9" t="s">
        <v>308</v>
      </c>
      <c r="G326" s="580">
        <f>+'[165]Inversion rec-TA'!$G$21</f>
        <v>2222412.2734583272</v>
      </c>
      <c r="H326" s="34">
        <f>+($AC320/$AC324)*H330+G326</f>
        <v>2511940.4792518625</v>
      </c>
      <c r="I326" s="465">
        <f>+'[165]Costos Operativos Rec-TA'!$G$23</f>
        <v>1153980.7468838012</v>
      </c>
      <c r="J326" s="581">
        <f>+($AC320/$AC324)*J330+I326</f>
        <v>1159771.3109996719</v>
      </c>
      <c r="K326" s="10">
        <f>+'[165]Inversion rec-TA'!$G$46</f>
        <v>0</v>
      </c>
      <c r="L326" s="10">
        <f>+'[165]Costos Operativos Rec-TA'!$G$46</f>
        <v>0</v>
      </c>
      <c r="M326" s="19">
        <f t="shared" si="233"/>
        <v>-11714428.030184485</v>
      </c>
      <c r="N326" s="465">
        <f>+$AD320/$AD324*N331</f>
        <v>256806.27618603106</v>
      </c>
      <c r="O326" s="25">
        <f>IF(N326-AG326&lt;0,0,N326-AG326)</f>
        <v>48576.447669281653</v>
      </c>
      <c r="P326" s="25">
        <f>+$AD320/$AD324*P331</f>
        <v>138520.16523455133</v>
      </c>
      <c r="Q326" s="465">
        <f>+$AC320/$AC324*Q331</f>
        <v>2212916.4034852157</v>
      </c>
      <c r="R326" s="647">
        <f>IF(Q326-AH326&lt;0,0,Q326-AH326)</f>
        <v>1882427.1634852157</v>
      </c>
      <c r="S326" s="647">
        <f t="shared" ref="S326:S329" si="242">+S320</f>
        <v>0</v>
      </c>
      <c r="T326" s="25">
        <f>+$AC320/$AC324*T331</f>
        <v>170417.40018294865</v>
      </c>
      <c r="U326" s="28"/>
      <c r="V326" s="461">
        <f>+V320</f>
        <v>732840.81984000001</v>
      </c>
      <c r="W326" s="28"/>
      <c r="X326" s="461">
        <f t="shared" si="241"/>
        <v>65065.867002332416</v>
      </c>
      <c r="Y326" s="28">
        <f t="shared" si="241"/>
        <v>18321.33094656</v>
      </c>
      <c r="Z326" s="28">
        <f t="shared" si="241"/>
        <v>170038.83842909074</v>
      </c>
      <c r="AA326" s="650">
        <f>(-O326-R326)/(1+0.12)+PV(12%,20,P326)+PV(12%,20,T326)-(O326*0.5)/(1+0.12)^10-S326/(1+0.12)^10</f>
        <v>-4039522.2534643435</v>
      </c>
      <c r="AB326" s="651">
        <f>M326+AA326</f>
        <v>-15753950.283648828</v>
      </c>
      <c r="AC326" s="10"/>
      <c r="AD326" s="10"/>
      <c r="AE326" s="362"/>
      <c r="AF326" s="10"/>
      <c r="AG326" s="448">
        <f>VLOOKUP($D326,Valoración_Eq_REG!$D$4:$I$157,Valoración_Eq_REG!$E$2,FALSE)*$E$4</f>
        <v>208229.8285167494</v>
      </c>
      <c r="AH326" s="448">
        <f>VLOOKUP($D326,Valoración_Eq_REG!$D$4:$I$157,Valoración_Eq_REG!$F$2,FALSE)*$E$4</f>
        <v>330489.24</v>
      </c>
      <c r="AI326" s="10"/>
      <c r="AJ326" s="512">
        <f>+'[165]Evaluacion Economica'!$L$25</f>
        <v>3</v>
      </c>
      <c r="AK326" s="513">
        <f>+'[165]Evaluacion Economica'!$R$25</f>
        <v>15</v>
      </c>
      <c r="AL326" s="512">
        <f>+'[165]P_Evaluacion Economica'!$L$27</f>
        <v>2</v>
      </c>
      <c r="AM326" s="513">
        <f>+'[165]P_Evaluacion Economica'!$Q$27</f>
        <v>6</v>
      </c>
      <c r="AN326" s="34" t="str">
        <f>+[165]Datos!$C$2</f>
        <v>Roque Pérez</v>
      </c>
      <c r="AO326" s="25" t="str">
        <f>VLOOKUP($E326,Tabla13[],Inputs_costos!$D$1,FALSE)</f>
        <v>ROQUE PÉREZ</v>
      </c>
      <c r="AP326" s="28" t="str">
        <f>VLOOKUP($D326,'Costo Social x localidad'!$B$2:$M$156,1,FALSE)</f>
        <v>ROQUE PÉREZ</v>
      </c>
    </row>
    <row r="327" spans="1:42">
      <c r="A327" s="917"/>
      <c r="B327" s="887"/>
      <c r="C327" s="478" t="str">
        <f>IF(AND(D327=AN327,D327=AO327,D327=AP327),"ok","ATENCIÓN NO ESTÁ TOMANDO BIEN LA LOCALIDAD")</f>
        <v>ok</v>
      </c>
      <c r="D327" s="24" t="s">
        <v>155</v>
      </c>
      <c r="E327" s="115">
        <f>VLOOKUP(D327,Pobl_adoptada!$C$5:$D$158,2,FALSE)</f>
        <v>63</v>
      </c>
      <c r="F327" s="9" t="s">
        <v>308</v>
      </c>
      <c r="G327" s="580">
        <f>+'[166]Inversion rec-TA'!$G$21</f>
        <v>1797185.6031398836</v>
      </c>
      <c r="H327" s="34">
        <f>+($AC321/$AC324)*H330+G327</f>
        <v>1987695.7059311389</v>
      </c>
      <c r="I327" s="465">
        <f>+'[166]Costos Operativos Rec-TA'!$G$23</f>
        <v>930632.97698952025</v>
      </c>
      <c r="J327" s="581">
        <f>+($AC321/$AC324)*J330+I327</f>
        <v>934443.1790453454</v>
      </c>
      <c r="K327" s="10">
        <f>+'[166]Inversion rec-TA'!$G$46</f>
        <v>0</v>
      </c>
      <c r="L327" s="10">
        <f>+'[166]Costos Operativos Rec-TA'!$G$46</f>
        <v>0</v>
      </c>
      <c r="M327" s="19">
        <f t="shared" si="233"/>
        <v>-9394483.7746798322</v>
      </c>
      <c r="N327" s="465">
        <f>+$AD321/$AD324*N331</f>
        <v>165912.76870057164</v>
      </c>
      <c r="O327" s="25">
        <f>IF(N327-AG327&lt;0,0,N327-AG327)</f>
        <v>0</v>
      </c>
      <c r="P327" s="25">
        <f>+$AD321/$AD324*P331</f>
        <v>89492.610835868662</v>
      </c>
      <c r="Q327" s="465">
        <f>+$AC321/$AC324*Q331</f>
        <v>1456103.1466380067</v>
      </c>
      <c r="R327" s="647">
        <f>IF(Q327-AH327&lt;0,0,Q327-AH327)</f>
        <v>1456103.1466380067</v>
      </c>
      <c r="S327" s="647">
        <f t="shared" si="242"/>
        <v>0</v>
      </c>
      <c r="T327" s="25">
        <f>+$AC321/$AC324*T331</f>
        <v>112134.96915538491</v>
      </c>
      <c r="U327" s="458"/>
      <c r="V327" s="461">
        <f>+V321</f>
        <v>1099261.22976</v>
      </c>
      <c r="W327" s="28"/>
      <c r="X327" s="461">
        <f t="shared" ref="X327:Z327" si="243">+X321</f>
        <v>97598.800503498642</v>
      </c>
      <c r="Y327" s="28">
        <f t="shared" si="243"/>
        <v>14080.693164400001</v>
      </c>
      <c r="Z327" s="28">
        <f t="shared" si="243"/>
        <v>174172.03212009076</v>
      </c>
      <c r="AA327" s="650">
        <f>(-O327-R327)/(1+0.12)+PV(12%,20,P327)+PV(12%,20,T327)-(O327*0.5)/(1+0.12)^10-S327/(1+0.12)^10</f>
        <v>-2806137.9370667776</v>
      </c>
      <c r="AB327" s="651">
        <f>M327+AA327</f>
        <v>-12200621.711746611</v>
      </c>
      <c r="AC327" s="39"/>
      <c r="AD327" s="10"/>
      <c r="AE327" s="10"/>
      <c r="AF327" s="10"/>
      <c r="AG327" s="448">
        <f>VLOOKUP($D327,Valoración_Eq_REG!$D$4:$I$157,Valoración_Eq_REG!$E$2,FALSE)*$E$4</f>
        <v>208229.8285167494</v>
      </c>
      <c r="AH327" s="448">
        <f>VLOOKUP($D327,Valoración_Eq_REG!$D$4:$I$157,Valoración_Eq_REG!$F$2,FALSE)*$E$4</f>
        <v>0</v>
      </c>
      <c r="AI327" s="11"/>
      <c r="AJ327" s="484">
        <f>+'[166]Evaluacion Economica'!$L$25</f>
        <v>2</v>
      </c>
      <c r="AK327" s="448">
        <f>+'[166]Evaluacion Economica'!$R$25</f>
        <v>9</v>
      </c>
      <c r="AL327" s="484">
        <f>+'[166]P_Evaluacion Economica'!$L$27</f>
        <v>2</v>
      </c>
      <c r="AM327" s="448">
        <f>+'[166]P_Evaluacion Economica'!$Q$27</f>
        <v>6</v>
      </c>
      <c r="AN327" s="34" t="str">
        <f>+[166]Datos!$C$2</f>
        <v>General Alvear</v>
      </c>
      <c r="AO327" s="25" t="str">
        <f>VLOOKUP($E327,Tabla13[],Inputs_costos!$D$1,FALSE)</f>
        <v>GENERAL ALVEAR</v>
      </c>
      <c r="AP327" s="28" t="str">
        <f>VLOOKUP($D327,'Costo Social x localidad'!$B$2:$M$156,1,FALSE)</f>
        <v>GENERAL ALVEAR</v>
      </c>
    </row>
    <row r="328" spans="1:42">
      <c r="A328" s="917"/>
      <c r="B328" s="887"/>
      <c r="C328" s="478" t="str">
        <f>IF(AND(D328=AN328,D328=AO328,D328=AP328),"ok","ATENCIÓN NO ESTÁ TOMANDO BIEN LA LOCALIDAD")</f>
        <v>ok</v>
      </c>
      <c r="D328" s="24" t="s">
        <v>112</v>
      </c>
      <c r="E328" s="115">
        <f>VLOOKUP(D328,Pobl_adoptada!$C$5:$D$158,2,FALSE)</f>
        <v>25</v>
      </c>
      <c r="F328" s="9" t="s">
        <v>308</v>
      </c>
      <c r="G328" s="580">
        <f>+'[167]Inversion rec-TA'!$G$21</f>
        <v>3010850.2423701785</v>
      </c>
      <c r="H328" s="34">
        <f>+($AC322/$AC324)*H330+G328</f>
        <v>3547420.4463844462</v>
      </c>
      <c r="I328" s="465">
        <f>+'[167]Costos Operativos Rec-TA'!$G$23</f>
        <v>1698226.0366101677</v>
      </c>
      <c r="J328" s="581">
        <f>+($AC322/$AC324)*J330+I328</f>
        <v>1708957.4406904532</v>
      </c>
      <c r="K328" s="10">
        <f>+'[167]Inversion rec-TA'!$G$46</f>
        <v>0</v>
      </c>
      <c r="L328" s="10">
        <f>+'[167]Costos Operativos Rec-TA'!$G$46</f>
        <v>0</v>
      </c>
      <c r="M328" s="19">
        <f t="shared" si="233"/>
        <v>-17074475.386554752</v>
      </c>
      <c r="N328" s="465">
        <f>+$AD322/$AD324*N331</f>
        <v>468029.40220876777</v>
      </c>
      <c r="O328" s="25">
        <f>IF(N328-AG328&lt;0,0,N328-AG328)</f>
        <v>192291.6735880184</v>
      </c>
      <c r="P328" s="25">
        <f>+$AD322/$AD324*P331</f>
        <v>252452.98164606656</v>
      </c>
      <c r="Q328" s="465">
        <f>+$AC322/$AC324*Q331</f>
        <v>4101103.0439338735</v>
      </c>
      <c r="R328" s="647">
        <f>IF(Q328-AH328&lt;0,0,Q328-AH328)</f>
        <v>3938807.6439338736</v>
      </c>
      <c r="S328" s="647">
        <f t="shared" si="242"/>
        <v>815000</v>
      </c>
      <c r="T328" s="25">
        <f>+$AC322/$AC324*T331</f>
        <v>315827.25742773729</v>
      </c>
      <c r="V328" s="461">
        <f>+V322</f>
        <v>5976724.0195840001</v>
      </c>
      <c r="W328" s="25"/>
      <c r="X328" s="461">
        <f t="shared" ref="X328:Z328" si="244">+X322</f>
        <v>530648.29310791113</v>
      </c>
      <c r="Y328" s="28">
        <f t="shared" si="244"/>
        <v>61189.194845546655</v>
      </c>
      <c r="Z328" s="28">
        <f t="shared" si="244"/>
        <v>316982.23806123016</v>
      </c>
      <c r="AA328" s="650">
        <f>(-O328-R328)/(1+0.12)+PV(12%,20,P328)+PV(12%,20,T328)-(O328*0.5)/(1+0.12)^10-S328/(1+0.12)^10</f>
        <v>-8226583.3161615804</v>
      </c>
      <c r="AB328" s="651">
        <f>M328+AA328</f>
        <v>-25301058.702716332</v>
      </c>
      <c r="AC328" s="10"/>
      <c r="AD328" s="10"/>
      <c r="AE328" s="10"/>
      <c r="AF328" s="10"/>
      <c r="AG328" s="448">
        <f>VLOOKUP($D328,Valoración_Eq_REG!$D$4:$I$157,Valoración_Eq_REG!$E$2,FALSE)*$E$4</f>
        <v>275737.72862074937</v>
      </c>
      <c r="AH328" s="448">
        <f>VLOOKUP($D328,Valoración_Eq_REG!$D$4:$I$157,Valoración_Eq_REG!$F$2,FALSE)*$E$4</f>
        <v>162295.4</v>
      </c>
      <c r="AI328" s="2"/>
      <c r="AJ328" s="484">
        <f>+'[167]Evaluacion Economica'!$L$25</f>
        <v>3</v>
      </c>
      <c r="AK328" s="448">
        <f>+'[167]Evaluacion Economica'!$R$25</f>
        <v>18</v>
      </c>
      <c r="AL328" s="484">
        <f>+'[167]P_Evaluacion Economica'!$L$27</f>
        <v>3</v>
      </c>
      <c r="AM328" s="448">
        <f>+'[167]P_Evaluacion Economica'!$Q$27</f>
        <v>9</v>
      </c>
      <c r="AN328" s="34" t="str">
        <f>+[167]Datos!$C$2</f>
        <v>25 de Mayo</v>
      </c>
      <c r="AO328" s="25" t="str">
        <f>VLOOKUP($E328,Tabla13[],Inputs_costos!$D$1,FALSE)</f>
        <v>25 DE MAYO</v>
      </c>
      <c r="AP328" s="28" t="str">
        <f>VLOOKUP($D328,'Costo Social x localidad'!$B$2:$M$156,1,FALSE)</f>
        <v>25 DE MAYO</v>
      </c>
    </row>
    <row r="329" spans="1:42" ht="15.75" thickBot="1">
      <c r="A329" s="917"/>
      <c r="B329" s="887"/>
      <c r="C329" s="478" t="str">
        <f>IF(AND(D329=AN329,D329=AO329,D329=AP329),"ok","ATENCIÓN NO ESTÁ TOMANDO BIEN LA LOCALIDAD")</f>
        <v>ok</v>
      </c>
      <c r="D329" s="36" t="s">
        <v>221</v>
      </c>
      <c r="E329" s="115">
        <f>VLOOKUP(D329,Pobl_adoptada!$C$5:$D$158,2,FALSE)</f>
        <v>116</v>
      </c>
      <c r="F329" s="9" t="s">
        <v>308</v>
      </c>
      <c r="G329" s="580">
        <f>+'[168]Inversion rec-TA'!$G$21</f>
        <v>2916156.4327098252</v>
      </c>
      <c r="H329" s="34">
        <f>+($AC323/$AC324)*H330+G329</f>
        <v>3682398.3909093537</v>
      </c>
      <c r="I329" s="465">
        <f>+'[168]Costos Operativos Rec-TA'!$G$23</f>
        <v>1721090.3181464234</v>
      </c>
      <c r="J329" s="581">
        <f>+($AC323/$AC324)*J330+I329</f>
        <v>1736415.1573104139</v>
      </c>
      <c r="K329" s="10">
        <f>+'[168]Inversion rec-TA'!$G$46</f>
        <v>0</v>
      </c>
      <c r="L329" s="10">
        <f>+'[168]Costos Operativos Rec-TA'!$G$46</f>
        <v>0</v>
      </c>
      <c r="M329" s="19">
        <f t="shared" si="233"/>
        <v>-17443544.560464595</v>
      </c>
      <c r="N329" s="465">
        <f>+$AD323/$AD324*N331</f>
        <v>676066.11865328415</v>
      </c>
      <c r="O329" s="25">
        <f>IF(N329-AG329&lt;0,0,N329-AG329)</f>
        <v>407419.97154323448</v>
      </c>
      <c r="P329" s="25">
        <f>+$AD323/$AD324*P331</f>
        <v>364667.06287775974</v>
      </c>
      <c r="Q329" s="465">
        <f>+$AC323/$AC324*Q331</f>
        <v>5856525.7698848657</v>
      </c>
      <c r="R329" s="647">
        <f>IF(Q329-AH329&lt;0,0,Q329-AH329)</f>
        <v>5716658.5698848655</v>
      </c>
      <c r="S329" s="647">
        <f t="shared" si="242"/>
        <v>815000</v>
      </c>
      <c r="T329" s="25">
        <f>+$AC323/$AC324*T331</f>
        <v>451012.92314356897</v>
      </c>
      <c r="U329" s="29"/>
      <c r="V329" s="461">
        <f>+V323</f>
        <v>5944153.3164799996</v>
      </c>
      <c r="W329" s="25"/>
      <c r="X329" s="461">
        <f t="shared" ref="X329:Z329" si="245">+X323</f>
        <v>527756.47679669631</v>
      </c>
      <c r="Y329" s="28">
        <f t="shared" si="245"/>
        <v>59509.144698053322</v>
      </c>
      <c r="Z329" s="28">
        <f t="shared" si="245"/>
        <v>333704.88856086653</v>
      </c>
      <c r="AA329" s="650">
        <f>(-O329-R329)/(1+0.12)+PV(12%,20,P329)+PV(12%,20,T329)-(O329*0.5)/(1+0.12)^10-S329/(1+0.12)^10</f>
        <v>-11888600.291477019</v>
      </c>
      <c r="AB329" s="651">
        <f>M329+AA329</f>
        <v>-29332144.851941615</v>
      </c>
      <c r="AC329" s="10"/>
      <c r="AD329" s="10"/>
      <c r="AE329" s="10"/>
      <c r="AF329" s="10"/>
      <c r="AG329" s="448">
        <f>VLOOKUP($D329,Valoración_Eq_REG!$D$4:$I$157,Valoración_Eq_REG!$E$2,FALSE)*$E$4</f>
        <v>268646.14711004967</v>
      </c>
      <c r="AH329" s="448">
        <f>VLOOKUP($D329,Valoración_Eq_REG!$D$4:$I$157,Valoración_Eq_REG!$F$2,FALSE)*$E$4</f>
        <v>139867.20000000001</v>
      </c>
      <c r="AI329" s="2"/>
      <c r="AJ329" s="484">
        <f>+'[168]Evaluacion Economica'!$L$25</f>
        <v>3</v>
      </c>
      <c r="AK329" s="448">
        <f>+'[168]Evaluacion Economica'!$R$25</f>
        <v>9</v>
      </c>
      <c r="AL329" s="484">
        <f>+'[168]P_Evaluacion Economica'!$L$27</f>
        <v>3</v>
      </c>
      <c r="AM329" s="448">
        <f>+'[168]P_Evaluacion Economica'!$Q$27</f>
        <v>6</v>
      </c>
      <c r="AN329" s="34" t="str">
        <f>+[168]Datos!$C$2</f>
        <v>Saladillo</v>
      </c>
      <c r="AO329" s="25" t="str">
        <f>VLOOKUP($E329,Tabla13[],Inputs_costos!$D$1,FALSE)</f>
        <v>SALADILLO</v>
      </c>
      <c r="AP329" s="28" t="str">
        <f>VLOOKUP($D329,'Costo Social x localidad'!$B$2:$M$156,1,FALSE)</f>
        <v>SALADILLO</v>
      </c>
    </row>
    <row r="330" spans="1:42" ht="30.75" thickBot="1">
      <c r="A330" s="917"/>
      <c r="B330" s="887"/>
      <c r="C330" s="912" t="s">
        <v>12</v>
      </c>
      <c r="D330" s="913"/>
      <c r="E330" s="498" t="s">
        <v>589</v>
      </c>
      <c r="F330" s="571">
        <f>+F313</f>
        <v>0.02</v>
      </c>
      <c r="G330" s="582"/>
      <c r="H330" s="461">
        <f>+AJ330*AJ332+AL330*AL332</f>
        <v>2363379.1078221919</v>
      </c>
      <c r="I330" s="461"/>
      <c r="J330" s="583">
        <f>+$F330*H330</f>
        <v>47267.582156443837</v>
      </c>
      <c r="K330" s="10"/>
      <c r="L330" s="10"/>
      <c r="M330" s="19"/>
      <c r="N330" s="465"/>
      <c r="O330" s="10"/>
      <c r="P330" s="10"/>
      <c r="Q330" s="618"/>
      <c r="R330" s="28"/>
      <c r="S330" s="28"/>
      <c r="T330" s="28"/>
      <c r="U330" s="28"/>
      <c r="V330" s="28"/>
      <c r="W330" s="28"/>
      <c r="X330" s="28"/>
      <c r="Y330" s="28"/>
      <c r="Z330" s="28"/>
      <c r="AA330" s="658"/>
      <c r="AB330" s="20"/>
      <c r="AC330" s="10"/>
      <c r="AD330" s="10"/>
      <c r="AE330" s="10"/>
      <c r="AF330" s="10"/>
      <c r="AG330" s="4"/>
      <c r="AH330" s="4"/>
      <c r="AI330" s="4"/>
      <c r="AJ330" s="501">
        <f>ROUNDUP(C331*SUM(AJ325:AJ329),0)</f>
        <v>5</v>
      </c>
      <c r="AK330" s="502">
        <f>AVERAGE(AK325:AK329)</f>
        <v>15</v>
      </c>
      <c r="AL330" s="501">
        <f>ROUNDUP(C331*SUM(AL325:AL329),0)</f>
        <v>4</v>
      </c>
      <c r="AM330" s="502">
        <f>AVERAGE(AM325:AM329)</f>
        <v>7.2</v>
      </c>
      <c r="AN330" s="4"/>
      <c r="AO330" s="4"/>
      <c r="AP330" s="4"/>
    </row>
    <row r="331" spans="1:42" ht="15.75" thickBot="1">
      <c r="A331" s="918"/>
      <c r="B331" s="888"/>
      <c r="C331" s="570">
        <v>0.3</v>
      </c>
      <c r="D331" s="500" t="str">
        <f>A319</f>
        <v>REGIÓN SALADILLO</v>
      </c>
      <c r="E331" s="468"/>
      <c r="F331" s="469"/>
      <c r="G331" s="584"/>
      <c r="H331" s="585">
        <f>SUM(H325:H329)</f>
        <v>15159301.104878286</v>
      </c>
      <c r="I331" s="585"/>
      <c r="J331" s="586">
        <f>SUM(J325:J329)</f>
        <v>7107396.1344031058</v>
      </c>
      <c r="K331" s="14"/>
      <c r="L331" s="14"/>
      <c r="M331" s="15">
        <f>SUM(M325:M330)</f>
        <v>-71504274.255091205</v>
      </c>
      <c r="N331" s="615">
        <f>(VLOOKUP($E325,Tabla13[],Inputs_costos!$P$1,FALSE))*(O$3*$E$3+O$4*$E$4)</f>
        <v>2080722.98976</v>
      </c>
      <c r="O331" s="35">
        <f>SUM(O325:O329)</f>
        <v>764524.7339518799</v>
      </c>
      <c r="P331" s="35">
        <f>(VLOOKUP($E325,Tabla13[],Inputs_costos!$Q$1,FALSE))*(P$3*$E$3+P$4*$E$4)</f>
        <v>1122332.742912</v>
      </c>
      <c r="Q331" s="615">
        <f>IF($AC324&gt;=15,(VLOOKUP($E325,Tabla13[],Inputs_costos!$N$1,FALSE))*($R$3*$E$3+$R$4*$E$4),(VLOOKUP($E325,Tabla13[],Inputs_costos!$N$1,FALSE))*($T$3*$E$3+$T$4*$E$4))</f>
        <v>18063733.655999999</v>
      </c>
      <c r="R331" s="35">
        <f>SUM(R325:R329)</f>
        <v>17388256.316</v>
      </c>
      <c r="S331" s="35"/>
      <c r="T331" s="35">
        <f>IF($AC324&gt;=15,(VLOOKUP($E325,Tabla13[],Inputs_costos!$O$1,FALSE))*($R$3*$E$3+$R$4*$E$4),(VLOOKUP($E325,Tabla13[],Inputs_costos!$O$1,FALSE))*($T$3*$E$3+$T$4*$E$4))</f>
        <v>1391093.907752</v>
      </c>
      <c r="U331" s="35"/>
      <c r="V331" s="31">
        <f>SUM(V325:V329)</f>
        <v>14579460.976927999</v>
      </c>
      <c r="W331" s="31"/>
      <c r="X331" s="31">
        <f>SUM(X325:X329)</f>
        <v>1294449.2763075135</v>
      </c>
      <c r="Y331" s="31">
        <f>SUM(Y325:Y329)</f>
        <v>187898.09676863998</v>
      </c>
      <c r="Z331" s="31">
        <f>SUM(Z325:Z329)</f>
        <v>1261425.5874675005</v>
      </c>
      <c r="AA331" s="657">
        <f>SUM(AA325:AA329)</f>
        <v>-35892041.709174916</v>
      </c>
      <c r="AB331" s="654">
        <f>+M331+AA331</f>
        <v>-107396315.96426612</v>
      </c>
      <c r="AC331" s="38"/>
      <c r="AD331" s="38"/>
      <c r="AE331" s="38"/>
      <c r="AF331" s="38"/>
      <c r="AG331" s="4"/>
      <c r="AH331" s="4"/>
      <c r="AI331" s="4"/>
      <c r="AJ331" s="11"/>
      <c r="AK331" s="499">
        <f>VLOOKUP(ROUNDUP(AK330,0),DATOS!$F$16:$G$31,2,FALSE)</f>
        <v>15</v>
      </c>
      <c r="AL331" s="497"/>
      <c r="AM331" s="499">
        <f>VLOOKUP(ROUNDUP(AM330,0),DATOS!$J$16:$K$34,2,FALSE)</f>
        <v>9</v>
      </c>
      <c r="AN331" s="4"/>
      <c r="AO331" s="4"/>
      <c r="AP331" s="4"/>
    </row>
    <row r="332" spans="1:42">
      <c r="E332" s="592"/>
      <c r="F332" s="2"/>
      <c r="G332" s="2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0"/>
      <c r="V332" s="2"/>
      <c r="W332" s="2"/>
      <c r="X332" s="2"/>
      <c r="Y332" s="2"/>
      <c r="Z332" s="2"/>
      <c r="AA332" s="4"/>
      <c r="AB332" s="4"/>
      <c r="AC332" s="4"/>
      <c r="AD332" s="4"/>
      <c r="AE332" s="4"/>
      <c r="AF332" s="4"/>
      <c r="AG332" s="448"/>
      <c r="AH332" s="448"/>
      <c r="AI332" s="4"/>
      <c r="AJ332" s="892">
        <f>VLOOKUP(AK331,DATOS!$F$3:$H$11,3,FALSE)</f>
        <v>277598.62978843832</v>
      </c>
      <c r="AK332" s="892"/>
      <c r="AL332" s="892">
        <f>VLOOKUP(AM331,DATOS!$J$3:$L$12,3,FALSE)</f>
        <v>243846.48972000001</v>
      </c>
      <c r="AM332" s="892"/>
      <c r="AN332" s="4"/>
      <c r="AO332" s="4"/>
      <c r="AP332" s="4"/>
    </row>
    <row r="333" spans="1:42" ht="15.75" thickBot="1">
      <c r="A333" s="503"/>
      <c r="B333" s="503"/>
      <c r="C333" s="503"/>
      <c r="D333" s="503"/>
      <c r="E333" s="503"/>
      <c r="F333" s="504"/>
      <c r="G333" s="504"/>
      <c r="H333" s="505"/>
      <c r="I333" s="505"/>
      <c r="J333" s="505"/>
      <c r="K333" s="505"/>
      <c r="L333" s="505"/>
      <c r="M333" s="505"/>
      <c r="N333" s="505"/>
      <c r="O333" s="505"/>
      <c r="P333" s="505"/>
      <c r="Q333" s="505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6"/>
      <c r="AB333" s="506"/>
      <c r="AC333" s="506"/>
      <c r="AD333" s="506"/>
      <c r="AE333" s="506"/>
      <c r="AF333" s="506"/>
      <c r="AG333" s="506"/>
      <c r="AH333" s="506"/>
      <c r="AI333" s="506"/>
      <c r="AJ333" s="506"/>
      <c r="AK333" s="506"/>
      <c r="AL333" s="506"/>
      <c r="AM333" s="506"/>
      <c r="AN333" s="506"/>
      <c r="AO333" s="506"/>
      <c r="AP333" s="506"/>
    </row>
    <row r="334" spans="1:42" ht="39" thickBot="1">
      <c r="A334" s="886" t="s">
        <v>7</v>
      </c>
      <c r="B334" s="886" t="s">
        <v>2</v>
      </c>
      <c r="C334" s="508"/>
      <c r="D334" s="882" t="s">
        <v>22</v>
      </c>
      <c r="E334" s="882" t="s">
        <v>23</v>
      </c>
      <c r="F334" s="882" t="s">
        <v>3</v>
      </c>
      <c r="G334" s="568"/>
      <c r="H334" s="901" t="s">
        <v>0</v>
      </c>
      <c r="I334" s="901"/>
      <c r="J334" s="901"/>
      <c r="K334" s="901" t="s">
        <v>1</v>
      </c>
      <c r="L334" s="901"/>
      <c r="M334" s="886" t="s">
        <v>10</v>
      </c>
      <c r="N334" s="879" t="s">
        <v>5</v>
      </c>
      <c r="O334" s="880"/>
      <c r="P334" s="881"/>
      <c r="Q334" s="902" t="s">
        <v>4</v>
      </c>
      <c r="R334" s="903"/>
      <c r="S334" s="903"/>
      <c r="T334" s="904"/>
      <c r="U334" s="902" t="s">
        <v>6</v>
      </c>
      <c r="V334" s="903"/>
      <c r="W334" s="903"/>
      <c r="X334" s="904"/>
      <c r="Y334" s="390" t="s">
        <v>689</v>
      </c>
      <c r="Z334" s="662" t="s">
        <v>690</v>
      </c>
      <c r="AA334" s="905" t="s">
        <v>686</v>
      </c>
      <c r="AB334" s="886" t="s">
        <v>9</v>
      </c>
      <c r="AC334" s="907" t="s">
        <v>312</v>
      </c>
      <c r="AD334" s="914" t="s">
        <v>649</v>
      </c>
      <c r="AE334" s="897" t="s">
        <v>20</v>
      </c>
      <c r="AF334" s="897" t="s">
        <v>313</v>
      </c>
      <c r="AG334" s="899" t="s">
        <v>552</v>
      </c>
      <c r="AH334" s="895" t="s">
        <v>578</v>
      </c>
      <c r="AI334" s="897" t="s">
        <v>579</v>
      </c>
      <c r="AJ334" s="882" t="s">
        <v>581</v>
      </c>
      <c r="AK334" s="882" t="s">
        <v>582</v>
      </c>
      <c r="AL334" s="882" t="s">
        <v>581</v>
      </c>
      <c r="AM334" s="882" t="s">
        <v>582</v>
      </c>
      <c r="AN334" s="884" t="s">
        <v>553</v>
      </c>
      <c r="AO334" s="885"/>
      <c r="AP334" s="885"/>
    </row>
    <row r="335" spans="1:42" ht="30.75" thickBot="1">
      <c r="A335" s="888"/>
      <c r="B335" s="888"/>
      <c r="C335" s="509"/>
      <c r="D335" s="883"/>
      <c r="E335" s="883"/>
      <c r="F335" s="883"/>
      <c r="G335" s="569"/>
      <c r="H335" s="17" t="s">
        <v>18</v>
      </c>
      <c r="I335" s="17"/>
      <c r="J335" s="17" t="s">
        <v>17</v>
      </c>
      <c r="K335" s="17" t="s">
        <v>18</v>
      </c>
      <c r="L335" s="17" t="s">
        <v>17</v>
      </c>
      <c r="M335" s="888"/>
      <c r="N335" s="464" t="s">
        <v>685</v>
      </c>
      <c r="O335" s="17" t="s">
        <v>18</v>
      </c>
      <c r="P335" s="17" t="s">
        <v>17</v>
      </c>
      <c r="Q335" s="464" t="s">
        <v>685</v>
      </c>
      <c r="R335" s="17" t="s">
        <v>18</v>
      </c>
      <c r="S335" s="17"/>
      <c r="T335" s="17" t="s">
        <v>17</v>
      </c>
      <c r="U335" s="464" t="s">
        <v>576</v>
      </c>
      <c r="V335" s="17" t="s">
        <v>18</v>
      </c>
      <c r="W335" s="464" t="s">
        <v>577</v>
      </c>
      <c r="X335" s="17" t="s">
        <v>17</v>
      </c>
      <c r="Y335" s="17" t="s">
        <v>18</v>
      </c>
      <c r="Z335" s="17" t="s">
        <v>17</v>
      </c>
      <c r="AA335" s="906"/>
      <c r="AB335" s="888"/>
      <c r="AC335" s="908"/>
      <c r="AD335" s="915"/>
      <c r="AE335" s="898"/>
      <c r="AF335" s="898"/>
      <c r="AG335" s="900"/>
      <c r="AH335" s="896"/>
      <c r="AI335" s="898"/>
      <c r="AJ335" s="883"/>
      <c r="AK335" s="883"/>
      <c r="AL335" s="883"/>
      <c r="AM335" s="883"/>
      <c r="AN335" s="1" t="s">
        <v>551</v>
      </c>
      <c r="AO335" s="9" t="s">
        <v>554</v>
      </c>
      <c r="AP335" s="1" t="s">
        <v>555</v>
      </c>
    </row>
    <row r="336" spans="1:42">
      <c r="A336" s="916" t="s">
        <v>612</v>
      </c>
      <c r="B336" s="886" t="s">
        <v>309</v>
      </c>
      <c r="C336" s="507" t="str">
        <f>IF(AND(D336=AN336,D336=AO336,D336=AP336),"ok","ATENCIÓN NO ESTÁ TOMANDO BIEN LA LOCALIDAD")</f>
        <v>ok</v>
      </c>
      <c r="D336" s="23" t="s">
        <v>214</v>
      </c>
      <c r="E336" s="114">
        <f>VLOOKUP(D336,Pobl_adoptada!$C$5:$D$158,2,FALSE)</f>
        <v>111</v>
      </c>
      <c r="F336" s="8" t="s">
        <v>308</v>
      </c>
      <c r="G336" s="8"/>
      <c r="H336" s="33">
        <f>'[169]Inversion rec-TA'!$G$21</f>
        <v>2212934.0167098255</v>
      </c>
      <c r="I336" s="33"/>
      <c r="J336" s="33">
        <f>'[169]Costos Operativos Rec-TA'!$G$23</f>
        <v>875950.17358708684</v>
      </c>
      <c r="K336" s="32">
        <f>'[169]Inversion rec-TA'!$G$46</f>
        <v>0</v>
      </c>
      <c r="L336" s="32">
        <f>+'[169]Costos Operativos Rec-TA'!$G$46</f>
        <v>0</v>
      </c>
      <c r="M336" s="19">
        <f t="shared" ref="M336:M337" si="246">-H336/(1+0.12)+PV(12%,20,J336)-H336/(1+0.12)^10</f>
        <v>-9231199.9105413463</v>
      </c>
      <c r="N336" s="19"/>
      <c r="O336" s="25">
        <f>IF(((VLOOKUP($E336,Tabla13[],Inputs_costos!$I$1,FALSE))*(O$3*$E$3+O$4*$E$4)-AG336)&lt;0,0,VLOOKUP($E336,Tabla13[],Inputs_costos!$I$1,FALSE)*(O$3*$E$3+O$4*$E$4)-AG336)</f>
        <v>359159.83353599999</v>
      </c>
      <c r="P336" s="25">
        <f>(VLOOKUP($E336,Tabla13[],Inputs_costos!$J$1,FALSE))*(P$3*$E$3+P$4*$E$4)</f>
        <v>26127.3549570752</v>
      </c>
      <c r="Q336" s="25"/>
      <c r="R336" s="25">
        <f>IF($AC336&gt;=15,(VLOOKUP($E336,Tabla13[],Inputs_costos!$G$1,FALSE))*($R$3*$E$3+$R$4*$E$4),(VLOOKUP($E336,Tabla13[],Inputs_costos!$G$1,FALSE))*($T$3*$E$3+$T$4*$E$4))-AH336</f>
        <v>749833.00095999998</v>
      </c>
      <c r="S336" s="25">
        <f t="shared" ref="S336:S337" si="247">IF(AC336&lt;15,0,IF(AC336&lt;=350,815000,1345000))</f>
        <v>0</v>
      </c>
      <c r="T336" s="25">
        <f>IF($AC336&gt;=15,(VLOOKUP($E336,Tabla13[],Inputs_costos!$H$1,FALSE))*($R$3*$E$3+$R$4*$E$4),(VLOOKUP($E336,Tabla13[],Inputs_costos!$H$1,FALSE))*($T$3*$E$3+$T$4*$E$4))</f>
        <v>146725.59952799999</v>
      </c>
      <c r="U336" s="465">
        <f>SUMIFS(Tabla24[Costo de Cierre Técnico de BCA (US$)],Tabla24[Localidad],Resumen!$D336)</f>
        <v>254400</v>
      </c>
      <c r="V336" s="461">
        <f>+U336*(V$3*$E$3+V$4*$E$4)</f>
        <v>488560.54655999999</v>
      </c>
      <c r="W336" s="465">
        <f>SUMIFS(Tabla24[Costo anual de Manteniemiento Post-cierre (US$)],Tabla24[Localidad],Resumen!$D336)</f>
        <v>22587.110484657918</v>
      </c>
      <c r="X336" s="461">
        <f>+W336*(X$3*$E$3+X$4*$E$4)</f>
        <v>43377.244668221618</v>
      </c>
      <c r="Y336" s="27">
        <f>VLOOKUP($D336,'Costo Social x localidad'!$B$2:$M$156,12,FALSE)*(Y$3*$E$3+Y$4*$E$4)</f>
        <v>18751.770805600001</v>
      </c>
      <c r="Z336" s="28">
        <f>VLOOKUP(D336,'Estimación  PRESUPUESTO PCAS'!$B$4:$G$158,'Estimación  PRESUPUESTO PCAS'!$G$2,FALSE)</f>
        <v>170777.27397765825</v>
      </c>
      <c r="AA336" s="650">
        <f>(-O336-R336)/(1+0.12)+PV(12%,20,P336)+PV(12%,20,T336)-(O336*0.5)/(1+0.12)^10-S336/(1+0.12)^10</f>
        <v>-2339107.4995103567</v>
      </c>
      <c r="AB336" s="651">
        <f>M336+AA336</f>
        <v>-11570307.410051703</v>
      </c>
      <c r="AC336" s="10">
        <f>VLOOKUP($E336,Resumen_Generación!$B$5:$F$158,Resumen_Generación!$D$3,FALSE)</f>
        <v>11.050858207999999</v>
      </c>
      <c r="AD336" s="10">
        <f>VLOOKUP($E336,Resumen_Generación!$B$5:$G$158,Resumen_Generación!$G$3,FALSE)</f>
        <v>4.5082272400000001</v>
      </c>
      <c r="AE336" s="362">
        <f>VLOOKUP($E336,Resumen_Generación!$B$5:$F$158,Resumen_Generación!$E$3,FALSE)</f>
        <v>15932</v>
      </c>
      <c r="AF336" s="10">
        <f>VLOOKUP($E336,Resumen_Generación!$B$5:$F$158,Resumen_Generación!$F$3,FALSE)</f>
        <v>5.109496</v>
      </c>
      <c r="AG336" s="448">
        <f>VLOOKUP($D336,Valoración_Equip_actual!$D$4:$I$157,Valoración_Equip_actual!$E$2,FALSE)*$E$4</f>
        <v>0</v>
      </c>
      <c r="AH336" s="448">
        <f>VLOOKUP($D336,Valoración_Equip_actual!$D$4:$I$157,Valoración_Equip_actual!$F$2,FALSE)*$E$4</f>
        <v>97377.24</v>
      </c>
      <c r="AI336" s="448">
        <f>[169]P_Datos!$D$43</f>
        <v>0.41075409836065574</v>
      </c>
      <c r="AN336" s="449" t="str">
        <f>[169]Datos!$C$2</f>
        <v>Rauch</v>
      </c>
      <c r="AO336" s="450" t="str">
        <f>VLOOKUP($E336,Tabla13[],Inputs_costos!$D$1,FALSE)</f>
        <v>RAUCH</v>
      </c>
      <c r="AP336" s="451" t="str">
        <f>VLOOKUP($D336,'Costo Social x localidad'!$B$2:$M$156,1,FALSE)</f>
        <v>RAUCH</v>
      </c>
    </row>
    <row r="337" spans="1:42" ht="15.75" thickBot="1">
      <c r="A337" s="917"/>
      <c r="B337" s="887"/>
      <c r="C337" s="478" t="str">
        <f>IF(AND(D337=AN337,D337=AO337,D337=AP337),"ok","ATENCIÓN NO ESTÁ TOMANDO BIEN LA LOCALIDAD")</f>
        <v>ok</v>
      </c>
      <c r="D337" s="36" t="s">
        <v>232</v>
      </c>
      <c r="E337" s="511">
        <f>VLOOKUP(D337,Pobl_adoptada!$C$5:$D$158,2,FALSE)</f>
        <v>126</v>
      </c>
      <c r="F337" s="37" t="s">
        <v>308</v>
      </c>
      <c r="G337" s="37"/>
      <c r="H337" s="117">
        <f>'[170]Inversion rec-TA'!$G$21</f>
        <v>6662936.9574504588</v>
      </c>
      <c r="I337" s="117"/>
      <c r="J337" s="117">
        <f>'[170]Costos Operativos Rec-TA'!$G$23</f>
        <v>4151647.6247418788</v>
      </c>
      <c r="K337" s="25">
        <f>'[170]Inversion rec-TA'!$G$46</f>
        <v>0</v>
      </c>
      <c r="L337" s="25">
        <f>+'[170]Costos Operativos Rec-TA'!$G$46</f>
        <v>0</v>
      </c>
      <c r="M337" s="19">
        <f t="shared" si="246"/>
        <v>-39104836.113339603</v>
      </c>
      <c r="N337" s="19"/>
      <c r="O337" s="25">
        <f>IF(((VLOOKUP($E337,Tabla13[],Inputs_costos!$I$1,FALSE))*(O$3*$E$3+O$4*$E$4)-AG337)&lt;0,0,VLOOKUP($E337,Tabla13[],Inputs_costos!$I$1,FALSE)*(O$3*$E$3+O$4*$E$4)-AG337)</f>
        <v>2273083.6691200002</v>
      </c>
      <c r="P337" s="25">
        <f>(VLOOKUP($E337,Tabla13[],Inputs_costos!$J$1,FALSE))*(P$3*$E$3+P$4*$E$4)</f>
        <v>1132794.789504</v>
      </c>
      <c r="Q337" s="25"/>
      <c r="R337" s="25">
        <f>IF($AC337&gt;=15,(VLOOKUP($E337,Tabla13[],Inputs_costos!$G$1,FALSE))*($R$3*$E$3+$R$4*$E$4),(VLOOKUP($E337,Tabla13[],Inputs_costos!$G$1,FALSE))*($T$3*$E$3+$T$4*$E$4))-AH337</f>
        <v>22505940.955200002</v>
      </c>
      <c r="S337" s="25">
        <f t="shared" si="247"/>
        <v>815000</v>
      </c>
      <c r="T337" s="25">
        <f>IF($AC337&gt;=15,(VLOOKUP($E337,Tabla13[],Inputs_costos!$H$1,FALSE))*($R$3*$E$3+$R$4*$E$4),(VLOOKUP($E337,Tabla13[],Inputs_costos!$H$1,FALSE))*($T$3*$E$3+$T$4*$E$4))</f>
        <v>1492970.3829120002</v>
      </c>
      <c r="U337" s="465">
        <f>SUMIFS(Tabla24[Costo de Cierre Técnico de BCA (US$)],Tabla24[Localidad],Resumen!$D337)</f>
        <v>0</v>
      </c>
      <c r="V337" s="461">
        <f t="shared" ref="V337" si="248">+U337*(V$3*$E$3+V$4*$E$4)</f>
        <v>0</v>
      </c>
      <c r="W337" s="465">
        <f>SUMIFS(Tabla24[Costo anual de Manteniemiento Post-cierre (US$)],Tabla24[Localidad],Resumen!$D337)</f>
        <v>0</v>
      </c>
      <c r="X337" s="461">
        <f t="shared" ref="X337" si="249">+W337*(X$3*$E$3+X$4*$E$4)</f>
        <v>0</v>
      </c>
      <c r="Y337" s="447">
        <f>VLOOKUP($D337,'Costo Social x localidad'!$B$2:$M$156,12,FALSE)*(Y$3*$E$3+Y$4*$E$4)</f>
        <v>121276.59742079997</v>
      </c>
      <c r="Z337" s="28">
        <f>VLOOKUP(D337,'Estimación  PRESUPUESTO PCAS'!$B$4:$G$158,'Estimación  PRESUPUESTO PCAS'!$G$2,FALSE)</f>
        <v>525696.91977213079</v>
      </c>
      <c r="AA337" s="650">
        <f>(-O337-R337)/(1+0.12)+PV(12%,20,P337)+PV(12%,20,T337)-(O337*0.5)/(1+0.12)^10-S337/(1+0.12)^10</f>
        <v>-42365478.295756713</v>
      </c>
      <c r="AB337" s="651">
        <f>M337+AA337</f>
        <v>-81470314.409096316</v>
      </c>
      <c r="AC337" s="10">
        <f>VLOOKUP($E337,Resumen_Generación!$B$5:$F$158,Resumen_Generación!$D$3,FALSE)</f>
        <v>126.30427276799999</v>
      </c>
      <c r="AD337" s="10">
        <f>VLOOKUP($E337,Resumen_Generación!$B$5:$G$158,Resumen_Generación!$G$3,FALSE)</f>
        <v>51.942010289999999</v>
      </c>
      <c r="AE337" s="362">
        <f>VLOOKUP($E337,Resumen_Generación!$B$5:$F$158,Resumen_Generación!$E$3,FALSE)</f>
        <v>164567</v>
      </c>
      <c r="AF337" s="10">
        <f>VLOOKUP($E337,Resumen_Generación!$B$5:$F$158,Resumen_Generación!$F$3,FALSE)</f>
        <v>58.189928999999999</v>
      </c>
      <c r="AG337" s="448">
        <f>VLOOKUP($D337,Valoración_Equip_actual!$D$4:$I$157,Valoración_Equip_actual!$E$2,FALSE)*$E$4</f>
        <v>0</v>
      </c>
      <c r="AH337" s="448">
        <f>VLOOKUP($D337,Valoración_Equip_actual!$D$4:$I$157,Valoración_Equip_actual!$F$2,FALSE)*$E$4</f>
        <v>233112</v>
      </c>
      <c r="AI337" s="448">
        <f>[170]P_Datos!$D$43</f>
        <v>4.338032786885246</v>
      </c>
      <c r="AN337" s="34" t="str">
        <f>[170]Datos!$C$2</f>
        <v>Tandil</v>
      </c>
      <c r="AO337" s="25" t="str">
        <f>VLOOKUP($E337,Tabla13[],Inputs_costos!$D$1,FALSE)</f>
        <v>TANDIL</v>
      </c>
      <c r="AP337" s="28" t="str">
        <f>VLOOKUP($D337,'Costo Social x localidad'!$B$2:$M$156,1,FALSE)</f>
        <v>TANDIL</v>
      </c>
    </row>
    <row r="338" spans="1:42" ht="15.75" thickBot="1">
      <c r="A338" s="917"/>
      <c r="B338" s="888"/>
      <c r="C338" s="510"/>
      <c r="D338" s="12" t="s">
        <v>8</v>
      </c>
      <c r="E338" s="40"/>
      <c r="F338" s="13"/>
      <c r="G338" s="8"/>
      <c r="H338" s="32">
        <f>SUM(H336:H337)</f>
        <v>8875870.9741602838</v>
      </c>
      <c r="I338" s="32"/>
      <c r="J338" s="32">
        <f>SUM(J336:J337)</f>
        <v>5027597.7983289659</v>
      </c>
      <c r="K338" s="14"/>
      <c r="L338" s="14"/>
      <c r="M338" s="15">
        <f>SUM(M336:M337)</f>
        <v>-48336036.023880951</v>
      </c>
      <c r="N338" s="15"/>
      <c r="O338" s="16">
        <f>SUM(O336:O337)</f>
        <v>2632243.5026560002</v>
      </c>
      <c r="P338" s="16">
        <f>SUM(P336:P337)</f>
        <v>1158922.1444610751</v>
      </c>
      <c r="Q338" s="16"/>
      <c r="R338" s="26">
        <f>SUM(R336:R337)</f>
        <v>23255773.956160001</v>
      </c>
      <c r="S338" s="26"/>
      <c r="T338" s="26">
        <f>SUM(T336:T337)</f>
        <v>1639695.9824400002</v>
      </c>
      <c r="U338" s="26"/>
      <c r="V338" s="26">
        <f>SUM(V336:V337)</f>
        <v>488560.54655999999</v>
      </c>
      <c r="W338" s="26"/>
      <c r="X338" s="26">
        <f>SUM(X336:X337)</f>
        <v>43377.244668221618</v>
      </c>
      <c r="Y338" s="26">
        <f>SUM(Y336:Y337)</f>
        <v>140028.36822639997</v>
      </c>
      <c r="Z338" s="26">
        <f>SUM(Z336:Z337)</f>
        <v>696474.19374978903</v>
      </c>
      <c r="AA338" s="653">
        <f>SUM(AA336:AA337)</f>
        <v>-44704585.795267068</v>
      </c>
      <c r="AB338" s="654">
        <f>+M338+AA338</f>
        <v>-93040621.819148019</v>
      </c>
      <c r="AC338" s="630">
        <f t="shared" ref="AC338:AI338" si="250">SUM(AC336:AC337)</f>
        <v>137.355130976</v>
      </c>
      <c r="AD338" s="630">
        <f t="shared" si="250"/>
        <v>56.450237529999995</v>
      </c>
      <c r="AE338" s="631">
        <f t="shared" si="250"/>
        <v>180499</v>
      </c>
      <c r="AF338" s="630">
        <f t="shared" si="250"/>
        <v>63.299424999999999</v>
      </c>
      <c r="AG338" s="630">
        <f t="shared" si="250"/>
        <v>0</v>
      </c>
      <c r="AH338" s="630">
        <f t="shared" si="250"/>
        <v>330489.24</v>
      </c>
      <c r="AI338" s="630">
        <f t="shared" si="250"/>
        <v>4.7487868852459014</v>
      </c>
      <c r="AJ338" s="4"/>
      <c r="AK338" s="4"/>
      <c r="AL338" s="4"/>
      <c r="AM338" s="4"/>
      <c r="AN338" s="4"/>
      <c r="AO338" s="4"/>
      <c r="AP338" s="4"/>
    </row>
    <row r="339" spans="1:42">
      <c r="A339" s="917"/>
      <c r="B339" s="886" t="s">
        <v>310</v>
      </c>
      <c r="C339" s="507" t="str">
        <f>IF(AND(D339=AN339,D339=AO339,D339=AP339),"ok","ATENCIÓN NO ESTÁ TOMANDO BIEN LA LOCALIDAD")</f>
        <v>ok</v>
      </c>
      <c r="D339" s="23" t="s">
        <v>214</v>
      </c>
      <c r="E339" s="114">
        <f>VLOOKUP(D339,Pobl_adoptada!$C$5:$D$158,2,FALSE)</f>
        <v>111</v>
      </c>
      <c r="F339" s="8" t="s">
        <v>308</v>
      </c>
      <c r="G339" s="576">
        <f>+'[171]Inversion rec-TA'!$G$21</f>
        <v>1740418.0024783516</v>
      </c>
      <c r="H339" s="577">
        <f>+($AC336/$AC338)*H341+G339</f>
        <v>1913370.3728850998</v>
      </c>
      <c r="I339" s="587">
        <f>+'[171]Costos Operativos Rec-TA'!$G$23</f>
        <v>868013.55055266269</v>
      </c>
      <c r="J339" s="579">
        <f>+($AC336/$AC338)*J341+I339</f>
        <v>871472.5979607976</v>
      </c>
      <c r="K339" s="10">
        <f>+'[171]Inversion rec-TA'!$G$46</f>
        <v>0</v>
      </c>
      <c r="L339" s="10">
        <f>+'[171]Costos Operativos Rec-TA'!$G$46</f>
        <v>0</v>
      </c>
      <c r="M339" s="19">
        <f t="shared" ref="M339:M340" si="251">-H339/(1+0.12)+PV(12%,20,J339)-H339/(1+0.12)^10</f>
        <v>-8833835.8967307452</v>
      </c>
      <c r="N339" s="614">
        <f>+$AD336/$AD338*N342</f>
        <v>186451.24959882599</v>
      </c>
      <c r="O339" s="25">
        <f>IF(N339-AG339&lt;0,0,N339-AG339)</f>
        <v>186451.24959882599</v>
      </c>
      <c r="P339" s="32">
        <f>+$AD336/$AD338*P342</f>
        <v>90735.361406948141</v>
      </c>
      <c r="Q339" s="614">
        <f>+$AC336/$AC338*Q342</f>
        <v>1947347.1086063448</v>
      </c>
      <c r="R339" s="647">
        <f>IF(Q339-AH339&lt;0,0,Q339-AH339)</f>
        <v>1849969.8686063448</v>
      </c>
      <c r="S339" s="647">
        <f>+S336</f>
        <v>0</v>
      </c>
      <c r="T339" s="32">
        <f>+$AC336/$AC338*T342</f>
        <v>122255.12339104866</v>
      </c>
      <c r="U339" s="27"/>
      <c r="V339" s="461">
        <f>+V336</f>
        <v>488560.54655999999</v>
      </c>
      <c r="W339" s="27"/>
      <c r="X339" s="461">
        <f t="shared" ref="X339:Z340" si="252">+X336</f>
        <v>43377.244668221618</v>
      </c>
      <c r="Y339" s="27">
        <f t="shared" si="252"/>
        <v>18751.770805600001</v>
      </c>
      <c r="Z339" s="27">
        <f t="shared" si="252"/>
        <v>170777.27397765825</v>
      </c>
      <c r="AA339" s="650">
        <f>(-O339-R339)/(1+0.12)+PV(12%,20,P339)+PV(12%,20,T339)-(O339*0.5)/(1+0.12)^10-S339/(1+0.12)^10</f>
        <v>-3439169.716121315</v>
      </c>
      <c r="AB339" s="651">
        <f>M339+AA339</f>
        <v>-12273005.612852059</v>
      </c>
      <c r="AG339" s="448">
        <f>VLOOKUP($D339,Valoración_Eq_REG!$D$4:$I$157,Valoración_Eq_REG!$E$2,FALSE)*$E$4</f>
        <v>0</v>
      </c>
      <c r="AH339" s="448">
        <f>VLOOKUP($D339,Valoración_Eq_REG!$D$4:$I$157,Valoración_Eq_REG!$F$2,FALSE)*$E$4</f>
        <v>97377.24</v>
      </c>
      <c r="AJ339" s="484">
        <f>+'[171]Evaluacion Economica'!$L$25</f>
        <v>2</v>
      </c>
      <c r="AK339" s="448">
        <f>+'[171]Evaluacion Economica'!$R$25</f>
        <v>15</v>
      </c>
      <c r="AL339" s="484">
        <f>+'[171]P_Evaluacion Economica'!$L$27</f>
        <v>2</v>
      </c>
      <c r="AM339" s="448">
        <f>+'[171]P_Evaluacion Economica'!$Q$27</f>
        <v>6</v>
      </c>
      <c r="AN339" s="34" t="str">
        <f>+[171]Datos!$C$2</f>
        <v>Rauch</v>
      </c>
      <c r="AO339" s="25" t="str">
        <f>VLOOKUP($E339,Tabla13[],Inputs_costos!$D$1,FALSE)</f>
        <v>RAUCH</v>
      </c>
      <c r="AP339" s="28" t="str">
        <f>VLOOKUP($D339,'Costo Social x localidad'!$B$2:$M$156,1,FALSE)</f>
        <v>RAUCH</v>
      </c>
    </row>
    <row r="340" spans="1:42" ht="15.75" thickBot="1">
      <c r="A340" s="917"/>
      <c r="B340" s="887"/>
      <c r="C340" s="478" t="str">
        <f>IF(AND(D340=AN340,D340=AO340,D340=AP340),"ok","ATENCIÓN NO ESTÁ TOMANDO BIEN LA LOCALIDAD")</f>
        <v>ok</v>
      </c>
      <c r="D340" s="36" t="s">
        <v>232</v>
      </c>
      <c r="E340" s="115">
        <f>VLOOKUP(D340,Pobl_adoptada!$C$5:$D$158,2,FALSE)</f>
        <v>126</v>
      </c>
      <c r="F340" s="9" t="s">
        <v>308</v>
      </c>
      <c r="G340" s="580">
        <f>+'[172]Inversion rec-TA'!$G$21</f>
        <v>6602436.5855967905</v>
      </c>
      <c r="H340" s="34">
        <f>+($AC337/$AC338)*H341+G340</f>
        <v>8579172.0532469153</v>
      </c>
      <c r="I340" s="465">
        <f>+'[172]Costos Operativos Rec-TA'!$G$23</f>
        <v>4247011.7971356139</v>
      </c>
      <c r="J340" s="581">
        <f>+($AC337/$AC338)*J341+I340</f>
        <v>4286546.5064886166</v>
      </c>
      <c r="K340" s="10">
        <f>+'[172]Inversion rec-TA'!$G$46</f>
        <v>0</v>
      </c>
      <c r="L340" s="10">
        <f>+'[172]Costos Operativos Rec-TA'!$G$46</f>
        <v>0</v>
      </c>
      <c r="M340" s="19">
        <f t="shared" si="251"/>
        <v>-42440356.314069375</v>
      </c>
      <c r="N340" s="465">
        <f>+$AD337/$AD338*N342</f>
        <v>2148217.5164811742</v>
      </c>
      <c r="O340" s="25">
        <f>IF(N340-AG340&lt;0,0,N340-AG340)</f>
        <v>2148217.5164811742</v>
      </c>
      <c r="P340" s="25">
        <f>+$AD337/$AD338*P342</f>
        <v>1045416.9288650519</v>
      </c>
      <c r="Q340" s="465">
        <f>+$AC337/$AC338*Q342</f>
        <v>22256937.492993657</v>
      </c>
      <c r="R340" s="647">
        <f>IF(Q340-AH340&lt;0,0,Q340-AH340)</f>
        <v>22023825.492993657</v>
      </c>
      <c r="S340" s="647">
        <f>+S337</f>
        <v>815000</v>
      </c>
      <c r="T340" s="25">
        <f>+$AC337/$AC338*T342</f>
        <v>1397298.2153449513</v>
      </c>
      <c r="U340" s="29"/>
      <c r="V340" s="461">
        <f>+V337</f>
        <v>0</v>
      </c>
      <c r="W340" s="25"/>
      <c r="X340" s="461">
        <f t="shared" si="252"/>
        <v>0</v>
      </c>
      <c r="Y340" s="28">
        <f t="shared" si="252"/>
        <v>121276.59742079997</v>
      </c>
      <c r="Z340" s="28">
        <f t="shared" si="252"/>
        <v>525696.91977213079</v>
      </c>
      <c r="AA340" s="650">
        <f>(-O340-R340)/(1+0.12)+PV(12%,20,P340)+PV(12%,20,T340)-(O340*0.5)/(1+0.12)^10-S340/(1+0.12)^10</f>
        <v>-40436146.779590093</v>
      </c>
      <c r="AB340" s="651">
        <f>M340+AA340</f>
        <v>-82876503.093659461</v>
      </c>
      <c r="AC340" s="10"/>
      <c r="AD340" s="10"/>
      <c r="AE340" s="10"/>
      <c r="AF340" s="10"/>
      <c r="AG340" s="448">
        <f>VLOOKUP($D340,Valoración_Eq_REG!$D$4:$I$157,Valoración_Eq_REG!$E$2,FALSE)*$E$4</f>
        <v>0</v>
      </c>
      <c r="AH340" s="448">
        <f>VLOOKUP($D340,Valoración_Eq_REG!$D$4:$I$157,Valoración_Eq_REG!$F$2,FALSE)*$E$4</f>
        <v>233112</v>
      </c>
      <c r="AI340" s="2"/>
      <c r="AJ340" s="484">
        <f>+'[172]Evaluacion Economica'!$L$25</f>
        <v>6</v>
      </c>
      <c r="AK340" s="448">
        <f>+'[172]Evaluacion Economica'!$R$25</f>
        <v>19</v>
      </c>
      <c r="AL340" s="484">
        <f>+'[172]P_Evaluacion Economica'!$L$27</f>
        <v>5</v>
      </c>
      <c r="AM340" s="448">
        <f>+'[172]P_Evaluacion Economica'!$Q$27</f>
        <v>15</v>
      </c>
      <c r="AN340" s="34" t="str">
        <f>+[172]Datos!$C$2</f>
        <v>Tandil</v>
      </c>
      <c r="AO340" s="25" t="str">
        <f>VLOOKUP($E340,Tabla13[],Inputs_costos!$D$1,FALSE)</f>
        <v>TANDIL</v>
      </c>
      <c r="AP340" s="28" t="str">
        <f>VLOOKUP($D340,'Costo Social x localidad'!$B$2:$M$156,1,FALSE)</f>
        <v>TANDIL</v>
      </c>
    </row>
    <row r="341" spans="1:42" ht="30.75" thickBot="1">
      <c r="A341" s="917"/>
      <c r="B341" s="887"/>
      <c r="C341" s="912" t="s">
        <v>12</v>
      </c>
      <c r="D341" s="913"/>
      <c r="E341" s="498" t="s">
        <v>589</v>
      </c>
      <c r="F341" s="571">
        <f>+F330</f>
        <v>0.02</v>
      </c>
      <c r="G341" s="582"/>
      <c r="H341" s="461">
        <f>+AJ341*AJ343+AL341*AL343</f>
        <v>2149687.8380568735</v>
      </c>
      <c r="I341" s="461"/>
      <c r="J341" s="583">
        <f>+$F341*H341</f>
        <v>42993.756761137469</v>
      </c>
      <c r="K341" s="10"/>
      <c r="L341" s="10"/>
      <c r="M341" s="19"/>
      <c r="N341" s="465"/>
      <c r="O341" s="10"/>
      <c r="P341" s="10"/>
      <c r="Q341" s="618"/>
      <c r="R341" s="28"/>
      <c r="S341" s="28"/>
      <c r="T341" s="28"/>
      <c r="U341" s="28"/>
      <c r="V341" s="28"/>
      <c r="W341" s="28"/>
      <c r="X341" s="28"/>
      <c r="Y341" s="28"/>
      <c r="Z341" s="28"/>
      <c r="AA341" s="658"/>
      <c r="AB341" s="20"/>
      <c r="AC341" s="10"/>
      <c r="AD341" s="10"/>
      <c r="AE341" s="10"/>
      <c r="AF341" s="10"/>
      <c r="AG341" s="4"/>
      <c r="AH341" s="4"/>
      <c r="AI341" s="4"/>
      <c r="AJ341" s="501">
        <f>ROUNDUP(C342*SUM(AJ339:AJ340),0)</f>
        <v>4</v>
      </c>
      <c r="AK341" s="502">
        <f>AVERAGE(AK339:AK340)</f>
        <v>17</v>
      </c>
      <c r="AL341" s="501">
        <f>ROUNDUP(C342*SUM(AL339:AL340),0)</f>
        <v>4</v>
      </c>
      <c r="AM341" s="502">
        <f>AVERAGE(AM339:AM340)</f>
        <v>10.5</v>
      </c>
      <c r="AN341" s="4"/>
      <c r="AO341" s="4"/>
      <c r="AP341" s="4"/>
    </row>
    <row r="342" spans="1:42" ht="15.75" thickBot="1">
      <c r="A342" s="918"/>
      <c r="B342" s="888"/>
      <c r="C342" s="570">
        <v>0.5</v>
      </c>
      <c r="D342" s="500" t="str">
        <f>A336</f>
        <v>REGIÓN TANDIL</v>
      </c>
      <c r="E342" s="468"/>
      <c r="F342" s="469"/>
      <c r="G342" s="584"/>
      <c r="H342" s="585">
        <f>SUM(H339:H340)</f>
        <v>10492542.426132016</v>
      </c>
      <c r="I342" s="585"/>
      <c r="J342" s="586">
        <f>SUM(J339:J340)</f>
        <v>5158019.1044494137</v>
      </c>
      <c r="K342" s="14"/>
      <c r="L342" s="14"/>
      <c r="M342" s="15">
        <f>SUM(M339:M341)</f>
        <v>-51274192.210800119</v>
      </c>
      <c r="N342" s="615">
        <f>(VLOOKUP($E339,Tabla13[],Inputs_costos!$P$1,FALSE))*(O$3*$E$3+O$4*$E$4)</f>
        <v>2334668.76608</v>
      </c>
      <c r="O342" s="35">
        <f>SUM(O339:O340)</f>
        <v>2334668.76608</v>
      </c>
      <c r="P342" s="35">
        <f>(VLOOKUP($E339,Tabla13[],Inputs_costos!$Q$1,FALSE))*(P$3*$E$3+P$4*$E$4)</f>
        <v>1136152.290272</v>
      </c>
      <c r="Q342" s="615">
        <f>IF($AC338&gt;=15,(VLOOKUP($E339,Tabla13[],Inputs_costos!$N$1,FALSE))*($R$3*$E$3+$R$4*$E$4),(VLOOKUP($E339,Tabla13[],Inputs_costos!$N$1,FALSE))*($T$3*$E$3+$T$4*$E$4))</f>
        <v>24204284.601600002</v>
      </c>
      <c r="R342" s="35">
        <f>SUM(R339:R340)</f>
        <v>23873795.3616</v>
      </c>
      <c r="S342" s="35"/>
      <c r="T342" s="35">
        <f>IF($AC338&gt;=15,(VLOOKUP($E339,Tabla13[],Inputs_costos!$O$1,FALSE))*($R$3*$E$3+$R$4*$E$4),(VLOOKUP($E339,Tabla13[],Inputs_costos!$O$1,FALSE))*($T$3*$E$3+$T$4*$E$4))</f>
        <v>1519553.338736</v>
      </c>
      <c r="U342" s="35"/>
      <c r="V342" s="31">
        <f>SUM(V339:V340)</f>
        <v>488560.54655999999</v>
      </c>
      <c r="W342" s="31"/>
      <c r="X342" s="31">
        <f>SUM(X339:X340)</f>
        <v>43377.244668221618</v>
      </c>
      <c r="Y342" s="31">
        <f>SUM(Y339:Y340)</f>
        <v>140028.36822639997</v>
      </c>
      <c r="Z342" s="31">
        <f>SUM(Z339:Z340)</f>
        <v>696474.19374978903</v>
      </c>
      <c r="AA342" s="657">
        <f>SUM(AA339:AA340)</f>
        <v>-43875316.495711409</v>
      </c>
      <c r="AB342" s="654">
        <f>+M342+AA342</f>
        <v>-95149508.706511527</v>
      </c>
      <c r="AC342" s="38"/>
      <c r="AD342" s="38"/>
      <c r="AE342" s="38"/>
      <c r="AF342" s="38"/>
      <c r="AG342" s="4"/>
      <c r="AH342" s="4"/>
      <c r="AI342" s="4"/>
      <c r="AJ342" s="11"/>
      <c r="AK342" s="499">
        <f>VLOOKUP(ROUNDUP(AK341,0),DATOS!$F$16:$G$31,2,FALSE)</f>
        <v>17</v>
      </c>
      <c r="AL342" s="497"/>
      <c r="AM342" s="499">
        <f>VLOOKUP(ROUNDUP(AM341,0),DATOS!$J$16:$K$34,2,FALSE)</f>
        <v>12</v>
      </c>
      <c r="AN342" s="4"/>
      <c r="AO342" s="4"/>
      <c r="AP342" s="4"/>
    </row>
    <row r="343" spans="1:42">
      <c r="F343" s="2"/>
      <c r="G343" s="2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0"/>
      <c r="V343" s="2"/>
      <c r="W343" s="2"/>
      <c r="X343" s="2"/>
      <c r="Y343" s="2"/>
      <c r="Z343" s="2"/>
      <c r="AA343" s="4"/>
      <c r="AB343" s="4"/>
      <c r="AC343" s="4"/>
      <c r="AD343" s="4"/>
      <c r="AE343" s="4"/>
      <c r="AF343" s="4"/>
      <c r="AG343" s="448"/>
      <c r="AH343" s="448"/>
      <c r="AI343" s="4"/>
      <c r="AJ343" s="892">
        <f>VLOOKUP(AK342,DATOS!$F$3:$H$11,3)</f>
        <v>283989.37455421843</v>
      </c>
      <c r="AK343" s="892"/>
      <c r="AL343" s="892">
        <f>VLOOKUP(AM342,DATOS!$J$3:$L$12,3)</f>
        <v>253432.58496000001</v>
      </c>
      <c r="AM343" s="892"/>
      <c r="AN343" s="4"/>
      <c r="AO343" s="4"/>
      <c r="AP343" s="4"/>
    </row>
    <row r="344" spans="1:42" ht="15.75" thickBot="1">
      <c r="A344" s="503"/>
      <c r="B344" s="503"/>
      <c r="C344" s="503"/>
      <c r="D344" s="503"/>
      <c r="E344" s="503"/>
      <c r="F344" s="504"/>
      <c r="G344" s="504"/>
      <c r="H344" s="505"/>
      <c r="I344" s="505"/>
      <c r="J344" s="505"/>
      <c r="K344" s="505"/>
      <c r="L344" s="505"/>
      <c r="M344" s="505"/>
      <c r="N344" s="505"/>
      <c r="O344" s="505"/>
      <c r="P344" s="505"/>
      <c r="Q344" s="505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6"/>
      <c r="AB344" s="506"/>
      <c r="AC344" s="506"/>
      <c r="AD344" s="506"/>
      <c r="AE344" s="506"/>
      <c r="AF344" s="506"/>
      <c r="AG344" s="506"/>
      <c r="AH344" s="506"/>
      <c r="AI344" s="506"/>
      <c r="AJ344" s="506"/>
      <c r="AK344" s="506"/>
      <c r="AL344" s="506"/>
      <c r="AM344" s="506"/>
      <c r="AN344" s="506"/>
      <c r="AO344" s="506"/>
      <c r="AP344" s="506"/>
    </row>
    <row r="345" spans="1:42" ht="39" thickBot="1">
      <c r="A345" s="886" t="s">
        <v>7</v>
      </c>
      <c r="B345" s="886" t="s">
        <v>2</v>
      </c>
      <c r="C345" s="508"/>
      <c r="D345" s="882" t="s">
        <v>22</v>
      </c>
      <c r="E345" s="882" t="s">
        <v>23</v>
      </c>
      <c r="F345" s="882" t="s">
        <v>3</v>
      </c>
      <c r="G345" s="568"/>
      <c r="H345" s="901" t="s">
        <v>0</v>
      </c>
      <c r="I345" s="901"/>
      <c r="J345" s="901"/>
      <c r="K345" s="901" t="s">
        <v>1</v>
      </c>
      <c r="L345" s="901"/>
      <c r="M345" s="886" t="s">
        <v>10</v>
      </c>
      <c r="N345" s="879" t="s">
        <v>5</v>
      </c>
      <c r="O345" s="880"/>
      <c r="P345" s="881"/>
      <c r="Q345" s="902" t="s">
        <v>4</v>
      </c>
      <c r="R345" s="903"/>
      <c r="S345" s="903"/>
      <c r="T345" s="904"/>
      <c r="U345" s="902" t="s">
        <v>6</v>
      </c>
      <c r="V345" s="903"/>
      <c r="W345" s="903"/>
      <c r="X345" s="904"/>
      <c r="Y345" s="390" t="s">
        <v>689</v>
      </c>
      <c r="Z345" s="662" t="s">
        <v>690</v>
      </c>
      <c r="AA345" s="905" t="s">
        <v>686</v>
      </c>
      <c r="AB345" s="886" t="s">
        <v>9</v>
      </c>
      <c r="AC345" s="907" t="s">
        <v>312</v>
      </c>
      <c r="AD345" s="914" t="s">
        <v>649</v>
      </c>
      <c r="AE345" s="897" t="s">
        <v>20</v>
      </c>
      <c r="AF345" s="897" t="s">
        <v>313</v>
      </c>
      <c r="AG345" s="899" t="s">
        <v>552</v>
      </c>
      <c r="AH345" s="895" t="s">
        <v>578</v>
      </c>
      <c r="AI345" s="897" t="s">
        <v>579</v>
      </c>
      <c r="AJ345" s="882" t="s">
        <v>581</v>
      </c>
      <c r="AK345" s="882" t="s">
        <v>582</v>
      </c>
      <c r="AL345" s="882" t="s">
        <v>581</v>
      </c>
      <c r="AM345" s="882" t="s">
        <v>582</v>
      </c>
      <c r="AN345" s="884" t="s">
        <v>553</v>
      </c>
      <c r="AO345" s="885"/>
      <c r="AP345" s="885"/>
    </row>
    <row r="346" spans="1:42" ht="30.75" thickBot="1">
      <c r="A346" s="888"/>
      <c r="B346" s="888"/>
      <c r="C346" s="509"/>
      <c r="D346" s="883"/>
      <c r="E346" s="883"/>
      <c r="F346" s="883"/>
      <c r="G346" s="569"/>
      <c r="H346" s="17" t="s">
        <v>18</v>
      </c>
      <c r="I346" s="17"/>
      <c r="J346" s="17" t="s">
        <v>17</v>
      </c>
      <c r="K346" s="17" t="s">
        <v>18</v>
      </c>
      <c r="L346" s="17" t="s">
        <v>17</v>
      </c>
      <c r="M346" s="888"/>
      <c r="N346" s="464" t="s">
        <v>685</v>
      </c>
      <c r="O346" s="17" t="s">
        <v>18</v>
      </c>
      <c r="P346" s="17" t="s">
        <v>17</v>
      </c>
      <c r="Q346" s="464" t="s">
        <v>685</v>
      </c>
      <c r="R346" s="17" t="s">
        <v>18</v>
      </c>
      <c r="S346" s="17"/>
      <c r="T346" s="17" t="s">
        <v>17</v>
      </c>
      <c r="U346" s="464" t="s">
        <v>576</v>
      </c>
      <c r="V346" s="17" t="s">
        <v>18</v>
      </c>
      <c r="W346" s="464" t="s">
        <v>577</v>
      </c>
      <c r="X346" s="17" t="s">
        <v>17</v>
      </c>
      <c r="Y346" s="17" t="s">
        <v>18</v>
      </c>
      <c r="Z346" s="17" t="s">
        <v>17</v>
      </c>
      <c r="AA346" s="906"/>
      <c r="AB346" s="888"/>
      <c r="AC346" s="908"/>
      <c r="AD346" s="915"/>
      <c r="AE346" s="898"/>
      <c r="AF346" s="898"/>
      <c r="AG346" s="900"/>
      <c r="AH346" s="896"/>
      <c r="AI346" s="898"/>
      <c r="AJ346" s="883"/>
      <c r="AK346" s="883"/>
      <c r="AL346" s="883"/>
      <c r="AM346" s="883"/>
      <c r="AN346" s="1" t="s">
        <v>551</v>
      </c>
      <c r="AO346" s="9" t="s">
        <v>554</v>
      </c>
      <c r="AP346" s="1" t="s">
        <v>555</v>
      </c>
    </row>
    <row r="347" spans="1:42">
      <c r="A347" s="916" t="s">
        <v>613</v>
      </c>
      <c r="B347" s="886" t="s">
        <v>309</v>
      </c>
      <c r="C347" s="507" t="str">
        <f>IF(AND(D347=AN347,D347=AO347,D347=AP347),"ok","ATENCIÓN NO ESTÁ TOMANDO BIEN LA LOCALIDAD")</f>
        <v>ok</v>
      </c>
      <c r="D347" s="23" t="s">
        <v>238</v>
      </c>
      <c r="E347" s="114">
        <f>VLOOKUP(D347,Pobl_adoptada!$C$5:$D$158,2,FALSE)</f>
        <v>132</v>
      </c>
      <c r="F347" s="8" t="s">
        <v>308</v>
      </c>
      <c r="G347" s="8"/>
      <c r="H347" s="33">
        <f>'[173]Inversion rec-TA'!$G$21</f>
        <v>2281521.3927098257</v>
      </c>
      <c r="I347" s="33"/>
      <c r="J347" s="33">
        <f>'[173]Costos Operativos Rec-TA'!$G$23</f>
        <v>945643.46136655379</v>
      </c>
      <c r="K347" s="32">
        <f>'[173]Inversion rec-TA'!$G$46</f>
        <v>0</v>
      </c>
      <c r="L347" s="32">
        <f>+'[173]Costos Operativos Rec-TA'!$G$46</f>
        <v>0</v>
      </c>
      <c r="M347" s="19">
        <f t="shared" ref="M347:M349" si="253">-H347/(1+0.12)+PV(12%,20,J347)-H347/(1+0.12)^10</f>
        <v>-9835092.0226155259</v>
      </c>
      <c r="N347" s="19"/>
      <c r="O347" s="25">
        <f>IF(((VLOOKUP($E347,Tabla13[],Inputs_costos!$I$1,FALSE))*(O$3*$E$3+O$4*$E$4)-AG347)&lt;0,0,VLOOKUP($E347,Tabla13[],Inputs_costos!$I$1,FALSE)*(O$3*$E$3+O$4*$E$4)-AG347)</f>
        <v>299186.473536</v>
      </c>
      <c r="P347" s="25">
        <f>(VLOOKUP($E347,Tabla13[],Inputs_costos!$J$1,FALSE))*(P$3*$E$3+P$4*$E$4)</f>
        <v>26127.3549570752</v>
      </c>
      <c r="Q347" s="25"/>
      <c r="R347" s="25">
        <f>IF($AC347&gt;=15,(VLOOKUP($E347,Tabla13[],Inputs_costos!$G$1,FALSE))*($R$3*$E$3+$R$4*$E$4),(VLOOKUP($E347,Tabla13[],Inputs_costos!$G$1,FALSE))*($T$3*$E$3+$T$4*$E$4))-AH347</f>
        <v>586420.12952000007</v>
      </c>
      <c r="S347" s="25">
        <f t="shared" ref="S347:S349" si="254">IF(AC347&lt;15,0,IF(AC347&lt;=350,815000,1345000))</f>
        <v>0</v>
      </c>
      <c r="T347" s="25">
        <f>IF($AC347&gt;=15,(VLOOKUP($E347,Tabla13[],Inputs_costos!$H$1,FALSE))*($R$3*$E$3+$R$4*$E$4),(VLOOKUP($E347,Tabla13[],Inputs_costos!$H$1,FALSE))*($T$3*$E$3+$T$4*$E$4))</f>
        <v>92344.380072</v>
      </c>
      <c r="U347" s="465">
        <f>SUMIFS(Tabla24[Costo de Cierre Técnico de BCA (US$)],Tabla24[Localidad],Resumen!$D347)</f>
        <v>1802000</v>
      </c>
      <c r="V347" s="461">
        <f>+U347*(V$3*$E$3+V$4*$E$4)</f>
        <v>3460637.2047999999</v>
      </c>
      <c r="W347" s="465">
        <f>SUMIFS(Tabla24[Costo anual de Manteniemiento Post-cierre (US$)],Tabla24[Localidad],Resumen!$D347)</f>
        <v>159992.03259966025</v>
      </c>
      <c r="X347" s="461">
        <f>+W347*(X$3*$E$3+X$4*$E$4)</f>
        <v>307255.48306656978</v>
      </c>
      <c r="Y347" s="27">
        <f>VLOOKUP($D347,'Costo Social x localidad'!$B$2:$M$156,12,FALSE)*(Y$3*$E$3+Y$4*$E$4)</f>
        <v>11522.644356000001</v>
      </c>
      <c r="Z347" s="28">
        <f>VLOOKUP(D347,'Estimación  PRESUPUESTO PCAS'!$B$4:$G$158,'Estimación  PRESUPUESTO PCAS'!$G$2,FALSE)</f>
        <v>198950.05200565828</v>
      </c>
      <c r="AA347" s="650">
        <f>(-O347-R347)/(1+0.12)+PV(12%,20,P347)+PV(12%,20,T347)-(O347*0.5)/(1+0.12)^10-S347/(1+0.12)^10</f>
        <v>-1723803.1457902254</v>
      </c>
      <c r="AB347" s="651">
        <f>M347+AA347</f>
        <v>-11558895.168405751</v>
      </c>
      <c r="AC347" s="10">
        <f>VLOOKUP($E347,Resumen_Generación!$B$5:$F$158,Resumen_Generación!$D$3,FALSE)</f>
        <v>6.9566502880000005</v>
      </c>
      <c r="AD347" s="10">
        <f>VLOOKUP($E347,Resumen_Generación!$B$5:$G$158,Resumen_Generación!$G$3,FALSE)</f>
        <v>2.8404121400000002</v>
      </c>
      <c r="AE347" s="362">
        <f>VLOOKUP($E347,Resumen_Generación!$B$5:$F$158,Resumen_Generación!$E$3,FALSE)</f>
        <v>10032</v>
      </c>
      <c r="AF347" s="10">
        <f>VLOOKUP($E347,Resumen_Generación!$B$5:$F$158,Resumen_Generación!$F$3,FALSE)</f>
        <v>3.2164579999999998</v>
      </c>
      <c r="AG347" s="448">
        <f>VLOOKUP($D347,Valoración_Equip_actual!$D$4:$I$157,Valoración_Equip_actual!$E$2,FALSE)*$E$4</f>
        <v>59973.36</v>
      </c>
      <c r="AH347" s="448">
        <f>VLOOKUP($D347,Valoración_Equip_actual!$D$4:$I$157,Valoración_Equip_actual!$F$2,FALSE)*$E$4</f>
        <v>70110.2</v>
      </c>
      <c r="AI347" s="448">
        <f>[173]P_Datos!$D$43</f>
        <v>0.23973770491803281</v>
      </c>
      <c r="AN347" s="449" t="str">
        <f>[173]Datos!$C$2</f>
        <v>Tres Lomas</v>
      </c>
      <c r="AO347" s="450" t="str">
        <f>VLOOKUP($E347,Tabla13[],Inputs_costos!$D$1,FALSE)</f>
        <v>TRES LOMAS</v>
      </c>
      <c r="AP347" s="451" t="str">
        <f>VLOOKUP($D347,'Costo Social x localidad'!$B$2:$M$156,1,FALSE)</f>
        <v>TRES LOMAS</v>
      </c>
    </row>
    <row r="348" spans="1:42">
      <c r="A348" s="917"/>
      <c r="B348" s="887"/>
      <c r="C348" s="478" t="str">
        <f>IF(AND(D348=AN348,D348=AO348,D348=AP348),"ok","ATENCIÓN NO ESTÁ TOMANDO BIEN LA LOCALIDAD")</f>
        <v>ok</v>
      </c>
      <c r="D348" s="24" t="s">
        <v>204</v>
      </c>
      <c r="E348" s="115">
        <f>VLOOKUP(D348,Pobl_adoptada!$C$5:$D$158,2,FALSE)</f>
        <v>102</v>
      </c>
      <c r="F348" s="9" t="s">
        <v>308</v>
      </c>
      <c r="G348" s="9"/>
      <c r="H348" s="34">
        <f>'[174]Inversion rec-TA'!$G$21</f>
        <v>2163052.2887098254</v>
      </c>
      <c r="I348" s="34"/>
      <c r="J348" s="34">
        <f>'[174]Costos Operativos Rec-TA'!$G$23</f>
        <v>812259.2338966853</v>
      </c>
      <c r="K348" s="25">
        <f>'[174]Inversion rec-TA'!$G$46</f>
        <v>0</v>
      </c>
      <c r="L348" s="25">
        <f>+'[174]Costos Operativos Rec-TA'!$G$46</f>
        <v>0</v>
      </c>
      <c r="M348" s="19">
        <f t="shared" si="253"/>
        <v>-8694866.1885896884</v>
      </c>
      <c r="N348" s="19"/>
      <c r="O348" s="25">
        <f>IF(((VLOOKUP($E348,Tabla13[],Inputs_costos!$I$1,FALSE))*(O$3*$E$3+O$4*$E$4)-AG348)&lt;0,0,VLOOKUP($E348,Tabla13[],Inputs_costos!$I$1,FALSE)*(O$3*$E$3+O$4*$E$4)-AG348)</f>
        <v>61125.258535999979</v>
      </c>
      <c r="P348" s="25">
        <f>(VLOOKUP($E348,Tabla13[],Inputs_costos!$J$1,FALSE))*(P$3*$E$3+P$4*$E$4)</f>
        <v>26127.3549570752</v>
      </c>
      <c r="Q348" s="25"/>
      <c r="R348" s="25">
        <f>IF($AC348&gt;=15,(VLOOKUP($E348,Tabla13[],Inputs_costos!$G$1,FALSE))*($R$3*$E$3+$R$4*$E$4),(VLOOKUP($E348,Tabla13[],Inputs_costos!$G$1,FALSE))*($T$3*$E$3+$T$4*$E$4))-AH348</f>
        <v>523841.69023999997</v>
      </c>
      <c r="S348" s="25">
        <f t="shared" si="254"/>
        <v>0</v>
      </c>
      <c r="T348" s="25">
        <f>IF($AC348&gt;=15,(VLOOKUP($E348,Tabla13[],Inputs_costos!$H$1,FALSE))*($R$3*$E$3+$R$4*$E$4),(VLOOKUP($E348,Tabla13[],Inputs_costos!$H$1,FALSE))*($T$3*$E$3+$T$4*$E$4))</f>
        <v>63195.124728000003</v>
      </c>
      <c r="U348" s="465">
        <f>SUMIFS(Tabla24[Costo de Cierre Técnico de BCA (US$)],Tabla24[Localidad],Resumen!$D348)</f>
        <v>975200</v>
      </c>
      <c r="V348" s="461">
        <f t="shared" ref="V348:V349" si="255">+U348*(V$3*$E$3+V$4*$E$4)</f>
        <v>1872815.42848</v>
      </c>
      <c r="W348" s="465">
        <f>SUMIFS(Tabla24[Costo anual de Manteniemiento Post-cierre (US$)],Tabla24[Localidad],Resumen!$D348)</f>
        <v>86583.923524522019</v>
      </c>
      <c r="X348" s="461">
        <f t="shared" ref="X348:X349" si="256">+W348*(X$3*$E$3+X$4*$E$4)</f>
        <v>166279.43789484951</v>
      </c>
      <c r="Y348" s="28">
        <f>VLOOKUP($D348,'Costo Social x localidad'!$B$2:$M$156,12,FALSE)*(Y$3*$E$3+Y$4*$E$4)</f>
        <v>7559.8992432000005</v>
      </c>
      <c r="Z348" s="28">
        <f>VLOOKUP(D348,'Estimación  PRESUPUESTO PCAS'!$B$4:$G$158,'Estimación  PRESUPUESTO PCAS'!$G$2,FALSE)</f>
        <v>178880.74665965824</v>
      </c>
      <c r="AA348" s="650">
        <f>(-O348-R348)/(1+0.12)+PV(12%,20,P348)+PV(12%,20,T348)-(O348*0.5)/(1+0.12)^10-S348/(1+0.12)^10</f>
        <v>-1199321.4936069557</v>
      </c>
      <c r="AB348" s="651">
        <f>M348+AA348</f>
        <v>-9894187.6821966432</v>
      </c>
      <c r="AC348" s="10">
        <f>VLOOKUP($E348,Resumen_Generación!$B$5:$F$158,Resumen_Generación!$D$3,FALSE)</f>
        <v>4.1063467679999999</v>
      </c>
      <c r="AD348" s="10">
        <f>VLOOKUP($E348,Resumen_Generación!$B$5:$G$158,Resumen_Generación!$G$3,FALSE)</f>
        <v>1.6665565399999998</v>
      </c>
      <c r="AE348" s="362">
        <f>VLOOKUP($E348,Resumen_Generación!$B$5:$F$158,Resumen_Generación!$E$3,FALSE)</f>
        <v>5913</v>
      </c>
      <c r="AF348" s="10">
        <f>VLOOKUP($E348,Resumen_Generación!$B$5:$F$158,Resumen_Generación!$F$3,FALSE)</f>
        <v>1.8991559999999996</v>
      </c>
      <c r="AG348" s="448">
        <f>VLOOKUP($D348,Valoración_Equip_actual!$D$4:$I$157,Valoración_Equip_actual!$E$2,FALSE)*$E$4</f>
        <v>298034.57500000001</v>
      </c>
      <c r="AH348" s="448">
        <f>VLOOKUP($D348,Valoración_Equip_actual!$D$4:$I$157,Valoración_Equip_actual!$F$2,FALSE)*$E$4</f>
        <v>0</v>
      </c>
      <c r="AI348" s="448">
        <f>[174]P_Datos!$D$43</f>
        <v>0.15698360655737706</v>
      </c>
      <c r="AN348" s="34" t="str">
        <f>[174]Datos!$C$2</f>
        <v>Pellegrini</v>
      </c>
      <c r="AO348" s="25" t="str">
        <f>VLOOKUP($E348,Tabla13[],Inputs_costos!$D$1,FALSE)</f>
        <v>PELLEGRINI</v>
      </c>
      <c r="AP348" s="28" t="str">
        <f>VLOOKUP($D348,'Costo Social x localidad'!$B$2:$M$156,1,FALSE)</f>
        <v>PELLEGRINI</v>
      </c>
    </row>
    <row r="349" spans="1:42" ht="15.75" thickBot="1">
      <c r="A349" s="917"/>
      <c r="B349" s="887"/>
      <c r="C349" s="478" t="str">
        <f>IF(AND(D349=AN349,D349=AO349,D349=AP349),"ok","ATENCIÓN NO ESTÁ TOMANDO BIEN LA LOCALIDAD")</f>
        <v>ok</v>
      </c>
      <c r="D349" s="36" t="s">
        <v>236</v>
      </c>
      <c r="E349" s="511">
        <f>VLOOKUP(D349,Pobl_adoptada!$C$5:$D$158,2,FALSE)</f>
        <v>130</v>
      </c>
      <c r="F349" s="37" t="s">
        <v>308</v>
      </c>
      <c r="G349" s="37"/>
      <c r="H349" s="117">
        <f>'[175]Inversion rec-TA'!$G$21</f>
        <v>3615607.1742797671</v>
      </c>
      <c r="I349" s="117"/>
      <c r="J349" s="117">
        <f>'[175]Costos Operativos Rec-TA'!$G$23</f>
        <v>1931868.094578885</v>
      </c>
      <c r="K349" s="25">
        <f>'[175]Inversion rec-TA'!$G$46</f>
        <v>0</v>
      </c>
      <c r="L349" s="25">
        <f>+'[175]Costos Operativos Rec-TA'!$G$46</f>
        <v>0</v>
      </c>
      <c r="M349" s="19">
        <f t="shared" si="253"/>
        <v>-18822329.25755877</v>
      </c>
      <c r="N349" s="19"/>
      <c r="O349" s="25">
        <f>IF(((VLOOKUP($E349,Tabla13[],Inputs_costos!$I$1,FALSE))*(O$3*$E$3+O$4*$E$4)-AG349)&lt;0,0,VLOOKUP($E349,Tabla13[],Inputs_costos!$I$1,FALSE)*(O$3*$E$3+O$4*$E$4)-AG349)</f>
        <v>1545523.1438279503</v>
      </c>
      <c r="P349" s="25">
        <f>(VLOOKUP($E349,Tabla13[],Inputs_costos!$J$1,FALSE))*(P$3*$E$3+P$4*$E$4)</f>
        <v>621786.88256000006</v>
      </c>
      <c r="Q349" s="25"/>
      <c r="R349" s="25">
        <f>IF($AC349&gt;=15,(VLOOKUP($E349,Tabla13[],Inputs_costos!$G$1,FALSE))*($R$3*$E$3+$R$4*$E$4),(VLOOKUP($E349,Tabla13[],Inputs_costos!$G$1,FALSE))*($T$3*$E$3+$T$4*$E$4))-AH349</f>
        <v>9874027.4375999998</v>
      </c>
      <c r="S349" s="25">
        <f t="shared" si="254"/>
        <v>815000</v>
      </c>
      <c r="T349" s="25">
        <f>IF($AC349&gt;=15,(VLOOKUP($E349,Tabla13[],Inputs_costos!$H$1,FALSE))*($R$3*$E$3+$R$4*$E$4),(VLOOKUP($E349,Tabla13[],Inputs_costos!$H$1,FALSE))*($T$3*$E$3+$T$4*$E$4))</f>
        <v>1578311.737584</v>
      </c>
      <c r="U349" s="465">
        <f>SUMIFS(Tabla24[Costo de Cierre Técnico de BCA (US$)],Tabla24[Localidad],Resumen!$D349)</f>
        <v>2756000</v>
      </c>
      <c r="V349" s="461">
        <f t="shared" si="255"/>
        <v>5292739.2544</v>
      </c>
      <c r="W349" s="465">
        <f>SUMIFS(Tabla24[Costo anual de Manteniemiento Post-cierre (US$)],Tabla24[Localidad],Resumen!$D349)</f>
        <v>244693.69691712744</v>
      </c>
      <c r="X349" s="461">
        <f t="shared" si="256"/>
        <v>469920.15057240083</v>
      </c>
      <c r="Y349" s="447">
        <f>VLOOKUP($D349,'Costo Social x localidad'!$B$2:$M$156,12,FALSE)*(Y$3*$E$3+Y$4*$E$4)</f>
        <v>73762.550586480007</v>
      </c>
      <c r="Z349" s="28">
        <f>VLOOKUP(D349,'Estimación  PRESUPUESTO PCAS'!$B$4:$G$158,'Estimación  PRESUPUESTO PCAS'!$G$2,FALSE)</f>
        <v>335951.37010107719</v>
      </c>
      <c r="AA349" s="650">
        <f>(-O349-R349)/(1+0.12)+PV(12%,20,P349)+PV(12%,20,T349)-(O349*0.5)/(1+0.12)^10-S349/(1+0.12)^10</f>
        <v>-27140756.6482164</v>
      </c>
      <c r="AB349" s="651">
        <f>M349+AA349</f>
        <v>-45963085.905775174</v>
      </c>
      <c r="AC349" s="10">
        <f>VLOOKUP($E349,Resumen_Generación!$B$5:$F$158,Resumen_Generación!$D$3,FALSE)</f>
        <v>33.8903094</v>
      </c>
      <c r="AD349" s="10">
        <f>VLOOKUP($E349,Resumen_Generación!$B$5:$G$158,Resumen_Generación!$G$3,FALSE)</f>
        <v>13.850039499999999</v>
      </c>
      <c r="AE349" s="362">
        <f>VLOOKUP($E349,Resumen_Generación!$B$5:$F$158,Resumen_Generación!$E$3,FALSE)</f>
        <v>42425</v>
      </c>
      <c r="AF349" s="10">
        <f>VLOOKUP($E349,Resumen_Generación!$B$5:$F$158,Resumen_Generación!$F$3,FALSE)</f>
        <v>15.644328</v>
      </c>
      <c r="AG349" s="448">
        <f>VLOOKUP($D349,Valoración_Equip_actual!$D$4:$I$157,Valoración_Equip_actual!$E$2,FALSE)*$E$4</f>
        <v>214660.54609204963</v>
      </c>
      <c r="AH349" s="448">
        <f>VLOOKUP($D349,Valoración_Equip_actual!$D$4:$I$157,Valoración_Equip_actual!$F$2,FALSE)*$E$4</f>
        <v>97377.24</v>
      </c>
      <c r="AI349" s="448">
        <f>[175]P_Datos!$D$43</f>
        <v>1.0748852459016394</v>
      </c>
      <c r="AN349" s="34" t="str">
        <f>[175]Datos!$C$2</f>
        <v>Trenque Lauquen</v>
      </c>
      <c r="AO349" s="25" t="str">
        <f>VLOOKUP($E349,Tabla13[],Inputs_costos!$D$1,FALSE)</f>
        <v>TRENQUE LAUQUEN</v>
      </c>
      <c r="AP349" s="28" t="str">
        <f>VLOOKUP($D349,'Costo Social x localidad'!$B$2:$M$156,1,FALSE)</f>
        <v>TRENQUE LAUQUEN</v>
      </c>
    </row>
    <row r="350" spans="1:42" ht="15.75" thickBot="1">
      <c r="A350" s="917"/>
      <c r="B350" s="888"/>
      <c r="C350" s="510"/>
      <c r="D350" s="12" t="s">
        <v>8</v>
      </c>
      <c r="E350" s="40"/>
      <c r="F350" s="13"/>
      <c r="G350" s="8"/>
      <c r="H350" s="32">
        <f>SUM(H347:H349)</f>
        <v>8060180.8556994181</v>
      </c>
      <c r="I350" s="32"/>
      <c r="J350" s="32">
        <f>SUM(J347:J349)</f>
        <v>3689770.7898421241</v>
      </c>
      <c r="K350" s="14"/>
      <c r="L350" s="14"/>
      <c r="M350" s="15">
        <f>SUM(M347:M349)</f>
        <v>-37352287.468763985</v>
      </c>
      <c r="N350" s="15"/>
      <c r="O350" s="16">
        <f>SUM(O347:O349)</f>
        <v>1905834.8758999503</v>
      </c>
      <c r="P350" s="16">
        <f>SUM(P347:P349)</f>
        <v>674041.59247415047</v>
      </c>
      <c r="Q350" s="16"/>
      <c r="R350" s="26">
        <f>SUM(R347:R349)</f>
        <v>10984289.25736</v>
      </c>
      <c r="S350" s="26"/>
      <c r="T350" s="26">
        <f>SUM(T347:T349)</f>
        <v>1733851.242384</v>
      </c>
      <c r="U350" s="26"/>
      <c r="V350" s="26">
        <f>SUM(V347:V349)</f>
        <v>10626191.88768</v>
      </c>
      <c r="W350" s="26"/>
      <c r="X350" s="26">
        <f>SUM(X347:X349)</f>
        <v>943455.07153382013</v>
      </c>
      <c r="Y350" s="26">
        <f>SUM(Y347:Y349)</f>
        <v>92845.094185680005</v>
      </c>
      <c r="Z350" s="26">
        <f>SUM(Z347:Z349)</f>
        <v>713782.16876639379</v>
      </c>
      <c r="AA350" s="653">
        <f>SUM(AA347:AA349)</f>
        <v>-30063881.287613582</v>
      </c>
      <c r="AB350" s="654">
        <f>+M350+AA350</f>
        <v>-67416168.756377563</v>
      </c>
      <c r="AC350" s="630">
        <f t="shared" ref="AC350:AI350" si="257">SUM(AC347:AC349)</f>
        <v>44.953306456</v>
      </c>
      <c r="AD350" s="630">
        <f t="shared" si="257"/>
        <v>18.357008180000001</v>
      </c>
      <c r="AE350" s="631">
        <f t="shared" si="257"/>
        <v>58370</v>
      </c>
      <c r="AF350" s="630">
        <f t="shared" si="257"/>
        <v>20.759941999999999</v>
      </c>
      <c r="AG350" s="630">
        <f t="shared" si="257"/>
        <v>572668.48109204962</v>
      </c>
      <c r="AH350" s="630">
        <f t="shared" si="257"/>
        <v>167487.44</v>
      </c>
      <c r="AI350" s="630">
        <f t="shared" si="257"/>
        <v>1.4716065573770494</v>
      </c>
      <c r="AJ350" s="4"/>
      <c r="AK350" s="4"/>
      <c r="AL350" s="4"/>
      <c r="AM350" s="4"/>
      <c r="AN350" s="4"/>
      <c r="AO350" s="4"/>
      <c r="AP350" s="4"/>
    </row>
    <row r="351" spans="1:42">
      <c r="A351" s="917"/>
      <c r="B351" s="886" t="s">
        <v>310</v>
      </c>
      <c r="C351" s="507" t="str">
        <f>IF(AND(D351=AN351,D351=AO351,D351=AP351),"ok","ATENCIÓN NO ESTÁ TOMANDO BIEN LA LOCALIDAD")</f>
        <v>ok</v>
      </c>
      <c r="D351" s="23" t="s">
        <v>238</v>
      </c>
      <c r="E351" s="114">
        <f>VLOOKUP(D351,Pobl_adoptada!$C$5:$D$158,2,FALSE)</f>
        <v>132</v>
      </c>
      <c r="F351" s="8" t="s">
        <v>308</v>
      </c>
      <c r="G351" s="576">
        <f>+'[176]Inversion rec-TA'!$G$21</f>
        <v>1789066.2548091176</v>
      </c>
      <c r="H351" s="577">
        <f>+($AC347/$AC350)*H354+G351</f>
        <v>2026701.1147995219</v>
      </c>
      <c r="I351" s="587">
        <f>+'[176]Costos Operativos Rec-TA'!$G$23</f>
        <v>913770.42322432308</v>
      </c>
      <c r="J351" s="579">
        <f>+($AC347/$AC350)*J354+I351</f>
        <v>918523.12042413116</v>
      </c>
      <c r="K351" s="10">
        <f>+'[176]Inversion rec-TA'!$G$46</f>
        <v>0</v>
      </c>
      <c r="L351" s="10">
        <f>+'[176]Costos Operativos Rec-TA'!$G$46</f>
        <v>0</v>
      </c>
      <c r="M351" s="19">
        <f t="shared" ref="M351:M353" si="258">-H351/(1+0.12)+PV(12%,20,J351)-H351/(1+0.12)^10</f>
        <v>-9322954.7499687783</v>
      </c>
      <c r="N351" s="614">
        <f>+$AD347/$AD350*N355</f>
        <v>281885.48633784096</v>
      </c>
      <c r="O351" s="25">
        <f>IF(N351-AG351&lt;0,0,N351-AG351)</f>
        <v>221912.12633784098</v>
      </c>
      <c r="P351" s="32">
        <f>+$AD347/$AD350*P355</f>
        <v>127667.92009273155</v>
      </c>
      <c r="Q351" s="614">
        <f>+$AC347/$AC350*Q355</f>
        <v>1795815.1484771699</v>
      </c>
      <c r="R351" s="647">
        <f>IF(Q351-AH351&lt;0,0,Q351-AH351)</f>
        <v>1725704.94847717</v>
      </c>
      <c r="S351" s="647">
        <f>+S347</f>
        <v>0</v>
      </c>
      <c r="T351" s="32">
        <f>+$AC347/$AC350*T355</f>
        <v>225886.13966411384</v>
      </c>
      <c r="U351" s="27"/>
      <c r="V351" s="461">
        <f>+V347</f>
        <v>3460637.2047999999</v>
      </c>
      <c r="W351" s="27"/>
      <c r="X351" s="461">
        <f t="shared" ref="X351:Z353" si="259">+X347</f>
        <v>307255.48306656978</v>
      </c>
      <c r="Y351" s="27">
        <f t="shared" si="259"/>
        <v>11522.644356000001</v>
      </c>
      <c r="Z351" s="27">
        <f t="shared" si="259"/>
        <v>198950.05200565828</v>
      </c>
      <c r="AA351" s="650">
        <f>(-O351-R351)/(1+0.12)+PV(12%,20,P351)+PV(12%,20,T351)-(O351*0.5)/(1+0.12)^10-S351/(1+0.12)^10</f>
        <v>-4415520.8170828838</v>
      </c>
      <c r="AB351" s="651">
        <f>M351+AA351</f>
        <v>-13738475.567051662</v>
      </c>
      <c r="AG351" s="448">
        <f>VLOOKUP($D351,Valoración_Eq_REG!$D$4:$I$157,Valoración_Eq_REG!$E$2,FALSE)*$E$4</f>
        <v>59973.36</v>
      </c>
      <c r="AH351" s="448">
        <f>VLOOKUP($D351,Valoración_Eq_REG!$D$4:$I$157,Valoración_Eq_REG!$F$2,FALSE)*$E$4</f>
        <v>70110.2</v>
      </c>
      <c r="AJ351" s="484">
        <f>+'[176]Evaluacion Economica'!$L$25</f>
        <v>2</v>
      </c>
      <c r="AK351" s="448">
        <f>+'[176]Evaluacion Economica'!$R$25</f>
        <v>12</v>
      </c>
      <c r="AL351" s="484">
        <f>+'[176]P_Evaluacion Economica'!$L$27</f>
        <v>2</v>
      </c>
      <c r="AM351" s="448">
        <f>+'[176]P_Evaluacion Economica'!$Q$27</f>
        <v>6</v>
      </c>
      <c r="AN351" s="34" t="str">
        <f>+[176]Datos!$C$2</f>
        <v>Tres Lomas</v>
      </c>
      <c r="AO351" s="25" t="str">
        <f>VLOOKUP($E351,Tabla13[],Inputs_costos!$D$1,FALSE)</f>
        <v>TRES LOMAS</v>
      </c>
      <c r="AP351" s="28" t="str">
        <f>VLOOKUP($D351,'Costo Social x localidad'!$B$2:$M$156,1,FALSE)</f>
        <v>TRES LOMAS</v>
      </c>
    </row>
    <row r="352" spans="1:42">
      <c r="A352" s="917"/>
      <c r="B352" s="887"/>
      <c r="C352" s="478" t="str">
        <f>IF(AND(D352=AN352,D352=AO352,D352=AP352),"ok","ATENCIÓN NO ESTÁ TOMANDO BIEN LA LOCALIDAD")</f>
        <v>ok</v>
      </c>
      <c r="D352" s="24" t="s">
        <v>204</v>
      </c>
      <c r="E352" s="115">
        <f>VLOOKUP(D352,Pobl_adoptada!$C$5:$D$158,2,FALSE)</f>
        <v>102</v>
      </c>
      <c r="F352" s="9" t="s">
        <v>308</v>
      </c>
      <c r="G352" s="580">
        <f>+'[177]Inversion rec-TA'!$G$21</f>
        <v>1690536.2744783517</v>
      </c>
      <c r="H352" s="34">
        <f>+($AC348/$AC350)*H354+G352</f>
        <v>1830806.5337105817</v>
      </c>
      <c r="I352" s="465">
        <f>+'[177]Costos Operativos Rec-TA'!$G$23</f>
        <v>824605.82690545567</v>
      </c>
      <c r="J352" s="581">
        <f>+($AC348/$AC350)*J354+I352</f>
        <v>827411.2320901003</v>
      </c>
      <c r="K352" s="10">
        <f>+'[177]Inversion rec-TA'!$G$46</f>
        <v>0</v>
      </c>
      <c r="L352" s="10">
        <f>+'[177]Costos Operativos Rec-TA'!$G$46</f>
        <v>0</v>
      </c>
      <c r="M352" s="19">
        <f t="shared" si="258"/>
        <v>-8404420.9482756499</v>
      </c>
      <c r="N352" s="465">
        <f>+$AD348/$AD350*N355</f>
        <v>165390.8227513101</v>
      </c>
      <c r="O352" s="25">
        <f>IF(N352-AG352&lt;0,0,N352-AG352)</f>
        <v>0</v>
      </c>
      <c r="P352" s="25">
        <f>+$AD348/$AD350*P355</f>
        <v>74906.667304533898</v>
      </c>
      <c r="Q352" s="465">
        <f>+$AC348/$AC350*Q355</f>
        <v>1060027.373173407</v>
      </c>
      <c r="R352" s="647">
        <f>IF(Q352-AH352&lt;0,0,Q352-AH352)</f>
        <v>1060027.373173407</v>
      </c>
      <c r="S352" s="647">
        <f>+S348</f>
        <v>0</v>
      </c>
      <c r="T352" s="25">
        <f>+$AC348/$AC350*T355</f>
        <v>133335.2664206441</v>
      </c>
      <c r="U352" s="458"/>
      <c r="V352" s="461">
        <f>+V348</f>
        <v>1872815.42848</v>
      </c>
      <c r="W352" s="28"/>
      <c r="X352" s="461">
        <f t="shared" si="259"/>
        <v>166279.43789484951</v>
      </c>
      <c r="Y352" s="28">
        <f t="shared" si="259"/>
        <v>7559.8992432000005</v>
      </c>
      <c r="Z352" s="28">
        <f t="shared" si="259"/>
        <v>178880.74665965824</v>
      </c>
      <c r="AA352" s="650">
        <f>(-O352-R352)/(1+0.12)+PV(12%,20,P352)+PV(12%,20,T352)-(O352*0.5)/(1+0.12)^10-S352/(1+0.12)^10</f>
        <v>-2501904.3959431513</v>
      </c>
      <c r="AB352" s="651">
        <f>M352+AA352</f>
        <v>-10906325.344218802</v>
      </c>
      <c r="AC352" s="39"/>
      <c r="AD352" s="10"/>
      <c r="AE352" s="10"/>
      <c r="AF352" s="10"/>
      <c r="AG352" s="448">
        <f>VLOOKUP($D352,Valoración_Eq_REG!$D$4:$I$157,Valoración_Eq_REG!$E$2,FALSE)*$E$4</f>
        <v>246710.2</v>
      </c>
      <c r="AH352" s="448">
        <f>VLOOKUP($D352,Valoración_Eq_REG!$D$4:$I$157,Valoración_Eq_REG!$F$2,FALSE)*$E$4</f>
        <v>0</v>
      </c>
      <c r="AI352" s="11"/>
      <c r="AJ352" s="484">
        <f>+'[177]Evaluacion Economica'!$L$25</f>
        <v>2</v>
      </c>
      <c r="AK352" s="448">
        <f>+'[177]Evaluacion Economica'!$R$25</f>
        <v>15</v>
      </c>
      <c r="AL352" s="484">
        <f>+'[177]P_Evaluacion Economica'!$L$27</f>
        <v>2</v>
      </c>
      <c r="AM352" s="448">
        <f>+'[177]P_Evaluacion Economica'!$Q$27</f>
        <v>6</v>
      </c>
      <c r="AN352" s="34" t="str">
        <f>+[177]Datos!$C$2</f>
        <v>Pellegrini</v>
      </c>
      <c r="AO352" s="25" t="str">
        <f>VLOOKUP($E352,Tabla13[],Inputs_costos!$D$1,FALSE)</f>
        <v>PELLEGRINI</v>
      </c>
      <c r="AP352" s="28" t="str">
        <f>VLOOKUP($D352,'Costo Social x localidad'!$B$2:$M$156,1,FALSE)</f>
        <v>PELLEGRINI</v>
      </c>
    </row>
    <row r="353" spans="1:42" ht="15.75" thickBot="1">
      <c r="A353" s="917"/>
      <c r="B353" s="887"/>
      <c r="C353" s="478" t="str">
        <f>IF(AND(D353=AN353,D353=AO353,D353=AP353),"ok","ATENCIÓN NO ESTÁ TOMANDO BIEN LA LOCALIDAD")</f>
        <v>ok</v>
      </c>
      <c r="D353" s="36" t="s">
        <v>236</v>
      </c>
      <c r="E353" s="115">
        <f>VLOOKUP(D353,Pobl_adoptada!$C$5:$D$158,2,FALSE)</f>
        <v>130</v>
      </c>
      <c r="F353" s="9" t="s">
        <v>308</v>
      </c>
      <c r="G353" s="580">
        <f>+'[178]Inversion rec-TA'!$G$21</f>
        <v>3163030.2837175271</v>
      </c>
      <c r="H353" s="34">
        <f>+($AC349/$AC350)*H354+G353</f>
        <v>4320702.2373002078</v>
      </c>
      <c r="I353" s="465">
        <f>+'[178]Costos Operativos Rec-TA'!$G$23</f>
        <v>1925626.5433653006</v>
      </c>
      <c r="J353" s="581">
        <f>+($AC349/$AC350)*J354+I353</f>
        <v>1948779.9824369543</v>
      </c>
      <c r="K353" s="10">
        <f>+'[178]Inversion rec-TA'!$G$46</f>
        <v>0</v>
      </c>
      <c r="L353" s="10">
        <f>+'[178]Costos Operativos Rec-TA'!$G$46</f>
        <v>0</v>
      </c>
      <c r="M353" s="19">
        <f t="shared" si="258"/>
        <v>-19805222.55345149</v>
      </c>
      <c r="N353" s="465">
        <f>+$AD349/$AD350*N355</f>
        <v>1374492.4777908488</v>
      </c>
      <c r="O353" s="25">
        <f>IF(N353-AG353&lt;0,0,N353-AG353)</f>
        <v>1159831.9316987991</v>
      </c>
      <c r="P353" s="25">
        <f>+$AD349/$AD350*P355</f>
        <v>622517.31404273456</v>
      </c>
      <c r="Q353" s="465">
        <f>+$AC349/$AC350*Q355</f>
        <v>8748568.4183494244</v>
      </c>
      <c r="R353" s="647">
        <f>IF(Q353-AH353&lt;0,0,Q353-AH353)</f>
        <v>8651191.1783494242</v>
      </c>
      <c r="S353" s="647">
        <f>+S349</f>
        <v>815000</v>
      </c>
      <c r="T353" s="25">
        <f>+$AC349/$AC350*T355</f>
        <v>1100436.394739242</v>
      </c>
      <c r="U353" s="29"/>
      <c r="V353" s="461">
        <f>+V349</f>
        <v>5292739.2544</v>
      </c>
      <c r="W353" s="25"/>
      <c r="X353" s="461">
        <f t="shared" si="259"/>
        <v>469920.15057240083</v>
      </c>
      <c r="Y353" s="28">
        <f t="shared" si="259"/>
        <v>73762.550586480007</v>
      </c>
      <c r="Z353" s="28">
        <f t="shared" si="259"/>
        <v>335951.37010107719</v>
      </c>
      <c r="AA353" s="650">
        <f>(-O353-R353)/(1+0.12)+PV(12%,20,P353)+PV(12%,20,T353)-(O353*0.5)/(1+0.12)^10-S353/(1+0.12)^10</f>
        <v>-22078473.265912745</v>
      </c>
      <c r="AB353" s="651">
        <f>M353+AA353</f>
        <v>-41883695.819364235</v>
      </c>
      <c r="AC353" s="10"/>
      <c r="AD353" s="10"/>
      <c r="AE353" s="10"/>
      <c r="AF353" s="10"/>
      <c r="AG353" s="448">
        <f>VLOOKUP($D353,Valoración_Eq_REG!$D$4:$I$157,Valoración_Eq_REG!$E$2,FALSE)*$E$4</f>
        <v>214660.54609204963</v>
      </c>
      <c r="AH353" s="448">
        <f>VLOOKUP($D353,Valoración_Eq_REG!$D$4:$I$157,Valoración_Eq_REG!$F$2,FALSE)*$E$4</f>
        <v>97377.24</v>
      </c>
      <c r="AI353" s="2"/>
      <c r="AJ353" s="484">
        <f>+'[178]Evaluacion Economica'!$L$25</f>
        <v>3</v>
      </c>
      <c r="AK353" s="448">
        <f>+'[178]Evaluacion Economica'!$R$25</f>
        <v>15</v>
      </c>
      <c r="AL353" s="484">
        <f>+'[178]P_Evaluacion Economica'!$L$27</f>
        <v>3</v>
      </c>
      <c r="AM353" s="448">
        <f>+'[178]P_Evaluacion Economica'!$Q$27</f>
        <v>6</v>
      </c>
      <c r="AN353" s="34" t="str">
        <f>+[178]Datos!$C$2</f>
        <v>Trenque Lauquen</v>
      </c>
      <c r="AO353" s="25" t="str">
        <f>VLOOKUP($E353,Tabla13[],Inputs_costos!$D$1,FALSE)</f>
        <v>TRENQUE LAUQUEN</v>
      </c>
      <c r="AP353" s="28" t="str">
        <f>VLOOKUP($D353,'Costo Social x localidad'!$B$2:$M$156,1,FALSE)</f>
        <v>TRENQUE LAUQUEN</v>
      </c>
    </row>
    <row r="354" spans="1:42" ht="30.75" thickBot="1">
      <c r="A354" s="917"/>
      <c r="B354" s="887"/>
      <c r="C354" s="912" t="s">
        <v>12</v>
      </c>
      <c r="D354" s="913"/>
      <c r="E354" s="498" t="s">
        <v>589</v>
      </c>
      <c r="F354" s="571">
        <f>+F341</f>
        <v>0.02</v>
      </c>
      <c r="G354" s="582"/>
      <c r="H354" s="461">
        <f>+AJ354*AJ356+AL354*AL356</f>
        <v>1535577.0728053148</v>
      </c>
      <c r="I354" s="461"/>
      <c r="J354" s="583">
        <f>+$F354*H354</f>
        <v>30711.541456106297</v>
      </c>
      <c r="K354" s="10"/>
      <c r="L354" s="10"/>
      <c r="M354" s="19"/>
      <c r="N354" s="465"/>
      <c r="O354" s="10"/>
      <c r="P354" s="10"/>
      <c r="Q354" s="618"/>
      <c r="R354" s="28"/>
      <c r="S354" s="28"/>
      <c r="T354" s="28"/>
      <c r="U354" s="28"/>
      <c r="V354" s="28"/>
      <c r="W354" s="28"/>
      <c r="X354" s="28"/>
      <c r="Y354" s="28"/>
      <c r="Z354" s="28"/>
      <c r="AA354" s="658"/>
      <c r="AB354" s="20"/>
      <c r="AC354" s="10"/>
      <c r="AD354" s="10"/>
      <c r="AE354" s="10"/>
      <c r="AF354" s="10"/>
      <c r="AG354" s="4"/>
      <c r="AH354" s="4"/>
      <c r="AI354" s="4"/>
      <c r="AJ354" s="501">
        <f>ROUNDUP(C355*SUM(AJ351:AJ353),0)</f>
        <v>3</v>
      </c>
      <c r="AK354" s="502">
        <f>AVERAGE(AK351:AK353)</f>
        <v>14</v>
      </c>
      <c r="AL354" s="501">
        <f>ROUNDUP(C355*SUM(AL351:AL353),0)</f>
        <v>3</v>
      </c>
      <c r="AM354" s="502">
        <f>AVERAGE(AM351:AM353)</f>
        <v>6</v>
      </c>
      <c r="AN354" s="4"/>
      <c r="AO354" s="4"/>
      <c r="AP354" s="4"/>
    </row>
    <row r="355" spans="1:42" ht="15.75" thickBot="1">
      <c r="A355" s="918"/>
      <c r="B355" s="888"/>
      <c r="C355" s="570">
        <v>0.3</v>
      </c>
      <c r="D355" s="500" t="str">
        <f>A347</f>
        <v>REGIÓN TRENQUE LAUQUEN</v>
      </c>
      <c r="E355" s="468"/>
      <c r="F355" s="469"/>
      <c r="G355" s="584"/>
      <c r="H355" s="585">
        <f>SUM(H351:H353)</f>
        <v>8178209.8858103119</v>
      </c>
      <c r="I355" s="585"/>
      <c r="J355" s="586">
        <f>SUM(J351:J353)</f>
        <v>3694714.3349511856</v>
      </c>
      <c r="K355" s="14"/>
      <c r="L355" s="14"/>
      <c r="M355" s="15">
        <f>SUM(M351:M354)</f>
        <v>-37532598.251695916</v>
      </c>
      <c r="N355" s="615">
        <f>(VLOOKUP($E351,Tabla13[],Inputs_costos!$P$1,FALSE))*(O$3*$E$3+O$4*$E$4)</f>
        <v>1821768.78688</v>
      </c>
      <c r="O355" s="35">
        <f>SUM(O351:O353)</f>
        <v>1381744.0580366401</v>
      </c>
      <c r="P355" s="35">
        <f>(VLOOKUP($E351,Tabla13[],Inputs_costos!$Q$1,FALSE))*(P$3*$E$3+P$4*$E$4)</f>
        <v>825091.90144000005</v>
      </c>
      <c r="Q355" s="615">
        <f>IF($AC350&gt;=15,(VLOOKUP($E351,Tabla13[],Inputs_costos!$N$1,FALSE))*($R$3*$E$3+$R$4*$E$4),(VLOOKUP($E351,Tabla13[],Inputs_costos!$N$1,FALSE))*($T$3*$E$3+$T$4*$E$4))</f>
        <v>11604410.940000001</v>
      </c>
      <c r="R355" s="35">
        <f>SUM(R351:R353)</f>
        <v>11436923.5</v>
      </c>
      <c r="S355" s="35"/>
      <c r="T355" s="35">
        <f>IF($AC350&gt;=15,(VLOOKUP($E351,Tabla13[],Inputs_costos!$O$1,FALSE))*($R$3*$E$3+$R$4*$E$4),(VLOOKUP($E351,Tabla13[],Inputs_costos!$O$1,FALSE))*($T$3*$E$3+$T$4*$E$4))</f>
        <v>1459657.800824</v>
      </c>
      <c r="U355" s="35"/>
      <c r="V355" s="31">
        <f>SUM(V351:V353)</f>
        <v>10626191.88768</v>
      </c>
      <c r="W355" s="31"/>
      <c r="X355" s="31">
        <f>SUM(X351:X353)</f>
        <v>943455.07153382013</v>
      </c>
      <c r="Y355" s="31">
        <f>SUM(Y351:Y353)</f>
        <v>92845.094185680005</v>
      </c>
      <c r="Z355" s="31">
        <f>SUM(Z351:Z353)</f>
        <v>713782.16876639379</v>
      </c>
      <c r="AA355" s="653">
        <f>SUM(AA351:AA353)</f>
        <v>-28995898.478938781</v>
      </c>
      <c r="AB355" s="654">
        <f>+M355+AA355</f>
        <v>-66528496.730634697</v>
      </c>
      <c r="AC355" s="38"/>
      <c r="AD355" s="38"/>
      <c r="AE355" s="38"/>
      <c r="AF355" s="38"/>
      <c r="AG355" s="4"/>
      <c r="AH355" s="4"/>
      <c r="AI355" s="4"/>
      <c r="AJ355" s="11"/>
      <c r="AK355" s="499">
        <f>VLOOKUP(ROUNDUP(AK354,0),DATOS!$F$16:$G$31,2,FALSE)</f>
        <v>15</v>
      </c>
      <c r="AL355" s="497"/>
      <c r="AM355" s="499">
        <f>VLOOKUP(ROUNDUP(AM354,0),DATOS!$J$16:$K$34,2,FALSE)</f>
        <v>6</v>
      </c>
      <c r="AN355" s="4"/>
      <c r="AO355" s="4"/>
      <c r="AP355" s="4"/>
    </row>
    <row r="356" spans="1:42">
      <c r="F356" s="2"/>
      <c r="G356" s="2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0"/>
      <c r="V356" s="2"/>
      <c r="W356" s="2"/>
      <c r="X356" s="2"/>
      <c r="Y356" s="2"/>
      <c r="Z356" s="2"/>
      <c r="AA356" s="4"/>
      <c r="AB356" s="4"/>
      <c r="AC356" s="4"/>
      <c r="AD356" s="4"/>
      <c r="AE356" s="4"/>
      <c r="AF356" s="4"/>
      <c r="AG356" s="644"/>
      <c r="AH356" s="448"/>
      <c r="AI356" s="4"/>
      <c r="AJ356" s="892">
        <f>VLOOKUP(AK355,DATOS!$F$3:$H$11,3,FALSE)</f>
        <v>277598.62978843832</v>
      </c>
      <c r="AK356" s="892"/>
      <c r="AL356" s="892">
        <f>VLOOKUP(AM355,DATOS!$J$3:$L$12,3,FALSE)</f>
        <v>234260.39447999999</v>
      </c>
      <c r="AM356" s="892"/>
      <c r="AN356" s="4"/>
      <c r="AO356" s="4"/>
      <c r="AP356" s="4"/>
    </row>
    <row r="357" spans="1:42" ht="15.75" thickBot="1">
      <c r="A357" s="503"/>
      <c r="B357" s="503"/>
      <c r="C357" s="503"/>
      <c r="D357" s="503"/>
      <c r="E357" s="503"/>
      <c r="F357" s="504"/>
      <c r="G357" s="504"/>
      <c r="H357" s="505"/>
      <c r="I357" s="505"/>
      <c r="J357" s="505"/>
      <c r="K357" s="505"/>
      <c r="L357" s="505"/>
      <c r="M357" s="505"/>
      <c r="N357" s="505"/>
      <c r="O357" s="505"/>
      <c r="P357" s="505"/>
      <c r="Q357" s="505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6"/>
      <c r="AB357" s="506"/>
      <c r="AC357" s="506"/>
      <c r="AD357" s="506"/>
      <c r="AE357" s="506"/>
      <c r="AF357" s="506"/>
      <c r="AG357" s="506"/>
      <c r="AH357" s="506"/>
      <c r="AI357" s="506"/>
      <c r="AJ357" s="506"/>
      <c r="AK357" s="506"/>
      <c r="AL357" s="506"/>
      <c r="AM357" s="506"/>
      <c r="AN357" s="506"/>
      <c r="AO357" s="506"/>
      <c r="AP357" s="506"/>
    </row>
    <row r="358" spans="1:42" ht="39" thickBot="1">
      <c r="A358" s="886" t="s">
        <v>7</v>
      </c>
      <c r="B358" s="886" t="s">
        <v>2</v>
      </c>
      <c r="C358" s="508"/>
      <c r="D358" s="882" t="s">
        <v>22</v>
      </c>
      <c r="E358" s="882" t="s">
        <v>23</v>
      </c>
      <c r="F358" s="882" t="s">
        <v>3</v>
      </c>
      <c r="G358" s="568"/>
      <c r="H358" s="901" t="s">
        <v>0</v>
      </c>
      <c r="I358" s="901"/>
      <c r="J358" s="901"/>
      <c r="K358" s="901" t="s">
        <v>1</v>
      </c>
      <c r="L358" s="901"/>
      <c r="M358" s="886" t="s">
        <v>10</v>
      </c>
      <c r="N358" s="879" t="s">
        <v>5</v>
      </c>
      <c r="O358" s="880"/>
      <c r="P358" s="881"/>
      <c r="Q358" s="902" t="s">
        <v>4</v>
      </c>
      <c r="R358" s="903"/>
      <c r="S358" s="903"/>
      <c r="T358" s="904"/>
      <c r="U358" s="902" t="s">
        <v>6</v>
      </c>
      <c r="V358" s="903"/>
      <c r="W358" s="903"/>
      <c r="X358" s="904"/>
      <c r="Y358" s="390" t="s">
        <v>689</v>
      </c>
      <c r="Z358" s="662" t="s">
        <v>690</v>
      </c>
      <c r="AA358" s="905" t="s">
        <v>686</v>
      </c>
      <c r="AB358" s="886" t="s">
        <v>9</v>
      </c>
      <c r="AC358" s="907" t="s">
        <v>312</v>
      </c>
      <c r="AD358" s="914" t="s">
        <v>649</v>
      </c>
      <c r="AE358" s="897" t="s">
        <v>20</v>
      </c>
      <c r="AF358" s="897" t="s">
        <v>313</v>
      </c>
      <c r="AG358" s="899" t="s">
        <v>552</v>
      </c>
      <c r="AH358" s="895" t="s">
        <v>578</v>
      </c>
      <c r="AI358" s="897" t="s">
        <v>579</v>
      </c>
      <c r="AJ358" s="882" t="s">
        <v>581</v>
      </c>
      <c r="AK358" s="882" t="s">
        <v>582</v>
      </c>
      <c r="AL358" s="882" t="s">
        <v>581</v>
      </c>
      <c r="AM358" s="882" t="s">
        <v>582</v>
      </c>
      <c r="AN358" s="884" t="s">
        <v>553</v>
      </c>
      <c r="AO358" s="885"/>
      <c r="AP358" s="885"/>
    </row>
    <row r="359" spans="1:42" ht="30.75" thickBot="1">
      <c r="A359" s="888"/>
      <c r="B359" s="888"/>
      <c r="C359" s="509"/>
      <c r="D359" s="883"/>
      <c r="E359" s="883"/>
      <c r="F359" s="883"/>
      <c r="G359" s="569"/>
      <c r="H359" s="17" t="s">
        <v>18</v>
      </c>
      <c r="I359" s="17"/>
      <c r="J359" s="17" t="s">
        <v>17</v>
      </c>
      <c r="K359" s="17" t="s">
        <v>18</v>
      </c>
      <c r="L359" s="17" t="s">
        <v>17</v>
      </c>
      <c r="M359" s="888"/>
      <c r="N359" s="464" t="s">
        <v>685</v>
      </c>
      <c r="O359" s="17" t="s">
        <v>18</v>
      </c>
      <c r="P359" s="17" t="s">
        <v>17</v>
      </c>
      <c r="Q359" s="464" t="s">
        <v>685</v>
      </c>
      <c r="R359" s="17" t="s">
        <v>18</v>
      </c>
      <c r="S359" s="17"/>
      <c r="T359" s="17" t="s">
        <v>17</v>
      </c>
      <c r="U359" s="464" t="s">
        <v>576</v>
      </c>
      <c r="V359" s="17" t="s">
        <v>18</v>
      </c>
      <c r="W359" s="464" t="s">
        <v>577</v>
      </c>
      <c r="X359" s="17" t="s">
        <v>17</v>
      </c>
      <c r="Y359" s="17" t="s">
        <v>18</v>
      </c>
      <c r="Z359" s="17" t="s">
        <v>17</v>
      </c>
      <c r="AA359" s="906"/>
      <c r="AB359" s="888"/>
      <c r="AC359" s="908"/>
      <c r="AD359" s="915"/>
      <c r="AE359" s="898"/>
      <c r="AF359" s="898"/>
      <c r="AG359" s="900"/>
      <c r="AH359" s="896"/>
      <c r="AI359" s="898"/>
      <c r="AJ359" s="883"/>
      <c r="AK359" s="883"/>
      <c r="AL359" s="883"/>
      <c r="AM359" s="883"/>
      <c r="AN359" s="1" t="s">
        <v>551</v>
      </c>
      <c r="AO359" s="9" t="s">
        <v>554</v>
      </c>
      <c r="AP359" s="1" t="s">
        <v>555</v>
      </c>
    </row>
    <row r="360" spans="1:42">
      <c r="A360" s="916" t="s">
        <v>614</v>
      </c>
      <c r="B360" s="886" t="s">
        <v>309</v>
      </c>
      <c r="C360" s="507" t="str">
        <f>IF(AND(D360=AN360,D360=AO360,D360=AP360),"ok","ATENCIÓN NO ESTÁ TOMANDO BIEN LA LOCALIDAD")</f>
        <v>ok</v>
      </c>
      <c r="D360" s="23" t="s">
        <v>123</v>
      </c>
      <c r="E360" s="114">
        <f>VLOOKUP(D360,Pobl_adoptada!$C$5:$D$158,2,FALSE)</f>
        <v>36</v>
      </c>
      <c r="F360" s="8" t="s">
        <v>308</v>
      </c>
      <c r="G360" s="8"/>
      <c r="H360" s="33">
        <f>'[179]Inversion rec-TA'!$G$21</f>
        <v>3363080.9262797674</v>
      </c>
      <c r="I360" s="33"/>
      <c r="J360" s="33">
        <f>'[179]Costos Operativos Rec-TA'!$G$23</f>
        <v>1630320.2013767203</v>
      </c>
      <c r="K360" s="32">
        <f>'[179]Inversion rec-TA'!$G$46</f>
        <v>0</v>
      </c>
      <c r="L360" s="32">
        <f>+'[179]Costos Operativos Rec-TA'!$G$46</f>
        <v>0</v>
      </c>
      <c r="M360" s="19">
        <f t="shared" ref="M360:M363" si="260">-H360/(1+0.12)+PV(12%,20,J360)-H360/(1+0.12)^10</f>
        <v>-16263157.711572066</v>
      </c>
      <c r="N360" s="19"/>
      <c r="O360" s="25">
        <f>IF(((VLOOKUP($E360,Tabla13[],Inputs_costos!$I$1,FALSE))*(O$3*$E$3+O$4*$E$4)-AG360)&lt;0,0,VLOOKUP($E360,Tabla13[],Inputs_costos!$I$1,FALSE)*(O$3*$E$3+O$4*$E$4)-AG360)</f>
        <v>0</v>
      </c>
      <c r="P360" s="25">
        <f>(VLOOKUP($E360,Tabla13[],Inputs_costos!$J$1,FALSE))*(P$3*$E$3+P$4*$E$4)</f>
        <v>26127.3549570752</v>
      </c>
      <c r="Q360" s="25"/>
      <c r="R360" s="25">
        <f>IF($AC360&gt;=15,(VLOOKUP($E360,Tabla13[],Inputs_costos!$G$1,FALSE))*($R$3*$E$3+$R$4*$E$4),(VLOOKUP($E360,Tabla13[],Inputs_costos!$G$1,FALSE))*($T$3*$E$3+$T$4*$E$4))-AH360</f>
        <v>849493.49847999995</v>
      </c>
      <c r="S360" s="25">
        <f t="shared" ref="S360:S363" si="261">IF(AC360&lt;15,0,IF(AC360&lt;=350,815000,1345000))</f>
        <v>0</v>
      </c>
      <c r="T360" s="25">
        <f>IF($AC360&gt;=15,(VLOOKUP($E360,Tabla13[],Inputs_costos!$H$1,FALSE))*($R$3*$E$3+$R$4*$E$4),(VLOOKUP($E360,Tabla13[],Inputs_costos!$H$1,FALSE))*($T$3*$E$3+$T$4*$E$4))</f>
        <v>181001.89780800001</v>
      </c>
      <c r="U360" s="465">
        <f>SUMIFS(Tabla24[Costo de Cierre Técnico de BCA (US$)],Tabla24[Localidad],Resumen!$D360)</f>
        <v>1038800</v>
      </c>
      <c r="V360" s="461">
        <f>+U360*(V$3*$E$3+V$4*$E$4)</f>
        <v>1994955.5651199999</v>
      </c>
      <c r="W360" s="465">
        <f>SUMIFS(Tabla24[Costo anual de Manteniemiento Post-cierre (US$)],Tabla24[Localidad],Resumen!$D360)</f>
        <v>92230.7011456865</v>
      </c>
      <c r="X360" s="461">
        <f>+W360*(X$3*$E$3+X$4*$E$4)</f>
        <v>177123.74906190493</v>
      </c>
      <c r="Y360" s="27">
        <f>VLOOKUP($D360,'Costo Social x localidad'!$B$2:$M$156,12,FALSE)*(Y$3*$E$3+Y$4*$E$4)</f>
        <v>34362.505754080004</v>
      </c>
      <c r="Z360" s="28">
        <f>VLOOKUP(D360,'Estimación  PRESUPUESTO PCAS'!$B$4:$G$158,'Estimación  PRESUPUESTO PCAS'!$G$2,FALSE)</f>
        <v>194747.69989879767</v>
      </c>
      <c r="AA360" s="650">
        <f>(-O360-R360)/(1+0.12)+PV(12%,20,P360)+PV(12%,20,T360)-(O360*0.5)/(1+0.12)^10-S360/(1+0.12)^10</f>
        <v>-2305616.6144064018</v>
      </c>
      <c r="AB360" s="651">
        <f>M360+AA360</f>
        <v>-18568774.325978469</v>
      </c>
      <c r="AC360" s="10">
        <f>VLOOKUP($E360,Resumen_Generación!$B$5:$F$158,Resumen_Generación!$D$3,FALSE)</f>
        <v>13.189130136000003</v>
      </c>
      <c r="AD360" s="10">
        <f>VLOOKUP($E360,Resumen_Generación!$B$5:$G$158,Resumen_Generación!$G$3,FALSE)</f>
        <v>5.3637648299999992</v>
      </c>
      <c r="AE360" s="362">
        <f>VLOOKUP($E360,Resumen_Generación!$B$5:$F$158,Resumen_Generación!$E$3,FALSE)</f>
        <v>16491</v>
      </c>
      <c r="AF360" s="10">
        <f>VLOOKUP($E360,Resumen_Generación!$B$5:$F$158,Resumen_Generación!$F$3,FALSE)</f>
        <v>6.0881099999999995</v>
      </c>
      <c r="AG360" s="448">
        <f>VLOOKUP($D360,Valoración_Equip_actual!$D$4:$I$157,Valoración_Equip_actual!$E$2,FALSE)*$E$4</f>
        <v>539321.65743200004</v>
      </c>
      <c r="AH360" s="448">
        <f>VLOOKUP($D360,Valoración_Equip_actual!$D$4:$I$157,Valoración_Equip_actual!$F$2,FALSE)*$E$4</f>
        <v>97377.24</v>
      </c>
      <c r="AI360" s="448">
        <f>[179]P_Datos!$D$43</f>
        <v>0.43895081967213112</v>
      </c>
      <c r="AN360" s="449" t="str">
        <f>[179]Datos!$C$2</f>
        <v>Benito Juárez</v>
      </c>
      <c r="AO360" s="450" t="str">
        <f>VLOOKUP($E360,Tabla13[],Inputs_costos!$D$1,FALSE)</f>
        <v>BENITO JUÁREZ</v>
      </c>
      <c r="AP360" s="451" t="str">
        <f>VLOOKUP($D360,'Costo Social x localidad'!$B$2:$M$156,1,FALSE)</f>
        <v>BENITO JUÁREZ</v>
      </c>
    </row>
    <row r="361" spans="1:42">
      <c r="A361" s="917"/>
      <c r="B361" s="887"/>
      <c r="C361" s="478" t="str">
        <f>IF(AND(D361=AN361,D361=AO361,D361=AP361),"ok","ATENCIÓN NO ESTÁ TOMANDO BIEN LA LOCALIDAD")</f>
        <v>ok</v>
      </c>
      <c r="D361" s="24" t="s">
        <v>226</v>
      </c>
      <c r="E361" s="115">
        <f>VLOOKUP(D361,Pobl_adoptada!$C$5:$D$158,2,FALSE)</f>
        <v>121</v>
      </c>
      <c r="F361" s="9" t="s">
        <v>308</v>
      </c>
      <c r="G361" s="9"/>
      <c r="H361" s="34">
        <f>'[180]Inversion rec-TA'!$G$21</f>
        <v>2306462.2567098257</v>
      </c>
      <c r="I361" s="34"/>
      <c r="J361" s="34">
        <f>'[180]Costos Operativos Rec-TA'!$G$23</f>
        <v>957507.43624639092</v>
      </c>
      <c r="K361" s="25">
        <f>'[180]Inversion rec-TA'!$G$46</f>
        <v>0</v>
      </c>
      <c r="L361" s="25">
        <f>+'[180]Costos Operativos Rec-TA'!$G$46</f>
        <v>0</v>
      </c>
      <c r="M361" s="19">
        <f t="shared" si="260"/>
        <v>-9954008.2334177848</v>
      </c>
      <c r="N361" s="19"/>
      <c r="O361" s="25">
        <f>IF(((VLOOKUP($E361,Tabla13[],Inputs_costos!$I$1,FALSE))*(O$3*$E$3+O$4*$E$4)-AG361)&lt;0,0,VLOOKUP($E361,Tabla13[],Inputs_costos!$I$1,FALSE)*(O$3*$E$3+O$4*$E$4)-AG361)</f>
        <v>359159.83353599999</v>
      </c>
      <c r="P361" s="25">
        <f>(VLOOKUP($E361,Tabla13[],Inputs_costos!$J$1,FALSE))*(P$3*$E$3+P$4*$E$4)</f>
        <v>26127.3549570752</v>
      </c>
      <c r="Q361" s="25"/>
      <c r="R361" s="25">
        <f>IF($AC361&gt;=15,(VLOOKUP($E361,Tabla13[],Inputs_costos!$G$1,FALSE))*($R$3*$E$3+$R$4*$E$4),(VLOOKUP($E361,Tabla13[],Inputs_costos!$G$1,FALSE))*($T$3*$E$3+$T$4*$E$4))-AH361</f>
        <v>634831.60847999994</v>
      </c>
      <c r="S361" s="25">
        <f t="shared" si="261"/>
        <v>0</v>
      </c>
      <c r="T361" s="25">
        <f>IF($AC361&gt;=15,(VLOOKUP($E361,Tabla13[],Inputs_costos!$H$1,FALSE))*($R$3*$E$3+$R$4*$E$4),(VLOOKUP($E361,Tabla13[],Inputs_costos!$H$1,FALSE))*($T$3*$E$3+$T$4*$E$4))</f>
        <v>87082.920280000006</v>
      </c>
      <c r="U361" s="465">
        <f>SUMIFS(Tabla24[Costo de Cierre Técnico de BCA (US$)],Tabla24[Localidad],Resumen!$D361)</f>
        <v>530000</v>
      </c>
      <c r="V361" s="461">
        <f t="shared" ref="V361:V363" si="262">+U361*(V$3*$E$3+V$4*$E$4)</f>
        <v>1017834.472</v>
      </c>
      <c r="W361" s="465">
        <f>SUMIFS(Tabla24[Costo anual de Manteniemiento Post-cierre (US$)],Tabla24[Localidad],Resumen!$D361)</f>
        <v>47056.480176370664</v>
      </c>
      <c r="X361" s="461">
        <f t="shared" ref="X361:X363" si="263">+W361*(X$3*$E$3+X$4*$E$4)</f>
        <v>90369.259725461699</v>
      </c>
      <c r="Y361" s="28">
        <f>VLOOKUP($D361,'Costo Social x localidad'!$B$2:$M$156,12,FALSE)*(Y$3*$E$3+Y$4*$E$4)</f>
        <v>8365.9403139199985</v>
      </c>
      <c r="Z361" s="28">
        <f>VLOOKUP(D361,'Estimación  PRESUPUESTO PCAS'!$B$4:$G$158,'Estimación  PRESUPUESTO PCAS'!$G$2,FALSE)</f>
        <v>175855.28170725825</v>
      </c>
      <c r="AA361" s="650">
        <f>(-O361-R361)/(1+0.12)+PV(12%,20,P361)+PV(12%,20,T361)-(O361*0.5)/(1+0.12)^10-S361/(1+0.12)^10</f>
        <v>-1790930.0545492817</v>
      </c>
      <c r="AB361" s="651">
        <f>M361+AA361</f>
        <v>-11744938.287967067</v>
      </c>
      <c r="AC361" s="10">
        <f>VLOOKUP($E361,Resumen_Generación!$B$5:$F$158,Resumen_Generación!$D$3,FALSE)</f>
        <v>6.4902316320000013</v>
      </c>
      <c r="AD361" s="10">
        <f>VLOOKUP($E361,Resumen_Generación!$B$5:$G$158,Resumen_Generación!$G$3,FALSE)</f>
        <v>2.6529354599999997</v>
      </c>
      <c r="AE361" s="362">
        <f>VLOOKUP($E361,Resumen_Generación!$B$5:$F$158,Resumen_Generación!$E$3,FALSE)</f>
        <v>9362</v>
      </c>
      <c r="AF361" s="10">
        <f>VLOOKUP($E361,Resumen_Generación!$B$5:$F$158,Resumen_Generación!$F$3,FALSE)</f>
        <v>2.9958879999999999</v>
      </c>
      <c r="AG361" s="448">
        <f>VLOOKUP($D361,Valoración_Equip_actual!$D$4:$I$157,Valoración_Equip_actual!$E$2,FALSE)*$E$4</f>
        <v>0</v>
      </c>
      <c r="AH361" s="448">
        <f>VLOOKUP($D361,Valoración_Equip_actual!$D$4:$I$157,Valoración_Equip_actual!$F$2,FALSE)*$E$4</f>
        <v>0</v>
      </c>
      <c r="AI361" s="448">
        <f>[180]P_Datos!$D$43</f>
        <v>0.24340983606557376</v>
      </c>
      <c r="AN361" s="34" t="str">
        <f>[180]Datos!$C$2</f>
        <v>San Cayetano</v>
      </c>
      <c r="AO361" s="25" t="str">
        <f>VLOOKUP($E361,Tabla13[],Inputs_costos!$D$1,FALSE)</f>
        <v>SAN CAYETANO</v>
      </c>
      <c r="AP361" s="28" t="str">
        <f>VLOOKUP($D361,'Costo Social x localidad'!$B$2:$M$156,1,FALSE)</f>
        <v>SAN CAYETANO</v>
      </c>
    </row>
    <row r="362" spans="1:42">
      <c r="A362" s="917"/>
      <c r="B362" s="887"/>
      <c r="C362" s="478" t="str">
        <f>IF(AND(D362=AN362,D362=AO362,D362=AP362),"ok","ATENCIÓN NO ESTÁ TOMANDO BIEN LA LOCALIDAD")</f>
        <v>ok</v>
      </c>
      <c r="D362" s="24" t="s">
        <v>116</v>
      </c>
      <c r="E362" s="115">
        <f>VLOOKUP(D362,Pobl_adoptada!$C$5:$D$158,2,FALSE)</f>
        <v>28</v>
      </c>
      <c r="F362" s="9" t="s">
        <v>308</v>
      </c>
      <c r="G362" s="9"/>
      <c r="H362" s="34">
        <f>'[181]Inversion rec-TA'!$G$21</f>
        <v>2415578.5367098255</v>
      </c>
      <c r="I362" s="34"/>
      <c r="J362" s="34">
        <f>'[181]Costos Operativos Rec-TA'!$G$23</f>
        <v>1090992.7990073115</v>
      </c>
      <c r="K362" s="25">
        <f>'[181]Inversion rec-TA'!$G$46</f>
        <v>0</v>
      </c>
      <c r="L362" s="25">
        <f>+'[181]Costos Operativos Rec-TA'!$G$46</f>
        <v>0</v>
      </c>
      <c r="M362" s="19">
        <f t="shared" si="260"/>
        <v>-11083627.397069735</v>
      </c>
      <c r="N362" s="19"/>
      <c r="O362" s="25">
        <f>IF(((VLOOKUP($E362,Tabla13[],Inputs_costos!$I$1,FALSE))*(O$3*$E$3+O$4*$E$4)-AG362)&lt;0,0,VLOOKUP($E362,Tabla13[],Inputs_costos!$I$1,FALSE)*(O$3*$E$3+O$4*$E$4)-AG362)</f>
        <v>359159.83353599999</v>
      </c>
      <c r="P362" s="25">
        <f>(VLOOKUP($E362,Tabla13[],Inputs_costos!$J$1,FALSE))*(P$3*$E$3+P$4*$E$4)</f>
        <v>26127.3549570752</v>
      </c>
      <c r="Q362" s="25"/>
      <c r="R362" s="25">
        <f>IF($AC362&gt;=15,(VLOOKUP($E362,Tabla13[],Inputs_costos!$G$1,FALSE))*($R$3*$E$3+$R$4*$E$4),(VLOOKUP($E362,Tabla13[],Inputs_costos!$G$1,FALSE))*($T$3*$E$3+$T$4*$E$4))-AH362</f>
        <v>676884.88199999998</v>
      </c>
      <c r="S362" s="25">
        <f t="shared" si="261"/>
        <v>0</v>
      </c>
      <c r="T362" s="25">
        <f>IF($AC362&gt;=15,(VLOOKUP($E362,Tabla13[],Inputs_costos!$H$1,FALSE))*($R$3*$E$3+$R$4*$E$4),(VLOOKUP($E362,Tabla13[],Inputs_costos!$H$1,FALSE))*($T$3*$E$3+$T$4*$E$4))</f>
        <v>97413.815783999991</v>
      </c>
      <c r="U362" s="465">
        <f>SUMIFS(Tabla24[Costo de Cierre Técnico de BCA (US$)],Tabla24[Localidad],Resumen!$D362)</f>
        <v>1293200</v>
      </c>
      <c r="V362" s="461">
        <f t="shared" si="262"/>
        <v>2483516.1116800001</v>
      </c>
      <c r="W362" s="465">
        <f>SUMIFS(Tabla24[Costo anual de Manteniemiento Post-cierre (US$)],Tabla24[Localidad],Resumen!$D362)</f>
        <v>114817.81163034441</v>
      </c>
      <c r="X362" s="461">
        <f t="shared" si="263"/>
        <v>220500.99373012653</v>
      </c>
      <c r="Y362" s="28">
        <f>VLOOKUP($D362,'Costo Social x localidad'!$B$2:$M$156,12,FALSE)*(Y$3*$E$3+Y$4*$E$4)</f>
        <v>15974.14979408</v>
      </c>
      <c r="Z362" s="28">
        <f>VLOOKUP(D362,'Estimación  PRESUPUESTO PCAS'!$B$4:$G$158,'Estimación  PRESUPUESTO PCAS'!$G$2,FALSE)</f>
        <v>192023.79363925825</v>
      </c>
      <c r="AA362" s="650">
        <f>(-O362-R362)/(1+0.12)+PV(12%,20,P362)+PV(12%,20,T362)-(O362*0.5)/(1+0.12)^10-S362/(1+0.12)^10</f>
        <v>-1905643.6617480859</v>
      </c>
      <c r="AB362" s="651">
        <f>M362+AA362</f>
        <v>-12989271.058817821</v>
      </c>
      <c r="AC362" s="10">
        <f>VLOOKUP($E362,Resumen_Generación!$B$5:$F$158,Resumen_Generación!$D$3,FALSE)</f>
        <v>7.3916159840000004</v>
      </c>
      <c r="AD362" s="10">
        <f>VLOOKUP($E362,Resumen_Generación!$B$5:$G$158,Resumen_Generación!$G$3,FALSE)</f>
        <v>3.0252300199999995</v>
      </c>
      <c r="AE362" s="362">
        <f>VLOOKUP($E362,Resumen_Generación!$B$5:$F$158,Resumen_Generación!$E$3,FALSE)</f>
        <v>10665</v>
      </c>
      <c r="AF362" s="10">
        <f>VLOOKUP($E362,Resumen_Generación!$B$5:$F$158,Resumen_Generación!$F$3,FALSE)</f>
        <v>3.4093360000000001</v>
      </c>
      <c r="AG362" s="448">
        <f>VLOOKUP($D362,Valoración_Equip_actual!$D$4:$I$157,Valoración_Equip_actual!$E$2,FALSE)*$E$4</f>
        <v>0</v>
      </c>
      <c r="AH362" s="448">
        <f>VLOOKUP($D362,Valoración_Equip_actual!$D$4:$I$157,Valoración_Equip_actual!$F$2,FALSE)*$E$4</f>
        <v>0</v>
      </c>
      <c r="AI362" s="448">
        <f>[181]P_Datos!$D$43</f>
        <v>0.27318032786885249</v>
      </c>
      <c r="AN362" s="34" t="str">
        <f>[181]Datos!$C$2</f>
        <v>Adolfo Gonzáles Chaves</v>
      </c>
      <c r="AO362" s="25" t="str">
        <f>VLOOKUP($E362,Tabla13[],Inputs_costos!$D$1,FALSE)</f>
        <v>ADOLFO GONZÁLES CHAVES</v>
      </c>
      <c r="AP362" s="28" t="str">
        <f>VLOOKUP($D362,'Costo Social x localidad'!$B$2:$M$156,1,FALSE)</f>
        <v>ADOLFO GONZÁLES CHAVES</v>
      </c>
    </row>
    <row r="363" spans="1:42" ht="15.75" thickBot="1">
      <c r="A363" s="917"/>
      <c r="B363" s="887"/>
      <c r="C363" s="478" t="str">
        <f>IF(AND(D363=AN363,D363=AO363,D363=AP363),"ok","ATENCIÓN NO ESTÁ TOMANDO BIEN LA LOCALIDAD")</f>
        <v>ok</v>
      </c>
      <c r="D363" s="36" t="s">
        <v>237</v>
      </c>
      <c r="E363" s="511">
        <f>VLOOKUP(D363,Pobl_adoptada!$C$5:$D$158,2,FALSE)</f>
        <v>131</v>
      </c>
      <c r="F363" s="37" t="s">
        <v>308</v>
      </c>
      <c r="G363" s="37"/>
      <c r="H363" s="117">
        <f>'[182]Inversion rec-TA'!$G$21</f>
        <v>4714077.8210227937</v>
      </c>
      <c r="I363" s="117"/>
      <c r="J363" s="117">
        <f>'[182]Costos Operativos Rec-TA'!$G$23</f>
        <v>2641955.2051032032</v>
      </c>
      <c r="K363" s="25">
        <f>'[182]Inversion rec-TA'!$G$46</f>
        <v>0</v>
      </c>
      <c r="L363" s="25">
        <f>+'[182]Costos Operativos Rec-TA'!$G$46</f>
        <v>0</v>
      </c>
      <c r="M363" s="19">
        <f t="shared" si="260"/>
        <v>-25460740.410576988</v>
      </c>
      <c r="N363" s="19"/>
      <c r="O363" s="25">
        <f>IF(((VLOOKUP($E363,Tabla13[],Inputs_costos!$I$1,FALSE))*(O$3*$E$3+O$4*$E$4)-AG363)&lt;0,0,VLOOKUP($E363,Tabla13[],Inputs_costos!$I$1,FALSE)*(O$3*$E$3+O$4*$E$4)-AG363)</f>
        <v>0</v>
      </c>
      <c r="P363" s="25">
        <f>(VLOOKUP($E363,Tabla13[],Inputs_costos!$J$1,FALSE))*(P$3*$E$3+P$4*$E$4)</f>
        <v>758442.72873600002</v>
      </c>
      <c r="Q363" s="25"/>
      <c r="R363" s="25">
        <f>IF($AC363&gt;=15,(VLOOKUP($E363,Tabla13[],Inputs_costos!$G$1,FALSE))*($R$3*$E$3+$R$4*$E$4),(VLOOKUP($E363,Tabla13[],Inputs_costos!$G$1,FALSE))*($T$3*$E$3+$T$4*$E$4))-AH363</f>
        <v>10545542.0184</v>
      </c>
      <c r="S363" s="25">
        <f t="shared" si="261"/>
        <v>815000</v>
      </c>
      <c r="T363" s="25">
        <f>IF($AC363&gt;=15,(VLOOKUP($E363,Tabla13[],Inputs_costos!$H$1,FALSE))*($R$3*$E$3+$R$4*$E$4),(VLOOKUP($E363,Tabla13[],Inputs_costos!$H$1,FALSE))*($T$3*$E$3+$T$4*$E$4))</f>
        <v>1500650.7320000001</v>
      </c>
      <c r="U363" s="465">
        <f>SUMIFS(Tabla24[Costo de Cierre Técnico de BCA (US$)],Tabla24[Localidad],Resumen!$D363)</f>
        <v>0</v>
      </c>
      <c r="V363" s="461">
        <f t="shared" si="262"/>
        <v>0</v>
      </c>
      <c r="W363" s="465">
        <f>SUMIFS(Tabla24[Costo anual de Manteniemiento Post-cierre (US$)],Tabla24[Localidad],Resumen!$D363)</f>
        <v>0</v>
      </c>
      <c r="X363" s="461">
        <f t="shared" si="263"/>
        <v>0</v>
      </c>
      <c r="Y363" s="447">
        <f>VLOOKUP($D363,'Costo Social x localidad'!$B$2:$M$156,12,FALSE)*(Y$3*$E$3+Y$4*$E$4)</f>
        <v>82042.533496799995</v>
      </c>
      <c r="Z363" s="28">
        <f>VLOOKUP(D363,'Estimación  PRESUPUESTO PCAS'!$B$4:$G$158,'Estimación  PRESUPUESTO PCAS'!$G$2,FALSE)</f>
        <v>323417.64799278497</v>
      </c>
      <c r="AA363" s="650">
        <f>(-O363-R363)/(1+0.12)+PV(12%,20,P363)+PV(12%,20,T363)-(O363*0.5)/(1+0.12)^10-S363/(1+0.12)^10</f>
        <v>-26552241.951304674</v>
      </c>
      <c r="AB363" s="651">
        <f>M363+AA363</f>
        <v>-52012982.361881658</v>
      </c>
      <c r="AC363" s="10">
        <f>VLOOKUP($E363,Resumen_Generación!$B$5:$F$158,Resumen_Generación!$D$3,FALSE)</f>
        <v>41.307854863999999</v>
      </c>
      <c r="AD363" s="10">
        <f>VLOOKUP($E363,Resumen_Generación!$B$5:$G$158,Resumen_Generación!$G$3,FALSE)</f>
        <v>16.745450170000002</v>
      </c>
      <c r="AE363" s="362">
        <f>VLOOKUP($E363,Resumen_Generación!$B$5:$F$158,Resumen_Generación!$E$3,FALSE)</f>
        <v>51608</v>
      </c>
      <c r="AF363" s="10">
        <f>VLOOKUP($E363,Resumen_Generación!$B$5:$F$158,Resumen_Generación!$F$3,FALSE)</f>
        <v>19.082756</v>
      </c>
      <c r="AG363" s="448">
        <f>VLOOKUP($D363,Valoración_Equip_actual!$D$4:$I$157,Valoración_Equip_actual!$E$2,FALSE)*$E$4</f>
        <v>2059018.9151330001</v>
      </c>
      <c r="AH363" s="448">
        <f>VLOOKUP($D363,Valoración_Equip_actual!$D$4:$I$157,Valoración_Equip_actual!$F$2,FALSE)*$E$4</f>
        <v>529446.80000000005</v>
      </c>
      <c r="AI363" s="448">
        <f>[182]P_Datos!$D$43</f>
        <v>1.4130491803278689</v>
      </c>
      <c r="AN363" s="34" t="str">
        <f>[182]Datos!$C$2</f>
        <v>Tres Arroyos</v>
      </c>
      <c r="AO363" s="25" t="str">
        <f>VLOOKUP($E363,Tabla13[],Inputs_costos!$D$1,FALSE)</f>
        <v>TRES ARROYOS</v>
      </c>
      <c r="AP363" s="28" t="str">
        <f>VLOOKUP($D363,'Costo Social x localidad'!$B$2:$M$156,1,FALSE)</f>
        <v>TRES ARROYOS</v>
      </c>
    </row>
    <row r="364" spans="1:42" ht="15.75" thickBot="1">
      <c r="A364" s="917"/>
      <c r="B364" s="888"/>
      <c r="C364" s="510"/>
      <c r="D364" s="12" t="s">
        <v>8</v>
      </c>
      <c r="E364" s="40"/>
      <c r="F364" s="13"/>
      <c r="G364" s="8"/>
      <c r="H364" s="32">
        <f>SUM(H360:H363)</f>
        <v>12799199.540722214</v>
      </c>
      <c r="I364" s="32"/>
      <c r="J364" s="32">
        <f>SUM(J360:J363)</f>
        <v>6320775.6417336259</v>
      </c>
      <c r="K364" s="14"/>
      <c r="L364" s="14"/>
      <c r="M364" s="15">
        <f t="shared" ref="M364:T364" si="264">SUM(M360:M363)</f>
        <v>-62761533.752636582</v>
      </c>
      <c r="N364" s="15"/>
      <c r="O364" s="16">
        <f t="shared" si="264"/>
        <v>718319.66707199998</v>
      </c>
      <c r="P364" s="16">
        <f t="shared" si="264"/>
        <v>836824.79360722564</v>
      </c>
      <c r="Q364" s="16"/>
      <c r="R364" s="26">
        <f t="shared" si="264"/>
        <v>12706752.00736</v>
      </c>
      <c r="S364" s="26"/>
      <c r="T364" s="26">
        <f t="shared" si="264"/>
        <v>1866149.3658720001</v>
      </c>
      <c r="U364" s="26"/>
      <c r="V364" s="26">
        <f t="shared" ref="V364" si="265">SUM(V360:V363)</f>
        <v>5496306.1488000005</v>
      </c>
      <c r="W364" s="26"/>
      <c r="X364" s="26">
        <f t="shared" ref="X364:AA364" si="266">SUM(X360:X363)</f>
        <v>487994.00251749315</v>
      </c>
      <c r="Y364" s="26">
        <f t="shared" si="266"/>
        <v>140745.12935887999</v>
      </c>
      <c r="Z364" s="26">
        <f t="shared" si="266"/>
        <v>886044.4232380992</v>
      </c>
      <c r="AA364" s="653">
        <f t="shared" si="266"/>
        <v>-32554432.282008443</v>
      </c>
      <c r="AB364" s="654">
        <f>+M364+AA364</f>
        <v>-95315966.034645021</v>
      </c>
      <c r="AC364" s="630">
        <f t="shared" ref="AC364:AI364" si="267">SUM(AC360:AC363)</f>
        <v>68.378832616000011</v>
      </c>
      <c r="AD364" s="630">
        <f t="shared" si="267"/>
        <v>27.787380479999999</v>
      </c>
      <c r="AE364" s="631">
        <f t="shared" si="267"/>
        <v>88126</v>
      </c>
      <c r="AF364" s="630">
        <f t="shared" si="267"/>
        <v>31.576090000000001</v>
      </c>
      <c r="AG364" s="630">
        <f t="shared" si="267"/>
        <v>2598340.572565</v>
      </c>
      <c r="AH364" s="630">
        <f t="shared" si="267"/>
        <v>626824.04</v>
      </c>
      <c r="AI364" s="630">
        <f t="shared" si="267"/>
        <v>2.3685901639344262</v>
      </c>
      <c r="AJ364" s="4"/>
      <c r="AK364" s="4"/>
      <c r="AL364" s="4"/>
      <c r="AM364" s="4"/>
      <c r="AN364" s="4"/>
      <c r="AO364" s="4"/>
      <c r="AP364" s="4"/>
    </row>
    <row r="365" spans="1:42">
      <c r="A365" s="917"/>
      <c r="B365" s="886" t="s">
        <v>310</v>
      </c>
      <c r="C365" s="507" t="str">
        <f>IF(AND(D365=AN365,D365=AO365,D365=AP365),"ok","ATENCIÓN NO ESTÁ TOMANDO BIEN LA LOCALIDAD")</f>
        <v>ok</v>
      </c>
      <c r="D365" s="23" t="s">
        <v>123</v>
      </c>
      <c r="E365" s="114">
        <f>VLOOKUP(D365,Pobl_adoptada!$C$5:$D$158,2,FALSE)</f>
        <v>36</v>
      </c>
      <c r="F365" s="8" t="s">
        <v>308</v>
      </c>
      <c r="G365" s="576">
        <f>+'[183]Inversion rec-TA'!$G$21</f>
        <v>2920473.5975521444</v>
      </c>
      <c r="H365" s="577">
        <f>+($AC360/$AC364)*H369+G365</f>
        <v>3315389.6862940718</v>
      </c>
      <c r="I365" s="587">
        <f>+'[183]Costos Operativos Rec-TA'!$G$23</f>
        <v>1679558.9922729018</v>
      </c>
      <c r="J365" s="579">
        <f>+($AC360/$AC364)*J369+I365</f>
        <v>1687457.3140477403</v>
      </c>
      <c r="K365" s="10">
        <f>+'[183]Inversion rec-TA'!$G$46</f>
        <v>0</v>
      </c>
      <c r="L365" s="10">
        <f>+'[183]Costos Operativos Rec-TA'!$G$46</f>
        <v>0</v>
      </c>
      <c r="M365" s="19">
        <f t="shared" ref="M365:M368" si="268">-H365/(1+0.12)+PV(12%,20,J365)-H365/(1+0.12)^10</f>
        <v>-16632003.386356946</v>
      </c>
      <c r="N365" s="614">
        <f>+$AD360/$AD364*N370</f>
        <v>376825.69240098255</v>
      </c>
      <c r="O365" s="25">
        <f>IF(N365-AG365&lt;0,0,N365-AG365)</f>
        <v>15428.534968982567</v>
      </c>
      <c r="P365" s="32">
        <f>+$AD360/$AD364*P370</f>
        <v>215292.64924927667</v>
      </c>
      <c r="Q365" s="614">
        <f>+$AC360/$AC364*Q370</f>
        <v>2876525.3278085403</v>
      </c>
      <c r="R365" s="646">
        <f>IF(Q365-AH365&lt;0,0,Q365-AH365)</f>
        <v>2779148.0878085401</v>
      </c>
      <c r="S365" s="25">
        <f>+S360</f>
        <v>0</v>
      </c>
      <c r="T365" s="32">
        <f>+$AC360/$AC364*T370</f>
        <v>251002.00444791347</v>
      </c>
      <c r="U365" s="27"/>
      <c r="V365" s="461">
        <f>+V360</f>
        <v>1994955.5651199999</v>
      </c>
      <c r="W365" s="27"/>
      <c r="X365" s="461">
        <f>+X360</f>
        <v>177123.74906190493</v>
      </c>
      <c r="Y365" s="27">
        <f>+Y360</f>
        <v>34362.505754080004</v>
      </c>
      <c r="Z365" s="27">
        <f>+Z360</f>
        <v>194747.69989879767</v>
      </c>
      <c r="AA365" s="650">
        <f>(-O365-R365)/(1+0.12)+PV(12%,20,P365)+PV(12%,20,T365)-(O365*0.5)/(1+0.12)^10-S365/(1+0.12)^10</f>
        <v>-5980603.1146949325</v>
      </c>
      <c r="AB365" s="651">
        <f>M365+AA365</f>
        <v>-22612606.50105188</v>
      </c>
      <c r="AG365" s="448">
        <f>VLOOKUP($D365,Valoración_Eq_REG!$D$4:$I$157,Valoración_Eq_REG!$E$2,FALSE)*$E$4</f>
        <v>361397.15743199998</v>
      </c>
      <c r="AH365" s="448">
        <f>VLOOKUP($D365,Valoración_Eq_REG!$D$4:$I$157,Valoración_Eq_REG!$F$2,FALSE)*$E$4</f>
        <v>97377.24</v>
      </c>
      <c r="AJ365" s="484">
        <f>+'[183]Evaluacion Economica'!$L$25</f>
        <v>3</v>
      </c>
      <c r="AK365" s="448">
        <f>+'[183]Evaluacion Economica'!$R$25</f>
        <v>16</v>
      </c>
      <c r="AL365" s="484">
        <f>+'[183]P_Evaluacion Economica'!$L$27</f>
        <v>3</v>
      </c>
      <c r="AM365" s="448">
        <f>+'[183]P_Evaluacion Economica'!$Q$27</f>
        <v>6</v>
      </c>
      <c r="AN365" s="34" t="str">
        <f>+[183]Datos!$C$2</f>
        <v>Benito Juárez</v>
      </c>
      <c r="AO365" s="25" t="str">
        <f>VLOOKUP($E365,Tabla13[],Inputs_costos!$D$1,FALSE)</f>
        <v>BENITO JUÁREZ</v>
      </c>
      <c r="AP365" s="28" t="str">
        <f>VLOOKUP($D365,'Costo Social x localidad'!$B$2:$M$156,1,FALSE)</f>
        <v>BENITO JUÁREZ</v>
      </c>
    </row>
    <row r="366" spans="1:42">
      <c r="A366" s="917"/>
      <c r="B366" s="887"/>
      <c r="C366" s="478" t="str">
        <f>IF(AND(D366=AN366,D366=AO366,D366=AP366),"ok","ATENCIÓN NO ESTÁ TOMANDO BIEN LA LOCALIDAD")</f>
        <v>ok</v>
      </c>
      <c r="D366" s="24" t="s">
        <v>226</v>
      </c>
      <c r="E366" s="115">
        <f>VLOOKUP(D366,Pobl_adoptada!$C$5:$D$158,2,FALSE)</f>
        <v>121</v>
      </c>
      <c r="F366" s="9" t="s">
        <v>308</v>
      </c>
      <c r="G366" s="580">
        <f>+'[184]Inversion rec-TA'!$G$21</f>
        <v>1814007.1188091175</v>
      </c>
      <c r="H366" s="34">
        <f>+($AC361/$AC364)*H369+G366</f>
        <v>2008341.1548455465</v>
      </c>
      <c r="I366" s="465">
        <f>+'[184]Costos Operativos Rec-TA'!$G$23</f>
        <v>930280.09656611923</v>
      </c>
      <c r="J366" s="581">
        <f>+($AC361/$AC364)*J369+I366</f>
        <v>934166.77728684782</v>
      </c>
      <c r="K366" s="10">
        <f>+'[184]Inversion rec-TA'!$G$46</f>
        <v>0</v>
      </c>
      <c r="L366" s="10">
        <f>+'[184]Costos Operativos Rec-TA'!$G$46</f>
        <v>0</v>
      </c>
      <c r="M366" s="19">
        <f t="shared" si="268"/>
        <v>-9417499.9258656297</v>
      </c>
      <c r="N366" s="465">
        <f>+$AD361/$AD364*N370</f>
        <v>186379.20812975301</v>
      </c>
      <c r="O366" s="25">
        <f>IF(N366-AG366&lt;0,0,N366-AG366)</f>
        <v>186379.20812975301</v>
      </c>
      <c r="P366" s="25">
        <f>+$AD361/$AD364*P370</f>
        <v>106484.44172574741</v>
      </c>
      <c r="Q366" s="465">
        <f>+$AC361/$AC364*Q370</f>
        <v>1415507.7310090284</v>
      </c>
      <c r="R366" s="647">
        <f>IF(Q366-AH366&lt;0,0,Q366-AH366)</f>
        <v>1415507.7310090284</v>
      </c>
      <c r="S366" s="25">
        <f>+S361</f>
        <v>0</v>
      </c>
      <c r="T366" s="25">
        <f>+$AC361/$AC364*T370</f>
        <v>123515.43522318405</v>
      </c>
      <c r="U366" s="458"/>
      <c r="V366" s="461">
        <f t="shared" ref="V366" si="269">+V361</f>
        <v>1017834.472</v>
      </c>
      <c r="W366" s="28"/>
      <c r="X366" s="461">
        <f t="shared" ref="X366:Z366" si="270">+X361</f>
        <v>90369.259725461699</v>
      </c>
      <c r="Y366" s="28">
        <f t="shared" si="270"/>
        <v>8365.9403139199985</v>
      </c>
      <c r="Z366" s="28">
        <f t="shared" si="270"/>
        <v>175855.28170725825</v>
      </c>
      <c r="AA366" s="650">
        <f>(-O366-R366)/(1+0.12)+PV(12%,20,P366)+PV(12%,20,T366)-(O366*0.5)/(1+0.12)^10-S366/(1+0.12)^10</f>
        <v>-3178231.868569328</v>
      </c>
      <c r="AB366" s="651">
        <f>M366+AA366</f>
        <v>-12595731.794434957</v>
      </c>
      <c r="AC366" s="39"/>
      <c r="AD366" s="10"/>
      <c r="AE366" s="10"/>
      <c r="AF366" s="10"/>
      <c r="AG366" s="448">
        <f>VLOOKUP($D366,Valoración_Eq_REG!$D$4:$I$157,Valoración_Eq_REG!$E$2,FALSE)*$E$4</f>
        <v>0</v>
      </c>
      <c r="AH366" s="448">
        <f>VLOOKUP($D366,Valoración_Eq_REG!$D$4:$I$157,Valoración_Eq_REG!$F$2,FALSE)*$E$4</f>
        <v>0</v>
      </c>
      <c r="AI366" s="11"/>
      <c r="AJ366" s="484">
        <f>+'[184]Evaluacion Economica'!$L$25</f>
        <v>2</v>
      </c>
      <c r="AK366" s="448">
        <f>+'[184]Evaluacion Economica'!$R$25</f>
        <v>12</v>
      </c>
      <c r="AL366" s="484">
        <f>+'[184]P_Evaluacion Economica'!$L$27</f>
        <v>2</v>
      </c>
      <c r="AM366" s="448">
        <f>+'[184]P_Evaluacion Economica'!$Q$27</f>
        <v>6</v>
      </c>
      <c r="AN366" s="34" t="str">
        <f>+[184]Datos!$C$2</f>
        <v>San Cayetano</v>
      </c>
      <c r="AO366" s="25" t="str">
        <f>VLOOKUP($E366,Tabla13[],Inputs_costos!$D$1,FALSE)</f>
        <v>SAN CAYETANO</v>
      </c>
      <c r="AP366" s="28" t="str">
        <f>VLOOKUP($D366,'Costo Social x localidad'!$B$2:$M$156,1,FALSE)</f>
        <v>SAN CAYETANO</v>
      </c>
    </row>
    <row r="367" spans="1:42">
      <c r="A367" s="917"/>
      <c r="B367" s="887"/>
      <c r="C367" s="478" t="str">
        <f>IF(AND(D367=AN367,D367=AO367,D367=AP367),"ok","ATENCIÓN NO ESTÁ TOMANDO BIEN LA LOCALIDAD")</f>
        <v>ok</v>
      </c>
      <c r="D367" s="24" t="s">
        <v>116</v>
      </c>
      <c r="E367" s="115">
        <f>VLOOKUP(D367,Pobl_adoptada!$C$5:$D$158,2,FALSE)</f>
        <v>28</v>
      </c>
      <c r="F367" s="9" t="s">
        <v>308</v>
      </c>
      <c r="G367" s="580">
        <f>+'[185]Inversion rec-TA'!$G$21</f>
        <v>1943062.5224783516</v>
      </c>
      <c r="H367" s="34">
        <f>+($AC362/$AC364)*H369+G367</f>
        <v>2164386.2977223261</v>
      </c>
      <c r="I367" s="465">
        <f>+'[185]Costos Operativos Rec-TA'!$G$23</f>
        <v>1055729.3923712512</v>
      </c>
      <c r="J367" s="581">
        <f>+($AC362/$AC364)*J369+I367</f>
        <v>1060155.8678761306</v>
      </c>
      <c r="K367" s="10">
        <f>+'[185]Inversion rec-TA'!$G$46</f>
        <v>0</v>
      </c>
      <c r="L367" s="10">
        <f>+'[185]Costos Operativos Rec-TA'!$G$46</f>
        <v>0</v>
      </c>
      <c r="M367" s="19">
        <f t="shared" si="268"/>
        <v>-10548136.71543457</v>
      </c>
      <c r="N367" s="465">
        <f>+$AD362/$AD364*N370</f>
        <v>212534.37335334075</v>
      </c>
      <c r="O367" s="25">
        <f>IF(N367-AG367&lt;0,0,N367-AG367)</f>
        <v>212534.37335334075</v>
      </c>
      <c r="P367" s="25">
        <f>+$AD362/$AD364*P370</f>
        <v>121427.72963337437</v>
      </c>
      <c r="Q367" s="465">
        <f>+$AC362/$AC364*Q370</f>
        <v>1612098.0210343755</v>
      </c>
      <c r="R367" s="647">
        <f>IF(Q367-AH367&lt;0,0,Q367-AH367)</f>
        <v>1612098.0210343755</v>
      </c>
      <c r="S367" s="25">
        <f>+S362</f>
        <v>0</v>
      </c>
      <c r="T367" s="25">
        <f>+$AC362/$AC364*T370</f>
        <v>140669.6581929333</v>
      </c>
      <c r="V367" s="461">
        <f t="shared" ref="V367" si="271">+V362</f>
        <v>2483516.1116800001</v>
      </c>
      <c r="W367" s="25"/>
      <c r="X367" s="461">
        <f t="shared" ref="X367:Z367" si="272">+X362</f>
        <v>220500.99373012653</v>
      </c>
      <c r="Y367" s="28">
        <f t="shared" si="272"/>
        <v>15974.14979408</v>
      </c>
      <c r="Z367" s="28">
        <f t="shared" si="272"/>
        <v>192023.79363925825</v>
      </c>
      <c r="AA367" s="650">
        <f>(-O367-R367)/(1+0.12)+PV(12%,20,P367)+PV(12%,20,T367)-(O367*0.5)/(1+0.12)^10-S367/(1+0.12)^10</f>
        <v>-3621072.91890741</v>
      </c>
      <c r="AB367" s="651">
        <f>M367+AA367</f>
        <v>-14169209.634341979</v>
      </c>
      <c r="AC367" s="10"/>
      <c r="AD367" s="10"/>
      <c r="AE367" s="10"/>
      <c r="AF367" s="10"/>
      <c r="AG367" s="448">
        <f>VLOOKUP($D367,Valoración_Eq_REG!$D$4:$I$157,Valoración_Eq_REG!$E$2,FALSE)*$E$4</f>
        <v>0</v>
      </c>
      <c r="AH367" s="448">
        <f>VLOOKUP($D367,Valoración_Eq_REG!$D$4:$I$157,Valoración_Eq_REG!$F$2,FALSE)*$E$4</f>
        <v>0</v>
      </c>
      <c r="AI367" s="2"/>
      <c r="AJ367" s="484">
        <f>+'[185]Evaluacion Economica'!$L$25</f>
        <v>2</v>
      </c>
      <c r="AK367" s="448">
        <f>+'[185]Evaluacion Economica'!$R$25</f>
        <v>15</v>
      </c>
      <c r="AL367" s="484">
        <f>+'[185]P_Evaluacion Economica'!$L$27</f>
        <v>2</v>
      </c>
      <c r="AM367" s="448">
        <f>+'[185]P_Evaluacion Economica'!$Q$27</f>
        <v>6</v>
      </c>
      <c r="AN367" s="34" t="str">
        <f>+[185]Datos!$C$2</f>
        <v>Adolfo Gonzáles Chaves</v>
      </c>
      <c r="AO367" s="25" t="str">
        <f>VLOOKUP($E367,Tabla13[],Inputs_costos!$D$1,FALSE)</f>
        <v>ADOLFO GONZÁLES CHAVES</v>
      </c>
      <c r="AP367" s="28" t="str">
        <f>VLOOKUP($D367,'Costo Social x localidad'!$B$2:$M$156,1,FALSE)</f>
        <v>ADOLFO GONZÁLES CHAVES</v>
      </c>
    </row>
    <row r="368" spans="1:42" ht="15.75" thickBot="1">
      <c r="A368" s="917"/>
      <c r="B368" s="887"/>
      <c r="C368" s="478" t="str">
        <f>IF(AND(D368=AN368,D368=AO368,D368=AP368),"ok","ATENCIÓN NO ESTÁ TOMANDO BIEN LA LOCALIDAD")</f>
        <v>ok</v>
      </c>
      <c r="D368" s="36" t="s">
        <v>237</v>
      </c>
      <c r="E368" s="115">
        <f>VLOOKUP(D368,Pobl_adoptada!$C$5:$D$158,2,FALSE)</f>
        <v>131</v>
      </c>
      <c r="F368" s="9" t="s">
        <v>308</v>
      </c>
      <c r="G368" s="580">
        <f>+'[186]Inversion rec-TA'!$G$21</f>
        <v>4151835.7502797674</v>
      </c>
      <c r="H368" s="34">
        <f>+($AC363/$AC364)*H369+G368</f>
        <v>5388697.9473311892</v>
      </c>
      <c r="I368" s="465">
        <f>+'[186]Costos Operativos Rec-TA'!$G$23</f>
        <v>2665821.9879375827</v>
      </c>
      <c r="J368" s="581">
        <f>+($AC363/$AC364)*J369+I368</f>
        <v>2690559.2318786113</v>
      </c>
      <c r="K368" s="10">
        <f>+'[186]Inversion rec-TA'!$G$46</f>
        <v>0</v>
      </c>
      <c r="L368" s="10">
        <f>+'[186]Costos Operativos Rec-TA'!$G$46</f>
        <v>0</v>
      </c>
      <c r="M368" s="19">
        <f t="shared" si="268"/>
        <v>-26643334.472517587</v>
      </c>
      <c r="N368" s="465">
        <f>+$AD363/$AD364*N370</f>
        <v>1176434.100835924</v>
      </c>
      <c r="O368" s="25">
        <f>IF(N368-AG368&lt;0,0,N368-AG368)</f>
        <v>0</v>
      </c>
      <c r="P368" s="25">
        <f>+$AD363/$AD364*P370</f>
        <v>672134.67484760168</v>
      </c>
      <c r="Q368" s="465">
        <f>+$AC363/$AC364*Q370</f>
        <v>9009168.1201480553</v>
      </c>
      <c r="R368" s="647">
        <f>IF(Q368-AH368&lt;0,0,Q368-AH368)</f>
        <v>8479721.3201480545</v>
      </c>
      <c r="S368" s="25">
        <f>+S363</f>
        <v>815000</v>
      </c>
      <c r="T368" s="25">
        <f>+$AC363/$AC364*T370</f>
        <v>786128.74870396906</v>
      </c>
      <c r="U368" s="29"/>
      <c r="V368" s="461">
        <f t="shared" ref="V368" si="273">+V363</f>
        <v>0</v>
      </c>
      <c r="W368" s="25"/>
      <c r="X368" s="461">
        <f t="shared" ref="X368:Z368" si="274">+X363</f>
        <v>0</v>
      </c>
      <c r="Y368" s="28">
        <f t="shared" si="274"/>
        <v>82042.533496799995</v>
      </c>
      <c r="Z368" s="28">
        <f t="shared" si="274"/>
        <v>323417.64799278497</v>
      </c>
      <c r="AA368" s="650">
        <f>(-O368-R368)/(1+0.12)+PV(12%,20,P368)+PV(12%,20,T368)-(O368*0.5)/(1+0.12)^10-S368/(1+0.12)^10</f>
        <v>-18726004.369591024</v>
      </c>
      <c r="AB368" s="651">
        <f>M368+AA368</f>
        <v>-45369338.842108607</v>
      </c>
      <c r="AC368" s="10"/>
      <c r="AD368" s="10"/>
      <c r="AE368" s="10"/>
      <c r="AF368" s="10"/>
      <c r="AG368" s="448">
        <f>VLOOKUP($D368,Valoración_Eq_REG!$D$4:$I$157,Valoración_Eq_REG!$E$2,FALSE)*$E$4</f>
        <v>2059018.9151330001</v>
      </c>
      <c r="AH368" s="448">
        <f>VLOOKUP($D368,Valoración_Eq_REG!$D$4:$I$157,Valoración_Eq_REG!$F$2,FALSE)*$E$4</f>
        <v>529446.80000000005</v>
      </c>
      <c r="AI368" s="2"/>
      <c r="AJ368" s="484">
        <f>+'[186]Evaluacion Economica'!$L$25</f>
        <v>4</v>
      </c>
      <c r="AK368" s="448">
        <f>+'[186]Evaluacion Economica'!$R$25</f>
        <v>9</v>
      </c>
      <c r="AL368" s="484">
        <f>+'[186]P_Evaluacion Economica'!$L$27</f>
        <v>4</v>
      </c>
      <c r="AM368" s="448">
        <f>+'[186]P_Evaluacion Economica'!$Q$27</f>
        <v>6</v>
      </c>
      <c r="AN368" s="34" t="str">
        <f>+[186]Datos!$C$2</f>
        <v>Tres Arroyos</v>
      </c>
      <c r="AO368" s="25" t="str">
        <f>VLOOKUP($E368,Tabla13[],Inputs_costos!$D$1,FALSE)</f>
        <v>TRES ARROYOS</v>
      </c>
      <c r="AP368" s="28" t="str">
        <f>VLOOKUP($D368,'Costo Social x localidad'!$B$2:$M$156,1,FALSE)</f>
        <v>TRES ARROYOS</v>
      </c>
    </row>
    <row r="369" spans="1:42" ht="30.75" thickBot="1">
      <c r="A369" s="917"/>
      <c r="B369" s="887"/>
      <c r="C369" s="912" t="s">
        <v>12</v>
      </c>
      <c r="D369" s="913"/>
      <c r="E369" s="498" t="s">
        <v>589</v>
      </c>
      <c r="F369" s="571">
        <f>+F354</f>
        <v>0.02</v>
      </c>
      <c r="G369" s="582"/>
      <c r="H369" s="461">
        <f>+AJ369*AJ371+AL369*AL371</f>
        <v>2047436.0970737534</v>
      </c>
      <c r="I369" s="461"/>
      <c r="J369" s="583">
        <f>+$F369*H369</f>
        <v>40948.721941475065</v>
      </c>
      <c r="K369" s="10"/>
      <c r="L369" s="10"/>
      <c r="M369" s="19"/>
      <c r="N369" s="465"/>
      <c r="O369" s="10"/>
      <c r="P369" s="10"/>
      <c r="Q369" s="618"/>
      <c r="R369" s="645"/>
      <c r="S369" s="645"/>
      <c r="T369" s="28"/>
      <c r="U369" s="28"/>
      <c r="V369" s="28"/>
      <c r="W369" s="28"/>
      <c r="X369" s="28"/>
      <c r="Y369" s="28"/>
      <c r="Z369" s="28"/>
      <c r="AA369" s="658"/>
      <c r="AB369" s="20"/>
      <c r="AC369" s="10"/>
      <c r="AD369" s="10"/>
      <c r="AE369" s="10"/>
      <c r="AF369" s="10"/>
      <c r="AG369" s="4"/>
      <c r="AH369" s="4"/>
      <c r="AI369" s="4"/>
      <c r="AJ369" s="501">
        <f>ROUNDUP(C370*SUM(AJ365:AJ368),0)</f>
        <v>4</v>
      </c>
      <c r="AK369" s="502">
        <f>AVERAGE(AK365:AK368)</f>
        <v>13</v>
      </c>
      <c r="AL369" s="501">
        <f>ROUNDUP(C370*SUM(AL365:AL368),0)</f>
        <v>4</v>
      </c>
      <c r="AM369" s="502">
        <f>AVERAGE(AM365:AM368)</f>
        <v>6</v>
      </c>
      <c r="AN369" s="4"/>
      <c r="AO369" s="4"/>
      <c r="AP369" s="4"/>
    </row>
    <row r="370" spans="1:42" ht="15.75" thickBot="1">
      <c r="A370" s="918"/>
      <c r="B370" s="888"/>
      <c r="C370" s="570">
        <v>0.3</v>
      </c>
      <c r="D370" s="500" t="str">
        <f>A360</f>
        <v>REGIÓN TRES ARROYOS</v>
      </c>
      <c r="E370" s="468"/>
      <c r="F370" s="469"/>
      <c r="G370" s="584"/>
      <c r="H370" s="585">
        <f>SUM(H365:H368)</f>
        <v>12876815.086193133</v>
      </c>
      <c r="I370" s="585"/>
      <c r="J370" s="586">
        <f>SUM(J365:J368)</f>
        <v>6372339.1910893302</v>
      </c>
      <c r="K370" s="14"/>
      <c r="L370" s="14"/>
      <c r="M370" s="15">
        <f>SUM(M365:M369)</f>
        <v>-63240974.500174738</v>
      </c>
      <c r="N370" s="615">
        <f>(VLOOKUP($E365,Tabla13[],Inputs_costos!$P$1,FALSE))*(O$3*$E$3+O$4*$E$4)</f>
        <v>1952173.3747200002</v>
      </c>
      <c r="O370" s="35">
        <f>SUM(O365:O368)</f>
        <v>414342.11645207636</v>
      </c>
      <c r="P370" s="35">
        <f>(VLOOKUP($E365,Tabla13[],Inputs_costos!$Q$1,FALSE))*(P$3*$E$3+P$4*$E$4)</f>
        <v>1115339.4954560001</v>
      </c>
      <c r="Q370" s="615">
        <f>IF($AC364&gt;=15,(VLOOKUP($E365,Tabla13[],Inputs_costos!$N$1,FALSE))*($R$3*$E$3+$R$4*$E$4),(VLOOKUP($E365,Tabla13[],Inputs_costos!$N$1,FALSE))*($T$3*$E$3+$T$4*$E$4))</f>
        <v>14913299.200000001</v>
      </c>
      <c r="R370" s="35">
        <f>SUM(R365:R368)</f>
        <v>14286475.16</v>
      </c>
      <c r="S370" s="35"/>
      <c r="T370" s="35">
        <f>IF($AC364&gt;=15,(VLOOKUP($E365,Tabla13[],Inputs_costos!$O$1,FALSE))*($R$3*$E$3+$R$4*$E$4),(VLOOKUP($E365,Tabla13[],Inputs_costos!$O$1,FALSE))*($T$3*$E$3+$T$4*$E$4))</f>
        <v>1301315.846568</v>
      </c>
      <c r="U370" s="35"/>
      <c r="V370" s="31">
        <f>SUM(V365:V368)</f>
        <v>5496306.1488000005</v>
      </c>
      <c r="W370" s="31"/>
      <c r="X370" s="31">
        <f>SUM(X365:X368)</f>
        <v>487994.00251749315</v>
      </c>
      <c r="Y370" s="31">
        <f>SUM(Y365:Y368)</f>
        <v>140745.12935887999</v>
      </c>
      <c r="Z370" s="31">
        <f>SUM(Z365:Z368)</f>
        <v>886044.4232380992</v>
      </c>
      <c r="AA370" s="657">
        <f>SUM(AA365:AA368)</f>
        <v>-31505912.271762691</v>
      </c>
      <c r="AB370" s="654">
        <f>+M370+AA370</f>
        <v>-94746886.77193743</v>
      </c>
      <c r="AC370" s="38"/>
      <c r="AD370" s="38"/>
      <c r="AE370" s="38"/>
      <c r="AF370" s="38"/>
      <c r="AG370" s="4"/>
      <c r="AH370" s="4"/>
      <c r="AI370" s="4"/>
      <c r="AJ370" s="11"/>
      <c r="AK370" s="499">
        <f>VLOOKUP(ROUNDUP(AK369,0),DATOS!$F$16:$G$31,2,FALSE)</f>
        <v>15</v>
      </c>
      <c r="AL370" s="497"/>
      <c r="AM370" s="499">
        <f>VLOOKUP(ROUNDUP(AM369,0),DATOS!$J$16:$K$34,2,FALSE)</f>
        <v>6</v>
      </c>
      <c r="AN370" s="4"/>
      <c r="AO370" s="4"/>
      <c r="AP370" s="4"/>
    </row>
    <row r="371" spans="1:42">
      <c r="F371" s="2"/>
      <c r="G371" s="2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0"/>
      <c r="V371" s="2"/>
      <c r="W371" s="2"/>
      <c r="X371" s="2"/>
      <c r="Y371" s="2"/>
      <c r="Z371" s="2"/>
      <c r="AA371" s="4"/>
      <c r="AB371" s="4"/>
      <c r="AC371" s="4"/>
      <c r="AD371" s="4"/>
      <c r="AE371" s="4"/>
      <c r="AF371" s="4"/>
      <c r="AG371" s="644"/>
      <c r="AH371" s="448"/>
      <c r="AI371" s="4"/>
      <c r="AJ371" s="892">
        <f>VLOOKUP(AK370,DATOS!$F$3:$H$11,3,FALSE)</f>
        <v>277598.62978843832</v>
      </c>
      <c r="AK371" s="892"/>
      <c r="AL371" s="892">
        <f>VLOOKUP(AM370,DATOS!$J$3:$L$12,3,FALSE)</f>
        <v>234260.39447999999</v>
      </c>
      <c r="AM371" s="892"/>
      <c r="AN371" s="4"/>
      <c r="AO371" s="4"/>
      <c r="AP371" s="4"/>
    </row>
    <row r="372" spans="1:42" ht="15.75" thickBot="1">
      <c r="A372" s="503"/>
      <c r="B372" s="503"/>
      <c r="C372" s="503"/>
      <c r="D372" s="503"/>
      <c r="E372" s="503"/>
      <c r="F372" s="504"/>
      <c r="G372" s="504"/>
      <c r="H372" s="505"/>
      <c r="I372" s="505"/>
      <c r="J372" s="505"/>
      <c r="K372" s="505"/>
      <c r="L372" s="505"/>
      <c r="M372" s="505"/>
      <c r="N372" s="505"/>
      <c r="O372" s="505"/>
      <c r="P372" s="505"/>
      <c r="Q372" s="505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6"/>
      <c r="AB372" s="506"/>
      <c r="AC372" s="506"/>
      <c r="AD372" s="506"/>
      <c r="AE372" s="506"/>
      <c r="AF372" s="506"/>
      <c r="AG372" s="506"/>
      <c r="AH372" s="506"/>
      <c r="AI372" s="506"/>
      <c r="AJ372" s="506"/>
      <c r="AK372" s="506"/>
      <c r="AL372" s="506"/>
      <c r="AM372" s="506"/>
      <c r="AN372" s="506"/>
      <c r="AO372" s="506"/>
      <c r="AP372" s="506"/>
    </row>
    <row r="373" spans="1:42" ht="39" thickBot="1">
      <c r="A373" s="886" t="s">
        <v>7</v>
      </c>
      <c r="B373" s="886" t="s">
        <v>2</v>
      </c>
      <c r="C373" s="508"/>
      <c r="D373" s="882" t="s">
        <v>22</v>
      </c>
      <c r="E373" s="882" t="s">
        <v>23</v>
      </c>
      <c r="F373" s="882" t="s">
        <v>3</v>
      </c>
      <c r="G373" s="568"/>
      <c r="H373" s="901" t="s">
        <v>0</v>
      </c>
      <c r="I373" s="901"/>
      <c r="J373" s="901"/>
      <c r="K373" s="901" t="s">
        <v>1</v>
      </c>
      <c r="L373" s="901"/>
      <c r="M373" s="886" t="s">
        <v>10</v>
      </c>
      <c r="N373" s="879" t="s">
        <v>5</v>
      </c>
      <c r="O373" s="880"/>
      <c r="P373" s="881"/>
      <c r="Q373" s="902" t="s">
        <v>4</v>
      </c>
      <c r="R373" s="903"/>
      <c r="S373" s="903"/>
      <c r="T373" s="904"/>
      <c r="U373" s="902" t="s">
        <v>6</v>
      </c>
      <c r="V373" s="903"/>
      <c r="W373" s="903"/>
      <c r="X373" s="904"/>
      <c r="Y373" s="390" t="s">
        <v>689</v>
      </c>
      <c r="Z373" s="662" t="s">
        <v>690</v>
      </c>
      <c r="AA373" s="905" t="s">
        <v>686</v>
      </c>
      <c r="AB373" s="886" t="s">
        <v>9</v>
      </c>
      <c r="AC373" s="907" t="s">
        <v>312</v>
      </c>
      <c r="AD373" s="914" t="s">
        <v>649</v>
      </c>
      <c r="AE373" s="897" t="s">
        <v>20</v>
      </c>
      <c r="AF373" s="897" t="s">
        <v>313</v>
      </c>
      <c r="AG373" s="899" t="s">
        <v>552</v>
      </c>
      <c r="AH373" s="895" t="s">
        <v>578</v>
      </c>
      <c r="AI373" s="897" t="s">
        <v>579</v>
      </c>
      <c r="AJ373" s="882" t="s">
        <v>581</v>
      </c>
      <c r="AK373" s="882" t="s">
        <v>582</v>
      </c>
      <c r="AL373" s="882" t="s">
        <v>581</v>
      </c>
      <c r="AM373" s="882" t="s">
        <v>582</v>
      </c>
      <c r="AN373" s="884" t="s">
        <v>553</v>
      </c>
      <c r="AO373" s="885"/>
      <c r="AP373" s="885"/>
    </row>
    <row r="374" spans="1:42" ht="30.75" thickBot="1">
      <c r="A374" s="888"/>
      <c r="B374" s="888"/>
      <c r="C374" s="509"/>
      <c r="D374" s="883"/>
      <c r="E374" s="883"/>
      <c r="F374" s="883"/>
      <c r="G374" s="569"/>
      <c r="H374" s="17" t="s">
        <v>18</v>
      </c>
      <c r="I374" s="17"/>
      <c r="J374" s="17" t="s">
        <v>17</v>
      </c>
      <c r="K374" s="17" t="s">
        <v>18</v>
      </c>
      <c r="L374" s="17" t="s">
        <v>17</v>
      </c>
      <c r="M374" s="888"/>
      <c r="N374" s="464" t="s">
        <v>685</v>
      </c>
      <c r="O374" s="17" t="s">
        <v>18</v>
      </c>
      <c r="P374" s="17" t="s">
        <v>17</v>
      </c>
      <c r="Q374" s="464" t="s">
        <v>685</v>
      </c>
      <c r="R374" s="17" t="s">
        <v>18</v>
      </c>
      <c r="S374" s="17"/>
      <c r="T374" s="17" t="s">
        <v>17</v>
      </c>
      <c r="U374" s="464" t="s">
        <v>576</v>
      </c>
      <c r="V374" s="17" t="s">
        <v>18</v>
      </c>
      <c r="W374" s="464" t="s">
        <v>577</v>
      </c>
      <c r="X374" s="17" t="s">
        <v>17</v>
      </c>
      <c r="Y374" s="17" t="s">
        <v>18</v>
      </c>
      <c r="Z374" s="17" t="s">
        <v>17</v>
      </c>
      <c r="AA374" s="906"/>
      <c r="AB374" s="888"/>
      <c r="AC374" s="908"/>
      <c r="AD374" s="915"/>
      <c r="AE374" s="898"/>
      <c r="AF374" s="898"/>
      <c r="AG374" s="900"/>
      <c r="AH374" s="896"/>
      <c r="AI374" s="898"/>
      <c r="AJ374" s="883"/>
      <c r="AK374" s="883"/>
      <c r="AL374" s="883"/>
      <c r="AM374" s="883"/>
      <c r="AN374" s="1" t="s">
        <v>551</v>
      </c>
      <c r="AO374" s="9" t="s">
        <v>554</v>
      </c>
      <c r="AP374" s="1" t="s">
        <v>555</v>
      </c>
    </row>
    <row r="375" spans="1:42">
      <c r="A375" s="916" t="s">
        <v>615</v>
      </c>
      <c r="B375" s="886" t="s">
        <v>309</v>
      </c>
      <c r="C375" s="507" t="str">
        <f>IF(AND(D375=AN375,D375=AO375,D375=AP375),"ok","ATENCIÓN NO ESTÁ TOMANDO BIEN LA LOCALIDAD")</f>
        <v>ok</v>
      </c>
      <c r="D375" s="23" t="s">
        <v>260</v>
      </c>
      <c r="E375" s="114">
        <f>VLOOKUP(D375,Pobl_adoptada!$C$5:$D$158,2,FALSE)</f>
        <v>153</v>
      </c>
      <c r="F375" s="8" t="s">
        <v>308</v>
      </c>
      <c r="G375" s="8"/>
      <c r="H375" s="33">
        <f>'[187]Inversion rec-TA'!$G$21</f>
        <v>2224137.0542136761</v>
      </c>
      <c r="I375" s="33"/>
      <c r="J375" s="33">
        <f>'[187]Costos Operativos Rec-TA'!$G$23</f>
        <v>848364.6427963645</v>
      </c>
      <c r="K375" s="32">
        <f>'[187]Inversion rec-TA'!$G$46</f>
        <v>0</v>
      </c>
      <c r="L375" s="32">
        <f>+'[187]Costos Operativos Rec-TA'!$G$46</f>
        <v>0</v>
      </c>
      <c r="M375" s="19">
        <f t="shared" ref="M375:M376" si="275">-H375/(1+0.12)+PV(12%,20,J375)-H375/(1+0.12)^10</f>
        <v>-9038761.1337546632</v>
      </c>
      <c r="N375" s="19"/>
      <c r="O375" s="25">
        <f>IF(((VLOOKUP($E375,Tabla13[],Inputs_costos!$I$1,FALSE))*(O$3*$E$3+O$4*$E$4)-AG375)&lt;0,0,VLOOKUP($E375,Tabla13[],Inputs_costos!$I$1,FALSE)*(O$3*$E$3+O$4*$E$4)-AG375)</f>
        <v>359159.83353599999</v>
      </c>
      <c r="P375" s="25">
        <f>(VLOOKUP($E375,Tabla13[],Inputs_costos!$J$1,FALSE))*(P$3*$E$3+P$4*$E$4)</f>
        <v>26127.3549570752</v>
      </c>
      <c r="Q375" s="25"/>
      <c r="R375" s="25">
        <f>IF($AC375&gt;=15,(VLOOKUP($E375,Tabla13[],Inputs_costos!$G$1,FALSE))*($R$3*$E$3+$R$4*$E$4),(VLOOKUP($E375,Tabla13[],Inputs_costos!$G$1,FALSE))*($T$3*$E$3+$T$4*$E$4))-AH375</f>
        <v>625422.42856000003</v>
      </c>
      <c r="S375" s="25">
        <f t="shared" ref="S375:S376" si="276">IF(AC375&lt;15,0,IF(AC375&lt;=350,815000,1345000))</f>
        <v>0</v>
      </c>
      <c r="T375" s="25">
        <f>IF($AC375&gt;=15,(VLOOKUP($E375,Tabla13[],Inputs_costos!$H$1,FALSE))*($R$3*$E$3+$R$4*$E$4),(VLOOKUP($E375,Tabla13[],Inputs_costos!$H$1,FALSE))*($T$3*$E$3+$T$4*$E$4))</f>
        <v>84874.643360000002</v>
      </c>
      <c r="U375" s="465">
        <f>SUMIFS(Tabla24[Costo de Cierre Técnico de BCA (US$)],Tabla24[Localidad],Resumen!$D375)</f>
        <v>0</v>
      </c>
      <c r="V375" s="461">
        <f>+U375*(V$3*$E$3+V$4*$E$4)</f>
        <v>0</v>
      </c>
      <c r="W375" s="465">
        <f>SUMIFS(Tabla24[Costo anual de Manteniemiento Post-cierre (US$)],Tabla24[Localidad],Resumen!$D375)</f>
        <v>0</v>
      </c>
      <c r="X375" s="461">
        <f>+W375*(X$3*$E$3+X$4*$E$4)</f>
        <v>0</v>
      </c>
      <c r="Y375" s="27">
        <f>VLOOKUP($D375,'Costo Social x localidad'!$B$2:$M$156,12,FALSE)*(Y$3*$E$3+Y$4*$E$4)</f>
        <v>9959.4527546666668</v>
      </c>
      <c r="Z375" s="28">
        <f>VLOOKUP(D375,'Estimación  PRESUPUESTO PCAS'!$B$4:$G$158,'Estimación  PRESUPUESTO PCAS'!$G$2,FALSE)</f>
        <v>164759.59316309675</v>
      </c>
      <c r="AA375" s="650">
        <f>(-O375-R375)/(1+0.12)+PV(12%,20,P375)+PV(12%,20,T375)-(O375*0.5)/(1+0.12)^10-S375/(1+0.12)^10</f>
        <v>-1766034.401088438</v>
      </c>
      <c r="AB375" s="651">
        <f>M375+AA375</f>
        <v>-10804795.534843102</v>
      </c>
      <c r="AC375" s="10">
        <f>VLOOKUP($E375,Resumen_Generación!$B$5:$F$158,Resumen_Generación!$D$3,FALSE)</f>
        <v>6.2889389440000008</v>
      </c>
      <c r="AD375" s="10">
        <f>VLOOKUP($E375,Resumen_Generación!$B$5:$G$158,Resumen_Generación!$G$3,FALSE)</f>
        <v>2.6143488200000005</v>
      </c>
      <c r="AE375" s="362">
        <f>VLOOKUP($E375,Resumen_Generación!$B$5:$F$158,Resumen_Generación!$E$3,FALSE)</f>
        <v>9109</v>
      </c>
      <c r="AF375" s="10">
        <f>VLOOKUP($E375,Resumen_Generación!$B$5:$F$158,Resumen_Generación!$F$3,FALSE)</f>
        <v>2.8831880000000001</v>
      </c>
      <c r="AG375" s="448">
        <f>VLOOKUP($D375,Valoración_Equip_actual!$D$4:$I$157,Valoración_Equip_actual!$E$2,FALSE)*$E$4</f>
        <v>0</v>
      </c>
      <c r="AH375" s="448">
        <f>VLOOKUP($D375,Valoración_Equip_actual!$D$4:$I$157,Valoración_Equip_actual!$F$2,FALSE)*$E$4</f>
        <v>0</v>
      </c>
      <c r="AI375" s="448">
        <f>[187]P_Datos!$D$43</f>
        <v>0.19665573770491804</v>
      </c>
      <c r="AN375" s="449" t="str">
        <f>[187]Datos!$C$2</f>
        <v>Mayor Buratovich</v>
      </c>
      <c r="AO375" s="450" t="str">
        <f>VLOOKUP($E375,Tabla13[],Inputs_costos!$D$1,FALSE)</f>
        <v>MAYOR BURATOVICH</v>
      </c>
      <c r="AP375" s="451" t="str">
        <f>VLOOKUP($D375,'Costo Social x localidad'!$B$2:$M$156,1,FALSE)</f>
        <v>Mayor Buratovich</v>
      </c>
    </row>
    <row r="376" spans="1:42" ht="15.75" thickBot="1">
      <c r="A376" s="917"/>
      <c r="B376" s="887"/>
      <c r="C376" s="478" t="str">
        <f>IF(AND(D376=AN376,D376=AO376,D376=AP376),"ok","ATENCIÓN NO ESTÁ TOMANDO BIEN LA LOCALIDAD")</f>
        <v>ok</v>
      </c>
      <c r="D376" s="36" t="s">
        <v>261</v>
      </c>
      <c r="E376" s="511">
        <f>VLOOKUP(D376,Pobl_adoptada!$C$5:$D$158,2,FALSE)</f>
        <v>154</v>
      </c>
      <c r="F376" s="37" t="s">
        <v>308</v>
      </c>
      <c r="G376" s="37"/>
      <c r="H376" s="117">
        <f>'[188]Inversion rec-TA'!$G$21</f>
        <v>2417428.7502136761</v>
      </c>
      <c r="I376" s="117"/>
      <c r="J376" s="117">
        <f>'[188]Costos Operativos Rec-TA'!$G$23</f>
        <v>1014104.1830308607</v>
      </c>
      <c r="K376" s="25">
        <f>'[188]Inversion rec-TA'!$G$46</f>
        <v>0</v>
      </c>
      <c r="L376" s="25">
        <f>+'[188]Costos Operativos Rec-TA'!$G$46</f>
        <v>0</v>
      </c>
      <c r="M376" s="19">
        <f t="shared" si="275"/>
        <v>-10511559.910254005</v>
      </c>
      <c r="N376" s="19"/>
      <c r="O376" s="25">
        <f>IF(((VLOOKUP($E376,Tabla13[],Inputs_costos!$I$1,FALSE))*(O$3*$E$3+O$4*$E$4)-AG376)&lt;0,0,VLOOKUP($E376,Tabla13[],Inputs_costos!$I$1,FALSE)*(O$3*$E$3+O$4*$E$4)-AG376)</f>
        <v>853440.77096200001</v>
      </c>
      <c r="P376" s="25">
        <f>(VLOOKUP($E376,Tabla13[],Inputs_costos!$J$1,FALSE))*(P$3*$E$3+P$4*$E$4)</f>
        <v>380176.67535999999</v>
      </c>
      <c r="Q376" s="25"/>
      <c r="R376" s="25">
        <f>IF($AC376&gt;=15,(VLOOKUP($E376,Tabla13[],Inputs_costos!$G$1,FALSE))*($R$3*$E$3+$R$4*$E$4),(VLOOKUP($E376,Tabla13[],Inputs_costos!$G$1,FALSE))*($T$3*$E$3+$T$4*$E$4))-AH376</f>
        <v>7860799.9408</v>
      </c>
      <c r="S376" s="25">
        <f t="shared" si="276"/>
        <v>815000</v>
      </c>
      <c r="T376" s="25">
        <f>IF($AC376&gt;=15,(VLOOKUP($E376,Tabla13[],Inputs_costos!$H$1,FALSE))*($R$3*$E$3+$R$4*$E$4),(VLOOKUP($E376,Tabla13[],Inputs_costos!$H$1,FALSE))*($T$3*$E$3+$T$4*$E$4))</f>
        <v>1687719.4288400002</v>
      </c>
      <c r="U376" s="465">
        <f>SUMIFS(Tabla24[Costo de Cierre Técnico de BCA (US$)],Tabla24[Localidad],Resumen!$D376)</f>
        <v>0</v>
      </c>
      <c r="V376" s="461">
        <f t="shared" ref="V376" si="277">+U376*(V$3*$E$3+V$4*$E$4)</f>
        <v>0</v>
      </c>
      <c r="W376" s="465">
        <f>SUMIFS(Tabla24[Costo anual de Manteniemiento Post-cierre (US$)],Tabla24[Localidad],Resumen!$D376)</f>
        <v>0</v>
      </c>
      <c r="X376" s="461">
        <f t="shared" ref="X376" si="278">+W376*(X$3*$E$3+X$4*$E$4)</f>
        <v>0</v>
      </c>
      <c r="Y376" s="447">
        <f>VLOOKUP($D376,'Costo Social x localidad'!$B$2:$M$156,12,FALSE)*(Y$3*$E$3+Y$4*$E$4)</f>
        <v>25586.146039679999</v>
      </c>
      <c r="Z376" s="28">
        <f>VLOOKUP(D376,'Estimación  PRESUPUESTO PCAS'!$B$4:$G$158,'Estimación  PRESUPUESTO PCAS'!$G$2,FALSE)</f>
        <v>243989.09461975674</v>
      </c>
      <c r="AA376" s="650">
        <f>(-O376-R376)/(1+0.12)+PV(12%,20,P376)+PV(12%,20,T376)-(O376*0.5)/(1+0.12)^10-S376/(1+0.12)^10</f>
        <v>-23626406.166815747</v>
      </c>
      <c r="AB376" s="651">
        <f>M376+AA376</f>
        <v>-34137966.077069752</v>
      </c>
      <c r="AC376" s="10">
        <f>VLOOKUP($E376,Resumen_Generación!$B$5:$F$158,Resumen_Generación!$D$3,FALSE)</f>
        <v>21.336914688</v>
      </c>
      <c r="AD376" s="10">
        <f>VLOOKUP($E376,Resumen_Generación!$B$5:$G$158,Resumen_Generación!$G$3,FALSE)</f>
        <v>9.1132641399999983</v>
      </c>
      <c r="AE376" s="362">
        <f>VLOOKUP($E376,Resumen_Generación!$B$5:$F$158,Resumen_Generación!$E$3,FALSE)</f>
        <v>27007</v>
      </c>
      <c r="AF376" s="10">
        <f>VLOOKUP($E376,Resumen_Generación!$B$5:$F$158,Resumen_Generación!$F$3,FALSE)</f>
        <v>9.5654929999999982</v>
      </c>
      <c r="AG376" s="448">
        <f>VLOOKUP($D376,Valoración_Equip_actual!$D$4:$I$157,Valoración_Equip_actual!$E$2,FALSE)*$E$4</f>
        <v>833471.49335800007</v>
      </c>
      <c r="AH376" s="448">
        <f>VLOOKUP($D376,Valoración_Equip_actual!$D$4:$I$157,Valoración_Equip_actual!$F$2,FALSE)*$E$4</f>
        <v>140185.07999999999</v>
      </c>
      <c r="AI376" s="448">
        <f>[188]P_Datos!$D$43</f>
        <v>0.56400000000000006</v>
      </c>
      <c r="AN376" s="34" t="str">
        <f>[188]Datos!$C$2</f>
        <v>Pedro Luro</v>
      </c>
      <c r="AO376" s="25" t="str">
        <f>VLOOKUP($E376,Tabla13[],Inputs_costos!$D$1,FALSE)</f>
        <v>PEDRO LURO</v>
      </c>
      <c r="AP376" s="28" t="str">
        <f>VLOOKUP($D376,'Costo Social x localidad'!$B$2:$M$156,1,FALSE)</f>
        <v>Pedro Luro</v>
      </c>
    </row>
    <row r="377" spans="1:42" ht="15.75" thickBot="1">
      <c r="A377" s="917"/>
      <c r="B377" s="888"/>
      <c r="C377" s="510"/>
      <c r="D377" s="12" t="s">
        <v>8</v>
      </c>
      <c r="E377" s="40"/>
      <c r="F377" s="13"/>
      <c r="G377" s="8"/>
      <c r="H377" s="32">
        <f>SUM(H375:H376)</f>
        <v>4641565.8044273518</v>
      </c>
      <c r="I377" s="32"/>
      <c r="J377" s="32">
        <f>SUM(J375:J376)</f>
        <v>1862468.8258272251</v>
      </c>
      <c r="K377" s="14"/>
      <c r="L377" s="14"/>
      <c r="M377" s="15">
        <f>SUM(M375:M376)</f>
        <v>-19550321.044008669</v>
      </c>
      <c r="N377" s="15"/>
      <c r="O377" s="16">
        <f>SUM(O375:O376)</f>
        <v>1212600.6044979999</v>
      </c>
      <c r="P377" s="16">
        <f>SUM(P375:P376)</f>
        <v>406304.0303170752</v>
      </c>
      <c r="Q377" s="16"/>
      <c r="R377" s="26">
        <f>SUM(R375:R376)</f>
        <v>8486222.3693599999</v>
      </c>
      <c r="S377" s="26"/>
      <c r="T377" s="26">
        <f>SUM(T375:T376)</f>
        <v>1772594.0722000003</v>
      </c>
      <c r="U377" s="26"/>
      <c r="V377" s="26">
        <f>SUM(V375:V376)</f>
        <v>0</v>
      </c>
      <c r="W377" s="26"/>
      <c r="X377" s="26">
        <f>SUM(X375:X376)</f>
        <v>0</v>
      </c>
      <c r="Y377" s="26">
        <f>SUM(Y375:Y376)</f>
        <v>35545.598794346668</v>
      </c>
      <c r="Z377" s="26">
        <f>SUM(Z375:Z376)</f>
        <v>408748.68778285349</v>
      </c>
      <c r="AA377" s="653">
        <f>SUM(AA375:AA376)</f>
        <v>-25392440.567904186</v>
      </c>
      <c r="AB377" s="654">
        <f>+M377+AA377</f>
        <v>-44942761.611912854</v>
      </c>
      <c r="AC377" s="630">
        <f t="shared" ref="AC377:AI377" si="279">SUM(AC375:AC376)</f>
        <v>27.625853632000002</v>
      </c>
      <c r="AD377" s="630">
        <f t="shared" si="279"/>
        <v>11.727612959999998</v>
      </c>
      <c r="AE377" s="631">
        <f t="shared" si="279"/>
        <v>36116</v>
      </c>
      <c r="AF377" s="630">
        <f t="shared" si="279"/>
        <v>12.448680999999999</v>
      </c>
      <c r="AG377" s="630">
        <f t="shared" si="279"/>
        <v>833471.49335800007</v>
      </c>
      <c r="AH377" s="630">
        <f t="shared" si="279"/>
        <v>140185.07999999999</v>
      </c>
      <c r="AI377" s="630">
        <f t="shared" si="279"/>
        <v>0.76065573770491812</v>
      </c>
      <c r="AJ377" s="4"/>
      <c r="AK377" s="4"/>
      <c r="AL377" s="4"/>
      <c r="AM377" s="4"/>
      <c r="AN377" s="4"/>
      <c r="AO377" s="4"/>
      <c r="AP377" s="4"/>
    </row>
    <row r="378" spans="1:42">
      <c r="A378" s="917"/>
      <c r="B378" s="886" t="s">
        <v>310</v>
      </c>
      <c r="C378" s="507" t="str">
        <f>IF(AND(D378=AN378,D378=AO378,D378=AP378),"ok","ATENCIÓN NO ESTÁ TOMANDO BIEN LA LOCALIDAD")</f>
        <v>ok</v>
      </c>
      <c r="D378" s="23" t="s">
        <v>260</v>
      </c>
      <c r="E378" s="114">
        <f>VLOOKUP(D378,Pobl_adoptada!$C$5:$D$158,2,FALSE)</f>
        <v>153</v>
      </c>
      <c r="F378" s="8" t="s">
        <v>308</v>
      </c>
      <c r="G378" s="576">
        <f>+'[189]Inversion rec-TA'!$G$21</f>
        <v>1681834.1071398836</v>
      </c>
      <c r="H378" s="577">
        <f>+($AC375/$AC377)*H380+G378</f>
        <v>1910515.8114722846</v>
      </c>
      <c r="I378" s="587">
        <f>+'[189]Costos Operativos Rec-TA'!$G$23</f>
        <v>820891.63214100036</v>
      </c>
      <c r="J378" s="579">
        <f>+($AC375/$AC377)*J380+I378</f>
        <v>825465.26622764836</v>
      </c>
      <c r="K378" s="10">
        <f>+'[189]Inversion rec-TA'!$G$46</f>
        <v>0</v>
      </c>
      <c r="L378" s="10">
        <f>+'[189]Costos Operativos Rec-TA'!$G$46</f>
        <v>0</v>
      </c>
      <c r="M378" s="19">
        <f t="shared" ref="M378:M379" si="280">-H378/(1+0.12)+PV(12%,20,J378)-H378/(1+0.12)^10</f>
        <v>-8486718.9181199614</v>
      </c>
      <c r="N378" s="614">
        <f>+$AD375/$AD377*N381</f>
        <v>383783.43592170422</v>
      </c>
      <c r="O378" s="25">
        <f>IF(N378-AG378&lt;0,0,N378-AG378)</f>
        <v>383783.43592170422</v>
      </c>
      <c r="P378" s="32">
        <f>+$AD375/$AD377*P381</f>
        <v>110296.90320374546</v>
      </c>
      <c r="Q378" s="614">
        <f>+$AC375/$AC377*Q381</f>
        <v>2050983.7105563995</v>
      </c>
      <c r="R378" s="647">
        <f>IF(Q378-AH378&lt;0,0,Q378-AH378)</f>
        <v>2050983.7105563995</v>
      </c>
      <c r="S378" s="647">
        <f>+S375</f>
        <v>0</v>
      </c>
      <c r="T378" s="32">
        <f>+$AC375/$AC377*T381</f>
        <v>374706.61843782</v>
      </c>
      <c r="U378" s="27"/>
      <c r="V378" s="461">
        <f>+V375</f>
        <v>0</v>
      </c>
      <c r="W378" s="27"/>
      <c r="X378" s="461">
        <f t="shared" ref="X378:Z379" si="281">+X375</f>
        <v>0</v>
      </c>
      <c r="Y378" s="27">
        <f t="shared" si="281"/>
        <v>9959.4527546666668</v>
      </c>
      <c r="Z378" s="27">
        <f t="shared" si="281"/>
        <v>164759.59316309675</v>
      </c>
      <c r="AA378" s="650">
        <f>(-O378-R378)/(1+0.12)+PV(12%,20,P378)+PV(12%,20,T378)-(O378*0.5)/(1+0.12)^10-S378/(1+0.12)^10</f>
        <v>-5858389.697935706</v>
      </c>
      <c r="AB378" s="651">
        <f>M378+AA378</f>
        <v>-14345108.616055667</v>
      </c>
      <c r="AG378" s="448">
        <f>VLOOKUP($D378,Valoración_Eq_REG!$D$4:$I$157,Valoración_Eq_REG!$E$2,FALSE)*$E$4</f>
        <v>0</v>
      </c>
      <c r="AH378" s="448">
        <f>VLOOKUP($D378,Valoración_Eq_REG!$D$4:$I$157,Valoración_Eq_REG!$F$2,FALSE)*$E$4</f>
        <v>0</v>
      </c>
      <c r="AJ378" s="484">
        <f>+'[189]Evaluacion Economica'!$L$25</f>
        <v>2</v>
      </c>
      <c r="AK378" s="448">
        <f>+'[189]Evaluacion Economica'!$R$25</f>
        <v>9</v>
      </c>
      <c r="AL378" s="484">
        <f>+'[189]P_Evaluacion Economica'!$L$27</f>
        <v>2</v>
      </c>
      <c r="AM378" s="448">
        <f>+'[189]P_Evaluacion Economica'!$Q$27</f>
        <v>6</v>
      </c>
      <c r="AN378" s="34" t="str">
        <f>+[189]Datos!$C$2</f>
        <v>Mayor Buratovich</v>
      </c>
      <c r="AO378" s="25" t="str">
        <f>VLOOKUP($E378,Tabla13[],Inputs_costos!$D$1,FALSE)</f>
        <v>MAYOR BURATOVICH</v>
      </c>
      <c r="AP378" s="28" t="str">
        <f>VLOOKUP($D378,'Costo Social x localidad'!$B$2:$M$156,1,FALSE)</f>
        <v>Mayor Buratovich</v>
      </c>
    </row>
    <row r="379" spans="1:42" ht="15.75" thickBot="1">
      <c r="A379" s="917"/>
      <c r="B379" s="887"/>
      <c r="C379" s="478" t="str">
        <f>IF(AND(D379=AN379,D379=AO379,D379=AP379),"ok","ATENCIÓN NO ESTÁ TOMANDO BIEN LA LOCALIDAD")</f>
        <v>ok</v>
      </c>
      <c r="D379" s="36" t="s">
        <v>261</v>
      </c>
      <c r="E379" s="115">
        <f>VLOOKUP(D379,Pobl_adoptada!$C$5:$D$158,2,FALSE)</f>
        <v>154</v>
      </c>
      <c r="F379" s="9" t="s">
        <v>308</v>
      </c>
      <c r="G379" s="580">
        <f>+'[190]Inversion rec-TA'!$G$21</f>
        <v>1915004.0504783518</v>
      </c>
      <c r="H379" s="34">
        <f>+($AC376/$AC377)*H380+G379</f>
        <v>2690868.1603854867</v>
      </c>
      <c r="I379" s="465">
        <f>+'[190]Costos Operativos Rec-TA'!$G$23</f>
        <v>999567.4468168848</v>
      </c>
      <c r="J379" s="581">
        <f>+($AC376/$AC377)*J380+I379</f>
        <v>1015084.7290150275</v>
      </c>
      <c r="K379" s="10">
        <f>+'[190]Inversion rec-TA'!$G$46</f>
        <v>0</v>
      </c>
      <c r="L379" s="10">
        <f>+'[190]Costos Operativos Rec-TA'!$G$46</f>
        <v>0</v>
      </c>
      <c r="M379" s="19">
        <f t="shared" si="280"/>
        <v>-10851066.545618812</v>
      </c>
      <c r="N379" s="465">
        <f>+$AD376/$AD377*N381</f>
        <v>1337816.819758296</v>
      </c>
      <c r="O379" s="25">
        <f>IF(N379-AG379&lt;0,0,N379-AG379)</f>
        <v>504345.32640029595</v>
      </c>
      <c r="P379" s="25">
        <f>+$AD376/$AD377*P381</f>
        <v>384479.99174025457</v>
      </c>
      <c r="Q379" s="465">
        <f>+$AC376/$AC377*Q381</f>
        <v>6958513.1686436003</v>
      </c>
      <c r="R379" s="647">
        <f>IF(Q379-AH379&lt;0,0,Q379-AH379)</f>
        <v>6818328.0886436002</v>
      </c>
      <c r="S379" s="647">
        <f>+S376</f>
        <v>815000</v>
      </c>
      <c r="T379" s="25">
        <f>+$AC376/$AC377*T381</f>
        <v>1271292.85589018</v>
      </c>
      <c r="U379" s="29"/>
      <c r="V379" s="461">
        <f>+V376</f>
        <v>0</v>
      </c>
      <c r="W379" s="25"/>
      <c r="X379" s="461">
        <f t="shared" si="281"/>
        <v>0</v>
      </c>
      <c r="Y379" s="28">
        <f t="shared" si="281"/>
        <v>25586.146039679999</v>
      </c>
      <c r="Z379" s="28">
        <f t="shared" si="281"/>
        <v>243989.09461975674</v>
      </c>
      <c r="AA379" s="650">
        <f>(-O379-R379)/(1+0.12)+PV(12%,20,P379)+PV(12%,20,T379)-(O379*0.5)/(1+0.12)^10-S379/(1+0.12)^10</f>
        <v>-19249404.239871617</v>
      </c>
      <c r="AB379" s="651">
        <f>M379+AA379</f>
        <v>-30100470.785490431</v>
      </c>
      <c r="AC379" s="10"/>
      <c r="AD379" s="10"/>
      <c r="AE379" s="10"/>
      <c r="AF379" s="10"/>
      <c r="AG379" s="448">
        <f>VLOOKUP($D379,Valoración_Eq_REG!$D$4:$I$157,Valoración_Eq_REG!$E$2,FALSE)*$E$4</f>
        <v>833471.49335800007</v>
      </c>
      <c r="AH379" s="448">
        <f>VLOOKUP($D379,Valoración_Eq_REG!$D$4:$I$157,Valoración_Eq_REG!$F$2,FALSE)*$E$4</f>
        <v>140185.07999999999</v>
      </c>
      <c r="AI379" s="2"/>
      <c r="AJ379" s="484">
        <f>+'[190]Evaluacion Economica'!$L$25</f>
        <v>2</v>
      </c>
      <c r="AK379" s="448">
        <f>+'[190]Evaluacion Economica'!$R$25</f>
        <v>15</v>
      </c>
      <c r="AL379" s="484">
        <f>+'[190]P_Evaluacion Economica'!$L$27</f>
        <v>2</v>
      </c>
      <c r="AM379" s="448">
        <f>+'[190]P_Evaluacion Economica'!$Q$27</f>
        <v>6</v>
      </c>
      <c r="AN379" s="34" t="str">
        <f>+[190]Datos!$C$2</f>
        <v>Pedro Luro</v>
      </c>
      <c r="AO379" s="25" t="str">
        <f>VLOOKUP($E379,Tabla13[],Inputs_costos!$D$1,FALSE)</f>
        <v>PEDRO LURO</v>
      </c>
      <c r="AP379" s="28" t="str">
        <f>VLOOKUP($D379,'Costo Social x localidad'!$B$2:$M$156,1,FALSE)</f>
        <v>Pedro Luro</v>
      </c>
    </row>
    <row r="380" spans="1:42" ht="30.75" thickBot="1">
      <c r="A380" s="917"/>
      <c r="B380" s="887"/>
      <c r="C380" s="912" t="s">
        <v>12</v>
      </c>
      <c r="D380" s="913"/>
      <c r="E380" s="498" t="s">
        <v>589</v>
      </c>
      <c r="F380" s="571">
        <f>+F369</f>
        <v>0.02</v>
      </c>
      <c r="G380" s="582"/>
      <c r="H380" s="461">
        <f>+AJ380*AJ382+AL380*AL382</f>
        <v>1004545.8142395362</v>
      </c>
      <c r="I380" s="461"/>
      <c r="J380" s="583">
        <f>+$F380*H380</f>
        <v>20090.916284790725</v>
      </c>
      <c r="K380" s="10"/>
      <c r="L380" s="10"/>
      <c r="M380" s="19"/>
      <c r="N380" s="465"/>
      <c r="O380" s="10"/>
      <c r="P380" s="10"/>
      <c r="Q380" s="618"/>
      <c r="R380" s="28"/>
      <c r="S380" s="28"/>
      <c r="T380" s="28"/>
      <c r="U380" s="28"/>
      <c r="V380" s="28"/>
      <c r="W380" s="28"/>
      <c r="X380" s="28"/>
      <c r="Y380" s="28"/>
      <c r="Z380" s="28"/>
      <c r="AA380" s="658"/>
      <c r="AB380" s="20"/>
      <c r="AC380" s="10"/>
      <c r="AD380" s="10"/>
      <c r="AE380" s="10"/>
      <c r="AF380" s="10"/>
      <c r="AG380" s="4"/>
      <c r="AH380" s="4"/>
      <c r="AI380" s="4"/>
      <c r="AJ380" s="501">
        <f>ROUNDUP(C381*SUM(AJ378:AJ379),0)</f>
        <v>2</v>
      </c>
      <c r="AK380" s="502">
        <f>AVERAGE(AK378:AK379)</f>
        <v>12</v>
      </c>
      <c r="AL380" s="501">
        <f>ROUNDUP(C381*SUM(AL378:AL379),0)</f>
        <v>2</v>
      </c>
      <c r="AM380" s="502">
        <f>AVERAGE(AM378:AM379)</f>
        <v>6</v>
      </c>
      <c r="AN380" s="4"/>
      <c r="AO380" s="4"/>
      <c r="AP380" s="4"/>
    </row>
    <row r="381" spans="1:42" ht="15.75" thickBot="1">
      <c r="A381" s="918"/>
      <c r="B381" s="888"/>
      <c r="C381" s="570">
        <v>0.5</v>
      </c>
      <c r="D381" s="500" t="str">
        <f>A375</f>
        <v>REGIÓN VILLARINO</v>
      </c>
      <c r="E381" s="468"/>
      <c r="F381" s="469"/>
      <c r="G381" s="584"/>
      <c r="H381" s="585">
        <f>SUM(H378:H379)</f>
        <v>4601383.9718577713</v>
      </c>
      <c r="I381" s="585"/>
      <c r="J381" s="586">
        <f>SUM(J378:J379)</f>
        <v>1840549.9952426758</v>
      </c>
      <c r="K381" s="14"/>
      <c r="L381" s="14"/>
      <c r="M381" s="15">
        <f>SUM(M378:M380)</f>
        <v>-19337785.463738773</v>
      </c>
      <c r="N381" s="615">
        <f>(VLOOKUP($E378,Tabla13[],Inputs_costos!$P$1,FALSE))*(O$3*$E$3+O$4*$E$4)</f>
        <v>1721600.2556800002</v>
      </c>
      <c r="O381" s="35">
        <f>SUM(O378:O379)</f>
        <v>888128.76232200023</v>
      </c>
      <c r="P381" s="35">
        <f>(VLOOKUP($E378,Tabla13[],Inputs_costos!$Q$1,FALSE))*(P$3*$E$3+P$4*$E$4)</f>
        <v>494776.894944</v>
      </c>
      <c r="Q381" s="615">
        <f>IF($AC377&gt;=15,(VLOOKUP($E378,Tabla13[],Inputs_costos!$N$1,FALSE))*($R$3*$E$3+$R$4*$E$4),(VLOOKUP($E378,Tabla13[],Inputs_costos!$N$1,FALSE))*($T$3*$E$3+$T$4*$E$4))</f>
        <v>9009496.8792000003</v>
      </c>
      <c r="R381" s="35">
        <f>SUM(R378:R379)</f>
        <v>8869311.7992000002</v>
      </c>
      <c r="S381" s="35"/>
      <c r="T381" s="35">
        <f>IF($AC377&gt;=15,(VLOOKUP($E378,Tabla13[],Inputs_costos!$O$1,FALSE))*($R$3*$E$3+$R$4*$E$4),(VLOOKUP($E378,Tabla13[],Inputs_costos!$O$1,FALSE))*($T$3*$E$3+$T$4*$E$4))</f>
        <v>1645999.4743280001</v>
      </c>
      <c r="U381" s="35"/>
      <c r="V381" s="31">
        <f>SUM(V378:V379)</f>
        <v>0</v>
      </c>
      <c r="W381" s="31"/>
      <c r="X381" s="31">
        <f>SUM(X378:X379)</f>
        <v>0</v>
      </c>
      <c r="Y381" s="31">
        <f>SUM(Y378:Y379)</f>
        <v>35545.598794346668</v>
      </c>
      <c r="Z381" s="31">
        <f>SUM(Z378:Z379)</f>
        <v>408748.68778285349</v>
      </c>
      <c r="AA381" s="657">
        <f>SUM(AA378:AA379)</f>
        <v>-25107793.937807322</v>
      </c>
      <c r="AB381" s="654">
        <f>+M381+AA381</f>
        <v>-44445579.401546091</v>
      </c>
      <c r="AC381" s="38"/>
      <c r="AD381" s="38"/>
      <c r="AE381" s="38"/>
      <c r="AF381" s="38"/>
      <c r="AG381" s="4"/>
      <c r="AH381" s="4"/>
      <c r="AI381" s="4"/>
      <c r="AJ381" s="11"/>
      <c r="AK381" s="499">
        <f>VLOOKUP(ROUNDUP(AK380,0),DATOS!$F$16:$G$31,2,FALSE)</f>
        <v>12</v>
      </c>
      <c r="AL381" s="497"/>
      <c r="AM381" s="499">
        <f>VLOOKUP(ROUNDUP(AM380,0),DATOS!$J$16:$K$34,2,FALSE)</f>
        <v>6</v>
      </c>
      <c r="AN381" s="4"/>
      <c r="AO381" s="4"/>
      <c r="AP381" s="4"/>
    </row>
    <row r="382" spans="1:42">
      <c r="F382" s="2"/>
      <c r="G382" s="2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0"/>
      <c r="V382" s="2"/>
      <c r="W382" s="2"/>
      <c r="X382" s="2"/>
      <c r="Y382" s="2"/>
      <c r="Z382" s="2"/>
      <c r="AA382" s="4"/>
      <c r="AB382" s="4"/>
      <c r="AC382" s="4"/>
      <c r="AD382" s="4"/>
      <c r="AE382" s="4"/>
      <c r="AF382" s="4"/>
      <c r="AG382" s="448"/>
      <c r="AH382" s="448"/>
      <c r="AI382" s="4"/>
      <c r="AJ382" s="892">
        <f>VLOOKUP(AK381,DATOS!$F$3:$H$11,3,FALSE)</f>
        <v>268012.51263976813</v>
      </c>
      <c r="AK382" s="892"/>
      <c r="AL382" s="892">
        <f>VLOOKUP(AM381,DATOS!$J$3:$L$12,3,FALSE)</f>
        <v>234260.39447999999</v>
      </c>
      <c r="AM382" s="892"/>
      <c r="AN382" s="4"/>
      <c r="AO382" s="4"/>
      <c r="AP382" s="4"/>
    </row>
    <row r="383" spans="1:42" ht="15.75" thickBot="1">
      <c r="A383" s="503"/>
      <c r="B383" s="503"/>
      <c r="C383" s="503"/>
      <c r="D383" s="503"/>
      <c r="E383" s="503"/>
      <c r="F383" s="504"/>
      <c r="G383" s="504"/>
      <c r="H383" s="505"/>
      <c r="I383" s="505"/>
      <c r="J383" s="505"/>
      <c r="K383" s="505"/>
      <c r="L383" s="505"/>
      <c r="M383" s="505"/>
      <c r="N383" s="505"/>
      <c r="O383" s="505"/>
      <c r="P383" s="505"/>
      <c r="Q383" s="505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6"/>
      <c r="AB383" s="506"/>
      <c r="AC383" s="506"/>
      <c r="AD383" s="506"/>
      <c r="AE383" s="506"/>
      <c r="AF383" s="506"/>
      <c r="AG383" s="506"/>
      <c r="AH383" s="506"/>
      <c r="AI383" s="506"/>
      <c r="AJ383" s="506"/>
      <c r="AK383" s="506"/>
      <c r="AL383" s="506"/>
      <c r="AM383" s="506"/>
      <c r="AN383" s="506"/>
      <c r="AO383" s="506"/>
      <c r="AP383" s="506"/>
    </row>
    <row r="384" spans="1:42" ht="39" thickBot="1">
      <c r="A384" s="886" t="s">
        <v>7</v>
      </c>
      <c r="B384" s="886" t="s">
        <v>2</v>
      </c>
      <c r="C384" s="508"/>
      <c r="D384" s="882" t="s">
        <v>22</v>
      </c>
      <c r="E384" s="882" t="s">
        <v>23</v>
      </c>
      <c r="F384" s="882" t="s">
        <v>3</v>
      </c>
      <c r="G384" s="568"/>
      <c r="H384" s="901" t="s">
        <v>0</v>
      </c>
      <c r="I384" s="901"/>
      <c r="J384" s="901"/>
      <c r="K384" s="901" t="s">
        <v>1</v>
      </c>
      <c r="L384" s="901"/>
      <c r="M384" s="886" t="s">
        <v>10</v>
      </c>
      <c r="N384" s="879" t="s">
        <v>5</v>
      </c>
      <c r="O384" s="880"/>
      <c r="P384" s="881"/>
      <c r="Q384" s="902" t="s">
        <v>4</v>
      </c>
      <c r="R384" s="903"/>
      <c r="S384" s="903"/>
      <c r="T384" s="904"/>
      <c r="U384" s="902" t="s">
        <v>6</v>
      </c>
      <c r="V384" s="903"/>
      <c r="W384" s="903"/>
      <c r="X384" s="904"/>
      <c r="Y384" s="390" t="s">
        <v>689</v>
      </c>
      <c r="Z384" s="662" t="s">
        <v>690</v>
      </c>
      <c r="AA384" s="905" t="s">
        <v>686</v>
      </c>
      <c r="AB384" s="886" t="s">
        <v>9</v>
      </c>
      <c r="AC384" s="907" t="s">
        <v>312</v>
      </c>
      <c r="AD384" s="914" t="s">
        <v>649</v>
      </c>
      <c r="AE384" s="897" t="s">
        <v>20</v>
      </c>
      <c r="AF384" s="897" t="s">
        <v>313</v>
      </c>
      <c r="AG384" s="899" t="s">
        <v>552</v>
      </c>
      <c r="AH384" s="895" t="s">
        <v>578</v>
      </c>
      <c r="AI384" s="897" t="s">
        <v>579</v>
      </c>
      <c r="AJ384" s="882" t="s">
        <v>581</v>
      </c>
      <c r="AK384" s="882" t="s">
        <v>582</v>
      </c>
      <c r="AL384" s="882" t="s">
        <v>581</v>
      </c>
      <c r="AM384" s="882" t="s">
        <v>582</v>
      </c>
      <c r="AN384" s="884" t="s">
        <v>553</v>
      </c>
      <c r="AO384" s="885"/>
      <c r="AP384" s="885"/>
    </row>
    <row r="385" spans="1:42" ht="30.75" thickBot="1">
      <c r="A385" s="888"/>
      <c r="B385" s="888"/>
      <c r="C385" s="509"/>
      <c r="D385" s="883"/>
      <c r="E385" s="883"/>
      <c r="F385" s="883"/>
      <c r="G385" s="569"/>
      <c r="H385" s="17" t="s">
        <v>18</v>
      </c>
      <c r="I385" s="17"/>
      <c r="J385" s="17" t="s">
        <v>17</v>
      </c>
      <c r="K385" s="17" t="s">
        <v>18</v>
      </c>
      <c r="L385" s="17" t="s">
        <v>17</v>
      </c>
      <c r="M385" s="888"/>
      <c r="N385" s="464" t="s">
        <v>685</v>
      </c>
      <c r="O385" s="17" t="s">
        <v>18</v>
      </c>
      <c r="P385" s="17" t="s">
        <v>17</v>
      </c>
      <c r="Q385" s="464" t="s">
        <v>685</v>
      </c>
      <c r="R385" s="17" t="s">
        <v>18</v>
      </c>
      <c r="S385" s="17"/>
      <c r="T385" s="17" t="s">
        <v>17</v>
      </c>
      <c r="U385" s="464" t="s">
        <v>576</v>
      </c>
      <c r="V385" s="17" t="s">
        <v>18</v>
      </c>
      <c r="W385" s="464" t="s">
        <v>577</v>
      </c>
      <c r="X385" s="17" t="s">
        <v>17</v>
      </c>
      <c r="Y385" s="17" t="s">
        <v>18</v>
      </c>
      <c r="Z385" s="17" t="s">
        <v>17</v>
      </c>
      <c r="AA385" s="906"/>
      <c r="AB385" s="888"/>
      <c r="AC385" s="908"/>
      <c r="AD385" s="915"/>
      <c r="AE385" s="898"/>
      <c r="AF385" s="898"/>
      <c r="AG385" s="900"/>
      <c r="AH385" s="896"/>
      <c r="AI385" s="898"/>
      <c r="AJ385" s="883"/>
      <c r="AK385" s="883"/>
      <c r="AL385" s="883"/>
      <c r="AM385" s="883"/>
      <c r="AN385" s="1" t="s">
        <v>551</v>
      </c>
      <c r="AO385" s="9" t="s">
        <v>554</v>
      </c>
      <c r="AP385" s="1" t="s">
        <v>555</v>
      </c>
    </row>
    <row r="386" spans="1:42">
      <c r="A386" s="916" t="s">
        <v>616</v>
      </c>
      <c r="B386" s="886" t="s">
        <v>309</v>
      </c>
      <c r="C386" s="507" t="str">
        <f>IF(AND(D386=AN386,D386=AO386,D386=AP386),"ok","ATENCIÓN NO ESTÁ TOMANDO BIEN LA LOCALIDAD")</f>
        <v>ok</v>
      </c>
      <c r="D386" s="23" t="s">
        <v>241</v>
      </c>
      <c r="E386" s="114">
        <f>VLOOKUP(D386,Pobl_adoptada!$C$5:$D$158,2,FALSE)</f>
        <v>135</v>
      </c>
      <c r="F386" s="8" t="s">
        <v>308</v>
      </c>
      <c r="G386" s="8"/>
      <c r="H386" s="33">
        <f>'[191]Inversion rec-TA'!$G$21</f>
        <v>4776362.1433689632</v>
      </c>
      <c r="I386" s="33"/>
      <c r="J386" s="33">
        <f>'[191]Costos Operativos Rec-TA'!$G$23</f>
        <v>2672050.674685196</v>
      </c>
      <c r="K386" s="32">
        <f>'[191]Inversion rec-TA'!$G$46</f>
        <v>0</v>
      </c>
      <c r="L386" s="32">
        <f>+'[191]Costos Operativos Rec-TA'!$G$46</f>
        <v>0</v>
      </c>
      <c r="M386" s="19">
        <f t="shared" ref="M386:M387" si="282">-H386/(1+0.12)+PV(12%,20,J386)-H386/(1+0.12)^10</f>
        <v>-25761201.710916802</v>
      </c>
      <c r="N386" s="19"/>
      <c r="O386" s="25">
        <f>IF(((VLOOKUP($E386,Tabla13[],Inputs_costos!$I$1,FALSE))*(O$3*$E$3+O$4*$E$4)-AG386)&lt;0,0,VLOOKUP($E386,Tabla13[],Inputs_costos!$I$1,FALSE)*(O$3*$E$3+O$4*$E$4)-AG386)</f>
        <v>2140267.6166400001</v>
      </c>
      <c r="P386" s="25">
        <f>(VLOOKUP($E386,Tabla13[],Inputs_costos!$J$1,FALSE))*(P$3*$E$3+P$4*$E$4)</f>
        <v>1125560.395584</v>
      </c>
      <c r="Q386" s="25"/>
      <c r="R386" s="25">
        <f>IF($AC386&gt;=15,(VLOOKUP($E386,Tabla13[],Inputs_costos!$G$1,FALSE))*($R$3*$E$3+$R$4*$E$4),(VLOOKUP($E386,Tabla13[],Inputs_costos!$G$1,FALSE))*($T$3*$E$3+$T$4*$E$4))-AH386</f>
        <v>19250504.487199999</v>
      </c>
      <c r="S386" s="25">
        <f t="shared" ref="S386:S387" si="283">IF(AC386&lt;15,0,IF(AC386&lt;=350,815000,1345000))</f>
        <v>815000</v>
      </c>
      <c r="T386" s="25">
        <f>IF($AC386&gt;=15,(VLOOKUP($E386,Tabla13[],Inputs_costos!$H$1,FALSE))*($R$3*$E$3+$R$4*$E$4),(VLOOKUP($E386,Tabla13[],Inputs_costos!$H$1,FALSE))*($T$3*$E$3+$T$4*$E$4))</f>
        <v>1426438.426856</v>
      </c>
      <c r="U386" s="465">
        <f>SUMIFS(Tabla24[Costo de Cierre Técnico de BCA (US$)],Tabla24[Localidad],Resumen!$D386)</f>
        <v>296800</v>
      </c>
      <c r="V386" s="461">
        <f>+U386*(V$3*$E$3+V$4*$E$4)</f>
        <v>569987.30432</v>
      </c>
      <c r="W386" s="465">
        <f>SUMIFS(Tabla24[Costo anual de Manteniemiento Post-cierre (US$)],Tabla24[Localidad],Resumen!$D386)</f>
        <v>26351.628898767573</v>
      </c>
      <c r="X386" s="461">
        <f>+W386*(X$3*$E$3+X$4*$E$4)</f>
        <v>50606.785446258553</v>
      </c>
      <c r="Y386" s="27">
        <f>VLOOKUP($D386,'Costo Social x localidad'!$B$2:$M$156,12,FALSE)*(Y$3*$E$3+Y$4*$E$4)</f>
        <v>138682.09334304</v>
      </c>
      <c r="Z386" s="28">
        <f>VLOOKUP(D386,'Estimación  PRESUPUESTO PCAS'!$B$4:$G$158,'Estimación  PRESUPUESTO PCAS'!$G$2,FALSE)</f>
        <v>466886.41939411208</v>
      </c>
      <c r="AA386" s="650">
        <f>(-O386-R386)/(1+0.12)+PV(12%,20,P386)+PV(12%,20,T386)-(O386*0.5)/(1+0.12)^10-S386/(1+0.12)^10</f>
        <v>-38767877.631380185</v>
      </c>
      <c r="AB386" s="651">
        <f>M386+AA386</f>
        <v>-64529079.342296988</v>
      </c>
      <c r="AC386" s="10">
        <f>VLOOKUP($E386,Resumen_Generación!$B$5:$F$158,Resumen_Generación!$D$3,FALSE)</f>
        <v>102.30516849599999</v>
      </c>
      <c r="AD386" s="10">
        <f>VLOOKUP($E386,Resumen_Generación!$B$5:$G$158,Resumen_Generación!$G$3,FALSE)</f>
        <v>41.971553129999997</v>
      </c>
      <c r="AE386" s="362">
        <f>VLOOKUP($E386,Resumen_Generación!$B$5:$F$158,Resumen_Generación!$E$3,FALSE)</f>
        <v>133218</v>
      </c>
      <c r="AF386" s="10">
        <f>VLOOKUP($E386,Resumen_Generación!$B$5:$F$158,Resumen_Generación!$F$3,FALSE)</f>
        <v>47.172195000000002</v>
      </c>
      <c r="AG386" s="448">
        <f>VLOOKUP($D386,Valoración_Equip_actual!$D$4:$I$157,Valoración_Equip_actual!$E$2,FALSE)*$E$4</f>
        <v>0</v>
      </c>
      <c r="AH386" s="448">
        <f>VLOOKUP($D386,Valoración_Equip_actual!$D$4:$I$157,Valoración_Equip_actual!$F$2,FALSE)*$E$4</f>
        <v>282189.14</v>
      </c>
      <c r="AI386" s="448">
        <f>[191]P_Datos!$D$43</f>
        <v>2.6759344262295079</v>
      </c>
      <c r="AN386" s="449" t="str">
        <f>[191]Datos!$C$2</f>
        <v>Zárate</v>
      </c>
      <c r="AO386" s="450" t="str">
        <f>VLOOKUP($E386,Tabla13[],Inputs_costos!$D$1,FALSE)</f>
        <v>ZÁRATE</v>
      </c>
      <c r="AP386" s="451" t="str">
        <f>VLOOKUP($D386,'Costo Social x localidad'!$B$2:$M$156,1,FALSE)</f>
        <v>ZÁRATE</v>
      </c>
    </row>
    <row r="387" spans="1:42" ht="15.75" thickBot="1">
      <c r="A387" s="917"/>
      <c r="B387" s="887"/>
      <c r="C387" s="478" t="str">
        <f>IF(AND(D387=AN387,D387=AO387,D387=AP387),"ok","ATENCIÓN NO ESTÁ TOMANDO BIEN LA LOCALIDAD")</f>
        <v>ok</v>
      </c>
      <c r="D387" s="519" t="s">
        <v>130</v>
      </c>
      <c r="E387" s="511">
        <f>VLOOKUP(D387,Pobl_adoptada!$C$5:$D$158,2,FALSE)</f>
        <v>41</v>
      </c>
      <c r="F387" s="37" t="s">
        <v>308</v>
      </c>
      <c r="G387" s="37"/>
      <c r="H387" s="117">
        <f>'[192]Inversion rec-TA'!$G$21</f>
        <v>5931725.5956718549</v>
      </c>
      <c r="I387" s="117"/>
      <c r="J387" s="117">
        <f>'[192]Costos Operativos Rec-TA'!$G$23</f>
        <v>3541079.2166838166</v>
      </c>
      <c r="K387" s="25">
        <f>'[192]Inversion rec-TA'!$G$46</f>
        <v>0</v>
      </c>
      <c r="L387" s="25">
        <f>+'[192]Costos Operativos Rec-TA'!$G$46</f>
        <v>0</v>
      </c>
      <c r="M387" s="19">
        <f t="shared" si="282"/>
        <v>-33655932.03446839</v>
      </c>
      <c r="N387" s="19"/>
      <c r="O387" s="25">
        <f>IF(((VLOOKUP($E387,Tabla13[],Inputs_costos!$I$1,FALSE))*(O$3*$E$3+O$4*$E$4)-AG387)&lt;0,0,VLOOKUP($E387,Tabla13[],Inputs_costos!$I$1,FALSE)*(O$3*$E$3+O$4*$E$4)-AG387)</f>
        <v>2053454.8896000001</v>
      </c>
      <c r="P387" s="25">
        <f>(VLOOKUP($E387,Tabla13[],Inputs_costos!$J$1,FALSE))*(P$3*$E$3+P$4*$E$4)</f>
        <v>1120848.764672</v>
      </c>
      <c r="Q387" s="25"/>
      <c r="R387" s="25">
        <f>IF($AC387&gt;=15,(VLOOKUP($E387,Tabla13[],Inputs_costos!$G$1,FALSE))*($R$3*$E$3+$R$4*$E$4),(VLOOKUP($E387,Tabla13[],Inputs_costos!$G$1,FALSE))*($T$3*$E$3+$T$4*$E$4))-AH387</f>
        <v>17392635.192000002</v>
      </c>
      <c r="S387" s="25">
        <f t="shared" si="283"/>
        <v>815000</v>
      </c>
      <c r="T387" s="25">
        <f>IF($AC387&gt;=15,(VLOOKUP($E387,Tabla13[],Inputs_costos!$H$1,FALSE))*($R$3*$E$3+$R$4*$E$4),(VLOOKUP($E387,Tabla13[],Inputs_costos!$H$1,FALSE))*($T$3*$E$3+$T$4*$E$4))</f>
        <v>1373719.9141840001</v>
      </c>
      <c r="U387" s="465">
        <f>SUMIFS(Tabla24[Costo de Cierre Técnico de BCA (US$)],Tabla24[Localidad],Resumen!$D387)</f>
        <v>0</v>
      </c>
      <c r="V387" s="461">
        <f t="shared" ref="V387" si="284">+U387*(V$3*$E$3+V$4*$E$4)</f>
        <v>0</v>
      </c>
      <c r="W387" s="465">
        <f>SUMIFS(Tabla24[Costo anual de Manteniemiento Post-cierre (US$)],Tabla24[Localidad],Resumen!$D387)</f>
        <v>0</v>
      </c>
      <c r="X387" s="461">
        <f t="shared" ref="X387" si="285">+W387*(X$3*$E$3+X$4*$E$4)</f>
        <v>0</v>
      </c>
      <c r="Y387" s="447">
        <f>VLOOKUP($D387,'Costo Social x localidad'!$B$2:$M$156,12,FALSE)*(Y$3*$E$3+Y$4*$E$4)</f>
        <v>102840.55490015999</v>
      </c>
      <c r="Z387" s="28">
        <f>VLOOKUP(D387,'Estimación  PRESUPUESTO PCAS'!$B$4:$G$158,'Estimación  PRESUPUESTO PCAS'!$G$2,FALSE)</f>
        <v>449895.09596589825</v>
      </c>
      <c r="AA387" s="650">
        <f>(-O387-R387)/(1+0.12)+PV(12%,20,P387)+PV(12%,20,T387)-(O387*0.5)/(1+0.12)^10-S387/(1+0.12)^10</f>
        <v>-36588607.490048431</v>
      </c>
      <c r="AB387" s="651">
        <f>M387+AA387</f>
        <v>-70244539.524516821</v>
      </c>
      <c r="AC387" s="10">
        <f>VLOOKUP($E387,Resumen_Generación!$B$5:$F$158,Resumen_Generación!$D$3,FALSE)</f>
        <v>86.458675344</v>
      </c>
      <c r="AD387" s="10">
        <f>VLOOKUP($E387,Resumen_Generación!$B$5:$G$158,Resumen_Generación!$G$3,FALSE)</f>
        <v>35.324822070000003</v>
      </c>
      <c r="AE387" s="362">
        <f>VLOOKUP($E387,Resumen_Generación!$B$5:$F$158,Resumen_Generación!$E$3,FALSE)</f>
        <v>112469</v>
      </c>
      <c r="AF387" s="10">
        <f>VLOOKUP($E387,Resumen_Generación!$B$5:$F$158,Resumen_Generación!$F$3,FALSE)</f>
        <v>39.972218999999996</v>
      </c>
      <c r="AG387" s="448">
        <f>VLOOKUP($D387,Valoración_Equip_actual!$D$4:$I$157,Valoración_Equip_actual!$E$2,FALSE)*$E$4</f>
        <v>0</v>
      </c>
      <c r="AH387" s="448">
        <f>VLOOKUP($D387,Valoración_Equip_actual!$D$4:$I$157,Valoración_Equip_actual!$F$2,FALSE)*$E$4</f>
        <v>0</v>
      </c>
      <c r="AI387" s="448">
        <f>[192]P_Datos!$D$43</f>
        <v>2.3847868852459015</v>
      </c>
      <c r="AN387" s="34" t="str">
        <f>[192]Datos!$C$2</f>
        <v>Campana</v>
      </c>
      <c r="AO387" s="25" t="str">
        <f>VLOOKUP($E387,Tabla13[],Inputs_costos!$D$1,FALSE)</f>
        <v>CAMPANA</v>
      </c>
      <c r="AP387" s="28" t="str">
        <f>VLOOKUP($D387,'Costo Social x localidad'!$B$2:$M$156,1,FALSE)</f>
        <v>CAMPANA</v>
      </c>
    </row>
    <row r="388" spans="1:42" ht="15.75" thickBot="1">
      <c r="A388" s="917"/>
      <c r="B388" s="888"/>
      <c r="C388" s="510"/>
      <c r="D388" s="12" t="s">
        <v>8</v>
      </c>
      <c r="E388" s="40"/>
      <c r="F388" s="13"/>
      <c r="G388" s="8"/>
      <c r="H388" s="32">
        <f>SUM(H386:H387)</f>
        <v>10708087.739040818</v>
      </c>
      <c r="I388" s="32"/>
      <c r="J388" s="32">
        <f>SUM(J386:J387)</f>
        <v>6213129.8913690131</v>
      </c>
      <c r="K388" s="14"/>
      <c r="L388" s="14"/>
      <c r="M388" s="15">
        <f>SUM(M386:M387)</f>
        <v>-59417133.745385192</v>
      </c>
      <c r="N388" s="15"/>
      <c r="O388" s="16">
        <f>SUM(O386:O387)</f>
        <v>4193722.50624</v>
      </c>
      <c r="P388" s="16">
        <f>SUM(P386:P387)</f>
        <v>2246409.1602560002</v>
      </c>
      <c r="Q388" s="16"/>
      <c r="R388" s="26">
        <f>SUM(R386:R387)</f>
        <v>36643139.679200001</v>
      </c>
      <c r="S388" s="26"/>
      <c r="T388" s="26">
        <f>SUM(T386:T387)</f>
        <v>2800158.3410400003</v>
      </c>
      <c r="U388" s="26"/>
      <c r="V388" s="26">
        <f>SUM(V386:V387)</f>
        <v>569987.30432</v>
      </c>
      <c r="W388" s="26"/>
      <c r="X388" s="26">
        <f>SUM(X386:X387)</f>
        <v>50606.785446258553</v>
      </c>
      <c r="Y388" s="26">
        <f>SUM(Y386:Y387)</f>
        <v>241522.64824319998</v>
      </c>
      <c r="Z388" s="26">
        <f>SUM(Z386:Z387)</f>
        <v>916781.51536001032</v>
      </c>
      <c r="AA388" s="653">
        <f>SUM(AA386:AA387)</f>
        <v>-75356485.121428609</v>
      </c>
      <c r="AB388" s="654">
        <f>+M388+AA388</f>
        <v>-134773618.86681381</v>
      </c>
      <c r="AC388" s="630">
        <f t="shared" ref="AC388:AI388" si="286">SUM(AC386:AC387)</f>
        <v>188.76384383999999</v>
      </c>
      <c r="AD388" s="630">
        <f t="shared" si="286"/>
        <v>77.2963752</v>
      </c>
      <c r="AE388" s="631">
        <f t="shared" si="286"/>
        <v>245687</v>
      </c>
      <c r="AF388" s="630">
        <f t="shared" si="286"/>
        <v>87.144413999999998</v>
      </c>
      <c r="AG388" s="630">
        <f t="shared" si="286"/>
        <v>0</v>
      </c>
      <c r="AH388" s="630">
        <f t="shared" si="286"/>
        <v>282189.14</v>
      </c>
      <c r="AI388" s="630">
        <f t="shared" si="286"/>
        <v>5.0607213114754099</v>
      </c>
      <c r="AJ388" s="4"/>
      <c r="AK388" s="4"/>
      <c r="AL388" s="4"/>
      <c r="AM388" s="4"/>
      <c r="AN388" s="4"/>
      <c r="AO388" s="4"/>
      <c r="AP388" s="4"/>
    </row>
    <row r="389" spans="1:42">
      <c r="A389" s="917"/>
      <c r="B389" s="886" t="s">
        <v>310</v>
      </c>
      <c r="C389" s="507" t="str">
        <f>IF(AND(D389=AN389,D389=AO389,D389=AP389),"ok","ATENCIÓN NO ESTÁ TOMANDO BIEN LA LOCALIDAD")</f>
        <v>ok</v>
      </c>
      <c r="D389" s="23" t="s">
        <v>241</v>
      </c>
      <c r="E389" s="114">
        <f>VLOOKUP(D389,Pobl_adoptada!$C$5:$D$158,2,FALSE)</f>
        <v>135</v>
      </c>
      <c r="F389" s="8" t="s">
        <v>308</v>
      </c>
      <c r="G389" s="576">
        <f>+'[193]Inversion rec-TA'!$G$21</f>
        <v>4516115.3967187358</v>
      </c>
      <c r="H389" s="577">
        <f>+($AC386/$AC388)*H391+G389</f>
        <v>5784883.7167995982</v>
      </c>
      <c r="I389" s="587">
        <f>+'[193]Costos Operativos Rec-TA'!$G$23</f>
        <v>2805566.1610112451</v>
      </c>
      <c r="J389" s="579">
        <f>+($AC386/$AC388)*J391+I389</f>
        <v>2830941.5274128625</v>
      </c>
      <c r="K389" s="10">
        <f>+'[193]Inversion rec-TA'!$G$46</f>
        <v>0</v>
      </c>
      <c r="L389" s="10">
        <f>+'[193]Costos Operativos Rec-TA'!$G$46</f>
        <v>0</v>
      </c>
      <c r="M389" s="19">
        <f t="shared" ref="M389:M390" si="287">-H389/(1+0.12)+PV(12%,20,J389)-H389/(1+0.12)^10</f>
        <v>-28173210.623519517</v>
      </c>
      <c r="N389" s="614">
        <f>+$AD386/$AD388*N392</f>
        <v>1423836.0820070319</v>
      </c>
      <c r="O389" s="25">
        <f>IF(N389-AG389&lt;0,0,N389-AG389)</f>
        <v>1423836.0820070319</v>
      </c>
      <c r="P389" s="32">
        <f>+$AD386/$AD388*P392</f>
        <v>625416.17150523933</v>
      </c>
      <c r="Q389" s="614">
        <f>+$AC386/$AC388*Q392</f>
        <v>16779531.965392064</v>
      </c>
      <c r="R389" s="647">
        <f>IF(Q389-AH389&lt;0,0,Q389-AH389)</f>
        <v>16497342.825392064</v>
      </c>
      <c r="S389" s="647">
        <f>+S386</f>
        <v>815000</v>
      </c>
      <c r="T389" s="32">
        <f>+$AC386/$AC388*T392</f>
        <v>878298.57467212365</v>
      </c>
      <c r="U389" s="27"/>
      <c r="V389" s="461">
        <f>+V386</f>
        <v>569987.30432</v>
      </c>
      <c r="W389" s="27"/>
      <c r="X389" s="461">
        <f t="shared" ref="X389:Z390" si="288">+X386</f>
        <v>50606.785446258553</v>
      </c>
      <c r="Y389" s="27">
        <f t="shared" si="288"/>
        <v>138682.09334304</v>
      </c>
      <c r="Z389" s="27">
        <f t="shared" si="288"/>
        <v>466886.41939411208</v>
      </c>
      <c r="AA389" s="650">
        <f>(-O389-R389)/(1+0.12)+PV(12%,20,P389)+PV(12%,20,T389)-(O389*0.5)/(1+0.12)^10-S389/(1+0.12)^10</f>
        <v>-27724591.863204569</v>
      </c>
      <c r="AB389" s="651">
        <f>M389+AA389</f>
        <v>-55897802.486724086</v>
      </c>
      <c r="AG389" s="448">
        <f>VLOOKUP($D389,Valoración_Eq_REG!$D$4:$I$157,Valoración_Eq_REG!$E$2,FALSE)*$E$4</f>
        <v>0</v>
      </c>
      <c r="AH389" s="448">
        <f>VLOOKUP($D389,Valoración_Eq_REG!$D$4:$I$157,Valoración_Eq_REG!$F$2,FALSE)*$E$4</f>
        <v>282189.14</v>
      </c>
      <c r="AJ389" s="484">
        <f>+'[193]Evaluacion Economica'!$L$25</f>
        <v>5</v>
      </c>
      <c r="AK389" s="448">
        <f>+'[193]Evaluacion Economica'!$R$25</f>
        <v>17</v>
      </c>
      <c r="AL389" s="484">
        <f>+'[193]P_Evaluacion Economica'!$L$27</f>
        <v>4</v>
      </c>
      <c r="AM389" s="448">
        <f>+'[193]P_Evaluacion Economica'!$Q$27</f>
        <v>6</v>
      </c>
      <c r="AN389" s="34" t="str">
        <f>+[193]Datos!$C$2</f>
        <v>Zárate</v>
      </c>
      <c r="AO389" s="25" t="str">
        <f>VLOOKUP($E389,Tabla13[],Inputs_costos!$D$1,FALSE)</f>
        <v>ZÁRATE</v>
      </c>
      <c r="AP389" s="28" t="str">
        <f>VLOOKUP($D389,'Costo Social x localidad'!$B$2:$M$156,1,FALSE)</f>
        <v>ZÁRATE</v>
      </c>
    </row>
    <row r="390" spans="1:42">
      <c r="A390" s="917"/>
      <c r="B390" s="887"/>
      <c r="C390" s="478" t="str">
        <f>IF(AND(D390=AN390,D390=AO390,D390=AP390),"ok","ATENCIÓN NO ESTÁ TOMANDO BIEN LA LOCALIDAD")</f>
        <v>ok</v>
      </c>
      <c r="D390" s="24" t="s">
        <v>130</v>
      </c>
      <c r="E390" s="115">
        <f>VLOOKUP(D390,Pobl_adoptada!$C$5:$D$158,2,FALSE)</f>
        <v>41</v>
      </c>
      <c r="F390" s="9" t="s">
        <v>308</v>
      </c>
      <c r="G390" s="580">
        <f>+'[194]Inversion rec-TA'!$G$21</f>
        <v>5299696.8199366797</v>
      </c>
      <c r="H390" s="34">
        <f>+($AC387/$AC388)*H391+G390</f>
        <v>6371940.0886324588</v>
      </c>
      <c r="I390" s="465">
        <f>+'[194]Costos Operativos Rec-TA'!$G$23</f>
        <v>3595492.0877668094</v>
      </c>
      <c r="J390" s="581">
        <f>+($AC387/$AC388)*J391+I390</f>
        <v>3616936.9531407249</v>
      </c>
      <c r="K390" s="10">
        <f>+'[194]Inversion rec-TA'!$G$46</f>
        <v>0</v>
      </c>
      <c r="L390" s="10">
        <f>+'[194]Costos Operativos Rec-TA'!$G$46</f>
        <v>0</v>
      </c>
      <c r="M390" s="19">
        <f t="shared" si="287"/>
        <v>-34757333.059924141</v>
      </c>
      <c r="N390" s="465">
        <f>+$AD387/$AD388*N392</f>
        <v>1198353.4680729681</v>
      </c>
      <c r="O390" s="25">
        <f>IF(N390-AG390&lt;0,0,N390-AG390)</f>
        <v>1198353.4680729681</v>
      </c>
      <c r="P390" s="25">
        <f>+$AD387/$AD388*P392</f>
        <v>526373.53947076062</v>
      </c>
      <c r="Q390" s="465">
        <f>+$AC387/$AC388*Q392</f>
        <v>14180477.173807936</v>
      </c>
      <c r="R390" s="647">
        <f>IF(Q390-AH390&lt;0,0,Q390-AH390)</f>
        <v>14180477.173807936</v>
      </c>
      <c r="S390" s="647">
        <f>+S387</f>
        <v>815000</v>
      </c>
      <c r="T390" s="25">
        <f>+$AC387/$AC388*T392</f>
        <v>742255.08289587637</v>
      </c>
      <c r="U390" s="29"/>
      <c r="V390" s="461">
        <f>+V387</f>
        <v>0</v>
      </c>
      <c r="W390" s="25"/>
      <c r="X390" s="461">
        <f t="shared" si="288"/>
        <v>0</v>
      </c>
      <c r="Y390" s="28">
        <f t="shared" si="288"/>
        <v>102840.55490015999</v>
      </c>
      <c r="Z390" s="28">
        <f t="shared" si="288"/>
        <v>449895.09596589825</v>
      </c>
      <c r="AA390" s="650">
        <f>(-O390-R390)/(1+0.12)+PV(12%,20,P390)+PV(12%,20,T390)-(O390*0.5)/(1+0.12)^10-S390/(1+0.12)^10</f>
        <v>-23662375.822538633</v>
      </c>
      <c r="AB390" s="651">
        <f>M390+AA390</f>
        <v>-58419708.88246277</v>
      </c>
      <c r="AC390" s="10"/>
      <c r="AD390" s="10"/>
      <c r="AE390" s="10"/>
      <c r="AF390" s="10"/>
      <c r="AG390" s="448">
        <f>VLOOKUP($D390,Valoración_Eq_REG!$D$4:$I$157,Valoración_Eq_REG!$E$2,FALSE)*$E$4</f>
        <v>0</v>
      </c>
      <c r="AH390" s="448">
        <f>VLOOKUP($D390,Valoración_Eq_REG!$D$4:$I$157,Valoración_Eq_REG!$F$2,FALSE)*$E$4</f>
        <v>0</v>
      </c>
      <c r="AI390" s="2"/>
      <c r="AJ390" s="484">
        <f>+'[194]Evaluacion Economica'!$L$25</f>
        <v>5</v>
      </c>
      <c r="AK390" s="448">
        <f>+'[194]Evaluacion Economica'!$R$25</f>
        <v>15</v>
      </c>
      <c r="AL390" s="484">
        <f>+'[194]P_Evaluacion Economica'!$L$27</f>
        <v>4</v>
      </c>
      <c r="AM390" s="448">
        <f>+'[194]P_Evaluacion Economica'!$Q$27</f>
        <v>6</v>
      </c>
      <c r="AN390" s="34" t="str">
        <f>+[194]Datos!$C$2</f>
        <v>Campana</v>
      </c>
      <c r="AO390" s="25" t="str">
        <f>VLOOKUP($E390,Tabla13[],Inputs_costos!$D$1,FALSE)</f>
        <v>CAMPANA</v>
      </c>
      <c r="AP390" s="28" t="str">
        <f>VLOOKUP($D390,'Costo Social x localidad'!$B$2:$M$156,1,FALSE)</f>
        <v>CAMPANA</v>
      </c>
    </row>
    <row r="391" spans="1:42" ht="30.75" thickBot="1">
      <c r="A391" s="917"/>
      <c r="B391" s="887"/>
      <c r="C391" s="912" t="s">
        <v>12</v>
      </c>
      <c r="D391" s="913"/>
      <c r="E391" s="498" t="s">
        <v>589</v>
      </c>
      <c r="F391" s="571">
        <f>+F380</f>
        <v>0.02</v>
      </c>
      <c r="G391" s="582"/>
      <c r="H391" s="461">
        <f>+AJ391*AJ393+AL391*AL393</f>
        <v>2341011.588776642</v>
      </c>
      <c r="I391" s="461"/>
      <c r="J391" s="583">
        <f>+$F391*H391</f>
        <v>46820.23177553284</v>
      </c>
      <c r="K391" s="10"/>
      <c r="L391" s="10"/>
      <c r="M391" s="19"/>
      <c r="N391" s="465"/>
      <c r="O391" s="10"/>
      <c r="P391" s="10"/>
      <c r="Q391" s="618"/>
      <c r="R391" s="28"/>
      <c r="S391" s="28"/>
      <c r="T391" s="28"/>
      <c r="U391" s="28"/>
      <c r="V391" s="28"/>
      <c r="W391" s="28"/>
      <c r="X391" s="28"/>
      <c r="Y391" s="28"/>
      <c r="Z391" s="28"/>
      <c r="AA391" s="658"/>
      <c r="AB391" s="20"/>
      <c r="AC391" s="10"/>
      <c r="AD391" s="10"/>
      <c r="AE391" s="10"/>
      <c r="AF391" s="10"/>
      <c r="AG391" s="4"/>
      <c r="AH391" s="4"/>
      <c r="AI391" s="4"/>
      <c r="AJ391" s="501">
        <f>ROUNDUP(C392*SUM(AJ389:AJ390),0)</f>
        <v>5</v>
      </c>
      <c r="AK391" s="502">
        <f>AVERAGE(AK389:AK390)</f>
        <v>16</v>
      </c>
      <c r="AL391" s="501">
        <f>ROUNDUP(C392*SUM(AL389:AL390),0)</f>
        <v>4</v>
      </c>
      <c r="AM391" s="502">
        <f>AVERAGE(AM389:AM390)</f>
        <v>6</v>
      </c>
      <c r="AN391" s="4"/>
      <c r="AO391" s="4"/>
      <c r="AP391" s="4"/>
    </row>
    <row r="392" spans="1:42" ht="15.75" thickBot="1">
      <c r="A392" s="918"/>
      <c r="B392" s="888"/>
      <c r="C392" s="570">
        <v>0.5</v>
      </c>
      <c r="D392" s="500" t="str">
        <f>A386</f>
        <v>REGIÓN ZÁRATE</v>
      </c>
      <c r="E392" s="468"/>
      <c r="F392" s="469"/>
      <c r="G392" s="584"/>
      <c r="H392" s="585">
        <f>SUM(H389:H390)</f>
        <v>12156823.805432057</v>
      </c>
      <c r="I392" s="585"/>
      <c r="J392" s="586">
        <f>SUM(J389:J390)</f>
        <v>6447878.4805535879</v>
      </c>
      <c r="K392" s="14"/>
      <c r="L392" s="14"/>
      <c r="M392" s="15">
        <f>SUM(M389:M391)</f>
        <v>-62930543.683443658</v>
      </c>
      <c r="N392" s="615">
        <f>(VLOOKUP($E389,Tabla13[],Inputs_costos!$P$1,FALSE))*(O$3*$E$3+O$4*$E$4)</f>
        <v>2622189.55008</v>
      </c>
      <c r="O392" s="35">
        <f>SUM(O389:O390)</f>
        <v>2622189.55008</v>
      </c>
      <c r="P392" s="35">
        <f>(VLOOKUP($E389,Tabla13[],Inputs_costos!$Q$1,FALSE))*(P$3*$E$3+P$4*$E$4)</f>
        <v>1151789.7109759999</v>
      </c>
      <c r="Q392" s="615">
        <f>IF($AC388&gt;=15,(VLOOKUP($E389,Tabla13[],Inputs_costos!$N$1,FALSE))*($R$3*$E$3+$R$4*$E$4),(VLOOKUP($E389,Tabla13[],Inputs_costos!$N$1,FALSE))*($T$3*$E$3+$T$4*$E$4))</f>
        <v>30960009.139200002</v>
      </c>
      <c r="R392" s="35">
        <f>SUM(R389:R390)</f>
        <v>30677819.999200001</v>
      </c>
      <c r="S392" s="35"/>
      <c r="T392" s="35">
        <f>IF($AC388&gt;=15,(VLOOKUP($E389,Tabla13[],Inputs_costos!$O$1,FALSE))*($R$3*$E$3+$R$4*$E$4),(VLOOKUP($E389,Tabla13[],Inputs_costos!$O$1,FALSE))*($T$3*$E$3+$T$4*$E$4))</f>
        <v>1620553.657568</v>
      </c>
      <c r="U392" s="35"/>
      <c r="V392" s="31">
        <f>SUM(V389:V390)</f>
        <v>569987.30432</v>
      </c>
      <c r="W392" s="31"/>
      <c r="X392" s="31">
        <f>SUM(X389:X390)</f>
        <v>50606.785446258553</v>
      </c>
      <c r="Y392" s="31">
        <f>SUM(Y389:Y390)</f>
        <v>241522.64824319998</v>
      </c>
      <c r="Z392" s="31">
        <f>SUM(Z389:Z390)</f>
        <v>916781.51536001032</v>
      </c>
      <c r="AA392" s="657">
        <f>SUM(AA389:AA390)</f>
        <v>-51386967.685743198</v>
      </c>
      <c r="AB392" s="654">
        <f>+M392+AA392</f>
        <v>-114317511.36918685</v>
      </c>
      <c r="AC392" s="38"/>
      <c r="AD392" s="38"/>
      <c r="AE392" s="38"/>
      <c r="AF392" s="38"/>
      <c r="AG392" s="4"/>
      <c r="AH392" s="4"/>
      <c r="AI392" s="4"/>
      <c r="AJ392" s="11"/>
      <c r="AK392" s="499">
        <f>VLOOKUP(ROUNDUP(AK391,0),DATOS!$F$16:$G$31,2,FALSE)</f>
        <v>16</v>
      </c>
      <c r="AL392" s="497"/>
      <c r="AM392" s="499">
        <f>VLOOKUP(ROUNDUP(AM391,0),DATOS!$J$16:$K$34,2,FALSE)</f>
        <v>6</v>
      </c>
      <c r="AN392" s="4"/>
      <c r="AO392" s="4"/>
      <c r="AP392" s="4"/>
    </row>
    <row r="393" spans="1:42">
      <c r="F393" s="2" t="str">
        <f>IF(AND(H392=H393,J392=J393),"OK","NOOO")</f>
        <v>OK</v>
      </c>
      <c r="G393" s="2"/>
      <c r="H393" s="3">
        <v>12156823.805432057</v>
      </c>
      <c r="I393" s="3"/>
      <c r="J393" s="3">
        <v>6447878.480553587</v>
      </c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0"/>
      <c r="V393" s="2"/>
      <c r="W393" s="2"/>
      <c r="X393" s="2"/>
      <c r="Y393" s="2"/>
      <c r="Z393" s="2"/>
      <c r="AA393" s="4"/>
      <c r="AB393" s="4"/>
      <c r="AC393" s="4"/>
      <c r="AD393" s="4"/>
      <c r="AE393" s="4"/>
      <c r="AF393" s="4"/>
      <c r="AG393" s="448"/>
      <c r="AH393" s="448"/>
      <c r="AI393" s="4"/>
      <c r="AJ393" s="892">
        <f>VLOOKUP(AK392,DATOS!$F$3:$H$11,3,FALSE)</f>
        <v>280794.00217132841</v>
      </c>
      <c r="AK393" s="892"/>
      <c r="AL393" s="892">
        <f>VLOOKUP(AM392,DATOS!$J$3:$L$12,3,FALSE)</f>
        <v>234260.39447999999</v>
      </c>
      <c r="AM393" s="892"/>
      <c r="AN393" s="4"/>
      <c r="AO393" s="4"/>
      <c r="AP393" s="4"/>
    </row>
    <row r="394" spans="1:42" ht="15.75" thickBot="1">
      <c r="A394" s="503"/>
      <c r="B394" s="503"/>
      <c r="C394" s="503"/>
      <c r="D394" s="503"/>
      <c r="E394" s="503"/>
      <c r="F394" s="504"/>
      <c r="G394" s="504"/>
      <c r="H394" s="505"/>
      <c r="I394" s="505"/>
      <c r="J394" s="505"/>
      <c r="K394" s="505"/>
      <c r="L394" s="505"/>
      <c r="M394" s="505"/>
      <c r="N394" s="505"/>
      <c r="O394" s="505"/>
      <c r="P394" s="505"/>
      <c r="Q394" s="505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6"/>
      <c r="AB394" s="506"/>
      <c r="AC394" s="506"/>
      <c r="AD394" s="506"/>
      <c r="AE394" s="506"/>
      <c r="AF394" s="506"/>
      <c r="AG394" s="506"/>
      <c r="AH394" s="506"/>
      <c r="AI394" s="506"/>
      <c r="AJ394" s="506"/>
      <c r="AK394" s="506"/>
      <c r="AL394" s="506"/>
      <c r="AM394" s="506"/>
      <c r="AN394" s="506"/>
      <c r="AO394" s="506"/>
      <c r="AP394" s="506"/>
    </row>
    <row r="395" spans="1:42" ht="39" thickBot="1">
      <c r="A395" s="886" t="s">
        <v>7</v>
      </c>
      <c r="B395" s="886" t="s">
        <v>2</v>
      </c>
      <c r="C395" s="508"/>
      <c r="D395" s="882" t="s">
        <v>22</v>
      </c>
      <c r="E395" s="882" t="s">
        <v>23</v>
      </c>
      <c r="F395" s="882" t="s">
        <v>3</v>
      </c>
      <c r="G395" s="568"/>
      <c r="H395" s="901" t="s">
        <v>0</v>
      </c>
      <c r="I395" s="901"/>
      <c r="J395" s="901"/>
      <c r="K395" s="901" t="s">
        <v>1</v>
      </c>
      <c r="L395" s="901"/>
      <c r="M395" s="886" t="s">
        <v>10</v>
      </c>
      <c r="N395" s="879" t="s">
        <v>5</v>
      </c>
      <c r="O395" s="880"/>
      <c r="P395" s="881"/>
      <c r="Q395" s="613"/>
      <c r="R395" s="929" t="s">
        <v>4</v>
      </c>
      <c r="S395" s="929"/>
      <c r="T395" s="929"/>
      <c r="U395" s="902" t="s">
        <v>6</v>
      </c>
      <c r="V395" s="903"/>
      <c r="W395" s="903"/>
      <c r="X395" s="904"/>
      <c r="Y395" s="390" t="s">
        <v>689</v>
      </c>
      <c r="Z395" s="662" t="s">
        <v>690</v>
      </c>
      <c r="AA395" s="905" t="s">
        <v>686</v>
      </c>
      <c r="AB395" s="886" t="s">
        <v>9</v>
      </c>
      <c r="AC395" s="907" t="s">
        <v>312</v>
      </c>
      <c r="AD395" s="914" t="s">
        <v>649</v>
      </c>
      <c r="AE395" s="897" t="s">
        <v>20</v>
      </c>
      <c r="AF395" s="897" t="s">
        <v>313</v>
      </c>
      <c r="AG395" s="899" t="s">
        <v>552</v>
      </c>
      <c r="AH395" s="895" t="s">
        <v>578</v>
      </c>
      <c r="AI395" s="897" t="s">
        <v>579</v>
      </c>
      <c r="AJ395" s="882" t="s">
        <v>581</v>
      </c>
      <c r="AK395" s="882" t="s">
        <v>582</v>
      </c>
      <c r="AL395" s="882" t="s">
        <v>581</v>
      </c>
      <c r="AM395" s="882" t="s">
        <v>582</v>
      </c>
      <c r="AN395" s="884" t="s">
        <v>553</v>
      </c>
      <c r="AO395" s="885"/>
      <c r="AP395" s="885"/>
    </row>
    <row r="396" spans="1:42" ht="30.75" thickBot="1">
      <c r="A396" s="888"/>
      <c r="B396" s="888"/>
      <c r="C396" s="509"/>
      <c r="D396" s="883"/>
      <c r="E396" s="883"/>
      <c r="F396" s="883"/>
      <c r="G396" s="569"/>
      <c r="H396" s="17" t="s">
        <v>18</v>
      </c>
      <c r="I396" s="17"/>
      <c r="J396" s="17" t="s">
        <v>17</v>
      </c>
      <c r="K396" s="17" t="s">
        <v>18</v>
      </c>
      <c r="L396" s="17" t="s">
        <v>17</v>
      </c>
      <c r="M396" s="888"/>
      <c r="N396" s="464" t="s">
        <v>685</v>
      </c>
      <c r="O396" s="17" t="s">
        <v>18</v>
      </c>
      <c r="P396" s="17" t="s">
        <v>17</v>
      </c>
      <c r="Q396" s="17"/>
      <c r="R396" s="17" t="s">
        <v>18</v>
      </c>
      <c r="S396" s="17"/>
      <c r="T396" s="17" t="s">
        <v>17</v>
      </c>
      <c r="U396" s="464" t="s">
        <v>576</v>
      </c>
      <c r="V396" s="17" t="s">
        <v>18</v>
      </c>
      <c r="W396" s="464" t="s">
        <v>577</v>
      </c>
      <c r="X396" s="17" t="s">
        <v>17</v>
      </c>
      <c r="Y396" s="17" t="s">
        <v>18</v>
      </c>
      <c r="Z396" s="17" t="s">
        <v>17</v>
      </c>
      <c r="AA396" s="906"/>
      <c r="AB396" s="888"/>
      <c r="AC396" s="908"/>
      <c r="AD396" s="915"/>
      <c r="AE396" s="898"/>
      <c r="AF396" s="898"/>
      <c r="AG396" s="900"/>
      <c r="AH396" s="896"/>
      <c r="AI396" s="898"/>
      <c r="AJ396" s="883"/>
      <c r="AK396" s="883"/>
      <c r="AL396" s="883"/>
      <c r="AM396" s="883"/>
      <c r="AN396" s="1" t="s">
        <v>551</v>
      </c>
      <c r="AO396" s="9" t="s">
        <v>554</v>
      </c>
      <c r="AP396" s="1" t="s">
        <v>555</v>
      </c>
    </row>
    <row r="397" spans="1:42">
      <c r="A397" s="916" t="s">
        <v>617</v>
      </c>
      <c r="B397" s="886" t="s">
        <v>309</v>
      </c>
      <c r="C397" s="507" t="str">
        <f>IF(AND(D397=AN397,D397=AO397,D397=AP397),"ok","ATENCIÓN NO ESTÁ TOMANDO BIEN LA LOCALIDAD")</f>
        <v>ok</v>
      </c>
      <c r="D397" s="23" t="s">
        <v>152</v>
      </c>
      <c r="E397" s="114">
        <f>VLOOKUP(D397,Pobl_adoptada!$C$5:$D$158,2,FALSE)</f>
        <v>62</v>
      </c>
      <c r="F397" s="8" t="s">
        <v>308</v>
      </c>
      <c r="G397" s="8"/>
      <c r="H397" s="33">
        <f>'[195]Inversion rec-TA'!$G$21</f>
        <v>5260619.2797599919</v>
      </c>
      <c r="I397" s="33"/>
      <c r="J397" s="33">
        <f>'[195]Costos Operativos Rec-TA'!$G$23</f>
        <v>3069942.0999393365</v>
      </c>
      <c r="K397" s="32">
        <f>'[195]Inversion rec-TA'!$G$46</f>
        <v>0</v>
      </c>
      <c r="L397" s="32">
        <f>+'[195]Costos Operativos Rec-TA'!$G$46</f>
        <v>0</v>
      </c>
      <c r="M397" s="19">
        <f t="shared" ref="M397:M399" si="289">-H397/(1+0.12)+PV(12%,20,J397)-H397/(1+0.12)^10</f>
        <v>-29321519.5612082</v>
      </c>
      <c r="N397" s="19"/>
      <c r="O397" s="25">
        <f>IF(((VLOOKUP($E397,Tabla13[],Inputs_costos!$I$1,FALSE))*(O$3*$E$3+O$4*$E$4)-AG397)&lt;0,0,VLOOKUP($E397,Tabla13[],Inputs_costos!$I$1,FALSE)*(O$3*$E$3+O$4*$E$4)-AG397)</f>
        <v>1831229.1481600001</v>
      </c>
      <c r="P397" s="25">
        <f>(VLOOKUP($E397,Tabla13[],Inputs_costos!$J$1,FALSE))*(P$3*$E$3+P$4*$E$4)</f>
        <v>856107.04665600008</v>
      </c>
      <c r="Q397" s="25"/>
      <c r="R397" s="25">
        <f>IF($AC397&gt;=15,(VLOOKUP($E397,Tabla13[],Inputs_costos!$G$1,FALSE))*($R$3*$E$3+$R$4*$E$4),(VLOOKUP($E397,Tabla13[],Inputs_costos!$G$1,FALSE))*($T$3*$E$3+$T$4*$E$4))-AH397</f>
        <v>11844887.889600001</v>
      </c>
      <c r="S397" s="25">
        <f t="shared" ref="S397:S399" si="290">IF(AC397&lt;15,0,IF(AC397&lt;=350,815000,1345000))</f>
        <v>815000</v>
      </c>
      <c r="T397" s="25">
        <f>IF($AC397&gt;=15,(VLOOKUP($E397,Tabla13[],Inputs_costos!$H$1,FALSE))*($R$3*$E$3+$R$4*$E$4),(VLOOKUP($E397,Tabla13[],Inputs_costos!$H$1,FALSE))*($T$3*$E$3+$T$4*$E$4))</f>
        <v>1439655.3382720002</v>
      </c>
      <c r="U397" s="465">
        <f>SUMIFS(Tabla24[Costo de Cierre Técnico de BCA (US$)],Tabla24[Localidad],Resumen!$D397)</f>
        <v>1632400</v>
      </c>
      <c r="V397" s="461">
        <f>+U397*(V$3*$E$3+V$4*$E$4)</f>
        <v>3134930.1737600002</v>
      </c>
      <c r="W397" s="465">
        <f>SUMIFS(Tabla24[Costo anual de Manteniemiento Post-cierre (US$)],Tabla24[Localidad],Resumen!$D397)</f>
        <v>144933.95894322163</v>
      </c>
      <c r="X397" s="461">
        <f>+W397*(X$3*$E$3+X$4*$E$4)</f>
        <v>278337.31995442201</v>
      </c>
      <c r="Y397" s="27">
        <f>VLOOKUP($D397,'Costo Social x localidad'!$B$2:$M$156,12,FALSE)*(Y$3*$E$3+Y$4*$E$4)</f>
        <v>61798.803301119995</v>
      </c>
      <c r="Z397" s="28">
        <f>VLOOKUP(D397,'Estimación  PRESUPUESTO PCAS'!$B$4:$G$158,'Estimación  PRESUPUESTO PCAS'!$G$2,FALSE)</f>
        <v>353389.06491279992</v>
      </c>
      <c r="AA397" s="650">
        <f>(-O397-R397)/(1+0.12)+PV(12%,20,P397)+PV(12%,20,T397)-(O397*0.5)/(1+0.12)^10-S397/(1+0.12)^10</f>
        <v>-29916098.068493422</v>
      </c>
      <c r="AB397" s="651">
        <f>M397+AA397</f>
        <v>-59237617.629701622</v>
      </c>
      <c r="AC397" s="10">
        <f>VLOOKUP($E397,Resumen_Generación!$B$5:$F$158,Resumen_Generación!$D$3,FALSE)</f>
        <v>46.605262104000005</v>
      </c>
      <c r="AD397" s="10">
        <f>VLOOKUP($E397,Resumen_Generación!$B$5:$G$158,Resumen_Generación!$G$3,FALSE)</f>
        <v>19.14482112</v>
      </c>
      <c r="AE397" s="362">
        <f>VLOOKUP($E397,Resumen_Generación!$B$5:$F$158,Resumen_Generación!$E$3,FALSE)</f>
        <v>58416</v>
      </c>
      <c r="AF397" s="10">
        <f>VLOOKUP($E397,Resumen_Generación!$B$5:$F$158,Resumen_Generación!$F$3,FALSE)</f>
        <v>21.54026</v>
      </c>
      <c r="AG397" s="448">
        <f>VLOOKUP($D397,Valoración_Equip_actual!$D$4:$I$157,Valoración_Equip_actual!$E$2,FALSE)*$E$4</f>
        <v>0</v>
      </c>
      <c r="AH397" s="448">
        <f>VLOOKUP($D397,Valoración_Equip_actual!$D$4:$I$157,Valoración_Equip_actual!$F$2,FALSE)*$E$4</f>
        <v>0</v>
      </c>
      <c r="AI397" s="448">
        <f>[195]P_Datos!$D$43</f>
        <v>1.348983606557377</v>
      </c>
      <c r="AN397" s="449" t="str">
        <f>[195]Datos!$C$2</f>
        <v>Miramar</v>
      </c>
      <c r="AO397" s="450" t="str">
        <f>VLOOKUP($E397,Tabla13[],Inputs_costos!$D$1,FALSE)</f>
        <v>MIRAMAR</v>
      </c>
      <c r="AP397" s="451" t="str">
        <f>VLOOKUP($D397,'Costo Social x localidad'!$B$2:$M$156,1,FALSE)</f>
        <v>MIRAMAR</v>
      </c>
    </row>
    <row r="398" spans="1:42">
      <c r="A398" s="917"/>
      <c r="B398" s="887"/>
      <c r="C398" s="478" t="str">
        <f>IF(AND(D398=AN398,D398=AO398,D398=AP398),"ok","ATENCIÓN NO ESTÁ TOMANDO BIEN LA LOCALIDAD")</f>
        <v>ok</v>
      </c>
      <c r="D398" s="24" t="s">
        <v>247</v>
      </c>
      <c r="E398" s="115">
        <f>VLOOKUP(D398,Pobl_adoptada!$C$5:$D$158,2,FALSE)</f>
        <v>141</v>
      </c>
      <c r="F398" s="9" t="s">
        <v>308</v>
      </c>
      <c r="G398" s="9"/>
      <c r="H398" s="34">
        <f>'[196]Inversion rec-TA'!$G$21</f>
        <v>2212934.0167098255</v>
      </c>
      <c r="I398" s="34"/>
      <c r="J398" s="34">
        <f>'[196]Costos Operativos Rec-TA'!$G$23</f>
        <v>864457.86238639452</v>
      </c>
      <c r="K398" s="25">
        <f>'[196]Inversion rec-TA'!$G$46</f>
        <v>0</v>
      </c>
      <c r="L398" s="25">
        <f>+'[196]Costos Operativos Rec-TA'!$G$46</f>
        <v>0</v>
      </c>
      <c r="M398" s="19">
        <f t="shared" si="289"/>
        <v>-9145358.7399145458</v>
      </c>
      <c r="N398" s="19"/>
      <c r="O398" s="25">
        <f>IF(((VLOOKUP($E398,Tabla13[],Inputs_costos!$I$1,FALSE))*(O$3*$E$3+O$4*$E$4)-AG398)&lt;0,0,VLOOKUP($E398,Tabla13[],Inputs_costos!$I$1,FALSE)*(O$3*$E$3+O$4*$E$4)-AG398)</f>
        <v>359159.83353599999</v>
      </c>
      <c r="P398" s="25">
        <f>(VLOOKUP($E398,Tabla13[],Inputs_costos!$J$1,FALSE))*(P$3*$E$3+P$4*$E$4)</f>
        <v>26127.3549570752</v>
      </c>
      <c r="Q398" s="25"/>
      <c r="R398" s="25">
        <f>IF($AC398&gt;=15,(VLOOKUP($E398,Tabla13[],Inputs_costos!$G$1,FALSE))*($R$3*$E$3+$R$4*$E$4),(VLOOKUP($E398,Tabla13[],Inputs_costos!$G$1,FALSE))*($T$3*$E$3+$T$4*$E$4))-AH398</f>
        <v>588169.75703999994</v>
      </c>
      <c r="S398" s="25">
        <f t="shared" si="290"/>
        <v>0</v>
      </c>
      <c r="T398" s="25">
        <f>IF($AC398&gt;=15,(VLOOKUP($E398,Tabla13[],Inputs_costos!$H$1,FALSE))*($R$3*$E$3+$R$4*$E$4),(VLOOKUP($E398,Tabla13[],Inputs_costos!$H$1,FALSE))*($T$3*$E$3+$T$4*$E$4))</f>
        <v>76425.583839999992</v>
      </c>
      <c r="U398" s="465">
        <f>SUMIFS(Tabla24[Costo de Cierre Técnico de BCA (US$)],Tabla24[Localidad],Resumen!$D398)</f>
        <v>0</v>
      </c>
      <c r="V398" s="461">
        <f t="shared" ref="V398:V399" si="291">+U398*(V$3*$E$3+V$4*$E$4)</f>
        <v>0</v>
      </c>
      <c r="W398" s="465">
        <f>SUMIFS(Tabla24[Costo anual de Manteniemiento Post-cierre (US$)],Tabla24[Localidad],Resumen!$D398)</f>
        <v>0</v>
      </c>
      <c r="X398" s="461">
        <f t="shared" ref="X398:X399" si="292">+W398*(X$3*$E$3+X$4*$E$4)</f>
        <v>0</v>
      </c>
      <c r="Y398" s="28">
        <f>VLOOKUP($D398,'Costo Social x localidad'!$B$2:$M$156,12,FALSE)*(Y$3*$E$3+Y$4*$E$4)</f>
        <v>79380.247735679994</v>
      </c>
      <c r="Z398" s="28">
        <f>VLOOKUP(D398,'Estimación  PRESUPUESTO PCAS'!$B$4:$G$158,'Estimación  PRESUPUESTO PCAS'!$G$2,FALSE)</f>
        <v>164275.03607285826</v>
      </c>
      <c r="AA398" s="650">
        <f>(-O398-R398)/(1+0.12)+PV(12%,20,P398)+PV(12%,20,T398)-(O398*0.5)/(1+0.12)^10-S398/(1+0.12)^10</f>
        <v>-1669663.3134680665</v>
      </c>
      <c r="AB398" s="651">
        <f>M398+AA398</f>
        <v>-10815022.053382613</v>
      </c>
      <c r="AC398" s="10">
        <f>VLOOKUP($E398,Resumen_Generación!$B$5:$F$158,Resumen_Generación!$D$3,FALSE)</f>
        <v>5.4877120479999997</v>
      </c>
      <c r="AD398" s="10">
        <f>VLOOKUP($E398,Resumen_Generación!$B$5:$G$158,Resumen_Generación!$G$3,FALSE)</f>
        <v>2.2337549399999994</v>
      </c>
      <c r="AE398" s="362">
        <f>VLOOKUP($E398,Resumen_Generación!$B$5:$F$158,Resumen_Generación!$E$3,FALSE)</f>
        <v>7907</v>
      </c>
      <c r="AF398" s="10">
        <f>VLOOKUP($E398,Resumen_Generación!$B$5:$F$158,Resumen_Generación!$F$3,FALSE)</f>
        <v>2.5376820000000002</v>
      </c>
      <c r="AG398" s="448">
        <f>VLOOKUP($D398,Valoración_Equip_actual!$D$4:$I$157,Valoración_Equip_actual!$E$2,FALSE)*$E$4</f>
        <v>0</v>
      </c>
      <c r="AH398" s="448">
        <f>VLOOKUP($D398,Valoración_Equip_actual!$D$4:$I$157,Valoración_Equip_actual!$F$2,FALSE)*$E$4</f>
        <v>0</v>
      </c>
      <c r="AI398" s="448">
        <f>[196]P_Datos!$D$43</f>
        <v>0.16636065573770492</v>
      </c>
      <c r="AN398" s="34" t="str">
        <f>[196]Datos!$C$2</f>
        <v>Comandante Nicanor Otamendi</v>
      </c>
      <c r="AO398" s="25" t="str">
        <f>VLOOKUP($E398,Tabla13[],Inputs_costos!$D$1,FALSE)</f>
        <v>COMANDANTE NICANOR OTAMENDI</v>
      </c>
      <c r="AP398" s="28" t="str">
        <f>VLOOKUP($D398,'Costo Social x localidad'!$B$2:$M$156,1,FALSE)</f>
        <v>COMANDANTE NICANOR OTAMENDI</v>
      </c>
    </row>
    <row r="399" spans="1:42" ht="15.75" thickBot="1">
      <c r="A399" s="917"/>
      <c r="B399" s="887"/>
      <c r="C399" s="478" t="str">
        <f>IF(AND(D399=AN399,D399=AO399,D399=AP399),"ok","ATENCIÓN NO ESTÁ TOMANDO BIEN LA LOCALIDAD")</f>
        <v>ok</v>
      </c>
      <c r="D399" s="36" t="s">
        <v>166</v>
      </c>
      <c r="E399" s="511">
        <f>VLOOKUP(D399,Pobl_adoptada!$C$5:$D$158,2,FALSE)</f>
        <v>73</v>
      </c>
      <c r="F399" s="37" t="s">
        <v>308</v>
      </c>
      <c r="G399" s="37"/>
      <c r="H399" s="117">
        <f>'[197]Inversion rec-TA'!$G$21</f>
        <v>20906592.355105683</v>
      </c>
      <c r="I399" s="117"/>
      <c r="J399" s="117">
        <f>'[197]Costos Operativos Rec-TA'!$G$23</f>
        <v>14240947.604024746</v>
      </c>
      <c r="K399" s="25">
        <f>'[197]Inversion rec-TA'!$G$46</f>
        <v>0</v>
      </c>
      <c r="L399" s="25">
        <f>+'[197]Costos Operativos Rec-TA'!$G$46</f>
        <v>0</v>
      </c>
      <c r="M399" s="19">
        <f t="shared" si="289"/>
        <v>-131769918.80898032</v>
      </c>
      <c r="N399" s="19"/>
      <c r="O399" s="25">
        <f>IF(((VLOOKUP($E399,Tabla13[],Inputs_costos!$I$1,FALSE))*(O$3*$E$3+O$4*$E$4)-AG399)&lt;0,0,VLOOKUP($E399,Tabla13[],Inputs_costos!$I$1,FALSE)*(O$3*$E$3+O$4*$E$4)-AG399)</f>
        <v>6272776.0204800004</v>
      </c>
      <c r="P399" s="25">
        <f>(VLOOKUP($E399,Tabla13[],Inputs_costos!$J$1,FALSE))*(P$3*$E$3+P$4*$E$4)</f>
        <v>1350457.297856</v>
      </c>
      <c r="Q399" s="25"/>
      <c r="R399" s="25">
        <f>IF($AC399&gt;=15,(VLOOKUP($E399,Tabla13[],Inputs_costos!$G$1,FALSE))*($R$3*$E$3+$R$4*$E$4),(VLOOKUP($E399,Tabla13[],Inputs_costos!$G$1,FALSE))*($T$3*$E$3+$T$4*$E$4))-AH399</f>
        <v>115930395.49360001</v>
      </c>
      <c r="S399" s="25">
        <f t="shared" si="290"/>
        <v>1345000</v>
      </c>
      <c r="T399" s="25">
        <f>IF($AC399&gt;=15,(VLOOKUP($E399,Tabla13[],Inputs_costos!$H$1,FALSE))*($R$3*$E$3+$R$4*$E$4),(VLOOKUP($E399,Tabla13[],Inputs_costos!$H$1,FALSE))*($T$3*$E$3+$T$4*$E$4))</f>
        <v>2043476.1812560002</v>
      </c>
      <c r="U399" s="465">
        <f>SUMIFS(Tabla24[Costo de Cierre Técnico de BCA (US$)],Tabla24[Localidad],Resumen!$D399)</f>
        <v>0</v>
      </c>
      <c r="V399" s="461">
        <f t="shared" si="291"/>
        <v>0</v>
      </c>
      <c r="W399" s="465">
        <f>SUMIFS(Tabla24[Costo anual de Manteniemiento Post-cierre (US$)],Tabla24[Localidad],Resumen!$D399)</f>
        <v>0</v>
      </c>
      <c r="X399" s="461">
        <f t="shared" si="292"/>
        <v>0</v>
      </c>
      <c r="Y399" s="447">
        <f>VLOOKUP($D399,'Costo Social x localidad'!$B$2:$M$156,12,FALSE)*(Y$3*$E$3+Y$4*$E$4)</f>
        <v>398159.67391199997</v>
      </c>
      <c r="Z399" s="28">
        <f>VLOOKUP(D399,'Estimación  PRESUPUESTO PCAS'!$B$4:$G$158,'Estimación  PRESUPUESTO PCAS'!$G$2,FALSE)</f>
        <v>2279318.8580377852</v>
      </c>
      <c r="AA399" s="650">
        <f>(-O399-R399)/(1+0.12)+PV(12%,20,P399)+PV(12%,20,T399)-(O399*0.5)/(1+0.12)^10-S399/(1+0.12)^10</f>
        <v>-135903656.35516366</v>
      </c>
      <c r="AB399" s="651">
        <f>M399+AA399</f>
        <v>-267673575.16414398</v>
      </c>
      <c r="AC399" s="10">
        <f>VLOOKUP($E399,Resumen_Generación!$B$5:$F$158,Resumen_Generación!$D$3,FALSE)</f>
        <v>872.33440644000007</v>
      </c>
      <c r="AD399" s="10">
        <f>VLOOKUP($E399,Resumen_Generación!$B$5:$G$158,Resumen_Generación!$G$3,FALSE)</f>
        <v>355.66618320000003</v>
      </c>
      <c r="AE399" s="362">
        <f>VLOOKUP($E399,Resumen_Generación!$B$5:$F$158,Resumen_Generación!$E$3,FALSE)</f>
        <v>820473</v>
      </c>
      <c r="AF399" s="10">
        <f>VLOOKUP($E399,Resumen_Generación!$B$5:$F$158,Resumen_Generación!$F$3,FALSE)</f>
        <v>402.9195555</v>
      </c>
      <c r="AG399" s="448">
        <f>VLOOKUP($D399,Valoración_Equip_actual!$D$4:$I$157,Valoración_Equip_actual!$E$2,FALSE)*$E$4</f>
        <v>0</v>
      </c>
      <c r="AH399" s="448">
        <f>VLOOKUP($D399,Valoración_Equip_actual!$D$4:$I$157,Valoración_Equip_actual!$F$2,FALSE)*$E$4</f>
        <v>0</v>
      </c>
      <c r="AI399" s="448">
        <f>[197]P_Datos!$D$43</f>
        <v>5.4859803278688526</v>
      </c>
      <c r="AN399" s="34" t="str">
        <f>[197]Datos!$C$2</f>
        <v>Mar del Plata</v>
      </c>
      <c r="AO399" s="25" t="str">
        <f>VLOOKUP($E399,Tabla13[],Inputs_costos!$D$1,FALSE)</f>
        <v>MAR DEL PLATA</v>
      </c>
      <c r="AP399" s="28" t="str">
        <f>VLOOKUP($D399,'Costo Social x localidad'!$B$2:$M$156,1,FALSE)</f>
        <v>MAR DEL PLATA</v>
      </c>
    </row>
    <row r="400" spans="1:42" ht="15.75" thickBot="1">
      <c r="A400" s="917"/>
      <c r="B400" s="888"/>
      <c r="C400" s="510"/>
      <c r="D400" s="12" t="s">
        <v>8</v>
      </c>
      <c r="E400" s="40"/>
      <c r="F400" s="13"/>
      <c r="G400" s="8"/>
      <c r="H400" s="32">
        <f>SUM(H397:H399)</f>
        <v>28380145.651575498</v>
      </c>
      <c r="I400" s="32"/>
      <c r="J400" s="32">
        <f>SUM(J397:J399)</f>
        <v>18175347.566350475</v>
      </c>
      <c r="K400" s="14"/>
      <c r="L400" s="14"/>
      <c r="M400" s="15">
        <f>SUM(M397:M399)</f>
        <v>-170236797.11010307</v>
      </c>
      <c r="N400" s="15"/>
      <c r="O400" s="16">
        <f>SUM(O397:O399)</f>
        <v>8463165.0021760017</v>
      </c>
      <c r="P400" s="16">
        <f>SUM(P397:P399)</f>
        <v>2232691.6994690755</v>
      </c>
      <c r="Q400" s="16"/>
      <c r="R400" s="26">
        <f>SUM(R397:R399)</f>
        <v>128363453.14024001</v>
      </c>
      <c r="S400" s="26"/>
      <c r="T400" s="26">
        <f>SUM(T397:T399)</f>
        <v>3559557.1033680001</v>
      </c>
      <c r="U400" s="26"/>
      <c r="V400" s="26">
        <f>SUM(V397:V399)</f>
        <v>3134930.1737600002</v>
      </c>
      <c r="W400" s="26"/>
      <c r="X400" s="26">
        <f>SUM(X397:X399)</f>
        <v>278337.31995442201</v>
      </c>
      <c r="Y400" s="26">
        <f>SUM(Y397:Y399)</f>
        <v>539338.72494879994</v>
      </c>
      <c r="Z400" s="26">
        <f>SUM(Z397:Z399)</f>
        <v>2796982.9590234435</v>
      </c>
      <c r="AA400" s="653">
        <f>SUM(AA397:AA399)</f>
        <v>-167489417.73712516</v>
      </c>
      <c r="AB400" s="654">
        <f>+M400+AA400</f>
        <v>-337726214.84722823</v>
      </c>
      <c r="AC400" s="630">
        <f t="shared" ref="AC400:AI400" si="293">SUM(AC397:AC399)</f>
        <v>924.42738059200008</v>
      </c>
      <c r="AD400" s="630">
        <f t="shared" si="293"/>
        <v>377.04475926000003</v>
      </c>
      <c r="AE400" s="631">
        <f t="shared" si="293"/>
        <v>886796</v>
      </c>
      <c r="AF400" s="630">
        <f t="shared" si="293"/>
        <v>426.99749750000001</v>
      </c>
      <c r="AG400" s="630">
        <f t="shared" si="293"/>
        <v>0</v>
      </c>
      <c r="AH400" s="630">
        <f t="shared" si="293"/>
        <v>0</v>
      </c>
      <c r="AI400" s="630">
        <f t="shared" si="293"/>
        <v>7.001324590163934</v>
      </c>
      <c r="AJ400" s="4"/>
      <c r="AK400" s="4"/>
      <c r="AL400" s="4"/>
      <c r="AM400" s="4"/>
      <c r="AN400" s="4"/>
      <c r="AO400" s="4"/>
      <c r="AP400" s="4"/>
    </row>
    <row r="401" spans="1:42">
      <c r="A401" s="917"/>
      <c r="B401" s="886" t="s">
        <v>310</v>
      </c>
      <c r="C401" s="507" t="str">
        <f>IF(AND(D401=AN401,D401=AO401,D401=AP401),"ok","ATENCIÓN NO ESTÁ TOMANDO BIEN LA LOCALIDAD")</f>
        <v>ok</v>
      </c>
      <c r="D401" s="23" t="s">
        <v>152</v>
      </c>
      <c r="E401" s="114">
        <f>VLOOKUP(D401,Pobl_adoptada!$C$5:$D$158,2,FALSE)</f>
        <v>62</v>
      </c>
      <c r="F401" s="8" t="s">
        <v>308</v>
      </c>
      <c r="G401" s="576">
        <f>+'[198]Inversion rec-TA'!$G$21</f>
        <v>5023634.7529171361</v>
      </c>
      <c r="H401" s="577">
        <f>+($AC397/$AC400)*H404+G401</f>
        <v>5242594.125688456</v>
      </c>
      <c r="I401" s="587">
        <f>+'[198]Costos Operativos Rec-TA'!$G$23</f>
        <v>3217138.9359132922</v>
      </c>
      <c r="J401" s="579">
        <f>+($AC397/$AC400)*J404+I401</f>
        <v>3221518.1233687187</v>
      </c>
      <c r="K401" s="10">
        <f>+'[198]Inversion rec-TA'!$G$46</f>
        <v>0</v>
      </c>
      <c r="L401" s="10">
        <f>+'[198]Costos Operativos Rec-TA'!$G$46</f>
        <v>0</v>
      </c>
      <c r="M401" s="19">
        <f t="shared" ref="M401:M403" si="294">-H401/(1+0.12)+PV(12%,20,J401)-H401/(1+0.12)^10</f>
        <v>-30431810.618253395</v>
      </c>
      <c r="N401" s="614">
        <f>+$AD397/$AD400*N405</f>
        <v>333246.85044326715</v>
      </c>
      <c r="O401" s="25">
        <f>IF(N401-AG401&lt;0,0,N401-AG401)</f>
        <v>333246.85044326715</v>
      </c>
      <c r="P401" s="32">
        <f>+$AD397/$AD400*P405</f>
        <v>69373.289399814603</v>
      </c>
      <c r="Q401" s="614">
        <f>+$AC397/$AC400*Q405</f>
        <v>6178769.9021726903</v>
      </c>
      <c r="R401" s="647">
        <f>IF(Q401-AH401&lt;0,0,Q401-AH401)</f>
        <v>6178769.9021726903</v>
      </c>
      <c r="S401" s="647">
        <f>+S397</f>
        <v>815000</v>
      </c>
      <c r="T401" s="32">
        <f>+$AC397/$AC400*T405</f>
        <v>103612.62554831355</v>
      </c>
      <c r="U401" s="27"/>
      <c r="V401" s="461">
        <f>+V397</f>
        <v>3134930.1737600002</v>
      </c>
      <c r="W401" s="27"/>
      <c r="X401" s="461">
        <f t="shared" ref="X401:Z403" si="295">+X397</f>
        <v>278337.31995442201</v>
      </c>
      <c r="Y401" s="27">
        <f t="shared" si="295"/>
        <v>61798.803301119995</v>
      </c>
      <c r="Z401" s="27">
        <f t="shared" si="295"/>
        <v>353389.06491279992</v>
      </c>
      <c r="AA401" s="650">
        <f>(-O401-R401)/(1+0.12)+PV(12%,20,P401)+PV(12%,20,T401)-(O401*0.5)/(1+0.12)^10-S401/(1+0.12)^10</f>
        <v>-7422465.6828181595</v>
      </c>
      <c r="AB401" s="651">
        <f>M401+AA401</f>
        <v>-37854276.301071554</v>
      </c>
      <c r="AG401" s="448">
        <f>VLOOKUP($D401,Valoración_Eq_REG!$D$4:$I$157,Valoración_Eq_REG!$E$2,FALSE)*$E$4</f>
        <v>0</v>
      </c>
      <c r="AH401" s="448">
        <f>VLOOKUP($D401,Valoración_Eq_REG!$D$4:$I$157,Valoración_Eq_REG!$F$2,FALSE)*$E$4</f>
        <v>0</v>
      </c>
      <c r="AJ401" s="484">
        <f>+'[198]Evaluacion Economica'!$L$25</f>
        <v>5</v>
      </c>
      <c r="AK401" s="448">
        <f>+'[198]Evaluacion Economica'!$R$25</f>
        <v>17</v>
      </c>
      <c r="AL401" s="484">
        <f>+'[198]P_Evaluacion Economica'!$L$27</f>
        <v>4</v>
      </c>
      <c r="AM401" s="448">
        <f>+'[198]P_Evaluacion Economica'!$Q$27</f>
        <v>9</v>
      </c>
      <c r="AN401" s="34" t="str">
        <f>+[198]Datos!$C$2</f>
        <v>Miramar</v>
      </c>
      <c r="AO401" s="25" t="str">
        <f>VLOOKUP($E401,Tabla13[],Inputs_costos!$D$1,FALSE)</f>
        <v>MIRAMAR</v>
      </c>
      <c r="AP401" s="28" t="str">
        <f>VLOOKUP($D401,'Costo Social x localidad'!$B$2:$M$156,1,FALSE)</f>
        <v>MIRAMAR</v>
      </c>
    </row>
    <row r="402" spans="1:42">
      <c r="A402" s="917"/>
      <c r="B402" s="887"/>
      <c r="C402" s="478" t="str">
        <f>IF(AND(D402=AN402,D402=AO402,D402=AP402),"ok","ATENCIÓN NO ESTÁ TOMANDO BIEN LA LOCALIDAD")</f>
        <v>ok</v>
      </c>
      <c r="D402" s="24" t="s">
        <v>247</v>
      </c>
      <c r="E402" s="115">
        <f>VLOOKUP(D402,Pobl_adoptada!$C$5:$D$158,2,FALSE)</f>
        <v>141</v>
      </c>
      <c r="F402" s="9" t="s">
        <v>308</v>
      </c>
      <c r="G402" s="580">
        <f>+'[199]Inversion rec-TA'!$G$21</f>
        <v>1700539.7551398836</v>
      </c>
      <c r="H402" s="34">
        <f>+($AC398/$AC400)*H404+G402</f>
        <v>1726321.9508348322</v>
      </c>
      <c r="I402" s="465">
        <f>+'[199]Costos Operativos Rec-TA'!$G$23</f>
        <v>845349.47971256962</v>
      </c>
      <c r="J402" s="581">
        <f>+($AC398/$AC400)*J404+I402</f>
        <v>845865.12362646859</v>
      </c>
      <c r="K402" s="10">
        <f>+'[199]Inversion rec-TA'!$G$46</f>
        <v>0</v>
      </c>
      <c r="L402" s="10">
        <f>+'[199]Costos Operativos Rec-TA'!$G$46</f>
        <v>0</v>
      </c>
      <c r="M402" s="19">
        <f t="shared" si="294"/>
        <v>-8415330.2052946128</v>
      </c>
      <c r="N402" s="465">
        <f>+$AD398/$AD400*N405</f>
        <v>38882.149577226715</v>
      </c>
      <c r="O402" s="25">
        <f>IF(N402-AG402&lt;0,0,N402-AG402)</f>
        <v>38882.149577226715</v>
      </c>
      <c r="P402" s="25">
        <f>+$AD398/$AD400*P405</f>
        <v>8094.2478871740677</v>
      </c>
      <c r="Q402" s="465">
        <f>+$AC398/$AC400*Q405</f>
        <v>727542.52423918189</v>
      </c>
      <c r="R402" s="647">
        <f>IF(Q402-AH402&lt;0,0,Q402-AH402)</f>
        <v>727542.52423918189</v>
      </c>
      <c r="S402" s="647">
        <f>+S398</f>
        <v>0</v>
      </c>
      <c r="T402" s="25">
        <f>+$AC398/$AC400*T405</f>
        <v>12200.258680609195</v>
      </c>
      <c r="U402" s="458"/>
      <c r="V402" s="461">
        <f>+V398</f>
        <v>0</v>
      </c>
      <c r="W402" s="28"/>
      <c r="X402" s="461">
        <f t="shared" si="295"/>
        <v>0</v>
      </c>
      <c r="Y402" s="28">
        <f t="shared" si="295"/>
        <v>79380.247735679994</v>
      </c>
      <c r="Z402" s="28">
        <f t="shared" si="295"/>
        <v>164275.03607285826</v>
      </c>
      <c r="AA402" s="650">
        <f>(-O402-R402)/(1+0.12)+PV(12%,20,P402)+PV(12%,20,T402)-(O402*0.5)/(1+0.12)^10-S402/(1+0.12)^10</f>
        <v>-842155.92294303095</v>
      </c>
      <c r="AB402" s="651">
        <f>M402+AA402</f>
        <v>-9257486.1282376442</v>
      </c>
      <c r="AC402" s="39"/>
      <c r="AD402" s="10"/>
      <c r="AE402" s="10"/>
      <c r="AF402" s="10"/>
      <c r="AG402" s="448">
        <f>VLOOKUP($D402,Valoración_Eq_REG!$D$4:$I$157,Valoración_Eq_REG!$E$2,FALSE)*$E$4</f>
        <v>0</v>
      </c>
      <c r="AH402" s="448">
        <f>VLOOKUP($D402,Valoración_Eq_REG!$D$4:$I$157,Valoración_Eq_REG!$F$2,FALSE)*$E$4</f>
        <v>0</v>
      </c>
      <c r="AI402" s="11"/>
      <c r="AJ402" s="484">
        <f>+'[199]Evaluacion Economica'!$L$25</f>
        <v>2</v>
      </c>
      <c r="AK402" s="448">
        <f>+'[199]Evaluacion Economica'!$R$25</f>
        <v>9</v>
      </c>
      <c r="AL402" s="484">
        <f>+'[199]P_Evaluacion Economica'!$L$27</f>
        <v>2</v>
      </c>
      <c r="AM402" s="448">
        <f>+'[199]P_Evaluacion Economica'!$Q$27</f>
        <v>6</v>
      </c>
      <c r="AN402" s="34" t="str">
        <f>+[199]Datos!$C$2</f>
        <v>Comandante Nicanor Otamendi</v>
      </c>
      <c r="AO402" s="25" t="str">
        <f>VLOOKUP($E402,Tabla13[],Inputs_costos!$D$1,FALSE)</f>
        <v>COMANDANTE NICANOR OTAMENDI</v>
      </c>
      <c r="AP402" s="28" t="str">
        <f>VLOOKUP($D402,'Costo Social x localidad'!$B$2:$M$156,1,FALSE)</f>
        <v>COMANDANTE NICANOR OTAMENDI</v>
      </c>
    </row>
    <row r="403" spans="1:42" ht="15.75" thickBot="1">
      <c r="A403" s="917"/>
      <c r="B403" s="887"/>
      <c r="C403" s="478" t="str">
        <f>IF(AND(D403=AN403,D403=AO403,D403=AP403),"ok","ATENCIÓN NO ESTÁ TOMANDO BIEN LA LOCALIDAD")</f>
        <v>ok</v>
      </c>
      <c r="D403" s="36" t="s">
        <v>166</v>
      </c>
      <c r="E403" s="115">
        <f>VLOOKUP(D403,Pobl_adoptada!$C$5:$D$158,2,FALSE)</f>
        <v>73</v>
      </c>
      <c r="F403" s="9" t="s">
        <v>308</v>
      </c>
      <c r="G403" s="580">
        <f>+'[200]Inversion rec-TA'!$G$21</f>
        <v>23684889.80084252</v>
      </c>
      <c r="H403" s="34">
        <f>+($AC399/$AC400)*H404+G403</f>
        <v>27783263.801072653</v>
      </c>
      <c r="I403" s="465">
        <f>+'[200]Costos Operativos Rec-TA'!$G$23</f>
        <v>16276163.525221255</v>
      </c>
      <c r="J403" s="581">
        <f>+($AC399/$AC400)*J404+I403</f>
        <v>16358131.005225858</v>
      </c>
      <c r="K403" s="10">
        <f>+'[200]Inversion rec-TA'!$G$46</f>
        <v>0</v>
      </c>
      <c r="L403" s="10">
        <f>+'[200]Costos Operativos Rec-TA'!$G$46</f>
        <v>0</v>
      </c>
      <c r="M403" s="19">
        <f t="shared" si="294"/>
        <v>-155938090.24865636</v>
      </c>
      <c r="N403" s="465">
        <f>+$AD399/$AD400*N405</f>
        <v>6190950.2636595061</v>
      </c>
      <c r="O403" s="25">
        <f>IF(N403-AG403&lt;0,0,N403-AG403)</f>
        <v>6190950.2636595061</v>
      </c>
      <c r="P403" s="25">
        <f>+$AD399/$AD400*P405</f>
        <v>1288794.1288250114</v>
      </c>
      <c r="Q403" s="465">
        <f>+$AC399/$AC400*Q405</f>
        <v>115651180.39918815</v>
      </c>
      <c r="R403" s="647">
        <f>IF(Q403-AH403&lt;0,0,Q403-AH403)</f>
        <v>115651180.39918815</v>
      </c>
      <c r="S403" s="647">
        <f>+S399</f>
        <v>1345000</v>
      </c>
      <c r="T403" s="25">
        <f>+$AC399/$AC400*T405</f>
        <v>1939370.2368990774</v>
      </c>
      <c r="U403" s="29"/>
      <c r="V403" s="461">
        <f>+V399</f>
        <v>0</v>
      </c>
      <c r="W403" s="25"/>
      <c r="X403" s="461">
        <f t="shared" si="295"/>
        <v>0</v>
      </c>
      <c r="Y403" s="28">
        <f t="shared" si="295"/>
        <v>398159.67391199997</v>
      </c>
      <c r="Z403" s="28">
        <f t="shared" si="295"/>
        <v>2279318.8580377852</v>
      </c>
      <c r="AA403" s="650">
        <f>(-O403-R403)/(1+0.12)+PV(12%,20,P403)+PV(12%,20,T403)-(O403*0.5)/(1+0.12)^10-S403/(1+0.12)^10</f>
        <v>-134329922.55329189</v>
      </c>
      <c r="AB403" s="651">
        <f>M403+AA403</f>
        <v>-290268012.80194825</v>
      </c>
      <c r="AC403" s="10"/>
      <c r="AD403" s="10"/>
      <c r="AE403" s="10"/>
      <c r="AF403" s="10"/>
      <c r="AG403" s="448">
        <f>VLOOKUP($D403,Valoración_Eq_REG!$D$4:$I$157,Valoración_Eq_REG!$E$2,FALSE)*$E$4</f>
        <v>0</v>
      </c>
      <c r="AH403" s="448">
        <f>VLOOKUP($D403,Valoración_Eq_REG!$D$4:$I$157,Valoración_Eq_REG!$F$2,FALSE)*$E$4</f>
        <v>0</v>
      </c>
      <c r="AI403" s="2"/>
      <c r="AJ403" s="484">
        <f>+'[200]Evaluacion Economica'!$L$25</f>
        <v>27</v>
      </c>
      <c r="AK403" s="448">
        <f>+'[200]Evaluacion Economica'!$R$25</f>
        <v>24</v>
      </c>
      <c r="AL403" s="484">
        <f>+'[200]P_Evaluacion Economica'!$L$27</f>
        <v>9</v>
      </c>
      <c r="AM403" s="448">
        <f>+'[200]P_Evaluacion Economica'!$Q$27</f>
        <v>9</v>
      </c>
      <c r="AN403" s="34" t="str">
        <f>+[200]Datos!$C$2</f>
        <v>Mar del Plata</v>
      </c>
      <c r="AO403" s="25" t="str">
        <f>VLOOKUP($E403,Tabla13[],Inputs_costos!$D$1,FALSE)</f>
        <v>MAR DEL PLATA</v>
      </c>
      <c r="AP403" s="28" t="str">
        <f>VLOOKUP($D403,'Costo Social x localidad'!$B$2:$M$156,1,FALSE)</f>
        <v>MAR DEL PLATA</v>
      </c>
    </row>
    <row r="404" spans="1:42" ht="30.75" thickBot="1">
      <c r="A404" s="917"/>
      <c r="B404" s="887"/>
      <c r="C404" s="912" t="s">
        <v>12</v>
      </c>
      <c r="D404" s="913"/>
      <c r="E404" s="498" t="s">
        <v>589</v>
      </c>
      <c r="F404" s="571">
        <f>+F391</f>
        <v>0.02</v>
      </c>
      <c r="G404" s="582"/>
      <c r="H404" s="461">
        <f>+AJ404*AJ406+AL404*AL406</f>
        <v>4343115.5686964029</v>
      </c>
      <c r="I404" s="461"/>
      <c r="J404" s="583">
        <f>+$F404*H404</f>
        <v>86862.311373928067</v>
      </c>
      <c r="K404" s="10"/>
      <c r="L404" s="10"/>
      <c r="M404" s="19"/>
      <c r="N404" s="465"/>
      <c r="O404" s="10"/>
      <c r="P404" s="10"/>
      <c r="Q404" s="618"/>
      <c r="R404" s="28"/>
      <c r="S404" s="28"/>
      <c r="T404" s="28"/>
      <c r="U404" s="28"/>
      <c r="V404" s="28"/>
      <c r="W404" s="28"/>
      <c r="X404" s="28"/>
      <c r="Y404" s="28"/>
      <c r="Z404" s="28"/>
      <c r="AA404" s="658"/>
      <c r="AB404" s="20"/>
      <c r="AC404" s="10"/>
      <c r="AD404" s="10"/>
      <c r="AE404" s="10"/>
      <c r="AF404" s="10"/>
      <c r="AG404" s="4"/>
      <c r="AH404" s="4"/>
      <c r="AI404" s="4"/>
      <c r="AJ404" s="501">
        <f>ROUNDUP(C405*SUM(AJ401:AJ403),0)</f>
        <v>11</v>
      </c>
      <c r="AK404" s="502">
        <f>AVERAGE(AK401:AK403)</f>
        <v>16.666666666666668</v>
      </c>
      <c r="AL404" s="501">
        <f>ROUNDUP(C405*SUM(AL401:AL403),0)</f>
        <v>5</v>
      </c>
      <c r="AM404" s="502">
        <f>AVERAGE(AM401:AM403)</f>
        <v>8</v>
      </c>
      <c r="AN404" s="4"/>
      <c r="AO404" s="4"/>
      <c r="AP404" s="4"/>
    </row>
    <row r="405" spans="1:42" ht="15.75" thickBot="1">
      <c r="A405" s="918"/>
      <c r="B405" s="888"/>
      <c r="C405" s="570">
        <v>0.3</v>
      </c>
      <c r="D405" s="500" t="str">
        <f>A397</f>
        <v>REGIÓN GENERAL PUEYRREDÓN MDQ</v>
      </c>
      <c r="E405" s="468"/>
      <c r="F405" s="469"/>
      <c r="G405" s="584"/>
      <c r="H405" s="585">
        <f>SUM(H401:H403)</f>
        <v>34752179.877595939</v>
      </c>
      <c r="I405" s="585"/>
      <c r="J405" s="586">
        <f>SUM(J401:J403)</f>
        <v>20425514.252221044</v>
      </c>
      <c r="K405" s="14"/>
      <c r="L405" s="14"/>
      <c r="M405" s="15">
        <f>SUM(M401:M404)</f>
        <v>-194785231.07220435</v>
      </c>
      <c r="N405" s="615">
        <f>(VLOOKUP($E401,Tabla13[],Inputs_costos!$P$1,FALSE))*(O$3*$E$3+O$4*$E$4)</f>
        <v>6563079.2636799999</v>
      </c>
      <c r="O405" s="35">
        <f>SUM(O401:O403)</f>
        <v>6563079.2636799999</v>
      </c>
      <c r="P405" s="35">
        <f>(VLOOKUP($E401,Tabla13[],Inputs_costos!$Q$1,FALSE))*(P$3*$E$3+P$4*$E$4)</f>
        <v>1366261.6661120001</v>
      </c>
      <c r="Q405" s="615">
        <f>IF($AC400&gt;=15,(VLOOKUP($E401,Tabla13[],Inputs_costos!$N$1,FALSE))*($R$3*$E$3+$R$4*$E$4),(VLOOKUP($E401,Tabla13[],Inputs_costos!$N$1,FALSE))*($T$3*$E$3+$T$4*$E$4))</f>
        <v>122557492.82560001</v>
      </c>
      <c r="R405" s="35">
        <f>SUM(R401:R403)</f>
        <v>122557492.82560001</v>
      </c>
      <c r="S405" s="35"/>
      <c r="T405" s="35">
        <f>IF($AC400&gt;=15,(VLOOKUP($E401,Tabla13[],Inputs_costos!$O$1,FALSE))*($R$3*$E$3+$R$4*$E$4),(VLOOKUP($E401,Tabla13[],Inputs_costos!$O$1,FALSE))*($T$3*$E$3+$T$4*$E$4))</f>
        <v>2055183.1211280001</v>
      </c>
      <c r="U405" s="35"/>
      <c r="V405" s="31">
        <f>SUM(V401:V403)</f>
        <v>3134930.1737600002</v>
      </c>
      <c r="W405" s="31"/>
      <c r="X405" s="31">
        <f>SUM(X401:X403)</f>
        <v>278337.31995442201</v>
      </c>
      <c r="Y405" s="31">
        <f>SUM(Y401:Y403)</f>
        <v>539338.72494879994</v>
      </c>
      <c r="Z405" s="31">
        <f>SUM(Z401:Z403)</f>
        <v>2796982.9590234435</v>
      </c>
      <c r="AA405" s="653">
        <f>SUM(AA401:AA403)</f>
        <v>-142594544.15905309</v>
      </c>
      <c r="AB405" s="654">
        <f>+M405+AA405</f>
        <v>-337379775.23125744</v>
      </c>
      <c r="AC405" s="38"/>
      <c r="AD405" s="38"/>
      <c r="AE405" s="38"/>
      <c r="AF405" s="38"/>
      <c r="AG405" s="4"/>
      <c r="AH405" s="4"/>
      <c r="AI405" s="4"/>
      <c r="AJ405" s="11"/>
      <c r="AK405" s="499">
        <f>VLOOKUP(ROUNDUP(AK404,0),DATOS!$F$16:$G$31,2,FALSE)</f>
        <v>17</v>
      </c>
      <c r="AL405" s="497"/>
      <c r="AM405" s="499">
        <f>VLOOKUP(ROUNDUP(AM404,0),DATOS!$J$16:$K$34,2,FALSE)</f>
        <v>9</v>
      </c>
      <c r="AN405" s="4"/>
      <c r="AO405" s="4"/>
      <c r="AP405" s="4"/>
    </row>
    <row r="406" spans="1:42">
      <c r="F406" s="2"/>
      <c r="G406" s="2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0"/>
      <c r="V406" s="2"/>
      <c r="W406" s="2"/>
      <c r="X406" s="2"/>
      <c r="Y406" s="2"/>
      <c r="Z406" s="2"/>
      <c r="AA406" s="4"/>
      <c r="AB406" s="4"/>
      <c r="AC406" s="4"/>
      <c r="AD406" s="4"/>
      <c r="AE406" s="4"/>
      <c r="AF406" s="4"/>
      <c r="AG406" s="644"/>
      <c r="AH406" s="448"/>
      <c r="AI406" s="4"/>
      <c r="AJ406" s="892">
        <f>VLOOKUP(AK405,DATOS!$F$3:$H$11,3,FALSE)</f>
        <v>283989.37455421843</v>
      </c>
      <c r="AK406" s="892"/>
      <c r="AL406" s="892">
        <f>VLOOKUP(AM405,DATOS!$J$3:$L$12,3,FALSE)</f>
        <v>243846.48972000001</v>
      </c>
      <c r="AM406" s="892"/>
      <c r="AN406" s="4"/>
      <c r="AO406" s="4"/>
      <c r="AP406" s="4"/>
    </row>
    <row r="407" spans="1:42" ht="15.75" thickBot="1">
      <c r="A407" s="503"/>
      <c r="B407" s="503"/>
      <c r="C407" s="503"/>
      <c r="D407" s="503"/>
      <c r="E407" s="503"/>
      <c r="F407" s="504"/>
      <c r="G407" s="504"/>
      <c r="H407" s="505"/>
      <c r="I407" s="505"/>
      <c r="J407" s="505"/>
      <c r="K407" s="505"/>
      <c r="L407" s="505"/>
      <c r="M407" s="505"/>
      <c r="N407" s="505"/>
      <c r="O407" s="505"/>
      <c r="P407" s="505"/>
      <c r="Q407" s="505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6"/>
      <c r="AB407" s="506"/>
      <c r="AC407" s="506"/>
      <c r="AD407" s="506"/>
      <c r="AE407" s="506"/>
      <c r="AF407" s="506"/>
      <c r="AG407" s="506"/>
      <c r="AH407" s="506"/>
      <c r="AI407" s="506"/>
      <c r="AJ407" s="506"/>
      <c r="AK407" s="506"/>
      <c r="AL407" s="506"/>
      <c r="AM407" s="506"/>
      <c r="AN407" s="506"/>
      <c r="AO407" s="506"/>
      <c r="AP407" s="506"/>
    </row>
    <row r="408" spans="1:42" ht="39" thickBot="1">
      <c r="A408" s="886" t="s">
        <v>7</v>
      </c>
      <c r="B408" s="886" t="s">
        <v>2</v>
      </c>
      <c r="C408" s="521"/>
      <c r="D408" s="882" t="s">
        <v>22</v>
      </c>
      <c r="E408" s="882" t="s">
        <v>23</v>
      </c>
      <c r="F408" s="882" t="s">
        <v>3</v>
      </c>
      <c r="G408" s="568"/>
      <c r="H408" s="901" t="s">
        <v>0</v>
      </c>
      <c r="I408" s="901"/>
      <c r="J408" s="901"/>
      <c r="K408" s="901" t="s">
        <v>1</v>
      </c>
      <c r="L408" s="901"/>
      <c r="M408" s="886" t="s">
        <v>10</v>
      </c>
      <c r="N408" s="879" t="s">
        <v>5</v>
      </c>
      <c r="O408" s="880"/>
      <c r="P408" s="881"/>
      <c r="Q408" s="902" t="s">
        <v>4</v>
      </c>
      <c r="R408" s="903"/>
      <c r="S408" s="903"/>
      <c r="T408" s="904"/>
      <c r="U408" s="902" t="s">
        <v>6</v>
      </c>
      <c r="V408" s="903"/>
      <c r="W408" s="903"/>
      <c r="X408" s="904"/>
      <c r="Y408" s="390" t="s">
        <v>689</v>
      </c>
      <c r="Z408" s="662" t="s">
        <v>690</v>
      </c>
      <c r="AA408" s="905" t="s">
        <v>686</v>
      </c>
      <c r="AB408" s="886" t="s">
        <v>9</v>
      </c>
      <c r="AC408" s="907" t="s">
        <v>312</v>
      </c>
      <c r="AD408" s="914" t="s">
        <v>649</v>
      </c>
      <c r="AE408" s="897" t="s">
        <v>20</v>
      </c>
      <c r="AF408" s="897" t="s">
        <v>313</v>
      </c>
      <c r="AG408" s="899" t="s">
        <v>552</v>
      </c>
      <c r="AH408" s="895" t="s">
        <v>578</v>
      </c>
      <c r="AI408" s="897" t="s">
        <v>579</v>
      </c>
      <c r="AJ408" s="882" t="s">
        <v>581</v>
      </c>
      <c r="AK408" s="882" t="s">
        <v>582</v>
      </c>
      <c r="AL408" s="882" t="s">
        <v>581</v>
      </c>
      <c r="AM408" s="882" t="s">
        <v>582</v>
      </c>
      <c r="AN408" s="884" t="s">
        <v>553</v>
      </c>
      <c r="AO408" s="885"/>
      <c r="AP408" s="885"/>
    </row>
    <row r="409" spans="1:42" ht="30.75" thickBot="1">
      <c r="A409" s="888"/>
      <c r="B409" s="888"/>
      <c r="C409" s="522"/>
      <c r="D409" s="883"/>
      <c r="E409" s="883"/>
      <c r="F409" s="883"/>
      <c r="G409" s="478"/>
      <c r="H409" s="572" t="s">
        <v>18</v>
      </c>
      <c r="I409" s="572"/>
      <c r="J409" s="572" t="s">
        <v>17</v>
      </c>
      <c r="K409" s="17" t="s">
        <v>18</v>
      </c>
      <c r="L409" s="17" t="s">
        <v>17</v>
      </c>
      <c r="M409" s="888"/>
      <c r="N409" s="464" t="s">
        <v>685</v>
      </c>
      <c r="O409" s="17" t="s">
        <v>18</v>
      </c>
      <c r="P409" s="17" t="s">
        <v>17</v>
      </c>
      <c r="Q409" s="464" t="s">
        <v>685</v>
      </c>
      <c r="R409" s="17" t="s">
        <v>18</v>
      </c>
      <c r="S409" s="17"/>
      <c r="T409" s="17" t="s">
        <v>17</v>
      </c>
      <c r="U409" s="464" t="s">
        <v>576</v>
      </c>
      <c r="V409" s="17" t="s">
        <v>18</v>
      </c>
      <c r="W409" s="464" t="s">
        <v>577</v>
      </c>
      <c r="X409" s="17" t="s">
        <v>17</v>
      </c>
      <c r="Y409" s="17" t="s">
        <v>18</v>
      </c>
      <c r="Z409" s="17" t="s">
        <v>17</v>
      </c>
      <c r="AA409" s="906"/>
      <c r="AB409" s="888"/>
      <c r="AC409" s="908"/>
      <c r="AD409" s="915"/>
      <c r="AE409" s="898"/>
      <c r="AF409" s="898"/>
      <c r="AG409" s="900"/>
      <c r="AH409" s="896"/>
      <c r="AI409" s="898"/>
      <c r="AJ409" s="883"/>
      <c r="AK409" s="883"/>
      <c r="AL409" s="883"/>
      <c r="AM409" s="883"/>
      <c r="AN409" s="1" t="s">
        <v>551</v>
      </c>
      <c r="AO409" s="9" t="s">
        <v>554</v>
      </c>
      <c r="AP409" s="1" t="s">
        <v>555</v>
      </c>
    </row>
    <row r="410" spans="1:42">
      <c r="A410" s="909" t="s">
        <v>618</v>
      </c>
      <c r="B410" s="886" t="s">
        <v>310</v>
      </c>
      <c r="C410" s="520" t="str">
        <f>IF(AND(D410=AN410,D410=AO410,D410=AP410),"ok","ATENCIÓN NO ESTÁ TOMANDO BIEN LA LOCALIDAD")</f>
        <v>ok</v>
      </c>
      <c r="D410" s="23" t="s">
        <v>189</v>
      </c>
      <c r="E410" s="114">
        <f>VLOOKUP(D410,Pobl_adoptada!$C$5:$D$158,2,FALSE)</f>
        <v>90</v>
      </c>
      <c r="F410" s="8" t="s">
        <v>308</v>
      </c>
      <c r="G410" s="576">
        <f>+'[201]Inversion rec-TA'!$G$21</f>
        <v>4120659.6702797674</v>
      </c>
      <c r="H410" s="577">
        <f>+($AC410/$AC415)*H414+G410</f>
        <v>5289662.9462621082</v>
      </c>
      <c r="I410" s="587">
        <f>+'[201]Costos Operativos Rec-TA'!$G$23</f>
        <v>2633710.3732079063</v>
      </c>
      <c r="J410" s="579">
        <f>+($AC410/$AC415)*J414+I410</f>
        <v>2657090.438727553</v>
      </c>
      <c r="K410" s="10">
        <f>+'[201]Inversion rec-TA'!$G$46</f>
        <v>0</v>
      </c>
      <c r="L410" s="10">
        <f>+'[201]Costos Operativos Rec-TA'!$G$46</f>
        <v>0</v>
      </c>
      <c r="M410" s="19">
        <f t="shared" ref="M410:M413" si="296">-H410/(1+0.12)+PV(12%,20,J410)-H410/(1+0.12)^10</f>
        <v>-26273030.480974112</v>
      </c>
      <c r="N410" s="614">
        <f>+$AD410/$AD415*N415</f>
        <v>76448.224015498301</v>
      </c>
      <c r="O410" s="25">
        <f>IF(N410-AG410&lt;0,0,N410-AG410)</f>
        <v>76448.224015498301</v>
      </c>
      <c r="P410" s="32">
        <f>+$AD410/$AD415*P415</f>
        <v>14482.300251745897</v>
      </c>
      <c r="Q410" s="32">
        <f>+$AC410/$AC415*Q415</f>
        <v>1509909.5686470042</v>
      </c>
      <c r="R410" s="646">
        <f>IF(Q410-AH410&lt;0,0,Q410-AH410)</f>
        <v>1509909.5686470042</v>
      </c>
      <c r="S410" s="25">
        <f t="shared" ref="S410:S413" si="297">IF(AC410&lt;15,0,IF(AC410&lt;=350,815000,1345000))</f>
        <v>0</v>
      </c>
      <c r="T410" s="32">
        <f>+$AC410/$AC415*T415</f>
        <v>21929.28409370075</v>
      </c>
      <c r="U410" s="465">
        <f>SUMIFS(Tabla24[Costo de Cierre Técnico de BCA (US$)],Tabla24[Localidad],Resumen!$D410)</f>
        <v>0</v>
      </c>
      <c r="V410" s="461">
        <f>+U410*(V$3*$E$3+V$4*$E$4)</f>
        <v>0</v>
      </c>
      <c r="W410" s="465">
        <f>SUMIFS(Tabla24[Costo anual de Manteniemiento Post-cierre (US$)],Tabla24[Localidad],Resumen!$D410)</f>
        <v>0</v>
      </c>
      <c r="X410" s="461">
        <f>+W410*(X$3*$E$3+X$4*$E$4)</f>
        <v>0</v>
      </c>
      <c r="Y410" s="27">
        <f>VLOOKUP($D410,'Costo Social x localidad'!$B$2:$M$156,12,FALSE)*(Y$3*$E$3+Y$4*$E$4)</f>
        <v>38784.56080746666</v>
      </c>
      <c r="Z410" s="28">
        <f>VLOOKUP(D410,'Estimación  PRESUPUESTO PCAS'!$B$4:$G$158,'Estimación  PRESUPUESTO PCAS'!$G$2,FALSE)</f>
        <v>201432.60738924611</v>
      </c>
      <c r="AA410" s="650">
        <f>(-O410-R410)/(1+0.12)+PV(12%,20,P410)+PV(12%,20,T410)-(O410*0.5)/(1+0.12)^10-S410/(1+0.12)^10</f>
        <v>-1700672.3039055089</v>
      </c>
      <c r="AB410" s="651">
        <f>M410+AA410</f>
        <v>-27973702.784879621</v>
      </c>
      <c r="AC410" s="10">
        <f>VLOOKUP($E410,Resumen_Generación!$B$5:$F$158,Resumen_Generación!$D$3,FALSE)</f>
        <v>10.838481728000001</v>
      </c>
      <c r="AD410" s="10">
        <f>VLOOKUP($E410,Resumen_Generación!$B$5:$G$158,Resumen_Generación!$G$3,FALSE)</f>
        <v>4.4476728400000001</v>
      </c>
      <c r="AE410" s="362">
        <f>VLOOKUP($E410,Resumen_Generación!$B$5:$F$158,Resumen_Generación!$E$3,FALSE)</f>
        <v>15649</v>
      </c>
      <c r="AF410" s="10">
        <f>VLOOKUP($E410,Resumen_Generación!$B$5:$F$158,Resumen_Generación!$F$3,FALSE)</f>
        <v>5.0096759999999998</v>
      </c>
      <c r="AG410" s="448">
        <f>VLOOKUP($D410,Valoración_Eq_REG!$D$4:$I$157,Valoración_Eq_REG!$E$2,FALSE)*$E$4</f>
        <v>0</v>
      </c>
      <c r="AH410" s="448">
        <f>VLOOKUP($D410,Valoración_Eq_REG!$D$4:$I$157,Valoración_Eq_REG!$F$2,FALSE)*$E$4</f>
        <v>0</v>
      </c>
      <c r="AI410" s="448">
        <f>+[201]P_Datos!$D$43</f>
        <v>0.36629508196721311</v>
      </c>
      <c r="AJ410" s="484">
        <f>+'[201]Evaluacion Economica'!$L$25</f>
        <v>4</v>
      </c>
      <c r="AK410" s="448">
        <f>+'[201]Evaluacion Economica'!$R$25</f>
        <v>9</v>
      </c>
      <c r="AL410" s="484">
        <f>+'[201]P_Evaluacion Economica'!$L$27</f>
        <v>4</v>
      </c>
      <c r="AM410" s="448">
        <f>+'[201]P_Evaluacion Economica'!$Q$27</f>
        <v>6</v>
      </c>
      <c r="AN410" s="34" t="str">
        <f>+[201]Datos!$C$2</f>
        <v>Magdalena</v>
      </c>
      <c r="AO410" s="25" t="str">
        <f>VLOOKUP($E410,Tabla13[],Inputs_costos!$D$1,FALSE)</f>
        <v>MAGDALENA</v>
      </c>
      <c r="AP410" s="28" t="str">
        <f>VLOOKUP($D410,'Costo Social x localidad'!$B$2:$M$156,1,FALSE)</f>
        <v>MAGDALENA</v>
      </c>
    </row>
    <row r="411" spans="1:42">
      <c r="A411" s="910"/>
      <c r="B411" s="887"/>
      <c r="C411" s="478" t="str">
        <f>IF(AND(D411=AN411,D411=AO411,D411=AP411),"ok","ATENCIÓN NO ESTÁ TOMANDO BIEN LA LOCALIDAD")</f>
        <v>ok</v>
      </c>
      <c r="D411" s="24" t="s">
        <v>124</v>
      </c>
      <c r="E411" s="523">
        <f>VLOOKUP(D411,Pobl_adoptada!$C$5:$D$158,2,FALSE)</f>
        <v>37</v>
      </c>
      <c r="F411" s="9" t="s">
        <v>308</v>
      </c>
      <c r="G411" s="580">
        <f>+'[202]Inversion rec-TA'!$G$21</f>
        <v>5167387.9506796487</v>
      </c>
      <c r="H411" s="34">
        <f>+($AC411/$AC415)*H414+G411</f>
        <v>14499362.56514935</v>
      </c>
      <c r="I411" s="465">
        <f>+'[202]Costos Operativos Rec-TA'!$G$23</f>
        <v>3301034.8102322803</v>
      </c>
      <c r="J411" s="581">
        <f>+($AC411/$AC415)*J414+I411</f>
        <v>3487674.3025216744</v>
      </c>
      <c r="K411" s="10">
        <f>+'[202]Inversion rec-TA'!$G$46</f>
        <v>0</v>
      </c>
      <c r="L411" s="10">
        <f>+'[202]Costos Operativos Rec-TA'!$G$46</f>
        <v>0</v>
      </c>
      <c r="M411" s="19">
        <f t="shared" si="296"/>
        <v>-43665252.709473893</v>
      </c>
      <c r="N411" s="465">
        <f>+$AD411/$AD415*N415</f>
        <v>608205.32441610866</v>
      </c>
      <c r="O411" s="25">
        <f>IF(N411-AG411&lt;0,0,N411-AG411)</f>
        <v>608205.32441610866</v>
      </c>
      <c r="P411" s="25">
        <f>+$AD411/$AD415*P415</f>
        <v>115218.00848007825</v>
      </c>
      <c r="Q411" s="25">
        <f>+$AC411/$AC415*Q415</f>
        <v>12053377.483410567</v>
      </c>
      <c r="R411" s="647">
        <f>IF(Q411-AH411&lt;0,0,Q411-AH411)</f>
        <v>12053377.483410567</v>
      </c>
      <c r="S411" s="25">
        <f t="shared" si="297"/>
        <v>815000</v>
      </c>
      <c r="T411" s="25">
        <f>+$AC411/$AC415*T415</f>
        <v>175058.12573873482</v>
      </c>
      <c r="U411" s="465">
        <f>SUMIFS(Tabla24[Costo de Cierre Técnico de BCA (US$)],Tabla24[Localidad],Resumen!$D411)</f>
        <v>2141200</v>
      </c>
      <c r="V411" s="461">
        <f t="shared" ref="V411:V413" si="298">+U411*(V$3*$E$3+V$4*$E$4)</f>
        <v>4112051.26688</v>
      </c>
      <c r="W411" s="465">
        <f>SUMIFS(Tabla24[Costo anual de Manteniemiento Post-cierre (US$)],Tabla24[Localidad],Resumen!$D411)</f>
        <v>190108.17991253748</v>
      </c>
      <c r="X411" s="461">
        <f t="shared" ref="X411:X413" si="299">+W411*(X$3*$E$3+X$4*$E$4)</f>
        <v>365091.80929086526</v>
      </c>
      <c r="Y411" s="28">
        <f>VLOOKUP($D411,'Costo Social x localidad'!$B$2:$M$156,12,FALSE)*(Y$3*$E$3+Y$4*$E$4)</f>
        <v>139032.60840863999</v>
      </c>
      <c r="Z411" s="28">
        <f>VLOOKUP(D411,'Estimación  PRESUPUESTO PCAS'!$B$4:$G$158,'Estimación  PRESUPUESTO PCAS'!$G$2,FALSE)</f>
        <v>523584.85799820034</v>
      </c>
      <c r="AA411" s="650">
        <f>(-O411-R411)/(1+0.12)+PV(12%,20,P411)+PV(12%,20,T411)-(O411*0.5)/(1+0.12)^10-S411/(1+0.12)^10</f>
        <v>-13833506.976108812</v>
      </c>
      <c r="AB411" s="651">
        <f>M411+AA411</f>
        <v>-57498759.685582705</v>
      </c>
      <c r="AC411" s="10">
        <f>VLOOKUP($E411,Resumen_Generación!$B$5:$F$158,Resumen_Generación!$D$3,FALSE)</f>
        <v>86.521944312000016</v>
      </c>
      <c r="AD411" s="10">
        <f>VLOOKUP($E411,Resumen_Generación!$B$5:$G$158,Resumen_Generación!$G$3,FALSE)</f>
        <v>35.384710859999998</v>
      </c>
      <c r="AE411" s="362">
        <f>VLOOKUP($E411,Resumen_Generación!$B$5:$F$158,Resumen_Generación!$E$3,FALSE)</f>
        <v>112578</v>
      </c>
      <c r="AF411" s="10">
        <f>VLOOKUP($E411,Resumen_Generación!$B$5:$F$158,Resumen_Generación!$F$3,FALSE)</f>
        <v>39.932234999999999</v>
      </c>
      <c r="AG411" s="448">
        <f>VLOOKUP($D411,Valoración_Eq_REG!$D$4:$I$157,Valoración_Eq_REG!$E$2,FALSE)*$E$4</f>
        <v>0</v>
      </c>
      <c r="AH411" s="448">
        <f>VLOOKUP($D411,Valoración_Eq_REG!$D$4:$I$157,Valoración_Eq_REG!$F$2,FALSE)*$E$4</f>
        <v>0</v>
      </c>
      <c r="AI411" s="25">
        <f>+[202]P_Datos!$D$43</f>
        <v>2.4341639344262296</v>
      </c>
      <c r="AJ411" s="484">
        <f>+'[202]Evaluacion Economica'!$L$25</f>
        <v>5</v>
      </c>
      <c r="AK411" s="448">
        <f>+'[202]Evaluacion Economica'!$R$25</f>
        <v>21</v>
      </c>
      <c r="AL411" s="484">
        <f>+'[202]P_Evaluacion Economica'!$L$27</f>
        <v>4</v>
      </c>
      <c r="AM411" s="448">
        <f>+'[202]P_Evaluacion Economica'!$Q$27</f>
        <v>12</v>
      </c>
      <c r="AN411" s="34" t="str">
        <f>+[202]Datos!$C$2</f>
        <v>Berisso</v>
      </c>
      <c r="AO411" s="25" t="str">
        <f>VLOOKUP($E411,Tabla13[],Inputs_costos!$D$1,FALSE)</f>
        <v>BERISSO</v>
      </c>
      <c r="AP411" s="28" t="str">
        <f>VLOOKUP($D411,'Costo Social x localidad'!$B$2:$M$156,1,FALSE)</f>
        <v>BERISSO</v>
      </c>
    </row>
    <row r="412" spans="1:42">
      <c r="A412" s="910"/>
      <c r="B412" s="887"/>
      <c r="C412" s="478" t="str">
        <f>IF(AND(D412=AN412,D412=AO412,D412=AP412),"ok","ATENCIÓN NO ESTÁ TOMANDO BIEN LA LOCALIDAD")</f>
        <v>ok</v>
      </c>
      <c r="D412" s="24" t="s">
        <v>147</v>
      </c>
      <c r="E412" s="523">
        <f>VLOOKUP(D412,Pobl_adoptada!$C$5:$D$158,2,FALSE)</f>
        <v>58</v>
      </c>
      <c r="F412" s="9" t="s">
        <v>308</v>
      </c>
      <c r="G412" s="580">
        <f>+'[203]Inversion rec-TA'!$G$21</f>
        <v>3823893.8487129067</v>
      </c>
      <c r="H412" s="34">
        <f>+($AC412/$AC415)*H414+G412</f>
        <v>9667795.3489086162</v>
      </c>
      <c r="I412" s="465">
        <f>+'[203]Costos Operativos Rec-TA'!$G$23</f>
        <v>2297941.5191338016</v>
      </c>
      <c r="J412" s="581">
        <f>+($AC412/$AC415)*J414+I412</f>
        <v>2414819.5491377157</v>
      </c>
      <c r="K412" s="10">
        <f>+'[203]Inversion rec-TA'!$G$46</f>
        <v>0</v>
      </c>
      <c r="L412" s="10">
        <f>+'[203]Costos Operativos Rec-TA'!$G$46</f>
        <v>0</v>
      </c>
      <c r="M412" s="19">
        <f t="shared" si="296"/>
        <v>-29782089.977347057</v>
      </c>
      <c r="N412" s="465">
        <f>+$AD412/$AD415*N415</f>
        <v>380215.4427337689</v>
      </c>
      <c r="O412" s="25">
        <f>IF(N412-AG412&lt;0,0,N412-AG412)</f>
        <v>380215.4427337689</v>
      </c>
      <c r="P412" s="25">
        <f>+$AD412/$AD415*P415</f>
        <v>72027.758302202434</v>
      </c>
      <c r="Q412" s="25">
        <f>+$AC412/$AC415*Q415</f>
        <v>7548107.8408110244</v>
      </c>
      <c r="R412" s="647">
        <f>IF(Q412-AH412&lt;0,0,Q412-AH412)</f>
        <v>7548107.8408110244</v>
      </c>
      <c r="S412" s="25">
        <f t="shared" si="297"/>
        <v>815000</v>
      </c>
      <c r="T412" s="25">
        <f>+$AC412/$AC415*T415</f>
        <v>109625.50648603277</v>
      </c>
      <c r="U412" s="465">
        <f>SUMIFS(Tabla24[Costo de Cierre Técnico de BCA (US$)],Tabla24[Localidad],Resumen!$D412)</f>
        <v>0</v>
      </c>
      <c r="V412" s="461">
        <f t="shared" si="298"/>
        <v>0</v>
      </c>
      <c r="W412" s="465">
        <f>SUMIFS(Tabla24[Costo anual de Manteniemiento Post-cierre (US$)],Tabla24[Localidad],Resumen!$D412)</f>
        <v>0</v>
      </c>
      <c r="X412" s="461">
        <f t="shared" si="299"/>
        <v>0</v>
      </c>
      <c r="Y412" s="28">
        <f>VLOOKUP($D412,'Costo Social x localidad'!$B$2:$M$156,12,FALSE)*(Y$3*$E$3+Y$4*$E$4)</f>
        <v>107453.13783461333</v>
      </c>
      <c r="Z412" s="28">
        <f>VLOOKUP(D412,'Estimación  PRESUPUESTO PCAS'!$B$4:$G$158,'Estimación  PRESUPUESTO PCAS'!$G$2,FALSE)</f>
        <v>352623.88290566765</v>
      </c>
      <c r="AA412" s="650">
        <f>(-O412-R412)/(1+0.12)+PV(12%,20,P412)+PV(12%,20,T412)-(O412*0.5)/(1+0.12)^10-S412/(1+0.12)^10</f>
        <v>-8759326.6812751368</v>
      </c>
      <c r="AB412" s="651">
        <f>M412+AA412</f>
        <v>-38541416.65862219</v>
      </c>
      <c r="AC412" s="10">
        <f>VLOOKUP($E412,Resumen_Generación!$B$5:$F$158,Resumen_Generación!$D$3,FALSE)</f>
        <v>54.182071968000002</v>
      </c>
      <c r="AD412" s="10">
        <f>VLOOKUP($E412,Resumen_Generación!$B$5:$G$158,Resumen_Generación!$G$3,FALSE)</f>
        <v>22.12051254</v>
      </c>
      <c r="AE412" s="362">
        <f>VLOOKUP($E412,Resumen_Generación!$B$5:$F$158,Resumen_Generación!$E$3,FALSE)</f>
        <v>70469</v>
      </c>
      <c r="AF412" s="10">
        <f>VLOOKUP($E412,Resumen_Generación!$B$5:$F$158,Resumen_Generación!$F$3,FALSE)</f>
        <v>25.017845999999995</v>
      </c>
      <c r="AG412" s="448">
        <f>VLOOKUP($D412,Valoración_Eq_REG!$D$4:$I$157,Valoración_Eq_REG!$E$2,FALSE)*$E$4</f>
        <v>0</v>
      </c>
      <c r="AH412" s="448">
        <f>VLOOKUP($D412,Valoración_Eq_REG!$D$4:$I$157,Valoración_Eq_REG!$F$2,FALSE)*$E$4</f>
        <v>0</v>
      </c>
      <c r="AI412" s="25">
        <f>+[203]P_Datos!$D$43</f>
        <v>1.5670163934426229</v>
      </c>
      <c r="AJ412" s="484">
        <f>+'[203]Evaluacion Economica'!$L$25</f>
        <v>4</v>
      </c>
      <c r="AK412" s="448">
        <f>+'[203]Evaluacion Economica'!$R$25</f>
        <v>24</v>
      </c>
      <c r="AL412" s="484">
        <f>+'[203]P_Evaluacion Economica'!$L$27</f>
        <v>3</v>
      </c>
      <c r="AM412" s="448">
        <f>+'[203]P_Evaluacion Economica'!$Q$27</f>
        <v>6</v>
      </c>
      <c r="AN412" s="34" t="str">
        <f>+[203]Datos!$C$2</f>
        <v>Ensenada</v>
      </c>
      <c r="AO412" s="25" t="str">
        <f>VLOOKUP($E412,Tabla13[],Inputs_costos!$D$1,FALSE)</f>
        <v>ENSENADA</v>
      </c>
      <c r="AP412" s="28" t="str">
        <f>VLOOKUP($D412,'Costo Social x localidad'!$B$2:$M$156,1,FALSE)</f>
        <v>ENSENADA</v>
      </c>
    </row>
    <row r="413" spans="1:42">
      <c r="A413" s="910"/>
      <c r="B413" s="887"/>
      <c r="C413" s="478" t="str">
        <f>IF(AND(D413=AN413,D413=AO413,D413=AP413),"ok","ATENCIÓN NO ESTÁ TOMANDO BIEN LA LOCALIDAD")</f>
        <v>ok</v>
      </c>
      <c r="D413" s="24" t="s">
        <v>180</v>
      </c>
      <c r="E413" s="523">
        <f>VLOOKUP(D413,Pobl_adoptada!$C$5:$D$158,2,FALSE)</f>
        <v>82</v>
      </c>
      <c r="F413" s="9" t="s">
        <v>308</v>
      </c>
      <c r="G413" s="580">
        <f>+'[204]Inversion rec-TA'!$G$21</f>
        <v>448918838.09960014</v>
      </c>
      <c r="H413" s="34">
        <f>+($AC413/$AC415)*H414+G413</f>
        <v>547034238.59801674</v>
      </c>
      <c r="I413" s="465">
        <f>+'[204]Costos Operativos Rec-TA'!$G$23</f>
        <v>205264865.64400089</v>
      </c>
      <c r="J413" s="581">
        <f>+($AC413/$AC415)*J414+I413</f>
        <v>207227173.65396923</v>
      </c>
      <c r="K413" s="10">
        <f>+'[204]Inversion rec-TA'!$G$46</f>
        <v>0</v>
      </c>
      <c r="L413" s="10">
        <f>+'[204]Costos Operativos Rec-TA'!$G$46</f>
        <v>0</v>
      </c>
      <c r="M413" s="19">
        <f t="shared" si="296"/>
        <v>-2212425502.6840563</v>
      </c>
      <c r="N413" s="465">
        <f>+$AD413/$AD415*N415</f>
        <v>6409001.9173146244</v>
      </c>
      <c r="O413" s="25">
        <f>IF(N413-AG413&lt;0,0,N413-AG413)</f>
        <v>6409001.9173146244</v>
      </c>
      <c r="P413" s="25">
        <f>+$AD413/$AD415*P415</f>
        <v>1214117.0220219735</v>
      </c>
      <c r="Q413" s="25">
        <f>+$AC413/$AC415*Q415</f>
        <v>126727944.29913142</v>
      </c>
      <c r="R413" s="647">
        <f>IF(Q413-AH413&lt;0,0,Q413-AH413)</f>
        <v>126727944.29913142</v>
      </c>
      <c r="S413" s="25">
        <f t="shared" si="297"/>
        <v>1345000</v>
      </c>
      <c r="T413" s="25">
        <f>+$AC413/$AC415*T415</f>
        <v>1840542.739017532</v>
      </c>
      <c r="U413" s="465">
        <f>SUMIFS(Tabla24[Costo de Cierre Técnico de BCA (US$)],Tabla24[Localidad],Resumen!$D413)</f>
        <v>767440</v>
      </c>
      <c r="V413" s="461">
        <f t="shared" si="298"/>
        <v>1473824.3154559999</v>
      </c>
      <c r="W413" s="465">
        <f>SUMIFS(Tabla24[Costo anual de Manteniemiento Post-cierre (US$)],Tabla24[Localidad],Resumen!$D413)</f>
        <v>68137.783295384725</v>
      </c>
      <c r="X413" s="461">
        <f t="shared" si="299"/>
        <v>130854.68808246855</v>
      </c>
      <c r="Y413" s="28">
        <f>VLOOKUP($D413,'Costo Social x localidad'!$B$2:$M$156,12,FALSE)*(Y$3*$E$3+Y$4*$E$4)</f>
        <v>537329.85903519997</v>
      </c>
      <c r="Z413" s="28">
        <f>VLOOKUP(D413,'Estimación  PRESUPUESTO PCAS'!$B$4:$G$158,'Estimación  PRESUPUESTO PCAS'!$G$2,FALSE)</f>
        <v>10357347.536948781</v>
      </c>
      <c r="AA413" s="650">
        <f>(-O413-R413)/(1+0.12)+PV(12%,20,P413)+PV(12%,20,T413)-(O413*0.5)/(1+0.12)^10-S413/(1+0.12)^10</f>
        <v>-143153699.83265904</v>
      </c>
      <c r="AB413" s="651">
        <f>M413+AA413</f>
        <v>-2355579202.5167155</v>
      </c>
      <c r="AC413" s="10">
        <f>VLOOKUP($E413,Resumen_Generación!$B$5:$F$158,Resumen_Generación!$D$3,FALSE)</f>
        <v>909.68263082399994</v>
      </c>
      <c r="AD413" s="10">
        <f>VLOOKUP($E413,Resumen_Generación!$B$5:$G$158,Resumen_Generación!$G$3,FALSE)</f>
        <v>372.86861959499998</v>
      </c>
      <c r="AE413" s="362">
        <f>VLOOKUP($E413,Resumen_Generación!$B$5:$F$158,Resumen_Generación!$E$3,FALSE)</f>
        <v>856722</v>
      </c>
      <c r="AF413" s="10">
        <f>VLOOKUP($E413,Resumen_Generación!$B$5:$F$158,Resumen_Generación!$F$3,FALSE)</f>
        <v>419.56876499999993</v>
      </c>
      <c r="AG413" s="448">
        <f>VLOOKUP($D413,Valoración_Eq_REG!$D$4:$I$157,Valoración_Eq_REG!$E$2,FALSE)*$E$4</f>
        <v>0</v>
      </c>
      <c r="AH413" s="448">
        <f>VLOOKUP($D413,Valoración_Eq_REG!$D$4:$I$157,Valoración_Eq_REG!$F$2,FALSE)*$E$4</f>
        <v>0</v>
      </c>
      <c r="AI413" s="25">
        <f>+[204]P_Datos!$D$43</f>
        <v>4.4308327868852464</v>
      </c>
      <c r="AJ413" s="484">
        <f>+'[204]Evaluacion Economica'!$L$25</f>
        <v>1246</v>
      </c>
      <c r="AK413" s="448">
        <f>+'[204]Evaluacion Economica'!$R$25</f>
        <v>24</v>
      </c>
      <c r="AL413" s="484">
        <f>+'[204]P_Evaluacion Economica'!$L$27</f>
        <v>19</v>
      </c>
      <c r="AM413" s="448">
        <f>+'[204]P_Evaluacion Economica'!$Q$27</f>
        <v>15</v>
      </c>
      <c r="AN413" s="34" t="str">
        <f>+[204]Datos!$C$2</f>
        <v>La Plata</v>
      </c>
      <c r="AO413" s="25" t="str">
        <f>VLOOKUP($E413,Tabla13[],Inputs_costos!$D$1,FALSE)</f>
        <v>LA PLATA</v>
      </c>
      <c r="AP413" s="28" t="str">
        <f>VLOOKUP($D413,'Costo Social x localidad'!$B$2:$M$156,1,FALSE)</f>
        <v>LA PLATA</v>
      </c>
    </row>
    <row r="414" spans="1:42" ht="30.75" thickBot="1">
      <c r="A414" s="910"/>
      <c r="B414" s="887"/>
      <c r="C414" s="912" t="s">
        <v>12</v>
      </c>
      <c r="D414" s="913"/>
      <c r="E414" s="498" t="s">
        <v>589</v>
      </c>
      <c r="F414" s="571">
        <f>+F404</f>
        <v>0.02</v>
      </c>
      <c r="G414" s="582"/>
      <c r="H414" s="461">
        <f>+AJ414*AJ416+AL414*AL416</f>
        <v>114460279.88906436</v>
      </c>
      <c r="I414" s="461"/>
      <c r="J414" s="583">
        <f>+$F414*H414</f>
        <v>2289205.597781287</v>
      </c>
      <c r="K414" s="10"/>
      <c r="L414" s="10"/>
      <c r="M414" s="19"/>
      <c r="N414" s="465"/>
      <c r="O414" s="10"/>
      <c r="P414" s="10"/>
      <c r="Q414" s="28"/>
      <c r="R414" s="645"/>
      <c r="S414" s="645"/>
      <c r="T414" s="28"/>
      <c r="U414" s="28"/>
      <c r="V414" s="28"/>
      <c r="W414" s="28"/>
      <c r="X414" s="28"/>
      <c r="Y414" s="28"/>
      <c r="Z414" s="28"/>
      <c r="AA414" s="658"/>
      <c r="AB414" s="20"/>
      <c r="AC414" s="10"/>
      <c r="AD414" s="10"/>
      <c r="AE414" s="10"/>
      <c r="AF414" s="10"/>
      <c r="AG414" s="2"/>
      <c r="AH414" s="2"/>
      <c r="AI414" s="4"/>
      <c r="AJ414" s="501">
        <f>ROUNDUP(C415*SUM(AJ410:AJ413),0)</f>
        <v>378</v>
      </c>
      <c r="AK414" s="502">
        <f>AVERAGE(AK410:AK413)</f>
        <v>19.5</v>
      </c>
      <c r="AL414" s="501">
        <f>ROUNDUP(C415*SUM(AL410:AL413),0)</f>
        <v>9</v>
      </c>
      <c r="AM414" s="502">
        <f>AVERAGE(AM410:AM413)</f>
        <v>9.75</v>
      </c>
      <c r="AN414" s="4"/>
      <c r="AO414" s="4"/>
      <c r="AP414" s="4"/>
    </row>
    <row r="415" spans="1:42" ht="15.75" thickBot="1">
      <c r="A415" s="911"/>
      <c r="B415" s="888"/>
      <c r="C415" s="570">
        <v>0.3</v>
      </c>
      <c r="D415" s="500" t="str">
        <f>A410</f>
        <v>REGIÓN CEAMSE Ensenada</v>
      </c>
      <c r="E415" s="468"/>
      <c r="F415" s="469"/>
      <c r="G415" s="584"/>
      <c r="H415" s="585">
        <f>SUM(H410:H413)</f>
        <v>576491059.45833683</v>
      </c>
      <c r="I415" s="585"/>
      <c r="J415" s="586">
        <f>SUM(J410:J413)</f>
        <v>215786757.94435617</v>
      </c>
      <c r="K415" s="14"/>
      <c r="L415" s="14"/>
      <c r="M415" s="15">
        <f>SUM(M410:M414)</f>
        <v>-2312145875.8518515</v>
      </c>
      <c r="N415" s="615">
        <f>(VLOOKUP($E410,Tabla13[],Inputs_costos!$P$1,FALSE))*(O$3*$E$3+O$4*$E$4)</f>
        <v>7473870.9084800007</v>
      </c>
      <c r="O415" s="35">
        <f>SUM(O410:O413)</f>
        <v>7473870.9084799998</v>
      </c>
      <c r="P415" s="35">
        <f>(VLOOKUP($E410,Tabla13[],Inputs_costos!$Q$1,FALSE))*(P$3*$E$3+P$4*$E$4)</f>
        <v>1415845.0890560001</v>
      </c>
      <c r="Q415" s="35">
        <f>IF($AC410&gt;=15,(VLOOKUP($E410,Tabla13[],Inputs_costos!$N$1,FALSE))*($R$3*$E$3+$R$4*$E$4),(VLOOKUP($E410,Tabla13[],Inputs_costos!$N$1,FALSE))*($T$3*$E$3+$T$4*$E$4))</f>
        <v>147839339.192</v>
      </c>
      <c r="R415" s="35">
        <f>SUM(R410:R413)</f>
        <v>147839339.19200003</v>
      </c>
      <c r="S415" s="35"/>
      <c r="T415" s="35">
        <f>IF($AC410&gt;=15,(VLOOKUP($E410,Tabla13[],Inputs_costos!$O$1,FALSE))*($R$3*$E$3+$R$4*$E$4),(VLOOKUP($E410,Tabla13[],Inputs_costos!$O$1,FALSE))*($T$3*$E$3+$T$4*$E$4))</f>
        <v>2147155.655336</v>
      </c>
      <c r="U415" s="35"/>
      <c r="V415" s="31">
        <f>SUM(V410:V413)</f>
        <v>5585875.5823360002</v>
      </c>
      <c r="W415" s="31"/>
      <c r="X415" s="31">
        <f>SUM(X410:X413)</f>
        <v>495946.49737333378</v>
      </c>
      <c r="Y415" s="31">
        <f>SUM(Y410:Y413)</f>
        <v>822600.16608591995</v>
      </c>
      <c r="Z415" s="31">
        <f>SUM(Z410:Z413)</f>
        <v>11434988.885241896</v>
      </c>
      <c r="AA415" s="657">
        <f>SUM(AA410:AA413)</f>
        <v>-167447205.7939485</v>
      </c>
      <c r="AB415" s="654">
        <f>+M415+AA415</f>
        <v>-2479593081.6458001</v>
      </c>
      <c r="AC415" s="630">
        <f t="shared" ref="AC415:AD415" si="300">SUM(AC410:AC413)</f>
        <v>1061.2251288319999</v>
      </c>
      <c r="AD415" s="630">
        <f t="shared" si="300"/>
        <v>434.82151583500001</v>
      </c>
      <c r="AE415" s="631">
        <f>SUM(AE410:AE413)</f>
        <v>1055418</v>
      </c>
      <c r="AF415" s="630">
        <f>SUM(AF410:AF413)</f>
        <v>489.52852199999995</v>
      </c>
      <c r="AG415" s="630">
        <f>SUM(AG410:AG413)</f>
        <v>0</v>
      </c>
      <c r="AH415" s="630">
        <f>SUM(AH410:AH413)</f>
        <v>0</v>
      </c>
      <c r="AI415" s="630">
        <f>SUM(AI410:AI413)</f>
        <v>8.7983081967213117</v>
      </c>
      <c r="AJ415" s="11"/>
      <c r="AK415" s="499">
        <f>VLOOKUP(ROUNDUP(AK414,0),DATOS!$F$16:$G$31,2,FALSE)</f>
        <v>21</v>
      </c>
      <c r="AL415" s="497"/>
      <c r="AM415" s="499">
        <f>VLOOKUP(ROUNDUP(AM414,0),DATOS!$J$16:$K$34,2,FALSE)</f>
        <v>12</v>
      </c>
      <c r="AN415" s="4"/>
      <c r="AO415" s="4"/>
      <c r="AP415" s="4"/>
    </row>
    <row r="416" spans="1:42">
      <c r="F416" s="2"/>
      <c r="G416" s="2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25"/>
      <c r="S416" s="25"/>
      <c r="T416" s="3"/>
      <c r="U416" s="30"/>
      <c r="V416" s="2"/>
      <c r="W416" s="2"/>
      <c r="X416" s="2"/>
      <c r="Y416" s="2"/>
      <c r="Z416" s="2"/>
      <c r="AA416" s="4"/>
      <c r="AB416" s="4"/>
      <c r="AC416" s="4"/>
      <c r="AD416" s="4"/>
      <c r="AE416" s="4"/>
      <c r="AF416" s="4"/>
      <c r="AG416" s="644"/>
      <c r="AH416" s="448"/>
      <c r="AI416" s="528"/>
      <c r="AJ416" s="892">
        <f>VLOOKUP(AK415,DATOS!$F$3:$H$11,3,FALSE)</f>
        <v>296770.86408577871</v>
      </c>
      <c r="AK416" s="892"/>
      <c r="AL416" s="892">
        <f>VLOOKUP(AM415,DATOS!$J$3:$L$12,3,FALSE)</f>
        <v>253432.58496000001</v>
      </c>
      <c r="AM416" s="892"/>
      <c r="AN416" s="4"/>
      <c r="AO416" s="4"/>
      <c r="AP416" s="4"/>
    </row>
    <row r="417" spans="1:42" ht="15.75" thickBot="1">
      <c r="A417" s="503"/>
      <c r="B417" s="503"/>
      <c r="C417" s="503"/>
      <c r="D417" s="503"/>
      <c r="E417" s="503"/>
      <c r="F417" s="504"/>
      <c r="G417" s="504"/>
      <c r="H417" s="505"/>
      <c r="I417" s="505"/>
      <c r="J417" s="505"/>
      <c r="K417" s="505"/>
      <c r="L417" s="505"/>
      <c r="M417" s="505"/>
      <c r="N417" s="505"/>
      <c r="O417" s="505"/>
      <c r="P417" s="505"/>
      <c r="Q417" s="505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6"/>
      <c r="AB417" s="506"/>
      <c r="AC417" s="506"/>
      <c r="AD417" s="506"/>
      <c r="AE417" s="506"/>
      <c r="AF417" s="506"/>
      <c r="AG417" s="506"/>
      <c r="AH417" s="506"/>
      <c r="AI417" s="506"/>
      <c r="AJ417" s="506"/>
      <c r="AK417" s="506"/>
      <c r="AL417" s="506"/>
      <c r="AM417" s="506"/>
      <c r="AN417" s="506"/>
      <c r="AO417" s="506"/>
      <c r="AP417" s="506"/>
    </row>
    <row r="418" spans="1:42" ht="39" thickBot="1">
      <c r="A418" s="886" t="s">
        <v>7</v>
      </c>
      <c r="B418" s="886" t="s">
        <v>2</v>
      </c>
      <c r="C418" s="524"/>
      <c r="D418" s="882" t="s">
        <v>22</v>
      </c>
      <c r="E418" s="882" t="s">
        <v>23</v>
      </c>
      <c r="F418" s="882" t="s">
        <v>3</v>
      </c>
      <c r="G418" s="568"/>
      <c r="H418" s="901" t="s">
        <v>0</v>
      </c>
      <c r="I418" s="901"/>
      <c r="J418" s="901"/>
      <c r="K418" s="901" t="s">
        <v>1</v>
      </c>
      <c r="L418" s="901"/>
      <c r="M418" s="886" t="s">
        <v>10</v>
      </c>
      <c r="N418" s="879" t="s">
        <v>5</v>
      </c>
      <c r="O418" s="880"/>
      <c r="P418" s="881"/>
      <c r="Q418" s="902" t="s">
        <v>4</v>
      </c>
      <c r="R418" s="903"/>
      <c r="S418" s="903"/>
      <c r="T418" s="904"/>
      <c r="U418" s="902" t="s">
        <v>6</v>
      </c>
      <c r="V418" s="903"/>
      <c r="W418" s="903"/>
      <c r="X418" s="904"/>
      <c r="Y418" s="390" t="s">
        <v>689</v>
      </c>
      <c r="Z418" s="662" t="s">
        <v>690</v>
      </c>
      <c r="AA418" s="905" t="s">
        <v>686</v>
      </c>
      <c r="AB418" s="886" t="s">
        <v>9</v>
      </c>
      <c r="AC418" s="907" t="s">
        <v>312</v>
      </c>
      <c r="AD418" s="914" t="s">
        <v>649</v>
      </c>
      <c r="AE418" s="897" t="s">
        <v>20</v>
      </c>
      <c r="AF418" s="897" t="s">
        <v>313</v>
      </c>
      <c r="AG418" s="899" t="s">
        <v>552</v>
      </c>
      <c r="AH418" s="895" t="s">
        <v>578</v>
      </c>
      <c r="AI418" s="897" t="s">
        <v>579</v>
      </c>
      <c r="AJ418" s="882" t="s">
        <v>581</v>
      </c>
      <c r="AK418" s="882" t="s">
        <v>582</v>
      </c>
      <c r="AL418" s="882" t="s">
        <v>581</v>
      </c>
      <c r="AM418" s="882" t="s">
        <v>582</v>
      </c>
      <c r="AN418" s="884" t="s">
        <v>553</v>
      </c>
      <c r="AO418" s="885"/>
      <c r="AP418" s="885"/>
    </row>
    <row r="419" spans="1:42" ht="30.75" thickBot="1">
      <c r="A419" s="888"/>
      <c r="B419" s="888"/>
      <c r="C419" s="525"/>
      <c r="D419" s="883"/>
      <c r="E419" s="883"/>
      <c r="F419" s="883"/>
      <c r="G419" s="478"/>
      <c r="H419" s="572" t="s">
        <v>18</v>
      </c>
      <c r="I419" s="572"/>
      <c r="J419" s="572" t="s">
        <v>17</v>
      </c>
      <c r="K419" s="17" t="s">
        <v>18</v>
      </c>
      <c r="L419" s="17" t="s">
        <v>17</v>
      </c>
      <c r="M419" s="888"/>
      <c r="N419" s="464" t="s">
        <v>685</v>
      </c>
      <c r="O419" s="17" t="s">
        <v>18</v>
      </c>
      <c r="P419" s="17" t="s">
        <v>17</v>
      </c>
      <c r="Q419" s="464" t="s">
        <v>685</v>
      </c>
      <c r="R419" s="17" t="s">
        <v>18</v>
      </c>
      <c r="S419" s="17"/>
      <c r="T419" s="17" t="s">
        <v>17</v>
      </c>
      <c r="U419" s="464" t="s">
        <v>576</v>
      </c>
      <c r="V419" s="17" t="s">
        <v>18</v>
      </c>
      <c r="W419" s="464" t="s">
        <v>577</v>
      </c>
      <c r="X419" s="17" t="s">
        <v>17</v>
      </c>
      <c r="Y419" s="17" t="s">
        <v>18</v>
      </c>
      <c r="Z419" s="17" t="s">
        <v>17</v>
      </c>
      <c r="AA419" s="906"/>
      <c r="AB419" s="888"/>
      <c r="AC419" s="908"/>
      <c r="AD419" s="915"/>
      <c r="AE419" s="898"/>
      <c r="AF419" s="898"/>
      <c r="AG419" s="900"/>
      <c r="AH419" s="896"/>
      <c r="AI419" s="898"/>
      <c r="AJ419" s="883"/>
      <c r="AK419" s="883"/>
      <c r="AL419" s="883"/>
      <c r="AM419" s="883"/>
      <c r="AN419" s="1" t="s">
        <v>551</v>
      </c>
      <c r="AO419" s="9" t="s">
        <v>554</v>
      </c>
      <c r="AP419" s="1" t="s">
        <v>555</v>
      </c>
    </row>
    <row r="420" spans="1:42">
      <c r="A420" s="909" t="s">
        <v>619</v>
      </c>
      <c r="B420" s="886" t="s">
        <v>310</v>
      </c>
      <c r="C420" s="526" t="str">
        <f>IF(AND(D420=AN420,D420=AO420,D420=AP420),"ok","ATENCIÓN NO ESTÁ TOMANDO BIEN LA LOCALIDAD")</f>
        <v>ok</v>
      </c>
      <c r="D420" s="23" t="s">
        <v>192</v>
      </c>
      <c r="E420" s="114">
        <f>VLOOKUP(D420,Pobl_adoptada!$C$5:$D$158,2,FALSE)</f>
        <v>93</v>
      </c>
      <c r="F420" s="8" t="s">
        <v>308</v>
      </c>
      <c r="G420" s="576">
        <f>+'[205]Inversion rec-TA'!$G$21</f>
        <v>5158033.5421887897</v>
      </c>
      <c r="H420" s="577">
        <f>+($AC420/$AC425)*H424+G420</f>
        <v>5708677.3415990435</v>
      </c>
      <c r="I420" s="587">
        <f>+'[205]Costos Operativos Rec-TA'!$G$23</f>
        <v>3165188.5730881114</v>
      </c>
      <c r="J420" s="579">
        <f>+($AC420/$AC425)*J424+I420</f>
        <v>3176201.4490763163</v>
      </c>
      <c r="K420" s="10">
        <f>+'[205]Inversion rec-TA'!$G$46</f>
        <v>0</v>
      </c>
      <c r="L420" s="10">
        <f>+'[205]Costos Operativos Rec-TA'!$G$46</f>
        <v>0</v>
      </c>
      <c r="M420" s="19">
        <f t="shared" ref="M420:M423" si="301">-H420/(1+0.12)+PV(12%,20,J420)-H420/(1+0.12)^10</f>
        <v>-30659532.324423209</v>
      </c>
      <c r="N420" s="614">
        <f>+$AD420/$AD425*N425</f>
        <v>586086.24956486642</v>
      </c>
      <c r="O420" s="25">
        <f>IF(N420-AG420&lt;0,0,N420-AG420)</f>
        <v>586086.24956486642</v>
      </c>
      <c r="P420" s="32">
        <f>+$AD420/$AD425*P425</f>
        <v>178381.33478600968</v>
      </c>
      <c r="Q420" s="614">
        <f>+$AC420/$AC425*Q425</f>
        <v>9488750.0953024328</v>
      </c>
      <c r="R420" s="646">
        <f>IF(Q420-AH420&lt;0,0,Q420-AH420)</f>
        <v>9488750.0953024328</v>
      </c>
      <c r="S420" s="25">
        <f t="shared" ref="S420:S423" si="302">IF(AC420&lt;15,0,IF(AC420&lt;=350,815000,1345000))</f>
        <v>815000</v>
      </c>
      <c r="T420" s="32">
        <f>+$AC420/$AC425*T425</f>
        <v>275367.82348845905</v>
      </c>
      <c r="U420" s="465">
        <f>SUMIFS(Tabla24[Costo de Cierre Técnico de BCA (US$)],Tabla24[Localidad],Resumen!$D420)</f>
        <v>180200</v>
      </c>
      <c r="V420" s="461">
        <f>+U420*(V$3*$E$3+V$4*$E$4)</f>
        <v>346063.72048000002</v>
      </c>
      <c r="W420" s="465">
        <f>SUMIFS(Tabla24[Costo anual de Manteniemiento Post-cierre (US$)],Tabla24[Localidad],Resumen!$D420)</f>
        <v>15999.203259966025</v>
      </c>
      <c r="X420" s="461">
        <f>+W420*(X$3*$E$3+X$4*$E$4)</f>
        <v>30725.548306656976</v>
      </c>
      <c r="Y420" s="27">
        <f>VLOOKUP($D420,'Costo Social x localidad'!$B$2:$M$156,12,FALSE)*(Y$3*$E$3+Y$4*$E$4)</f>
        <v>78642.416214719997</v>
      </c>
      <c r="Z420" s="28">
        <f>VLOOKUP(D420,'Estimación  PRESUPUESTO PCAS'!$B$4:$G$158,'Estimación  PRESUPUESTO PCAS'!$G$2,FALSE)</f>
        <v>334292.11758682935</v>
      </c>
      <c r="AA420" s="650">
        <f>(-O420-R420)/(1+0.12)+PV(12%,20,P420)+PV(12%,20,T420)-(O420*0.5)/(1+0.12)^10-S420/(1+0.12)^10</f>
        <v>-12741403.582117029</v>
      </c>
      <c r="AB420" s="651">
        <f>M420+AA420</f>
        <v>-43400935.906540237</v>
      </c>
      <c r="AC420" s="10">
        <f>VLOOKUP($E420,Resumen_Generación!$B$5:$F$158,Resumen_Generación!$D$3,FALSE)</f>
        <v>64.934796912000024</v>
      </c>
      <c r="AD420" s="10">
        <f>VLOOKUP($E420,Resumen_Generación!$B$5:$G$158,Resumen_Generación!$G$3,FALSE)</f>
        <v>26.830570109999996</v>
      </c>
      <c r="AE420" s="362">
        <f>VLOOKUP($E420,Resumen_Generación!$B$5:$F$158,Resumen_Generación!$E$3,FALSE)</f>
        <v>84705</v>
      </c>
      <c r="AF420" s="10">
        <f>VLOOKUP($E420,Resumen_Generación!$B$5:$F$158,Resumen_Generación!$F$3,FALSE)</f>
        <v>30.001565999999993</v>
      </c>
      <c r="AG420" s="448">
        <f>VLOOKUP($D420,Valoración_Eq_REG!$D$4:$I$157,Valoración_Eq_REG!$E$2,FALSE)*$E$4</f>
        <v>0</v>
      </c>
      <c r="AH420" s="448">
        <f>VLOOKUP($D420,Valoración_Eq_REG!$D$4:$I$157,Valoración_Eq_REG!$F$2,FALSE)*$E$4</f>
        <v>0</v>
      </c>
      <c r="AI420" s="448">
        <f>+[205]P_Datos!$D$43</f>
        <v>1.7375081967213117</v>
      </c>
      <c r="AJ420" s="484">
        <f>+'[205]Evaluacion Economica'!$L$25</f>
        <v>6</v>
      </c>
      <c r="AK420" s="448">
        <f>+'[205]Evaluacion Economica'!$R$25</f>
        <v>19</v>
      </c>
      <c r="AL420" s="484">
        <f>+'[205]P_Evaluacion Economica'!$L$27</f>
        <v>4</v>
      </c>
      <c r="AM420" s="448">
        <f>+'[205]P_Evaluacion Economica'!$Q$27</f>
        <v>15</v>
      </c>
      <c r="AN420" s="34" t="str">
        <f>+[205]Datos!$C$2</f>
        <v>Marcos Paz</v>
      </c>
      <c r="AO420" s="25" t="str">
        <f>VLOOKUP($E420,Tabla13[],Inputs_costos!$D$1,FALSE)</f>
        <v>MARCOS PAZ</v>
      </c>
      <c r="AP420" s="28" t="str">
        <f>VLOOKUP($D420,'Costo Social x localidad'!$B$2:$M$156,1,FALSE)</f>
        <v>MARCOS PAZ</v>
      </c>
    </row>
    <row r="421" spans="1:42">
      <c r="A421" s="910"/>
      <c r="B421" s="887"/>
      <c r="C421" s="478" t="str">
        <f>IF(AND(D421=AN421,D421=AO421,D421=AP421),"ok","ATENCIÓN NO ESTÁ TOMANDO BIEN LA LOCALIDAD")</f>
        <v>ok</v>
      </c>
      <c r="D421" s="24" t="s">
        <v>230</v>
      </c>
      <c r="E421" s="527">
        <f>VLOOKUP(D421,Pobl_adoptada!$C$5:$D$158,2,FALSE)</f>
        <v>124</v>
      </c>
      <c r="F421" s="9" t="s">
        <v>308</v>
      </c>
      <c r="G421" s="580">
        <f>+'[206]Inversion rec-TA'!$G$21</f>
        <v>6479089.7490187874</v>
      </c>
      <c r="H421" s="34">
        <f>+($AC421/$AC425)*H424+G421</f>
        <v>7452885.8226634106</v>
      </c>
      <c r="I421" s="465">
        <f>+'[206]Costos Operativos Rec-TA'!$G$23</f>
        <v>4183104.0883272747</v>
      </c>
      <c r="J421" s="581">
        <f>+($AC421/$AC425)*J424+I421</f>
        <v>4202580.0098001668</v>
      </c>
      <c r="K421" s="10">
        <f>+'[206]Inversion rec-TA'!$G$46</f>
        <v>0</v>
      </c>
      <c r="L421" s="10">
        <f>+'[206]Costos Operativos Rec-TA'!$G$46</f>
        <v>0</v>
      </c>
      <c r="M421" s="19">
        <f t="shared" si="301"/>
        <v>-40444926.571856074</v>
      </c>
      <c r="N421" s="465">
        <f>+$AD421/$AD425*N425</f>
        <v>1057476.9092050411</v>
      </c>
      <c r="O421" s="25">
        <f>IF(N421-AG421&lt;0,0,N421-AG421)</f>
        <v>1057476.9092050411</v>
      </c>
      <c r="P421" s="25">
        <f>+$AD421/$AD425*P425</f>
        <v>321853.89558179991</v>
      </c>
      <c r="Q421" s="465">
        <f>+$AC421/$AC425*Q425</f>
        <v>16780553.229686465</v>
      </c>
      <c r="R421" s="647">
        <f>IF(Q421-AH421&lt;0,0,Q421-AH421)</f>
        <v>16780553.229686465</v>
      </c>
      <c r="S421" s="25">
        <f t="shared" si="302"/>
        <v>815000</v>
      </c>
      <c r="T421" s="25">
        <f>+$AC421/$AC425*T425</f>
        <v>486979.2515748319</v>
      </c>
      <c r="U421" s="465">
        <f>SUMIFS(Tabla24[Costo de Cierre Técnico de BCA (US$)],Tabla24[Localidad],Resumen!$D421)</f>
        <v>0</v>
      </c>
      <c r="V421" s="461">
        <f t="shared" ref="V421:V423" si="303">+U421*(V$3*$E$3+V$4*$E$4)</f>
        <v>0</v>
      </c>
      <c r="W421" s="465">
        <f>SUMIFS(Tabla24[Costo anual de Manteniemiento Post-cierre (US$)],Tabla24[Localidad],Resumen!$D421)</f>
        <v>0</v>
      </c>
      <c r="X421" s="461">
        <f t="shared" ref="X421:X423" si="304">+W421*(X$3*$E$3+X$4*$E$4)</f>
        <v>0</v>
      </c>
      <c r="Y421" s="28">
        <f>VLOOKUP($D421,'Costo Social x localidad'!$B$2:$M$156,12,FALSE)*(Y$3*$E$3+Y$4*$E$4)</f>
        <v>111912.67628351998</v>
      </c>
      <c r="Z421" s="28">
        <f>VLOOKUP(D421,'Estimación  PRESUPUESTO PCAS'!$B$4:$G$158,'Estimación  PRESUPUESTO PCAS'!$G$2,FALSE)</f>
        <v>448808.84951943648</v>
      </c>
      <c r="AA421" s="650">
        <f>(-O421-R421)/(1+0.12)+PV(12%,20,P421)+PV(12%,20,T421)-(O421*0.5)/(1+0.12)^10-S421/(1+0.12)^10</f>
        <v>-22400994.037543956</v>
      </c>
      <c r="AB421" s="651">
        <f>M421+AA421</f>
        <v>-62845920.609400034</v>
      </c>
      <c r="AC421" s="10">
        <f>VLOOKUP($E421,Resumen_Generación!$B$5:$F$158,Resumen_Generación!$D$3,FALSE)</f>
        <v>114.83512634399999</v>
      </c>
      <c r="AD421" s="10">
        <f>VLOOKUP($E421,Resumen_Generación!$B$5:$G$158,Resumen_Generación!$G$3,FALSE)</f>
        <v>48.410465819999999</v>
      </c>
      <c r="AE421" s="362">
        <f>VLOOKUP($E421,Resumen_Generación!$B$5:$F$158,Resumen_Generación!$E$3,FALSE)</f>
        <v>150552</v>
      </c>
      <c r="AF421" s="10">
        <f>VLOOKUP($E421,Resumen_Generación!$B$5:$F$158,Resumen_Generación!$F$3,FALSE)</f>
        <v>52.551470999999999</v>
      </c>
      <c r="AG421" s="448">
        <f>VLOOKUP($D421,Valoración_Eq_REG!$D$4:$I$157,Valoración_Eq_REG!$E$2,FALSE)*$E$4</f>
        <v>0</v>
      </c>
      <c r="AH421" s="448">
        <f>VLOOKUP($D421,Valoración_Eq_REG!$D$4:$I$157,Valoración_Eq_REG!$F$2,FALSE)*$E$4</f>
        <v>0</v>
      </c>
      <c r="AI421" s="25">
        <f>+[206]P_Datos!$D$43</f>
        <v>3.1047868852459017</v>
      </c>
      <c r="AJ421" s="484">
        <f>+'[206]Evaluacion Economica'!$L$25</f>
        <v>7</v>
      </c>
      <c r="AK421" s="448">
        <f>+'[206]Evaluacion Economica'!$R$25</f>
        <v>24</v>
      </c>
      <c r="AL421" s="484">
        <f>+'[206]P_Evaluacion Economica'!$L$27</f>
        <v>4</v>
      </c>
      <c r="AM421" s="448">
        <f>+'[206]P_Evaluacion Economica'!$Q$27</f>
        <v>15</v>
      </c>
      <c r="AN421" s="34" t="str">
        <f>+[206]Datos!$C$2</f>
        <v>San Vicente</v>
      </c>
      <c r="AO421" s="25" t="str">
        <f>VLOOKUP($E421,Tabla13[],Inputs_costos!$D$1,FALSE)</f>
        <v>SAN VICENTE</v>
      </c>
      <c r="AP421" s="28" t="str">
        <f>VLOOKUP($D421,'Costo Social x localidad'!$B$2:$M$156,1,FALSE)</f>
        <v>SAN VICENTE</v>
      </c>
    </row>
    <row r="422" spans="1:42">
      <c r="A422" s="910"/>
      <c r="B422" s="887"/>
      <c r="C422" s="478" t="str">
        <f>IF(AND(D422=AN422,D422=AO422,D422=AP422),"ok","ATENCIÓN NO ESTÁ TOMANDO BIEN LA LOCALIDAD")</f>
        <v>ok</v>
      </c>
      <c r="D422" s="24" t="s">
        <v>131</v>
      </c>
      <c r="E422" s="527">
        <f>VLOOKUP(D422,Pobl_adoptada!$C$5:$D$158,2,FALSE)</f>
        <v>42</v>
      </c>
      <c r="F422" s="9" t="s">
        <v>308</v>
      </c>
      <c r="G422" s="580">
        <f>+'[207]Inversion rec-TA'!$G$21</f>
        <v>3390580.1871847715</v>
      </c>
      <c r="H422" s="34">
        <f>+($AC422/$AC425)*H424+G422</f>
        <v>3795248.7970102071</v>
      </c>
      <c r="I422" s="465">
        <f>+'[207]Costos Operativos Rec-TA'!$G$23</f>
        <v>1929375.0019401074</v>
      </c>
      <c r="J422" s="581">
        <f>+($AC422/$AC425)*J424+I422</f>
        <v>1937468.3741366162</v>
      </c>
      <c r="K422" s="10">
        <f>+'[207]Inversion rec-TA'!$G$46</f>
        <v>0</v>
      </c>
      <c r="L422" s="10">
        <f>+'[207]Costos Operativos Rec-TA'!$G$46</f>
        <v>0</v>
      </c>
      <c r="M422" s="19">
        <f t="shared" si="301"/>
        <v>-19082394.33070197</v>
      </c>
      <c r="N422" s="465">
        <f>+$AD422/$AD425*N425</f>
        <v>435774.97318183276</v>
      </c>
      <c r="O422" s="25">
        <f>IF(N422-AG422&lt;0,0,N422-AG422)</f>
        <v>435774.97318183276</v>
      </c>
      <c r="P422" s="25">
        <f>+$AD422/$AD425*P425</f>
        <v>132632.56293800747</v>
      </c>
      <c r="Q422" s="465">
        <f>+$AC422/$AC425*Q425</f>
        <v>6973290.7446873588</v>
      </c>
      <c r="R422" s="647">
        <f>IF(Q422-AH422&lt;0,0,Q422-AH422)</f>
        <v>6973290.7446873588</v>
      </c>
      <c r="S422" s="25">
        <f t="shared" si="302"/>
        <v>815000</v>
      </c>
      <c r="T422" s="25">
        <f>+$AC422/$AC425*T425</f>
        <v>202368.05434125738</v>
      </c>
      <c r="U422" s="465">
        <f>SUMIFS(Tabla24[Costo de Cierre Técnico de BCA (US$)],Tabla24[Localidad],Resumen!$D422)</f>
        <v>0</v>
      </c>
      <c r="V422" s="461">
        <f t="shared" si="303"/>
        <v>0</v>
      </c>
      <c r="W422" s="465">
        <f>SUMIFS(Tabla24[Costo anual de Manteniemiento Post-cierre (US$)],Tabla24[Localidad],Resumen!$D422)</f>
        <v>0</v>
      </c>
      <c r="X422" s="461">
        <f t="shared" si="304"/>
        <v>0</v>
      </c>
      <c r="Y422" s="28">
        <f>VLOOKUP($D422,'Costo Social x localidad'!$B$2:$M$156,12,FALSE)*(Y$3*$E$3+Y$4*$E$4)</f>
        <v>118702.96717378666</v>
      </c>
      <c r="Z422" s="28">
        <f>VLOOKUP(D422,'Estimación  PRESUPUESTO PCAS'!$B$4:$G$158,'Estimación  PRESUPUESTO PCAS'!$G$2,FALSE)</f>
        <v>272726.3314359925</v>
      </c>
      <c r="AA422" s="650">
        <f>(-O422-R422)/(1+0.12)+PV(12%,20,P422)+PV(12%,20,T422)-(O422*0.5)/(1+0.12)^10-S422/(1+0.12)^10</f>
        <v>-9450067.6000716127</v>
      </c>
      <c r="AB422" s="651">
        <f>M422+AA422</f>
        <v>-28532461.930773582</v>
      </c>
      <c r="AC422" s="10">
        <f>VLOOKUP($E422,Resumen_Generación!$B$5:$F$158,Resumen_Generación!$D$3,FALSE)</f>
        <v>47.72063904800001</v>
      </c>
      <c r="AD422" s="10">
        <f>VLOOKUP($E422,Resumen_Generación!$B$5:$G$158,Resumen_Generación!$G$3,FALSE)</f>
        <v>19.949437440000004</v>
      </c>
      <c r="AE422" s="362">
        <f>VLOOKUP($E422,Resumen_Generación!$B$5:$F$158,Resumen_Generación!$E$3,FALSE)</f>
        <v>60076</v>
      </c>
      <c r="AF422" s="10">
        <f>VLOOKUP($E422,Resumen_Generación!$B$5:$F$158,Resumen_Generación!$F$3,FALSE)</f>
        <v>21.883064000000001</v>
      </c>
      <c r="AG422" s="448">
        <f>VLOOKUP($D422,Valoración_Eq_REG!$D$4:$I$157,Valoración_Eq_REG!$E$2,FALSE)*$E$4</f>
        <v>0</v>
      </c>
      <c r="AH422" s="448">
        <f>VLOOKUP($D422,Valoración_Eq_REG!$D$4:$I$157,Valoración_Eq_REG!$F$2,FALSE)*$E$4</f>
        <v>0</v>
      </c>
      <c r="AI422" s="25">
        <f>+[207]P_Datos!$D$43</f>
        <v>1.2925901639344262</v>
      </c>
      <c r="AJ422" s="484">
        <f>+'[207]Evaluacion Economica'!$L$25</f>
        <v>4</v>
      </c>
      <c r="AK422" s="448">
        <f>+'[207]Evaluacion Economica'!$R$25</f>
        <v>18</v>
      </c>
      <c r="AL422" s="484">
        <f>+'[207]P_Evaluacion Economica'!$L$27</f>
        <v>3</v>
      </c>
      <c r="AM422" s="448">
        <f>+'[207]P_Evaluacion Economica'!$Q$27</f>
        <v>9</v>
      </c>
      <c r="AN422" s="34" t="str">
        <f>+[207]Datos!$C$2</f>
        <v>Cañuelas</v>
      </c>
      <c r="AO422" s="25" t="str">
        <f>VLOOKUP($E422,Tabla13[],Inputs_costos!$D$1,FALSE)</f>
        <v>CAÑUELAS</v>
      </c>
      <c r="AP422" s="28" t="str">
        <f>VLOOKUP($D422,'Costo Social x localidad'!$B$2:$M$156,1,FALSE)</f>
        <v>CAÑUELAS</v>
      </c>
    </row>
    <row r="423" spans="1:42">
      <c r="A423" s="910"/>
      <c r="B423" s="887"/>
      <c r="C423" s="478" t="str">
        <f>IF(AND(D423=AN423,D423=AO423,D423=AP423),"ok","ATENCIÓN NO ESTÁ TOMANDO BIEN LA LOCALIDAD")</f>
        <v>ok</v>
      </c>
      <c r="D423" s="24" t="s">
        <v>90</v>
      </c>
      <c r="E423" s="527">
        <f>VLOOKUP(D423,Pobl_adoptada!$C$5:$D$158,2,FALSE)</f>
        <v>5</v>
      </c>
      <c r="F423" s="9" t="s">
        <v>308</v>
      </c>
      <c r="G423" s="580">
        <f>+'[208]Inversion rec-TA'!$G$21</f>
        <v>5584336.2530187881</v>
      </c>
      <c r="H423" s="34">
        <f>+($AC423/$AC425)*H424+G423</f>
        <v>7421177.0210140664</v>
      </c>
      <c r="I423" s="465">
        <f>+'[208]Costos Operativos Rec-TA'!$G$23</f>
        <v>3240365.7462649378</v>
      </c>
      <c r="J423" s="581">
        <f>+($AC423/$AC425)*J424+I423</f>
        <v>3277102.5616248432</v>
      </c>
      <c r="K423" s="10">
        <f>+'[208]Inversion rec-TA'!$G$46</f>
        <v>0</v>
      </c>
      <c r="L423" s="10">
        <f>+'[208]Costos Operativos Rec-TA'!$G$46</f>
        <v>0</v>
      </c>
      <c r="M423" s="19">
        <f t="shared" si="301"/>
        <v>-33493604.131584421</v>
      </c>
      <c r="N423" s="465">
        <f>+$AD423/$AD425*N425</f>
        <v>1958010.1672482598</v>
      </c>
      <c r="O423" s="25">
        <f>IF(N423-AG423&lt;0,0,N423-AG423)</f>
        <v>1958010.1672482598</v>
      </c>
      <c r="P423" s="25">
        <f>+$AD423/$AD425*P425</f>
        <v>595940.38832618296</v>
      </c>
      <c r="Q423" s="465">
        <f>+$AC423/$AC425*Q425</f>
        <v>31652627.399123743</v>
      </c>
      <c r="R423" s="647">
        <f>IF(Q423-AH423&lt;0,0,Q423-AH423)</f>
        <v>31652627.399123743</v>
      </c>
      <c r="S423" s="25">
        <f t="shared" si="302"/>
        <v>815000</v>
      </c>
      <c r="T423" s="25">
        <f>+$AC423/$AC425*T425</f>
        <v>918573.57681945164</v>
      </c>
      <c r="U423" s="465">
        <f>SUMIFS(Tabla24[Costo de Cierre Técnico de BCA (US$)],Tabla24[Localidad],Resumen!$D423)</f>
        <v>0</v>
      </c>
      <c r="V423" s="461">
        <f t="shared" si="303"/>
        <v>0</v>
      </c>
      <c r="W423" s="465">
        <f>SUMIFS(Tabla24[Costo anual de Manteniemiento Post-cierre (US$)],Tabla24[Localidad],Resumen!$D423)</f>
        <v>0</v>
      </c>
      <c r="X423" s="461">
        <f t="shared" si="304"/>
        <v>0</v>
      </c>
      <c r="Y423" s="28">
        <f>VLOOKUP($D423,'Costo Social x localidad'!$B$2:$M$156,12,FALSE)*(Y$3*$E$3+Y$4*$E$4)</f>
        <v>229850.81961407996</v>
      </c>
      <c r="Z423" s="28">
        <f>VLOOKUP(D423,'Estimación  PRESUPUESTO PCAS'!$B$4:$G$158,'Estimación  PRESUPUESTO PCAS'!$G$2,FALSE)</f>
        <v>645570.08234232594</v>
      </c>
      <c r="AA423" s="650">
        <f>(-O423-R423)/(1+0.12)+PV(12%,20,P423)+PV(12%,20,T423)-(O423*0.5)/(1+0.12)^10-S423/(1+0.12)^10</f>
        <v>-41899696.131264642</v>
      </c>
      <c r="AB423" s="651">
        <f>M423+AA423</f>
        <v>-75393300.262849063</v>
      </c>
      <c r="AC423" s="10">
        <f>VLOOKUP($E423,Resumen_Generación!$B$5:$F$158,Resumen_Generación!$D$3,FALSE)</f>
        <v>216.60987076800001</v>
      </c>
      <c r="AD423" s="10">
        <f>VLOOKUP($E423,Resumen_Generación!$B$5:$G$158,Resumen_Generación!$G$3,FALSE)</f>
        <v>89.636174040000014</v>
      </c>
      <c r="AE423" s="362">
        <f>VLOOKUP($E423,Resumen_Generación!$B$5:$F$158,Resumen_Generación!$E$3,FALSE)</f>
        <v>282666</v>
      </c>
      <c r="AF423" s="10">
        <f>VLOOKUP($E423,Resumen_Generación!$B$5:$F$158,Resumen_Generación!$F$3,FALSE)</f>
        <v>100.07102700000002</v>
      </c>
      <c r="AG423" s="448">
        <f>VLOOKUP($D423,Valoración_Eq_REG!$D$4:$I$157,Valoración_Eq_REG!$E$2,FALSE)*$E$4</f>
        <v>0</v>
      </c>
      <c r="AH423" s="448">
        <f>VLOOKUP($D423,Valoración_Eq_REG!$D$4:$I$157,Valoración_Eq_REG!$F$2,FALSE)*$E$4</f>
        <v>0</v>
      </c>
      <c r="AI423" s="25">
        <f>+[208]P_Datos!$D$43</f>
        <v>5.5277377049180325</v>
      </c>
      <c r="AJ423" s="484">
        <f>+'[208]Evaluacion Economica'!$L$25</f>
        <v>7</v>
      </c>
      <c r="AK423" s="448">
        <f>+'[208]Evaluacion Economica'!$R$25</f>
        <v>24</v>
      </c>
      <c r="AL423" s="484">
        <f>+'[208]P_Evaluacion Economica'!$L$27</f>
        <v>4</v>
      </c>
      <c r="AM423" s="448">
        <f>+'[208]P_Evaluacion Economica'!$Q$27</f>
        <v>15</v>
      </c>
      <c r="AN423" s="34" t="str">
        <f>+[208]Datos!$C$2</f>
        <v>Ezeiza</v>
      </c>
      <c r="AO423" s="25" t="str">
        <f>VLOOKUP($E423,Tabla13[],Inputs_costos!$D$1,FALSE)</f>
        <v>EZEIZA</v>
      </c>
      <c r="AP423" s="28" t="str">
        <f>VLOOKUP($D423,'Costo Social x localidad'!$B$2:$M$156,1,FALSE)</f>
        <v>EZEIZA</v>
      </c>
    </row>
    <row r="424" spans="1:42" ht="30.75" thickBot="1">
      <c r="A424" s="910"/>
      <c r="B424" s="887"/>
      <c r="C424" s="912" t="s">
        <v>12</v>
      </c>
      <c r="D424" s="913"/>
      <c r="E424" s="498" t="s">
        <v>589</v>
      </c>
      <c r="F424" s="571">
        <f>+F414</f>
        <v>0.02</v>
      </c>
      <c r="G424" s="582"/>
      <c r="H424" s="461">
        <f>+AJ424*AJ426+AL424*AL426</f>
        <v>3765949.2508755908</v>
      </c>
      <c r="I424" s="461"/>
      <c r="J424" s="583">
        <f>+$F424*H424</f>
        <v>75318.985017511819</v>
      </c>
      <c r="K424" s="10"/>
      <c r="L424" s="10"/>
      <c r="M424" s="19"/>
      <c r="N424" s="465"/>
      <c r="O424" s="10"/>
      <c r="P424" s="10"/>
      <c r="Q424" s="618"/>
      <c r="R424" s="645"/>
      <c r="S424" s="645"/>
      <c r="T424" s="28"/>
      <c r="U424" s="28"/>
      <c r="V424" s="28"/>
      <c r="W424" s="28"/>
      <c r="X424" s="28"/>
      <c r="Y424" s="28"/>
      <c r="Z424" s="28"/>
      <c r="AA424" s="658"/>
      <c r="AB424" s="20"/>
      <c r="AC424" s="10"/>
      <c r="AD424" s="10"/>
      <c r="AE424" s="10"/>
      <c r="AF424" s="10"/>
      <c r="AG424" s="2"/>
      <c r="AH424" s="2"/>
      <c r="AI424" s="4"/>
      <c r="AJ424" s="501">
        <f>ROUNDUP(C425*SUM(AJ420:AJ423),0)</f>
        <v>8</v>
      </c>
      <c r="AK424" s="502">
        <f>AVERAGE(AK420:AK423)</f>
        <v>21.25</v>
      </c>
      <c r="AL424" s="501">
        <f>ROUNDUP(C425*SUM(AL420:AL423),0)</f>
        <v>5</v>
      </c>
      <c r="AM424" s="502">
        <f>AVERAGE(AM420:AM423)</f>
        <v>13.5</v>
      </c>
      <c r="AN424" s="4"/>
      <c r="AO424" s="4"/>
      <c r="AP424" s="4"/>
    </row>
    <row r="425" spans="1:42" ht="15.75" thickBot="1">
      <c r="A425" s="911"/>
      <c r="B425" s="888"/>
      <c r="C425" s="570">
        <v>0.3</v>
      </c>
      <c r="D425" s="500" t="str">
        <f>A420</f>
        <v>REGIÓN CEAMSE Ezeiza</v>
      </c>
      <c r="E425" s="468"/>
      <c r="F425" s="469"/>
      <c r="G425" s="584"/>
      <c r="H425" s="585">
        <f>SUM(H420:H423)</f>
        <v>24377988.982286729</v>
      </c>
      <c r="I425" s="585"/>
      <c r="J425" s="586">
        <f>SUM(J420:J423)</f>
        <v>12593352.394637942</v>
      </c>
      <c r="K425" s="14"/>
      <c r="L425" s="14"/>
      <c r="M425" s="15">
        <f>SUM(M420:M424)</f>
        <v>-123680457.35856567</v>
      </c>
      <c r="N425" s="615">
        <f>(VLOOKUP($E420,Tabla13[],Inputs_costos!$P$1,FALSE))*(O$3*$E$3+O$4*$E$4)</f>
        <v>4037348.2992000002</v>
      </c>
      <c r="O425" s="35">
        <f>SUM(O420:O423)</f>
        <v>4037348.2992000002</v>
      </c>
      <c r="P425" s="35">
        <f>(VLOOKUP($E420,Tabla13[],Inputs_costos!$Q$1,FALSE))*(P$3*$E$3+P$4*$E$4)</f>
        <v>1228808.181632</v>
      </c>
      <c r="Q425" s="615">
        <f>IF($AC420&gt;=15,(VLOOKUP($E420,Tabla13[],Inputs_costos!$N$1,FALSE))*($R$3*$E$3+$R$4*$E$4),(VLOOKUP($E420,Tabla13[],Inputs_costos!$N$1,FALSE))*($T$3*$E$3+$T$4*$E$4))</f>
        <v>64895221.468800001</v>
      </c>
      <c r="R425" s="35">
        <f>SUM(R420:R423)</f>
        <v>64895221.468800001</v>
      </c>
      <c r="S425" s="35"/>
      <c r="T425" s="35">
        <f>IF($AC420&gt;=15,(VLOOKUP($E420,Tabla13[],Inputs_costos!$O$1,FALSE))*($R$3*$E$3+$R$4*$E$4),(VLOOKUP($E420,Tabla13[],Inputs_costos!$O$1,FALSE))*($T$3*$E$3+$T$4*$E$4))</f>
        <v>1883288.7062240001</v>
      </c>
      <c r="U425" s="35"/>
      <c r="V425" s="31">
        <f>SUM(V420:V423)</f>
        <v>346063.72048000002</v>
      </c>
      <c r="W425" s="31"/>
      <c r="X425" s="31">
        <f>SUM(X420:X423)</f>
        <v>30725.548306656976</v>
      </c>
      <c r="Y425" s="31">
        <f>SUM(Y420:Y423)</f>
        <v>539108.87928610668</v>
      </c>
      <c r="Z425" s="31">
        <f>SUM(Z420:Z423)</f>
        <v>1701397.3808845843</v>
      </c>
      <c r="AA425" s="657">
        <f>SUM(AA420:AA423)</f>
        <v>-86492161.350997239</v>
      </c>
      <c r="AB425" s="654">
        <f>+M425+AA425</f>
        <v>-210172618.7095629</v>
      </c>
      <c r="AC425" s="630">
        <f t="shared" ref="AC425:AD425" si="305">SUM(AC420:AC423)</f>
        <v>444.10043307200004</v>
      </c>
      <c r="AD425" s="630">
        <f t="shared" si="305"/>
        <v>184.82664741000002</v>
      </c>
      <c r="AE425" s="631">
        <f>SUM(AE420:AE423)</f>
        <v>577999</v>
      </c>
      <c r="AF425" s="630">
        <f>SUM(AF420:AF423)</f>
        <v>204.50712800000002</v>
      </c>
      <c r="AG425" s="630">
        <f>SUM(AG420:AG423)</f>
        <v>0</v>
      </c>
      <c r="AH425" s="630">
        <f>SUM(AH420:AH423)</f>
        <v>0</v>
      </c>
      <c r="AI425" s="630">
        <f>SUM(AI420:AI423)</f>
        <v>11.662622950819671</v>
      </c>
      <c r="AJ425" s="11"/>
      <c r="AK425" s="499">
        <f>VLOOKUP(ROUNDUP(AK424,0),DATOS!$F$16:$G$31,2,FALSE)</f>
        <v>24</v>
      </c>
      <c r="AL425" s="497"/>
      <c r="AM425" s="499">
        <f>VLOOKUP(ROUNDUP(AM424,0),DATOS!$J$16:$K$34,2,FALSE)</f>
        <v>15</v>
      </c>
      <c r="AN425" s="4"/>
      <c r="AO425" s="4"/>
      <c r="AP425" s="4"/>
    </row>
    <row r="426" spans="1:42">
      <c r="F426" s="2"/>
      <c r="G426" s="2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25"/>
      <c r="S426" s="25"/>
      <c r="T426" s="3"/>
      <c r="U426" s="30"/>
      <c r="V426" s="2"/>
      <c r="W426" s="2"/>
      <c r="X426" s="2"/>
      <c r="Y426" s="2"/>
      <c r="Z426" s="2"/>
      <c r="AA426" s="4"/>
      <c r="AB426" s="4"/>
      <c r="AC426" s="4"/>
      <c r="AD426" s="4"/>
      <c r="AE426" s="4"/>
      <c r="AF426" s="4"/>
      <c r="AG426" s="644"/>
      <c r="AH426" s="448"/>
      <c r="AI426" s="528"/>
      <c r="AJ426" s="892">
        <f>VLOOKUP(AK425,DATOS!$F$3:$H$11,3,FALSE)</f>
        <v>306356.98123444885</v>
      </c>
      <c r="AK426" s="892"/>
      <c r="AL426" s="892">
        <f>VLOOKUP(AM425,DATOS!$J$3:$L$12,3,FALSE)</f>
        <v>263018.6802</v>
      </c>
      <c r="AM426" s="892"/>
      <c r="AN426" s="4"/>
      <c r="AO426" s="4"/>
      <c r="AP426" s="4"/>
    </row>
    <row r="427" spans="1:42" ht="15.75" thickBot="1">
      <c r="A427" s="503"/>
      <c r="B427" s="503"/>
      <c r="C427" s="503"/>
      <c r="D427" s="503"/>
      <c r="E427" s="503"/>
      <c r="F427" s="504"/>
      <c r="G427" s="504"/>
      <c r="H427" s="505"/>
      <c r="I427" s="505"/>
      <c r="J427" s="505"/>
      <c r="K427" s="505"/>
      <c r="L427" s="505"/>
      <c r="M427" s="505"/>
      <c r="N427" s="505"/>
      <c r="O427" s="505"/>
      <c r="P427" s="505"/>
      <c r="Q427" s="505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6"/>
      <c r="AB427" s="506"/>
      <c r="AC427" s="506"/>
      <c r="AD427" s="506"/>
      <c r="AE427" s="506"/>
      <c r="AF427" s="506"/>
      <c r="AG427" s="506"/>
      <c r="AH427" s="506"/>
      <c r="AI427" s="506"/>
      <c r="AJ427" s="506"/>
      <c r="AK427" s="506"/>
      <c r="AL427" s="506"/>
      <c r="AM427" s="506"/>
      <c r="AN427" s="506"/>
      <c r="AO427" s="506"/>
      <c r="AP427" s="506"/>
    </row>
    <row r="428" spans="1:42" ht="39" thickBot="1">
      <c r="A428" s="886" t="s">
        <v>7</v>
      </c>
      <c r="B428" s="886" t="s">
        <v>2</v>
      </c>
      <c r="C428" s="524"/>
      <c r="D428" s="882" t="s">
        <v>22</v>
      </c>
      <c r="E428" s="882" t="s">
        <v>23</v>
      </c>
      <c r="F428" s="882" t="s">
        <v>3</v>
      </c>
      <c r="G428" s="568"/>
      <c r="H428" s="901" t="s">
        <v>0</v>
      </c>
      <c r="I428" s="901"/>
      <c r="J428" s="901"/>
      <c r="K428" s="901" t="s">
        <v>1</v>
      </c>
      <c r="L428" s="901"/>
      <c r="M428" s="886" t="s">
        <v>10</v>
      </c>
      <c r="N428" s="879" t="s">
        <v>5</v>
      </c>
      <c r="O428" s="880"/>
      <c r="P428" s="881"/>
      <c r="Q428" s="902" t="s">
        <v>4</v>
      </c>
      <c r="R428" s="903"/>
      <c r="S428" s="903"/>
      <c r="T428" s="904"/>
      <c r="U428" s="902" t="s">
        <v>6</v>
      </c>
      <c r="V428" s="903"/>
      <c r="W428" s="903"/>
      <c r="X428" s="904"/>
      <c r="Y428" s="390" t="s">
        <v>689</v>
      </c>
      <c r="Z428" s="662" t="s">
        <v>690</v>
      </c>
      <c r="AA428" s="905" t="s">
        <v>686</v>
      </c>
      <c r="AB428" s="886" t="s">
        <v>9</v>
      </c>
      <c r="AC428" s="907" t="s">
        <v>312</v>
      </c>
      <c r="AD428" s="914" t="s">
        <v>649</v>
      </c>
      <c r="AE428" s="897" t="s">
        <v>20</v>
      </c>
      <c r="AF428" s="897" t="s">
        <v>313</v>
      </c>
      <c r="AG428" s="899" t="s">
        <v>552</v>
      </c>
      <c r="AH428" s="895" t="s">
        <v>578</v>
      </c>
      <c r="AI428" s="897" t="s">
        <v>579</v>
      </c>
      <c r="AJ428" s="882" t="s">
        <v>581</v>
      </c>
      <c r="AK428" s="882" t="s">
        <v>582</v>
      </c>
      <c r="AL428" s="882" t="s">
        <v>581</v>
      </c>
      <c r="AM428" s="882" t="s">
        <v>582</v>
      </c>
      <c r="AN428" s="884" t="s">
        <v>553</v>
      </c>
      <c r="AO428" s="885"/>
      <c r="AP428" s="885"/>
    </row>
    <row r="429" spans="1:42" ht="30.75" thickBot="1">
      <c r="A429" s="888"/>
      <c r="B429" s="888"/>
      <c r="C429" s="525"/>
      <c r="D429" s="883"/>
      <c r="E429" s="883"/>
      <c r="F429" s="883"/>
      <c r="G429" s="478"/>
      <c r="H429" s="572" t="s">
        <v>18</v>
      </c>
      <c r="I429" s="572"/>
      <c r="J429" s="572" t="s">
        <v>17</v>
      </c>
      <c r="K429" s="17" t="s">
        <v>18</v>
      </c>
      <c r="L429" s="17" t="s">
        <v>17</v>
      </c>
      <c r="M429" s="888"/>
      <c r="N429" s="464" t="s">
        <v>685</v>
      </c>
      <c r="O429" s="17" t="s">
        <v>18</v>
      </c>
      <c r="P429" s="17" t="s">
        <v>17</v>
      </c>
      <c r="Q429" s="464" t="s">
        <v>685</v>
      </c>
      <c r="R429" s="17" t="s">
        <v>18</v>
      </c>
      <c r="S429" s="17"/>
      <c r="T429" s="17" t="s">
        <v>17</v>
      </c>
      <c r="U429" s="464" t="s">
        <v>576</v>
      </c>
      <c r="V429" s="17" t="s">
        <v>18</v>
      </c>
      <c r="W429" s="464" t="s">
        <v>577</v>
      </c>
      <c r="X429" s="17" t="s">
        <v>17</v>
      </c>
      <c r="Y429" s="17" t="s">
        <v>18</v>
      </c>
      <c r="Z429" s="17" t="s">
        <v>17</v>
      </c>
      <c r="AA429" s="906"/>
      <c r="AB429" s="888"/>
      <c r="AC429" s="908"/>
      <c r="AD429" s="915"/>
      <c r="AE429" s="898"/>
      <c r="AF429" s="898"/>
      <c r="AG429" s="900"/>
      <c r="AH429" s="896"/>
      <c r="AI429" s="898"/>
      <c r="AJ429" s="883"/>
      <c r="AK429" s="883"/>
      <c r="AL429" s="883"/>
      <c r="AM429" s="883"/>
      <c r="AN429" s="1" t="s">
        <v>551</v>
      </c>
      <c r="AO429" s="9" t="s">
        <v>554</v>
      </c>
      <c r="AP429" s="1" t="s">
        <v>555</v>
      </c>
    </row>
    <row r="430" spans="1:42">
      <c r="A430" s="909" t="s">
        <v>620</v>
      </c>
      <c r="B430" s="886" t="s">
        <v>310</v>
      </c>
      <c r="C430" s="526" t="str">
        <f>IF(AND(D430=AN430,D430=AO430,D430=AP430),"ok","ATENCIÓN NO ESTÁ TOMANDO BIEN LA LOCALIDAD")</f>
        <v>ok</v>
      </c>
      <c r="D430" s="23" t="s">
        <v>96</v>
      </c>
      <c r="E430" s="114">
        <f>VLOOKUP(D430,Pobl_adoptada!$C$5:$D$158,2,FALSE)</f>
        <v>11</v>
      </c>
      <c r="F430" s="8" t="s">
        <v>308</v>
      </c>
      <c r="G430" s="576">
        <f>+'[209]Inversion rec-TA'!$G$21</f>
        <v>67251706.585836962</v>
      </c>
      <c r="H430" s="577">
        <f>+($AC430/$AC432)*H431+G430</f>
        <v>110890390.57221866</v>
      </c>
      <c r="I430" s="587">
        <f>+'[209]Costos Operativos Rec-TA'!$G$23</f>
        <v>38976235.773238689</v>
      </c>
      <c r="J430" s="577">
        <f>+($AC430/$AC432)*J431+I430</f>
        <v>39849009.452966325</v>
      </c>
      <c r="K430" s="10">
        <f>+'[209]Inversion rec-TA'!$G$46</f>
        <v>0</v>
      </c>
      <c r="L430" s="10">
        <f>+'[209]Costos Operativos Rec-TA'!$G$46</f>
        <v>0</v>
      </c>
      <c r="M430" s="19">
        <f t="shared" ref="M430" si="306">-H430/(1+0.12)+PV(12%,20,J430)-H430/(1+0.12)^10</f>
        <v>-432362944.85019696</v>
      </c>
      <c r="N430" s="614">
        <f>+$AD430/$AD432*N432</f>
        <v>16773406.04672</v>
      </c>
      <c r="O430" s="25">
        <f>IF(N430-AG430&lt;0,0,N430-AG430)</f>
        <v>16773406.04672</v>
      </c>
      <c r="P430" s="32">
        <f>+$AD430/$AD432*P432</f>
        <v>1921937.3180800001</v>
      </c>
      <c r="Q430" s="614">
        <f>+$AC430/$AC432*Q432</f>
        <v>354729598.93360001</v>
      </c>
      <c r="R430" s="647">
        <f>IF(Q430-AH430&lt;0,0,Q430-AH430)</f>
        <v>354729598.93360001</v>
      </c>
      <c r="S430" s="25">
        <f t="shared" ref="S430" si="307">IF(AC430&lt;15,0,IF(AC430&lt;=350,815000,1345000))</f>
        <v>1345000</v>
      </c>
      <c r="T430" s="32">
        <f>+$AC430/$AC432*T432</f>
        <v>2052666.5018880002</v>
      </c>
      <c r="U430" s="465">
        <f>SUMIFS(Tabla24[Costo de Cierre Técnico de BCA (US$)],Tabla24[Localidad],Resumen!$D430)</f>
        <v>14363000</v>
      </c>
      <c r="V430" s="461">
        <f>+U430*(V$3*$E$3+V$4*$E$4)</f>
        <v>27583314.191199999</v>
      </c>
      <c r="W430" s="465">
        <f>SUMIFS(Tabla24[Costo anual de Manteniemiento Post-cierre (US$)],Tabla24[Localidad],Resumen!$D430)</f>
        <v>1275230.612779645</v>
      </c>
      <c r="X430" s="461">
        <f>+W430*(X$3*$E$3+X$4*$E$4)</f>
        <v>2449006.9385600123</v>
      </c>
      <c r="Y430" s="27">
        <f>VLOOKUP($D430,'Costo Social x localidad'!$B$2:$M$156,12,FALSE)*(Y$3*$E$3+Y$4*$E$4)</f>
        <v>1731632.9950751995</v>
      </c>
      <c r="Z430" s="28">
        <f>VLOOKUP(D430,'Estimación  PRESUPUESTO PCAS'!$B$4:$G$158,'Estimación  PRESUPUESTO PCAS'!$G$2,FALSE)</f>
        <v>7782323.0461560795</v>
      </c>
      <c r="AA430" s="650">
        <f>(-O430-R430)/(1+0.12)+PV(12%,20,P430)+PV(12%,20,T430)-(O430*0.5)/(1+0.12)^10-S430/(1+0.12)^10</f>
        <v>-364520538.67183018</v>
      </c>
      <c r="AB430" s="651">
        <f>M430+AA430</f>
        <v>-796883483.52202713</v>
      </c>
      <c r="AC430" s="10">
        <f>VLOOKUP($E430,Resumen_Generación!$B$5:$F$158,Resumen_Generación!$D$3,FALSE)</f>
        <v>2728.184220096</v>
      </c>
      <c r="AD430" s="10">
        <f>VLOOKUP($E430,Resumen_Generación!$B$5:$G$158,Resumen_Generación!$G$3,FALSE)</f>
        <v>1122.6800248799998</v>
      </c>
      <c r="AE430" s="362">
        <f>VLOOKUP($E430,Resumen_Generación!$B$5:$F$158,Resumen_Generación!$E$3,FALSE)</f>
        <v>2571864</v>
      </c>
      <c r="AF430" s="10">
        <f>VLOOKUP($E430,Resumen_Generación!$B$5:$F$158,Resumen_Generación!$F$3,FALSE)</f>
        <v>1260.7952805</v>
      </c>
      <c r="AG430" s="448">
        <f>VLOOKUP($D430,Valoración_Eq_REG!$D$4:$I$157,Valoración_Eq_REG!$E$2,FALSE)*$E$4</f>
        <v>0</v>
      </c>
      <c r="AH430" s="448">
        <f>VLOOKUP($D430,Valoración_Eq_REG!$D$4:$I$157,Valoración_Eq_REG!$F$2,FALSE)*$E$4</f>
        <v>0</v>
      </c>
      <c r="AI430" s="448">
        <f>+[209]P_Datos!$D$43</f>
        <v>8.4436852459016407</v>
      </c>
      <c r="AJ430" s="484">
        <f>+'[209]Evaluacion Economica'!$L$25</f>
        <v>133</v>
      </c>
      <c r="AK430" s="448">
        <f>+'[209]Evaluacion Economica'!$R$25</f>
        <v>24</v>
      </c>
      <c r="AL430" s="484">
        <f>+'[209]P_Evaluacion Economica'!$L$27</f>
        <v>11</v>
      </c>
      <c r="AM430" s="448">
        <f>+'[209]P_Evaluacion Economica'!$Q$27</f>
        <v>15</v>
      </c>
      <c r="AN430" s="34" t="str">
        <f>+[209]Datos!$C$2</f>
        <v>La Matanza</v>
      </c>
      <c r="AO430" s="25" t="str">
        <f>VLOOKUP($E430,Tabla13[],Inputs_costos!$D$1,FALSE)</f>
        <v>LA MATANZA</v>
      </c>
      <c r="AP430" s="28" t="str">
        <f>VLOOKUP($D430,'Costo Social x localidad'!$B$2:$M$156,1,FALSE)</f>
        <v>LA MATANZA</v>
      </c>
    </row>
    <row r="431" spans="1:42" ht="30.75" thickBot="1">
      <c r="A431" s="910"/>
      <c r="B431" s="887"/>
      <c r="C431" s="912" t="s">
        <v>12</v>
      </c>
      <c r="D431" s="913"/>
      <c r="E431" s="498" t="s">
        <v>589</v>
      </c>
      <c r="F431" s="571">
        <f>+F424</f>
        <v>0.02</v>
      </c>
      <c r="G431" s="582"/>
      <c r="H431" s="461">
        <f>+AJ431*AJ433+AL431*AL433</f>
        <v>43638683.986381695</v>
      </c>
      <c r="I431" s="461"/>
      <c r="J431" s="583">
        <f>+$F431*H431</f>
        <v>872773.67972763395</v>
      </c>
      <c r="K431" s="10"/>
      <c r="L431" s="10"/>
      <c r="M431" s="19"/>
      <c r="N431" s="465"/>
      <c r="O431" s="10"/>
      <c r="P431" s="10"/>
      <c r="Q431" s="618"/>
      <c r="R431" s="28"/>
      <c r="S431" s="28"/>
      <c r="T431" s="28"/>
      <c r="U431" s="28"/>
      <c r="V431" s="28"/>
      <c r="W431" s="28"/>
      <c r="X431" s="28"/>
      <c r="Y431" s="28"/>
      <c r="Z431" s="28"/>
      <c r="AA431" s="658"/>
      <c r="AB431" s="20"/>
      <c r="AC431" s="10"/>
      <c r="AD431" s="10"/>
      <c r="AE431" s="10"/>
      <c r="AF431" s="10"/>
      <c r="AG431" s="2"/>
      <c r="AH431" s="2"/>
      <c r="AI431" s="4"/>
      <c r="AJ431" s="501">
        <f>ROUNDUP(C432*SUM(AJ430:AJ430),0)</f>
        <v>133</v>
      </c>
      <c r="AK431" s="502">
        <f>AVERAGE(AK430:AK430)</f>
        <v>24</v>
      </c>
      <c r="AL431" s="501">
        <f>ROUNDUP(C432*SUM(AL430:AL430),0)</f>
        <v>11</v>
      </c>
      <c r="AM431" s="502">
        <f>AVERAGE(AM430:AM430)</f>
        <v>15</v>
      </c>
      <c r="AN431" s="4"/>
      <c r="AO431" s="4"/>
      <c r="AP431" s="4"/>
    </row>
    <row r="432" spans="1:42" ht="15.75" thickBot="1">
      <c r="A432" s="911"/>
      <c r="B432" s="888"/>
      <c r="C432" s="570">
        <v>1</v>
      </c>
      <c r="D432" s="500" t="str">
        <f>A430</f>
        <v>REGIÓN CEAMSE González Catán</v>
      </c>
      <c r="E432" s="468"/>
      <c r="F432" s="469"/>
      <c r="G432" s="584"/>
      <c r="H432" s="585">
        <f>SUM(H430:H430)</f>
        <v>110890390.57221866</v>
      </c>
      <c r="I432" s="585"/>
      <c r="J432" s="586">
        <f>SUM(J430:J430)</f>
        <v>39849009.452966325</v>
      </c>
      <c r="K432" s="14"/>
      <c r="L432" s="14"/>
      <c r="M432" s="15">
        <f>SUM(M430:M431)</f>
        <v>-432362944.85019696</v>
      </c>
      <c r="N432" s="615">
        <f>(VLOOKUP($E430,Tabla13[],Inputs_costos!$P$1,FALSE))*(O$3*$E$3+O$4*$E$4)</f>
        <v>16773406.04672</v>
      </c>
      <c r="O432" s="35">
        <f>SUM(O430:O430)</f>
        <v>16773406.04672</v>
      </c>
      <c r="P432" s="35">
        <f>(VLOOKUP($E430,Tabla13[],Inputs_costos!$Q$1,FALSE))*(P$3*$E$3+P$4*$E$4)</f>
        <v>1921937.3180800001</v>
      </c>
      <c r="Q432" s="615">
        <f>IF($AC430&gt;=15,(VLOOKUP($E430,Tabla13[],Inputs_costos!$N$1,FALSE))*($R$3*$E$3+$R$4*$E$4),(VLOOKUP($E430,Tabla13[],Inputs_costos!$N$1,FALSE))*($T$3*$E$3+$T$4*$E$4))</f>
        <v>354729598.93360001</v>
      </c>
      <c r="R432" s="35">
        <f>SUM(R430)</f>
        <v>354729598.93360001</v>
      </c>
      <c r="S432" s="35"/>
      <c r="T432" s="35">
        <f>IF($AC430&gt;=15,(VLOOKUP($E430,Tabla13[],Inputs_costos!$O$1,FALSE))*($R$3*$E$3+$R$4*$E$4),(VLOOKUP($E430,Tabla13[],Inputs_costos!$O$1,FALSE))*($T$3*$E$3+$T$4*$E$4))</f>
        <v>2052666.5018880002</v>
      </c>
      <c r="U432" s="35"/>
      <c r="V432" s="31">
        <f>SUM(V430:V430)</f>
        <v>27583314.191199999</v>
      </c>
      <c r="W432" s="31"/>
      <c r="X432" s="31">
        <f>SUM(X430:X430)</f>
        <v>2449006.9385600123</v>
      </c>
      <c r="Y432" s="31">
        <f>SUM(Y430:Y430)</f>
        <v>1731632.9950751995</v>
      </c>
      <c r="Z432" s="31">
        <f>SUM(Z430:Z430)</f>
        <v>7782323.0461560795</v>
      </c>
      <c r="AA432" s="657">
        <f>SUM(AA430)</f>
        <v>-364520538.67183018</v>
      </c>
      <c r="AB432" s="654">
        <f>+M432+AA432</f>
        <v>-796883483.52202713</v>
      </c>
      <c r="AC432" s="630">
        <f t="shared" ref="AC432:AI432" si="308">SUM(AC430:AC430)</f>
        <v>2728.184220096</v>
      </c>
      <c r="AD432" s="630">
        <f t="shared" si="308"/>
        <v>1122.6800248799998</v>
      </c>
      <c r="AE432" s="631">
        <f t="shared" si="308"/>
        <v>2571864</v>
      </c>
      <c r="AF432" s="630">
        <f t="shared" si="308"/>
        <v>1260.7952805</v>
      </c>
      <c r="AG432" s="630">
        <f t="shared" si="308"/>
        <v>0</v>
      </c>
      <c r="AH432" s="630">
        <f t="shared" si="308"/>
        <v>0</v>
      </c>
      <c r="AI432" s="630">
        <f t="shared" si="308"/>
        <v>8.4436852459016407</v>
      </c>
      <c r="AJ432" s="11"/>
      <c r="AK432" s="499">
        <f>VLOOKUP(ROUNDUP(AK431,0),DATOS!$F$16:$G$31,2,FALSE)</f>
        <v>24</v>
      </c>
      <c r="AL432" s="497"/>
      <c r="AM432" s="499">
        <f>VLOOKUP(ROUNDUP(AM431,0),DATOS!$J$16:$K$34,2,FALSE)</f>
        <v>15</v>
      </c>
      <c r="AN432" s="4"/>
      <c r="AO432" s="4"/>
      <c r="AP432" s="4"/>
    </row>
    <row r="433" spans="1:42">
      <c r="F433" s="2"/>
      <c r="G433" s="2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25"/>
      <c r="S433" s="25"/>
      <c r="T433" s="3"/>
      <c r="U433" s="30"/>
      <c r="V433" s="2"/>
      <c r="W433" s="2"/>
      <c r="X433" s="2"/>
      <c r="Y433" s="2"/>
      <c r="Z433" s="2"/>
      <c r="AA433" s="4"/>
      <c r="AB433" s="4"/>
      <c r="AC433" s="528"/>
      <c r="AD433" s="528"/>
      <c r="AE433" s="528"/>
      <c r="AF433" s="528"/>
      <c r="AG433" s="528"/>
      <c r="AH433" s="528"/>
      <c r="AI433" s="528"/>
      <c r="AJ433" s="892">
        <f>VLOOKUP(AK432,DATOS!$F$3:$H$11,3,FALSE)</f>
        <v>306356.98123444885</v>
      </c>
      <c r="AK433" s="892"/>
      <c r="AL433" s="892">
        <f>VLOOKUP(AM432,DATOS!$J$3:$L$12,3,FALSE)</f>
        <v>263018.6802</v>
      </c>
      <c r="AM433" s="892"/>
      <c r="AN433" s="4"/>
      <c r="AO433" s="4"/>
      <c r="AP433" s="4"/>
    </row>
    <row r="434" spans="1:42" ht="15.75" thickBot="1">
      <c r="A434" s="503"/>
      <c r="B434" s="503"/>
      <c r="C434" s="503"/>
      <c r="D434" s="503"/>
      <c r="E434" s="503"/>
      <c r="F434" s="504"/>
      <c r="G434" s="504"/>
      <c r="H434" s="505"/>
      <c r="I434" s="505"/>
      <c r="J434" s="505"/>
      <c r="K434" s="505"/>
      <c r="L434" s="505"/>
      <c r="M434" s="505"/>
      <c r="N434" s="505"/>
      <c r="O434" s="505"/>
      <c r="P434" s="505"/>
      <c r="Q434" s="505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6"/>
      <c r="AB434" s="506"/>
      <c r="AC434" s="506"/>
      <c r="AD434" s="506"/>
      <c r="AE434" s="506"/>
      <c r="AF434" s="506"/>
      <c r="AG434" s="506"/>
      <c r="AH434" s="506"/>
      <c r="AI434" s="506"/>
      <c r="AJ434" s="506"/>
      <c r="AK434" s="506"/>
      <c r="AL434" s="506"/>
      <c r="AM434" s="506"/>
      <c r="AN434" s="506"/>
      <c r="AO434" s="506"/>
      <c r="AP434" s="506"/>
    </row>
    <row r="435" spans="1:42" ht="39" thickBot="1">
      <c r="A435" s="886" t="s">
        <v>7</v>
      </c>
      <c r="B435" s="886" t="s">
        <v>2</v>
      </c>
      <c r="C435" s="524"/>
      <c r="D435" s="882" t="s">
        <v>22</v>
      </c>
      <c r="E435" s="882" t="s">
        <v>23</v>
      </c>
      <c r="F435" s="882" t="s">
        <v>3</v>
      </c>
      <c r="G435" s="568"/>
      <c r="H435" s="901" t="s">
        <v>0</v>
      </c>
      <c r="I435" s="901"/>
      <c r="J435" s="901"/>
      <c r="K435" s="901" t="s">
        <v>1</v>
      </c>
      <c r="L435" s="901"/>
      <c r="M435" s="886" t="s">
        <v>10</v>
      </c>
      <c r="N435" s="879" t="s">
        <v>5</v>
      </c>
      <c r="O435" s="880"/>
      <c r="P435" s="881"/>
      <c r="Q435" s="902" t="s">
        <v>4</v>
      </c>
      <c r="R435" s="903"/>
      <c r="S435" s="903"/>
      <c r="T435" s="904"/>
      <c r="U435" s="902" t="s">
        <v>6</v>
      </c>
      <c r="V435" s="903"/>
      <c r="W435" s="903"/>
      <c r="X435" s="904"/>
      <c r="Y435" s="390" t="s">
        <v>689</v>
      </c>
      <c r="Z435" s="662" t="s">
        <v>690</v>
      </c>
      <c r="AA435" s="905" t="s">
        <v>686</v>
      </c>
      <c r="AB435" s="886" t="s">
        <v>9</v>
      </c>
      <c r="AC435" s="907" t="s">
        <v>312</v>
      </c>
      <c r="AD435" s="914" t="s">
        <v>649</v>
      </c>
      <c r="AE435" s="897" t="s">
        <v>20</v>
      </c>
      <c r="AF435" s="897" t="s">
        <v>313</v>
      </c>
      <c r="AG435" s="899" t="s">
        <v>552</v>
      </c>
      <c r="AH435" s="895" t="s">
        <v>578</v>
      </c>
      <c r="AI435" s="897" t="s">
        <v>579</v>
      </c>
      <c r="AJ435" s="882" t="s">
        <v>581</v>
      </c>
      <c r="AK435" s="882" t="s">
        <v>582</v>
      </c>
      <c r="AL435" s="882" t="s">
        <v>581</v>
      </c>
      <c r="AM435" s="882" t="s">
        <v>582</v>
      </c>
      <c r="AN435" s="884" t="s">
        <v>553</v>
      </c>
      <c r="AO435" s="885"/>
      <c r="AP435" s="885"/>
    </row>
    <row r="436" spans="1:42" ht="30.75" thickBot="1">
      <c r="A436" s="888"/>
      <c r="B436" s="888"/>
      <c r="C436" s="525"/>
      <c r="D436" s="883"/>
      <c r="E436" s="883"/>
      <c r="F436" s="883"/>
      <c r="G436" s="478"/>
      <c r="H436" s="572" t="s">
        <v>18</v>
      </c>
      <c r="I436" s="572"/>
      <c r="J436" s="572" t="s">
        <v>17</v>
      </c>
      <c r="K436" s="17" t="s">
        <v>18</v>
      </c>
      <c r="L436" s="17" t="s">
        <v>17</v>
      </c>
      <c r="M436" s="888"/>
      <c r="N436" s="464" t="s">
        <v>685</v>
      </c>
      <c r="O436" s="17" t="s">
        <v>18</v>
      </c>
      <c r="P436" s="17" t="s">
        <v>17</v>
      </c>
      <c r="Q436" s="464" t="s">
        <v>685</v>
      </c>
      <c r="R436" s="17" t="s">
        <v>18</v>
      </c>
      <c r="S436" s="17"/>
      <c r="T436" s="17" t="s">
        <v>17</v>
      </c>
      <c r="U436" s="464" t="s">
        <v>576</v>
      </c>
      <c r="V436" s="17" t="s">
        <v>18</v>
      </c>
      <c r="W436" s="464" t="s">
        <v>577</v>
      </c>
      <c r="X436" s="17" t="s">
        <v>17</v>
      </c>
      <c r="Y436" s="17" t="s">
        <v>18</v>
      </c>
      <c r="Z436" s="17" t="s">
        <v>17</v>
      </c>
      <c r="AA436" s="906"/>
      <c r="AB436" s="888"/>
      <c r="AC436" s="908"/>
      <c r="AD436" s="915"/>
      <c r="AE436" s="898"/>
      <c r="AF436" s="898"/>
      <c r="AG436" s="900"/>
      <c r="AH436" s="896"/>
      <c r="AI436" s="898"/>
      <c r="AJ436" s="883"/>
      <c r="AK436" s="883"/>
      <c r="AL436" s="883"/>
      <c r="AM436" s="883"/>
      <c r="AN436" s="1" t="s">
        <v>551</v>
      </c>
      <c r="AO436" s="9" t="s">
        <v>554</v>
      </c>
      <c r="AP436" s="1" t="s">
        <v>555</v>
      </c>
    </row>
    <row r="437" spans="1:42">
      <c r="A437" s="909" t="s">
        <v>621</v>
      </c>
      <c r="B437" s="893" t="s">
        <v>310</v>
      </c>
      <c r="C437" s="526" t="str">
        <f t="shared" ref="C437:C463" si="309">IF(AND(D437=AN437,D437=AO437,D437=AP437),"ok","ATENCIÓN NO ESTÁ TOMANDO BIEN LA LOCALIDAD")</f>
        <v>ok</v>
      </c>
      <c r="D437" s="23" t="s">
        <v>83</v>
      </c>
      <c r="E437" s="114">
        <f>VLOOKUP(D437,Pobl_adoptada!$C$5:$D$158,2,FALSE)</f>
        <v>1</v>
      </c>
      <c r="F437" s="8" t="s">
        <v>308</v>
      </c>
      <c r="G437" s="576">
        <f>+'[210]Inversion rec-TA'!$G$21</f>
        <v>29462487.946992721</v>
      </c>
      <c r="H437" s="577">
        <f>+($AC437/$AC465)*H464+G437</f>
        <v>32732212.010355521</v>
      </c>
      <c r="I437" s="587">
        <f>+'[210]Costos Operativos Rec-TA'!$G$23</f>
        <v>20030164.200893793</v>
      </c>
      <c r="J437" s="579">
        <f>+($AC437/$AC465)*J464+I437</f>
        <v>20095558.682161048</v>
      </c>
      <c r="K437" s="10">
        <f>+'[210]Inversion rec-TA'!$G$46</f>
        <v>0</v>
      </c>
      <c r="L437" s="10">
        <f>+'[210]Costos Operativos Rec-TA'!$G$46</f>
        <v>0</v>
      </c>
      <c r="M437" s="19">
        <f t="shared" ref="M437:M463" si="310">-H437/(1+0.12)+PV(12%,20,J437)-H437/(1+0.12)^10</f>
        <v>-189866728.21247622</v>
      </c>
      <c r="N437" s="614">
        <f t="shared" ref="N437:N463" si="311">+$AD437/$AD$465*N$465</f>
        <v>4068488.323216164</v>
      </c>
      <c r="O437" s="25">
        <f t="shared" ref="O437:O463" si="312">IF(N437-AG437&lt;0,0,N437-AG437)</f>
        <v>3893071.101716164</v>
      </c>
      <c r="P437" s="32">
        <f t="shared" ref="P437:P463" si="313">+$AD437/$AD$465*P$465</f>
        <v>169721.71781544868</v>
      </c>
      <c r="Q437" s="614">
        <f t="shared" ref="Q437:Q463" si="314">+$AC437/$AC$465*Q$465</f>
        <v>91565009.297925949</v>
      </c>
      <c r="R437" s="647">
        <f t="shared" ref="R437:R463" si="315">IF(Q437-AH437&lt;0,0,Q437-AH437)</f>
        <v>91494899.097925946</v>
      </c>
      <c r="S437" s="25">
        <f t="shared" ref="S437:S463" si="316">IF(AC437&lt;15,0,IF(AC437&lt;=350,815000,1345000))</f>
        <v>1345000</v>
      </c>
      <c r="T437" s="32">
        <f t="shared" ref="T437:T463" si="317">+$AC437/$AC$465*T$465</f>
        <v>35645.140142112665</v>
      </c>
      <c r="U437" s="465">
        <f>SUMIFS(Tabla24[Costo de Cierre Técnico de BCA (US$)],Tabla24[Localidad],Resumen!$D437)</f>
        <v>2798400</v>
      </c>
      <c r="V437" s="461">
        <f>+U437*(V$3*$E$3+V$4*$E$4)</f>
        <v>5374166.0121600004</v>
      </c>
      <c r="W437" s="465">
        <f>SUMIFS(Tabla24[Costo anual de Manteniemiento Post-cierre (US$)],Tabla24[Localidad],Resumen!$D437)</f>
        <v>248458.21533123709</v>
      </c>
      <c r="X437" s="461">
        <f>+W437*(X$3*$E$3+X$4*$E$4)</f>
        <v>477149.69135043776</v>
      </c>
      <c r="Y437" s="27">
        <f>VLOOKUP($D437,'Costo Social x localidad'!$B$2:$M$156,12,FALSE)*(Y$3*$E$3+Y$4*$E$4)</f>
        <v>512586.28624319995</v>
      </c>
      <c r="Z437" s="28">
        <f>VLOOKUP(D437,'Estimación  PRESUPUESTO PCAS'!$B$4:$G$158,'Estimación  PRESUPUESTO PCAS'!$G$2,FALSE)</f>
        <v>2135087.6233323645</v>
      </c>
      <c r="AA437" s="650">
        <f t="shared" ref="AA437:AA463" si="318">(-O437-R437)/(1+0.12)+PV(12%,20,P437)+PV(12%,20,T437)-(O437*0.5)/(1+0.12)^10-S437/(1+0.12)^10</f>
        <v>-87761593.057877138</v>
      </c>
      <c r="AB437" s="651">
        <f t="shared" ref="AB437:AB463" si="319">M437+AA437</f>
        <v>-277628321.27035338</v>
      </c>
      <c r="AC437" s="10">
        <f>VLOOKUP($E437,Resumen_Generación!$B$5:$F$158,Resumen_Generación!$D$3,FALSE)</f>
        <v>721.59615176400007</v>
      </c>
      <c r="AD437" s="10">
        <f>VLOOKUP($E437,Resumen_Generación!$B$5:$G$158,Resumen_Generación!$G$3,FALSE)</f>
        <v>294.30098029499999</v>
      </c>
      <c r="AE437" s="362">
        <f>VLOOKUP($E437,Resumen_Generación!$B$5:$F$158,Resumen_Generación!$E$3,FALSE)</f>
        <v>678750</v>
      </c>
      <c r="AF437" s="10">
        <f>VLOOKUP($E437,Resumen_Generación!$B$5:$F$158,Resumen_Generación!$F$3,FALSE)</f>
        <v>333.27091349999995</v>
      </c>
      <c r="AG437" s="448">
        <f>VLOOKUP($D437,Valoración_Eq_REG!$D$4:$I$157,Valoración_Eq_REG!$E$2,FALSE)*$E$4</f>
        <v>175417.22150000001</v>
      </c>
      <c r="AH437" s="448">
        <f>VLOOKUP($D437,Valoración_Eq_REG!$D$4:$I$157,Valoración_Eq_REG!$F$2,FALSE)*$E$4</f>
        <v>70110.2</v>
      </c>
      <c r="AI437" s="448">
        <f>+[210]P_Datos!$D$43</f>
        <v>2.5036327868852464</v>
      </c>
      <c r="AJ437" s="484">
        <f>+'[210]Evaluacion Economica'!$L$25</f>
        <v>42</v>
      </c>
      <c r="AK437" s="448">
        <f>+'[210]Evaluacion Economica'!$R$25</f>
        <v>24</v>
      </c>
      <c r="AL437" s="484">
        <f>+'[210]P_Evaluacion Economica'!$L$27</f>
        <v>9</v>
      </c>
      <c r="AM437" s="448">
        <f>+'[210]P_Evaluacion Economica'!$Q$27</f>
        <v>15</v>
      </c>
      <c r="AN437" s="34" t="str">
        <f>+[210]Datos!$C$2</f>
        <v>Almirante Brown</v>
      </c>
      <c r="AO437" s="25" t="str">
        <f>VLOOKUP($E437,Tabla13[],Inputs_costos!$D$1,FALSE)</f>
        <v>ALMIRANTE BROWN</v>
      </c>
      <c r="AP437" s="28" t="str">
        <f>VLOOKUP($D437,'Costo Social x localidad'!$B$2:$M$156,1,FALSE)</f>
        <v>ALMIRANTE BROWN</v>
      </c>
    </row>
    <row r="438" spans="1:42">
      <c r="A438" s="910"/>
      <c r="B438" s="894"/>
      <c r="C438" s="478" t="str">
        <f t="shared" si="309"/>
        <v>ok</v>
      </c>
      <c r="D438" s="24" t="s">
        <v>85</v>
      </c>
      <c r="E438" s="527">
        <f>VLOOKUP(D438,Pobl_adoptada!$C$5:$D$158,2,FALSE)</f>
        <v>2</v>
      </c>
      <c r="F438" s="9" t="s">
        <v>308</v>
      </c>
      <c r="G438" s="580">
        <f>+'[211]Inversion rec-TA'!$G$21</f>
        <v>15414578.355217684</v>
      </c>
      <c r="H438" s="34">
        <f>+($AC438/$AC465)*H464+G438</f>
        <v>17420215.635439668</v>
      </c>
      <c r="I438" s="465">
        <f>+'[211]Costos Operativos Rec-TA'!$G$23</f>
        <v>10607436.891573912</v>
      </c>
      <c r="J438" s="581">
        <f>+($AC438/$AC465)*J464+I438</f>
        <v>10647549.637178352</v>
      </c>
      <c r="K438" s="10">
        <f>+'[211]Inversion rec-TA'!$G$46</f>
        <v>0</v>
      </c>
      <c r="L438" s="10">
        <f>+'[211]Costos Operativos Rec-TA'!$G$46</f>
        <v>0</v>
      </c>
      <c r="M438" s="19">
        <f t="shared" si="310"/>
        <v>-100693878.92259781</v>
      </c>
      <c r="N438" s="465">
        <f t="shared" si="311"/>
        <v>2496537.5686672269</v>
      </c>
      <c r="O438" s="25">
        <f t="shared" si="312"/>
        <v>2496537.5686672269</v>
      </c>
      <c r="P438" s="25">
        <f t="shared" si="313"/>
        <v>104145.96554871144</v>
      </c>
      <c r="Q438" s="465">
        <f t="shared" si="314"/>
        <v>56165655.771857142</v>
      </c>
      <c r="R438" s="647">
        <f t="shared" si="315"/>
        <v>56165655.771857142</v>
      </c>
      <c r="S438" s="25">
        <f t="shared" si="316"/>
        <v>1345000</v>
      </c>
      <c r="T438" s="25">
        <f t="shared" si="317"/>
        <v>21864.604028461068</v>
      </c>
      <c r="U438" s="465">
        <f>SUMIFS(Tabla24[Costo de Cierre Técnico de BCA (US$)],Tabla24[Localidad],Resumen!$D438)</f>
        <v>91160</v>
      </c>
      <c r="V438" s="461">
        <f t="shared" ref="V438:V463" si="320">+U438*(V$3*$E$3+V$4*$E$4)</f>
        <v>175067.52918400001</v>
      </c>
      <c r="W438" s="465">
        <f>SUMIFS(Tabla24[Costo anual de Manteniemiento Post-cierre (US$)],Tabla24[Localidad],Resumen!$D438)</f>
        <v>8093.7145903357541</v>
      </c>
      <c r="X438" s="461">
        <f t="shared" ref="X438:X463" si="321">+W438*(X$3*$E$3+X$4*$E$4)</f>
        <v>15543.512672779412</v>
      </c>
      <c r="Y438" s="28">
        <f>VLOOKUP($D438,'Costo Social x localidad'!$B$2:$M$156,12,FALSE)*(Y$3*$E$3+Y$4*$E$4)</f>
        <v>389459.95459487999</v>
      </c>
      <c r="Z438" s="28">
        <f>VLOOKUP(D438,'Estimación  PRESUPUESTO PCAS'!$B$4:$G$158,'Estimación  PRESUPUESTO PCAS'!$G$2,FALSE)</f>
        <v>1276534.5475772205</v>
      </c>
      <c r="AA438" s="650">
        <f t="shared" si="318"/>
        <v>-54153150.329121508</v>
      </c>
      <c r="AB438" s="651">
        <f t="shared" si="319"/>
        <v>-154847029.25171933</v>
      </c>
      <c r="AC438" s="10">
        <f>VLOOKUP($E438,Resumen_Generación!$B$5:$F$158,Resumen_Generación!$D$3,FALSE)</f>
        <v>442.624550328</v>
      </c>
      <c r="AD438" s="10">
        <f>VLOOKUP($E438,Resumen_Generación!$B$5:$G$158,Resumen_Generación!$G$3,FALSE)</f>
        <v>180.59126521499996</v>
      </c>
      <c r="AE438" s="362">
        <f>VLOOKUP($E438,Resumen_Generación!$B$5:$F$158,Resumen_Generación!$E$3,FALSE)</f>
        <v>416381</v>
      </c>
      <c r="AF438" s="10">
        <f>VLOOKUP($E438,Resumen_Generación!$B$5:$F$158,Resumen_Generación!$F$3,FALSE)</f>
        <v>204.16539149999997</v>
      </c>
      <c r="AG438" s="448">
        <f>VLOOKUP($D438,Valoración_Eq_REG!$D$4:$I$157,Valoración_Eq_REG!$E$2,FALSE)*$E$4</f>
        <v>0</v>
      </c>
      <c r="AH438" s="448">
        <f>VLOOKUP($D438,Valoración_Eq_REG!$D$4:$I$157,Valoración_Eq_REG!$F$2,FALSE)*$E$4</f>
        <v>0</v>
      </c>
      <c r="AI438" s="25">
        <f>+[211]P_Datos!$D$43</f>
        <v>1.9217573770491805</v>
      </c>
      <c r="AJ438" s="484">
        <f>+'[211]Evaluacion Economica'!$L$25</f>
        <v>18</v>
      </c>
      <c r="AK438" s="448">
        <f>+'[211]Evaluacion Economica'!$R$25</f>
        <v>24</v>
      </c>
      <c r="AL438" s="484">
        <f>+'[211]P_Evaluacion Economica'!$L$27</f>
        <v>7</v>
      </c>
      <c r="AM438" s="448">
        <f>+'[211]P_Evaluacion Economica'!$Q$27</f>
        <v>12</v>
      </c>
      <c r="AN438" s="34" t="str">
        <f>+[211]Datos!$C$2</f>
        <v>Avellaneda</v>
      </c>
      <c r="AO438" s="25" t="str">
        <f>VLOOKUP($E438,Tabla13[],Inputs_costos!$D$1,FALSE)</f>
        <v>AVELLANEDA</v>
      </c>
      <c r="AP438" s="28" t="str">
        <f>VLOOKUP($D438,'Costo Social x localidad'!$B$2:$M$156,1,FALSE)</f>
        <v>AVELLANEDA</v>
      </c>
    </row>
    <row r="439" spans="1:42">
      <c r="A439" s="910"/>
      <c r="B439" s="894"/>
      <c r="C439" s="478" t="str">
        <f t="shared" si="309"/>
        <v>ok</v>
      </c>
      <c r="D439" s="24" t="s">
        <v>86</v>
      </c>
      <c r="E439" s="527">
        <f>VLOOKUP(D439,Pobl_adoptada!$C$5:$D$158,2,FALSE)</f>
        <v>3</v>
      </c>
      <c r="F439" s="9" t="s">
        <v>308</v>
      </c>
      <c r="G439" s="580">
        <f>+'[212]Inversion rec-TA'!$G$21</f>
        <v>16491849.411426242</v>
      </c>
      <c r="H439" s="34">
        <f>+($AC439/$AC465)*H464+G439</f>
        <v>18571346.68167226</v>
      </c>
      <c r="I439" s="465">
        <f>+'[212]Costos Operativos Rec-TA'!$G$23</f>
        <v>11071764.496368261</v>
      </c>
      <c r="J439" s="581">
        <f>+($AC439/$AC465)*J464+I439</f>
        <v>11113354.441773182</v>
      </c>
      <c r="K439" s="10">
        <f>+'[212]Inversion rec-TA'!$G$46</f>
        <v>0</v>
      </c>
      <c r="L439" s="10">
        <f>+'[212]Costos Operativos Rec-TA'!$G$46</f>
        <v>0</v>
      </c>
      <c r="M439" s="19">
        <f t="shared" si="310"/>
        <v>-105571610.61614875</v>
      </c>
      <c r="N439" s="465">
        <f t="shared" si="311"/>
        <v>2595717.2063974668</v>
      </c>
      <c r="O439" s="25">
        <f t="shared" si="312"/>
        <v>2595717.2063974668</v>
      </c>
      <c r="P439" s="25">
        <f t="shared" si="313"/>
        <v>108283.35937920024</v>
      </c>
      <c r="Q439" s="465">
        <f t="shared" si="314"/>
        <v>58234023.176028766</v>
      </c>
      <c r="R439" s="647">
        <f t="shared" si="315"/>
        <v>58234023.176028766</v>
      </c>
      <c r="S439" s="25">
        <f t="shared" si="316"/>
        <v>1345000</v>
      </c>
      <c r="T439" s="25">
        <f t="shared" si="317"/>
        <v>22669.794204843711</v>
      </c>
      <c r="U439" s="465">
        <f>SUMIFS(Tabla24[Costo de Cierre Técnico de BCA (US$)],Tabla24[Localidad],Resumen!$D439)</f>
        <v>1823200</v>
      </c>
      <c r="V439" s="461">
        <f t="shared" si="320"/>
        <v>3501350.5836800002</v>
      </c>
      <c r="W439" s="465">
        <f>SUMIFS(Tabla24[Costo anual de Manteniemiento Post-cierre (US$)],Tabla24[Localidad],Resumen!$D439)</f>
        <v>161874.29180671507</v>
      </c>
      <c r="X439" s="461">
        <f t="shared" si="321"/>
        <v>310870.25345558824</v>
      </c>
      <c r="Y439" s="28">
        <f>VLOOKUP($D439,'Costo Social x localidad'!$B$2:$M$156,12,FALSE)*(Y$3*$E$3+Y$4*$E$4)</f>
        <v>480512.78475552</v>
      </c>
      <c r="Z439" s="28">
        <f>VLOOKUP(D439,'Estimación  PRESUPUESTO PCAS'!$B$4:$G$158,'Estimación  PRESUPUESTO PCAS'!$G$2,FALSE)</f>
        <v>1376208.9647166773</v>
      </c>
      <c r="AA439" s="650">
        <f t="shared" si="318"/>
        <v>-56141345.135042243</v>
      </c>
      <c r="AB439" s="651">
        <f t="shared" si="319"/>
        <v>-161712955.75119099</v>
      </c>
      <c r="AC439" s="10">
        <f>VLOOKUP($E439,Resumen_Generación!$B$5:$F$158,Resumen_Generación!$D$3,FALSE)</f>
        <v>458.92472842799987</v>
      </c>
      <c r="AD439" s="10">
        <f>VLOOKUP($E439,Resumen_Generación!$B$5:$G$158,Resumen_Generación!$G$3,FALSE)</f>
        <v>187.76559196500003</v>
      </c>
      <c r="AE439" s="362">
        <f>VLOOKUP($E439,Resumen_Generación!$B$5:$F$158,Resumen_Generación!$E$3,FALSE)</f>
        <v>432012</v>
      </c>
      <c r="AF439" s="10">
        <f>VLOOKUP($E439,Resumen_Generación!$B$5:$F$158,Resumen_Generación!$F$3,FALSE)</f>
        <v>212.15663699999996</v>
      </c>
      <c r="AG439" s="448">
        <f>VLOOKUP($D439,Valoración_Eq_REG!$D$4:$I$157,Valoración_Eq_REG!$E$2,FALSE)*$E$4</f>
        <v>0</v>
      </c>
      <c r="AH439" s="448">
        <f>VLOOKUP($D439,Valoración_Eq_REG!$D$4:$I$157,Valoración_Eq_REG!$F$2,FALSE)*$E$4</f>
        <v>0</v>
      </c>
      <c r="AI439" s="25">
        <f>+[212]P_Datos!$D$43</f>
        <v>1.6704262295081969</v>
      </c>
      <c r="AJ439" s="512">
        <f>+'[212]Evaluacion Economica'!$L$25</f>
        <v>24</v>
      </c>
      <c r="AK439" s="513">
        <f>+'[212]Evaluacion Economica'!$R$25</f>
        <v>24</v>
      </c>
      <c r="AL439" s="512">
        <f>+'[212]P_Evaluacion Economica'!$L$27</f>
        <v>7</v>
      </c>
      <c r="AM439" s="513">
        <f>+'[212]P_Evaluacion Economica'!$Q$27</f>
        <v>6</v>
      </c>
      <c r="AN439" s="34" t="str">
        <f>+[212]Datos!$C$2</f>
        <v>Berazategui</v>
      </c>
      <c r="AO439" s="25" t="str">
        <f>VLOOKUP($E439,Tabla13[],Inputs_costos!$D$1,FALSE)</f>
        <v>BERAZATEGUI</v>
      </c>
      <c r="AP439" s="28" t="str">
        <f>VLOOKUP($D439,'Costo Social x localidad'!$B$2:$M$156,1,FALSE)</f>
        <v>BERAZATEGUI</v>
      </c>
    </row>
    <row r="440" spans="1:42">
      <c r="A440" s="910"/>
      <c r="B440" s="894"/>
      <c r="C440" s="478" t="str">
        <f t="shared" si="309"/>
        <v>ok</v>
      </c>
      <c r="D440" s="24" t="s">
        <v>148</v>
      </c>
      <c r="E440" s="527">
        <f>VLOOKUP(D440,Pobl_adoptada!$C$5:$D$158,2,FALSE)</f>
        <v>59</v>
      </c>
      <c r="F440" s="9" t="s">
        <v>308</v>
      </c>
      <c r="G440" s="580">
        <f>+'[213]Inversion rec-TA'!$G$21</f>
        <v>8418637.9326180946</v>
      </c>
      <c r="H440" s="34">
        <f>+($AC440/$AC465)*H464+G440</f>
        <v>9583011.1589948647</v>
      </c>
      <c r="I440" s="465">
        <f>+'[213]Costos Operativos Rec-TA'!$G$23</f>
        <v>5456605.886908344</v>
      </c>
      <c r="J440" s="581">
        <f>+($AC440/$AC465)*J464+I440</f>
        <v>5479893.3514358792</v>
      </c>
      <c r="K440" s="10">
        <f>+'[213]Inversion rec-TA'!$G$46</f>
        <v>0</v>
      </c>
      <c r="L440" s="10">
        <f>+'[213]Costos Operativos Rec-TA'!$G$46</f>
        <v>0</v>
      </c>
      <c r="M440" s="19">
        <f t="shared" si="310"/>
        <v>-52573487.538412519</v>
      </c>
      <c r="N440" s="465">
        <f t="shared" si="311"/>
        <v>1464131.4929098422</v>
      </c>
      <c r="O440" s="25">
        <f t="shared" si="312"/>
        <v>1464131.4929098422</v>
      </c>
      <c r="P440" s="25">
        <f t="shared" si="313"/>
        <v>61077.946486010595</v>
      </c>
      <c r="Q440" s="465">
        <f t="shared" si="314"/>
        <v>32606985.553941276</v>
      </c>
      <c r="R440" s="647">
        <f t="shared" si="315"/>
        <v>32606985.553941276</v>
      </c>
      <c r="S440" s="25">
        <f t="shared" si="316"/>
        <v>815000</v>
      </c>
      <c r="T440" s="25">
        <f t="shared" si="317"/>
        <v>12693.501355964008</v>
      </c>
      <c r="U440" s="465">
        <f>SUMIFS(Tabla24[Costo de Cierre Técnico de BCA (US$)],Tabla24[Localidad],Resumen!$D440)</f>
        <v>1780800</v>
      </c>
      <c r="V440" s="461">
        <f>+U440*(V$3*$E$3+V$4*$E$4)</f>
        <v>3419923.8259200002</v>
      </c>
      <c r="W440" s="465">
        <f>SUMIFS(Tabla24[Costo anual de Manteniemiento Post-cierre (US$)],Tabla24[Localidad],Resumen!$D440)</f>
        <v>158109.77339260542</v>
      </c>
      <c r="X440" s="461">
        <f>+W440*(X$3*$E$3+X$4*$E$4)</f>
        <v>303640.71267755132</v>
      </c>
      <c r="Y440" s="28">
        <f>VLOOKUP($D440,'Costo Social x localidad'!$B$2:$M$156,12,FALSE)*(Y$3*$E$3+Y$4*$E$4)</f>
        <v>372812.50807488</v>
      </c>
      <c r="Z440" s="28">
        <f>VLOOKUP(D440,'Estimación  PRESUPUESTO PCAS'!$B$4:$G$158,'Estimación  PRESUPUESTO PCAS'!$G$2,FALSE)</f>
        <v>721098.05039707478</v>
      </c>
      <c r="AA440" s="650">
        <f t="shared" si="318"/>
        <v>-31469785.656748131</v>
      </c>
      <c r="AB440" s="651">
        <f t="shared" si="319"/>
        <v>-84043273.195160657</v>
      </c>
      <c r="AC440" s="10">
        <f>VLOOKUP($E440,Resumen_Generación!$B$5:$F$158,Resumen_Generación!$D$3,FALSE)</f>
        <v>256.96579377600006</v>
      </c>
      <c r="AD440" s="10">
        <f>VLOOKUP($E440,Resumen_Generación!$B$5:$G$158,Resumen_Generación!$G$3,FALSE)</f>
        <v>105.91042653</v>
      </c>
      <c r="AE440" s="362">
        <f>VLOOKUP($E440,Resumen_Generación!$B$5:$F$158,Resumen_Generación!$E$3,FALSE)</f>
        <v>334994</v>
      </c>
      <c r="AF440" s="10">
        <f>VLOOKUP($E440,Resumen_Generación!$B$5:$F$158,Resumen_Generación!$F$3,FALSE)</f>
        <v>118.74248399999998</v>
      </c>
      <c r="AG440" s="448">
        <f>VLOOKUP($D440,Valoración_Eq_REG!$D$4:$I$157,Valoración_Eq_REG!$E$2,FALSE)*$E$4</f>
        <v>0</v>
      </c>
      <c r="AH440" s="448">
        <f>VLOOKUP($D440,Valoración_Eq_REG!$D$4:$I$157,Valoración_Eq_REG!$F$2,FALSE)*$E$4</f>
        <v>0</v>
      </c>
      <c r="AI440" s="513">
        <f>+[213]P_Datos!$D$43</f>
        <v>1.3296786885245901</v>
      </c>
      <c r="AJ440" s="512">
        <f>+'[213]Evaluacion Economica'!$L$25</f>
        <v>11</v>
      </c>
      <c r="AK440" s="513">
        <f>+'[213]Evaluacion Economica'!$R$25</f>
        <v>24</v>
      </c>
      <c r="AL440" s="512">
        <f>+'[213]P_Evaluacion Economica'!$L$27</f>
        <v>5</v>
      </c>
      <c r="AM440" s="513">
        <f>+'[213]P_Evaluacion Economica'!$Q$27</f>
        <v>6</v>
      </c>
      <c r="AN440" s="34" t="str">
        <f>+[213]Datos!$C$2</f>
        <v>Escobar</v>
      </c>
      <c r="AO440" s="25" t="str">
        <f>VLOOKUP($E440,Tabla13[],Inputs_costos!$D$1,FALSE)</f>
        <v>ESCOBAR</v>
      </c>
      <c r="AP440" s="28" t="str">
        <f>VLOOKUP($D440,'Costo Social x localidad'!$B$2:$M$156,1,FALSE)</f>
        <v>ESCOBAR</v>
      </c>
    </row>
    <row r="441" spans="1:42">
      <c r="A441" s="910"/>
      <c r="B441" s="894"/>
      <c r="C441" s="478" t="str">
        <f t="shared" si="309"/>
        <v>ok</v>
      </c>
      <c r="D441" s="24" t="s">
        <v>88</v>
      </c>
      <c r="E441" s="527">
        <f>VLOOKUP(D441,Pobl_adoptada!$C$5:$D$158,2,FALSE)</f>
        <v>4</v>
      </c>
      <c r="F441" s="9" t="s">
        <v>308</v>
      </c>
      <c r="G441" s="580">
        <f>+'[214]Inversion rec-TA'!$G$21</f>
        <v>16872197.587426241</v>
      </c>
      <c r="H441" s="34">
        <f>+($AC441/$AC465)*H464+G441</f>
        <v>18972545.37604969</v>
      </c>
      <c r="I441" s="465">
        <f>+'[214]Costos Operativos Rec-TA'!$G$23</f>
        <v>11396196.614895837</v>
      </c>
      <c r="J441" s="581">
        <f>+($AC441/$AC465)*J464+I441</f>
        <v>11438203.570668306</v>
      </c>
      <c r="K441" s="10">
        <f>+'[214]Inversion rec-TA'!$G$46</f>
        <v>0</v>
      </c>
      <c r="L441" s="10">
        <f>+'[214]Costos Operativos Rec-TA'!$G$46</f>
        <v>0</v>
      </c>
      <c r="M441" s="19">
        <f t="shared" si="310"/>
        <v>-108485441.23296732</v>
      </c>
      <c r="N441" s="465">
        <f t="shared" si="311"/>
        <v>2633504.5280084587</v>
      </c>
      <c r="O441" s="25">
        <f t="shared" si="312"/>
        <v>2633504.5280084587</v>
      </c>
      <c r="P441" s="25">
        <f t="shared" si="313"/>
        <v>109859.70140748275</v>
      </c>
      <c r="Q441" s="465">
        <f t="shared" si="314"/>
        <v>58817918.903037779</v>
      </c>
      <c r="R441" s="647">
        <f t="shared" si="315"/>
        <v>58817918.903037779</v>
      </c>
      <c r="S441" s="25">
        <f t="shared" si="316"/>
        <v>1345000</v>
      </c>
      <c r="T441" s="25">
        <f t="shared" si="317"/>
        <v>22897.097682200409</v>
      </c>
      <c r="U441" s="465">
        <f>SUMIFS(Tabla24[Costo de Cierre Técnico de BCA (US$)],Tabla24[Localidad],Resumen!$D441)</f>
        <v>0</v>
      </c>
      <c r="V441" s="461">
        <f t="shared" ref="V441:V442" si="322">+U441*(V$3*$E$3+V$4*$E$4)</f>
        <v>0</v>
      </c>
      <c r="W441" s="465">
        <f>SUMIFS(Tabla24[Costo anual de Manteniemiento Post-cierre (US$)],Tabla24[Localidad],Resumen!$D441)</f>
        <v>0</v>
      </c>
      <c r="X441" s="461">
        <f t="shared" ref="X441:X442" si="323">+W441*(X$3*$E$3+X$4*$E$4)</f>
        <v>0</v>
      </c>
      <c r="Y441" s="28">
        <f>VLOOKUP($D441,'Costo Social x localidad'!$B$2:$M$156,12,FALSE)*(Y$3*$E$3+Y$4*$E$4)</f>
        <v>342267.05843999999</v>
      </c>
      <c r="Z441" s="28">
        <f>VLOOKUP(D441,'Estimación  PRESUPUESTO PCAS'!$B$4:$G$158,'Estimación  PRESUPUESTO PCAS'!$G$2,FALSE)</f>
        <v>1339031.9321064388</v>
      </c>
      <c r="AA441" s="650">
        <f t="shared" si="318"/>
        <v>-56715974.767139047</v>
      </c>
      <c r="AB441" s="651">
        <f t="shared" si="319"/>
        <v>-165201416.00010636</v>
      </c>
      <c r="AC441" s="10">
        <f>VLOOKUP($E441,Resumen_Generación!$B$5:$F$158,Resumen_Generación!$D$3,FALSE)</f>
        <v>463.52623409999995</v>
      </c>
      <c r="AD441" s="10">
        <f>VLOOKUP($E441,Resumen_Generación!$B$5:$G$158,Resumen_Generación!$G$3,FALSE)</f>
        <v>190.49900174999999</v>
      </c>
      <c r="AE441" s="362">
        <f>VLOOKUP($E441,Resumen_Generación!$B$5:$F$158,Resumen_Generación!$E$3,FALSE)</f>
        <v>436827</v>
      </c>
      <c r="AF441" s="10">
        <f>VLOOKUP($E441,Resumen_Generación!$B$5:$F$158,Resumen_Generación!$F$3,FALSE)</f>
        <v>214.22884349999995</v>
      </c>
      <c r="AG441" s="448">
        <f>VLOOKUP($D441,Valoración_Eq_REG!$D$4:$I$157,Valoración_Eq_REG!$E$2,FALSE)*$E$4</f>
        <v>0</v>
      </c>
      <c r="AH441" s="448">
        <f>VLOOKUP($D441,Valoración_Eq_REG!$D$4:$I$157,Valoración_Eq_REG!$F$2,FALSE)*$E$4</f>
        <v>0</v>
      </c>
      <c r="AI441" s="25">
        <f>+[214]P_Datos!$D$43</f>
        <v>1.6674622950819673</v>
      </c>
      <c r="AJ441" s="484">
        <f>+'[214]Evaluacion Economica'!$L$25</f>
        <v>24</v>
      </c>
      <c r="AK441" s="448">
        <f>+'[214]Evaluacion Economica'!$R$25</f>
        <v>24</v>
      </c>
      <c r="AL441" s="484">
        <f>+'[214]P_Evaluacion Economica'!$L$27</f>
        <v>7</v>
      </c>
      <c r="AM441" s="448">
        <f>+'[214]P_Evaluacion Economica'!$Q$27</f>
        <v>6</v>
      </c>
      <c r="AN441" s="34" t="str">
        <f>+[214]Datos!$C$2</f>
        <v>Esteban Echeverría</v>
      </c>
      <c r="AO441" s="25" t="str">
        <f>VLOOKUP($E441,Tabla13[],Inputs_costos!$D$1,FALSE)</f>
        <v>ESTEBAN ECHEVERRÍA</v>
      </c>
      <c r="AP441" s="28" t="str">
        <f>VLOOKUP($D441,'Costo Social x localidad'!$B$2:$M$156,1,FALSE)</f>
        <v>ESTEBAN ECHEVERRÍA</v>
      </c>
    </row>
    <row r="442" spans="1:42">
      <c r="A442" s="910"/>
      <c r="B442" s="894"/>
      <c r="C442" s="478" t="str">
        <f t="shared" si="309"/>
        <v>ok</v>
      </c>
      <c r="D442" s="24" t="s">
        <v>91</v>
      </c>
      <c r="E442" s="527">
        <f>VLOOKUP(D442,Pobl_adoptada!$C$5:$D$158,2,FALSE)</f>
        <v>6</v>
      </c>
      <c r="F442" s="9" t="s">
        <v>308</v>
      </c>
      <c r="G442" s="580">
        <f>+'[215]Inversion rec-TA'!$G$21</f>
        <v>19827352.987205874</v>
      </c>
      <c r="H442" s="34">
        <f>+($AC442/$AC465)*H464+G442</f>
        <v>23010060.037003744</v>
      </c>
      <c r="I442" s="465">
        <f>+'[215]Costos Operativos Rec-TA'!$G$23</f>
        <v>12013940.613798914</v>
      </c>
      <c r="J442" s="581">
        <f>+($AC442/$AC465)*J464+I442</f>
        <v>12077594.754794871</v>
      </c>
      <c r="K442" s="10">
        <f>+'[215]Inversion rec-TA'!$G$46</f>
        <v>0</v>
      </c>
      <c r="L442" s="10">
        <f>+'[215]Costos Operativos Rec-TA'!$G$46</f>
        <v>0</v>
      </c>
      <c r="M442" s="19">
        <f t="shared" si="310"/>
        <v>-118166233.10428579</v>
      </c>
      <c r="N442" s="465">
        <f t="shared" si="311"/>
        <v>4000705.9529992538</v>
      </c>
      <c r="O442" s="25">
        <f t="shared" si="312"/>
        <v>3967910.8914992539</v>
      </c>
      <c r="P442" s="25">
        <f t="shared" si="313"/>
        <v>166894.09748158406</v>
      </c>
      <c r="Q442" s="465">
        <f t="shared" si="314"/>
        <v>89128193.98820965</v>
      </c>
      <c r="R442" s="647">
        <f t="shared" si="315"/>
        <v>89128193.98820965</v>
      </c>
      <c r="S442" s="25">
        <f t="shared" si="316"/>
        <v>1345000</v>
      </c>
      <c r="T442" s="25">
        <f t="shared" si="317"/>
        <v>34696.517694724884</v>
      </c>
      <c r="U442" s="465">
        <f>SUMIFS(Tabla24[Costo de Cierre Técnico de BCA (US$)],Tabla24[Localidad],Resumen!$D442)</f>
        <v>1496720</v>
      </c>
      <c r="V442" s="461">
        <f t="shared" si="322"/>
        <v>2874364.548928</v>
      </c>
      <c r="W442" s="465">
        <f>SUMIFS(Tabla24[Costo anual de Manteniemiento Post-cierre (US$)],Tabla24[Localidad],Resumen!$D442)</f>
        <v>132887.50001807074</v>
      </c>
      <c r="X442" s="461">
        <f t="shared" si="323"/>
        <v>255202.78946470382</v>
      </c>
      <c r="Y442" s="28">
        <f>VLOOKUP($D442,'Costo Social x localidad'!$B$2:$M$156,12,FALSE)*(Y$3*$E$3+Y$4*$E$4)</f>
        <v>402056.93301119993</v>
      </c>
      <c r="Z442" s="28">
        <f>VLOOKUP(D442,'Estimación  PRESUPUESTO PCAS'!$B$4:$G$158,'Estimación  PRESUPUESTO PCAS'!$G$2,FALSE)</f>
        <v>1917380.3419846094</v>
      </c>
      <c r="AA442" s="650">
        <f t="shared" si="318"/>
        <v>-85699126.50861299</v>
      </c>
      <c r="AB442" s="651">
        <f t="shared" si="319"/>
        <v>-203865359.61289877</v>
      </c>
      <c r="AC442" s="10">
        <f>VLOOKUP($E442,Resumen_Generación!$B$5:$F$158,Resumen_Generación!$D$3,FALSE)</f>
        <v>702.3923471280001</v>
      </c>
      <c r="AD442" s="10">
        <f>VLOOKUP($E442,Resumen_Generación!$B$5:$G$158,Resumen_Generación!$G$3,FALSE)</f>
        <v>289.39782796499992</v>
      </c>
      <c r="AE442" s="362">
        <f>VLOOKUP($E442,Resumen_Generación!$B$5:$F$158,Resumen_Generación!$E$3,FALSE)</f>
        <v>662348</v>
      </c>
      <c r="AF442" s="10">
        <f>VLOOKUP($E442,Resumen_Generación!$B$5:$F$158,Resumen_Generación!$F$3,FALSE)</f>
        <v>324.57840449999998</v>
      </c>
      <c r="AG442" s="448">
        <f>VLOOKUP($D442,Valoración_Eq_REG!$D$4:$I$157,Valoración_Eq_REG!$E$2,FALSE)*$E$4</f>
        <v>32795.061500000003</v>
      </c>
      <c r="AH442" s="448">
        <f>VLOOKUP($D442,Valoración_Eq_REG!$D$4:$I$157,Valoración_Eq_REG!$F$2,FALSE)*$E$4</f>
        <v>0</v>
      </c>
      <c r="AI442" s="25">
        <f>+[215]P_Datos!$D$43</f>
        <v>2.3092196721311478</v>
      </c>
      <c r="AJ442" s="484">
        <f>+'[215]Evaluacion Economica'!$L$25</f>
        <v>40</v>
      </c>
      <c r="AK442" s="448">
        <f>+'[215]Evaluacion Economica'!$R$25</f>
        <v>24</v>
      </c>
      <c r="AL442" s="484">
        <f>+'[215]P_Evaluacion Economica'!$L$27</f>
        <v>6</v>
      </c>
      <c r="AM442" s="448">
        <f>+'[215]P_Evaluacion Economica'!$Q$27</f>
        <v>9</v>
      </c>
      <c r="AN442" s="34" t="str">
        <f>+[215]Datos!$C$2</f>
        <v>Florencio Varela</v>
      </c>
      <c r="AO442" s="25" t="str">
        <f>VLOOKUP($E442,Tabla13[],Inputs_costos!$D$1,FALSE)</f>
        <v>FLORENCIO VARELA</v>
      </c>
      <c r="AP442" s="28" t="str">
        <f>VLOOKUP($D442,'Costo Social x localidad'!$B$2:$M$156,1,FALSE)</f>
        <v>FLORENCIO VARELA</v>
      </c>
    </row>
    <row r="443" spans="1:42">
      <c r="A443" s="910"/>
      <c r="B443" s="894"/>
      <c r="C443" s="478" t="str">
        <f t="shared" si="309"/>
        <v>ok</v>
      </c>
      <c r="D443" s="24" t="s">
        <v>168</v>
      </c>
      <c r="E443" s="527">
        <f>VLOOKUP(D443,Pobl_adoptada!$C$5:$D$158,2,FALSE)</f>
        <v>74</v>
      </c>
      <c r="F443" s="9" t="s">
        <v>308</v>
      </c>
      <c r="G443" s="580">
        <f>+'[216]Inversion rec-TA'!$G$21</f>
        <v>3567565.2121593067</v>
      </c>
      <c r="H443" s="34">
        <f>+($AC443/$AC465)*H464+G443</f>
        <v>4271986.3854850344</v>
      </c>
      <c r="I443" s="465">
        <f>+'[216]Costos Operativos Rec-TA'!$G$23</f>
        <v>2017111.5043779952</v>
      </c>
      <c r="J443" s="581">
        <f>+($AC443/$AC465)*J464+I443</f>
        <v>2031199.9278445097</v>
      </c>
      <c r="K443" s="10">
        <f>+'[216]Inversion rec-TA'!$G$46</f>
        <v>0</v>
      </c>
      <c r="L443" s="10">
        <f>+'[216]Costos Operativos Rec-TA'!$G$46</f>
        <v>0</v>
      </c>
      <c r="M443" s="19">
        <f t="shared" si="310"/>
        <v>-20361672.192447633</v>
      </c>
      <c r="N443" s="465">
        <f t="shared" si="311"/>
        <v>903799.26430967124</v>
      </c>
      <c r="O443" s="25">
        <f t="shared" si="312"/>
        <v>903799.26430967124</v>
      </c>
      <c r="P443" s="25">
        <f t="shared" si="313"/>
        <v>37703.03648744824</v>
      </c>
      <c r="Q443" s="465">
        <f t="shared" si="314"/>
        <v>19726536.562504232</v>
      </c>
      <c r="R443" s="647">
        <f t="shared" si="315"/>
        <v>19726536.562504232</v>
      </c>
      <c r="S443" s="25">
        <f t="shared" si="316"/>
        <v>815000</v>
      </c>
      <c r="T443" s="25">
        <f t="shared" si="317"/>
        <v>7679.2998294917443</v>
      </c>
      <c r="U443" s="465">
        <f>SUMIFS(Tabla24[Costo de Cierre Técnico de BCA (US$)],Tabla24[Localidad],Resumen!$D443)</f>
        <v>0</v>
      </c>
      <c r="V443" s="461">
        <f>+U443*(V$3*$E$3+V$4*$E$4)</f>
        <v>0</v>
      </c>
      <c r="W443" s="465">
        <f>SUMIFS(Tabla24[Costo anual de Manteniemiento Post-cierre (US$)],Tabla24[Localidad],Resumen!$D443)</f>
        <v>0</v>
      </c>
      <c r="X443" s="461">
        <f>+W443*(X$3*$E$3+X$4*$E$4)</f>
        <v>0</v>
      </c>
      <c r="Y443" s="28">
        <f>VLOOKUP($D443,'Costo Social x localidad'!$B$2:$M$156,12,FALSE)*(Y$3*$E$3+Y$4*$E$4)</f>
        <v>150361.51377311998</v>
      </c>
      <c r="Z443" s="28">
        <f>VLOOKUP(D443,'Estimación  PRESUPUESTO PCAS'!$B$4:$G$158,'Estimación  PRESUPUESTO PCAS'!$G$2,FALSE)</f>
        <v>443951.42765373667</v>
      </c>
      <c r="AA443" s="650">
        <f t="shared" si="318"/>
        <v>-19166831.280172527</v>
      </c>
      <c r="AB443" s="651">
        <f t="shared" si="319"/>
        <v>-39528503.472620159</v>
      </c>
      <c r="AC443" s="10">
        <f>VLOOKUP($E443,Resumen_Generación!$B$5:$F$158,Resumen_Generación!$D$3,FALSE)</f>
        <v>155.45886993599999</v>
      </c>
      <c r="AD443" s="10">
        <f>VLOOKUP($E443,Resumen_Generación!$B$5:$G$158,Resumen_Generación!$G$3,FALSE)</f>
        <v>65.37784757999998</v>
      </c>
      <c r="AE443" s="362">
        <f>VLOOKUP($E443,Resumen_Generación!$B$5:$F$158,Resumen_Generación!$E$3,FALSE)</f>
        <v>203687</v>
      </c>
      <c r="AF443" s="10">
        <f>VLOOKUP($E443,Resumen_Generación!$B$5:$F$158,Resumen_Generación!$F$3,FALSE)</f>
        <v>71.184015000000002</v>
      </c>
      <c r="AG443" s="448">
        <f>VLOOKUP($D443,Valoración_Eq_REG!$D$4:$I$157,Valoración_Eq_REG!$E$2,FALSE)*$E$4</f>
        <v>0</v>
      </c>
      <c r="AH443" s="448">
        <f>VLOOKUP($D443,Valoración_Eq_REG!$D$4:$I$157,Valoración_Eq_REG!$F$2,FALSE)*$E$4</f>
        <v>0</v>
      </c>
      <c r="AI443" s="513">
        <f>+[216]P_Datos!$D$43</f>
        <v>4.429901639344263</v>
      </c>
      <c r="AJ443" s="512">
        <f>+'[216]Evaluacion Economica'!$L$25</f>
        <v>4</v>
      </c>
      <c r="AK443" s="513">
        <f>+'[216]Evaluacion Economica'!$R$25</f>
        <v>24</v>
      </c>
      <c r="AL443" s="512">
        <f>+'[216]P_Evaluacion Economica'!$L$27</f>
        <v>3</v>
      </c>
      <c r="AM443" s="513">
        <f>+'[216]P_Evaluacion Economica'!$Q$27</f>
        <v>15</v>
      </c>
      <c r="AN443" s="34" t="str">
        <f>+[216]Datos!$C$2</f>
        <v>General Rodríguez</v>
      </c>
      <c r="AO443" s="25" t="str">
        <f>VLOOKUP($E443,Tabla13[],Inputs_costos!$D$1,FALSE)</f>
        <v>GENERAL RODRÍGUEZ</v>
      </c>
      <c r="AP443" s="28" t="str">
        <f>VLOOKUP($D443,'Costo Social x localidad'!$B$2:$M$156,1,FALSE)</f>
        <v>GENERAL RODRÍGUEZ</v>
      </c>
    </row>
    <row r="444" spans="1:42">
      <c r="A444" s="910"/>
      <c r="B444" s="894"/>
      <c r="C444" s="478" t="str">
        <f t="shared" si="309"/>
        <v>ok</v>
      </c>
      <c r="D444" s="24" t="s">
        <v>92</v>
      </c>
      <c r="E444" s="527">
        <f>VLOOKUP(D444,Pobl_adoptada!$C$5:$D$158,2,FALSE)</f>
        <v>7</v>
      </c>
      <c r="F444" s="9" t="s">
        <v>308</v>
      </c>
      <c r="G444" s="580">
        <f>+'[217]Inversion rec-TA'!$G$21</f>
        <v>6477266.5473649492</v>
      </c>
      <c r="H444" s="34">
        <f>+($AC444/$AC465)*H464+G444</f>
        <v>8761968.0650463533</v>
      </c>
      <c r="I444" s="465">
        <f>+'[217]Costos Operativos Rec-TA'!$G$23</f>
        <v>3287092.733726888</v>
      </c>
      <c r="J444" s="581">
        <f>+($AC444/$AC465)*J464+I444</f>
        <v>3332786.7640805161</v>
      </c>
      <c r="K444" s="10">
        <f>+'[217]Inversion rec-TA'!$G$46</f>
        <v>0</v>
      </c>
      <c r="L444" s="10">
        <f>+'[217]Costos Operativos Rec-TA'!$G$46</f>
        <v>0</v>
      </c>
      <c r="M444" s="19">
        <f t="shared" si="310"/>
        <v>-35538367.83537472</v>
      </c>
      <c r="N444" s="465">
        <f t="shared" si="311"/>
        <v>2832943.4949719841</v>
      </c>
      <c r="O444" s="25">
        <f t="shared" si="312"/>
        <v>2832943.4949719841</v>
      </c>
      <c r="P444" s="25">
        <f t="shared" si="313"/>
        <v>118179.52965406602</v>
      </c>
      <c r="Q444" s="465">
        <f t="shared" si="314"/>
        <v>63980541.371533841</v>
      </c>
      <c r="R444" s="647">
        <f t="shared" si="315"/>
        <v>63980541.371533841</v>
      </c>
      <c r="S444" s="25">
        <f t="shared" si="316"/>
        <v>1345000</v>
      </c>
      <c r="T444" s="25">
        <f t="shared" si="317"/>
        <v>24906.843575324347</v>
      </c>
      <c r="U444" s="465">
        <f>SUMIFS(Tabla24[Costo de Cierre Técnico de BCA (US$)],Tabla24[Localidad],Resumen!$D444)</f>
        <v>5936000</v>
      </c>
      <c r="V444" s="461">
        <f t="shared" ref="V444:V445" si="324">+U444*(V$3*$E$3+V$4*$E$4)</f>
        <v>11399746.0864</v>
      </c>
      <c r="W444" s="465">
        <f>SUMIFS(Tabla24[Costo anual de Manteniemiento Post-cierre (US$)],Tabla24[Localidad],Resumen!$D444)</f>
        <v>527032.57797535136</v>
      </c>
      <c r="X444" s="461">
        <f t="shared" ref="X444:X445" si="325">+W444*(X$3*$E$3+X$4*$E$4)</f>
        <v>1012135.7089251709</v>
      </c>
      <c r="Y444" s="28">
        <f>VLOOKUP($D444,'Costo Social x localidad'!$B$2:$M$156,12,FALSE)*(Y$3*$E$3+Y$4*$E$4)</f>
        <v>313192.86124400009</v>
      </c>
      <c r="Z444" s="28">
        <f>VLOOKUP(D444,'Estimación  PRESUPUESTO PCAS'!$B$4:$G$158,'Estimación  PRESUPUESTO PCAS'!$G$2,FALSE)</f>
        <v>1437300.3852692824</v>
      </c>
      <c r="AA444" s="650">
        <f t="shared" si="318"/>
        <v>-61612792.796775602</v>
      </c>
      <c r="AB444" s="651">
        <f t="shared" si="319"/>
        <v>-97151160.632150322</v>
      </c>
      <c r="AC444" s="10">
        <f>VLOOKUP($E444,Resumen_Generación!$B$5:$F$158,Resumen_Generación!$D$3,FALSE)</f>
        <v>504.211300752</v>
      </c>
      <c r="AD444" s="10">
        <f>VLOOKUP($E444,Resumen_Generación!$B$5:$G$158,Resumen_Generación!$G$3,FALSE)</f>
        <v>204.92575656</v>
      </c>
      <c r="AE444" s="362">
        <f>VLOOKUP($E444,Resumen_Generación!$B$5:$F$158,Resumen_Generación!$E$3,FALSE)</f>
        <v>473867</v>
      </c>
      <c r="AF444" s="10">
        <f>VLOOKUP($E444,Resumen_Generación!$B$5:$F$158,Resumen_Generación!$F$3,FALSE)</f>
        <v>232.78543049999999</v>
      </c>
      <c r="AG444" s="448">
        <f>VLOOKUP($D444,Valoración_Eq_REG!$D$4:$I$157,Valoración_Eq_REG!$E$2,FALSE)*$E$4</f>
        <v>0</v>
      </c>
      <c r="AH444" s="448">
        <f>VLOOKUP($D444,Valoración_Eq_REG!$D$4:$I$157,Valoración_Eq_REG!$F$2,FALSE)*$E$4</f>
        <v>0</v>
      </c>
      <c r="AI444" s="25">
        <f>+[217]P_Datos!$D$43</f>
        <v>2.062754098360656</v>
      </c>
      <c r="AJ444" s="484">
        <f>+'[217]Evaluacion Economica'!$L$25</f>
        <v>13</v>
      </c>
      <c r="AK444" s="448">
        <f>+'[217]Evaluacion Economica'!$R$25</f>
        <v>24</v>
      </c>
      <c r="AL444" s="484">
        <f>+'[217]P_Evaluacion Economica'!$L$27</f>
        <v>3</v>
      </c>
      <c r="AM444" s="448">
        <f>+'[217]P_Evaluacion Economica'!$Q$27</f>
        <v>12</v>
      </c>
      <c r="AN444" s="34" t="str">
        <f>+[217]Datos!$C$2</f>
        <v>General San Martín</v>
      </c>
      <c r="AO444" s="25" t="str">
        <f>VLOOKUP($E444,Tabla13[],Inputs_costos!$D$1,FALSE)</f>
        <v>GENERAL SAN MARTÍN</v>
      </c>
      <c r="AP444" s="28" t="str">
        <f>VLOOKUP($D444,'Costo Social x localidad'!$B$2:$M$156,1,FALSE)</f>
        <v>GENERAL SAN MARTÍN</v>
      </c>
    </row>
    <row r="445" spans="1:42">
      <c r="A445" s="910"/>
      <c r="B445" s="894"/>
      <c r="C445" s="478" t="str">
        <f t="shared" si="309"/>
        <v>ok</v>
      </c>
      <c r="D445" s="24" t="s">
        <v>93</v>
      </c>
      <c r="E445" s="527">
        <f>VLOOKUP(D445,Pobl_adoptada!$C$5:$D$158,2,FALSE)</f>
        <v>8</v>
      </c>
      <c r="F445" s="9" t="s">
        <v>308</v>
      </c>
      <c r="G445" s="580">
        <f>+'[218]Inversion rec-TA'!$G$21</f>
        <v>6654785.2649352597</v>
      </c>
      <c r="H445" s="34">
        <f>+($AC445/$AC465)*H464+G445</f>
        <v>7351375.3551308475</v>
      </c>
      <c r="I445" s="465">
        <f>+'[218]Costos Operativos Rec-TA'!$G$23</f>
        <v>4277968.1748300958</v>
      </c>
      <c r="J445" s="581">
        <f>+($AC445/$AC465)*J464+I445</f>
        <v>4291899.9766340079</v>
      </c>
      <c r="K445" s="10">
        <f>+'[218]Inversion rec-TA'!$G$46</f>
        <v>0</v>
      </c>
      <c r="L445" s="10">
        <f>+'[218]Costos Operativos Rec-TA'!$G$46</f>
        <v>0</v>
      </c>
      <c r="M445" s="19">
        <f t="shared" si="310"/>
        <v>-40988779.028857753</v>
      </c>
      <c r="N445" s="465">
        <f t="shared" si="311"/>
        <v>860891.74293735169</v>
      </c>
      <c r="O445" s="25">
        <f t="shared" si="312"/>
        <v>860891.74293735169</v>
      </c>
      <c r="P445" s="25">
        <f t="shared" si="313"/>
        <v>35913.099376664934</v>
      </c>
      <c r="Q445" s="465">
        <f t="shared" si="314"/>
        <v>19507235.732914783</v>
      </c>
      <c r="R445" s="647">
        <f t="shared" si="315"/>
        <v>19507235.732914783</v>
      </c>
      <c r="S445" s="25">
        <f t="shared" si="316"/>
        <v>815000</v>
      </c>
      <c r="T445" s="25">
        <f t="shared" si="317"/>
        <v>7593.928694120993</v>
      </c>
      <c r="U445" s="465">
        <f>SUMIFS(Tabla24[Costo de Cierre Técnico de BCA (US$)],Tabla24[Localidad],Resumen!$D445)</f>
        <v>903120</v>
      </c>
      <c r="V445" s="461">
        <f t="shared" si="324"/>
        <v>1734389.940288</v>
      </c>
      <c r="W445" s="465">
        <f>SUMIFS(Tabla24[Costo anual de Manteniemiento Post-cierre (US$)],Tabla24[Localidad],Resumen!$D445)</f>
        <v>80184.242220535612</v>
      </c>
      <c r="X445" s="461">
        <f t="shared" si="325"/>
        <v>153989.21857218674</v>
      </c>
      <c r="Y445" s="28">
        <f>VLOOKUP($D445,'Costo Social x localidad'!$B$2:$M$156,12,FALSE)*(Y$3*$E$3+Y$4*$E$4)</f>
        <v>211577.67775872003</v>
      </c>
      <c r="Z445" s="28">
        <f>VLOOKUP(D445,'Estimación  PRESUPUESTO PCAS'!$B$4:$G$158,'Estimación  PRESUPUESTO PCAS'!$G$2,FALSE)</f>
        <v>500846.05964088731</v>
      </c>
      <c r="AA445" s="650">
        <f t="shared" si="318"/>
        <v>-18911801.63511147</v>
      </c>
      <c r="AB445" s="651">
        <f t="shared" si="319"/>
        <v>-59900580.663969219</v>
      </c>
      <c r="AC445" s="10">
        <f>VLOOKUP($E445,Resumen_Generación!$B$5:$F$158,Resumen_Generación!$D$3,FALSE)</f>
        <v>153.73062640800001</v>
      </c>
      <c r="AD445" s="10">
        <f>VLOOKUP($E445,Resumen_Generación!$B$5:$G$158,Resumen_Generación!$G$3,FALSE)</f>
        <v>62.274059489999992</v>
      </c>
      <c r="AE445" s="362">
        <f>VLOOKUP($E445,Resumen_Generación!$B$5:$F$158,Resumen_Generación!$E$3,FALSE)</f>
        <v>199559</v>
      </c>
      <c r="AF445" s="10">
        <f>VLOOKUP($E445,Resumen_Generación!$B$5:$F$158,Resumen_Generación!$F$3,FALSE)</f>
        <v>71.108687999999987</v>
      </c>
      <c r="AG445" s="448">
        <f>VLOOKUP($D445,Valoración_Eq_REG!$D$4:$I$157,Valoración_Eq_REG!$E$2,FALSE)*$E$4</f>
        <v>0</v>
      </c>
      <c r="AH445" s="448">
        <f>VLOOKUP($D445,Valoración_Eq_REG!$D$4:$I$157,Valoración_Eq_REG!$F$2,FALSE)*$E$4</f>
        <v>0</v>
      </c>
      <c r="AI445" s="25">
        <f>+[218]P_Datos!$D$43</f>
        <v>3.9980983606557379</v>
      </c>
      <c r="AJ445" s="484">
        <f>+'[218]Evaluacion Economica'!$L$25</f>
        <v>6</v>
      </c>
      <c r="AK445" s="448">
        <f>+'[218]Evaluacion Economica'!$R$25</f>
        <v>21</v>
      </c>
      <c r="AL445" s="484">
        <f>+'[218]P_Evaluacion Economica'!$L$27</f>
        <v>5</v>
      </c>
      <c r="AM445" s="448">
        <f>+'[218]P_Evaluacion Economica'!$Q$27</f>
        <v>15</v>
      </c>
      <c r="AN445" s="34" t="str">
        <f>+[218]Datos!$C$2</f>
        <v>Hurlingham</v>
      </c>
      <c r="AO445" s="25" t="str">
        <f>VLOOKUP($E445,Tabla13[],Inputs_costos!$D$1,FALSE)</f>
        <v>HURLINGHAM</v>
      </c>
      <c r="AP445" s="28" t="str">
        <f>VLOOKUP($D445,'Costo Social x localidad'!$B$2:$M$156,1,FALSE)</f>
        <v>HURLINGHAM</v>
      </c>
    </row>
    <row r="446" spans="1:42">
      <c r="A446" s="910"/>
      <c r="B446" s="894"/>
      <c r="C446" s="478" t="str">
        <f t="shared" si="309"/>
        <v>ok</v>
      </c>
      <c r="D446" s="24" t="s">
        <v>94</v>
      </c>
      <c r="E446" s="527">
        <f>VLOOKUP(D446,Pobl_adoptada!$C$5:$D$158,2,FALSE)</f>
        <v>9</v>
      </c>
      <c r="F446" s="9" t="s">
        <v>308</v>
      </c>
      <c r="G446" s="580">
        <f>+'[219]Inversion rec-TA'!$G$21</f>
        <v>6416737.5890187873</v>
      </c>
      <c r="H446" s="34">
        <f>+($AC446/$AC465)*H464+G446</f>
        <v>7109958.4871485</v>
      </c>
      <c r="I446" s="465">
        <f>+'[219]Costos Operativos Rec-TA'!$G$23</f>
        <v>4035276.9211492292</v>
      </c>
      <c r="J446" s="581">
        <f>+($AC446/$AC465)*J464+I446</f>
        <v>4049141.3391118236</v>
      </c>
      <c r="K446" s="10">
        <f>+'[219]Inversion rec-TA'!$G$46</f>
        <v>0</v>
      </c>
      <c r="L446" s="10">
        <f>+'[219]Costos Operativos Rec-TA'!$G$46</f>
        <v>0</v>
      </c>
      <c r="M446" s="19">
        <f t="shared" si="310"/>
        <v>-38882226.52623111</v>
      </c>
      <c r="N446" s="465">
        <f t="shared" si="311"/>
        <v>860662.93042319117</v>
      </c>
      <c r="O446" s="25">
        <f t="shared" si="312"/>
        <v>860662.93042319117</v>
      </c>
      <c r="P446" s="25">
        <f t="shared" si="313"/>
        <v>35903.554196766199</v>
      </c>
      <c r="Q446" s="465">
        <f t="shared" si="314"/>
        <v>19412885.232120208</v>
      </c>
      <c r="R446" s="647">
        <f t="shared" si="315"/>
        <v>19412885.232120208</v>
      </c>
      <c r="S446" s="25">
        <f t="shared" si="316"/>
        <v>815000</v>
      </c>
      <c r="T446" s="25">
        <f t="shared" si="317"/>
        <v>7557.1991961491358</v>
      </c>
      <c r="U446" s="465">
        <f>SUMIFS(Tabla24[Costo de Cierre Técnico de BCA (US$)],Tabla24[Localidad],Resumen!$D446)</f>
        <v>0</v>
      </c>
      <c r="V446" s="461">
        <f>+U446*(V$3*$E$3+V$4*$E$4)</f>
        <v>0</v>
      </c>
      <c r="W446" s="465">
        <f>SUMIFS(Tabla24[Costo anual de Manteniemiento Post-cierre (US$)],Tabla24[Localidad],Resumen!$D446)</f>
        <v>0</v>
      </c>
      <c r="X446" s="461">
        <f>+W446*(X$3*$E$3+X$4*$E$4)</f>
        <v>0</v>
      </c>
      <c r="Y446" s="28">
        <f>VLOOKUP($D446,'Costo Social x localidad'!$B$2:$M$156,12,FALSE)*(Y$3*$E$3+Y$4*$E$4)</f>
        <v>174244.43119103997</v>
      </c>
      <c r="Z446" s="28">
        <f>VLOOKUP(D446,'Estimación  PRESUPUESTO PCAS'!$B$4:$G$158,'Estimación  PRESUPUESTO PCAS'!$G$2,FALSE)</f>
        <v>474966.23312114878</v>
      </c>
      <c r="AA446" s="650">
        <f t="shared" si="318"/>
        <v>-18826973.33780678</v>
      </c>
      <c r="AB446" s="651">
        <f t="shared" si="319"/>
        <v>-57709199.864037886</v>
      </c>
      <c r="AC446" s="10">
        <f>VLOOKUP($E446,Resumen_Generación!$B$5:$F$158,Resumen_Generación!$D$3,FALSE)</f>
        <v>152.98707863999999</v>
      </c>
      <c r="AD446" s="10">
        <f>VLOOKUP($E446,Resumen_Generación!$B$5:$G$158,Resumen_Generación!$G$3,FALSE)</f>
        <v>62.257507950000004</v>
      </c>
      <c r="AE446" s="362">
        <f>VLOOKUP($E446,Resumen_Generación!$B$5:$F$158,Resumen_Generación!$E$3,FALSE)</f>
        <v>198817</v>
      </c>
      <c r="AF446" s="10">
        <f>VLOOKUP($E446,Resumen_Generación!$B$5:$F$158,Resumen_Generación!$F$3,FALSE)</f>
        <v>70.691711999999995</v>
      </c>
      <c r="AG446" s="448">
        <f>VLOOKUP($D446,Valoración_Eq_REG!$D$4:$I$157,Valoración_Eq_REG!$E$2,FALSE)*$E$4</f>
        <v>0</v>
      </c>
      <c r="AH446" s="448">
        <f>VLOOKUP($D446,Valoración_Eq_REG!$D$4:$I$157,Valoración_Eq_REG!$F$2,FALSE)*$E$4</f>
        <v>0</v>
      </c>
      <c r="AI446" s="513">
        <f>+[219]P_Datos!$D$43</f>
        <v>4.2108196721311471</v>
      </c>
      <c r="AJ446" s="512">
        <f>+'[219]Evaluacion Economica'!$L$25</f>
        <v>7</v>
      </c>
      <c r="AK446" s="513">
        <f>+'[219]Evaluacion Economica'!$R$25</f>
        <v>24</v>
      </c>
      <c r="AL446" s="512">
        <f>+'[219]P_Evaluacion Economica'!$L$27</f>
        <v>4</v>
      </c>
      <c r="AM446" s="513">
        <f>+'[219]P_Evaluacion Economica'!$Q$27</f>
        <v>15</v>
      </c>
      <c r="AN446" s="34" t="str">
        <f>+[219]Datos!$C$2</f>
        <v>Ituzaingó</v>
      </c>
      <c r="AO446" s="25" t="str">
        <f>VLOOKUP($E446,Tabla13[],Inputs_costos!$D$1,FALSE)</f>
        <v>ITUZAINGÓ</v>
      </c>
      <c r="AP446" s="28" t="str">
        <f>VLOOKUP($D446,'Costo Social x localidad'!$B$2:$M$156,1,FALSE)</f>
        <v>ITUZAINGÓ</v>
      </c>
    </row>
    <row r="447" spans="1:42">
      <c r="A447" s="910"/>
      <c r="B447" s="894"/>
      <c r="C447" s="478" t="str">
        <f t="shared" si="309"/>
        <v>ok</v>
      </c>
      <c r="D447" s="24" t="s">
        <v>95</v>
      </c>
      <c r="E447" s="527">
        <f>VLOOKUP(D447,Pobl_adoptada!$C$5:$D$158,2,FALSE)</f>
        <v>10</v>
      </c>
      <c r="F447" s="9" t="s">
        <v>308</v>
      </c>
      <c r="G447" s="580">
        <f>+'[220]Inversion rec-TA'!$G$21</f>
        <v>12199355.445296429</v>
      </c>
      <c r="H447" s="34">
        <f>+($AC447/$AC465)*H464+G447</f>
        <v>14130888.024814233</v>
      </c>
      <c r="I447" s="465">
        <f>+'[220]Costos Operativos Rec-TA'!$G$23</f>
        <v>7972933.7419534139</v>
      </c>
      <c r="J447" s="581">
        <f>+($AC447/$AC465)*J464+I447</f>
        <v>8011564.3935437696</v>
      </c>
      <c r="K447" s="10">
        <f>+'[220]Inversion rec-TA'!$G$46</f>
        <v>0</v>
      </c>
      <c r="L447" s="10">
        <f>+'[220]Costos Operativos Rec-TA'!$G$46</f>
        <v>0</v>
      </c>
      <c r="M447" s="19">
        <f t="shared" si="310"/>
        <v>-77008560.641365498</v>
      </c>
      <c r="N447" s="465">
        <f t="shared" si="311"/>
        <v>2433665.8153580073</v>
      </c>
      <c r="O447" s="25">
        <f t="shared" si="312"/>
        <v>2433665.8153580073</v>
      </c>
      <c r="P447" s="25">
        <f t="shared" si="313"/>
        <v>101523.19730508167</v>
      </c>
      <c r="Q447" s="465">
        <f t="shared" si="314"/>
        <v>54090435.515497081</v>
      </c>
      <c r="R447" s="647">
        <f t="shared" si="315"/>
        <v>54090435.515497081</v>
      </c>
      <c r="S447" s="25">
        <f t="shared" si="316"/>
        <v>1345000</v>
      </c>
      <c r="T447" s="25">
        <f t="shared" si="317"/>
        <v>21056.746120392458</v>
      </c>
      <c r="U447" s="465">
        <f>SUMIFS(Tabla24[Costo de Cierre Técnico de BCA (US$)],Tabla24[Localidad],Resumen!$D447)</f>
        <v>2226000</v>
      </c>
      <c r="V447" s="461">
        <f t="shared" ref="V447:V448" si="326">+U447*(V$3*$E$3+V$4*$E$4)</f>
        <v>4274904.7823999999</v>
      </c>
      <c r="W447" s="465">
        <f>SUMIFS(Tabla24[Costo anual de Manteniemiento Post-cierre (US$)],Tabla24[Localidad],Resumen!$D447)</f>
        <v>197637.21674075679</v>
      </c>
      <c r="X447" s="461">
        <f t="shared" ref="X447:X448" si="327">+W447*(X$3*$E$3+X$4*$E$4)</f>
        <v>379550.89084693918</v>
      </c>
      <c r="Y447" s="28">
        <f>VLOOKUP($D447,'Costo Social x localidad'!$B$2:$M$156,12,FALSE)*(Y$3*$E$3+Y$4*$E$4)</f>
        <v>444734.64592703996</v>
      </c>
      <c r="Z447" s="28">
        <f>VLOOKUP(D447,'Estimación  PRESUPUESTO PCAS'!$B$4:$G$158,'Estimación  PRESUPUESTO PCAS'!$G$2,FALSE)</f>
        <v>1256620.8120710396</v>
      </c>
      <c r="AA447" s="650">
        <f t="shared" si="318"/>
        <v>-52208393.226614706</v>
      </c>
      <c r="AB447" s="651">
        <f t="shared" si="319"/>
        <v>-129216953.86798021</v>
      </c>
      <c r="AC447" s="10">
        <f>VLOOKUP($E447,Resumen_Generación!$B$5:$F$158,Resumen_Generación!$D$3,FALSE)</f>
        <v>426.27036697200003</v>
      </c>
      <c r="AD447" s="10">
        <f>VLOOKUP($E447,Resumen_Generación!$B$5:$G$158,Resumen_Generación!$G$3,FALSE)</f>
        <v>176.04333065999998</v>
      </c>
      <c r="AE447" s="362">
        <f>VLOOKUP($E447,Resumen_Generación!$B$5:$F$158,Resumen_Generación!$E$3,FALSE)</f>
        <v>402202</v>
      </c>
      <c r="AF447" s="10">
        <f>VLOOKUP($E447,Resumen_Generación!$B$5:$F$158,Resumen_Generación!$F$3,FALSE)</f>
        <v>196.05965399999999</v>
      </c>
      <c r="AG447" s="448">
        <f>VLOOKUP($D447,Valoración_Eq_REG!$D$4:$I$157,Valoración_Eq_REG!$E$2,FALSE)*$E$4</f>
        <v>0</v>
      </c>
      <c r="AH447" s="448">
        <f>VLOOKUP($D447,Valoración_Eq_REG!$D$4:$I$157,Valoración_Eq_REG!$F$2,FALSE)*$E$4</f>
        <v>0</v>
      </c>
      <c r="AI447" s="25">
        <f>+[220]P_Datos!$D$43</f>
        <v>1.4156852459016396</v>
      </c>
      <c r="AJ447" s="484">
        <f>+'[220]Evaluacion Economica'!$L$25</f>
        <v>16</v>
      </c>
      <c r="AK447" s="448">
        <f>+'[220]Evaluacion Economica'!$R$25</f>
        <v>24</v>
      </c>
      <c r="AL447" s="484">
        <f>+'[220]P_Evaluacion Economica'!$L$27</f>
        <v>6</v>
      </c>
      <c r="AM447" s="448">
        <f>+'[220]P_Evaluacion Economica'!$Q$27</f>
        <v>6</v>
      </c>
      <c r="AN447" s="34" t="str">
        <f>+[220]Datos!$C$2</f>
        <v>José C. Paz</v>
      </c>
      <c r="AO447" s="25" t="str">
        <f>VLOOKUP($E447,Tabla13[],Inputs_costos!$D$1,FALSE)</f>
        <v>JOSÉ C. PAZ</v>
      </c>
      <c r="AP447" s="28" t="str">
        <f>VLOOKUP($D447,'Costo Social x localidad'!$B$2:$M$156,1,FALSE)</f>
        <v>JOSÉ C. PAZ</v>
      </c>
    </row>
    <row r="448" spans="1:42">
      <c r="A448" s="910"/>
      <c r="B448" s="894"/>
      <c r="C448" s="478" t="str">
        <f t="shared" si="309"/>
        <v>ok</v>
      </c>
      <c r="D448" s="24" t="s">
        <v>97</v>
      </c>
      <c r="E448" s="527">
        <f>VLOOKUP(D448,Pobl_adoptada!$C$5:$D$158,2,FALSE)</f>
        <v>12</v>
      </c>
      <c r="F448" s="9" t="s">
        <v>308</v>
      </c>
      <c r="G448" s="580">
        <f>+'[221]Inversion rec-TA'!$G$21</f>
        <v>12666965.290104149</v>
      </c>
      <c r="H448" s="34">
        <f>+($AC448/$AC465)*H464+G448</f>
        <v>14835598.799992628</v>
      </c>
      <c r="I448" s="465">
        <f>+'[221]Costos Operativos Rec-TA'!$G$23</f>
        <v>8944243.8282905631</v>
      </c>
      <c r="J448" s="581">
        <f>+($AC448/$AC465)*J464+I448</f>
        <v>8987616.4984883331</v>
      </c>
      <c r="K448" s="10">
        <f>+'[221]Inversion rec-TA'!$G$46</f>
        <v>0</v>
      </c>
      <c r="L448" s="10">
        <f>+'[221]Costos Operativos Rec-TA'!$G$46</f>
        <v>0</v>
      </c>
      <c r="M448" s="19">
        <f t="shared" si="310"/>
        <v>-85155230.872066155</v>
      </c>
      <c r="N448" s="465">
        <f t="shared" si="311"/>
        <v>2659353.9109324371</v>
      </c>
      <c r="O448" s="25">
        <f t="shared" si="312"/>
        <v>2659353.9109324371</v>
      </c>
      <c r="P448" s="25">
        <f t="shared" si="313"/>
        <v>110938.03845205337</v>
      </c>
      <c r="Q448" s="465">
        <f t="shared" si="314"/>
        <v>60730185.070268318</v>
      </c>
      <c r="R448" s="647">
        <f t="shared" si="315"/>
        <v>60730185.070268318</v>
      </c>
      <c r="S448" s="25">
        <f t="shared" si="316"/>
        <v>1345000</v>
      </c>
      <c r="T448" s="25">
        <f t="shared" si="317"/>
        <v>23641.51955298481</v>
      </c>
      <c r="U448" s="465">
        <f>SUMIFS(Tabla24[Costo de Cierre Técnico de BCA (US$)],Tabla24[Localidad],Resumen!$D448)</f>
        <v>199280</v>
      </c>
      <c r="V448" s="461">
        <f t="shared" si="326"/>
        <v>382705.76147199998</v>
      </c>
      <c r="W448" s="465">
        <f>SUMIFS(Tabla24[Costo anual de Manteniemiento Post-cierre (US$)],Tabla24[Localidad],Resumen!$D448)</f>
        <v>17693.236546315369</v>
      </c>
      <c r="X448" s="461">
        <f t="shared" si="327"/>
        <v>33978.841656773599</v>
      </c>
      <c r="Y448" s="28">
        <f>VLOOKUP($D448,'Costo Social x localidad'!$B$2:$M$156,12,FALSE)*(Y$3*$E$3+Y$4*$E$4)</f>
        <v>485121.16946591996</v>
      </c>
      <c r="Z448" s="28">
        <f>VLOOKUP(D448,'Estimación  PRESUPUESTO PCAS'!$B$4:$G$158,'Estimación  PRESUPUESTO PCAS'!$G$2,FALSE)</f>
        <v>1311790.0531399804</v>
      </c>
      <c r="AA448" s="650">
        <f t="shared" si="318"/>
        <v>-58464211.479477949</v>
      </c>
      <c r="AB448" s="651">
        <f t="shared" si="319"/>
        <v>-143619442.35154411</v>
      </c>
      <c r="AC448" s="10">
        <f>VLOOKUP($E448,Resumen_Generación!$B$5:$F$158,Resumen_Generación!$D$3,FALSE)</f>
        <v>478.59622555200002</v>
      </c>
      <c r="AD448" s="10">
        <f>VLOOKUP($E448,Resumen_Generación!$B$5:$G$158,Resumen_Generación!$G$3,FALSE)</f>
        <v>192.36886055999997</v>
      </c>
      <c r="AE448" s="362">
        <f>VLOOKUP($E448,Resumen_Generación!$B$5:$F$158,Resumen_Generación!$E$3,FALSE)</f>
        <v>448575</v>
      </c>
      <c r="AF448" s="10">
        <f>VLOOKUP($E448,Resumen_Generación!$B$5:$F$158,Resumen_Generación!$F$3,FALSE)</f>
        <v>221.47095599999997</v>
      </c>
      <c r="AG448" s="448">
        <f>VLOOKUP($D448,Valoración_Eq_REG!$D$4:$I$157,Valoración_Eq_REG!$E$2,FALSE)*$E$4</f>
        <v>0</v>
      </c>
      <c r="AH448" s="448">
        <f>VLOOKUP($D448,Valoración_Eq_REG!$D$4:$I$157,Valoración_Eq_REG!$F$2,FALSE)*$E$4</f>
        <v>0</v>
      </c>
      <c r="AI448" s="25">
        <f>+[221]P_Datos!$D$43</f>
        <v>2.0244459016393446</v>
      </c>
      <c r="AJ448" s="484">
        <f>+'[221]Evaluacion Economica'!$L$25</f>
        <v>13</v>
      </c>
      <c r="AK448" s="448">
        <f>+'[221]Evaluacion Economica'!$R$25</f>
        <v>24</v>
      </c>
      <c r="AL448" s="484">
        <f>+'[221]P_Evaluacion Economica'!$L$27</f>
        <v>7</v>
      </c>
      <c r="AM448" s="448">
        <f>+'[221]P_Evaluacion Economica'!$Q$27</f>
        <v>6</v>
      </c>
      <c r="AN448" s="34" t="str">
        <f>+[221]Datos!$C$2</f>
        <v>Lanús</v>
      </c>
      <c r="AO448" s="25" t="str">
        <f>VLOOKUP($E448,Tabla13[],Inputs_costos!$D$1,FALSE)</f>
        <v>LANÚS</v>
      </c>
      <c r="AP448" s="28" t="str">
        <f>VLOOKUP($D448,'Costo Social x localidad'!$B$2:$M$156,1,FALSE)</f>
        <v>LANÚS</v>
      </c>
    </row>
    <row r="449" spans="1:42">
      <c r="A449" s="910"/>
      <c r="B449" s="894"/>
      <c r="C449" s="478" t="str">
        <f t="shared" si="309"/>
        <v>ok</v>
      </c>
      <c r="D449" s="24" t="s">
        <v>98</v>
      </c>
      <c r="E449" s="527">
        <f>VLOOKUP(D449,Pobl_adoptada!$C$5:$D$158,2,FALSE)</f>
        <v>13</v>
      </c>
      <c r="F449" s="9" t="s">
        <v>308</v>
      </c>
      <c r="G449" s="580">
        <f>+'[222]Inversion rec-TA'!$G$21</f>
        <v>19568760.61881303</v>
      </c>
      <c r="H449" s="34">
        <f>+($AC449/$AC465)*H464+G449</f>
        <v>23183431.930300884</v>
      </c>
      <c r="I449" s="465">
        <f>+'[222]Costos Operativos Rec-TA'!$G$23</f>
        <v>13124069.244155344</v>
      </c>
      <c r="J449" s="581">
        <f>+($AC449/$AC465)*J464+I449</f>
        <v>13196362.6703851</v>
      </c>
      <c r="K449" s="10">
        <f>+'[222]Inversion rec-TA'!$G$46</f>
        <v>0</v>
      </c>
      <c r="L449" s="10">
        <f>+'[222]Costos Operativos Rec-TA'!$G$46</f>
        <v>0</v>
      </c>
      <c r="M449" s="19">
        <f t="shared" si="310"/>
        <v>-126733424.42141324</v>
      </c>
      <c r="N449" s="465">
        <f t="shared" si="311"/>
        <v>4500002.2138955109</v>
      </c>
      <c r="O449" s="25">
        <f t="shared" si="312"/>
        <v>4214757.8938955106</v>
      </c>
      <c r="P449" s="25">
        <f t="shared" si="313"/>
        <v>187722.82116614774</v>
      </c>
      <c r="Q449" s="465">
        <f t="shared" si="314"/>
        <v>101224875.80953009</v>
      </c>
      <c r="R449" s="647">
        <f t="shared" si="315"/>
        <v>101154765.60953009</v>
      </c>
      <c r="S449" s="25">
        <f t="shared" si="316"/>
        <v>1345000</v>
      </c>
      <c r="T449" s="25">
        <f t="shared" si="317"/>
        <v>39405.608231400896</v>
      </c>
      <c r="U449" s="465">
        <f>SUMIFS(Tabla24[Costo de Cierre Técnico de BCA (US$)],Tabla24[Localidad],Resumen!$D449)</f>
        <v>0</v>
      </c>
      <c r="V449" s="461">
        <f>+U449*(V$3*$E$3+V$4*$E$4)</f>
        <v>0</v>
      </c>
      <c r="W449" s="465">
        <f>SUMIFS(Tabla24[Costo anual de Manteniemiento Post-cierre (US$)],Tabla24[Localidad],Resumen!$D449)</f>
        <v>0</v>
      </c>
      <c r="X449" s="461">
        <f>+W449*(X$3*$E$3+X$4*$E$4)</f>
        <v>0</v>
      </c>
      <c r="Y449" s="28">
        <f>VLOOKUP($D449,'Costo Social x localidad'!$B$2:$M$156,12,FALSE)*(Y$3*$E$3+Y$4*$E$4)</f>
        <v>436152.55465599993</v>
      </c>
      <c r="Z449" s="28">
        <f>VLOOKUP(D449,'Estimación  PRESUPUESTO PCAS'!$B$4:$G$158,'Estimación  PRESUPUESTO PCAS'!$G$2,FALSE)</f>
        <v>2060966.7315058971</v>
      </c>
      <c r="AA449" s="650">
        <f t="shared" si="318"/>
        <v>-96888028.32184054</v>
      </c>
      <c r="AB449" s="651">
        <f t="shared" si="319"/>
        <v>-223621452.74325377</v>
      </c>
      <c r="AC449" s="10">
        <f>VLOOKUP($E449,Resumen_Generación!$B$5:$F$158,Resumen_Generación!$D$3,FALSE)</f>
        <v>797.72263888799989</v>
      </c>
      <c r="AD449" s="10">
        <f>VLOOKUP($E449,Resumen_Generación!$B$5:$G$158,Resumen_Generación!$G$3,FALSE)</f>
        <v>325.51526701499995</v>
      </c>
      <c r="AE449" s="362">
        <f>VLOOKUP($E449,Resumen_Generación!$B$5:$F$158,Resumen_Generación!$E$3,FALSE)</f>
        <v>750450</v>
      </c>
      <c r="AF449" s="10">
        <f>VLOOKUP($E449,Resumen_Generación!$B$5:$F$158,Resumen_Generación!$F$3,FALSE)</f>
        <v>367.94619749999993</v>
      </c>
      <c r="AG449" s="448">
        <f>VLOOKUP($D449,Valoración_Eq_REG!$D$4:$I$157,Valoración_Eq_REG!$E$2,FALSE)*$E$4</f>
        <v>285244.32</v>
      </c>
      <c r="AH449" s="448">
        <f>VLOOKUP($D449,Valoración_Eq_REG!$D$4:$I$157,Valoración_Eq_REG!$F$2,FALSE)*$E$4</f>
        <v>70110.2</v>
      </c>
      <c r="AI449" s="513">
        <f>+[222]P_Datos!$D$43</f>
        <v>2.9880393442622952</v>
      </c>
      <c r="AJ449" s="512">
        <f>+'[222]Evaluacion Economica'!$L$25</f>
        <v>31</v>
      </c>
      <c r="AK449" s="513">
        <f>+'[222]Evaluacion Economica'!$R$25</f>
        <v>24</v>
      </c>
      <c r="AL449" s="512">
        <f>+'[222]P_Evaluacion Economica'!$L$27</f>
        <v>7</v>
      </c>
      <c r="AM449" s="513">
        <f>+'[222]P_Evaluacion Economica'!$Q$27</f>
        <v>6</v>
      </c>
      <c r="AN449" s="34" t="str">
        <f>+[222]Datos!$C$2</f>
        <v>Lomas de Zamora</v>
      </c>
      <c r="AO449" s="25" t="str">
        <f>VLOOKUP($E449,Tabla13[],Inputs_costos!$D$1,FALSE)</f>
        <v>LOMAS DE ZAMORA</v>
      </c>
      <c r="AP449" s="28" t="str">
        <f>VLOOKUP($D449,'Costo Social x localidad'!$B$2:$M$156,1,FALSE)</f>
        <v>LOMAS DE ZAMORA</v>
      </c>
    </row>
    <row r="450" spans="1:42">
      <c r="A450" s="910"/>
      <c r="B450" s="894"/>
      <c r="C450" s="478" t="str">
        <f t="shared" si="309"/>
        <v>ok</v>
      </c>
      <c r="D450" s="24" t="s">
        <v>99</v>
      </c>
      <c r="E450" s="527">
        <f>VLOOKUP(D450,Pobl_adoptada!$C$5:$D$158,2,FALSE)</f>
        <v>14</v>
      </c>
      <c r="F450" s="9" t="s">
        <v>308</v>
      </c>
      <c r="G450" s="580">
        <f>+'[223]Inversion rec-TA'!$G$21</f>
        <v>10973031.515361123</v>
      </c>
      <c r="H450" s="34">
        <f>+($AC450/$AC465)*H464+G450</f>
        <v>13056695.452998184</v>
      </c>
      <c r="I450" s="465">
        <f>+'[223]Costos Operativos Rec-TA'!$G$23</f>
        <v>7496290.2595463973</v>
      </c>
      <c r="J450" s="581">
        <f>+($AC450/$AC465)*J464+I450</f>
        <v>7537963.5382991387</v>
      </c>
      <c r="K450" s="10">
        <f>+'[223]Inversion rec-TA'!$G$46</f>
        <v>0</v>
      </c>
      <c r="L450" s="10">
        <f>+'[223]Costos Operativos Rec-TA'!$G$46</f>
        <v>0</v>
      </c>
      <c r="M450" s="19">
        <f t="shared" si="310"/>
        <v>-72166063.983063042</v>
      </c>
      <c r="N450" s="465">
        <f t="shared" si="311"/>
        <v>2607007.8584208079</v>
      </c>
      <c r="O450" s="25">
        <f t="shared" si="312"/>
        <v>2607007.8584208079</v>
      </c>
      <c r="P450" s="25">
        <f t="shared" si="313"/>
        <v>108754.36204761715</v>
      </c>
      <c r="Q450" s="465">
        <f t="shared" si="314"/>
        <v>58350706.092081897</v>
      </c>
      <c r="R450" s="647">
        <f t="shared" si="315"/>
        <v>58350706.092081897</v>
      </c>
      <c r="S450" s="25">
        <f t="shared" si="316"/>
        <v>1345000</v>
      </c>
      <c r="T450" s="25">
        <f t="shared" si="317"/>
        <v>22715.21743940454</v>
      </c>
      <c r="U450" s="465">
        <f>SUMIFS(Tabla24[Costo de Cierre Técnico de BCA (US$)],Tabla24[Localidad],Resumen!$D450)</f>
        <v>5764280</v>
      </c>
      <c r="V450" s="461">
        <f t="shared" ref="V450:V451" si="328">+U450*(V$3*$E$3+V$4*$E$4)</f>
        <v>11069967.717472</v>
      </c>
      <c r="W450" s="465">
        <f>SUMIFS(Tabla24[Costo anual de Manteniemiento Post-cierre (US$)],Tabla24[Localidad],Resumen!$D450)</f>
        <v>511786.27839820733</v>
      </c>
      <c r="X450" s="461">
        <f t="shared" ref="X450:X451" si="329">+W450*(X$3*$E$3+X$4*$E$4)</f>
        <v>982856.06877412146</v>
      </c>
      <c r="Y450" s="28">
        <f>VLOOKUP($D450,'Costo Social x localidad'!$B$2:$M$156,12,FALSE)*(Y$3*$E$3+Y$4*$E$4)</f>
        <v>307793.95558080002</v>
      </c>
      <c r="Z450" s="28">
        <f>VLOOKUP(D450,'Estimación  PRESUPUESTO PCAS'!$B$4:$G$158,'Estimación  PRESUPUESTO PCAS'!$G$2,FALSE)</f>
        <v>1408938.0568145933</v>
      </c>
      <c r="AA450" s="650">
        <f t="shared" si="318"/>
        <v>-56261282.307452261</v>
      </c>
      <c r="AB450" s="651">
        <f t="shared" si="319"/>
        <v>-128427346.2905153</v>
      </c>
      <c r="AC450" s="10">
        <f>VLOOKUP($E450,Resumen_Generación!$B$5:$F$158,Resumen_Generación!$D$3,FALSE)</f>
        <v>459.8442712079999</v>
      </c>
      <c r="AD450" s="10">
        <f>VLOOKUP($E450,Resumen_Generación!$B$5:$G$158,Resumen_Generación!$G$3,FALSE)</f>
        <v>188.58232036499999</v>
      </c>
      <c r="AE450" s="362">
        <f>VLOOKUP($E450,Resumen_Generación!$B$5:$F$158,Resumen_Generación!$E$3,FALSE)</f>
        <v>433128</v>
      </c>
      <c r="AF450" s="10">
        <f>VLOOKUP($E450,Resumen_Generación!$B$5:$F$158,Resumen_Generación!$F$3,FALSE)</f>
        <v>212.05744349999995</v>
      </c>
      <c r="AG450" s="448">
        <f>VLOOKUP($D450,Valoración_Eq_REG!$D$4:$I$157,Valoración_Eq_REG!$E$2,FALSE)*$E$4</f>
        <v>0</v>
      </c>
      <c r="AH450" s="448">
        <f>VLOOKUP($D450,Valoración_Eq_REG!$D$4:$I$157,Valoración_Eq_REG!$F$2,FALSE)*$E$4</f>
        <v>0</v>
      </c>
      <c r="AI450" s="25">
        <f>+[223]P_Datos!$D$43</f>
        <v>1.5265967213114755</v>
      </c>
      <c r="AJ450" s="484">
        <f>+'[223]Evaluacion Economica'!$L$25</f>
        <v>12</v>
      </c>
      <c r="AK450" s="448">
        <f>+'[223]Evaluacion Economica'!$R$25</f>
        <v>24</v>
      </c>
      <c r="AL450" s="484">
        <f>+'[223]P_Evaluacion Economica'!$L$27</f>
        <v>6</v>
      </c>
      <c r="AM450" s="448">
        <f>+'[223]P_Evaluacion Economica'!$Q$27</f>
        <v>6</v>
      </c>
      <c r="AN450" s="34" t="str">
        <f>+[223]Datos!$C$2</f>
        <v>Malvinas Argentinas</v>
      </c>
      <c r="AO450" s="25" t="str">
        <f>VLOOKUP($E450,Tabla13[],Inputs_costos!$D$1,FALSE)</f>
        <v>MALVINAS ARGENTINAS</v>
      </c>
      <c r="AP450" s="28" t="str">
        <f>VLOOKUP($D450,'Costo Social x localidad'!$B$2:$M$156,1,FALSE)</f>
        <v>MALVINAS ARGENTINAS</v>
      </c>
    </row>
    <row r="451" spans="1:42">
      <c r="A451" s="910"/>
      <c r="B451" s="894"/>
      <c r="C451" s="478" t="str">
        <f t="shared" si="309"/>
        <v>ok</v>
      </c>
      <c r="D451" s="24" t="s">
        <v>100</v>
      </c>
      <c r="E451" s="527">
        <f>VLOOKUP(D451,Pobl_adoptada!$C$5:$D$158,2,FALSE)</f>
        <v>15</v>
      </c>
      <c r="F451" s="9" t="s">
        <v>308</v>
      </c>
      <c r="G451" s="580">
        <f>+'[224]Inversion rec-TA'!$G$21</f>
        <v>17123547.372289617</v>
      </c>
      <c r="H451" s="34">
        <f>+($AC451/$AC465)*H464+G451</f>
        <v>20572475.399494164</v>
      </c>
      <c r="I451" s="465">
        <f>+'[224]Costos Operativos Rec-TA'!$G$23</f>
        <v>11385539.651384654</v>
      </c>
      <c r="J451" s="581">
        <f>+($AC451/$AC465)*J464+I451</f>
        <v>11454518.211928744</v>
      </c>
      <c r="K451" s="10">
        <f>+'[224]Inversion rec-TA'!$G$46</f>
        <v>0</v>
      </c>
      <c r="L451" s="10">
        <f>+'[224]Costos Operativos Rec-TA'!$G$46</f>
        <v>0</v>
      </c>
      <c r="M451" s="19">
        <f t="shared" si="310"/>
        <v>-110550946.12358433</v>
      </c>
      <c r="N451" s="465">
        <f t="shared" si="311"/>
        <v>4308055.125906379</v>
      </c>
      <c r="O451" s="25">
        <f t="shared" si="312"/>
        <v>4308055.125906379</v>
      </c>
      <c r="P451" s="25">
        <f t="shared" si="313"/>
        <v>179715.52535622986</v>
      </c>
      <c r="Q451" s="465">
        <f t="shared" si="314"/>
        <v>96583418.282113776</v>
      </c>
      <c r="R451" s="647">
        <f t="shared" si="315"/>
        <v>96583418.282113776</v>
      </c>
      <c r="S451" s="25">
        <f t="shared" si="316"/>
        <v>1345000</v>
      </c>
      <c r="T451" s="25">
        <f t="shared" si="317"/>
        <v>37598.745486592918</v>
      </c>
      <c r="U451" s="465">
        <f>SUMIFS(Tabla24[Costo de Cierre Técnico de BCA (US$)],Tabla24[Localidad],Resumen!$D451)</f>
        <v>167480</v>
      </c>
      <c r="V451" s="461">
        <f t="shared" si="328"/>
        <v>321635.69315200002</v>
      </c>
      <c r="W451" s="465">
        <f>SUMIFS(Tabla24[Costo anual de Manteniemiento Post-cierre (US$)],Tabla24[Localidad],Resumen!$D451)</f>
        <v>14869.84773573313</v>
      </c>
      <c r="X451" s="461">
        <f t="shared" si="329"/>
        <v>28556.686073245899</v>
      </c>
      <c r="Y451" s="28">
        <f>VLOOKUP($D451,'Costo Social x localidad'!$B$2:$M$156,12,FALSE)*(Y$3*$E$3+Y$4*$E$4)</f>
        <v>443021.16029759997</v>
      </c>
      <c r="Z451" s="28">
        <f>VLOOKUP(D451,'Estimación  PRESUPUESTO PCAS'!$B$4:$G$158,'Estimación  PRESUPUESTO PCAS'!$G$2,FALSE)</f>
        <v>1959456.1675099945</v>
      </c>
      <c r="AA451" s="650">
        <f t="shared" si="318"/>
        <v>-92831482.609918699</v>
      </c>
      <c r="AB451" s="651">
        <f t="shared" si="319"/>
        <v>-203382428.73350304</v>
      </c>
      <c r="AC451" s="10">
        <f>VLOOKUP($E451,Resumen_Generación!$B$5:$F$158,Resumen_Generación!$D$3,FALSE)</f>
        <v>761.14471555199987</v>
      </c>
      <c r="AD451" s="10">
        <f>VLOOKUP($E451,Resumen_Generación!$B$5:$G$158,Resumen_Generación!$G$3,FALSE)</f>
        <v>311.630449935</v>
      </c>
      <c r="AE451" s="362">
        <f>VLOOKUP($E451,Resumen_Generación!$B$5:$F$158,Resumen_Generación!$E$3,FALSE)</f>
        <v>716631</v>
      </c>
      <c r="AF451" s="10">
        <f>VLOOKUP($E451,Resumen_Generación!$B$5:$F$158,Resumen_Generación!$F$3,FALSE)</f>
        <v>351.85661699999997</v>
      </c>
      <c r="AG451" s="448">
        <f>VLOOKUP($D451,Valoración_Eq_REG!$D$4:$I$157,Valoración_Eq_REG!$E$2,FALSE)*$E$4</f>
        <v>0</v>
      </c>
      <c r="AH451" s="448">
        <f>VLOOKUP($D451,Valoración_Eq_REG!$D$4:$I$157,Valoración_Eq_REG!$F$2,FALSE)*$E$4</f>
        <v>0</v>
      </c>
      <c r="AI451" s="25">
        <f>+[224]P_Datos!$D$43</f>
        <v>2.6059672131147544</v>
      </c>
      <c r="AJ451" s="484">
        <f>+'[224]Evaluacion Economica'!$L$25</f>
        <v>23</v>
      </c>
      <c r="AK451" s="448">
        <f>+'[224]Evaluacion Economica'!$R$25</f>
        <v>24</v>
      </c>
      <c r="AL451" s="484">
        <f>+'[224]P_Evaluacion Economica'!$L$27</f>
        <v>7</v>
      </c>
      <c r="AM451" s="448">
        <f>+'[224]P_Evaluacion Economica'!$Q$27</f>
        <v>9</v>
      </c>
      <c r="AN451" s="34" t="str">
        <f>+[224]Datos!$C$2</f>
        <v>Merlo</v>
      </c>
      <c r="AO451" s="25" t="str">
        <f>VLOOKUP($E451,Tabla13[],Inputs_costos!$D$1,FALSE)</f>
        <v>MERLO</v>
      </c>
      <c r="AP451" s="28" t="str">
        <f>VLOOKUP($D451,'Costo Social x localidad'!$B$2:$M$156,1,FALSE)</f>
        <v>MERLO</v>
      </c>
    </row>
    <row r="452" spans="1:42">
      <c r="A452" s="910"/>
      <c r="B452" s="894"/>
      <c r="C452" s="478" t="str">
        <f t="shared" si="309"/>
        <v>ok</v>
      </c>
      <c r="D452" s="24" t="s">
        <v>101</v>
      </c>
      <c r="E452" s="527">
        <f>VLOOKUP(D452,Pobl_adoptada!$C$5:$D$158,2,FALSE)</f>
        <v>16</v>
      </c>
      <c r="F452" s="9" t="s">
        <v>308</v>
      </c>
      <c r="G452" s="580">
        <f>+'[225]Inversion rec-TA'!$G$21</f>
        <v>10809675.380004883</v>
      </c>
      <c r="H452" s="34">
        <f>+($AC452/$AC465)*H464+G452</f>
        <v>14410683.99541441</v>
      </c>
      <c r="I452" s="465">
        <f>+'[225]Costos Operativos Rec-TA'!$G$23</f>
        <v>6764178.9168795161</v>
      </c>
      <c r="J452" s="581">
        <f>+($AC452/$AC465)*J464+I452</f>
        <v>6836199.0891877068</v>
      </c>
      <c r="K452" s="10">
        <f>+'[225]Inversion rec-TA'!$G$46</f>
        <v>0</v>
      </c>
      <c r="L452" s="10">
        <f>+'[225]Costos Operativos Rec-TA'!$G$46</f>
        <v>0</v>
      </c>
      <c r="M452" s="19">
        <f t="shared" si="310"/>
        <v>-68569140.407619432</v>
      </c>
      <c r="N452" s="465">
        <f t="shared" si="311"/>
        <v>4561458.7859956911</v>
      </c>
      <c r="O452" s="25">
        <f t="shared" si="312"/>
        <v>4561458.7859956911</v>
      </c>
      <c r="P452" s="25">
        <f t="shared" si="313"/>
        <v>190286.55348126133</v>
      </c>
      <c r="Q452" s="465">
        <f t="shared" si="314"/>
        <v>100842267.1033508</v>
      </c>
      <c r="R452" s="647">
        <f t="shared" si="315"/>
        <v>100842267.1033508</v>
      </c>
      <c r="S452" s="25">
        <f t="shared" si="316"/>
        <v>1345000</v>
      </c>
      <c r="T452" s="25">
        <f t="shared" si="317"/>
        <v>39256.663333607263</v>
      </c>
      <c r="U452" s="465">
        <f>SUMIFS(Tabla24[Costo de Cierre Técnico de BCA (US$)],Tabla24[Localidad],Resumen!$D452)</f>
        <v>345560</v>
      </c>
      <c r="V452" s="461">
        <f>+U452*(V$3*$E$3+V$4*$E$4)</f>
        <v>663628.07574400003</v>
      </c>
      <c r="W452" s="465">
        <f>SUMIFS(Tabla24[Costo anual de Manteniemiento Post-cierre (US$)],Tabla24[Localidad],Resumen!$D452)</f>
        <v>30680.825074993671</v>
      </c>
      <c r="X452" s="461">
        <f>+W452*(X$3*$E$3+X$4*$E$4)</f>
        <v>58920.757341001023</v>
      </c>
      <c r="Y452" s="28">
        <f>VLOOKUP($D452,'Costo Social x localidad'!$B$2:$M$156,12,FALSE)*(Y$3*$E$3+Y$4*$E$4)</f>
        <v>438115.02623039996</v>
      </c>
      <c r="Z452" s="28">
        <f>VLOOKUP(D452,'Estimación  PRESUPUESTO PCAS'!$B$4:$G$158,'Estimación  PRESUPUESTO PCAS'!$G$2,FALSE)</f>
        <v>1939842.9694075733</v>
      </c>
      <c r="AA452" s="650">
        <f t="shared" si="318"/>
        <v>-96992417.489070371</v>
      </c>
      <c r="AB452" s="651">
        <f t="shared" si="319"/>
        <v>-165561557.8966898</v>
      </c>
      <c r="AC452" s="10">
        <f>VLOOKUP($E452,Resumen_Generación!$B$5:$F$158,Resumen_Generación!$D$3,FALSE)</f>
        <v>794.70741536399998</v>
      </c>
      <c r="AD452" s="10">
        <f>VLOOKUP($E452,Resumen_Generación!$B$5:$G$158,Resumen_Generación!$G$3,FALSE)</f>
        <v>329.96083204500002</v>
      </c>
      <c r="AE452" s="362">
        <f>VLOOKUP($E452,Resumen_Generación!$B$5:$F$158,Resumen_Generación!$E$3,FALSE)</f>
        <v>750834</v>
      </c>
      <c r="AF452" s="10">
        <f>VLOOKUP($E452,Resumen_Generación!$B$5:$F$158,Resumen_Generación!$F$3,FALSE)</f>
        <v>364.58694299999996</v>
      </c>
      <c r="AG452" s="448">
        <f>VLOOKUP($D452,Valoración_Eq_REG!$D$4:$I$157,Valoración_Eq_REG!$E$2,FALSE)*$E$4</f>
        <v>0</v>
      </c>
      <c r="AH452" s="448">
        <f>VLOOKUP($D452,Valoración_Eq_REG!$D$4:$I$157,Valoración_Eq_REG!$F$2,FALSE)*$E$4</f>
        <v>0</v>
      </c>
      <c r="AI452" s="513">
        <f>+[225]P_Datos!$D$43</f>
        <v>2.7754885245901639</v>
      </c>
      <c r="AJ452" s="512">
        <f>+'[225]Evaluacion Economica'!$L$25</f>
        <v>18</v>
      </c>
      <c r="AK452" s="513">
        <f>+'[225]Evaluacion Economica'!$R$25</f>
        <v>24</v>
      </c>
      <c r="AL452" s="512">
        <f>+'[225]P_Evaluacion Economica'!$L$27</f>
        <v>5</v>
      </c>
      <c r="AM452" s="513">
        <f>+'[225]P_Evaluacion Economica'!$Q$27</f>
        <v>6</v>
      </c>
      <c r="AN452" s="34" t="str">
        <f>+[225]Datos!$C$2</f>
        <v>Moreno</v>
      </c>
      <c r="AO452" s="25" t="str">
        <f>VLOOKUP($E452,Tabla13[],Inputs_costos!$D$1,FALSE)</f>
        <v>MORENO</v>
      </c>
      <c r="AP452" s="28" t="str">
        <f>VLOOKUP($D452,'Costo Social x localidad'!$B$2:$M$156,1,FALSE)</f>
        <v>MORENO</v>
      </c>
    </row>
    <row r="453" spans="1:42">
      <c r="A453" s="910"/>
      <c r="B453" s="894"/>
      <c r="C453" s="478" t="str">
        <f t="shared" si="309"/>
        <v>ok</v>
      </c>
      <c r="D453" s="24" t="s">
        <v>102</v>
      </c>
      <c r="E453" s="527">
        <f>VLOOKUP(D453,Pobl_adoptada!$C$5:$D$158,2,FALSE)</f>
        <v>17</v>
      </c>
      <c r="F453" s="9" t="s">
        <v>308</v>
      </c>
      <c r="G453" s="580">
        <f>+'[226]Inversion rec-TA'!$G$21</f>
        <v>13054712.839705402</v>
      </c>
      <c r="H453" s="34">
        <f>+($AC453/$AC465)*H464+G453</f>
        <v>14905889.729685962</v>
      </c>
      <c r="I453" s="465">
        <f>+'[226]Costos Operativos Rec-TA'!$G$23</f>
        <v>8832004.3282743655</v>
      </c>
      <c r="J453" s="581">
        <f>+($AC453/$AC465)*J464+I453</f>
        <v>8869027.8660739772</v>
      </c>
      <c r="K453" s="10">
        <f>+'[226]Inversion rec-TA'!$G$46</f>
        <v>0</v>
      </c>
      <c r="L453" s="10">
        <f>+'[226]Costos Operativos Rec-TA'!$G$46</f>
        <v>0</v>
      </c>
      <c r="M453" s="19">
        <f t="shared" si="310"/>
        <v>-84354831.324552104</v>
      </c>
      <c r="N453" s="465">
        <f t="shared" si="311"/>
        <v>2302053.456120485</v>
      </c>
      <c r="O453" s="25">
        <f t="shared" si="312"/>
        <v>2302053.456120485</v>
      </c>
      <c r="P453" s="25">
        <f t="shared" si="313"/>
        <v>96032.834811456938</v>
      </c>
      <c r="Q453" s="465">
        <f t="shared" si="314"/>
        <v>51840163.224308185</v>
      </c>
      <c r="R453" s="647">
        <f t="shared" si="315"/>
        <v>51840163.224308185</v>
      </c>
      <c r="S453" s="25">
        <f t="shared" si="316"/>
        <v>1345000</v>
      </c>
      <c r="T453" s="25">
        <f t="shared" si="317"/>
        <v>20180.742592490693</v>
      </c>
      <c r="U453" s="465">
        <f>SUMIFS(Tabla24[Costo de Cierre Técnico de BCA (US$)],Tabla24[Localidad],Resumen!$D453)</f>
        <v>413400</v>
      </c>
      <c r="V453" s="461">
        <f t="shared" ref="V453:V454" si="330">+U453*(V$3*$E$3+V$4*$E$4)</f>
        <v>793910.88815999997</v>
      </c>
      <c r="W453" s="465">
        <f>SUMIFS(Tabla24[Costo anual de Manteniemiento Post-cierre (US$)],Tabla24[Localidad],Resumen!$D453)</f>
        <v>36704.054537569114</v>
      </c>
      <c r="X453" s="461">
        <f t="shared" ref="X453:X454" si="331">+W453*(X$3*$E$3+X$4*$E$4)</f>
        <v>70488.022585860119</v>
      </c>
      <c r="Y453" s="28">
        <f>VLOOKUP($D453,'Costo Social x localidad'!$B$2:$M$156,12,FALSE)*(Y$3*$E$3+Y$4*$E$4)</f>
        <v>310379.23302048008</v>
      </c>
      <c r="Z453" s="28">
        <f>VLOOKUP(D453,'Estimación  PRESUPUESTO PCAS'!$B$4:$G$158,'Estimación  PRESUPUESTO PCAS'!$G$2,FALSE)</f>
        <v>1180302.6594741195</v>
      </c>
      <c r="AA453" s="650">
        <f t="shared" si="318"/>
        <v>-50012969.46229054</v>
      </c>
      <c r="AB453" s="651">
        <f t="shared" si="319"/>
        <v>-134367800.78684264</v>
      </c>
      <c r="AC453" s="10">
        <f>VLOOKUP($E453,Resumen_Generación!$B$5:$F$158,Resumen_Generación!$D$3,FALSE)</f>
        <v>408.53665145999992</v>
      </c>
      <c r="AD453" s="10">
        <f>VLOOKUP($E453,Resumen_Generación!$B$5:$G$158,Resumen_Generación!$G$3,FALSE)</f>
        <v>166.522928175</v>
      </c>
      <c r="AE453" s="362">
        <f>VLOOKUP($E453,Resumen_Generación!$B$5:$F$158,Resumen_Generación!$E$3,FALSE)</f>
        <v>384223</v>
      </c>
      <c r="AF453" s="10">
        <f>VLOOKUP($E453,Resumen_Generación!$B$5:$F$158,Resumen_Generación!$F$3,FALSE)</f>
        <v>188.48492249999995</v>
      </c>
      <c r="AG453" s="448">
        <f>VLOOKUP($D453,Valoración_Eq_REG!$D$4:$I$157,Valoración_Eq_REG!$E$2,FALSE)*$E$4</f>
        <v>0</v>
      </c>
      <c r="AH453" s="448">
        <f>VLOOKUP($D453,Valoración_Eq_REG!$D$4:$I$157,Valoración_Eq_REG!$F$2,FALSE)*$E$4</f>
        <v>0</v>
      </c>
      <c r="AI453" s="25">
        <f>+[226]P_Datos!$D$43</f>
        <v>1.8312655737704919</v>
      </c>
      <c r="AJ453" s="484">
        <f>+'[226]Evaluacion Economica'!$L$25</f>
        <v>15</v>
      </c>
      <c r="AK453" s="448">
        <f>+'[226]Evaluacion Economica'!$R$25</f>
        <v>24</v>
      </c>
      <c r="AL453" s="484">
        <f>+'[226]P_Evaluacion Economica'!$L$27</f>
        <v>6</v>
      </c>
      <c r="AM453" s="448">
        <f>+'[226]P_Evaluacion Economica'!$Q$27</f>
        <v>15</v>
      </c>
      <c r="AN453" s="34" t="str">
        <f>+[226]Datos!$C$2</f>
        <v>Morón</v>
      </c>
      <c r="AO453" s="25" t="str">
        <f>VLOOKUP($E453,Tabla13[],Inputs_costos!$D$1,FALSE)</f>
        <v>MORÓN</v>
      </c>
      <c r="AP453" s="28" t="str">
        <f>VLOOKUP($D453,'Costo Social x localidad'!$B$2:$M$156,1,FALSE)</f>
        <v>MORÓN</v>
      </c>
    </row>
    <row r="454" spans="1:42">
      <c r="A454" s="910"/>
      <c r="B454" s="894"/>
      <c r="C454" s="478" t="str">
        <f t="shared" si="309"/>
        <v>ok</v>
      </c>
      <c r="D454" s="24" t="s">
        <v>207</v>
      </c>
      <c r="E454" s="527">
        <f>VLOOKUP(D454,Pobl_adoptada!$C$5:$D$158,2,FALSE)</f>
        <v>105</v>
      </c>
      <c r="F454" s="9" t="s">
        <v>308</v>
      </c>
      <c r="G454" s="580">
        <f>+'[227]Inversion rec-TA'!$G$21</f>
        <v>8989826.7893732283</v>
      </c>
      <c r="H454" s="34">
        <f>+($AC454/$AC465)*H464+G454</f>
        <v>11457910.354234627</v>
      </c>
      <c r="I454" s="465">
        <f>+'[227]Costos Operativos Rec-TA'!$G$23</f>
        <v>5423326.3585196827</v>
      </c>
      <c r="J454" s="581">
        <f>+($AC454/$AC465)*J464+I454</f>
        <v>5472688.0298169106</v>
      </c>
      <c r="K454" s="10">
        <f>+'[227]Inversion rec-TA'!$G$46</f>
        <v>0</v>
      </c>
      <c r="L454" s="10">
        <f>+'[227]Costos Operativos Rec-TA'!$G$46</f>
        <v>0</v>
      </c>
      <c r="M454" s="19">
        <f t="shared" si="310"/>
        <v>-54797352.295564055</v>
      </c>
      <c r="N454" s="465">
        <f t="shared" si="311"/>
        <v>3114751.2029684098</v>
      </c>
      <c r="O454" s="25">
        <f t="shared" si="312"/>
        <v>3114751.2029684098</v>
      </c>
      <c r="P454" s="25">
        <f t="shared" si="313"/>
        <v>129935.46564185293</v>
      </c>
      <c r="Q454" s="465">
        <f t="shared" si="314"/>
        <v>69115952.962761372</v>
      </c>
      <c r="R454" s="647">
        <f t="shared" si="315"/>
        <v>69115952.962761372</v>
      </c>
      <c r="S454" s="25">
        <f t="shared" si="316"/>
        <v>1345000</v>
      </c>
      <c r="T454" s="25">
        <f t="shared" si="317"/>
        <v>26905.996606163189</v>
      </c>
      <c r="U454" s="465">
        <f>SUMIFS(Tabla24[Costo de Cierre Técnico de BCA (US$)],Tabla24[Localidad],Resumen!$D454)</f>
        <v>2359560</v>
      </c>
      <c r="V454" s="461">
        <f t="shared" si="330"/>
        <v>4531399.069344</v>
      </c>
      <c r="W454" s="465">
        <f>SUMIFS(Tabla24[Costo anual de Manteniemiento Post-cierre (US$)],Tabla24[Localidad],Resumen!$D454)</f>
        <v>209495.4497452022</v>
      </c>
      <c r="X454" s="461">
        <f t="shared" si="331"/>
        <v>402323.94429775549</v>
      </c>
      <c r="Y454" s="28">
        <f>VLOOKUP($D454,'Costo Social x localidad'!$B$2:$M$156,12,FALSE)*(Y$3*$E$3+Y$4*$E$4)</f>
        <v>319075.31796480005</v>
      </c>
      <c r="Z454" s="28">
        <f>VLOOKUP(D454,'Estimación  PRESUPUESTO PCAS'!$B$4:$G$158,'Estimación  PRESUPUESTO PCAS'!$G$2,FALSE)</f>
        <v>1455972.6038396261</v>
      </c>
      <c r="AA454" s="650">
        <f t="shared" si="318"/>
        <v>-66597705.87440341</v>
      </c>
      <c r="AB454" s="651">
        <f t="shared" si="319"/>
        <v>-121395058.16996747</v>
      </c>
      <c r="AC454" s="10">
        <f>VLOOKUP($E454,Resumen_Generación!$B$5:$F$158,Resumen_Generación!$D$3,FALSE)</f>
        <v>544.68192670800011</v>
      </c>
      <c r="AD454" s="10">
        <f>VLOOKUP($E454,Resumen_Generación!$B$5:$G$158,Resumen_Generación!$G$3,FALSE)</f>
        <v>225.31079348999998</v>
      </c>
      <c r="AE454" s="362">
        <f>VLOOKUP($E454,Resumen_Generación!$B$5:$F$158,Resumen_Generación!$E$3,FALSE)</f>
        <v>514135</v>
      </c>
      <c r="AF454" s="10">
        <f>VLOOKUP($E454,Resumen_Generación!$B$5:$F$158,Resumen_Generación!$F$3,FALSE)</f>
        <v>251.64206549999997</v>
      </c>
      <c r="AG454" s="448">
        <f>VLOOKUP($D454,Valoración_Eq_REG!$D$4:$I$157,Valoración_Eq_REG!$E$2,FALSE)*$E$4</f>
        <v>0</v>
      </c>
      <c r="AH454" s="448">
        <f>VLOOKUP($D454,Valoración_Eq_REG!$D$4:$I$157,Valoración_Eq_REG!$F$2,FALSE)*$E$4</f>
        <v>0</v>
      </c>
      <c r="AI454" s="25">
        <f>+[227]P_Datos!$D$43</f>
        <v>2.0920524590163936</v>
      </c>
      <c r="AJ454" s="484">
        <f>+'[227]Evaluacion Economica'!$L$25</f>
        <v>16</v>
      </c>
      <c r="AK454" s="448">
        <f>+'[227]Evaluacion Economica'!$R$25</f>
        <v>24</v>
      </c>
      <c r="AL454" s="484">
        <f>+'[227]P_Evaluacion Economica'!$L$27</f>
        <v>4</v>
      </c>
      <c r="AM454" s="448">
        <f>+'[227]P_Evaluacion Economica'!$Q$27</f>
        <v>15</v>
      </c>
      <c r="AN454" s="34" t="str">
        <f>+[227]Datos!$C$2</f>
        <v>Pilar</v>
      </c>
      <c r="AO454" s="25" t="str">
        <f>VLOOKUP($E454,Tabla13[],Inputs_costos!$D$1,FALSE)</f>
        <v>PILAR</v>
      </c>
      <c r="AP454" s="28" t="str">
        <f>VLOOKUP($D454,'Costo Social x localidad'!$B$2:$M$156,1,FALSE)</f>
        <v>PILAR</v>
      </c>
    </row>
    <row r="455" spans="1:42">
      <c r="A455" s="910"/>
      <c r="B455" s="894"/>
      <c r="C455" s="478" t="str">
        <f t="shared" si="309"/>
        <v>ok</v>
      </c>
      <c r="D455" s="24" t="s">
        <v>209</v>
      </c>
      <c r="E455" s="527">
        <f>VLOOKUP(D455,Pobl_adoptada!$C$5:$D$158,2,FALSE)</f>
        <v>107</v>
      </c>
      <c r="F455" s="9" t="s">
        <v>308</v>
      </c>
      <c r="G455" s="580">
        <f>+'[228]Inversion rec-TA'!$G$21</f>
        <v>4717767.7320511341</v>
      </c>
      <c r="H455" s="34">
        <f>+($AC455/$AC465)*H464+G455</f>
        <v>5183411.709201593</v>
      </c>
      <c r="I455" s="465">
        <f>+'[228]Costos Operativos Rec-TA'!$G$23</f>
        <v>2845757.1141259177</v>
      </c>
      <c r="J455" s="581">
        <f>+($AC455/$AC465)*J464+I455</f>
        <v>2855069.9936689269</v>
      </c>
      <c r="K455" s="10">
        <f>+'[228]Inversion rec-TA'!$G$46</f>
        <v>0</v>
      </c>
      <c r="L455" s="10">
        <f>+'[228]Costos Operativos Rec-TA'!$G$46</f>
        <v>0</v>
      </c>
      <c r="M455" s="19">
        <f t="shared" si="310"/>
        <v>-27622750.374743141</v>
      </c>
      <c r="N455" s="465">
        <f t="shared" si="311"/>
        <v>587023.64479454479</v>
      </c>
      <c r="O455" s="25">
        <f t="shared" si="312"/>
        <v>587023.64479454479</v>
      </c>
      <c r="P455" s="25">
        <f t="shared" si="313"/>
        <v>24488.373439414783</v>
      </c>
      <c r="Q455" s="465">
        <f t="shared" si="314"/>
        <v>13039845.036175516</v>
      </c>
      <c r="R455" s="647">
        <f t="shared" si="315"/>
        <v>13039845.036175516</v>
      </c>
      <c r="S455" s="25">
        <f t="shared" si="316"/>
        <v>815000</v>
      </c>
      <c r="T455" s="25">
        <f t="shared" si="317"/>
        <v>5076.2524605175449</v>
      </c>
      <c r="U455" s="465">
        <f>SUMIFS(Tabla24[Costo de Cierre Técnico de BCA (US$)],Tabla24[Localidad],Resumen!$D455)</f>
        <v>636000</v>
      </c>
      <c r="V455" s="461">
        <f>+U455*(V$3*$E$3+V$4*$E$4)</f>
        <v>1221401.3663999999</v>
      </c>
      <c r="W455" s="465">
        <f>SUMIFS(Tabla24[Costo anual de Manteniemiento Post-cierre (US$)],Tabla24[Localidad],Resumen!$D455)</f>
        <v>56467.776211644792</v>
      </c>
      <c r="X455" s="461">
        <f>+W455*(X$3*$E$3+X$4*$E$4)</f>
        <v>108443.11167055403</v>
      </c>
      <c r="Y455" s="28">
        <f>VLOOKUP($D455,'Costo Social x localidad'!$B$2:$M$156,12,FALSE)*(Y$3*$E$3+Y$4*$E$4)</f>
        <v>140220.24067584003</v>
      </c>
      <c r="Z455" s="28">
        <f>VLOOKUP(D455,'Estimación  PRESUPUESTO PCAS'!$B$4:$G$158,'Estimación  PRESUPUESTO PCAS'!$G$2,FALSE)</f>
        <v>383068.42195714568</v>
      </c>
      <c r="AA455" s="650">
        <f t="shared" si="318"/>
        <v>-12744589.482270591</v>
      </c>
      <c r="AB455" s="651">
        <f t="shared" si="319"/>
        <v>-40367339.857013732</v>
      </c>
      <c r="AC455" s="10">
        <f>VLOOKUP($E455,Resumen_Generación!$B$5:$F$158,Resumen_Generación!$D$3,FALSE)</f>
        <v>102.76307587200002</v>
      </c>
      <c r="AD455" s="10">
        <f>VLOOKUP($E455,Resumen_Generación!$B$5:$G$158,Resumen_Generación!$G$3,FALSE)</f>
        <v>42.463347659999997</v>
      </c>
      <c r="AE455" s="362">
        <f>VLOOKUP($E455,Resumen_Generación!$B$5:$F$158,Resumen_Generación!$E$3,FALSE)</f>
        <v>134053</v>
      </c>
      <c r="AF455" s="10">
        <f>VLOOKUP($E455,Resumen_Generación!$B$5:$F$158,Resumen_Generación!$F$3,FALSE)</f>
        <v>47.479214999999996</v>
      </c>
      <c r="AG455" s="448">
        <f>VLOOKUP($D455,Valoración_Eq_REG!$D$4:$I$157,Valoración_Eq_REG!$E$2,FALSE)*$E$4</f>
        <v>0</v>
      </c>
      <c r="AH455" s="448">
        <f>VLOOKUP($D455,Valoración_Eq_REG!$D$4:$I$157,Valoración_Eq_REG!$F$2,FALSE)*$E$4</f>
        <v>0</v>
      </c>
      <c r="AI455" s="513">
        <f>+[228]P_Datos!$D$43</f>
        <v>2.413770491803279</v>
      </c>
      <c r="AJ455" s="512">
        <f>+'[228]Evaluacion Economica'!$L$25</f>
        <v>5</v>
      </c>
      <c r="AK455" s="513">
        <f>+'[228]Evaluacion Economica'!$R$25</f>
        <v>24</v>
      </c>
      <c r="AL455" s="512">
        <f>+'[228]P_Evaluacion Economica'!$L$27</f>
        <v>4</v>
      </c>
      <c r="AM455" s="513">
        <f>+'[228]P_Evaluacion Economica'!$Q$27</f>
        <v>15</v>
      </c>
      <c r="AN455" s="34" t="str">
        <f>+[228]Datos!$C$2</f>
        <v>Presidente Perón</v>
      </c>
      <c r="AO455" s="25" t="str">
        <f>VLOOKUP($E455,Tabla13[],Inputs_costos!$D$1,FALSE)</f>
        <v>PRESIDENTE PERÓN</v>
      </c>
      <c r="AP455" s="28" t="str">
        <f>VLOOKUP($D455,'Costo Social x localidad'!$B$2:$M$156,1,FALSE)</f>
        <v>PRESIDENTE PERÓN</v>
      </c>
    </row>
    <row r="456" spans="1:42">
      <c r="A456" s="910"/>
      <c r="B456" s="894"/>
      <c r="C456" s="478" t="str">
        <f t="shared" si="309"/>
        <v>ok</v>
      </c>
      <c r="D456" s="24" t="s">
        <v>103</v>
      </c>
      <c r="E456" s="527">
        <f>VLOOKUP(D456,Pobl_adoptada!$C$5:$D$158,2,FALSE)</f>
        <v>18</v>
      </c>
      <c r="F456" s="9" t="s">
        <v>308</v>
      </c>
      <c r="G456" s="580">
        <f>+'[229]Inversion rec-TA'!$G$21</f>
        <v>23285723.848197941</v>
      </c>
      <c r="H456" s="34">
        <f>+($AC456/$AC465)*H464+G456</f>
        <v>26666182.785964727</v>
      </c>
      <c r="I456" s="465">
        <f>+'[229]Costos Operativos Rec-TA'!$G$23</f>
        <v>15457172.569138572</v>
      </c>
      <c r="J456" s="581">
        <f>+($AC456/$AC465)*J464+I456</f>
        <v>15524781.747893907</v>
      </c>
      <c r="K456" s="10">
        <f>+'[229]Inversion rec-TA'!$G$46</f>
        <v>0</v>
      </c>
      <c r="L456" s="10">
        <f>+'[229]Costos Operativos Rec-TA'!$G$46</f>
        <v>0</v>
      </c>
      <c r="M456" s="19">
        <f t="shared" si="310"/>
        <v>-148356370.99818254</v>
      </c>
      <c r="N456" s="465">
        <f t="shared" si="311"/>
        <v>4201087.8153262297</v>
      </c>
      <c r="O456" s="25">
        <f t="shared" si="312"/>
        <v>4201087.8153262297</v>
      </c>
      <c r="P456" s="25">
        <f t="shared" si="313"/>
        <v>175253.25970385846</v>
      </c>
      <c r="Q456" s="465">
        <f t="shared" si="314"/>
        <v>94666017.09183073</v>
      </c>
      <c r="R456" s="647">
        <f t="shared" si="315"/>
        <v>94666017.09183073</v>
      </c>
      <c r="S456" s="25">
        <f t="shared" si="316"/>
        <v>1345000</v>
      </c>
      <c r="T456" s="25">
        <f t="shared" si="317"/>
        <v>36852.324614031058</v>
      </c>
      <c r="U456" s="465">
        <f>SUMIFS(Tabla24[Costo de Cierre Técnico de BCA (US$)],Tabla24[Localidad],Resumen!$D456)</f>
        <v>1000640</v>
      </c>
      <c r="V456" s="461">
        <f t="shared" ref="V456:V457" si="332">+U456*(V$3*$E$3+V$4*$E$4)</f>
        <v>1921671.4831359999</v>
      </c>
      <c r="W456" s="465">
        <f>SUMIFS(Tabla24[Costo anual de Manteniemiento Post-cierre (US$)],Tabla24[Localidad],Resumen!$D456)</f>
        <v>88842.634572987823</v>
      </c>
      <c r="X456" s="461">
        <f t="shared" ref="X456:X457" si="333">+W456*(X$3*$E$3+X$4*$E$4)</f>
        <v>170617.16236167171</v>
      </c>
      <c r="Y456" s="28">
        <f>VLOOKUP($D456,'Costo Social x localidad'!$B$2:$M$156,12,FALSE)*(Y$3*$E$3+Y$4*$E$4)</f>
        <v>485141.29760960001</v>
      </c>
      <c r="Z456" s="28">
        <f>VLOOKUP(D456,'Estimación  PRESUPUESTO PCAS'!$B$4:$G$158,'Estimación  PRESUPUESTO PCAS'!$G$2,FALSE)</f>
        <v>2044496.7876438652</v>
      </c>
      <c r="AA456" s="650">
        <f t="shared" si="318"/>
        <v>-90967884.438194752</v>
      </c>
      <c r="AB456" s="651">
        <f t="shared" si="319"/>
        <v>-239324255.43637729</v>
      </c>
      <c r="AC456" s="10">
        <f>VLOOKUP($E456,Resumen_Generación!$B$5:$F$158,Resumen_Generación!$D$3,FALSE)</f>
        <v>746.03425653599993</v>
      </c>
      <c r="AD456" s="10">
        <f>VLOOKUP($E456,Resumen_Generación!$B$5:$G$158,Resumen_Generación!$G$3,FALSE)</f>
        <v>303.89278870499993</v>
      </c>
      <c r="AE456" s="362">
        <f>VLOOKUP($E456,Resumen_Generación!$B$5:$F$158,Resumen_Generación!$E$3,FALSE)</f>
        <v>701524</v>
      </c>
      <c r="AF456" s="10">
        <f>VLOOKUP($E456,Resumen_Generación!$B$5:$F$158,Resumen_Generación!$F$3,FALSE)</f>
        <v>344.65398449999998</v>
      </c>
      <c r="AG456" s="448">
        <f>VLOOKUP($D456,Valoración_Eq_REG!$D$4:$I$157,Valoración_Eq_REG!$E$2,FALSE)*$E$4</f>
        <v>0</v>
      </c>
      <c r="AH456" s="448">
        <f>VLOOKUP($D456,Valoración_Eq_REG!$D$4:$I$157,Valoración_Eq_REG!$F$2,FALSE)*$E$4</f>
        <v>0</v>
      </c>
      <c r="AI456" s="25">
        <f>+[229]P_Datos!$D$43</f>
        <v>2.8649180327868855</v>
      </c>
      <c r="AJ456" s="484">
        <f>+'[229]Evaluacion Economica'!$L$25</f>
        <v>35</v>
      </c>
      <c r="AK456" s="448">
        <f>+'[229]Evaluacion Economica'!$R$25</f>
        <v>24</v>
      </c>
      <c r="AL456" s="484">
        <f>+'[229]P_Evaluacion Economica'!$L$27</f>
        <v>8</v>
      </c>
      <c r="AM456" s="448">
        <f>+'[229]P_Evaluacion Economica'!$Q$27</f>
        <v>15</v>
      </c>
      <c r="AN456" s="34" t="str">
        <f>+[229]Datos!$C$2</f>
        <v>Quilmes</v>
      </c>
      <c r="AO456" s="25" t="str">
        <f>VLOOKUP($E456,Tabla13[],Inputs_costos!$D$1,FALSE)</f>
        <v>QUILMES</v>
      </c>
      <c r="AP456" s="28" t="str">
        <f>VLOOKUP($D456,'Costo Social x localidad'!$B$2:$M$156,1,FALSE)</f>
        <v>QUILMES</v>
      </c>
    </row>
    <row r="457" spans="1:42">
      <c r="A457" s="910"/>
      <c r="B457" s="894"/>
      <c r="C457" s="478" t="str">
        <f t="shared" si="309"/>
        <v>ok</v>
      </c>
      <c r="D457" s="24" t="s">
        <v>105</v>
      </c>
      <c r="E457" s="527">
        <f>VLOOKUP(D457,Pobl_adoptada!$C$5:$D$158,2,FALSE)</f>
        <v>19</v>
      </c>
      <c r="F457" s="9" t="s">
        <v>308</v>
      </c>
      <c r="G457" s="580">
        <f>+'[230]Inversion rec-TA'!$G$21</f>
        <v>5460441.5181887904</v>
      </c>
      <c r="H457" s="34">
        <f>+($AC457/$AC465)*H464+G457</f>
        <v>6105217.5053111622</v>
      </c>
      <c r="I457" s="465">
        <f>+'[230]Costos Operativos Rec-TA'!$G$23</f>
        <v>3403456.6861068588</v>
      </c>
      <c r="J457" s="581">
        <f>+($AC457/$AC465)*J464+I457</f>
        <v>3416352.2058493062</v>
      </c>
      <c r="K457" s="10">
        <f>+'[230]Inversion rec-TA'!$G$46</f>
        <v>0</v>
      </c>
      <c r="L457" s="10">
        <f>+'[230]Costos Operativos Rec-TA'!$G$46</f>
        <v>0</v>
      </c>
      <c r="M457" s="19">
        <f t="shared" si="310"/>
        <v>-32935053.90102737</v>
      </c>
      <c r="N457" s="465">
        <f t="shared" si="311"/>
        <v>799093.59604493191</v>
      </c>
      <c r="O457" s="25">
        <f t="shared" si="312"/>
        <v>799093.59604493191</v>
      </c>
      <c r="P457" s="25">
        <f t="shared" si="313"/>
        <v>33335.117872197516</v>
      </c>
      <c r="Q457" s="465">
        <f t="shared" si="314"/>
        <v>18056239.031748708</v>
      </c>
      <c r="R457" s="647">
        <f t="shared" si="315"/>
        <v>18056239.031748708</v>
      </c>
      <c r="S457" s="25">
        <f t="shared" si="316"/>
        <v>815000</v>
      </c>
      <c r="T457" s="25">
        <f t="shared" si="317"/>
        <v>7029.0733945324473</v>
      </c>
      <c r="U457" s="465">
        <f>SUMIFS(Tabla24[Costo de Cierre Técnico de BCA (US$)],Tabla24[Localidad],Resumen!$D457)</f>
        <v>1929200</v>
      </c>
      <c r="V457" s="461">
        <f t="shared" si="332"/>
        <v>3704917.4780799998</v>
      </c>
      <c r="W457" s="465">
        <f>SUMIFS(Tabla24[Costo anual de Manteniemiento Post-cierre (US$)],Tabla24[Localidad],Resumen!$D457)</f>
        <v>171285.58784198921</v>
      </c>
      <c r="X457" s="461">
        <f t="shared" si="333"/>
        <v>328944.10540068056</v>
      </c>
      <c r="Y457" s="28">
        <f>VLOOKUP($D457,'Costo Social x localidad'!$B$2:$M$156,12,FALSE)*(Y$3*$E$3+Y$4*$E$4)</f>
        <v>229906.06208063997</v>
      </c>
      <c r="Z457" s="28">
        <f>VLOOKUP(D457,'Estimación  PRESUPUESTO PCAS'!$B$4:$G$158,'Estimación  PRESUPUESTO PCAS'!$G$2,FALSE)</f>
        <v>490990.74513981002</v>
      </c>
      <c r="AA457" s="650">
        <f t="shared" si="318"/>
        <v>-17527668.032331467</v>
      </c>
      <c r="AB457" s="651">
        <f t="shared" si="319"/>
        <v>-50462721.933358833</v>
      </c>
      <c r="AC457" s="10">
        <f>VLOOKUP($E457,Resumen_Generación!$B$5:$F$158,Resumen_Generación!$D$3,FALSE)</f>
        <v>142.29576014400001</v>
      </c>
      <c r="AD457" s="10">
        <f>VLOOKUP($E457,Resumen_Generación!$B$5:$G$158,Resumen_Generación!$G$3,FALSE)</f>
        <v>57.803786070000001</v>
      </c>
      <c r="AE457" s="362">
        <f>VLOOKUP($E457,Resumen_Generación!$B$5:$F$158,Resumen_Generación!$E$3,FALSE)</f>
        <v>184842</v>
      </c>
      <c r="AF457" s="10">
        <f>VLOOKUP($E457,Resumen_Generación!$B$5:$F$158,Resumen_Generación!$F$3,FALSE)</f>
        <v>65.809022999999996</v>
      </c>
      <c r="AG457" s="448">
        <f>VLOOKUP($D457,Valoración_Eq_REG!$D$4:$I$157,Valoración_Eq_REG!$E$2,FALSE)*$E$4</f>
        <v>0</v>
      </c>
      <c r="AH457" s="448">
        <f>VLOOKUP($D457,Valoración_Eq_REG!$D$4:$I$157,Valoración_Eq_REG!$F$2,FALSE)*$E$4</f>
        <v>0</v>
      </c>
      <c r="AI457" s="25">
        <f>+[230]P_Datos!$D$43</f>
        <v>3.7476065573770492</v>
      </c>
      <c r="AJ457" s="484">
        <f>+'[230]Evaluacion Economica'!$L$25</f>
        <v>6</v>
      </c>
      <c r="AK457" s="448">
        <f>+'[230]Evaluacion Economica'!$R$25</f>
        <v>19</v>
      </c>
      <c r="AL457" s="484">
        <f>+'[230]P_Evaluacion Economica'!$L$27</f>
        <v>4</v>
      </c>
      <c r="AM457" s="448">
        <f>+'[230]P_Evaluacion Economica'!$Q$27</f>
        <v>15</v>
      </c>
      <c r="AN457" s="34" t="str">
        <f>+[230]Datos!$C$2</f>
        <v>San Fernando</v>
      </c>
      <c r="AO457" s="25" t="str">
        <f>VLOOKUP($E457,Tabla13[],Inputs_costos!$D$1,FALSE)</f>
        <v>SAN FERNANDO</v>
      </c>
      <c r="AP457" s="28" t="str">
        <f>VLOOKUP($D457,'Costo Social x localidad'!$B$2:$M$156,1,FALSE)</f>
        <v>SAN FERNANDO</v>
      </c>
    </row>
    <row r="458" spans="1:42">
      <c r="A458" s="910"/>
      <c r="B458" s="894"/>
      <c r="C458" s="478" t="str">
        <f t="shared" si="309"/>
        <v>ok</v>
      </c>
      <c r="D458" s="24" t="s">
        <v>106</v>
      </c>
      <c r="E458" s="527">
        <f>VLOOKUP(D458,Pobl_adoptada!$C$5:$D$158,2,FALSE)</f>
        <v>20</v>
      </c>
      <c r="F458" s="9" t="s">
        <v>308</v>
      </c>
      <c r="G458" s="580">
        <f>+'[231]Inversion rec-TA'!$G$21</f>
        <v>5402864.2412171876</v>
      </c>
      <c r="H458" s="34">
        <f>+($AC458/$AC465)*H464+G458</f>
        <v>6452109.2454956546</v>
      </c>
      <c r="I458" s="465">
        <f>+'[231]Costos Operativos Rec-TA'!$G$23</f>
        <v>3033110.0936522214</v>
      </c>
      <c r="J458" s="581">
        <f>+($AC458/$AC465)*J464+I458</f>
        <v>3054094.9937377907</v>
      </c>
      <c r="K458" s="10">
        <f>+'[231]Inversion rec-TA'!$G$46</f>
        <v>0</v>
      </c>
      <c r="L458" s="10">
        <f>+'[231]Costos Operativos Rec-TA'!$G$46</f>
        <v>0</v>
      </c>
      <c r="M458" s="19">
        <f t="shared" si="310"/>
        <v>-30650608.702009968</v>
      </c>
      <c r="N458" s="465">
        <f t="shared" si="311"/>
        <v>1291068.5689895421</v>
      </c>
      <c r="O458" s="25">
        <f t="shared" si="312"/>
        <v>1291068.5689895421</v>
      </c>
      <c r="P458" s="25">
        <f t="shared" si="313"/>
        <v>53858.425522829239</v>
      </c>
      <c r="Q458" s="465">
        <f t="shared" si="314"/>
        <v>29382946.91257564</v>
      </c>
      <c r="R458" s="647">
        <f t="shared" si="315"/>
        <v>29382946.91257564</v>
      </c>
      <c r="S458" s="25">
        <f t="shared" si="316"/>
        <v>815000</v>
      </c>
      <c r="T458" s="25">
        <f t="shared" si="317"/>
        <v>11438.422477293836</v>
      </c>
      <c r="U458" s="465">
        <f>SUMIFS(Tabla24[Costo de Cierre Técnico de BCA (US$)],Tabla24[Localidad],Resumen!$D458)</f>
        <v>0</v>
      </c>
      <c r="V458" s="461">
        <f>+U458*(V$3*$E$3+V$4*$E$4)</f>
        <v>0</v>
      </c>
      <c r="W458" s="465">
        <f>SUMIFS(Tabla24[Costo anual de Manteniemiento Post-cierre (US$)],Tabla24[Localidad],Resumen!$D458)</f>
        <v>0</v>
      </c>
      <c r="X458" s="461">
        <f>+W458*(X$3*$E$3+X$4*$E$4)</f>
        <v>0</v>
      </c>
      <c r="Y458" s="28">
        <f>VLOOKUP($D458,'Costo Social x localidad'!$B$2:$M$156,12,FALSE)*(Y$3*$E$3+Y$4*$E$4)</f>
        <v>241303.77823679999</v>
      </c>
      <c r="Z458" s="28">
        <f>VLOOKUP(D458,'Estimación  PRESUPUESTO PCAS'!$B$4:$G$158,'Estimación  PRESUPUESTO PCAS'!$G$2,FALSE)</f>
        <v>596748.95908826054</v>
      </c>
      <c r="AA458" s="650">
        <f t="shared" si="318"/>
        <v>-28345497.898539715</v>
      </c>
      <c r="AB458" s="651">
        <f t="shared" si="319"/>
        <v>-58996106.600549683</v>
      </c>
      <c r="AC458" s="10">
        <f>VLOOKUP($E458,Resumen_Generación!$B$5:$F$158,Resumen_Generación!$D$3,FALSE)</f>
        <v>231.55812009599995</v>
      </c>
      <c r="AD458" s="10">
        <f>VLOOKUP($E458,Resumen_Generación!$B$5:$G$158,Resumen_Generación!$G$3,FALSE)</f>
        <v>93.391627380000003</v>
      </c>
      <c r="AE458" s="362">
        <f>VLOOKUP($E458,Resumen_Generación!$B$5:$F$158,Resumen_Generación!$E$3,FALSE)</f>
        <v>300266</v>
      </c>
      <c r="AF458" s="10">
        <f>VLOOKUP($E458,Resumen_Generación!$B$5:$F$158,Resumen_Generación!$F$3,FALSE)</f>
        <v>107.09928600000001</v>
      </c>
      <c r="AG458" s="448">
        <f>VLOOKUP($D458,Valoración_Eq_REG!$D$4:$I$157,Valoración_Eq_REG!$E$2,FALSE)*$E$4</f>
        <v>0</v>
      </c>
      <c r="AH458" s="448">
        <f>VLOOKUP($D458,Valoración_Eq_REG!$D$4:$I$157,Valoración_Eq_REG!$F$2,FALSE)*$E$4</f>
        <v>0</v>
      </c>
      <c r="AI458" s="513">
        <f>+[231]P_Datos!$D$43</f>
        <v>7.2349508196721306</v>
      </c>
      <c r="AJ458" s="512">
        <f>+'[231]Evaluacion Economica'!$L$25</f>
        <v>7</v>
      </c>
      <c r="AK458" s="513">
        <f>+'[231]Evaluacion Economica'!$R$25</f>
        <v>24</v>
      </c>
      <c r="AL458" s="512">
        <f>+'[231]P_Evaluacion Economica'!$L$27</f>
        <v>4</v>
      </c>
      <c r="AM458" s="513">
        <f>+'[231]P_Evaluacion Economica'!$Q$27</f>
        <v>18</v>
      </c>
      <c r="AN458" s="34" t="str">
        <f>+[231]Datos!$C$2</f>
        <v>San Isidro</v>
      </c>
      <c r="AO458" s="25" t="str">
        <f>VLOOKUP($E458,Tabla13[],Inputs_costos!$D$1,FALSE)</f>
        <v>SAN ISIDRO</v>
      </c>
      <c r="AP458" s="28" t="str">
        <f>VLOOKUP($D458,'Costo Social x localidad'!$B$2:$M$156,1,FALSE)</f>
        <v>SAN ISIDRO</v>
      </c>
    </row>
    <row r="459" spans="1:42">
      <c r="A459" s="910"/>
      <c r="B459" s="894"/>
      <c r="C459" s="478" t="str">
        <f t="shared" si="309"/>
        <v>ok</v>
      </c>
      <c r="D459" s="24" t="s">
        <v>107</v>
      </c>
      <c r="E459" s="527">
        <f>VLOOKUP(D459,Pobl_adoptada!$C$5:$D$158,2,FALSE)</f>
        <v>21</v>
      </c>
      <c r="F459" s="9" t="s">
        <v>308</v>
      </c>
      <c r="G459" s="580">
        <f>+'[232]Inversion rec-TA'!$G$21</f>
        <v>10930000.247844949</v>
      </c>
      <c r="H459" s="34">
        <f>+($AC459/$AC465)*H464+G459</f>
        <v>12854425.041919349</v>
      </c>
      <c r="I459" s="465">
        <f>+'[232]Costos Operativos Rec-TA'!$G$23</f>
        <v>7239867.2617424931</v>
      </c>
      <c r="J459" s="581">
        <f>+($AC459/$AC465)*J464+I459</f>
        <v>7278355.7576239808</v>
      </c>
      <c r="K459" s="10">
        <f>+'[232]Inversion rec-TA'!$G$46</f>
        <v>0</v>
      </c>
      <c r="L459" s="10">
        <f>+'[232]Costos Operativos Rec-TA'!$G$46</f>
        <v>0</v>
      </c>
      <c r="M459" s="19">
        <f t="shared" si="310"/>
        <v>-69981214.060631186</v>
      </c>
      <c r="N459" s="465">
        <f t="shared" si="311"/>
        <v>2419639.8642925913</v>
      </c>
      <c r="O459" s="25">
        <f t="shared" si="312"/>
        <v>2419639.8642925913</v>
      </c>
      <c r="P459" s="25">
        <f t="shared" si="313"/>
        <v>100938.08845882204</v>
      </c>
      <c r="Q459" s="465">
        <f t="shared" si="314"/>
        <v>53891389.838369332</v>
      </c>
      <c r="R459" s="647">
        <f t="shared" si="315"/>
        <v>53891389.838369332</v>
      </c>
      <c r="S459" s="25">
        <f t="shared" si="316"/>
        <v>1345000</v>
      </c>
      <c r="T459" s="25">
        <f t="shared" si="317"/>
        <v>20979.260068566535</v>
      </c>
      <c r="U459" s="465">
        <f>SUMIFS(Tabla24[Costo de Cierre Técnico de BCA (US$)],Tabla24[Localidad],Resumen!$D459)</f>
        <v>0</v>
      </c>
      <c r="V459" s="461">
        <f t="shared" ref="V459:V460" si="334">+U459*(V$3*$E$3+V$4*$E$4)</f>
        <v>0</v>
      </c>
      <c r="W459" s="465">
        <f>SUMIFS(Tabla24[Costo anual de Manteniemiento Post-cierre (US$)],Tabla24[Localidad],Resumen!$D459)</f>
        <v>0</v>
      </c>
      <c r="X459" s="461">
        <f t="shared" ref="X459:X460" si="335">+W459*(X$3*$E$3+X$4*$E$4)</f>
        <v>0</v>
      </c>
      <c r="Y459" s="28">
        <f>VLOOKUP($D459,'Costo Social x localidad'!$B$2:$M$156,12,FALSE)*(Y$3*$E$3+Y$4*$E$4)</f>
        <v>329329.70081999997</v>
      </c>
      <c r="Z459" s="28">
        <f>VLOOKUP(D459,'Estimación  PRESUPUESTO PCAS'!$B$4:$G$158,'Estimación  PRESUPUESTO PCAS'!$G$2,FALSE)</f>
        <v>1170154.221168719</v>
      </c>
      <c r="AA459" s="650">
        <f t="shared" si="318"/>
        <v>-52010943.495774828</v>
      </c>
      <c r="AB459" s="651">
        <f t="shared" si="319"/>
        <v>-121992157.55640602</v>
      </c>
      <c r="AC459" s="10">
        <f>VLOOKUP($E459,Resumen_Generación!$B$5:$F$158,Resumen_Generación!$D$3,FALSE)</f>
        <v>424.70174817600002</v>
      </c>
      <c r="AD459" s="10">
        <f>VLOOKUP($E459,Resumen_Generación!$B$5:$G$158,Resumen_Generación!$G$3,FALSE)</f>
        <v>175.02873977999997</v>
      </c>
      <c r="AE459" s="362">
        <f>VLOOKUP($E459,Resumen_Generación!$B$5:$F$158,Resumen_Generación!$E$3,FALSE)</f>
        <v>400514</v>
      </c>
      <c r="AF459" s="10">
        <f>VLOOKUP($E459,Resumen_Generación!$B$5:$F$158,Resumen_Generación!$F$3,FALSE)</f>
        <v>195.42896099999996</v>
      </c>
      <c r="AG459" s="448">
        <f>VLOOKUP($D459,Valoración_Eq_REG!$D$4:$I$157,Valoración_Eq_REG!$E$2,FALSE)*$E$4</f>
        <v>0</v>
      </c>
      <c r="AH459" s="448">
        <f>VLOOKUP($D459,Valoración_Eq_REG!$D$4:$I$157,Valoración_Eq_REG!$F$2,FALSE)*$E$4</f>
        <v>0</v>
      </c>
      <c r="AI459" s="25">
        <f>+[232]P_Datos!$D$43</f>
        <v>1.5597901639344263</v>
      </c>
      <c r="AJ459" s="484">
        <f>+'[232]Evaluacion Economica'!$L$25</f>
        <v>13</v>
      </c>
      <c r="AK459" s="448">
        <f>+'[232]Evaluacion Economica'!$R$25</f>
        <v>24</v>
      </c>
      <c r="AL459" s="484">
        <f>+'[232]P_Evaluacion Economica'!$L$27</f>
        <v>6</v>
      </c>
      <c r="AM459" s="448">
        <f>+'[232]P_Evaluacion Economica'!$Q$27</f>
        <v>6</v>
      </c>
      <c r="AN459" s="34" t="str">
        <f>+[232]Datos!$C$2</f>
        <v>San Miguel</v>
      </c>
      <c r="AO459" s="25" t="str">
        <f>VLOOKUP($E459,Tabla13[],Inputs_costos!$D$1,FALSE)</f>
        <v>SAN MIGUEL</v>
      </c>
      <c r="AP459" s="28" t="str">
        <f>VLOOKUP($D459,'Costo Social x localidad'!$B$2:$M$156,1,FALSE)</f>
        <v>SAN MIGUEL</v>
      </c>
    </row>
    <row r="460" spans="1:42" ht="19.5" customHeight="1">
      <c r="A460" s="910"/>
      <c r="B460" s="894"/>
      <c r="C460" s="478" t="str">
        <f t="shared" si="309"/>
        <v>ok</v>
      </c>
      <c r="D460" s="24" t="s">
        <v>108</v>
      </c>
      <c r="E460" s="527">
        <f>VLOOKUP(D460,Pobl_adoptada!$C$5:$D$158,2,FALSE)</f>
        <v>22</v>
      </c>
      <c r="F460" s="9" t="s">
        <v>308</v>
      </c>
      <c r="G460" s="580">
        <f>+'[233]Inversion rec-TA'!$G$21</f>
        <v>6534125.2388811223</v>
      </c>
      <c r="H460" s="34">
        <f>+($AC460/$AC465)*H464+G460</f>
        <v>9030479.6443546973</v>
      </c>
      <c r="I460" s="465">
        <f>+'[233]Costos Operativos Rec-TA'!$G$23</f>
        <v>3711957.4862663122</v>
      </c>
      <c r="J460" s="581">
        <f>+($AC460/$AC465)*J464+I460</f>
        <v>3761884.5743757836</v>
      </c>
      <c r="K460" s="10">
        <f>+'[233]Inversion rec-TA'!$G$46</f>
        <v>0</v>
      </c>
      <c r="L460" s="10">
        <f>+'[233]Costos Operativos Rec-TA'!$G$46</f>
        <v>0</v>
      </c>
      <c r="M460" s="19">
        <f t="shared" si="310"/>
        <v>-39069685.762474932</v>
      </c>
      <c r="N460" s="465">
        <f t="shared" si="311"/>
        <v>3126075.128147962</v>
      </c>
      <c r="O460" s="25">
        <f t="shared" si="312"/>
        <v>3126075.128147962</v>
      </c>
      <c r="P460" s="25">
        <f t="shared" si="313"/>
        <v>130407.85633864322</v>
      </c>
      <c r="Q460" s="465">
        <f t="shared" si="314"/>
        <v>69907646.614381567</v>
      </c>
      <c r="R460" s="647">
        <f t="shared" si="315"/>
        <v>69907646.614381567</v>
      </c>
      <c r="S460" s="25">
        <f t="shared" si="316"/>
        <v>1345000</v>
      </c>
      <c r="T460" s="25">
        <f t="shared" si="317"/>
        <v>27214.193278429149</v>
      </c>
      <c r="U460" s="465">
        <f>SUMIFS(Tabla24[Costo de Cierre Técnico de BCA (US$)],Tabla24[Localidad],Resumen!$D460)</f>
        <v>0</v>
      </c>
      <c r="V460" s="461">
        <f t="shared" si="334"/>
        <v>0</v>
      </c>
      <c r="W460" s="465">
        <f>SUMIFS(Tabla24[Costo anual de Manteniemiento Post-cierre (US$)],Tabla24[Localidad],Resumen!$D460)</f>
        <v>0</v>
      </c>
      <c r="X460" s="461">
        <f t="shared" si="335"/>
        <v>0</v>
      </c>
      <c r="Y460" s="28">
        <f>VLOOKUP($D460,'Costo Social x localidad'!$B$2:$M$156,12,FALSE)*(Y$3*$E$3+Y$4*$E$4)</f>
        <v>506307.7053215999</v>
      </c>
      <c r="Z460" s="28">
        <f>VLOOKUP(D460,'Estimación  PRESUPUESTO PCAS'!$B$4:$G$158,'Estimación  PRESUPUESTO PCAS'!$G$2,FALSE)</f>
        <v>1363635.4208032633</v>
      </c>
      <c r="AA460" s="650">
        <f t="shared" si="318"/>
        <v>-67322339.407456413</v>
      </c>
      <c r="AB460" s="651">
        <f t="shared" si="319"/>
        <v>-106392025.16993135</v>
      </c>
      <c r="AC460" s="10">
        <f>VLOOKUP($E460,Resumen_Generación!$B$5:$F$158,Resumen_Generación!$D$3,FALSE)</f>
        <v>550.92102499199996</v>
      </c>
      <c r="AD460" s="10">
        <f>VLOOKUP($E460,Resumen_Generación!$B$5:$G$158,Resumen_Generación!$G$3,FALSE)</f>
        <v>226.12992875999998</v>
      </c>
      <c r="AE460" s="362">
        <f>VLOOKUP($E460,Resumen_Generación!$B$5:$F$158,Resumen_Generación!$E$3,FALSE)</f>
        <v>519025</v>
      </c>
      <c r="AF460" s="10">
        <f>VLOOKUP($E460,Resumen_Generación!$B$5:$F$158,Resumen_Generación!$F$3,FALSE)</f>
        <v>254.6385975</v>
      </c>
      <c r="AG460" s="448">
        <f>VLOOKUP($D460,Valoración_Eq_REG!$D$4:$I$157,Valoración_Eq_REG!$E$2,FALSE)*$E$4</f>
        <v>0</v>
      </c>
      <c r="AH460" s="448">
        <f>VLOOKUP($D460,Valoración_Eq_REG!$D$4:$I$157,Valoración_Eq_REG!$F$2,FALSE)*$E$4</f>
        <v>0</v>
      </c>
      <c r="AI460" s="25">
        <f>+[233]P_Datos!$D$43</f>
        <v>2.0436983606557382</v>
      </c>
      <c r="AJ460" s="484">
        <f>+'[233]Evaluacion Economica'!$L$25</f>
        <v>12</v>
      </c>
      <c r="AK460" s="448">
        <f>+'[233]Evaluacion Economica'!$R$25</f>
        <v>24</v>
      </c>
      <c r="AL460" s="484">
        <f>+'[233]P_Evaluacion Economica'!$L$27</f>
        <v>3</v>
      </c>
      <c r="AM460" s="448">
        <f>+'[233]P_Evaluacion Economica'!$Q$27</f>
        <v>12</v>
      </c>
      <c r="AN460" s="34" t="str">
        <f>+[233]Datos!$C$2</f>
        <v>Tigre</v>
      </c>
      <c r="AO460" s="25" t="str">
        <f>VLOOKUP($E460,Tabla13[],Inputs_costos!$D$1,FALSE)</f>
        <v>TIGRE</v>
      </c>
      <c r="AP460" s="28" t="str">
        <f>VLOOKUP($D460,'Costo Social x localidad'!$B$2:$M$156,1,FALSE)</f>
        <v>TIGRE</v>
      </c>
    </row>
    <row r="461" spans="1:42" ht="18" customHeight="1">
      <c r="A461" s="910"/>
      <c r="B461" s="894"/>
      <c r="C461" s="478" t="str">
        <f t="shared" si="309"/>
        <v>ok</v>
      </c>
      <c r="D461" s="24" t="s">
        <v>109</v>
      </c>
      <c r="E461" s="527">
        <f>VLOOKUP(D461,Pobl_adoptada!$C$5:$D$158,2,FALSE)</f>
        <v>23</v>
      </c>
      <c r="F461" s="9" t="s">
        <v>308</v>
      </c>
      <c r="G461" s="580">
        <f>+'[234]Inversion rec-TA'!$G$21</f>
        <v>10408744.467361122</v>
      </c>
      <c r="H461" s="34">
        <f>+($AC461/$AC465)*H464+G461</f>
        <v>12144182.09662734</v>
      </c>
      <c r="I461" s="465">
        <f>+'[234]Costos Operativos Rec-TA'!$G$23</f>
        <v>7024516.7485754155</v>
      </c>
      <c r="J461" s="581">
        <f>+($AC461/$AC465)*J464+I461</f>
        <v>7059225.5011607399</v>
      </c>
      <c r="K461" s="10">
        <f>+'[234]Inversion rec-TA'!$G$46</f>
        <v>0</v>
      </c>
      <c r="L461" s="10">
        <f>+'[234]Costos Operativos Rec-TA'!$G$46</f>
        <v>0</v>
      </c>
      <c r="M461" s="19">
        <f t="shared" si="310"/>
        <v>-67481608.256865308</v>
      </c>
      <c r="N461" s="465">
        <f t="shared" si="311"/>
        <v>2140173.6840053741</v>
      </c>
      <c r="O461" s="25">
        <f t="shared" si="312"/>
        <v>2140173.6840053741</v>
      </c>
      <c r="P461" s="25">
        <f t="shared" si="313"/>
        <v>89279.83202018158</v>
      </c>
      <c r="Q461" s="465">
        <f t="shared" si="314"/>
        <v>48599013.121707603</v>
      </c>
      <c r="R461" s="647">
        <f t="shared" si="315"/>
        <v>48599013.121707603</v>
      </c>
      <c r="S461" s="25">
        <f t="shared" si="316"/>
        <v>1345000</v>
      </c>
      <c r="T461" s="25">
        <f t="shared" si="317"/>
        <v>18919.002430886871</v>
      </c>
      <c r="U461" s="465">
        <f>SUMIFS(Tabla24[Costo de Cierre Técnico de BCA (US$)],Tabla24[Localidad],Resumen!$D461)</f>
        <v>368880</v>
      </c>
      <c r="V461" s="461">
        <f>+U461*(V$3*$E$3+V$4*$E$4)</f>
        <v>708412.79251199996</v>
      </c>
      <c r="W461" s="465">
        <f>SUMIFS(Tabla24[Costo anual de Manteniemiento Post-cierre (US$)],Tabla24[Localidad],Resumen!$D461)</f>
        <v>32751.310202753983</v>
      </c>
      <c r="X461" s="461">
        <f>+W461*(X$3*$E$3+X$4*$E$4)</f>
        <v>62897.004768921346</v>
      </c>
      <c r="Y461" s="28">
        <f>VLOOKUP($D461,'Costo Social x localidad'!$B$2:$M$156,12,FALSE)*(Y$3*$E$3+Y$4*$E$4)</f>
        <v>340285.15418832004</v>
      </c>
      <c r="Z461" s="28">
        <f>VLOOKUP(D461,'Estimación  PRESUPUESTO PCAS'!$B$4:$G$158,'Estimación  PRESUPUESTO PCAS'!$G$2,FALSE)</f>
        <v>1086549.1254227846</v>
      </c>
      <c r="AA461" s="650">
        <f t="shared" si="318"/>
        <v>-46888623.78356114</v>
      </c>
      <c r="AB461" s="651">
        <f t="shared" si="319"/>
        <v>-114370232.04042645</v>
      </c>
      <c r="AC461" s="10">
        <f>VLOOKUP($E461,Resumen_Generación!$B$5:$F$158,Resumen_Generación!$D$3,FALSE)</f>
        <v>382.99412752799992</v>
      </c>
      <c r="AD461" s="10">
        <f>VLOOKUP($E461,Resumen_Generación!$B$5:$G$158,Resumen_Generación!$G$3,FALSE)</f>
        <v>154.81308121500001</v>
      </c>
      <c r="AE461" s="362">
        <f>VLOOKUP($E461,Resumen_Generación!$B$5:$F$158,Resumen_Generación!$E$3,FALSE)</f>
        <v>359464</v>
      </c>
      <c r="AF461" s="10">
        <f>VLOOKUP($E461,Resumen_Generación!$B$5:$F$158,Resumen_Generación!$F$3,FALSE)</f>
        <v>177.04855349999997</v>
      </c>
      <c r="AG461" s="448">
        <f>VLOOKUP($D461,Valoración_Eq_REG!$D$4:$I$157,Valoración_Eq_REG!$E$2,FALSE)*$E$4</f>
        <v>0</v>
      </c>
      <c r="AH461" s="448">
        <f>VLOOKUP($D461,Valoración_Eq_REG!$D$4:$I$157,Valoración_Eq_REG!$F$2,FALSE)*$E$4</f>
        <v>0</v>
      </c>
      <c r="AI461" s="513">
        <f>+[234]P_Datos!$D$43</f>
        <v>1.6603803278688525</v>
      </c>
      <c r="AJ461" s="512">
        <f>+'[234]Evaluacion Economica'!$L$25</f>
        <v>12</v>
      </c>
      <c r="AK461" s="513">
        <f>+'[234]Evaluacion Economica'!$R$25</f>
        <v>24</v>
      </c>
      <c r="AL461" s="512">
        <f>+'[234]P_Evaluacion Economica'!$L$27</f>
        <v>6</v>
      </c>
      <c r="AM461" s="513">
        <f>+'[234]P_Evaluacion Economica'!$Q$27</f>
        <v>6</v>
      </c>
      <c r="AN461" s="34" t="str">
        <f>+[234]Datos!$C$2</f>
        <v>Tres de Febrero</v>
      </c>
      <c r="AO461" s="25" t="str">
        <f>VLOOKUP($E461,Tabla13[],Inputs_costos!$D$1,FALSE)</f>
        <v>TRES DE FEBRERO</v>
      </c>
      <c r="AP461" s="28" t="str">
        <f>VLOOKUP($D461,'Costo Social x localidad'!$B$2:$M$156,1,FALSE)</f>
        <v>TRES DE FEBRERO</v>
      </c>
    </row>
    <row r="462" spans="1:42" ht="13.5" customHeight="1">
      <c r="A462" s="910"/>
      <c r="B462" s="894"/>
      <c r="C462" s="478" t="str">
        <f t="shared" si="309"/>
        <v>ok</v>
      </c>
      <c r="D462" s="24" t="s">
        <v>110</v>
      </c>
      <c r="E462" s="527">
        <f>VLOOKUP(D462,Pobl_adoptada!$C$5:$D$158,2,FALSE)</f>
        <v>24</v>
      </c>
      <c r="F462" s="9" t="s">
        <v>308</v>
      </c>
      <c r="G462" s="580">
        <f>+'[235]Inversion rec-TA'!$G$21</f>
        <v>2993055.3399679344</v>
      </c>
      <c r="H462" s="34">
        <f>+($AC462/$AC465)*H464+G462</f>
        <v>3848863.8125351509</v>
      </c>
      <c r="I462" s="465">
        <f>+'[235]Costos Operativos Rec-TA'!$G$23</f>
        <v>1475624.566545526</v>
      </c>
      <c r="J462" s="581">
        <f>+($AC462/$AC465)*J464+I462</f>
        <v>1492740.7359968703</v>
      </c>
      <c r="K462" s="10">
        <f>+'[235]Inversion rec-TA'!$G$46</f>
        <v>0</v>
      </c>
      <c r="L462" s="10">
        <f>+'[235]Costos Operativos Rec-TA'!$G$46</f>
        <v>0</v>
      </c>
      <c r="M462" s="19">
        <f t="shared" si="310"/>
        <v>-15825659.459091039</v>
      </c>
      <c r="N462" s="465">
        <f t="shared" si="311"/>
        <v>1042892.2723285086</v>
      </c>
      <c r="O462" s="25">
        <f t="shared" si="312"/>
        <v>1042892.2723285086</v>
      </c>
      <c r="P462" s="25">
        <f t="shared" si="313"/>
        <v>43505.462937185104</v>
      </c>
      <c r="Q462" s="465">
        <f t="shared" si="314"/>
        <v>23965970.592413917</v>
      </c>
      <c r="R462" s="647">
        <f t="shared" si="315"/>
        <v>23965970.592413917</v>
      </c>
      <c r="S462" s="25">
        <f t="shared" si="316"/>
        <v>815000</v>
      </c>
      <c r="T462" s="25">
        <f t="shared" si="317"/>
        <v>9329.6597352903354</v>
      </c>
      <c r="U462" s="465">
        <f>SUMIFS(Tabla24[Costo de Cierre Técnico de BCA (US$)],Tabla24[Localidad],Resumen!$D462)</f>
        <v>0</v>
      </c>
      <c r="V462" s="461">
        <f t="shared" ref="V462" si="336">+U462*(V$3*$E$3+V$4*$E$4)</f>
        <v>0</v>
      </c>
      <c r="W462" s="465">
        <f>SUMIFS(Tabla24[Costo anual de Manteniemiento Post-cierre (US$)],Tabla24[Localidad],Resumen!$D462)</f>
        <v>0</v>
      </c>
      <c r="X462" s="461">
        <f t="shared" ref="X462" si="337">+W462*(X$3*$E$3+X$4*$E$4)</f>
        <v>0</v>
      </c>
      <c r="Y462" s="28">
        <f>VLOOKUP($D462,'Costo Social x localidad'!$B$2:$M$156,12,FALSE)*(Y$3*$E$3+Y$4*$E$4)</f>
        <v>194627.52836639999</v>
      </c>
      <c r="Z462" s="28">
        <f>VLOOKUP(D462,'Estimación  PRESUPUESTO PCAS'!$B$4:$G$158,'Estimación  PRESUPUESTO PCAS'!$G$2,FALSE)</f>
        <v>493393.98346596968</v>
      </c>
      <c r="AA462" s="650">
        <f t="shared" si="318"/>
        <v>-23154290.701696441</v>
      </c>
      <c r="AB462" s="651">
        <f t="shared" si="319"/>
        <v>-38979950.160787478</v>
      </c>
      <c r="AC462" s="10">
        <f>VLOOKUP($E462,Resumen_Generación!$B$5:$F$158,Resumen_Generación!$D$3,FALSE)</f>
        <v>188.86856764799998</v>
      </c>
      <c r="AD462" s="10">
        <f>VLOOKUP($E462,Resumen_Generación!$B$5:$G$158,Resumen_Generación!$G$3,FALSE)</f>
        <v>75.439375439999978</v>
      </c>
      <c r="AE462" s="362">
        <f>VLOOKUP($E462,Resumen_Generación!$B$5:$F$158,Resumen_Generación!$E$3,FALSE)</f>
        <v>244333</v>
      </c>
      <c r="AF462" s="10">
        <f>VLOOKUP($E462,Resumen_Generación!$B$5:$F$158,Resumen_Generación!$F$3,FALSE)</f>
        <v>87.551750999999996</v>
      </c>
      <c r="AG462" s="448">
        <f>VLOOKUP($D462,Valoración_Eq_REG!$D$4:$I$157,Valoración_Eq_REG!$E$2,FALSE)*$E$4</f>
        <v>0</v>
      </c>
      <c r="AH462" s="448">
        <f>VLOOKUP($D462,Valoración_Eq_REG!$D$4:$I$157,Valoración_Eq_REG!$F$2,FALSE)*$E$4</f>
        <v>0</v>
      </c>
      <c r="AI462" s="25">
        <f>+[235]P_Datos!$D$43</f>
        <v>6.8534426229508201</v>
      </c>
      <c r="AJ462" s="484">
        <f>+'[235]Evaluacion Economica'!$L$25</f>
        <v>5</v>
      </c>
      <c r="AK462" s="448">
        <f>+'[235]Evaluacion Economica'!$R$25</f>
        <v>24</v>
      </c>
      <c r="AL462" s="484">
        <f>+'[235]P_Evaluacion Economica'!$L$27</f>
        <v>2</v>
      </c>
      <c r="AM462" s="448">
        <f>+'[235]P_Evaluacion Economica'!$Q$27</f>
        <v>17</v>
      </c>
      <c r="AN462" s="34" t="str">
        <f>+[235]Datos!$C$2</f>
        <v>Vicente López</v>
      </c>
      <c r="AO462" s="25" t="str">
        <f>VLOOKUP($E462,Tabla13[],Inputs_costos!$D$1,FALSE)</f>
        <v>VICENTE LÓPEZ</v>
      </c>
      <c r="AP462" s="28" t="str">
        <f>VLOOKUP($D462,'Costo Social x localidad'!$B$2:$M$156,1,FALSE)</f>
        <v>VICENTE LÓPEZ</v>
      </c>
    </row>
    <row r="463" spans="1:42" ht="18" customHeight="1">
      <c r="A463" s="910"/>
      <c r="B463" s="894"/>
      <c r="C463" s="478" t="str">
        <f t="shared" si="309"/>
        <v>ok</v>
      </c>
      <c r="D463" s="24" t="s">
        <v>53</v>
      </c>
      <c r="E463" s="527">
        <f>VLOOKUP(D463,Pobl_adoptada!$C$5:$D$158,2,FALSE)</f>
        <v>136</v>
      </c>
      <c r="F463" s="9" t="s">
        <v>308</v>
      </c>
      <c r="G463" s="580">
        <f>+'[236]Inversion rec-TA'!$G$21</f>
        <v>113687696.52567752</v>
      </c>
      <c r="H463" s="34">
        <f>+($AC463/$AC465)*H464+G463</f>
        <v>143093410.96495825</v>
      </c>
      <c r="I463" s="465">
        <f>+'[236]Costos Operativos Rec-TA'!$G$23</f>
        <v>55858409.050244436</v>
      </c>
      <c r="J463" s="581">
        <f>+($AC463/$AC465)*J464+I463</f>
        <v>56446523.33903005</v>
      </c>
      <c r="K463" s="10">
        <f>+'[236]Inversion rec-TA'!$G$46</f>
        <v>0</v>
      </c>
      <c r="L463" s="10">
        <f>+'[236]Costos Operativos Rec-TA'!$G$46</f>
        <v>0</v>
      </c>
      <c r="M463" s="19">
        <f t="shared" si="310"/>
        <v>-595458346.60922277</v>
      </c>
      <c r="N463" s="465">
        <f t="shared" si="311"/>
        <v>36597795.068431973</v>
      </c>
      <c r="O463" s="25">
        <f t="shared" si="312"/>
        <v>36597795.068431973</v>
      </c>
      <c r="P463" s="25">
        <f t="shared" si="313"/>
        <v>1526719.5463797841</v>
      </c>
      <c r="Q463" s="465">
        <f t="shared" si="314"/>
        <v>823474539.09481215</v>
      </c>
      <c r="R463" s="647">
        <f t="shared" si="315"/>
        <v>823474539.09481215</v>
      </c>
      <c r="S463" s="25">
        <f t="shared" si="316"/>
        <v>1345000</v>
      </c>
      <c r="T463" s="25">
        <f t="shared" si="317"/>
        <v>320568.58372602263</v>
      </c>
      <c r="U463" s="465">
        <f>SUMIFS(Tabla24[Costo de Cierre Técnico de BCA (US$)],Tabla24[Localidad],Resumen!$D463)</f>
        <v>0</v>
      </c>
      <c r="V463" s="461">
        <f t="shared" si="320"/>
        <v>0</v>
      </c>
      <c r="W463" s="465">
        <f>SUMIFS(Tabla24[Costo anual de Manteniemiento Post-cierre (US$)],Tabla24[Localidad],Resumen!$D463)</f>
        <v>0</v>
      </c>
      <c r="X463" s="461">
        <f t="shared" si="321"/>
        <v>0</v>
      </c>
      <c r="Y463" s="28">
        <f>VLOOKUP($D463,'Costo Social x localidad'!$B$2:$M$156,12,FALSE)*(Y$3*$E$3+Y$4*$E$4)</f>
        <v>1834046.7489759999</v>
      </c>
      <c r="Z463" s="28">
        <f>VLOOKUP(D463,'Estimación  PRESUPUESTO PCAS'!$B$4:$G$158,'Estimación  PRESUPUESTO PCAS'!$G$2,FALSE)</f>
        <v>15180158.576923037</v>
      </c>
      <c r="AA463" s="650">
        <f t="shared" si="318"/>
        <v>-788044750.74553025</v>
      </c>
      <c r="AB463" s="651">
        <f t="shared" si="319"/>
        <v>-1383503097.354753</v>
      </c>
      <c r="AC463" s="10">
        <f>VLOOKUP($E463,Resumen_Generación!$B$5:$F$158,Resumen_Generación!$D$3,FALSE)</f>
        <v>6489.5538485999996</v>
      </c>
      <c r="AD463" s="10">
        <f>VLOOKUP($E463,Resumen_Generación!$B$5:$G$158,Resumen_Generación!$G$3,FALSE)</f>
        <v>2647.3633717499997</v>
      </c>
      <c r="AE463" s="362">
        <f>VLOOKUP($E463,Resumen_Generación!$B$5:$F$158,Resumen_Generación!$E$3,FALSE)</f>
        <v>6104571</v>
      </c>
      <c r="AF463" s="10">
        <f>VLOOKUP($E463,Resumen_Generación!$B$5:$F$158,Resumen_Generación!$F$3,FALSE)</f>
        <v>2993.4782219999997</v>
      </c>
      <c r="AG463" s="448">
        <f>VLOOKUP($D463,Valoración_Eq_REG!$D$4:$I$157,Valoración_Eq_REG!$E$2,FALSE)*$E$4</f>
        <v>0</v>
      </c>
      <c r="AH463" s="448">
        <f>VLOOKUP($D463,Valoración_Eq_REG!$D$4:$I$157,Valoración_Eq_REG!$F$2,FALSE)*$E$4</f>
        <v>0</v>
      </c>
      <c r="AI463" s="25">
        <f>+[236]P_Datos!$D$43</f>
        <v>39.572603278688526</v>
      </c>
      <c r="AJ463" s="484">
        <f>+'[236]Evaluacion Economica'!$L$25</f>
        <v>333</v>
      </c>
      <c r="AK463" s="448">
        <f>+'[236]Evaluacion Economica'!$R$25</f>
        <v>24</v>
      </c>
      <c r="AL463" s="484">
        <f>+'[236]P_Evaluacion Economica'!$L$27</f>
        <v>4</v>
      </c>
      <c r="AM463" s="448">
        <f>+'[236]P_Evaluacion Economica'!$Q$27</f>
        <v>19</v>
      </c>
      <c r="AN463" s="34" t="str">
        <f>+[236]Datos!$C$2</f>
        <v>CABA</v>
      </c>
      <c r="AO463" s="25" t="str">
        <f>VLOOKUP($E463,Tabla13[],Inputs_costos!$D$1,FALSE)</f>
        <v>CABA</v>
      </c>
      <c r="AP463" s="28" t="str">
        <f>VLOOKUP($D463,'Costo Social x localidad'!$B$2:$M$156,1,FALSE)</f>
        <v>CABA</v>
      </c>
    </row>
    <row r="464" spans="1:42" ht="30.75" thickBot="1">
      <c r="A464" s="910"/>
      <c r="B464" s="894"/>
      <c r="C464" s="912" t="s">
        <v>12</v>
      </c>
      <c r="D464" s="913"/>
      <c r="E464" s="498" t="s">
        <v>589</v>
      </c>
      <c r="F464" s="571">
        <f>+F431</f>
        <v>0.02</v>
      </c>
      <c r="G464" s="582"/>
      <c r="H464" s="461">
        <f>+AJ464*AJ466+AL464*AL466</f>
        <v>81306782.440928787</v>
      </c>
      <c r="I464" s="461"/>
      <c r="J464" s="583">
        <f>+$F464*H464</f>
        <v>1626135.6488185758</v>
      </c>
      <c r="K464" s="10"/>
      <c r="L464" s="10"/>
      <c r="M464" s="19"/>
      <c r="N464" s="465"/>
      <c r="O464" s="10"/>
      <c r="P464" s="10"/>
      <c r="Q464" s="618"/>
      <c r="R464" s="28"/>
      <c r="S464" s="28"/>
      <c r="T464" s="28"/>
      <c r="U464" s="28"/>
      <c r="V464" s="28"/>
      <c r="W464" s="28"/>
      <c r="X464" s="28"/>
      <c r="Y464" s="28"/>
      <c r="Z464" s="28"/>
      <c r="AA464" s="658"/>
      <c r="AB464" s="20"/>
      <c r="AC464" s="10"/>
      <c r="AD464" s="10"/>
      <c r="AE464" s="10"/>
      <c r="AF464" s="10"/>
      <c r="AG464" s="2"/>
      <c r="AH464" s="2"/>
      <c r="AI464" s="4"/>
      <c r="AJ464" s="501">
        <f>ROUNDUP(C465*SUM(AJ437:AJ463),0)</f>
        <v>229</v>
      </c>
      <c r="AK464" s="502">
        <f>AVERAGE(AK437:AK463)</f>
        <v>23.703703703703702</v>
      </c>
      <c r="AL464" s="501">
        <f>ROUNDUP(C465*SUM(AL437:AL463),0)</f>
        <v>44</v>
      </c>
      <c r="AM464" s="502">
        <f>AVERAGE(AM437:AM463)</f>
        <v>11.222222222222221</v>
      </c>
      <c r="AN464" s="4"/>
      <c r="AO464" s="4"/>
      <c r="AP464" s="4"/>
    </row>
    <row r="465" spans="1:42" ht="15.75" thickBot="1">
      <c r="A465" s="911"/>
      <c r="B465" s="533"/>
      <c r="C465" s="570">
        <v>0.3</v>
      </c>
      <c r="D465" s="500" t="str">
        <f>A437</f>
        <v>REGIÓN CEAMSE Norte III</v>
      </c>
      <c r="E465" s="468"/>
      <c r="F465" s="469"/>
      <c r="G465" s="584"/>
      <c r="H465" s="585">
        <f>SUM(H437:H463)</f>
        <v>499716535.68562955</v>
      </c>
      <c r="I465" s="585"/>
      <c r="J465" s="586">
        <f>SUM(J437:J463)</f>
        <v>255812151.59274346</v>
      </c>
      <c r="K465" s="14"/>
      <c r="L465" s="14"/>
      <c r="M465" s="15">
        <f>SUM(M437:M464)</f>
        <v>-2517845273.403276</v>
      </c>
      <c r="N465" s="615">
        <f>(VLOOKUP($E437,Tabla13[],Inputs_costos!$P$1,FALSE))*(O$3*$E$3+O$4*$E$4)</f>
        <v>101408580.5168</v>
      </c>
      <c r="O465" s="35">
        <f>SUM(O437:O463)</f>
        <v>100915123.9138</v>
      </c>
      <c r="P465" s="35">
        <f>(VLOOKUP($E437,Tabla13[],Inputs_costos!$Q$1,FALSE))*(P$3*$E$3+P$4*$E$4)</f>
        <v>4230376.7687680004</v>
      </c>
      <c r="Q465" s="615">
        <f>IF($AC437&gt;=15,(VLOOKUP($E437,Tabla13[],Inputs_costos!$N$1,FALSE))*($R$3*$E$3+$R$4*$E$4),(VLOOKUP($E437,Tabla13[],Inputs_costos!$N$1,FALSE))*($T$3*$E$3+$T$4*$E$4))</f>
        <v>2276906596.9840002</v>
      </c>
      <c r="R465" s="35">
        <f>SUM(R437:R463)</f>
        <v>2276766376.5840006</v>
      </c>
      <c r="S465" s="35"/>
      <c r="T465" s="35">
        <f>IF($AC437&gt;=15,(VLOOKUP($E437,Tabla13[],Inputs_costos!$O$1,FALSE))*($R$3*$E$3+$R$4*$E$4),(VLOOKUP($E437,Tabla13[],Inputs_costos!$O$1,FALSE))*($T$3*$E$3+$T$4*$E$4))</f>
        <v>886371.93795200007</v>
      </c>
      <c r="U465" s="35"/>
      <c r="V465" s="31">
        <f>SUM(V437:V463)</f>
        <v>58073563.634432003</v>
      </c>
      <c r="W465" s="31"/>
      <c r="X465" s="31">
        <f>SUM(X437:X463)</f>
        <v>5156108.4828959424</v>
      </c>
      <c r="Y465" s="31">
        <f>SUM(Y437:Y463)</f>
        <v>10834633.288504798</v>
      </c>
      <c r="Z465" s="31">
        <f>SUM(Z437:Z463)</f>
        <v>47005491.861175127</v>
      </c>
      <c r="AA465" s="657">
        <f>SUM(AA437:AA463)</f>
        <v>-2187722453.2608318</v>
      </c>
      <c r="AB465" s="654">
        <f>+M465+AA465</f>
        <v>-4705567726.6641083</v>
      </c>
      <c r="AC465" s="630">
        <f t="shared" ref="AC465:AI465" si="338">SUM(AC437:AC463)</f>
        <v>17943.612422555998</v>
      </c>
      <c r="AD465" s="630">
        <f t="shared" si="338"/>
        <v>7335.5610943049996</v>
      </c>
      <c r="AE465" s="631">
        <f t="shared" si="338"/>
        <v>17386012</v>
      </c>
      <c r="AF465" s="630">
        <f t="shared" si="338"/>
        <v>8280.2049119999974</v>
      </c>
      <c r="AG465" s="630">
        <f t="shared" si="338"/>
        <v>493456.603</v>
      </c>
      <c r="AH465" s="630">
        <f t="shared" si="338"/>
        <v>140220.4</v>
      </c>
      <c r="AI465" s="630">
        <f t="shared" si="338"/>
        <v>111.31445245901639</v>
      </c>
      <c r="AJ465" s="11"/>
      <c r="AK465" s="499">
        <f>VLOOKUP(ROUNDUP(AK464,0),DATOS!$F$16:$G$31,2,FALSE)</f>
        <v>24</v>
      </c>
      <c r="AL465" s="497"/>
      <c r="AM465" s="499">
        <f>VLOOKUP(ROUNDUP(AM464,0),DATOS!$J$16:$K$34,2,FALSE)</f>
        <v>12</v>
      </c>
      <c r="AN465" s="4"/>
      <c r="AO465" s="4"/>
      <c r="AP465" s="4"/>
    </row>
    <row r="466" spans="1:42">
      <c r="F466" s="2"/>
      <c r="G466" s="2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25"/>
      <c r="S466" s="25"/>
      <c r="T466" s="3"/>
      <c r="U466" s="30"/>
      <c r="V466" s="2"/>
      <c r="W466" s="2"/>
      <c r="X466" s="2"/>
      <c r="Y466" s="2"/>
      <c r="Z466" s="2"/>
      <c r="AA466" s="4"/>
      <c r="AB466" s="4"/>
      <c r="AC466" s="528"/>
      <c r="AD466" s="528"/>
      <c r="AE466" s="528"/>
      <c r="AF466" s="528"/>
      <c r="AG466" s="528"/>
      <c r="AH466" s="528"/>
      <c r="AI466" s="528"/>
      <c r="AJ466" s="892">
        <f>VLOOKUP(AK465,DATOS!$F$3:$H$11,3,FALSE)</f>
        <v>306356.98123444885</v>
      </c>
      <c r="AK466" s="892"/>
      <c r="AL466" s="892">
        <f>VLOOKUP(AM465,DATOS!$J$3:$L$12,3,FALSE)</f>
        <v>253432.58496000001</v>
      </c>
      <c r="AM466" s="892"/>
      <c r="AN466" s="4"/>
      <c r="AO466" s="4"/>
      <c r="AP466" s="4"/>
    </row>
    <row r="467" spans="1:42" ht="15.75" thickBot="1">
      <c r="A467" s="503"/>
      <c r="B467" s="503"/>
      <c r="C467" s="503"/>
      <c r="D467" s="503"/>
      <c r="E467" s="503"/>
      <c r="F467" s="504"/>
      <c r="G467" s="504"/>
      <c r="H467" s="505"/>
      <c r="I467" s="505"/>
      <c r="J467" s="505"/>
      <c r="K467" s="505"/>
      <c r="L467" s="505"/>
      <c r="M467" s="505"/>
      <c r="N467" s="505"/>
      <c r="O467" s="505"/>
      <c r="P467" s="505"/>
      <c r="Q467" s="505"/>
      <c r="R467" s="504"/>
      <c r="S467" s="504"/>
      <c r="T467" s="504"/>
      <c r="U467" s="504"/>
      <c r="V467" s="504"/>
      <c r="W467" s="504"/>
      <c r="X467" s="504"/>
      <c r="Y467" s="504"/>
      <c r="Z467" s="504"/>
      <c r="AA467" s="506"/>
      <c r="AB467" s="506"/>
      <c r="AC467" s="506"/>
      <c r="AD467" s="506"/>
      <c r="AE467" s="506"/>
      <c r="AF467" s="506"/>
      <c r="AG467" s="506"/>
      <c r="AH467" s="506"/>
      <c r="AI467" s="506"/>
      <c r="AJ467" s="506"/>
      <c r="AK467" s="506"/>
      <c r="AL467" s="506"/>
      <c r="AM467" s="506"/>
      <c r="AN467" s="506"/>
      <c r="AO467" s="506"/>
      <c r="AP467" s="506"/>
    </row>
    <row r="468" spans="1:42" ht="39" thickBot="1">
      <c r="A468" s="886" t="s">
        <v>7</v>
      </c>
      <c r="B468" s="886" t="s">
        <v>2</v>
      </c>
      <c r="C468" s="530"/>
      <c r="D468" s="882" t="s">
        <v>22</v>
      </c>
      <c r="E468" s="882" t="s">
        <v>23</v>
      </c>
      <c r="F468" s="882" t="s">
        <v>3</v>
      </c>
      <c r="G468" s="568"/>
      <c r="H468" s="901" t="s">
        <v>0</v>
      </c>
      <c r="I468" s="901"/>
      <c r="J468" s="901"/>
      <c r="K468" s="901" t="s">
        <v>1</v>
      </c>
      <c r="L468" s="901"/>
      <c r="M468" s="886" t="s">
        <v>10</v>
      </c>
      <c r="N468" s="879" t="s">
        <v>5</v>
      </c>
      <c r="O468" s="880"/>
      <c r="P468" s="881"/>
      <c r="Q468" s="902" t="s">
        <v>4</v>
      </c>
      <c r="R468" s="903"/>
      <c r="S468" s="903"/>
      <c r="T468" s="904"/>
      <c r="U468" s="902" t="s">
        <v>6</v>
      </c>
      <c r="V468" s="903"/>
      <c r="W468" s="903"/>
      <c r="X468" s="904"/>
      <c r="Y468" s="390" t="s">
        <v>689</v>
      </c>
      <c r="Z468" s="662" t="s">
        <v>690</v>
      </c>
      <c r="AA468" s="905" t="s">
        <v>686</v>
      </c>
      <c r="AB468" s="886" t="s">
        <v>9</v>
      </c>
      <c r="AC468" s="907" t="s">
        <v>312</v>
      </c>
      <c r="AD468" s="914" t="s">
        <v>649</v>
      </c>
      <c r="AE468" s="897" t="s">
        <v>20</v>
      </c>
      <c r="AF468" s="897" t="s">
        <v>313</v>
      </c>
      <c r="AG468" s="899" t="s">
        <v>552</v>
      </c>
      <c r="AH468" s="895" t="s">
        <v>578</v>
      </c>
      <c r="AI468" s="897" t="s">
        <v>579</v>
      </c>
      <c r="AJ468" s="882" t="s">
        <v>581</v>
      </c>
      <c r="AK468" s="882" t="s">
        <v>582</v>
      </c>
      <c r="AL468" s="882" t="s">
        <v>581</v>
      </c>
      <c r="AM468" s="882" t="s">
        <v>582</v>
      </c>
      <c r="AN468" s="884" t="s">
        <v>553</v>
      </c>
      <c r="AO468" s="885"/>
      <c r="AP468" s="885"/>
    </row>
    <row r="469" spans="1:42" ht="30.75" thickBot="1">
      <c r="A469" s="888"/>
      <c r="B469" s="888"/>
      <c r="C469" s="531"/>
      <c r="D469" s="883"/>
      <c r="E469" s="883"/>
      <c r="F469" s="883"/>
      <c r="G469" s="478"/>
      <c r="H469" s="572" t="s">
        <v>18</v>
      </c>
      <c r="I469" s="572"/>
      <c r="J469" s="572" t="s">
        <v>17</v>
      </c>
      <c r="K469" s="17" t="s">
        <v>18</v>
      </c>
      <c r="L469" s="17" t="s">
        <v>17</v>
      </c>
      <c r="M469" s="888"/>
      <c r="N469" s="464" t="s">
        <v>685</v>
      </c>
      <c r="O469" s="17" t="s">
        <v>18</v>
      </c>
      <c r="P469" s="17" t="s">
        <v>17</v>
      </c>
      <c r="Q469" s="464" t="s">
        <v>685</v>
      </c>
      <c r="R469" s="17" t="s">
        <v>18</v>
      </c>
      <c r="S469" s="17"/>
      <c r="T469" s="17" t="s">
        <v>17</v>
      </c>
      <c r="U469" s="464" t="s">
        <v>576</v>
      </c>
      <c r="V469" s="17" t="s">
        <v>18</v>
      </c>
      <c r="W469" s="464" t="s">
        <v>577</v>
      </c>
      <c r="X469" s="17" t="s">
        <v>17</v>
      </c>
      <c r="Y469" s="17" t="s">
        <v>18</v>
      </c>
      <c r="Z469" s="17" t="s">
        <v>17</v>
      </c>
      <c r="AA469" s="906"/>
      <c r="AB469" s="888"/>
      <c r="AC469" s="908"/>
      <c r="AD469" s="915"/>
      <c r="AE469" s="898"/>
      <c r="AF469" s="898"/>
      <c r="AG469" s="900"/>
      <c r="AH469" s="896"/>
      <c r="AI469" s="898"/>
      <c r="AJ469" s="883"/>
      <c r="AK469" s="883"/>
      <c r="AL469" s="883"/>
      <c r="AM469" s="883"/>
      <c r="AN469" s="1" t="s">
        <v>551</v>
      </c>
      <c r="AO469" s="9" t="s">
        <v>554</v>
      </c>
      <c r="AP469" s="1" t="s">
        <v>555</v>
      </c>
    </row>
    <row r="470" spans="1:42">
      <c r="A470" s="909" t="s">
        <v>622</v>
      </c>
      <c r="B470" s="893" t="s">
        <v>310</v>
      </c>
      <c r="C470" s="529" t="str">
        <f t="shared" ref="C470:C479" si="339">IF(AND(D470=AN470,D470=AO470,D470=AP470),"ok","ATENCIÓN NO ESTÁ TOMANDO BIEN LA LOCALIDAD")</f>
        <v>ok</v>
      </c>
      <c r="D470" s="23" t="s">
        <v>162</v>
      </c>
      <c r="E470" s="114">
        <f>VLOOKUP(D470,Pobl_adoptada!$C$5:$D$158,2,FALSE)</f>
        <v>70</v>
      </c>
      <c r="F470" s="8" t="s">
        <v>308</v>
      </c>
      <c r="G470" s="576">
        <f>+'[237]Inversion rec-TA'!$G$21</f>
        <v>1013367.6685183999</v>
      </c>
      <c r="H470" s="577">
        <f>+($AC470/$AC481)*H480+G470</f>
        <v>1050961.1115888313</v>
      </c>
      <c r="I470" s="587">
        <f>+'[237]Costos Operativos Rec-TA'!$G$23</f>
        <v>775255.76531559054</v>
      </c>
      <c r="J470" s="579">
        <f>+($AC470/$AC481)*J480+I470</f>
        <v>776007.63417699921</v>
      </c>
      <c r="K470" s="10">
        <f>+'[237]Inversion rec-TA'!$G$46</f>
        <v>0</v>
      </c>
      <c r="L470" s="10">
        <f>+'[237]Costos Operativos Rec-TA'!$G$46</f>
        <v>0</v>
      </c>
      <c r="M470" s="19">
        <f t="shared" ref="M470:M479" si="340">-H470/(1+0.12)+PV(12%,20,J470)-H470/(1+0.12)^10</f>
        <v>-7073084.7615093114</v>
      </c>
      <c r="N470" s="614">
        <f t="shared" ref="N470:N478" si="341">+$AD470/$AD$481*N$481</f>
        <v>23059.91712528182</v>
      </c>
      <c r="O470" s="25">
        <f t="shared" ref="O470:O479" si="342">IF(N470-AG470&lt;0,0,N470-AG470)</f>
        <v>23059.91712528182</v>
      </c>
      <c r="P470" s="32">
        <f t="shared" ref="P470:P478" si="343">+$AD470/$AD$481*P$481</f>
        <v>7621.4524104228985</v>
      </c>
      <c r="Q470" s="614">
        <f t="shared" ref="Q470:Q478" si="344">+$AC470/$AC$481*Q$481</f>
        <v>364366.98846121476</v>
      </c>
      <c r="R470" s="647">
        <f t="shared" ref="R470:R479" si="345">IF(Q470-AH470&lt;0,0,Q470-AH470)</f>
        <v>364366.98846121476</v>
      </c>
      <c r="S470" s="25">
        <f t="shared" ref="S470:S479" si="346">IF(AC470&lt;15,0,IF(AC470&lt;=350,815000,1345000))</f>
        <v>0</v>
      </c>
      <c r="T470" s="32">
        <f t="shared" ref="T470:T478" si="347">+$AC470/$AC$481*T$481</f>
        <v>11903.38858391398</v>
      </c>
      <c r="U470" s="465">
        <f>SUMIFS(Tabla24[Costo de Cierre Técnico de BCA (US$)],Tabla24[Localidad],Resumen!$D470)</f>
        <v>3816000</v>
      </c>
      <c r="V470" s="461">
        <f>+U470*(V$3*$E$3+V$4*$E$4)</f>
        <v>7328408.1984000001</v>
      </c>
      <c r="W470" s="465">
        <f>SUMIFS(Tabla24[Costo anual de Manteniemiento Post-cierre (US$)],Tabla24[Localidad],Resumen!$D470)</f>
        <v>338806.65726986877</v>
      </c>
      <c r="X470" s="461">
        <f>+W470*(X$3*$E$3+X$4*$E$4)</f>
        <v>650658.6700233242</v>
      </c>
      <c r="Y470" s="27">
        <f>VLOOKUP($D470,'Costo Social x localidad'!$B$2:$M$156,12,FALSE)*(Y$3*$E$3+Y$4*$E$4)</f>
        <v>10051.720954986666</v>
      </c>
      <c r="Z470" s="28">
        <f>VLOOKUP(D470,'Estimación  PRESUPUESTO PCAS'!$B$4:$G$158,'Estimación  PRESUPUESTO PCAS'!$G$2,FALSE)</f>
        <v>220340.36215575328</v>
      </c>
      <c r="AA470" s="650">
        <f t="shared" ref="AA470:AA479" si="348">(-O470-R470)/(1+0.12)+PV(12%,20,P470)+PV(12%,20,T470)-(O470*0.5)/(1+0.12)^10-S470/(1+0.12)^10</f>
        <v>-495468.91714527312</v>
      </c>
      <c r="AB470" s="651">
        <f t="shared" ref="AB470:AB479" si="349">M470+AA470</f>
        <v>-7568553.6786545841</v>
      </c>
      <c r="AC470" s="10">
        <f>VLOOKUP($E470,Resumen_Generación!$B$5:$F$158,Resumen_Generación!$D$3,FALSE)</f>
        <v>2.3457122240000001</v>
      </c>
      <c r="AD470" s="10">
        <f>VLOOKUP($E470,Resumen_Generación!$B$5:$G$158,Resumen_Generación!$G$3,FALSE)</f>
        <v>0.98021722000000011</v>
      </c>
      <c r="AE470" s="362">
        <f>VLOOKUP($E470,Resumen_Generación!$B$5:$F$158,Resumen_Generación!$E$3,FALSE)</f>
        <v>3402</v>
      </c>
      <c r="AF470" s="10">
        <f>VLOOKUP($E470,Resumen_Generación!$B$5:$F$158,Resumen_Generación!$F$3,FALSE)</f>
        <v>1.07226</v>
      </c>
      <c r="AG470" s="448">
        <f>VLOOKUP($D470,Valoración_Eq_REG!$D$4:$I$157,Valoración_Eq_REG!$E$2,FALSE)*$E$4</f>
        <v>0</v>
      </c>
      <c r="AH470" s="448">
        <f>VLOOKUP($D470,Valoración_Eq_REG!$D$4:$I$157,Valoración_Eq_REG!$F$2,FALSE)*$E$4</f>
        <v>0</v>
      </c>
      <c r="AI470" s="448">
        <f>+[237]P_Datos!$D$43</f>
        <v>8.7147540983606567E-2</v>
      </c>
      <c r="AJ470" s="484">
        <f>+'[237]Evaluacion Economica'!$L$25</f>
        <v>2</v>
      </c>
      <c r="AK470" s="448">
        <f>+'[237]Evaluacion Economica'!$R$25</f>
        <v>18</v>
      </c>
      <c r="AL470" s="484">
        <f>+'[237]P_Evaluacion Economica'!$L$27</f>
        <v>2</v>
      </c>
      <c r="AM470" s="448">
        <f>+'[237]P_Evaluacion Economica'!$Q$27</f>
        <v>6</v>
      </c>
      <c r="AN470" s="34" t="str">
        <f>+[237]Datos!$C$2</f>
        <v>General Lavalle</v>
      </c>
      <c r="AO470" s="25" t="str">
        <f>VLOOKUP($E470,Tabla13[],Inputs_costos!$D$1,FALSE)</f>
        <v>GENERAL LAVALLE</v>
      </c>
      <c r="AP470" s="28" t="str">
        <f>VLOOKUP($D470,'Costo Social x localidad'!$B$2:$M$156,1,FALSE)</f>
        <v>GENERAL LAVALLE</v>
      </c>
    </row>
    <row r="471" spans="1:42">
      <c r="A471" s="910"/>
      <c r="B471" s="894"/>
      <c r="C471" s="478" t="str">
        <f t="shared" si="339"/>
        <v>ok</v>
      </c>
      <c r="D471" s="24" t="s">
        <v>253</v>
      </c>
      <c r="E471" s="532">
        <f>VLOOKUP(D471,Pobl_adoptada!$C$5:$D$158,2,FALSE)</f>
        <v>147</v>
      </c>
      <c r="F471" s="9" t="s">
        <v>308</v>
      </c>
      <c r="G471" s="580">
        <f>+'[238]Inversion rec-TA'!$G$21</f>
        <v>3823241.6303455345</v>
      </c>
      <c r="H471" s="34">
        <f>+($AC471/$AC481)*H480+G471</f>
        <v>4356877.0318008782</v>
      </c>
      <c r="I471" s="465">
        <f>+'[238]Costos Operativos Rec-TA'!$G$23</f>
        <v>2266520.6677684225</v>
      </c>
      <c r="J471" s="581">
        <f>+($AC471/$AC481)*J480+I471</f>
        <v>2277193.3757975292</v>
      </c>
      <c r="K471" s="10">
        <f>+'[238]Inversion rec-TA'!$G$46</f>
        <v>0</v>
      </c>
      <c r="L471" s="10">
        <f>+'[238]Costos Operativos Rec-TA'!$G$46</f>
        <v>0</v>
      </c>
      <c r="M471" s="19">
        <f t="shared" si="340"/>
        <v>-22302234.119962126</v>
      </c>
      <c r="N471" s="465">
        <f t="shared" si="341"/>
        <v>326841.75813642651</v>
      </c>
      <c r="O471" s="25">
        <f t="shared" si="342"/>
        <v>326841.75813642651</v>
      </c>
      <c r="P471" s="25">
        <f t="shared" si="343"/>
        <v>108023.32427486045</v>
      </c>
      <c r="Q471" s="465">
        <f t="shared" si="344"/>
        <v>5172155.2559123989</v>
      </c>
      <c r="R471" s="647">
        <f t="shared" si="345"/>
        <v>5172155.2559123989</v>
      </c>
      <c r="S471" s="25">
        <f t="shared" si="346"/>
        <v>815000</v>
      </c>
      <c r="T471" s="25">
        <f t="shared" si="347"/>
        <v>168967.48546695468</v>
      </c>
      <c r="U471" s="465">
        <f>SUMIFS(Tabla24[Costo de Cierre Técnico de BCA (US$)],Tabla24[Localidad],Resumen!$D471)</f>
        <v>0</v>
      </c>
      <c r="V471" s="461">
        <f t="shared" ref="V471:V479" si="350">+U471*(V$3*$E$3+V$4*$E$4)</f>
        <v>0</v>
      </c>
      <c r="W471" s="465">
        <f>SUMIFS(Tabla24[Costo anual de Manteniemiento Post-cierre (US$)],Tabla24[Localidad],Resumen!$D471)</f>
        <v>0</v>
      </c>
      <c r="X471" s="461">
        <f t="shared" ref="X471:X479" si="351">+W471*(X$3*$E$3+X$4*$E$4)</f>
        <v>0</v>
      </c>
      <c r="Y471" s="28">
        <f>VLOOKUP($D471,'Costo Social x localidad'!$B$2:$M$156,12,FALSE)*(Y$3*$E$3+Y$4*$E$4)</f>
        <v>18538.509399199997</v>
      </c>
      <c r="Z471" s="28">
        <f>VLOOKUP(D471,'Estimación  PRESUPUESTO PCAS'!$B$4:$G$158,'Estimación  PRESUPUESTO PCAS'!$G$2,FALSE)</f>
        <v>231231.14045849704</v>
      </c>
      <c r="AA471" s="650">
        <f t="shared" si="348"/>
        <v>-7293811.3375484394</v>
      </c>
      <c r="AB471" s="651">
        <f t="shared" si="349"/>
        <v>-29596045.457510564</v>
      </c>
      <c r="AC471" s="10">
        <f>VLOOKUP($E471,Resumen_Generación!$B$5:$F$158,Resumen_Generación!$D$3,FALSE)</f>
        <v>33.297165200000009</v>
      </c>
      <c r="AD471" s="10">
        <f>VLOOKUP($E471,Resumen_Generación!$B$5:$G$158,Resumen_Generación!$G$3,FALSE)</f>
        <v>13.893194749999997</v>
      </c>
      <c r="AE471" s="362">
        <f>VLOOKUP($E471,Resumen_Generación!$B$5:$F$158,Resumen_Generación!$E$3,FALSE)</f>
        <v>41898</v>
      </c>
      <c r="AF471" s="10">
        <f>VLOOKUP($E471,Resumen_Generación!$B$5:$F$158,Resumen_Generación!$F$3,FALSE)</f>
        <v>15.334543</v>
      </c>
      <c r="AG471" s="448">
        <f>VLOOKUP($D471,Valoración_Eq_REG!$D$4:$I$157,Valoración_Eq_REG!$E$2,FALSE)*$E$4</f>
        <v>0</v>
      </c>
      <c r="AH471" s="448">
        <f>VLOOKUP($D471,Valoración_Eq_REG!$D$4:$I$157,Valoración_Eq_REG!$F$2,FALSE)*$E$4</f>
        <v>0</v>
      </c>
      <c r="AI471" s="25">
        <f>+[238]P_Datos!$D$43</f>
        <v>0.87272131147540988</v>
      </c>
      <c r="AJ471" s="484">
        <f>+'[238]Evaluacion Economica'!$L$25</f>
        <v>5</v>
      </c>
      <c r="AK471" s="448">
        <f>+'[238]Evaluacion Economica'!$R$25</f>
        <v>24</v>
      </c>
      <c r="AL471" s="484">
        <f>+'[238]P_Evaluacion Economica'!$L$27</f>
        <v>3</v>
      </c>
      <c r="AM471" s="448">
        <f>+'[238]P_Evaluacion Economica'!$Q$27</f>
        <v>9</v>
      </c>
      <c r="AN471" s="34" t="str">
        <f>+[238]Datos!$C$2</f>
        <v>San Clemente del Tuyú</v>
      </c>
      <c r="AO471" s="25" t="str">
        <f>VLOOKUP($E471,Tabla13[],Inputs_costos!$D$1,FALSE)</f>
        <v>SAN CLEMENTE DEL TUYÚ</v>
      </c>
      <c r="AP471" s="28" t="str">
        <f>VLOOKUP($D471,'Costo Social x localidad'!$B$2:$M$156,1,FALSE)</f>
        <v>San Clemente del Tuyú</v>
      </c>
    </row>
    <row r="472" spans="1:42">
      <c r="A472" s="910"/>
      <c r="B472" s="894"/>
      <c r="C472" s="478" t="str">
        <f t="shared" si="339"/>
        <v>ok</v>
      </c>
      <c r="D472" s="24" t="s">
        <v>178</v>
      </c>
      <c r="E472" s="532">
        <f>VLOOKUP(D472,Pobl_adoptada!$C$5:$D$158,2,FALSE)</f>
        <v>81</v>
      </c>
      <c r="F472" s="9" t="s">
        <v>308</v>
      </c>
      <c r="G472" s="580">
        <f>+'[239]Inversion rec-TA'!$G$21</f>
        <v>5500160.8370187869</v>
      </c>
      <c r="H472" s="34">
        <f>+($AC472/$AC481)*H480+G472</f>
        <v>6414673.5273332242</v>
      </c>
      <c r="I472" s="465">
        <f>+'[239]Costos Operativos Rec-TA'!$G$23</f>
        <v>3359976.6342842286</v>
      </c>
      <c r="J472" s="581">
        <f>+($AC472/$AC481)*J480+I472</f>
        <v>3378266.8880905174</v>
      </c>
      <c r="K472" s="10">
        <f>+'[239]Inversion rec-TA'!$G$46</f>
        <v>0</v>
      </c>
      <c r="L472" s="10">
        <f>+'[239]Costos Operativos Rec-TA'!$G$46</f>
        <v>0</v>
      </c>
      <c r="M472" s="19">
        <f t="shared" si="340"/>
        <v>-33026514.343768977</v>
      </c>
      <c r="N472" s="465">
        <f t="shared" si="341"/>
        <v>554436.01901771058</v>
      </c>
      <c r="O472" s="25">
        <f t="shared" si="342"/>
        <v>0</v>
      </c>
      <c r="P472" s="25">
        <f t="shared" si="343"/>
        <v>183244.7059809702</v>
      </c>
      <c r="Q472" s="465">
        <f t="shared" si="344"/>
        <v>8863732.8125319723</v>
      </c>
      <c r="R472" s="647">
        <f t="shared" si="345"/>
        <v>8793622.612531973</v>
      </c>
      <c r="S472" s="25">
        <f t="shared" si="346"/>
        <v>815000</v>
      </c>
      <c r="T472" s="25">
        <f t="shared" si="347"/>
        <v>289566.45171709277</v>
      </c>
      <c r="U472" s="465">
        <f>SUMIFS(Tabla24[Costo de Cierre Técnico de BCA (US$)],Tabla24[Localidad],Resumen!$D472)</f>
        <v>0</v>
      </c>
      <c r="V472" s="461">
        <f t="shared" si="350"/>
        <v>0</v>
      </c>
      <c r="W472" s="465">
        <f>SUMIFS(Tabla24[Costo anual de Manteniemiento Post-cierre (US$)],Tabla24[Localidad],Resumen!$D472)</f>
        <v>0</v>
      </c>
      <c r="X472" s="461">
        <f t="shared" si="351"/>
        <v>0</v>
      </c>
      <c r="Y472" s="28">
        <f>VLOOKUP($D472,'Costo Social x localidad'!$B$2:$M$156,12,FALSE)*(Y$3*$E$3+Y$4*$E$4)</f>
        <v>45986.122857599992</v>
      </c>
      <c r="Z472" s="28">
        <f>VLOOKUP(D472,'Estimación  PRESUPUESTO PCAS'!$B$4:$G$158,'Estimación  PRESUPUESTO PCAS'!$G$2,FALSE)</f>
        <v>284755.36139865196</v>
      </c>
      <c r="AA472" s="650">
        <f t="shared" si="348"/>
        <v>-11645493.236389425</v>
      </c>
      <c r="AB472" s="651">
        <f t="shared" si="349"/>
        <v>-44672007.580158398</v>
      </c>
      <c r="AC472" s="10">
        <f>VLOOKUP($E472,Resumen_Generación!$B$5:$F$158,Resumen_Generación!$D$3,FALSE)</f>
        <v>57.062706191999993</v>
      </c>
      <c r="AD472" s="10">
        <f>VLOOKUP($E472,Resumen_Generación!$B$5:$G$158,Resumen_Generación!$G$3,FALSE)</f>
        <v>23.567636009999998</v>
      </c>
      <c r="AE472" s="362">
        <f>VLOOKUP($E472,Resumen_Generación!$B$5:$F$158,Resumen_Generación!$E$3,FALSE)</f>
        <v>74428</v>
      </c>
      <c r="AF472" s="10">
        <f>VLOOKUP($E472,Resumen_Generación!$B$5:$F$158,Resumen_Generación!$F$3,FALSE)</f>
        <v>26.365164</v>
      </c>
      <c r="AG472" s="448">
        <f>VLOOKUP($D472,Valoración_Eq_REG!$D$4:$I$157,Valoración_Eq_REG!$E$2,FALSE)*$E$4</f>
        <v>819654.02150000003</v>
      </c>
      <c r="AH472" s="448">
        <f>VLOOKUP($D472,Valoración_Eq_REG!$D$4:$I$157,Valoración_Eq_REG!$F$2,FALSE)*$E$4</f>
        <v>70110.2</v>
      </c>
      <c r="AI472" s="25">
        <f>+[239]P_Datos!$D$43</f>
        <v>2.2092459016393446</v>
      </c>
      <c r="AJ472" s="512">
        <f>+'[239]Evaluacion Economica'!$L$25</f>
        <v>7</v>
      </c>
      <c r="AK472" s="513">
        <f>+'[239]Evaluacion Economica'!$R$25</f>
        <v>24</v>
      </c>
      <c r="AL472" s="512">
        <f>+'[239]P_Evaluacion Economica'!$L$27</f>
        <v>4</v>
      </c>
      <c r="AM472" s="513">
        <f>+'[239]P_Evaluacion Economica'!$Q$27</f>
        <v>15</v>
      </c>
      <c r="AN472" s="34" t="str">
        <f>+[239]Datos!$C$2</f>
        <v>Santa Teresita - Mar del Tuyú</v>
      </c>
      <c r="AO472" s="25" t="str">
        <f>VLOOKUP($E472,Tabla13[],Inputs_costos!$D$1,FALSE)</f>
        <v>SANTA TERESITA - MAR DEL TUYÚ</v>
      </c>
      <c r="AP472" s="28" t="str">
        <f>VLOOKUP($D472,'Costo Social x localidad'!$B$2:$M$156,1,FALSE)</f>
        <v>Santa Teresita - Mar del Tuyú</v>
      </c>
    </row>
    <row r="473" spans="1:42">
      <c r="A473" s="910"/>
      <c r="B473" s="894"/>
      <c r="C473" s="478" t="str">
        <f t="shared" si="339"/>
        <v>ok</v>
      </c>
      <c r="D473" s="24" t="s">
        <v>176</v>
      </c>
      <c r="E473" s="532">
        <f>VLOOKUP(D473,Pobl_adoptada!$C$5:$D$158,2,FALSE)</f>
        <v>80</v>
      </c>
      <c r="F473" s="9" t="s">
        <v>308</v>
      </c>
      <c r="G473" s="580">
        <f>+'[240]Inversion rec-TA'!$G$21</f>
        <v>5402437.9465784412</v>
      </c>
      <c r="H473" s="34">
        <f>+($AC473/$AC481)*H480+G473</f>
        <v>6990658.5994635569</v>
      </c>
      <c r="I473" s="465">
        <f>+'[240]Costos Operativos Rec-TA'!$G$23</f>
        <v>3157647.3426286913</v>
      </c>
      <c r="J473" s="581">
        <f>+($AC473/$AC481)*J480+I473</f>
        <v>3189411.7556863935</v>
      </c>
      <c r="K473" s="10">
        <f>+'[240]Inversion rec-TA'!$G$46</f>
        <v>0</v>
      </c>
      <c r="L473" s="10">
        <f>+'[240]Costos Operativos Rec-TA'!$G$46</f>
        <v>0</v>
      </c>
      <c r="M473" s="19">
        <f t="shared" si="340"/>
        <v>-32315595.742843833</v>
      </c>
      <c r="N473" s="465">
        <f t="shared" si="341"/>
        <v>977616.05724857573</v>
      </c>
      <c r="O473" s="25">
        <f t="shared" si="342"/>
        <v>977616.05724857573</v>
      </c>
      <c r="P473" s="25">
        <f t="shared" si="343"/>
        <v>323108.45765427832</v>
      </c>
      <c r="Q473" s="465">
        <f t="shared" si="344"/>
        <v>15393513.576808278</v>
      </c>
      <c r="R473" s="647">
        <f t="shared" si="345"/>
        <v>15393513.576808278</v>
      </c>
      <c r="S473" s="25">
        <f t="shared" si="346"/>
        <v>815000</v>
      </c>
      <c r="T473" s="25">
        <f t="shared" si="347"/>
        <v>502885.77060819289</v>
      </c>
      <c r="U473" s="465">
        <f>SUMIFS(Tabla24[Costo de Cierre Técnico de BCA (US$)],Tabla24[Localidad],Resumen!$D473)</f>
        <v>0</v>
      </c>
      <c r="V473" s="461">
        <f>+U473*(V$3*$E$3+V$4*$E$4)</f>
        <v>0</v>
      </c>
      <c r="W473" s="465">
        <f>SUMIFS(Tabla24[Costo anual de Manteniemiento Post-cierre (US$)],Tabla24[Localidad],Resumen!$D473)</f>
        <v>0</v>
      </c>
      <c r="X473" s="461">
        <f>+W473*(X$3*$E$3+X$4*$E$4)</f>
        <v>0</v>
      </c>
      <c r="Y473" s="28">
        <f>VLOOKUP($D473,'Costo Social x localidad'!$B$2:$M$156,12,FALSE)*(Y$3*$E$3+Y$4*$E$4)</f>
        <v>87207.017627520021</v>
      </c>
      <c r="Z473" s="28">
        <f>VLOOKUP(D473,'Estimación  PRESUPUESTO PCAS'!$B$4:$G$158,'Estimación  PRESUPUESTO PCAS'!$G$2,FALSE)</f>
        <v>424694.75291900511</v>
      </c>
      <c r="AA473" s="650">
        <f t="shared" si="348"/>
        <v>-21206588.64330351</v>
      </c>
      <c r="AB473" s="651">
        <f t="shared" si="349"/>
        <v>-53522184.386147343</v>
      </c>
      <c r="AC473" s="10">
        <f>VLOOKUP($E473,Resumen_Generación!$B$5:$F$158,Resumen_Generación!$D$3,FALSE)</f>
        <v>99.099957215999993</v>
      </c>
      <c r="AD473" s="10">
        <f>VLOOKUP($E473,Resumen_Generación!$B$5:$G$158,Resumen_Generación!$G$3,FALSE)</f>
        <v>41.555920979999996</v>
      </c>
      <c r="AE473" s="362">
        <f>VLOOKUP($E473,Resumen_Generación!$B$5:$F$158,Resumen_Generación!$E$3,FALSE)</f>
        <v>129750</v>
      </c>
      <c r="AF473" s="10">
        <f>VLOOKUP($E473,Resumen_Generación!$B$5:$F$158,Resumen_Generación!$F$3,FALSE)</f>
        <v>45.603893999999997</v>
      </c>
      <c r="AG473" s="448">
        <f>VLOOKUP($D473,Valoración_Eq_REG!$D$4:$I$157,Valoración_Eq_REG!$E$2,FALSE)*$E$4</f>
        <v>0</v>
      </c>
      <c r="AH473" s="448">
        <f>VLOOKUP($D473,Valoración_Eq_REG!$D$4:$I$157,Valoración_Eq_REG!$F$2,FALSE)*$E$4</f>
        <v>0</v>
      </c>
      <c r="AI473" s="513">
        <f>+[240]P_Datos!$D$43</f>
        <v>2.7637377049180332</v>
      </c>
      <c r="AJ473" s="512">
        <f>+'[240]Evaluacion Economica'!$L$25</f>
        <v>9</v>
      </c>
      <c r="AK473" s="513">
        <f>+'[240]Evaluacion Economica'!$R$25</f>
        <v>24</v>
      </c>
      <c r="AL473" s="512">
        <f>+'[240]P_Evaluacion Economica'!$L$27</f>
        <v>3</v>
      </c>
      <c r="AM473" s="513">
        <f>+'[240]P_Evaluacion Economica'!$Q$27</f>
        <v>15</v>
      </c>
      <c r="AN473" s="34" t="str">
        <f>+[240]Datos!$C$2</f>
        <v>Mar de Ajó - San Bernardo</v>
      </c>
      <c r="AO473" s="25" t="str">
        <f>VLOOKUP($E473,Tabla13[],Inputs_costos!$D$1,FALSE)</f>
        <v>MAR DE AJÓ - SAN BERNARDO</v>
      </c>
      <c r="AP473" s="28" t="str">
        <f>VLOOKUP($D473,'Costo Social x localidad'!$B$2:$M$156,1,FALSE)</f>
        <v>Mar de Ajó - San Bernardo</v>
      </c>
    </row>
    <row r="474" spans="1:42">
      <c r="A474" s="910"/>
      <c r="B474" s="894"/>
      <c r="C474" s="478" t="str">
        <f t="shared" si="339"/>
        <v>ok</v>
      </c>
      <c r="D474" s="24" t="s">
        <v>251</v>
      </c>
      <c r="E474" s="532">
        <f>VLOOKUP(D474,Pobl_adoptada!$C$5:$D$158,2,FALSE)</f>
        <v>145</v>
      </c>
      <c r="F474" s="9" t="s">
        <v>308</v>
      </c>
      <c r="G474" s="580">
        <f>+'[241]Inversion rec-TA'!$G$21</f>
        <v>732325.56225919991</v>
      </c>
      <c r="H474" s="34">
        <f>+($AC474/$AC481)*H480+G474</f>
        <v>751487.97279933852</v>
      </c>
      <c r="I474" s="465">
        <f>+'[241]Costos Operativos Rec-TA'!$G$23</f>
        <v>484352.00895993883</v>
      </c>
      <c r="J474" s="581">
        <f>+($AC474/$AC481)*J480+I474</f>
        <v>484735.25717074162</v>
      </c>
      <c r="K474" s="10">
        <f>+'[241]Inversion rec-TA'!$G$46</f>
        <v>0</v>
      </c>
      <c r="L474" s="10">
        <f>+'[241]Costos Operativos Rec-TA'!$G$46</f>
        <v>0</v>
      </c>
      <c r="M474" s="19">
        <f t="shared" si="340"/>
        <v>-4533633.0953071015</v>
      </c>
      <c r="N474" s="465">
        <f t="shared" si="341"/>
        <v>11747.013688810348</v>
      </c>
      <c r="O474" s="25">
        <f t="shared" si="342"/>
        <v>11747.013688810348</v>
      </c>
      <c r="P474" s="25">
        <f t="shared" si="343"/>
        <v>3882.4643344315687</v>
      </c>
      <c r="Q474" s="465">
        <f t="shared" si="344"/>
        <v>185727.86235851538</v>
      </c>
      <c r="R474" s="647">
        <f t="shared" si="345"/>
        <v>185727.86235851538</v>
      </c>
      <c r="S474" s="25">
        <f t="shared" si="346"/>
        <v>0</v>
      </c>
      <c r="T474" s="25">
        <f t="shared" si="347"/>
        <v>6067.4841204733011</v>
      </c>
      <c r="U474" s="465">
        <f>SUMIFS(Tabla24[Costo de Cierre Técnico de BCA (US$)],Tabla24[Localidad],Resumen!$D474)</f>
        <v>0</v>
      </c>
      <c r="V474" s="461">
        <f t="shared" ref="V474:V475" si="352">+U474*(V$3*$E$3+V$4*$E$4)</f>
        <v>0</v>
      </c>
      <c r="W474" s="465">
        <f>SUMIFS(Tabla24[Costo anual de Manteniemiento Post-cierre (US$)],Tabla24[Localidad],Resumen!$D474)</f>
        <v>0</v>
      </c>
      <c r="X474" s="461">
        <f t="shared" ref="X474:X475" si="353">+W474*(X$3*$E$3+X$4*$E$4)</f>
        <v>0</v>
      </c>
      <c r="Y474" s="28">
        <f>VLOOKUP($D474,'Costo Social x localidad'!$B$2:$M$156,12,FALSE)*(Y$3*$E$3+Y$4*$E$4)</f>
        <v>10051.720954986666</v>
      </c>
      <c r="Z474" s="28">
        <f>VLOOKUP(D474,'Estimación  PRESUPUESTO PCAS'!$B$4:$G$158,'Estimación  PRESUPUESTO PCAS'!$G$2,FALSE)</f>
        <v>142162.02848846663</v>
      </c>
      <c r="AA474" s="650">
        <f t="shared" si="348"/>
        <v>-252528.54467139181</v>
      </c>
      <c r="AB474" s="651">
        <f t="shared" si="349"/>
        <v>-4786161.6399784936</v>
      </c>
      <c r="AC474" s="10">
        <f>VLOOKUP($E474,Resumen_Generación!$B$5:$F$158,Resumen_Generación!$D$3,FALSE)</f>
        <v>1.1956739520000002</v>
      </c>
      <c r="AD474" s="10">
        <f>VLOOKUP($E474,Resumen_Generación!$B$5:$G$158,Resumen_Generación!$G$3,FALSE)</f>
        <v>0.49933506000000005</v>
      </c>
      <c r="AE474" s="362">
        <f>VLOOKUP($E474,Resumen_Generación!$B$5:$F$158,Resumen_Generación!$E$3,FALSE)</f>
        <v>1734</v>
      </c>
      <c r="AF474" s="10">
        <f>VLOOKUP($E474,Resumen_Generación!$B$5:$F$158,Resumen_Generación!$F$3,FALSE)</f>
        <v>0.54675599999999991</v>
      </c>
      <c r="AG474" s="448">
        <f>VLOOKUP($D474,Valoración_Eq_REG!$D$4:$I$157,Valoración_Eq_REG!$E$2,FALSE)*$E$4</f>
        <v>0</v>
      </c>
      <c r="AH474" s="448">
        <f>VLOOKUP($D474,Valoración_Eq_REG!$D$4:$I$157,Valoración_Eq_REG!$F$2,FALSE)*$E$4</f>
        <v>0</v>
      </c>
      <c r="AI474" s="25">
        <f>+[241]P_Datos!$D$43</f>
        <v>4.5967213114754095E-2</v>
      </c>
      <c r="AJ474" s="512">
        <f>+'[241]Evaluacion Economica'!$L$25</f>
        <v>1</v>
      </c>
      <c r="AK474" s="513">
        <f>+'[241]Evaluacion Economica'!$R$25</f>
        <v>9</v>
      </c>
      <c r="AL474" s="512">
        <f>+'[241]P_Evaluacion Economica'!$L$27</f>
        <v>1</v>
      </c>
      <c r="AM474" s="513">
        <f>+'[241]P_Evaluacion Economica'!$Q$27</f>
        <v>6</v>
      </c>
      <c r="AN474" s="34" t="str">
        <f>+[241]Datos!$C$2</f>
        <v>Pavón</v>
      </c>
      <c r="AO474" s="25" t="str">
        <f>VLOOKUP($E474,Tabla13[],Inputs_costos!$D$1,FALSE)</f>
        <v>PAVÓN</v>
      </c>
      <c r="AP474" s="28" t="str">
        <f>VLOOKUP($D474,'Costo Social x localidad'!$B$2:$M$156,1,FALSE)</f>
        <v>Pavón</v>
      </c>
    </row>
    <row r="475" spans="1:42">
      <c r="A475" s="910"/>
      <c r="B475" s="894"/>
      <c r="C475" s="478" t="str">
        <f t="shared" si="339"/>
        <v>ok</v>
      </c>
      <c r="D475" s="24" t="s">
        <v>159</v>
      </c>
      <c r="E475" s="532">
        <f>VLOOKUP(D475,Pobl_adoptada!$C$5:$D$158,2,FALSE)</f>
        <v>67</v>
      </c>
      <c r="F475" s="9" t="s">
        <v>308</v>
      </c>
      <c r="G475" s="580">
        <f>+'[242]Inversion rec-TA'!$G$21</f>
        <v>2902418.6062136763</v>
      </c>
      <c r="H475" s="34">
        <f>+($AC475/$AC481)*H480+G475</f>
        <v>3224846.3588932566</v>
      </c>
      <c r="I475" s="465">
        <f>+'[242]Costos Operativos Rec-TA'!$G$23</f>
        <v>1666679.8290265594</v>
      </c>
      <c r="J475" s="581">
        <f>+($AC475/$AC481)*J480+I475</f>
        <v>1673128.3840801509</v>
      </c>
      <c r="K475" s="10">
        <f>+'[242]Inversion rec-TA'!$G$46</f>
        <v>0</v>
      </c>
      <c r="L475" s="10">
        <f>+'[242]Costos Operativos Rec-TA'!$G$46</f>
        <v>0</v>
      </c>
      <c r="M475" s="19">
        <f t="shared" si="340"/>
        <v>-16414979.466984294</v>
      </c>
      <c r="N475" s="465">
        <f t="shared" si="341"/>
        <v>194650.90092818203</v>
      </c>
      <c r="O475" s="25">
        <f t="shared" si="342"/>
        <v>194650.90092818203</v>
      </c>
      <c r="P475" s="25">
        <f t="shared" si="343"/>
        <v>64333.387236835151</v>
      </c>
      <c r="Q475" s="465">
        <f t="shared" si="344"/>
        <v>3125067.0235251756</v>
      </c>
      <c r="R475" s="647">
        <f t="shared" si="345"/>
        <v>2990427.1835251758</v>
      </c>
      <c r="S475" s="25">
        <f t="shared" si="346"/>
        <v>815000</v>
      </c>
      <c r="T475" s="25">
        <f t="shared" si="347"/>
        <v>102091.81487294719</v>
      </c>
      <c r="U475" s="465">
        <f>SUMIFS(Tabla24[Costo de Cierre Técnico de BCA (US$)],Tabla24[Localidad],Resumen!$D475)</f>
        <v>4664000</v>
      </c>
      <c r="V475" s="461">
        <f t="shared" si="352"/>
        <v>8956943.3535999991</v>
      </c>
      <c r="W475" s="465">
        <f>SUMIFS(Tabla24[Costo anual de Manteniemiento Post-cierre (US$)],Tabla24[Localidad],Resumen!$D475)</f>
        <v>414097.02555206185</v>
      </c>
      <c r="X475" s="461">
        <f t="shared" si="353"/>
        <v>795249.48558406299</v>
      </c>
      <c r="Y475" s="28">
        <f>VLOOKUP($D475,'Costo Social x localidad'!$B$2:$M$156,12,FALSE)*(Y$3*$E$3+Y$4*$E$4)</f>
        <v>51762.242765840005</v>
      </c>
      <c r="Z475" s="28">
        <f>VLOOKUP(D475,'Estimación  PRESUPUESTO PCAS'!$B$4:$G$158,'Estimación  PRESUPUESTO PCAS'!$G$2,FALSE)</f>
        <v>286341.0779694661</v>
      </c>
      <c r="AA475" s="650">
        <f t="shared" si="348"/>
        <v>-4380667.7611982599</v>
      </c>
      <c r="AB475" s="651">
        <f t="shared" si="349"/>
        <v>-20795647.228182554</v>
      </c>
      <c r="AC475" s="10">
        <f>VLOOKUP($E475,Resumen_Generación!$B$5:$F$158,Resumen_Generación!$D$3,FALSE)</f>
        <v>20.118474368000001</v>
      </c>
      <c r="AD475" s="10">
        <f>VLOOKUP($E475,Resumen_Generación!$B$5:$G$158,Resumen_Generación!$G$3,FALSE)</f>
        <v>8.2741045399999997</v>
      </c>
      <c r="AE475" s="362">
        <f>VLOOKUP($E475,Resumen_Generación!$B$5:$F$158,Resumen_Generación!$E$3,FALSE)</f>
        <v>25224</v>
      </c>
      <c r="AF475" s="10">
        <f>VLOOKUP($E475,Resumen_Generación!$B$5:$F$158,Resumen_Generación!$F$3,FALSE)</f>
        <v>9.2623860000000011</v>
      </c>
      <c r="AG475" s="448">
        <f>VLOOKUP($D475,Valoración_Eq_REG!$D$4:$I$157,Valoración_Eq_REG!$E$2,FALSE)*$E$4</f>
        <v>0</v>
      </c>
      <c r="AH475" s="448">
        <f>VLOOKUP($D475,Valoración_Eq_REG!$D$4:$I$157,Valoración_Eq_REG!$F$2,FALSE)*$E$4</f>
        <v>134639.84</v>
      </c>
      <c r="AI475" s="25">
        <f>+[242]P_Datos!$D$43</f>
        <v>0.60347540983606562</v>
      </c>
      <c r="AJ475" s="512">
        <f>+'[242]Evaluacion Economica'!$L$25</f>
        <v>3</v>
      </c>
      <c r="AK475" s="513">
        <f>+'[242]Evaluacion Economica'!$R$25</f>
        <v>12</v>
      </c>
      <c r="AL475" s="512">
        <f>+'[242]P_Evaluacion Economica'!$L$27</f>
        <v>3</v>
      </c>
      <c r="AM475" s="513">
        <f>+'[242]P_Evaluacion Economica'!$Q$27</f>
        <v>6</v>
      </c>
      <c r="AN475" s="34" t="str">
        <f>+[242]Datos!$C$2</f>
        <v>General Juan Madariaga</v>
      </c>
      <c r="AO475" s="25" t="str">
        <f>VLOOKUP($E475,Tabla13[],Inputs_costos!$D$1,FALSE)</f>
        <v>GENERAL JUAN MADARIAGA</v>
      </c>
      <c r="AP475" s="28" t="str">
        <f>VLOOKUP($D475,'Costo Social x localidad'!$B$2:$M$156,1,FALSE)</f>
        <v>GENERAL JUAN MADARIAGA</v>
      </c>
    </row>
    <row r="476" spans="1:42">
      <c r="A476" s="910"/>
      <c r="B476" s="894"/>
      <c r="C476" s="478" t="str">
        <f t="shared" si="339"/>
        <v>ok</v>
      </c>
      <c r="D476" s="24" t="s">
        <v>49</v>
      </c>
      <c r="E476" s="532">
        <f>VLOOKUP(D476,Pobl_adoptada!$C$5:$D$158,2,FALSE)</f>
        <v>106</v>
      </c>
      <c r="F476" s="9" t="s">
        <v>308</v>
      </c>
      <c r="G476" s="580">
        <f>+'[243]Inversion rec-TA'!$G$21</f>
        <v>2315255.9379698802</v>
      </c>
      <c r="H476" s="34">
        <f>+($AC476/$AC481)*H480+G476</f>
        <v>3329154.2155370815</v>
      </c>
      <c r="I476" s="465">
        <f>+'[243]Costos Operativos Rec-TA'!$G$23</f>
        <v>1237006.9575364697</v>
      </c>
      <c r="J476" s="581">
        <f>+($AC476/$AC481)*J480+I476</f>
        <v>1257284.9230878137</v>
      </c>
      <c r="K476" s="10">
        <f>+'[243]Inversion rec-TA'!$G$46</f>
        <v>0</v>
      </c>
      <c r="L476" s="10">
        <f>+'[243]Costos Operativos Rec-TA'!$G$46</f>
        <v>0</v>
      </c>
      <c r="M476" s="19">
        <f t="shared" si="340"/>
        <v>-13435576.531622767</v>
      </c>
      <c r="N476" s="465">
        <f t="shared" si="341"/>
        <v>622339.62895622966</v>
      </c>
      <c r="O476" s="25">
        <f t="shared" si="342"/>
        <v>622339.62895622966</v>
      </c>
      <c r="P476" s="25">
        <f t="shared" si="343"/>
        <v>205687.29017720537</v>
      </c>
      <c r="Q476" s="465">
        <f t="shared" si="344"/>
        <v>9827007.8989850618</v>
      </c>
      <c r="R476" s="647">
        <f t="shared" si="345"/>
        <v>9827007.8989850618</v>
      </c>
      <c r="S476" s="25">
        <f t="shared" si="346"/>
        <v>815000</v>
      </c>
      <c r="T476" s="25">
        <f t="shared" si="347"/>
        <v>321035.37736175221</v>
      </c>
      <c r="U476" s="465">
        <f>SUMIFS(Tabla24[Costo de Cierre Técnico de BCA (US$)],Tabla24[Localidad],Resumen!$D476)</f>
        <v>0</v>
      </c>
      <c r="V476" s="461">
        <f>+U476*(V$3*$E$3+V$4*$E$4)</f>
        <v>0</v>
      </c>
      <c r="W476" s="465">
        <f>SUMIFS(Tabla24[Costo anual de Manteniemiento Post-cierre (US$)],Tabla24[Localidad],Resumen!$D476)</f>
        <v>0</v>
      </c>
      <c r="X476" s="461">
        <f>+W476*(X$3*$E$3+X$4*$E$4)</f>
        <v>0</v>
      </c>
      <c r="Y476" s="28">
        <f>VLOOKUP($D476,'Costo Social x localidad'!$B$2:$M$156,12,FALSE)*(Y$3*$E$3+Y$4*$E$4)</f>
        <v>58406.060954133318</v>
      </c>
      <c r="Z476" s="28">
        <f>VLOOKUP(D476,'Estimación  PRESUPUESTO PCAS'!$B$4:$G$158,'Estimación  PRESUPUESTO PCAS'!$G$2,FALSE)</f>
        <v>270457.41743478371</v>
      </c>
      <c r="AA476" s="650">
        <f t="shared" si="348"/>
        <v>-13626696.389474966</v>
      </c>
      <c r="AB476" s="651">
        <f t="shared" si="349"/>
        <v>-27062272.921097733</v>
      </c>
      <c r="AC476" s="10">
        <f>VLOOKUP($E476,Resumen_Generación!$B$5:$F$158,Resumen_Generación!$D$3,FALSE)</f>
        <v>63.264053232000002</v>
      </c>
      <c r="AD476" s="10">
        <f>VLOOKUP($E476,Resumen_Generación!$B$5:$G$158,Resumen_Generación!$G$3,FALSE)</f>
        <v>26.454042210000001</v>
      </c>
      <c r="AE476" s="362">
        <f>VLOOKUP($E476,Resumen_Generación!$B$5:$F$158,Resumen_Generación!$E$3,FALSE)</f>
        <v>82772</v>
      </c>
      <c r="AF476" s="10">
        <f>VLOOKUP($E476,Resumen_Generación!$B$5:$F$158,Resumen_Generación!$F$3,FALSE)</f>
        <v>29.008748999999995</v>
      </c>
      <c r="AG476" s="448">
        <f>VLOOKUP($D476,Valoración_Eq_REG!$D$4:$I$157,Valoración_Eq_REG!$E$2,FALSE)*$E$4</f>
        <v>0</v>
      </c>
      <c r="AH476" s="448">
        <f>VLOOKUP($D476,Valoración_Eq_REG!$D$4:$I$157,Valoración_Eq_REG!$F$2,FALSE)*$E$4</f>
        <v>0</v>
      </c>
      <c r="AI476" s="513">
        <f>+[243]P_Datos!$D$43</f>
        <v>1.5904918032786886</v>
      </c>
      <c r="AJ476" s="512">
        <f>+'[243]Evaluacion Economica'!$L$25</f>
        <v>3</v>
      </c>
      <c r="AK476" s="513">
        <f>+'[243]Evaluacion Economica'!$R$25</f>
        <v>24</v>
      </c>
      <c r="AL476" s="512">
        <f>+'[243]P_Evaluacion Economica'!$L$27</f>
        <v>2</v>
      </c>
      <c r="AM476" s="513">
        <f>+'[243]P_Evaluacion Economica'!$Q$27</f>
        <v>6</v>
      </c>
      <c r="AN476" s="34" t="str">
        <f>+[243]Datos!$C$2</f>
        <v>Pinamar</v>
      </c>
      <c r="AO476" s="25" t="str">
        <f>VLOOKUP($E476,Tabla13[],Inputs_costos!$D$1,FALSE)</f>
        <v>PINAMAR</v>
      </c>
      <c r="AP476" s="28" t="str">
        <f>VLOOKUP($D476,'Costo Social x localidad'!$B$2:$M$156,1,FALSE)</f>
        <v>PINAMAR</v>
      </c>
    </row>
    <row r="477" spans="1:42">
      <c r="A477" s="910"/>
      <c r="B477" s="894"/>
      <c r="C477" s="478" t="str">
        <f t="shared" si="339"/>
        <v>ok</v>
      </c>
      <c r="D477" s="24" t="s">
        <v>51</v>
      </c>
      <c r="E477" s="532">
        <f>VLOOKUP(D477,Pobl_adoptada!$C$5:$D$158,2,FALSE)</f>
        <v>133</v>
      </c>
      <c r="F477" s="9" t="s">
        <v>308</v>
      </c>
      <c r="G477" s="580">
        <f>+'[244]Inversion rec-TA'!$G$21</f>
        <v>4690701.4447187362</v>
      </c>
      <c r="H477" s="34">
        <f>+($AC477/$AC481)*H480+G477</f>
        <v>5664767.0676500844</v>
      </c>
      <c r="I477" s="465">
        <f>+'[244]Costos Operativos Rec-TA'!$G$23</f>
        <v>2954355.9525509402</v>
      </c>
      <c r="J477" s="581">
        <f>+($AC477/$AC481)*J480+I477</f>
        <v>2973837.2650095671</v>
      </c>
      <c r="K477" s="10">
        <f>+'[244]Inversion rec-TA'!$G$46</f>
        <v>0</v>
      </c>
      <c r="L477" s="10">
        <f>+'[244]Costos Operativos Rec-TA'!$G$46</f>
        <v>0</v>
      </c>
      <c r="M477" s="19">
        <f t="shared" si="340"/>
        <v>-29094640.925190505</v>
      </c>
      <c r="N477" s="465">
        <f t="shared" si="341"/>
        <v>590296.15152111044</v>
      </c>
      <c r="O477" s="25">
        <f t="shared" si="342"/>
        <v>590296.15152111044</v>
      </c>
      <c r="P477" s="25">
        <f t="shared" si="343"/>
        <v>195096.71272588955</v>
      </c>
      <c r="Q477" s="465">
        <f t="shared" si="344"/>
        <v>9440937.7966831792</v>
      </c>
      <c r="R477" s="647">
        <f t="shared" si="345"/>
        <v>9440937.7966831792</v>
      </c>
      <c r="S477" s="25">
        <f t="shared" si="346"/>
        <v>815000</v>
      </c>
      <c r="T477" s="25">
        <f t="shared" si="347"/>
        <v>308422.97669467062</v>
      </c>
      <c r="U477" s="465">
        <f>SUMIFS(Tabla24[Costo de Cierre Técnico de BCA (US$)],Tabla24[Localidad],Resumen!$D477)</f>
        <v>0</v>
      </c>
      <c r="V477" s="461">
        <f t="shared" ref="V477:V478" si="354">+U477*(V$3*$E$3+V$4*$E$4)</f>
        <v>0</v>
      </c>
      <c r="W477" s="465">
        <f>SUMIFS(Tabla24[Costo anual de Manteniemiento Post-cierre (US$)],Tabla24[Localidad],Resumen!$D477)</f>
        <v>0</v>
      </c>
      <c r="X477" s="461">
        <f t="shared" ref="X477:X478" si="355">+W477*(X$3*$E$3+X$4*$E$4)</f>
        <v>0</v>
      </c>
      <c r="Y477" s="28">
        <f>VLOOKUP($D477,'Costo Social x localidad'!$B$2:$M$156,12,FALSE)*(Y$3*$E$3+Y$4*$E$4)</f>
        <v>56019.564263466658</v>
      </c>
      <c r="Z477" s="28">
        <f>VLOOKUP(D477,'Estimación  PRESUPUESTO PCAS'!$B$4:$G$158,'Estimación  PRESUPUESTO PCAS'!$G$2,FALSE)</f>
        <v>289632.41015854373</v>
      </c>
      <c r="AA477" s="650">
        <f t="shared" si="348"/>
        <v>-13074908.785238631</v>
      </c>
      <c r="AB477" s="651">
        <f t="shared" si="349"/>
        <v>-42169549.710429132</v>
      </c>
      <c r="AC477" s="10">
        <f>VLOOKUP($E477,Resumen_Generación!$B$5:$F$158,Resumen_Generación!$D$3,FALSE)</f>
        <v>60.778621271999995</v>
      </c>
      <c r="AD477" s="10">
        <f>VLOOKUP($E477,Resumen_Generación!$B$5:$G$158,Resumen_Generación!$G$3,FALSE)</f>
        <v>25.09195716</v>
      </c>
      <c r="AE477" s="362">
        <f>VLOOKUP($E477,Resumen_Generación!$B$5:$F$158,Resumen_Generación!$E$3,FALSE)</f>
        <v>79267</v>
      </c>
      <c r="AF477" s="10">
        <f>VLOOKUP($E477,Resumen_Generación!$B$5:$F$158,Resumen_Generación!$F$3,FALSE)</f>
        <v>28.082690999999997</v>
      </c>
      <c r="AG477" s="448">
        <f>VLOOKUP($D477,Valoración_Eq_REG!$D$4:$I$157,Valoración_Eq_REG!$E$2,FALSE)*$E$4</f>
        <v>0</v>
      </c>
      <c r="AH477" s="448">
        <f>VLOOKUP($D477,Valoración_Eq_REG!$D$4:$I$157,Valoración_Eq_REG!$F$2,FALSE)*$E$4</f>
        <v>0</v>
      </c>
      <c r="AI477" s="25">
        <f>+[244]P_Datos!$D$43</f>
        <v>1.7795409836065574</v>
      </c>
      <c r="AJ477" s="484">
        <f>+'[244]Evaluacion Economica'!$L$25</f>
        <v>5</v>
      </c>
      <c r="AK477" s="448">
        <f>+'[244]Evaluacion Economica'!$R$25</f>
        <v>17</v>
      </c>
      <c r="AL477" s="484">
        <f>+'[244]P_Evaluacion Economica'!$L$27</f>
        <v>4</v>
      </c>
      <c r="AM477" s="448">
        <f>+'[244]P_Evaluacion Economica'!$Q$27</f>
        <v>6</v>
      </c>
      <c r="AN477" s="34" t="str">
        <f>+[244]Datos!$C$2</f>
        <v>Villa Gesell</v>
      </c>
      <c r="AO477" s="25" t="str">
        <f>VLOOKUP($E477,Tabla13[],Inputs_costos!$D$1,FALSE)</f>
        <v>VILLA GESELL</v>
      </c>
      <c r="AP477" s="28" t="str">
        <f>VLOOKUP($D477,'Costo Social x localidad'!$B$2:$M$156,1,FALSE)</f>
        <v>VILLA GESELL</v>
      </c>
    </row>
    <row r="478" spans="1:42">
      <c r="A478" s="910"/>
      <c r="B478" s="894"/>
      <c r="C478" s="478" t="str">
        <f t="shared" si="339"/>
        <v>ok</v>
      </c>
      <c r="D478" s="24" t="s">
        <v>255</v>
      </c>
      <c r="E478" s="532">
        <f>VLOOKUP(D478,Pobl_adoptada!$C$5:$D$158,2,FALSE)</f>
        <v>149</v>
      </c>
      <c r="F478" s="9" t="s">
        <v>308</v>
      </c>
      <c r="G478" s="580">
        <f>+'[245]Inversion rec-TA'!$G$21</f>
        <v>3136203.7940359712</v>
      </c>
      <c r="H478" s="34">
        <f>+($AC478/$AC481)*H480+G478</f>
        <v>3604941.1101456876</v>
      </c>
      <c r="I478" s="465">
        <f>+'[245]Costos Operativos Rec-TA'!$G$23</f>
        <v>1799687.6435405305</v>
      </c>
      <c r="J478" s="581">
        <f>+($AC478/$AC481)*J480+I478</f>
        <v>1809062.3898627248</v>
      </c>
      <c r="K478" s="10">
        <f>+'[245]Inversion rec-TA'!$G$46</f>
        <v>0</v>
      </c>
      <c r="L478" s="10">
        <f>+'[245]Costos Operativos Rec-TA'!$G$46</f>
        <v>0</v>
      </c>
      <c r="M478" s="19">
        <f t="shared" si="340"/>
        <v>-17892081.510696378</v>
      </c>
      <c r="N478" s="465">
        <f t="shared" si="341"/>
        <v>295294.24676545803</v>
      </c>
      <c r="O478" s="25">
        <f t="shared" si="342"/>
        <v>295294.24676545803</v>
      </c>
      <c r="P478" s="25">
        <f t="shared" si="343"/>
        <v>97596.666829612892</v>
      </c>
      <c r="Q478" s="465">
        <f t="shared" si="344"/>
        <v>4543143.4394107005</v>
      </c>
      <c r="R478" s="647">
        <f t="shared" si="345"/>
        <v>4543143.4394107005</v>
      </c>
      <c r="S478" s="25">
        <f t="shared" si="346"/>
        <v>815000</v>
      </c>
      <c r="T478" s="25">
        <f t="shared" si="347"/>
        <v>148418.49965648432</v>
      </c>
      <c r="U478" s="465">
        <f>SUMIFS(Tabla24[Costo de Cierre Técnico de BCA (US$)],Tabla24[Localidad],Resumen!$D478)</f>
        <v>212000</v>
      </c>
      <c r="V478" s="461">
        <f t="shared" si="354"/>
        <v>407133.78879999998</v>
      </c>
      <c r="W478" s="465">
        <f>SUMIFS(Tabla24[Costo anual de Manteniemiento Post-cierre (US$)],Tabla24[Localidad],Resumen!$D478)</f>
        <v>18822.592070548264</v>
      </c>
      <c r="X478" s="461">
        <f t="shared" si="355"/>
        <v>36147.703890184675</v>
      </c>
      <c r="Y478" s="28">
        <f>VLOOKUP($D478,'Costo Social x localidad'!$B$2:$M$156,12,FALSE)*(Y$3*$E$3+Y$4*$E$4)</f>
        <v>14181.883525599998</v>
      </c>
      <c r="Z478" s="28">
        <f>VLOOKUP(D478,'Estimación  PRESUPUESTO PCAS'!$B$4:$G$158,'Estimación  PRESUPUESTO PCAS'!$G$2,FALSE)</f>
        <v>221177.52585121844</v>
      </c>
      <c r="AA478" s="650">
        <f t="shared" si="348"/>
        <v>-6467576.6751793018</v>
      </c>
      <c r="AB478" s="651">
        <f t="shared" si="349"/>
        <v>-24359658.18587568</v>
      </c>
      <c r="AC478" s="10">
        <f>VLOOKUP($E478,Resumen_Generación!$B$5:$F$158,Resumen_Generación!$D$3,FALSE)</f>
        <v>29.247729456000002</v>
      </c>
      <c r="AD478" s="10">
        <f>VLOOKUP($E478,Resumen_Generación!$B$5:$G$158,Resumen_Generación!$G$3,FALSE)</f>
        <v>12.552191930000003</v>
      </c>
      <c r="AE478" s="362">
        <f>VLOOKUP($E478,Resumen_Generación!$B$5:$F$158,Resumen_Generación!$E$3,FALSE)</f>
        <v>37066</v>
      </c>
      <c r="AF478" s="10">
        <f>VLOOKUP($E478,Resumen_Generación!$B$5:$F$158,Resumen_Generación!$F$3,FALSE)</f>
        <v>13.035456</v>
      </c>
      <c r="AG478" s="448">
        <f>VLOOKUP($D478,Valoración_Eq_REG!$D$4:$I$157,Valoración_Eq_REG!$E$2,FALSE)*$E$4</f>
        <v>0</v>
      </c>
      <c r="AH478" s="448">
        <f>VLOOKUP($D478,Valoración_Eq_REG!$D$4:$I$157,Valoración_Eq_REG!$F$2,FALSE)*$E$4</f>
        <v>0</v>
      </c>
      <c r="AI478" s="25">
        <f>+[245]P_Datos!$D$43</f>
        <v>0.49560655737704917</v>
      </c>
      <c r="AJ478" s="484">
        <f>+'[245]Evaluacion Economica'!$L$25</f>
        <v>4</v>
      </c>
      <c r="AK478" s="448">
        <f>+'[245]Evaluacion Economica'!$R$25</f>
        <v>18</v>
      </c>
      <c r="AL478" s="484">
        <f>+'[245]P_Evaluacion Economica'!$L$27</f>
        <v>3</v>
      </c>
      <c r="AM478" s="448">
        <f>+'[245]P_Evaluacion Economica'!$Q$27</f>
        <v>6</v>
      </c>
      <c r="AN478" s="34" t="str">
        <f>+[245]Datos!$C$2</f>
        <v>Santa Clara del Mar</v>
      </c>
      <c r="AO478" s="25" t="str">
        <f>VLOOKUP($E478,Tabla13[],Inputs_costos!$D$1,FALSE)</f>
        <v>SANTA CLARA DEL MAR</v>
      </c>
      <c r="AP478" s="28" t="str">
        <f>VLOOKUP($D478,'Costo Social x localidad'!$B$2:$M$156,1,FALSE)</f>
        <v>Santa Clara del Mar</v>
      </c>
    </row>
    <row r="479" spans="1:42" ht="15.75" thickBot="1">
      <c r="A479" s="910"/>
      <c r="B479" s="894"/>
      <c r="C479" s="478" t="str">
        <f t="shared" si="339"/>
        <v>ok</v>
      </c>
      <c r="D479" s="24" t="s">
        <v>191</v>
      </c>
      <c r="E479" s="532">
        <f>VLOOKUP(D479,Pobl_adoptada!$C$5:$D$158,2,FALSE)</f>
        <v>92</v>
      </c>
      <c r="F479" s="9" t="s">
        <v>308</v>
      </c>
      <c r="G479" s="588">
        <f>+'[246]Inversion rec-TA'!$G$21</f>
        <v>1748537.3508091175</v>
      </c>
      <c r="H479" s="589">
        <f>+($AC479/$AC481)*H480+G479</f>
        <v>1845843.7418957853</v>
      </c>
      <c r="I479" s="590">
        <f>+'[246]Costos Operativos Rec-TA'!$G$23</f>
        <v>920144.24542909313</v>
      </c>
      <c r="J479" s="591">
        <f>+($AC479/$AC481)*J480+I479</f>
        <v>922090.37325082649</v>
      </c>
      <c r="K479" s="10">
        <f>+'[246]Inversion rec-TA'!$G$46</f>
        <v>0</v>
      </c>
      <c r="L479" s="10">
        <f>+'[246]Costos Operativos Rec-TA'!$G$46</f>
        <v>0</v>
      </c>
      <c r="M479" s="19">
        <f t="shared" si="340"/>
        <v>-9129889.1129009146</v>
      </c>
      <c r="N479" s="465">
        <f>+$AD479/$AD481*N481</f>
        <v>58756.71173221519</v>
      </c>
      <c r="O479" s="25">
        <f t="shared" si="342"/>
        <v>58756.71173221519</v>
      </c>
      <c r="P479" s="25">
        <f>+$AD479/$AD481*P481</f>
        <v>19419.474919493758</v>
      </c>
      <c r="Q479" s="465">
        <f>+$AC479/$AC481*Q481</f>
        <v>943122.890123497</v>
      </c>
      <c r="R479" s="647">
        <f t="shared" si="345"/>
        <v>943122.890123497</v>
      </c>
      <c r="S479" s="25">
        <f t="shared" si="346"/>
        <v>0</v>
      </c>
      <c r="T479" s="25">
        <f>+$AC479/$AC481*T481</f>
        <v>30810.579989517872</v>
      </c>
      <c r="U479" s="465">
        <f>SUMIFS(Tabla24[Costo de Cierre Técnico de BCA (US$)],Tabla24[Localidad],Resumen!$D479)</f>
        <v>0</v>
      </c>
      <c r="V479" s="461">
        <f t="shared" si="350"/>
        <v>0</v>
      </c>
      <c r="W479" s="465">
        <f>SUMIFS(Tabla24[Costo anual de Manteniemiento Post-cierre (US$)],Tabla24[Localidad],Resumen!$D479)</f>
        <v>0</v>
      </c>
      <c r="X479" s="461">
        <f t="shared" si="351"/>
        <v>0</v>
      </c>
      <c r="Y479" s="28">
        <f>VLOOKUP($D479,'Costo Social x localidad'!$B$2:$M$156,12,FALSE)*(Y$3*$E$3+Y$4*$E$4)</f>
        <v>9574.566692639999</v>
      </c>
      <c r="Z479" s="28">
        <f>VLOOKUP(D479,'Estimación  PRESUPUESTO PCAS'!$B$4:$G$158,'Estimación  PRESUPUESTO PCAS'!$G$2,FALSE)</f>
        <v>161149.63343751497</v>
      </c>
      <c r="AA479" s="650">
        <f t="shared" si="348"/>
        <v>-1279184.966513409</v>
      </c>
      <c r="AB479" s="651">
        <f t="shared" si="349"/>
        <v>-10409074.079414323</v>
      </c>
      <c r="AC479" s="10">
        <f>VLOOKUP($E479,Resumen_Generación!$B$5:$F$158,Resumen_Generación!$D$3,FALSE)</f>
        <v>6.0716117600000006</v>
      </c>
      <c r="AD479" s="10">
        <f>VLOOKUP($E479,Resumen_Generación!$B$5:$G$158,Resumen_Generación!$G$3,FALSE)</f>
        <v>2.4975952999999995</v>
      </c>
      <c r="AE479" s="362">
        <f>VLOOKUP($E479,Resumen_Generación!$B$5:$F$158,Resumen_Generación!$E$3,FALSE)</f>
        <v>8771</v>
      </c>
      <c r="AF479" s="10">
        <f>VLOOKUP($E479,Resumen_Generación!$B$5:$F$158,Resumen_Generación!$F$3,FALSE)</f>
        <v>2.7997899999999998</v>
      </c>
      <c r="AG479" s="448">
        <f>VLOOKUP($D479,Valoración_Eq_REG!$D$4:$I$157,Valoración_Eq_REG!$E$2,FALSE)*$E$4</f>
        <v>0</v>
      </c>
      <c r="AH479" s="448">
        <f>VLOOKUP($D479,Valoración_Eq_REG!$D$4:$I$157,Valoración_Eq_REG!$F$2,FALSE)*$E$4</f>
        <v>0</v>
      </c>
      <c r="AI479" s="25">
        <f>+[246]P_Datos!$D$43</f>
        <v>0.19888524590163936</v>
      </c>
      <c r="AJ479" s="484">
        <f>+'[246]Evaluacion Economica'!$L$25</f>
        <v>2</v>
      </c>
      <c r="AK479" s="448">
        <f>+'[246]Evaluacion Economica'!$R$25</f>
        <v>12</v>
      </c>
      <c r="AL479" s="484">
        <f>+'[246]P_Evaluacion Economica'!$L$27</f>
        <v>2</v>
      </c>
      <c r="AM479" s="448">
        <f>+'[246]P_Evaluacion Economica'!$Q$27</f>
        <v>6</v>
      </c>
      <c r="AN479" s="34" t="str">
        <f>+[246]Datos!$C$2</f>
        <v>Coronel Vidal</v>
      </c>
      <c r="AO479" s="25" t="str">
        <f>VLOOKUP($E479,Tabla13[],Inputs_costos!$D$1,FALSE)</f>
        <v>CORONEL VIDAL</v>
      </c>
      <c r="AP479" s="28" t="str">
        <f>VLOOKUP($D479,'Costo Social x localidad'!$B$2:$M$156,1,FALSE)</f>
        <v>CORONEL VIDAL</v>
      </c>
    </row>
    <row r="480" spans="1:42" ht="30.75" thickBot="1">
      <c r="A480" s="910"/>
      <c r="B480" s="894"/>
      <c r="C480" s="912" t="s">
        <v>12</v>
      </c>
      <c r="D480" s="913"/>
      <c r="E480" s="498" t="s">
        <v>589</v>
      </c>
      <c r="F480" s="571">
        <f>+F464</f>
        <v>0.02</v>
      </c>
      <c r="G480" s="573"/>
      <c r="H480" s="461">
        <f>+AJ480*AJ482+AL480*AL482</f>
        <v>5969559.9586399812</v>
      </c>
      <c r="I480" s="461"/>
      <c r="J480" s="461">
        <f>+$F480*H480</f>
        <v>119391.19917279962</v>
      </c>
      <c r="K480" s="10"/>
      <c r="L480" s="10"/>
      <c r="M480" s="19"/>
      <c r="N480" s="465"/>
      <c r="O480" s="10"/>
      <c r="P480" s="10"/>
      <c r="Q480" s="618"/>
      <c r="R480" s="28"/>
      <c r="S480" s="28"/>
      <c r="T480" s="28"/>
      <c r="U480" s="28"/>
      <c r="V480" s="28"/>
      <c r="W480" s="28"/>
      <c r="X480" s="28"/>
      <c r="Y480" s="28"/>
      <c r="Z480" s="28"/>
      <c r="AA480" s="658"/>
      <c r="AB480" s="20"/>
      <c r="AC480" s="10"/>
      <c r="AD480" s="10"/>
      <c r="AE480" s="10"/>
      <c r="AF480" s="10"/>
      <c r="AG480" s="2"/>
      <c r="AH480" s="2"/>
      <c r="AI480" s="4"/>
      <c r="AJ480" s="501">
        <f>ROUNDUP(C481*SUM(AJ470:AJ479),0)</f>
        <v>13</v>
      </c>
      <c r="AK480" s="502">
        <f>AVERAGE(AK470:AK479)</f>
        <v>18.2</v>
      </c>
      <c r="AL480" s="501">
        <f>ROUNDUP(C481*SUM(AL470:AL479),0)</f>
        <v>9</v>
      </c>
      <c r="AM480" s="502">
        <f>AVERAGE(AM470:AM479)</f>
        <v>8.1</v>
      </c>
      <c r="AN480" s="4"/>
      <c r="AO480" s="4"/>
      <c r="AP480" s="4"/>
    </row>
    <row r="481" spans="1:42" ht="15.75" thickBot="1">
      <c r="A481" s="911"/>
      <c r="B481" s="930"/>
      <c r="C481" s="570">
        <v>0.3</v>
      </c>
      <c r="D481" s="500" t="str">
        <f>A470</f>
        <v>REGIÓN MADARIAGA</v>
      </c>
      <c r="E481" s="468"/>
      <c r="F481" s="469"/>
      <c r="G481" s="469"/>
      <c r="H481" s="471">
        <f>SUM(H470:H479)</f>
        <v>37234210.737107724</v>
      </c>
      <c r="I481" s="471"/>
      <c r="J481" s="471">
        <f>SUM(J470:J479)</f>
        <v>18741018.246213265</v>
      </c>
      <c r="K481" s="14"/>
      <c r="L481" s="14"/>
      <c r="M481" s="15">
        <f>SUM(M470:M480)</f>
        <v>-185218229.6107862</v>
      </c>
      <c r="N481" s="615">
        <f>(VLOOKUP($E470,Tabla13[],Inputs_costos!$P$1,FALSE))*(O$3*$E$3+O$4*$E$4)</f>
        <v>3655038.4051200002</v>
      </c>
      <c r="O481" s="35">
        <f>SUM(O470:O479)</f>
        <v>3100602.3861022899</v>
      </c>
      <c r="P481" s="35">
        <f>(VLOOKUP($E470,Tabla13[],Inputs_costos!$Q$1,FALSE))*(P$3*$E$3+P$4*$E$4)</f>
        <v>1208013.9365440002</v>
      </c>
      <c r="Q481" s="615">
        <f>IF($AC470&gt;=15,(VLOOKUP($E470,Tabla13[],Inputs_costos!$N$1,FALSE))*($R$3*$E$3+$R$4*$E$4),(VLOOKUP($E470,Tabla13[],Inputs_costos!$N$1,FALSE))*($T$3*$E$3+$T$4*$E$4))</f>
        <v>57858775.544799998</v>
      </c>
      <c r="R481" s="35">
        <f>SUM(R470:R479)</f>
        <v>57654025.504799984</v>
      </c>
      <c r="S481" s="35"/>
      <c r="T481" s="35">
        <f>IF($AC470&gt;=15,(VLOOKUP($E470,Tabla13[],Inputs_costos!$O$1,FALSE))*($R$3*$E$3+$R$4*$E$4),(VLOOKUP($E470,Tabla13[],Inputs_costos!$O$1,FALSE))*($T$3*$E$3+$T$4*$E$4))</f>
        <v>1890169.829072</v>
      </c>
      <c r="U481" s="35"/>
      <c r="V481" s="31">
        <f>SUM(V470:V479)</f>
        <v>16692485.340799998</v>
      </c>
      <c r="W481" s="31"/>
      <c r="X481" s="31">
        <f>SUM(X470:X479)</f>
        <v>1482055.8594975718</v>
      </c>
      <c r="Y481" s="31">
        <f>SUM(Y470:Y479)</f>
        <v>361779.40999597334</v>
      </c>
      <c r="Z481" s="31">
        <f>SUM(Z470:Z479)</f>
        <v>2531941.7102719005</v>
      </c>
      <c r="AA481" s="657">
        <f>SUM(AA470:AA479)</f>
        <v>-79722925.256662607</v>
      </c>
      <c r="AB481" s="654">
        <f>+M481+AA481</f>
        <v>-264941154.86744881</v>
      </c>
      <c r="AC481" s="630">
        <f t="shared" ref="AC481:AD481" si="356">SUM(AC470:AC479)</f>
        <v>372.48170487200002</v>
      </c>
      <c r="AD481" s="630">
        <f t="shared" si="356"/>
        <v>155.36619515999999</v>
      </c>
      <c r="AE481" s="631">
        <f>SUM(AE470:AE479)</f>
        <v>484312</v>
      </c>
      <c r="AF481" s="630">
        <f>SUM(AF470:AF479)</f>
        <v>171.11168900000001</v>
      </c>
      <c r="AG481" s="630">
        <f>SUM(AG470:AG479)</f>
        <v>819654.02150000003</v>
      </c>
      <c r="AH481" s="630">
        <f>SUM(AH470:AH479)</f>
        <v>204750.03999999998</v>
      </c>
      <c r="AI481" s="630">
        <f>SUM(AI470:AI479)</f>
        <v>10.64681967213115</v>
      </c>
      <c r="AJ481" s="11"/>
      <c r="AK481" s="499">
        <f>VLOOKUP(ROUNDUP(AK480,0),DATOS!$F$16:$G$31,2,FALSE)</f>
        <v>19</v>
      </c>
      <c r="AL481" s="497"/>
      <c r="AM481" s="499">
        <f>VLOOKUP(ROUNDUP(AM480,0),DATOS!$J$16:$K$34,2,FALSE)</f>
        <v>9</v>
      </c>
      <c r="AN481" s="4"/>
      <c r="AO481" s="4"/>
      <c r="AP481" s="4"/>
    </row>
    <row r="482" spans="1:42">
      <c r="F482" s="2"/>
      <c r="G482" s="2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25"/>
      <c r="S482" s="25"/>
      <c r="T482" s="3"/>
      <c r="U482" s="30"/>
      <c r="V482" s="2"/>
      <c r="W482" s="2"/>
      <c r="X482" s="2"/>
      <c r="Y482" s="2"/>
      <c r="Z482" s="2"/>
      <c r="AA482" s="4"/>
      <c r="AB482" s="4"/>
      <c r="AC482" s="528"/>
      <c r="AD482" s="528"/>
      <c r="AE482" s="528"/>
      <c r="AF482" s="528"/>
      <c r="AG482" s="528"/>
      <c r="AH482" s="528"/>
      <c r="AI482" s="528"/>
      <c r="AJ482" s="892">
        <f>VLOOKUP(AK481,DATOS!$F$3:$H$11,3,FALSE)</f>
        <v>290380.11931999854</v>
      </c>
      <c r="AK482" s="892"/>
      <c r="AL482" s="892">
        <f>VLOOKUP(AM481,DATOS!$J$3:$L$12,3,FALSE)</f>
        <v>243846.48972000001</v>
      </c>
      <c r="AM482" s="892"/>
      <c r="AN482" s="4"/>
      <c r="AO482" s="4"/>
      <c r="AP482" s="4"/>
    </row>
    <row r="483" spans="1:42" ht="15.75" thickBot="1">
      <c r="A483" s="503"/>
      <c r="B483" s="503"/>
      <c r="C483" s="503"/>
      <c r="D483" s="503"/>
      <c r="E483" s="503"/>
      <c r="F483" s="504"/>
      <c r="G483" s="504"/>
      <c r="H483" s="505"/>
      <c r="I483" s="505"/>
      <c r="J483" s="505"/>
      <c r="K483" s="505"/>
      <c r="L483" s="505"/>
      <c r="M483" s="505"/>
      <c r="N483" s="505"/>
      <c r="O483" s="505"/>
      <c r="P483" s="505"/>
      <c r="Q483" s="505"/>
      <c r="R483" s="504"/>
      <c r="S483" s="504"/>
      <c r="T483" s="504"/>
      <c r="U483" s="504"/>
      <c r="V483" s="504"/>
      <c r="W483" s="504"/>
      <c r="X483" s="504"/>
      <c r="Y483" s="504"/>
      <c r="Z483" s="504"/>
      <c r="AA483" s="506"/>
      <c r="AB483" s="506"/>
      <c r="AC483" s="506"/>
      <c r="AD483" s="506"/>
      <c r="AE483" s="506"/>
      <c r="AF483" s="506"/>
      <c r="AG483" s="506"/>
      <c r="AH483" s="506"/>
      <c r="AI483" s="506"/>
      <c r="AJ483" s="506"/>
      <c r="AK483" s="506"/>
      <c r="AL483" s="506"/>
      <c r="AM483" s="506"/>
      <c r="AN483" s="506"/>
      <c r="AO483" s="506"/>
      <c r="AP483" s="506"/>
    </row>
    <row r="484" spans="1:42" ht="39" thickBot="1">
      <c r="A484" s="886" t="s">
        <v>7</v>
      </c>
      <c r="B484" s="886" t="s">
        <v>2</v>
      </c>
      <c r="C484" s="530"/>
      <c r="D484" s="882" t="s">
        <v>22</v>
      </c>
      <c r="E484" s="882" t="s">
        <v>23</v>
      </c>
      <c r="F484" s="882" t="s">
        <v>3</v>
      </c>
      <c r="G484" s="568"/>
      <c r="H484" s="901" t="s">
        <v>0</v>
      </c>
      <c r="I484" s="901"/>
      <c r="J484" s="901"/>
      <c r="K484" s="901" t="s">
        <v>1</v>
      </c>
      <c r="L484" s="901"/>
      <c r="M484" s="886" t="s">
        <v>10</v>
      </c>
      <c r="N484" s="879" t="s">
        <v>5</v>
      </c>
      <c r="O484" s="880"/>
      <c r="P484" s="881"/>
      <c r="Q484" s="902" t="s">
        <v>4</v>
      </c>
      <c r="R484" s="903"/>
      <c r="S484" s="903"/>
      <c r="T484" s="904"/>
      <c r="U484" s="902" t="s">
        <v>6</v>
      </c>
      <c r="V484" s="903"/>
      <c r="W484" s="903"/>
      <c r="X484" s="904"/>
      <c r="Y484" s="390" t="s">
        <v>689</v>
      </c>
      <c r="Z484" s="662" t="s">
        <v>690</v>
      </c>
      <c r="AA484" s="905" t="s">
        <v>686</v>
      </c>
      <c r="AB484" s="886" t="s">
        <v>9</v>
      </c>
      <c r="AC484" s="907" t="s">
        <v>312</v>
      </c>
      <c r="AD484" s="914" t="s">
        <v>649</v>
      </c>
      <c r="AE484" s="897" t="s">
        <v>20</v>
      </c>
      <c r="AF484" s="897" t="s">
        <v>313</v>
      </c>
      <c r="AG484" s="899" t="s">
        <v>552</v>
      </c>
      <c r="AH484" s="895" t="s">
        <v>578</v>
      </c>
      <c r="AI484" s="897" t="s">
        <v>579</v>
      </c>
      <c r="AJ484" s="882" t="s">
        <v>581</v>
      </c>
      <c r="AK484" s="882" t="s">
        <v>582</v>
      </c>
      <c r="AL484" s="882" t="s">
        <v>581</v>
      </c>
      <c r="AM484" s="882" t="s">
        <v>582</v>
      </c>
      <c r="AN484" s="884" t="s">
        <v>553</v>
      </c>
      <c r="AO484" s="885"/>
      <c r="AP484" s="885"/>
    </row>
    <row r="485" spans="1:42" ht="30.75" thickBot="1">
      <c r="A485" s="888"/>
      <c r="B485" s="888"/>
      <c r="C485" s="531"/>
      <c r="D485" s="883"/>
      <c r="E485" s="883"/>
      <c r="F485" s="883"/>
      <c r="G485" s="478"/>
      <c r="H485" s="572" t="s">
        <v>18</v>
      </c>
      <c r="I485" s="572"/>
      <c r="J485" s="572" t="s">
        <v>17</v>
      </c>
      <c r="K485" s="17" t="s">
        <v>18</v>
      </c>
      <c r="L485" s="17" t="s">
        <v>17</v>
      </c>
      <c r="M485" s="888"/>
      <c r="N485" s="464" t="s">
        <v>685</v>
      </c>
      <c r="O485" s="17" t="s">
        <v>18</v>
      </c>
      <c r="P485" s="17" t="s">
        <v>17</v>
      </c>
      <c r="Q485" s="464" t="s">
        <v>685</v>
      </c>
      <c r="R485" s="17" t="s">
        <v>18</v>
      </c>
      <c r="S485" s="17"/>
      <c r="T485" s="17" t="s">
        <v>17</v>
      </c>
      <c r="U485" s="464" t="s">
        <v>576</v>
      </c>
      <c r="V485" s="17" t="s">
        <v>18</v>
      </c>
      <c r="W485" s="464" t="s">
        <v>577</v>
      </c>
      <c r="X485" s="17" t="s">
        <v>17</v>
      </c>
      <c r="Y485" s="17" t="s">
        <v>18</v>
      </c>
      <c r="Z485" s="17" t="s">
        <v>17</v>
      </c>
      <c r="AA485" s="906"/>
      <c r="AB485" s="888"/>
      <c r="AC485" s="908"/>
      <c r="AD485" s="915"/>
      <c r="AE485" s="898"/>
      <c r="AF485" s="898"/>
      <c r="AG485" s="900"/>
      <c r="AH485" s="896"/>
      <c r="AI485" s="898"/>
      <c r="AJ485" s="883"/>
      <c r="AK485" s="883"/>
      <c r="AL485" s="883"/>
      <c r="AM485" s="883"/>
      <c r="AN485" s="1" t="s">
        <v>551</v>
      </c>
      <c r="AO485" s="9" t="s">
        <v>554</v>
      </c>
      <c r="AP485" s="1" t="s">
        <v>555</v>
      </c>
    </row>
    <row r="486" spans="1:42">
      <c r="A486" s="909" t="s">
        <v>623</v>
      </c>
      <c r="B486" s="886" t="s">
        <v>310</v>
      </c>
      <c r="C486" s="529" t="str">
        <f>IF(AND(D486=AN486,D486=AO486,D486=AP486),"ok","ATENCIÓN NO ESTÁ TOMANDO BIEN LA LOCALIDAD")</f>
        <v>ok</v>
      </c>
      <c r="D486" s="23" t="s">
        <v>122</v>
      </c>
      <c r="E486" s="114">
        <f>VLOOKUP(D486,Pobl_adoptada!$C$5:$D$158,2,FALSE)</f>
        <v>35</v>
      </c>
      <c r="F486" s="8" t="s">
        <v>308</v>
      </c>
      <c r="G486" s="576">
        <f>+'[247]Inversion rec-TA'!$G$21</f>
        <v>3492638.9340719488</v>
      </c>
      <c r="H486" s="577">
        <f>+($AC486/$AC489)*H488+G486</f>
        <v>4195167.4490489345</v>
      </c>
      <c r="I486" s="587">
        <f>+'[247]Costos Operativos Rec-TA'!$G$23</f>
        <v>2053371.7137821005</v>
      </c>
      <c r="J486" s="579">
        <f>+($AC486/$AC489)*J488+I486</f>
        <v>2067422.2840816402</v>
      </c>
      <c r="K486" s="10">
        <f>+'[247]Inversion rec-TA'!$G$46</f>
        <v>0</v>
      </c>
      <c r="L486" s="10">
        <f>+'[247]Costos Operativos Rec-TA'!$G$46</f>
        <v>0</v>
      </c>
      <c r="M486" s="19">
        <f t="shared" ref="M486:M487" si="357">-H486/(1+0.12)+PV(12%,20,J486)-H486/(1+0.12)^10</f>
        <v>-20538911.062601745</v>
      </c>
      <c r="N486" s="614">
        <f>+$AD486/$AD489*N489</f>
        <v>737283.44014699955</v>
      </c>
      <c r="O486" s="25">
        <f>IF(N486-AG486&lt;0,0,N486-AG486)</f>
        <v>577582.16699499963</v>
      </c>
      <c r="P486" s="32">
        <f>+$AD486/$AD489*P489</f>
        <v>408485.36226513225</v>
      </c>
      <c r="Q486" s="614">
        <f>+$AC486/$AC489*Q489</f>
        <v>6076390.2891989974</v>
      </c>
      <c r="R486" s="647">
        <f>IF(Q486-AH486&lt;0,0,Q486-AH486)</f>
        <v>5979013.0491989972</v>
      </c>
      <c r="S486" s="25">
        <f t="shared" ref="S486:S487" si="358">IF(AC486&lt;15,0,IF(AC486&lt;=350,815000,1345000))</f>
        <v>815000</v>
      </c>
      <c r="T486" s="32">
        <f>+$AC486/$AC489*T489</f>
        <v>495073.59164829709</v>
      </c>
      <c r="U486" s="465">
        <f>SUMIFS(Tabla24[Costo de Cierre Técnico de BCA (US$)],Tabla24[Localidad],Resumen!$D486)</f>
        <v>1844400</v>
      </c>
      <c r="V486" s="461">
        <f>+U486*(V$3*$E$3+V$4*$E$4)</f>
        <v>3542063.9625599999</v>
      </c>
      <c r="W486" s="465">
        <f>SUMIFS(Tabla24[Costo anual de Manteniemiento Post-cierre (US$)],Tabla24[Localidad],Resumen!$D486)</f>
        <v>163756.5510137699</v>
      </c>
      <c r="X486" s="461">
        <f>+W486*(X$3*$E$3+X$4*$E$4)</f>
        <v>314485.02384460671</v>
      </c>
      <c r="Y486" s="27">
        <f>VLOOKUP($D486,'Costo Social x localidad'!$B$2:$M$156,12,FALSE)*(Y$3*$E$3+Y$4*$E$4)</f>
        <v>67070.277085440001</v>
      </c>
      <c r="Z486" s="28">
        <f>VLOOKUP(D486,'Estimación  PRESUPUESTO PCAS'!$B$4:$G$158,'Estimación  PRESUPUESTO PCAS'!$G$2,FALSE)</f>
        <v>275610.66627802933</v>
      </c>
      <c r="AA486" s="650">
        <f>(-O486-R486)/(1+0.12)+PV(12%,20,P486)+PV(12%,20,T486)-(O486*0.5)/(1+0.12)^10-S486/(1+0.12)^10</f>
        <v>-12958576.7267882</v>
      </c>
      <c r="AB486" s="651">
        <f>M486+AA486</f>
        <v>-33497487.789389946</v>
      </c>
      <c r="AC486" s="10">
        <f>VLOOKUP($E486,Resumen_Generación!$B$5:$F$158,Resumen_Generación!$D$3,FALSE)</f>
        <v>29.516518319999999</v>
      </c>
      <c r="AD486" s="10">
        <f>VLOOKUP($E486,Resumen_Generación!$B$5:$G$158,Resumen_Generación!$G$3,FALSE)</f>
        <v>12.07787585</v>
      </c>
      <c r="AE486" s="362">
        <f>VLOOKUP($E486,Resumen_Generación!$B$5:$F$158,Resumen_Generación!$E$3,FALSE)</f>
        <v>36961</v>
      </c>
      <c r="AF486" s="10">
        <f>VLOOKUP($E486,Resumen_Generación!$B$5:$F$158,Resumen_Generación!$F$3,FALSE)</f>
        <v>13.620522999999999</v>
      </c>
      <c r="AG486" s="448">
        <f>VLOOKUP($D486,Valoración_Eq_REG!$D$4:$I$157,Valoración_Eq_REG!$E$2,FALSE)*$E$4</f>
        <v>159701.27315199998</v>
      </c>
      <c r="AH486" s="448">
        <f>VLOOKUP($D486,Valoración_Eq_REG!$D$4:$I$157,Valoración_Eq_REG!$F$2,FALSE)*$E$4</f>
        <v>97377.24</v>
      </c>
      <c r="AI486" s="448">
        <f>+[247]P_Datos!$D$43</f>
        <v>0.86924590163934423</v>
      </c>
      <c r="AJ486" s="484">
        <f>+'[247]Evaluacion Economica'!$L$25</f>
        <v>4</v>
      </c>
      <c r="AK486" s="448">
        <f>+'[247]Evaluacion Economica'!$R$25</f>
        <v>17</v>
      </c>
      <c r="AL486" s="484">
        <f>+'[247]P_Evaluacion Economica'!$L$27</f>
        <v>3</v>
      </c>
      <c r="AM486" s="448">
        <f>+'[247]P_Evaluacion Economica'!$Q$27</f>
        <v>9</v>
      </c>
      <c r="AN486" s="34" t="str">
        <f>+[247]Datos!$C$2</f>
        <v>Baradero</v>
      </c>
      <c r="AO486" s="25" t="str">
        <f>VLOOKUP($E486,Tabla13[],Inputs_costos!$D$1,FALSE)</f>
        <v>BARADERO</v>
      </c>
      <c r="AP486" s="28" t="str">
        <f>VLOOKUP($D486,'Costo Social x localidad'!$B$2:$M$156,1,FALSE)</f>
        <v>BARADERO</v>
      </c>
    </row>
    <row r="487" spans="1:42">
      <c r="A487" s="910"/>
      <c r="B487" s="887"/>
      <c r="C487" s="478" t="str">
        <f>IF(AND(D487=AN487,D487=AO487,D487=AP487),"ok","ATENCIÓN NO ESTÁ TOMANDO BIEN LA LOCALIDAD")</f>
        <v>ok</v>
      </c>
      <c r="D487" s="24" t="s">
        <v>229</v>
      </c>
      <c r="E487" s="532">
        <f>VLOOKUP(D487,Pobl_adoptada!$C$5:$D$158,2,FALSE)</f>
        <v>123</v>
      </c>
      <c r="F487" s="9" t="s">
        <v>308</v>
      </c>
      <c r="G487" s="580">
        <f>+'[248]Inversion rec-TA'!$G$21</f>
        <v>3230933.0842290805</v>
      </c>
      <c r="H487" s="34">
        <f>+($AC487/$AC489)*H488+G487</f>
        <v>4447027.4947552104</v>
      </c>
      <c r="I487" s="465">
        <f>+'[248]Costos Operativos Rec-TA'!$G$23</f>
        <v>1905368.3477216</v>
      </c>
      <c r="J487" s="581">
        <f>+($AC487/$AC489)*J488+I487</f>
        <v>1929690.2359321225</v>
      </c>
      <c r="K487" s="10">
        <f>+'[248]Inversion rec-TA'!$G$46</f>
        <v>0</v>
      </c>
      <c r="L487" s="10">
        <f>+'[248]Costos Operativos Rec-TA'!$G$46</f>
        <v>0</v>
      </c>
      <c r="M487" s="19">
        <f t="shared" si="357"/>
        <v>-19816096.528578851</v>
      </c>
      <c r="N487" s="465">
        <f>+$AD487/$AD489*N489</f>
        <v>1282410.9444930006</v>
      </c>
      <c r="O487" s="25">
        <f>IF(N487-AG487&lt;0,0,N487-AG487)</f>
        <v>380554.03799300059</v>
      </c>
      <c r="P487" s="25">
        <f>+$AD487/$AD489*P489</f>
        <v>710508.42960686784</v>
      </c>
      <c r="Q487" s="465">
        <f>+$AC487/$AC489*Q489</f>
        <v>10518383.395601002</v>
      </c>
      <c r="R487" s="647">
        <f>IF(Q487-AH487&lt;0,0,Q487-AH487)</f>
        <v>10448273.195601003</v>
      </c>
      <c r="S487" s="25">
        <f t="shared" si="358"/>
        <v>815000</v>
      </c>
      <c r="T487" s="25">
        <f>+$AC487/$AC489*T489</f>
        <v>856984.75544770295</v>
      </c>
      <c r="U487" s="465">
        <f>SUMIFS(Tabla24[Costo de Cierre Técnico de BCA (US$)],Tabla24[Localidad],Resumen!$D487)</f>
        <v>3455600</v>
      </c>
      <c r="V487" s="461">
        <f t="shared" ref="V487" si="359">+U487*(V$3*$E$3+V$4*$E$4)</f>
        <v>6636280.7574399998</v>
      </c>
      <c r="W487" s="465">
        <f>SUMIFS(Tabla24[Costo anual de Manteniemiento Post-cierre (US$)],Tabla24[Localidad],Resumen!$D487)</f>
        <v>306808.25074993673</v>
      </c>
      <c r="X487" s="461">
        <f t="shared" ref="X487" si="360">+W487*(X$3*$E$3+X$4*$E$4)</f>
        <v>589207.57341001031</v>
      </c>
      <c r="Y487" s="28">
        <f>VLOOKUP($D487,'Costo Social x localidad'!$B$2:$M$156,12,FALSE)*(Y$3*$E$3+Y$4*$E$4)</f>
        <v>81525.604538880012</v>
      </c>
      <c r="Z487" s="28">
        <f>VLOOKUP(D487,'Estimación  PRESUPUESTO PCAS'!$B$4:$G$158,'Estimación  PRESUPUESTO PCAS'!$G$2,FALSE)</f>
        <v>406574.09357236512</v>
      </c>
      <c r="AA487" s="650">
        <f>(-O487-R487)/(1+0.12)+PV(12%,20,P487)+PV(12%,20,T487)-(O487*0.5)/(1+0.12)^10-S487/(1+0.12)^10</f>
        <v>-21700570.017039735</v>
      </c>
      <c r="AB487" s="651">
        <f>M487+AA487</f>
        <v>-41516666.545618586</v>
      </c>
      <c r="AC487" s="10">
        <f>VLOOKUP($E487,Resumen_Generación!$B$5:$F$158,Resumen_Generación!$D$3,FALSE)</f>
        <v>51.093830615999991</v>
      </c>
      <c r="AD487" s="10">
        <f>VLOOKUP($E487,Resumen_Generación!$B$5:$G$158,Resumen_Generación!$G$3,FALSE)</f>
        <v>21.007931729999992</v>
      </c>
      <c r="AE487" s="362">
        <f>VLOOKUP($E487,Resumen_Generación!$B$5:$F$158,Resumen_Generación!$E$3,FALSE)</f>
        <v>66569</v>
      </c>
      <c r="AF487" s="10">
        <f>VLOOKUP($E487,Resumen_Generación!$B$5:$F$158,Resumen_Generación!$F$3,FALSE)</f>
        <v>23.541294000000001</v>
      </c>
      <c r="AG487" s="448">
        <f>VLOOKUP($D487,Valoración_Eq_REG!$D$4:$I$157,Valoración_Eq_REG!$E$2,FALSE)*$E$4</f>
        <v>901856.90650000004</v>
      </c>
      <c r="AH487" s="448">
        <f>VLOOKUP($D487,Valoración_Eq_REG!$D$4:$I$157,Valoración_Eq_REG!$F$2,FALSE)*$E$4</f>
        <v>70110.2</v>
      </c>
      <c r="AI487" s="25">
        <f>+[248]P_Datos!$D$43</f>
        <v>1.4832131147540983</v>
      </c>
      <c r="AJ487" s="484">
        <f>+'[248]Evaluacion Economica'!$L$25</f>
        <v>3</v>
      </c>
      <c r="AK487" s="448">
        <f>+'[248]Evaluacion Economica'!$R$25</f>
        <v>24</v>
      </c>
      <c r="AL487" s="484">
        <f>+'[248]P_Evaluacion Economica'!$L$27</f>
        <v>3</v>
      </c>
      <c r="AM487" s="448">
        <f>+'[248]P_Evaluacion Economica'!$Q$27</f>
        <v>6</v>
      </c>
      <c r="AN487" s="34" t="str">
        <f>+[248]Datos!$C$2</f>
        <v>San Pedro</v>
      </c>
      <c r="AO487" s="25" t="str">
        <f>VLOOKUP($E487,Tabla13[],Inputs_costos!$D$1,FALSE)</f>
        <v>SAN PEDRO</v>
      </c>
      <c r="AP487" s="28" t="str">
        <f>VLOOKUP($D487,'Costo Social x localidad'!$B$2:$M$156,1,FALSE)</f>
        <v>SAN PEDRO</v>
      </c>
    </row>
    <row r="488" spans="1:42" ht="30.75" thickBot="1">
      <c r="A488" s="910"/>
      <c r="B488" s="887"/>
      <c r="C488" s="912" t="s">
        <v>12</v>
      </c>
      <c r="D488" s="913"/>
      <c r="E488" s="498" t="s">
        <v>589</v>
      </c>
      <c r="F488" s="571">
        <f>+F480</f>
        <v>0.02</v>
      </c>
      <c r="G488" s="582"/>
      <c r="H488" s="461">
        <f>+AJ488*AJ490+AL488*AL490</f>
        <v>1918622.9255031149</v>
      </c>
      <c r="I488" s="461"/>
      <c r="J488" s="583">
        <f>+$F488*H488</f>
        <v>38372.458510062301</v>
      </c>
      <c r="K488" s="10"/>
      <c r="L488" s="10"/>
      <c r="M488" s="19"/>
      <c r="N488" s="465"/>
      <c r="O488" s="10"/>
      <c r="P488" s="10"/>
      <c r="Q488" s="618"/>
      <c r="R488" s="28"/>
      <c r="S488" s="28"/>
      <c r="T488" s="28"/>
      <c r="U488" s="28"/>
      <c r="V488" s="28"/>
      <c r="W488" s="28"/>
      <c r="X488" s="28"/>
      <c r="Y488" s="28"/>
      <c r="Z488" s="28"/>
      <c r="AA488" s="658"/>
      <c r="AB488" s="20"/>
      <c r="AC488" s="10"/>
      <c r="AD488" s="10"/>
      <c r="AE488" s="10"/>
      <c r="AF488" s="10"/>
      <c r="AG488" s="2"/>
      <c r="AH488" s="2"/>
      <c r="AI488" s="4"/>
      <c r="AJ488" s="501">
        <f>ROUNDUP(C489*SUM(AJ486:AJ487),0)</f>
        <v>4</v>
      </c>
      <c r="AK488" s="502">
        <f>AVERAGE(AK486:AK487)</f>
        <v>20.5</v>
      </c>
      <c r="AL488" s="501">
        <f>ROUNDUP(C489*SUM(AL486:AL487),0)</f>
        <v>3</v>
      </c>
      <c r="AM488" s="502">
        <f>AVERAGE(AM486:AM487)</f>
        <v>7.5</v>
      </c>
      <c r="AN488" s="4"/>
      <c r="AO488" s="4"/>
      <c r="AP488" s="4"/>
    </row>
    <row r="489" spans="1:42" ht="15.75" thickBot="1">
      <c r="A489" s="911"/>
      <c r="B489" s="888"/>
      <c r="C489" s="570">
        <v>0.5</v>
      </c>
      <c r="D489" s="500" t="str">
        <f>A486</f>
        <v>REGIÓN SAN PEDRO</v>
      </c>
      <c r="E489" s="468"/>
      <c r="F489" s="469"/>
      <c r="G489" s="584"/>
      <c r="H489" s="585">
        <f>SUM(H486:H487)</f>
        <v>8642194.9438041449</v>
      </c>
      <c r="I489" s="585"/>
      <c r="J489" s="586">
        <f>SUM(J486:J487)</f>
        <v>3997112.5200137626</v>
      </c>
      <c r="K489" s="14"/>
      <c r="L489" s="14"/>
      <c r="M489" s="15">
        <f>SUM(M486:M488)</f>
        <v>-40355007.591180593</v>
      </c>
      <c r="N489" s="615">
        <f>(VLOOKUP($E486,Tabla13[],Inputs_costos!$P$1,FALSE))*(O$3*$E$3+O$4*$E$4)</f>
        <v>2019694.3846400001</v>
      </c>
      <c r="O489" s="35">
        <f>SUM(O486:O487)</f>
        <v>958136.20498800022</v>
      </c>
      <c r="P489" s="35">
        <f>(VLOOKUP($E486,Tabla13[],Inputs_costos!$Q$1,FALSE))*(P$3*$E$3+P$4*$E$4)</f>
        <v>1118993.7918720001</v>
      </c>
      <c r="Q489" s="615">
        <f>IF($AC486&gt;=15,(VLOOKUP($E486,Tabla13[],Inputs_costos!$N$1,FALSE))*($R$3*$E$3+$R$4*$E$4),(VLOOKUP($E486,Tabla13[],Inputs_costos!$N$1,FALSE))*($T$3*$E$3+$T$4*$E$4))</f>
        <v>16594773.684800001</v>
      </c>
      <c r="R489" s="35">
        <f>SUM(P489:Q489)</f>
        <v>17713767.476672001</v>
      </c>
      <c r="S489" s="35"/>
      <c r="T489" s="35">
        <f>IF($AC486&gt;=15,(VLOOKUP($E486,Tabla13[],Inputs_costos!$O$1,FALSE))*($R$3*$E$3+$R$4*$E$4),(VLOOKUP($E486,Tabla13[],Inputs_costos!$O$1,FALSE))*($T$3*$E$3+$T$4*$E$4))</f>
        <v>1352058.3470960001</v>
      </c>
      <c r="U489" s="35"/>
      <c r="V489" s="31">
        <f>SUM(V486:V487)</f>
        <v>10178344.719999999</v>
      </c>
      <c r="W489" s="31"/>
      <c r="X489" s="31">
        <f>SUM(X486:X487)</f>
        <v>903692.59725461702</v>
      </c>
      <c r="Y489" s="31">
        <f>SUM(Y486:Y487)</f>
        <v>148595.88162432</v>
      </c>
      <c r="Z489" s="31">
        <f>SUM(Z486:Z487)</f>
        <v>682184.75985039445</v>
      </c>
      <c r="AA489" s="657">
        <f>SUM(AA486:AA487)</f>
        <v>-34659146.743827939</v>
      </c>
      <c r="AB489" s="654">
        <f>+M489+AA489</f>
        <v>-75014154.335008532</v>
      </c>
      <c r="AC489" s="630">
        <f t="shared" ref="AC489:AI489" si="361">SUM(AC486:AC487)</f>
        <v>80.610348935999994</v>
      </c>
      <c r="AD489" s="630">
        <f t="shared" si="361"/>
        <v>33.085807579999994</v>
      </c>
      <c r="AE489" s="631">
        <f t="shared" si="361"/>
        <v>103530</v>
      </c>
      <c r="AF489" s="630">
        <f t="shared" si="361"/>
        <v>37.161816999999999</v>
      </c>
      <c r="AG489" s="630">
        <f t="shared" si="361"/>
        <v>1061558.1796520001</v>
      </c>
      <c r="AH489" s="630">
        <f t="shared" si="361"/>
        <v>167487.44</v>
      </c>
      <c r="AI489" s="630">
        <f t="shared" si="361"/>
        <v>2.3524590163934427</v>
      </c>
      <c r="AJ489" s="11"/>
      <c r="AK489" s="499">
        <f>VLOOKUP(ROUNDUP(AK488,0),DATOS!$F$16:$G$31,2,FALSE)</f>
        <v>21</v>
      </c>
      <c r="AL489" s="497"/>
      <c r="AM489" s="499">
        <f>VLOOKUP(ROUNDUP(AM488,0),DATOS!$J$16:$K$34,2,FALSE)</f>
        <v>9</v>
      </c>
      <c r="AN489" s="4"/>
      <c r="AO489" s="4"/>
      <c r="AP489" s="4"/>
    </row>
    <row r="490" spans="1:42">
      <c r="F490" s="2" t="str">
        <f>IF(AND(H489=H490,J489=J490),"OK","NOOO")</f>
        <v>OK</v>
      </c>
      <c r="G490" s="2"/>
      <c r="H490" s="3">
        <v>8642194.943804143</v>
      </c>
      <c r="I490" s="3"/>
      <c r="J490" s="3">
        <v>3997112.5200137626</v>
      </c>
      <c r="K490" s="3"/>
      <c r="L490" s="3"/>
      <c r="M490" s="3"/>
      <c r="N490" s="3"/>
      <c r="O490" s="3"/>
      <c r="P490" s="3"/>
      <c r="Q490" s="3"/>
      <c r="R490" s="25"/>
      <c r="S490" s="25"/>
      <c r="T490" s="3"/>
      <c r="U490" s="30"/>
      <c r="V490" s="2"/>
      <c r="W490" s="2"/>
      <c r="X490" s="2"/>
      <c r="Y490" s="2"/>
      <c r="Z490" s="2"/>
      <c r="AA490" s="4"/>
      <c r="AB490" s="4"/>
      <c r="AC490" s="528"/>
      <c r="AD490" s="528"/>
      <c r="AE490" s="528"/>
      <c r="AF490" s="528"/>
      <c r="AG490" s="528"/>
      <c r="AH490" s="528"/>
      <c r="AI490" s="528"/>
      <c r="AJ490" s="892">
        <f>VLOOKUP(AK489,DATOS!$F$3:$H$11,3,FALSE)</f>
        <v>296770.86408577871</v>
      </c>
      <c r="AK490" s="892"/>
      <c r="AL490" s="892">
        <f>VLOOKUP(AM489,DATOS!$J$3:$L$12,3,FALSE)</f>
        <v>243846.48972000001</v>
      </c>
      <c r="AM490" s="892"/>
      <c r="AN490" s="4"/>
      <c r="AO490" s="4"/>
      <c r="AP490" s="4"/>
    </row>
    <row r="491" spans="1:42" ht="15.75" thickBot="1">
      <c r="A491" s="503"/>
      <c r="B491" s="503"/>
      <c r="C491" s="503"/>
      <c r="D491" s="503"/>
      <c r="E491" s="503"/>
      <c r="F491" s="504"/>
      <c r="G491" s="504"/>
      <c r="H491" s="505"/>
      <c r="I491" s="505"/>
      <c r="J491" s="505"/>
      <c r="K491" s="505"/>
      <c r="L491" s="505"/>
      <c r="M491" s="505"/>
      <c r="N491" s="505"/>
      <c r="O491" s="505"/>
      <c r="P491" s="505"/>
      <c r="Q491" s="505"/>
      <c r="R491" s="504"/>
      <c r="S491" s="504"/>
      <c r="T491" s="504"/>
      <c r="U491" s="504"/>
      <c r="V491" s="504"/>
      <c r="W491" s="504"/>
      <c r="X491" s="504"/>
      <c r="Y491" s="504"/>
      <c r="Z491" s="504"/>
      <c r="AA491" s="506"/>
      <c r="AB491" s="506"/>
      <c r="AC491" s="506"/>
      <c r="AD491" s="506"/>
      <c r="AE491" s="506"/>
      <c r="AF491" s="506"/>
      <c r="AG491" s="506"/>
      <c r="AH491" s="506"/>
      <c r="AI491" s="506"/>
      <c r="AJ491" s="506"/>
      <c r="AK491" s="506"/>
      <c r="AL491" s="506"/>
      <c r="AM491" s="506"/>
      <c r="AN491" s="506"/>
      <c r="AO491" s="506"/>
      <c r="AP491" s="506"/>
    </row>
    <row r="492" spans="1:42" ht="39" thickBot="1">
      <c r="A492" s="886" t="s">
        <v>7</v>
      </c>
      <c r="B492" s="886" t="s">
        <v>2</v>
      </c>
      <c r="C492" s="536"/>
      <c r="D492" s="882" t="s">
        <v>22</v>
      </c>
      <c r="E492" s="882" t="s">
        <v>23</v>
      </c>
      <c r="F492" s="882" t="s">
        <v>3</v>
      </c>
      <c r="G492" s="568"/>
      <c r="H492" s="901" t="s">
        <v>0</v>
      </c>
      <c r="I492" s="901"/>
      <c r="J492" s="901"/>
      <c r="K492" s="901" t="s">
        <v>1</v>
      </c>
      <c r="L492" s="901"/>
      <c r="M492" s="886" t="s">
        <v>10</v>
      </c>
      <c r="N492" s="879" t="s">
        <v>5</v>
      </c>
      <c r="O492" s="880"/>
      <c r="P492" s="881"/>
      <c r="Q492" s="902" t="s">
        <v>4</v>
      </c>
      <c r="R492" s="903"/>
      <c r="S492" s="903"/>
      <c r="T492" s="904"/>
      <c r="U492" s="902" t="s">
        <v>6</v>
      </c>
      <c r="V492" s="903"/>
      <c r="W492" s="903"/>
      <c r="X492" s="904"/>
      <c r="Y492" s="390" t="s">
        <v>689</v>
      </c>
      <c r="Z492" s="662" t="s">
        <v>690</v>
      </c>
      <c r="AA492" s="905" t="s">
        <v>686</v>
      </c>
      <c r="AB492" s="886" t="s">
        <v>9</v>
      </c>
      <c r="AC492" s="907" t="s">
        <v>312</v>
      </c>
      <c r="AD492" s="914" t="s">
        <v>649</v>
      </c>
      <c r="AE492" s="897" t="s">
        <v>20</v>
      </c>
      <c r="AF492" s="897" t="s">
        <v>313</v>
      </c>
      <c r="AG492" s="899" t="s">
        <v>552</v>
      </c>
      <c r="AH492" s="895" t="s">
        <v>578</v>
      </c>
      <c r="AI492" s="897" t="s">
        <v>579</v>
      </c>
      <c r="AJ492" s="882" t="s">
        <v>581</v>
      </c>
      <c r="AK492" s="882" t="s">
        <v>582</v>
      </c>
      <c r="AL492" s="882" t="s">
        <v>581</v>
      </c>
      <c r="AM492" s="882" t="s">
        <v>582</v>
      </c>
      <c r="AN492" s="884" t="s">
        <v>553</v>
      </c>
      <c r="AO492" s="885"/>
      <c r="AP492" s="885"/>
    </row>
    <row r="493" spans="1:42" ht="30.75" thickBot="1">
      <c r="A493" s="888"/>
      <c r="B493" s="888"/>
      <c r="C493" s="537"/>
      <c r="D493" s="883"/>
      <c r="E493" s="883"/>
      <c r="F493" s="883"/>
      <c r="G493" s="569"/>
      <c r="H493" s="17" t="s">
        <v>18</v>
      </c>
      <c r="I493" s="17"/>
      <c r="J493" s="17" t="s">
        <v>17</v>
      </c>
      <c r="K493" s="17" t="s">
        <v>18</v>
      </c>
      <c r="L493" s="17" t="s">
        <v>17</v>
      </c>
      <c r="M493" s="888"/>
      <c r="N493" s="464" t="s">
        <v>685</v>
      </c>
      <c r="O493" s="17" t="s">
        <v>18</v>
      </c>
      <c r="P493" s="17" t="s">
        <v>17</v>
      </c>
      <c r="Q493" s="464" t="s">
        <v>685</v>
      </c>
      <c r="R493" s="17" t="s">
        <v>18</v>
      </c>
      <c r="S493" s="17"/>
      <c r="T493" s="17" t="s">
        <v>17</v>
      </c>
      <c r="U493" s="464" t="s">
        <v>576</v>
      </c>
      <c r="V493" s="17" t="s">
        <v>18</v>
      </c>
      <c r="W493" s="464" t="s">
        <v>577</v>
      </c>
      <c r="X493" s="17" t="s">
        <v>17</v>
      </c>
      <c r="Y493" s="17" t="s">
        <v>18</v>
      </c>
      <c r="Z493" s="17" t="s">
        <v>17</v>
      </c>
      <c r="AA493" s="906"/>
      <c r="AB493" s="888"/>
      <c r="AC493" s="908"/>
      <c r="AD493" s="915"/>
      <c r="AE493" s="898"/>
      <c r="AF493" s="898"/>
      <c r="AG493" s="900"/>
      <c r="AH493" s="896"/>
      <c r="AI493" s="898"/>
      <c r="AJ493" s="883"/>
      <c r="AK493" s="883"/>
      <c r="AL493" s="883"/>
      <c r="AM493" s="883"/>
      <c r="AN493" s="1" t="s">
        <v>551</v>
      </c>
      <c r="AO493" s="9" t="s">
        <v>554</v>
      </c>
      <c r="AP493" s="1" t="s">
        <v>555</v>
      </c>
    </row>
    <row r="494" spans="1:42" ht="15" customHeight="1">
      <c r="A494" s="889" t="s">
        <v>627</v>
      </c>
      <c r="B494" s="886" t="s">
        <v>309</v>
      </c>
      <c r="C494" s="534" t="str">
        <f t="shared" ref="C494:C499" si="362">IF(AND(D494=AN494,D494=AO494,D494=AP494),"ok","ATENCIÓN NO ESTÁ TOMANDO BIEN LA LOCALIDAD")</f>
        <v>ok</v>
      </c>
      <c r="D494" s="23" t="s">
        <v>188</v>
      </c>
      <c r="E494" s="114">
        <f>VLOOKUP(D494,Pobl_adoptada!$C$5:$D$158,2,FALSE)</f>
        <v>89</v>
      </c>
      <c r="F494" s="8" t="s">
        <v>308</v>
      </c>
      <c r="G494" s="8"/>
      <c r="H494" s="33">
        <f>'[249]Inversion rec-TA'!$G$21</f>
        <v>8127639.0707180705</v>
      </c>
      <c r="I494" s="32"/>
      <c r="J494" s="33">
        <f>'[249]Costos Operativos Rec-TA'!$G$23</f>
        <v>5211426.8558210367</v>
      </c>
      <c r="K494" s="32">
        <f>'[249]Inversion rec-TA'!$G$46</f>
        <v>0</v>
      </c>
      <c r="L494" s="32">
        <f>+'[249]Costos Operativos Rec-TA'!$G$46</f>
        <v>0</v>
      </c>
      <c r="M494" s="19">
        <f t="shared" ref="M494:M499" si="363">-H494/(1+0.12)+PV(12%,20,J494)-H494/(1+0.12)^10</f>
        <v>-48800161.958157569</v>
      </c>
      <c r="N494" s="19"/>
      <c r="O494" s="25">
        <f>IF(((VLOOKUP($E494,Tabla13[],Inputs_costos!$I$1,FALSE))*(O$3*$E$3+O$4*$E$4)-AG494)&lt;0,0,VLOOKUP($E494,Tabla13[],Inputs_costos!$I$1,FALSE)*(O$3*$E$3+O$4*$E$4)-AG494)</f>
        <v>1857475.5023679007</v>
      </c>
      <c r="P494" s="25">
        <f>(VLOOKUP($E494,Tabla13[],Inputs_costos!$J$1,FALSE))*(P$3*$E$3+P$4*$E$4)</f>
        <v>1128379.9542400001</v>
      </c>
      <c r="Q494" s="25"/>
      <c r="R494" s="25">
        <f>IF($AC494&gt;=15,(VLOOKUP($E494,Tabla13[],Inputs_costos!$G$1,FALSE))*($R$3*$E$3+$R$4*$E$4),(VLOOKUP($E494,Tabla13[],Inputs_costos!$G$1,FALSE))*($T$3*$E$3+$T$4*$E$4))-AH494</f>
        <v>20357939.674400002</v>
      </c>
      <c r="S494" s="25">
        <f t="shared" ref="S494:S499" si="364">IF(AC494&lt;15,0,IF(AC494&lt;=350,815000,1345000))</f>
        <v>815000</v>
      </c>
      <c r="T494" s="25">
        <f>IF($AC494&gt;=15,(VLOOKUP($E494,Tabla13[],Inputs_costos!$H$1,FALSE))*($R$3*$E$3+$R$4*$E$4),(VLOOKUP($E494,Tabla13[],Inputs_costos!$H$1,FALSE))*($T$3*$E$3+$T$4*$E$4))</f>
        <v>1453095.9491760002</v>
      </c>
      <c r="U494" s="465">
        <f>SUMIFS(Tabla24[Costo de Cierre Técnico de BCA (US$)],Tabla24[Localidad],Resumen!$D494)</f>
        <v>3222400</v>
      </c>
      <c r="V494" s="461">
        <f>+U494*(V$3*$E$3+V$4*$E$4)</f>
        <v>6188433.5897599999</v>
      </c>
      <c r="W494" s="465">
        <f>SUMIFS(Tabla24[Costo anual de Manteniemiento Post-cierre (US$)],Tabla24[Localidad],Resumen!$D494)</f>
        <v>286103.39947233361</v>
      </c>
      <c r="X494" s="461">
        <f>+W494*(X$3*$E$3+X$4*$E$4)</f>
        <v>549445.0991308071</v>
      </c>
      <c r="Y494" s="27">
        <f>VLOOKUP($D494,'Costo Social x localidad'!$B$2:$M$156,12,FALSE)*(Y$3*$E$3+Y$4*$E$4)</f>
        <v>121422.57806159998</v>
      </c>
      <c r="Z494" s="28">
        <f>VLOOKUP(D494,'Estimación  PRESUPUESTO PCAS'!$B$4:$G$158,'Estimación  PRESUPUESTO PCAS'!$G$2,FALSE)</f>
        <v>589315.99796557461</v>
      </c>
      <c r="AA494" s="650">
        <f t="shared" ref="AA494:AA499" si="365">(-O494-R494)/(1+0.12)+PV(12%,20,P494)+PV(12%,20,T494)-(O494*0.5)/(1+0.12)^10-S494/(1+0.12)^10</f>
        <v>-39678817.737754241</v>
      </c>
      <c r="AB494" s="651">
        <f t="shared" ref="AB494:AB499" si="366">M494+AA494</f>
        <v>-88478979.69591181</v>
      </c>
      <c r="AC494" s="10">
        <f>VLOOKUP($E494,Resumen_Generación!$B$5:$F$158,Resumen_Generación!$D$3,FALSE)</f>
        <v>111.37455112800001</v>
      </c>
      <c r="AD494" s="10">
        <f>VLOOKUP($E494,Resumen_Generación!$B$5:$G$158,Resumen_Generación!$G$3,FALSE)</f>
        <v>45.888351089999986</v>
      </c>
      <c r="AE494" s="362">
        <f>VLOOKUP($E494,Resumen_Generación!$B$5:$F$158,Resumen_Generación!$E$3,FALSE)</f>
        <v>145182</v>
      </c>
      <c r="AF494" s="10">
        <f>VLOOKUP($E494,Resumen_Generación!$B$5:$F$158,Resumen_Generación!$F$3,FALSE)</f>
        <v>51.466547999999996</v>
      </c>
      <c r="AG494" s="448">
        <f>VLOOKUP($D494,Valoración_Equip_actual!$D$4:$I$157,Valoración_Equip_actual!$E$2,FALSE)*$E$4</f>
        <v>334545.85539209924</v>
      </c>
      <c r="AH494" s="448">
        <f>VLOOKUP($D494,Valoración_Equip_actual!$D$4:$I$157,Valoración_Equip_actual!$F$2,FALSE)*$E$4</f>
        <v>392052</v>
      </c>
      <c r="AI494" s="513">
        <f>[249]P_Datos!$D$43</f>
        <v>3.3205901639344262</v>
      </c>
      <c r="AJ494" s="514"/>
      <c r="AK494" s="514"/>
      <c r="AL494" s="514"/>
      <c r="AM494" s="514"/>
      <c r="AN494" s="449" t="str">
        <f>[249]Datos!$C$2</f>
        <v>Luján</v>
      </c>
      <c r="AO494" s="450" t="str">
        <f>VLOOKUP($E494,Tabla13[],Inputs_costos!$D$1,FALSE)</f>
        <v>LUJÁN</v>
      </c>
      <c r="AP494" s="451" t="str">
        <f>VLOOKUP($D494,'Costo Social x localidad'!$B$2:$M$156,1,FALSE)</f>
        <v>LUJÁN</v>
      </c>
    </row>
    <row r="495" spans="1:42" ht="15" customHeight="1">
      <c r="A495" s="890"/>
      <c r="B495" s="887"/>
      <c r="C495" s="478" t="str">
        <f t="shared" si="362"/>
        <v>ok</v>
      </c>
      <c r="D495" s="24" t="s">
        <v>138</v>
      </c>
      <c r="E495" s="539">
        <f>VLOOKUP(D495,Pobl_adoptada!$C$5:$D$158,2,FALSE)</f>
        <v>49</v>
      </c>
      <c r="F495" s="9" t="s">
        <v>308</v>
      </c>
      <c r="G495" s="9"/>
      <c r="H495" s="34">
        <f>'[250]Inversion rec-TA'!$G$21</f>
        <v>4058822.4916336392</v>
      </c>
      <c r="I495" s="25"/>
      <c r="J495" s="34">
        <f>'[250]Costos Operativos Rec-TA'!$G$23</f>
        <v>2229123.6915677134</v>
      </c>
      <c r="K495" s="25">
        <f>'[250]Inversion rec-TA'!$G$46</f>
        <v>0</v>
      </c>
      <c r="L495" s="25">
        <f>+'[250]Costos Operativos Rec-TA'!$G$46</f>
        <v>0</v>
      </c>
      <c r="M495" s="19">
        <f t="shared" si="363"/>
        <v>-21581094.613440767</v>
      </c>
      <c r="N495" s="19"/>
      <c r="O495" s="25">
        <f>IF(((VLOOKUP($E495,Tabla13[],Inputs_costos!$I$1,FALSE))*(O$3*$E$3+O$4*$E$4)-AG495)&lt;0,0,VLOOKUP($E495,Tabla13[],Inputs_costos!$I$1,FALSE)*(O$3*$E$3+O$4*$E$4)-AG495)</f>
        <v>1693523.4887600001</v>
      </c>
      <c r="P495" s="25">
        <f>(VLOOKUP($E495,Tabla13[],Inputs_costos!$J$1,FALSE))*(P$3*$E$3+P$4*$E$4)</f>
        <v>638852.63231999998</v>
      </c>
      <c r="Q495" s="25"/>
      <c r="R495" s="25">
        <f>IF($AC495&gt;=15,(VLOOKUP($E495,Tabla13[],Inputs_costos!$G$1,FALSE))*($R$3*$E$3+$R$4*$E$4),(VLOOKUP($E495,Tabla13[],Inputs_costos!$G$1,FALSE))*($T$3*$E$3+$T$4*$E$4))-AH495</f>
        <v>9919404.8324000016</v>
      </c>
      <c r="S495" s="25">
        <f t="shared" si="364"/>
        <v>815000</v>
      </c>
      <c r="T495" s="25">
        <f>IF($AC495&gt;=15,(VLOOKUP($E495,Tabla13[],Inputs_costos!$H$1,FALSE))*($R$3*$E$3+$R$4*$E$4),(VLOOKUP($E495,Tabla13[],Inputs_costos!$H$1,FALSE))*($T$3*$E$3+$T$4*$E$4))</f>
        <v>1569363.7580640002</v>
      </c>
      <c r="U495" s="465">
        <f>SUMIFS(Tabla24[Costo de Cierre Técnico de BCA (US$)],Tabla24[Localidad],Resumen!$D495)</f>
        <v>3710000</v>
      </c>
      <c r="V495" s="461">
        <f>+U495*(V$3*$E$3+V$4*$E$4)</f>
        <v>7124841.3039999995</v>
      </c>
      <c r="W495" s="465">
        <f>SUMIFS(Tabla24[Costo anual de Manteniemiento Post-cierre (US$)],Tabla24[Localidad],Resumen!$D495)</f>
        <v>329395.36123459466</v>
      </c>
      <c r="X495" s="461">
        <f>+W495*(X$3*$E$3+X$4*$E$4)</f>
        <v>632584.81807823188</v>
      </c>
      <c r="Y495" s="28">
        <f>VLOOKUP($D495,'Costo Social x localidad'!$B$2:$M$156,12,FALSE)*(Y$3*$E$3+Y$4*$E$4)</f>
        <v>71596.496553653327</v>
      </c>
      <c r="Z495" s="28">
        <f>VLOOKUP(D495,'Estimación  PRESUPUESTO PCAS'!$B$4:$G$158,'Estimación  PRESUPUESTO PCAS'!$G$2,FALSE)</f>
        <v>360638.32116793643</v>
      </c>
      <c r="AA495" s="650">
        <f t="shared" si="365"/>
        <v>-27397876.646605812</v>
      </c>
      <c r="AB495" s="651">
        <f t="shared" si="366"/>
        <v>-48978971.260046579</v>
      </c>
      <c r="AC495" s="10">
        <f>VLOOKUP($E495,Resumen_Generación!$B$5:$F$158,Resumen_Generación!$D$3,FALSE)</f>
        <v>34.834469631999994</v>
      </c>
      <c r="AD495" s="10">
        <f>VLOOKUP($E495,Resumen_Generación!$B$5:$G$158,Resumen_Generación!$G$3,FALSE)</f>
        <v>14.255797960000001</v>
      </c>
      <c r="AE495" s="362">
        <f>VLOOKUP($E495,Resumen_Generación!$B$5:$F$158,Resumen_Generación!$E$3,FALSE)</f>
        <v>43622</v>
      </c>
      <c r="AF495" s="10">
        <f>VLOOKUP($E495,Resumen_Generación!$B$5:$F$158,Resumen_Generación!$F$3,FALSE)</f>
        <v>16.073945999999999</v>
      </c>
      <c r="AG495" s="448">
        <f>VLOOKUP($D495,Valoración_Equip_actual!$D$4:$I$157,Valoración_Equip_actual!$E$2,FALSE)*$E$4</f>
        <v>71854.125</v>
      </c>
      <c r="AH495" s="448">
        <f>VLOOKUP($D495,Valoración_Equip_actual!$D$4:$I$157,Valoración_Equip_actual!$F$2,FALSE)*$E$4</f>
        <v>195540.35</v>
      </c>
      <c r="AI495" s="513">
        <f>[250]P_Datos!$D$43</f>
        <v>1.1277377049180328</v>
      </c>
      <c r="AJ495" s="514"/>
      <c r="AK495" s="514"/>
      <c r="AL495" s="514"/>
      <c r="AM495" s="514"/>
      <c r="AN495" s="34" t="str">
        <f>[250]Datos!$C$2</f>
        <v>Chascomús</v>
      </c>
      <c r="AO495" s="25" t="str">
        <f>VLOOKUP($E495,Tabla13[],Inputs_costos!$D$1,FALSE)</f>
        <v>CHASCOMÚS</v>
      </c>
      <c r="AP495" s="28" t="str">
        <f>VLOOKUP($D495,'Costo Social x localidad'!$B$2:$M$156,1,FALSE)</f>
        <v>CHASCOMÚS</v>
      </c>
    </row>
    <row r="496" spans="1:42" ht="15" customHeight="1">
      <c r="A496" s="890"/>
      <c r="B496" s="887"/>
      <c r="C496" s="478" t="str">
        <f t="shared" si="362"/>
        <v>ok</v>
      </c>
      <c r="D496" s="24" t="s">
        <v>121</v>
      </c>
      <c r="E496" s="539">
        <f>VLOOKUP(D496,Pobl_adoptada!$C$5:$D$158,2,FALSE)</f>
        <v>34</v>
      </c>
      <c r="F496" s="9" t="s">
        <v>308</v>
      </c>
      <c r="G496" s="9"/>
      <c r="H496" s="34">
        <f>'[251]Inversion rec-TA'!$G$21</f>
        <v>4317650.2999366792</v>
      </c>
      <c r="I496" s="25"/>
      <c r="J496" s="34">
        <f>'[251]Costos Operativos Rec-TA'!$G$23</f>
        <v>2354401.2110849344</v>
      </c>
      <c r="K496" s="25">
        <f>'[251]Inversion rec-TA'!$G$46</f>
        <v>0</v>
      </c>
      <c r="L496" s="25">
        <f>+'[251]Costos Operativos Rec-TA'!$G$46</f>
        <v>0</v>
      </c>
      <c r="M496" s="19">
        <f t="shared" si="363"/>
        <v>-22831279.867442686</v>
      </c>
      <c r="N496" s="19"/>
      <c r="O496" s="25">
        <f>IF(((VLOOKUP($E496,Tabla13[],Inputs_costos!$I$1,FALSE))*(O$3*$E$3+O$4*$E$4)-AG496)&lt;0,0,VLOOKUP($E496,Tabla13[],Inputs_costos!$I$1,FALSE)*(O$3*$E$3+O$4*$E$4)-AG496)</f>
        <v>1160028.4113050001</v>
      </c>
      <c r="P496" s="25">
        <f>(VLOOKUP($E496,Tabla13[],Inputs_costos!$J$1,FALSE))*(P$3*$E$3+P$4*$E$4)</f>
        <v>812552.28531200008</v>
      </c>
      <c r="Q496" s="25"/>
      <c r="R496" s="25">
        <f>IF($AC496&gt;=15,(VLOOKUP($E496,Tabla13[],Inputs_costos!$G$1,FALSE))*($R$3*$E$3+$R$4*$E$4),(VLOOKUP($E496,Tabla13[],Inputs_costos!$G$1,FALSE))*($T$3*$E$3+$T$4*$E$4))-AH496</f>
        <v>11171125.694</v>
      </c>
      <c r="S496" s="25">
        <f t="shared" si="364"/>
        <v>815000</v>
      </c>
      <c r="T496" s="25">
        <f>IF($AC496&gt;=15,(VLOOKUP($E496,Tabla13[],Inputs_costos!$H$1,FALSE))*($R$3*$E$3+$R$4*$E$4),(VLOOKUP($E496,Tabla13[],Inputs_costos!$H$1,FALSE))*($T$3*$E$3+$T$4*$E$4))</f>
        <v>1468643.0635920002</v>
      </c>
      <c r="U496" s="465">
        <f>SUMIFS(Tabla24[Costo de Cierre Técnico de BCA (US$)],Tabla24[Localidad],Resumen!$D496)</f>
        <v>678400</v>
      </c>
      <c r="V496" s="461">
        <f>+U496*(V$3*$E$3+V$4*$E$4)</f>
        <v>1302828.1241599999</v>
      </c>
      <c r="W496" s="465">
        <f>SUMIFS(Tabla24[Costo anual de Manteniemiento Post-cierre (US$)],Tabla24[Localidad],Resumen!$D496)</f>
        <v>60232.294625754446</v>
      </c>
      <c r="X496" s="461">
        <f>+W496*(X$3*$E$3+X$4*$E$4)</f>
        <v>115672.65244859098</v>
      </c>
      <c r="Y496" s="28">
        <f>VLOOKUP($D496,'Costo Social x localidad'!$B$2:$M$156,12,FALSE)*(Y$3*$E$3+Y$4*$E$4)</f>
        <v>78809.229439360002</v>
      </c>
      <c r="Z496" s="28">
        <f>VLOOKUP(D496,'Estimación  PRESUPUESTO PCAS'!$B$4:$G$158,'Estimación  PRESUPUESTO PCAS'!$G$2,FALSE)</f>
        <v>357067.80661752098</v>
      </c>
      <c r="AA496" s="650">
        <f t="shared" si="365"/>
        <v>-28498376.316194437</v>
      </c>
      <c r="AB496" s="651">
        <f t="shared" si="366"/>
        <v>-51329656.183637127</v>
      </c>
      <c r="AC496" s="10">
        <f>VLOOKUP($E496,Resumen_Generación!$B$5:$F$158,Resumen_Generación!$D$3,FALSE)</f>
        <v>44.429850815999998</v>
      </c>
      <c r="AD496" s="10">
        <f>VLOOKUP($E496,Resumen_Generación!$B$5:$G$158,Resumen_Generación!$G$3,FALSE)</f>
        <v>18.311958980000004</v>
      </c>
      <c r="AE496" s="362">
        <f>VLOOKUP($E496,Resumen_Generación!$B$5:$F$158,Resumen_Generación!$E$3,FALSE)</f>
        <v>55735</v>
      </c>
      <c r="AF496" s="10">
        <f>VLOOKUP($E496,Resumen_Generación!$B$5:$F$158,Resumen_Generación!$F$3,FALSE)</f>
        <v>20.444326</v>
      </c>
      <c r="AG496" s="448">
        <f>VLOOKUP($D496,Valoración_Equip_actual!$D$4:$I$157,Valoración_Equip_actual!$E$2,FALSE)*$E$4</f>
        <v>658030.42997499998</v>
      </c>
      <c r="AH496" s="448">
        <f>VLOOKUP($D496,Valoración_Equip_actual!$D$4:$I$157,Valoración_Equip_actual!$F$2,FALSE)*$E$4</f>
        <v>358718.75</v>
      </c>
      <c r="AI496" s="513">
        <f>[251]P_Datos!$D$43</f>
        <v>1.3443278688524589</v>
      </c>
      <c r="AJ496" s="514"/>
      <c r="AK496" s="514"/>
      <c r="AL496" s="514"/>
      <c r="AM496" s="514"/>
      <c r="AN496" s="34" t="str">
        <f>[251]Datos!$C$2</f>
        <v>Balcarce</v>
      </c>
      <c r="AO496" s="25" t="str">
        <f>VLOOKUP($E496,Tabla13[],Inputs_costos!$D$1,FALSE)</f>
        <v>BALCARCE</v>
      </c>
      <c r="AP496" s="28" t="str">
        <f>VLOOKUP($D496,'Costo Social x localidad'!$B$2:$M$156,1,FALSE)</f>
        <v>BALCARCE</v>
      </c>
    </row>
    <row r="497" spans="1:42" ht="15" customHeight="1">
      <c r="A497" s="890"/>
      <c r="B497" s="887"/>
      <c r="C497" s="478" t="str">
        <f t="shared" si="362"/>
        <v>ok</v>
      </c>
      <c r="D497" s="24" t="s">
        <v>201</v>
      </c>
      <c r="E497" s="539">
        <f>VLOOKUP(D497,Pobl_adoptada!$C$5:$D$158,2,FALSE)</f>
        <v>100</v>
      </c>
      <c r="F497" s="9" t="s">
        <v>308</v>
      </c>
      <c r="G497" s="9"/>
      <c r="H497" s="34">
        <f>'[252]Inversion rec-TA'!$G$21</f>
        <v>3197847.7022797675</v>
      </c>
      <c r="I497" s="25"/>
      <c r="J497" s="34">
        <f>'[252]Costos Operativos Rec-TA'!$G$23</f>
        <v>1464223.9920381578</v>
      </c>
      <c r="K497" s="25">
        <f>'[252]Inversion rec-TA'!$G$46</f>
        <v>0</v>
      </c>
      <c r="L497" s="25">
        <f>+'[252]Costos Operativos Rec-TA'!$G$46</f>
        <v>0</v>
      </c>
      <c r="M497" s="19">
        <f t="shared" si="363"/>
        <v>-14821781.099493848</v>
      </c>
      <c r="N497" s="19"/>
      <c r="O497" s="25">
        <f>IF(((VLOOKUP($E497,Tabla13[],Inputs_costos!$I$1,FALSE))*(O$3*$E$3+O$4*$E$4)-AG497)&lt;0,0,VLOOKUP($E497,Tabla13[],Inputs_costos!$I$1,FALSE)*(O$3*$E$3+O$4*$E$4)-AG497)</f>
        <v>1562020.8753000002</v>
      </c>
      <c r="P497" s="25">
        <f>(VLOOKUP($E497,Tabla13[],Inputs_costos!$J$1,FALSE))*(P$3*$E$3+P$4*$E$4)</f>
        <v>482014.68208</v>
      </c>
      <c r="Q497" s="25"/>
      <c r="R497" s="25">
        <f>IF($AC497&gt;=15,(VLOOKUP($E497,Tabla13[],Inputs_costos!$G$1,FALSE))*($R$3*$E$3+$R$4*$E$4),(VLOOKUP($E497,Tabla13[],Inputs_costos!$G$1,FALSE))*($T$3*$E$3+$T$4*$E$4))-AH497</f>
        <v>8815623.9896000009</v>
      </c>
      <c r="S497" s="25">
        <f t="shared" si="364"/>
        <v>815000</v>
      </c>
      <c r="T497" s="25">
        <f>IF($AC497&gt;=15,(VLOOKUP($E497,Tabla13[],Inputs_costos!$H$1,FALSE))*($R$3*$E$3+$R$4*$E$4),(VLOOKUP($E497,Tabla13[],Inputs_costos!$H$1,FALSE))*($T$3*$E$3+$T$4*$E$4))</f>
        <v>1645608.0002240001</v>
      </c>
      <c r="U497" s="465">
        <f>SUMIFS(Tabla24[Costo de Cierre Técnico de BCA (US$)],Tabla24[Localidad],Resumen!$D497)</f>
        <v>3266920</v>
      </c>
      <c r="V497" s="461">
        <f>+U497*(V$3*$E$3+V$4*$E$4)</f>
        <v>6273931.6854079999</v>
      </c>
      <c r="W497" s="465">
        <f>SUMIFS(Tabla24[Costo anual de Manteniemiento Post-cierre (US$)],Tabla24[Localidad],Resumen!$D497)</f>
        <v>290056.14380714879</v>
      </c>
      <c r="X497" s="461">
        <f>+W497*(X$3*$E$3+X$4*$E$4)</f>
        <v>557036.11694774602</v>
      </c>
      <c r="Y497" s="28">
        <f>VLOOKUP($D497,'Costo Social x localidad'!$B$2:$M$156,12,FALSE)*(Y$3*$E$3+Y$4*$E$4)</f>
        <v>63082.796551013344</v>
      </c>
      <c r="Z497" s="28">
        <f>VLOOKUP(D497,'Estimación  PRESUPUESTO PCAS'!$B$4:$G$158,'Estimación  PRESUPUESTO PCAS'!$G$2,FALSE)</f>
        <v>331166.64252587769</v>
      </c>
      <c r="AA497" s="650">
        <f t="shared" si="365"/>
        <v>-25671784.669213813</v>
      </c>
      <c r="AB497" s="651">
        <f t="shared" si="366"/>
        <v>-40493565.768707663</v>
      </c>
      <c r="AC497" s="10">
        <f>VLOOKUP($E497,Resumen_Generación!$B$5:$F$158,Resumen_Generación!$D$3,FALSE)</f>
        <v>26.388763176000005</v>
      </c>
      <c r="AD497" s="10">
        <f>VLOOKUP($E497,Resumen_Generación!$B$5:$G$158,Resumen_Generación!$G$3,FALSE)</f>
        <v>10.932761029999998</v>
      </c>
      <c r="AE497" s="362">
        <f>VLOOKUP($E497,Resumen_Generación!$B$5:$F$158,Resumen_Generación!$E$3,FALSE)</f>
        <v>33146</v>
      </c>
      <c r="AF497" s="10">
        <f>VLOOKUP($E497,Resumen_Generación!$B$5:$F$158,Resumen_Generación!$F$3,FALSE)</f>
        <v>12.127619000000001</v>
      </c>
      <c r="AG497" s="448">
        <f>VLOOKUP($D497,Valoración_Equip_actual!$D$4:$I$157,Valoración_Equip_actual!$E$2,FALSE)*$E$4</f>
        <v>155683.93749999997</v>
      </c>
      <c r="AH497" s="448">
        <f>VLOOKUP($D497,Valoración_Equip_actual!$D$4:$I$157,Valoración_Equip_actual!$F$2,FALSE)*$E$4</f>
        <v>0</v>
      </c>
      <c r="AI497" s="513">
        <f>[252]P_Datos!$D$43</f>
        <v>0.81554098360655736</v>
      </c>
      <c r="AJ497" s="514"/>
      <c r="AK497" s="514"/>
      <c r="AL497" s="514"/>
      <c r="AM497" s="514"/>
      <c r="AN497" s="34" t="str">
        <f>[252]Datos!$C$2</f>
        <v>Carmen de Patagones</v>
      </c>
      <c r="AO497" s="25" t="str">
        <f>VLOOKUP($E497,Tabla13[],Inputs_costos!$D$1,FALSE)</f>
        <v>CARMEN DE PATAGONES</v>
      </c>
      <c r="AP497" s="28" t="str">
        <f>VLOOKUP($D497,'Costo Social x localidad'!$B$2:$M$156,1,FALSE)</f>
        <v>CARMEN DE PATAGONES</v>
      </c>
    </row>
    <row r="498" spans="1:42" ht="15" customHeight="1">
      <c r="A498" s="890"/>
      <c r="B498" s="887"/>
      <c r="C498" s="478" t="str">
        <f t="shared" si="362"/>
        <v>ok</v>
      </c>
      <c r="D498" s="24" t="s">
        <v>200</v>
      </c>
      <c r="E498" s="539">
        <f>VLOOKUP(D498,Pobl_adoptada!$C$5:$D$158,2,FALSE)</f>
        <v>99</v>
      </c>
      <c r="F498" s="9" t="s">
        <v>308</v>
      </c>
      <c r="G498" s="9"/>
      <c r="H498" s="34">
        <f>'[253]Inversion rec-TA'!$G$21</f>
        <v>7032116.0147735225</v>
      </c>
      <c r="I498" s="25"/>
      <c r="J498" s="34">
        <f>'[253]Costos Operativos Rec-TA'!$G$23</f>
        <v>4534760.9075348172</v>
      </c>
      <c r="K498" s="25">
        <f>'[253]Inversion rec-TA'!$G$46</f>
        <v>0</v>
      </c>
      <c r="L498" s="25">
        <f>+'[253]Costos Operativos Rec-TA'!$G$46</f>
        <v>0</v>
      </c>
      <c r="M498" s="19">
        <f t="shared" si="363"/>
        <v>-42414969.115184516</v>
      </c>
      <c r="N498" s="19"/>
      <c r="O498" s="25">
        <f>IF(((VLOOKUP($E498,Tabla13[],Inputs_costos!$I$1,FALSE))*(O$3*$E$3+O$4*$E$4)-AG498)&lt;0,0,VLOOKUP($E498,Tabla13[],Inputs_costos!$I$1,FALSE)*(O$3*$E$3+O$4*$E$4)-AG498)</f>
        <v>1710881.09632</v>
      </c>
      <c r="P498" s="25">
        <f>(VLOOKUP($E498,Tabla13[],Inputs_costos!$J$1,FALSE))*(P$3*$E$3+P$4*$E$4)</f>
        <v>1120069.676096</v>
      </c>
      <c r="Q498" s="25"/>
      <c r="R498" s="25">
        <f>IF($AC498&gt;=15,(VLOOKUP($E498,Tabla13[],Inputs_costos!$G$1,FALSE))*($R$3*$E$3+$R$4*$E$4),(VLOOKUP($E498,Tabla13[],Inputs_costos!$G$1,FALSE))*($T$3*$E$3+$T$4*$E$4))-AH498</f>
        <v>17057085.960000001</v>
      </c>
      <c r="S498" s="25">
        <f t="shared" si="364"/>
        <v>815000</v>
      </c>
      <c r="T498" s="25">
        <f>IF($AC498&gt;=15,(VLOOKUP($E498,Tabla13[],Inputs_costos!$H$1,FALSE))*($R$3*$E$3+$R$4*$E$4),(VLOOKUP($E498,Tabla13[],Inputs_costos!$H$1,FALSE))*($T$3*$E$3+$T$4*$E$4))</f>
        <v>1364771.9346640001</v>
      </c>
      <c r="U498" s="465">
        <f>SUMIFS(Tabla24[Costo de Cierre Técnico de BCA (US$)],Tabla24[Localidad],Resumen!$D498)</f>
        <v>2486760</v>
      </c>
      <c r="V498" s="461">
        <f>+U498*(V$3*$E$3+V$4*$E$4)</f>
        <v>4775679.3426240003</v>
      </c>
      <c r="W498" s="465">
        <f>SUMIFS(Tabla24[Costo anual de Manteniemiento Post-cierre (US$)],Tabla24[Localidad],Resumen!$D498)</f>
        <v>220789.00498753114</v>
      </c>
      <c r="X498" s="461">
        <f>+W498*(X$3*$E$3+X$4*$E$4)</f>
        <v>424012.56663186627</v>
      </c>
      <c r="Y498" s="28">
        <f>VLOOKUP($D498,'Costo Social x localidad'!$B$2:$M$156,12,FALSE)*(Y$3*$E$3+Y$4*$E$4)</f>
        <v>122432.81255423998</v>
      </c>
      <c r="Z498" s="28">
        <f>VLOOKUP(D498,'Estimación  PRESUPUESTO PCAS'!$B$4:$G$158,'Estimación  PRESUPUESTO PCAS'!$G$2,FALSE)</f>
        <v>514869.43017146911</v>
      </c>
      <c r="AA498" s="650">
        <f t="shared" si="365"/>
        <v>-35855334.919921465</v>
      </c>
      <c r="AB498" s="651">
        <f t="shared" si="366"/>
        <v>-78270304.035105973</v>
      </c>
      <c r="AC498" s="10">
        <f>VLOOKUP($E498,Resumen_Generación!$B$5:$F$158,Resumen_Generación!$D$3,FALSE)</f>
        <v>83.996342712000001</v>
      </c>
      <c r="AD498" s="10">
        <f>VLOOKUP($E498,Resumen_Generación!$B$5:$G$158,Resumen_Generación!$G$3,FALSE)</f>
        <v>34.239544110000011</v>
      </c>
      <c r="AE498" s="362">
        <f>VLOOKUP($E498,Resumen_Generación!$B$5:$F$158,Resumen_Generación!$E$3,FALSE)</f>
        <v>109204</v>
      </c>
      <c r="AF498" s="10">
        <f>VLOOKUP($E498,Resumen_Generación!$B$5:$F$158,Resumen_Generación!$F$3,FALSE)</f>
        <v>38.798759999999994</v>
      </c>
      <c r="AG498" s="448">
        <f>VLOOKUP($D498,Valoración_Equip_actual!$D$4:$I$157,Valoración_Equip_actual!$E$2,FALSE)*$E$4</f>
        <v>328476</v>
      </c>
      <c r="AH498" s="448">
        <f>VLOOKUP($D498,Valoración_Equip_actual!$D$4:$I$157,Valoración_Equip_actual!$F$2,FALSE)*$E$4</f>
        <v>0</v>
      </c>
      <c r="AI498" s="513">
        <f>[253]P_Datos!$D$43</f>
        <v>2.7883278688524591</v>
      </c>
      <c r="AJ498" s="514"/>
      <c r="AK498" s="514"/>
      <c r="AL498" s="514"/>
      <c r="AM498" s="514"/>
      <c r="AN498" s="34" t="str">
        <f>[253]Datos!$C$2</f>
        <v>Olavarría</v>
      </c>
      <c r="AO498" s="25" t="str">
        <f>VLOOKUP($E498,Tabla13[],Inputs_costos!$D$1,FALSE)</f>
        <v>OLAVARRÍA</v>
      </c>
      <c r="AP498" s="28" t="str">
        <f>VLOOKUP($D498,'Costo Social x localidad'!$B$2:$M$156,1,FALSE)</f>
        <v>OLAVARRÍA</v>
      </c>
    </row>
    <row r="499" spans="1:42" ht="15.75" thickBot="1">
      <c r="A499" s="891"/>
      <c r="B499" s="888"/>
      <c r="C499" s="535" t="str">
        <f t="shared" si="362"/>
        <v>ok</v>
      </c>
      <c r="D499" s="519" t="s">
        <v>211</v>
      </c>
      <c r="E499" s="538">
        <f>VLOOKUP(D499,Pobl_adoptada!$C$5:$D$158,2,FALSE)</f>
        <v>109</v>
      </c>
      <c r="F499" s="37" t="s">
        <v>308</v>
      </c>
      <c r="G499" s="37"/>
      <c r="H499" s="117">
        <f>'[254]Inversion rec-TA'!$G$21</f>
        <v>2278403.7847098256</v>
      </c>
      <c r="I499" s="540"/>
      <c r="J499" s="117">
        <f>'[254]Costos Operativos Rec-TA'!$G$23</f>
        <v>931406.31989211636</v>
      </c>
      <c r="K499" s="540">
        <f>'[254]Inversion rec-TA'!$G$46</f>
        <v>0</v>
      </c>
      <c r="L499" s="540">
        <f>+'[254]Costos Operativos Rec-TA'!$G$46</f>
        <v>0</v>
      </c>
      <c r="M499" s="541">
        <f t="shared" si="363"/>
        <v>-9724961.1320910286</v>
      </c>
      <c r="N499" s="541"/>
      <c r="O499" s="540">
        <f>IF(((VLOOKUP($E499,Tabla13[],Inputs_costos!$I$1,FALSE))*(O$3*$E$3+O$4*$E$4)-AG499)&lt;0,0,VLOOKUP($E499,Tabla13[],Inputs_costos!$I$1,FALSE)*(O$3*$E$3+O$4*$E$4)-AG499)</f>
        <v>0</v>
      </c>
      <c r="P499" s="540">
        <f>(VLOOKUP($E499,Tabla13[],Inputs_costos!$J$1,FALSE))*(P$3*$E$3+P$4*$E$4)</f>
        <v>26127.3549570752</v>
      </c>
      <c r="Q499" s="540"/>
      <c r="R499" s="540">
        <f>IF($AC499&gt;=15,(VLOOKUP($E499,Tabla13[],Inputs_costos!$G$1,FALSE))*($R$3*$E$3+$R$4*$E$4),(VLOOKUP($E499,Tabla13[],Inputs_costos!$G$1,FALSE))*($T$3*$E$3+$T$4*$E$4))-AH499</f>
        <v>677268.93015999999</v>
      </c>
      <c r="S499" s="540">
        <f t="shared" si="364"/>
        <v>0</v>
      </c>
      <c r="T499" s="540">
        <f>IF($AC499&gt;=15,(VLOOKUP($E499,Tabla13[],Inputs_costos!$H$1,FALSE))*($R$3*$E$3+$R$4*$E$4),(VLOOKUP($E499,Tabla13[],Inputs_costos!$H$1,FALSE))*($T$3*$E$3+$T$4*$E$4))</f>
        <v>97509.827823999993</v>
      </c>
      <c r="U499" s="542">
        <f>SUMIFS(Tabla24[Costo de Cierre Técnico de BCA (US$)],Tabla24[Localidad],Resumen!$D499)</f>
        <v>669920</v>
      </c>
      <c r="V499" s="543">
        <f t="shared" ref="V499" si="367">+U499*(V$3*$E$3+V$4*$E$4)</f>
        <v>1286542.7726080001</v>
      </c>
      <c r="W499" s="542">
        <f>SUMIFS(Tabla24[Costo anual de Manteniemiento Post-cierre (US$)],Tabla24[Localidad],Resumen!$D499)</f>
        <v>59479.390942932521</v>
      </c>
      <c r="X499" s="543">
        <f t="shared" ref="X499" si="368">+W499*(X$3*$E$3+X$4*$E$4)</f>
        <v>114226.7442929836</v>
      </c>
      <c r="Y499" s="447">
        <f>VLOOKUP($D499,'Costo Social x localidad'!$B$2:$M$156,12,FALSE)*(Y$3*$E$3+Y$4*$E$4)</f>
        <v>16215.265751520001</v>
      </c>
      <c r="Z499" s="447">
        <f>VLOOKUP(D499,'Estimación  PRESUPUESTO PCAS'!$B$4:$G$158,'Estimación  PRESUPUESTO PCAS'!$G$2,FALSE)</f>
        <v>175094.55487477826</v>
      </c>
      <c r="AA499" s="652">
        <f t="shared" si="365"/>
        <v>-1528205.3685824992</v>
      </c>
      <c r="AB499" s="656">
        <f t="shared" si="366"/>
        <v>-11253166.500673529</v>
      </c>
      <c r="AC499" s="10">
        <f>VLOOKUP($E499,Resumen_Generación!$B$5:$F$158,Resumen_Generación!$D$3,FALSE)</f>
        <v>7.3999703200000013</v>
      </c>
      <c r="AD499" s="10">
        <f>VLOOKUP($E499,Resumen_Generación!$B$5:$G$158,Resumen_Generación!$G$3,FALSE)</f>
        <v>3.0676871000000001</v>
      </c>
      <c r="AE499" s="362">
        <f>VLOOKUP($E499,Resumen_Generación!$B$5:$F$158,Resumen_Generación!$E$3,FALSE)</f>
        <v>10711</v>
      </c>
      <c r="AF499" s="10">
        <f>VLOOKUP($E499,Resumen_Generación!$B$5:$F$158,Resumen_Generación!$F$3,FALSE)</f>
        <v>3.4003200000000002</v>
      </c>
      <c r="AG499" s="448">
        <f>VLOOKUP($D499,Valoración_Equip_actual!$D$4:$I$157,Valoración_Equip_actual!$E$2,FALSE)*$E$4</f>
        <v>476070.59790000005</v>
      </c>
      <c r="AH499" s="448">
        <f>VLOOKUP($D499,Valoración_Equip_actual!$D$4:$I$157,Valoración_Equip_actual!$F$2,FALSE)*$E$4</f>
        <v>0</v>
      </c>
      <c r="AI499" s="513">
        <f>[254]P_Datos!$D$43</f>
        <v>0.2861639344262295</v>
      </c>
      <c r="AJ499" s="514"/>
      <c r="AK499" s="514"/>
      <c r="AL499" s="514"/>
      <c r="AM499" s="514"/>
      <c r="AN499" s="34" t="str">
        <f>[254]Datos!$C$2</f>
        <v>Verónica</v>
      </c>
      <c r="AO499" s="25" t="str">
        <f>VLOOKUP($E499,Tabla13[],Inputs_costos!$D$1,FALSE)</f>
        <v>VERÓNICA</v>
      </c>
      <c r="AP499" s="28" t="str">
        <f>VLOOKUP($D499,'Costo Social x localidad'!$B$2:$M$156,1,FALSE)</f>
        <v>VERÓNICA</v>
      </c>
    </row>
    <row r="500" spans="1:42">
      <c r="F500" s="2"/>
      <c r="G500" s="2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0"/>
      <c r="V500" s="2"/>
      <c r="W500" s="2"/>
      <c r="X500" s="2"/>
      <c r="Y500" s="2"/>
      <c r="Z500" s="2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</row>
    <row r="501" spans="1:42">
      <c r="A501" s="503"/>
      <c r="B501" s="503"/>
      <c r="C501" s="503"/>
      <c r="D501" s="503"/>
      <c r="E501" s="503"/>
      <c r="F501" s="504"/>
      <c r="G501" s="504"/>
      <c r="H501" s="505"/>
      <c r="I501" s="505"/>
      <c r="J501" s="505"/>
      <c r="K501" s="505"/>
      <c r="L501" s="505"/>
      <c r="M501" s="505"/>
      <c r="N501" s="505"/>
      <c r="O501" s="505"/>
      <c r="P501" s="505"/>
      <c r="Q501" s="505"/>
      <c r="R501" s="504"/>
      <c r="S501" s="504"/>
      <c r="T501" s="504"/>
      <c r="U501" s="504"/>
      <c r="V501" s="504"/>
      <c r="W501" s="504"/>
      <c r="X501" s="504"/>
      <c r="Y501" s="504"/>
      <c r="Z501" s="504"/>
      <c r="AA501" s="506"/>
      <c r="AB501" s="506"/>
      <c r="AC501" s="506"/>
      <c r="AD501" s="506"/>
      <c r="AE501" s="506"/>
      <c r="AF501" s="506"/>
      <c r="AG501" s="506"/>
      <c r="AH501" s="506"/>
      <c r="AI501" s="506"/>
      <c r="AJ501" s="506"/>
      <c r="AK501" s="506"/>
      <c r="AL501" s="506"/>
      <c r="AM501" s="506"/>
      <c r="AN501" s="506"/>
      <c r="AO501" s="506"/>
      <c r="AP501" s="506"/>
    </row>
  </sheetData>
  <mergeCells count="1110">
    <mergeCell ref="Q435:T435"/>
    <mergeCell ref="Q468:T468"/>
    <mergeCell ref="Q484:T484"/>
    <mergeCell ref="Q492:T492"/>
    <mergeCell ref="Q175:T175"/>
    <mergeCell ref="Q190:T190"/>
    <mergeCell ref="Q207:T207"/>
    <mergeCell ref="Q220:T220"/>
    <mergeCell ref="Q237:T237"/>
    <mergeCell ref="Q248:T248"/>
    <mergeCell ref="Q259:T259"/>
    <mergeCell ref="Q276:T276"/>
    <mergeCell ref="Q287:T287"/>
    <mergeCell ref="Q304:T304"/>
    <mergeCell ref="Q317:T317"/>
    <mergeCell ref="Q334:T334"/>
    <mergeCell ref="Q345:T345"/>
    <mergeCell ref="Q358:T358"/>
    <mergeCell ref="Q373:T373"/>
    <mergeCell ref="Q384:T384"/>
    <mergeCell ref="AD435:AD436"/>
    <mergeCell ref="AD468:AD469"/>
    <mergeCell ref="AD484:AD485"/>
    <mergeCell ref="AD492:AD493"/>
    <mergeCell ref="AD175:AD176"/>
    <mergeCell ref="AD190:AD191"/>
    <mergeCell ref="AD207:AD208"/>
    <mergeCell ref="AD220:AD221"/>
    <mergeCell ref="AD237:AD238"/>
    <mergeCell ref="AD248:AD249"/>
    <mergeCell ref="AD259:AD260"/>
    <mergeCell ref="AD276:AD277"/>
    <mergeCell ref="AD287:AD288"/>
    <mergeCell ref="AD304:AD305"/>
    <mergeCell ref="AD317:AD318"/>
    <mergeCell ref="AD334:AD335"/>
    <mergeCell ref="AD345:AD346"/>
    <mergeCell ref="AD358:AD359"/>
    <mergeCell ref="AD373:AD374"/>
    <mergeCell ref="AD384:AD385"/>
    <mergeCell ref="AD395:AD396"/>
    <mergeCell ref="AN484:AP484"/>
    <mergeCell ref="A486:A489"/>
    <mergeCell ref="B486:B489"/>
    <mergeCell ref="C488:D488"/>
    <mergeCell ref="AN468:AP468"/>
    <mergeCell ref="A470:A481"/>
    <mergeCell ref="B470:B481"/>
    <mergeCell ref="C480:D480"/>
    <mergeCell ref="AJ482:AK482"/>
    <mergeCell ref="AL482:AM482"/>
    <mergeCell ref="A484:A485"/>
    <mergeCell ref="B484:B485"/>
    <mergeCell ref="D484:D485"/>
    <mergeCell ref="E484:E485"/>
    <mergeCell ref="F484:F485"/>
    <mergeCell ref="H484:J484"/>
    <mergeCell ref="K484:L484"/>
    <mergeCell ref="M484:M485"/>
    <mergeCell ref="U484:X484"/>
    <mergeCell ref="AA484:AA485"/>
    <mergeCell ref="AB484:AB485"/>
    <mergeCell ref="AC484:AC485"/>
    <mergeCell ref="AE484:AE485"/>
    <mergeCell ref="AF468:AF469"/>
    <mergeCell ref="AG468:AG469"/>
    <mergeCell ref="AH468:AH469"/>
    <mergeCell ref="AI468:AI469"/>
    <mergeCell ref="AJ468:AJ469"/>
    <mergeCell ref="AK468:AK469"/>
    <mergeCell ref="AL468:AL469"/>
    <mergeCell ref="AM468:AM469"/>
    <mergeCell ref="H468:J468"/>
    <mergeCell ref="K468:L468"/>
    <mergeCell ref="M468:M469"/>
    <mergeCell ref="U468:X468"/>
    <mergeCell ref="AA468:AA469"/>
    <mergeCell ref="AB468:AB469"/>
    <mergeCell ref="AC468:AC469"/>
    <mergeCell ref="AJ490:AK490"/>
    <mergeCell ref="AL490:AM490"/>
    <mergeCell ref="AI484:AI485"/>
    <mergeCell ref="AJ484:AJ485"/>
    <mergeCell ref="AK484:AK485"/>
    <mergeCell ref="AL484:AL485"/>
    <mergeCell ref="AM484:AM485"/>
    <mergeCell ref="A408:A409"/>
    <mergeCell ref="B408:B409"/>
    <mergeCell ref="D408:D409"/>
    <mergeCell ref="E408:E409"/>
    <mergeCell ref="A468:A469"/>
    <mergeCell ref="B468:B469"/>
    <mergeCell ref="D468:D469"/>
    <mergeCell ref="E468:E469"/>
    <mergeCell ref="F468:F469"/>
    <mergeCell ref="K408:L408"/>
    <mergeCell ref="M408:M409"/>
    <mergeCell ref="AE408:AE409"/>
    <mergeCell ref="AF408:AF409"/>
    <mergeCell ref="AG408:AG409"/>
    <mergeCell ref="AH408:AH409"/>
    <mergeCell ref="A420:A425"/>
    <mergeCell ref="B420:B425"/>
    <mergeCell ref="AJ416:AK416"/>
    <mergeCell ref="AL416:AM416"/>
    <mergeCell ref="A410:A415"/>
    <mergeCell ref="AI408:AI409"/>
    <mergeCell ref="AJ408:AJ409"/>
    <mergeCell ref="AK408:AK409"/>
    <mergeCell ref="AL408:AL409"/>
    <mergeCell ref="AM408:AM409"/>
    <mergeCell ref="AN408:AP408"/>
    <mergeCell ref="B410:B415"/>
    <mergeCell ref="C414:D414"/>
    <mergeCell ref="U408:X408"/>
    <mergeCell ref="AA408:AA409"/>
    <mergeCell ref="AB408:AB409"/>
    <mergeCell ref="AC408:AC409"/>
    <mergeCell ref="AG395:AG396"/>
    <mergeCell ref="AH395:AH396"/>
    <mergeCell ref="AI395:AI396"/>
    <mergeCell ref="AJ395:AJ396"/>
    <mergeCell ref="AK395:AK396"/>
    <mergeCell ref="AL395:AL396"/>
    <mergeCell ref="F408:F409"/>
    <mergeCell ref="H408:J408"/>
    <mergeCell ref="AD408:AD409"/>
    <mergeCell ref="N408:P408"/>
    <mergeCell ref="A397:A405"/>
    <mergeCell ref="B397:B400"/>
    <mergeCell ref="B401:B405"/>
    <mergeCell ref="C404:D404"/>
    <mergeCell ref="AJ406:AK406"/>
    <mergeCell ref="AL406:AM406"/>
    <mergeCell ref="Q408:T408"/>
    <mergeCell ref="AN384:AP384"/>
    <mergeCell ref="A386:A392"/>
    <mergeCell ref="B386:B388"/>
    <mergeCell ref="B389:B392"/>
    <mergeCell ref="C391:D391"/>
    <mergeCell ref="AJ393:AK393"/>
    <mergeCell ref="AL393:AM393"/>
    <mergeCell ref="A395:A396"/>
    <mergeCell ref="B395:B396"/>
    <mergeCell ref="D395:D396"/>
    <mergeCell ref="E395:E396"/>
    <mergeCell ref="F395:F396"/>
    <mergeCell ref="H395:J395"/>
    <mergeCell ref="K395:L395"/>
    <mergeCell ref="M395:M396"/>
    <mergeCell ref="R395:T395"/>
    <mergeCell ref="U395:X395"/>
    <mergeCell ref="AA395:AA396"/>
    <mergeCell ref="AB395:AB396"/>
    <mergeCell ref="AC395:AC396"/>
    <mergeCell ref="AE395:AE396"/>
    <mergeCell ref="AF395:AF396"/>
    <mergeCell ref="AM395:AM396"/>
    <mergeCell ref="AN395:AP395"/>
    <mergeCell ref="AJ382:AK382"/>
    <mergeCell ref="AL382:AM382"/>
    <mergeCell ref="A384:A385"/>
    <mergeCell ref="B384:B385"/>
    <mergeCell ref="D384:D385"/>
    <mergeCell ref="E384:E385"/>
    <mergeCell ref="F384:F385"/>
    <mergeCell ref="H384:J384"/>
    <mergeCell ref="K384:L384"/>
    <mergeCell ref="M384:M385"/>
    <mergeCell ref="U384:X384"/>
    <mergeCell ref="AA384:AA385"/>
    <mergeCell ref="AB384:AB385"/>
    <mergeCell ref="AC384:AC385"/>
    <mergeCell ref="AE384:AE385"/>
    <mergeCell ref="AF384:AF385"/>
    <mergeCell ref="AG384:AG385"/>
    <mergeCell ref="AH384:AH385"/>
    <mergeCell ref="AI384:AI385"/>
    <mergeCell ref="AJ384:AJ385"/>
    <mergeCell ref="AK384:AK385"/>
    <mergeCell ref="AL384:AL385"/>
    <mergeCell ref="AM384:AM385"/>
    <mergeCell ref="AK373:AK374"/>
    <mergeCell ref="AL373:AL374"/>
    <mergeCell ref="AM373:AM374"/>
    <mergeCell ref="AN373:AP373"/>
    <mergeCell ref="A375:A381"/>
    <mergeCell ref="B375:B377"/>
    <mergeCell ref="B378:B381"/>
    <mergeCell ref="C380:D380"/>
    <mergeCell ref="AM358:AM359"/>
    <mergeCell ref="AN358:AP358"/>
    <mergeCell ref="A360:A370"/>
    <mergeCell ref="B360:B364"/>
    <mergeCell ref="B365:B370"/>
    <mergeCell ref="C369:D369"/>
    <mergeCell ref="AJ371:AK371"/>
    <mergeCell ref="AL371:AM371"/>
    <mergeCell ref="A373:A374"/>
    <mergeCell ref="B373:B374"/>
    <mergeCell ref="D373:D374"/>
    <mergeCell ref="E373:E374"/>
    <mergeCell ref="F373:F374"/>
    <mergeCell ref="H373:J373"/>
    <mergeCell ref="K373:L373"/>
    <mergeCell ref="M373:M374"/>
    <mergeCell ref="U373:X373"/>
    <mergeCell ref="AA373:AA374"/>
    <mergeCell ref="AB373:AB374"/>
    <mergeCell ref="AC373:AC374"/>
    <mergeCell ref="AE373:AE374"/>
    <mergeCell ref="AF373:AF374"/>
    <mergeCell ref="AF345:AF346"/>
    <mergeCell ref="AG345:AG346"/>
    <mergeCell ref="AH345:AH346"/>
    <mergeCell ref="AJ356:AK356"/>
    <mergeCell ref="AL356:AM356"/>
    <mergeCell ref="A358:A359"/>
    <mergeCell ref="B358:B359"/>
    <mergeCell ref="D358:D359"/>
    <mergeCell ref="E358:E359"/>
    <mergeCell ref="F358:F359"/>
    <mergeCell ref="H358:J358"/>
    <mergeCell ref="K358:L358"/>
    <mergeCell ref="M358:M359"/>
    <mergeCell ref="U358:X358"/>
    <mergeCell ref="AA358:AA359"/>
    <mergeCell ref="AB358:AB359"/>
    <mergeCell ref="AC358:AC359"/>
    <mergeCell ref="AE358:AE359"/>
    <mergeCell ref="AF358:AF359"/>
    <mergeCell ref="AG358:AG359"/>
    <mergeCell ref="AH358:AH359"/>
    <mergeCell ref="AI358:AI359"/>
    <mergeCell ref="AJ358:AJ359"/>
    <mergeCell ref="AK358:AK359"/>
    <mergeCell ref="AI345:AI346"/>
    <mergeCell ref="AJ345:AJ346"/>
    <mergeCell ref="AL358:AL359"/>
    <mergeCell ref="AK345:AK346"/>
    <mergeCell ref="AL345:AL346"/>
    <mergeCell ref="AM345:AM346"/>
    <mergeCell ref="AH334:AH335"/>
    <mergeCell ref="AI334:AI335"/>
    <mergeCell ref="AJ334:AJ335"/>
    <mergeCell ref="AK334:AK335"/>
    <mergeCell ref="AL334:AL335"/>
    <mergeCell ref="AG373:AG374"/>
    <mergeCell ref="AH373:AH374"/>
    <mergeCell ref="AI373:AI374"/>
    <mergeCell ref="AJ373:AJ374"/>
    <mergeCell ref="A347:A355"/>
    <mergeCell ref="B347:B350"/>
    <mergeCell ref="B351:B355"/>
    <mergeCell ref="C354:D354"/>
    <mergeCell ref="A336:A342"/>
    <mergeCell ref="B336:B338"/>
    <mergeCell ref="B339:B342"/>
    <mergeCell ref="C341:D341"/>
    <mergeCell ref="AJ343:AK343"/>
    <mergeCell ref="AL343:AM343"/>
    <mergeCell ref="A345:A346"/>
    <mergeCell ref="B345:B346"/>
    <mergeCell ref="D345:D346"/>
    <mergeCell ref="E345:E346"/>
    <mergeCell ref="F345:F346"/>
    <mergeCell ref="H345:J345"/>
    <mergeCell ref="K345:L345"/>
    <mergeCell ref="M345:M346"/>
    <mergeCell ref="U345:X345"/>
    <mergeCell ref="AA345:AA346"/>
    <mergeCell ref="AB345:AB346"/>
    <mergeCell ref="AC345:AC346"/>
    <mergeCell ref="AE345:AE346"/>
    <mergeCell ref="AN345:AP345"/>
    <mergeCell ref="AJ332:AK332"/>
    <mergeCell ref="AL332:AM332"/>
    <mergeCell ref="AG317:AG318"/>
    <mergeCell ref="AH317:AH318"/>
    <mergeCell ref="AI317:AI318"/>
    <mergeCell ref="AJ317:AJ318"/>
    <mergeCell ref="AK317:AK318"/>
    <mergeCell ref="AL317:AL318"/>
    <mergeCell ref="AM317:AM318"/>
    <mergeCell ref="AN317:AP317"/>
    <mergeCell ref="A319:A331"/>
    <mergeCell ref="B319:B324"/>
    <mergeCell ref="B325:B331"/>
    <mergeCell ref="C330:D330"/>
    <mergeCell ref="AM334:AM335"/>
    <mergeCell ref="AN334:AP334"/>
    <mergeCell ref="A334:A335"/>
    <mergeCell ref="B334:B335"/>
    <mergeCell ref="D334:D335"/>
    <mergeCell ref="E334:E335"/>
    <mergeCell ref="F334:F335"/>
    <mergeCell ref="H334:J334"/>
    <mergeCell ref="K334:L334"/>
    <mergeCell ref="M334:M335"/>
    <mergeCell ref="U334:X334"/>
    <mergeCell ref="AA334:AA335"/>
    <mergeCell ref="AB334:AB335"/>
    <mergeCell ref="AC334:AC335"/>
    <mergeCell ref="AE334:AE335"/>
    <mergeCell ref="AF334:AF335"/>
    <mergeCell ref="AG334:AG335"/>
    <mergeCell ref="AN304:AP304"/>
    <mergeCell ref="A306:A314"/>
    <mergeCell ref="B306:B309"/>
    <mergeCell ref="B310:B314"/>
    <mergeCell ref="C313:D313"/>
    <mergeCell ref="AJ315:AK315"/>
    <mergeCell ref="AL315:AM315"/>
    <mergeCell ref="A317:A318"/>
    <mergeCell ref="B317:B318"/>
    <mergeCell ref="D317:D318"/>
    <mergeCell ref="E317:E318"/>
    <mergeCell ref="F317:F318"/>
    <mergeCell ref="H317:J317"/>
    <mergeCell ref="K317:L317"/>
    <mergeCell ref="M317:M318"/>
    <mergeCell ref="U317:X317"/>
    <mergeCell ref="AA317:AA318"/>
    <mergeCell ref="AB317:AB318"/>
    <mergeCell ref="AC317:AC318"/>
    <mergeCell ref="AE317:AE318"/>
    <mergeCell ref="AF317:AF318"/>
    <mergeCell ref="AH287:AH288"/>
    <mergeCell ref="AI287:AI288"/>
    <mergeCell ref="AJ302:AK302"/>
    <mergeCell ref="AL302:AM302"/>
    <mergeCell ref="A304:A305"/>
    <mergeCell ref="B304:B305"/>
    <mergeCell ref="D304:D305"/>
    <mergeCell ref="E304:E305"/>
    <mergeCell ref="F304:F305"/>
    <mergeCell ref="H304:J304"/>
    <mergeCell ref="K304:L304"/>
    <mergeCell ref="M304:M305"/>
    <mergeCell ref="U304:X304"/>
    <mergeCell ref="AA304:AA305"/>
    <mergeCell ref="AB304:AB305"/>
    <mergeCell ref="AC304:AC305"/>
    <mergeCell ref="AE304:AE305"/>
    <mergeCell ref="AF304:AF305"/>
    <mergeCell ref="AG304:AG305"/>
    <mergeCell ref="AH304:AH305"/>
    <mergeCell ref="AI304:AI305"/>
    <mergeCell ref="AJ304:AJ305"/>
    <mergeCell ref="AK304:AK305"/>
    <mergeCell ref="AL304:AL305"/>
    <mergeCell ref="AM304:AM305"/>
    <mergeCell ref="AJ287:AJ288"/>
    <mergeCell ref="AK287:AK288"/>
    <mergeCell ref="AJ259:AJ260"/>
    <mergeCell ref="AK259:AK260"/>
    <mergeCell ref="AL287:AL288"/>
    <mergeCell ref="AM287:AM288"/>
    <mergeCell ref="AN287:AP287"/>
    <mergeCell ref="A289:A301"/>
    <mergeCell ref="B289:B294"/>
    <mergeCell ref="B295:B301"/>
    <mergeCell ref="C300:D300"/>
    <mergeCell ref="AM276:AM277"/>
    <mergeCell ref="AN276:AP276"/>
    <mergeCell ref="A278:A284"/>
    <mergeCell ref="B278:B280"/>
    <mergeCell ref="B281:B284"/>
    <mergeCell ref="C283:D283"/>
    <mergeCell ref="AJ285:AK285"/>
    <mergeCell ref="AL285:AM285"/>
    <mergeCell ref="A287:A288"/>
    <mergeCell ref="B287:B288"/>
    <mergeCell ref="D287:D288"/>
    <mergeCell ref="E287:E288"/>
    <mergeCell ref="F287:F288"/>
    <mergeCell ref="H287:J287"/>
    <mergeCell ref="K287:L287"/>
    <mergeCell ref="M287:M288"/>
    <mergeCell ref="U287:X287"/>
    <mergeCell ref="AA287:AA288"/>
    <mergeCell ref="AB287:AB288"/>
    <mergeCell ref="AC287:AC288"/>
    <mergeCell ref="AE287:AE288"/>
    <mergeCell ref="AF287:AF288"/>
    <mergeCell ref="AG287:AG288"/>
    <mergeCell ref="AJ274:AK274"/>
    <mergeCell ref="AL274:AM274"/>
    <mergeCell ref="A276:A277"/>
    <mergeCell ref="B276:B277"/>
    <mergeCell ref="D276:D277"/>
    <mergeCell ref="E276:E277"/>
    <mergeCell ref="F276:F277"/>
    <mergeCell ref="H276:J276"/>
    <mergeCell ref="K276:L276"/>
    <mergeCell ref="M276:M277"/>
    <mergeCell ref="U276:X276"/>
    <mergeCell ref="AA276:AA277"/>
    <mergeCell ref="AB276:AB277"/>
    <mergeCell ref="AC276:AC277"/>
    <mergeCell ref="AE276:AE277"/>
    <mergeCell ref="AF276:AF277"/>
    <mergeCell ref="AG276:AG277"/>
    <mergeCell ref="AH276:AH277"/>
    <mergeCell ref="AI276:AI277"/>
    <mergeCell ref="AJ276:AJ277"/>
    <mergeCell ref="AK276:AK277"/>
    <mergeCell ref="AL276:AL277"/>
    <mergeCell ref="AL259:AL260"/>
    <mergeCell ref="AM259:AM260"/>
    <mergeCell ref="AN259:AP259"/>
    <mergeCell ref="A261:A273"/>
    <mergeCell ref="B261:B266"/>
    <mergeCell ref="B267:B273"/>
    <mergeCell ref="C272:D272"/>
    <mergeCell ref="AM248:AM249"/>
    <mergeCell ref="AN248:AP248"/>
    <mergeCell ref="A250:A256"/>
    <mergeCell ref="B250:B252"/>
    <mergeCell ref="B253:B256"/>
    <mergeCell ref="C255:D255"/>
    <mergeCell ref="AJ257:AK257"/>
    <mergeCell ref="AL257:AM257"/>
    <mergeCell ref="A259:A260"/>
    <mergeCell ref="B259:B260"/>
    <mergeCell ref="D259:D260"/>
    <mergeCell ref="E259:E260"/>
    <mergeCell ref="F259:F260"/>
    <mergeCell ref="H259:J259"/>
    <mergeCell ref="K259:L259"/>
    <mergeCell ref="M259:M260"/>
    <mergeCell ref="U259:X259"/>
    <mergeCell ref="AA259:AA260"/>
    <mergeCell ref="AB259:AB260"/>
    <mergeCell ref="AC259:AC260"/>
    <mergeCell ref="AE259:AE260"/>
    <mergeCell ref="AF259:AF260"/>
    <mergeCell ref="AG259:AG260"/>
    <mergeCell ref="AH259:AH260"/>
    <mergeCell ref="AI259:AI260"/>
    <mergeCell ref="AJ246:AK246"/>
    <mergeCell ref="AL246:AM246"/>
    <mergeCell ref="A248:A249"/>
    <mergeCell ref="B248:B249"/>
    <mergeCell ref="D248:D249"/>
    <mergeCell ref="E248:E249"/>
    <mergeCell ref="F248:F249"/>
    <mergeCell ref="H248:J248"/>
    <mergeCell ref="K248:L248"/>
    <mergeCell ref="M248:M249"/>
    <mergeCell ref="U248:X248"/>
    <mergeCell ref="AA248:AA249"/>
    <mergeCell ref="AB248:AB249"/>
    <mergeCell ref="AC248:AC249"/>
    <mergeCell ref="AE248:AE249"/>
    <mergeCell ref="AF248:AF249"/>
    <mergeCell ref="AG248:AG249"/>
    <mergeCell ref="AH248:AH249"/>
    <mergeCell ref="AI248:AI249"/>
    <mergeCell ref="AJ248:AJ249"/>
    <mergeCell ref="AK248:AK249"/>
    <mergeCell ref="AL248:AL249"/>
    <mergeCell ref="AL237:AL238"/>
    <mergeCell ref="AM237:AM238"/>
    <mergeCell ref="AN237:AP237"/>
    <mergeCell ref="A239:A245"/>
    <mergeCell ref="B239:B241"/>
    <mergeCell ref="B242:B245"/>
    <mergeCell ref="C244:D244"/>
    <mergeCell ref="AM220:AM221"/>
    <mergeCell ref="AN220:AP220"/>
    <mergeCell ref="A222:A234"/>
    <mergeCell ref="B222:B227"/>
    <mergeCell ref="B228:B234"/>
    <mergeCell ref="C233:D233"/>
    <mergeCell ref="AJ235:AK235"/>
    <mergeCell ref="AL235:AM235"/>
    <mergeCell ref="A237:A238"/>
    <mergeCell ref="B237:B238"/>
    <mergeCell ref="D237:D238"/>
    <mergeCell ref="E237:E238"/>
    <mergeCell ref="F237:F238"/>
    <mergeCell ref="H237:J237"/>
    <mergeCell ref="K237:L237"/>
    <mergeCell ref="M237:M238"/>
    <mergeCell ref="U237:X237"/>
    <mergeCell ref="AA237:AA238"/>
    <mergeCell ref="AB237:AB238"/>
    <mergeCell ref="AC237:AC238"/>
    <mergeCell ref="AE237:AE238"/>
    <mergeCell ref="AJ237:AJ238"/>
    <mergeCell ref="AK237:AK238"/>
    <mergeCell ref="A35:A36"/>
    <mergeCell ref="B35:B36"/>
    <mergeCell ref="D35:D36"/>
    <mergeCell ref="E35:E36"/>
    <mergeCell ref="F35:F36"/>
    <mergeCell ref="AD35:AD36"/>
    <mergeCell ref="AF237:AF238"/>
    <mergeCell ref="AG237:AG238"/>
    <mergeCell ref="AH237:AH238"/>
    <mergeCell ref="AJ218:AK218"/>
    <mergeCell ref="AL218:AM218"/>
    <mergeCell ref="A220:A221"/>
    <mergeCell ref="B220:B221"/>
    <mergeCell ref="D220:D221"/>
    <mergeCell ref="E220:E221"/>
    <mergeCell ref="F220:F221"/>
    <mergeCell ref="H220:J220"/>
    <mergeCell ref="K220:L220"/>
    <mergeCell ref="M220:M221"/>
    <mergeCell ref="U220:X220"/>
    <mergeCell ref="AA220:AA221"/>
    <mergeCell ref="AB220:AB221"/>
    <mergeCell ref="AC220:AC221"/>
    <mergeCell ref="AE220:AE221"/>
    <mergeCell ref="AF220:AF221"/>
    <mergeCell ref="AG220:AG221"/>
    <mergeCell ref="AH220:AH221"/>
    <mergeCell ref="AI220:AI221"/>
    <mergeCell ref="AJ220:AJ221"/>
    <mergeCell ref="AK220:AK221"/>
    <mergeCell ref="AL220:AL221"/>
    <mergeCell ref="AI237:AI238"/>
    <mergeCell ref="AJ59:AK59"/>
    <mergeCell ref="AL59:AM59"/>
    <mergeCell ref="A61:A62"/>
    <mergeCell ref="AJ20:AJ21"/>
    <mergeCell ref="AK20:AK21"/>
    <mergeCell ref="AL20:AL21"/>
    <mergeCell ref="AB20:AB21"/>
    <mergeCell ref="AC20:AC21"/>
    <mergeCell ref="AE20:AE21"/>
    <mergeCell ref="H35:J35"/>
    <mergeCell ref="K35:L35"/>
    <mergeCell ref="M35:M36"/>
    <mergeCell ref="A48:A49"/>
    <mergeCell ref="B48:B49"/>
    <mergeCell ref="D48:D49"/>
    <mergeCell ref="A22:A32"/>
    <mergeCell ref="B22:B26"/>
    <mergeCell ref="B27:B32"/>
    <mergeCell ref="A20:A21"/>
    <mergeCell ref="B20:B21"/>
    <mergeCell ref="AK61:AK62"/>
    <mergeCell ref="AL61:AL62"/>
    <mergeCell ref="AM61:AM62"/>
    <mergeCell ref="AD61:AD62"/>
    <mergeCell ref="E48:E49"/>
    <mergeCell ref="A37:A45"/>
    <mergeCell ref="B37:B40"/>
    <mergeCell ref="B41:B45"/>
    <mergeCell ref="C44:D44"/>
    <mergeCell ref="AH35:AH36"/>
    <mergeCell ref="AI35:AI36"/>
    <mergeCell ref="AJ35:AJ36"/>
    <mergeCell ref="N48:P48"/>
    <mergeCell ref="AM48:AM49"/>
    <mergeCell ref="AC48:AC49"/>
    <mergeCell ref="AE48:AE49"/>
    <mergeCell ref="AF48:AF49"/>
    <mergeCell ref="AG48:AG49"/>
    <mergeCell ref="AH48:AH49"/>
    <mergeCell ref="U48:X48"/>
    <mergeCell ref="AA48:AA49"/>
    <mergeCell ref="AB48:AB49"/>
    <mergeCell ref="A50:A58"/>
    <mergeCell ref="B50:B53"/>
    <mergeCell ref="B54:B58"/>
    <mergeCell ref="C57:D57"/>
    <mergeCell ref="AJ48:AJ49"/>
    <mergeCell ref="AK48:AK49"/>
    <mergeCell ref="AL48:AL49"/>
    <mergeCell ref="F48:F49"/>
    <mergeCell ref="H48:J48"/>
    <mergeCell ref="K48:L48"/>
    <mergeCell ref="M48:M49"/>
    <mergeCell ref="AJ33:AK33"/>
    <mergeCell ref="AL18:AM18"/>
    <mergeCell ref="AJ18:AK18"/>
    <mergeCell ref="AF20:AF21"/>
    <mergeCell ref="AG20:AG21"/>
    <mergeCell ref="AM35:AM36"/>
    <mergeCell ref="AF35:AF36"/>
    <mergeCell ref="AG35:AG36"/>
    <mergeCell ref="U35:X35"/>
    <mergeCell ref="AA35:AA36"/>
    <mergeCell ref="Q20:T20"/>
    <mergeCell ref="Q35:T35"/>
    <mergeCell ref="AN48:AP48"/>
    <mergeCell ref="AL4:AM4"/>
    <mergeCell ref="AL5:AL6"/>
    <mergeCell ref="AM5:AM6"/>
    <mergeCell ref="AD48:AD49"/>
    <mergeCell ref="AI48:AI49"/>
    <mergeCell ref="AK35:AK36"/>
    <mergeCell ref="AL35:AL36"/>
    <mergeCell ref="AB35:AB36"/>
    <mergeCell ref="AC35:AC36"/>
    <mergeCell ref="AE35:AE36"/>
    <mergeCell ref="Q48:T48"/>
    <mergeCell ref="D3:D4"/>
    <mergeCell ref="AG5:AG6"/>
    <mergeCell ref="AF4:AG4"/>
    <mergeCell ref="U20:X20"/>
    <mergeCell ref="AA20:AA21"/>
    <mergeCell ref="AJ4:AK4"/>
    <mergeCell ref="AJ5:AJ6"/>
    <mergeCell ref="AK5:AK6"/>
    <mergeCell ref="F20:F21"/>
    <mergeCell ref="H20:J20"/>
    <mergeCell ref="K20:L20"/>
    <mergeCell ref="M20:M21"/>
    <mergeCell ref="C16:D16"/>
    <mergeCell ref="AN20:AP20"/>
    <mergeCell ref="AJ46:AK46"/>
    <mergeCell ref="AL46:AM46"/>
    <mergeCell ref="AM20:AM21"/>
    <mergeCell ref="AN35:AP35"/>
    <mergeCell ref="AN5:AP5"/>
    <mergeCell ref="AD5:AD6"/>
    <mergeCell ref="AD20:AD21"/>
    <mergeCell ref="G5:J5"/>
    <mergeCell ref="N20:P20"/>
    <mergeCell ref="N35:P35"/>
    <mergeCell ref="Q5:T5"/>
    <mergeCell ref="C31:D31"/>
    <mergeCell ref="AH20:AH21"/>
    <mergeCell ref="AI20:AI21"/>
    <mergeCell ref="D20:D21"/>
    <mergeCell ref="E20:E21"/>
    <mergeCell ref="K5:L5"/>
    <mergeCell ref="AL33:AM33"/>
    <mergeCell ref="A5:A6"/>
    <mergeCell ref="A7:A17"/>
    <mergeCell ref="AF5:AF6"/>
    <mergeCell ref="M5:M6"/>
    <mergeCell ref="F5:F6"/>
    <mergeCell ref="D5:D6"/>
    <mergeCell ref="AC5:AC6"/>
    <mergeCell ref="AE5:AE6"/>
    <mergeCell ref="E5:E6"/>
    <mergeCell ref="U5:X5"/>
    <mergeCell ref="AH5:AH6"/>
    <mergeCell ref="AI5:AI6"/>
    <mergeCell ref="B5:B6"/>
    <mergeCell ref="B7:B11"/>
    <mergeCell ref="AA5:AA6"/>
    <mergeCell ref="AB5:AB6"/>
    <mergeCell ref="N5:P5"/>
    <mergeCell ref="B12:B17"/>
    <mergeCell ref="Q61:T61"/>
    <mergeCell ref="AL70:AM70"/>
    <mergeCell ref="AN61:AP61"/>
    <mergeCell ref="AE61:AE62"/>
    <mergeCell ref="AF61:AF62"/>
    <mergeCell ref="AG61:AG62"/>
    <mergeCell ref="AH61:AH62"/>
    <mergeCell ref="AI61:AI62"/>
    <mergeCell ref="H72:J72"/>
    <mergeCell ref="K72:L72"/>
    <mergeCell ref="M72:M73"/>
    <mergeCell ref="A63:A69"/>
    <mergeCell ref="B63:B65"/>
    <mergeCell ref="B66:B69"/>
    <mergeCell ref="C68:D68"/>
    <mergeCell ref="AJ70:AK70"/>
    <mergeCell ref="AN72:AP72"/>
    <mergeCell ref="AM72:AM73"/>
    <mergeCell ref="AD72:AD73"/>
    <mergeCell ref="N61:P61"/>
    <mergeCell ref="B61:B62"/>
    <mergeCell ref="D61:D62"/>
    <mergeCell ref="E61:E62"/>
    <mergeCell ref="F61:F62"/>
    <mergeCell ref="H61:J61"/>
    <mergeCell ref="K61:L61"/>
    <mergeCell ref="M61:M62"/>
    <mergeCell ref="U61:X61"/>
    <mergeCell ref="AA61:AA62"/>
    <mergeCell ref="AB61:AB62"/>
    <mergeCell ref="AC61:AC62"/>
    <mergeCell ref="AJ61:AJ62"/>
    <mergeCell ref="A74:A82"/>
    <mergeCell ref="B74:B77"/>
    <mergeCell ref="B78:B82"/>
    <mergeCell ref="C81:D81"/>
    <mergeCell ref="AF72:AF73"/>
    <mergeCell ref="AG72:AG73"/>
    <mergeCell ref="AH72:AH73"/>
    <mergeCell ref="AI72:AI73"/>
    <mergeCell ref="AJ72:AJ73"/>
    <mergeCell ref="U72:X72"/>
    <mergeCell ref="AA72:AA73"/>
    <mergeCell ref="AB72:AB73"/>
    <mergeCell ref="AC72:AC73"/>
    <mergeCell ref="AE72:AE73"/>
    <mergeCell ref="AK72:AK73"/>
    <mergeCell ref="AL72:AL73"/>
    <mergeCell ref="A72:A73"/>
    <mergeCell ref="B72:B73"/>
    <mergeCell ref="D72:D73"/>
    <mergeCell ref="E72:E73"/>
    <mergeCell ref="F72:F73"/>
    <mergeCell ref="N72:P72"/>
    <mergeCell ref="Q72:T72"/>
    <mergeCell ref="AJ83:AK83"/>
    <mergeCell ref="AL83:AM83"/>
    <mergeCell ref="A85:A86"/>
    <mergeCell ref="B85:B86"/>
    <mergeCell ref="D85:D86"/>
    <mergeCell ref="E85:E86"/>
    <mergeCell ref="F85:F86"/>
    <mergeCell ref="H85:J85"/>
    <mergeCell ref="K85:L85"/>
    <mergeCell ref="M85:M86"/>
    <mergeCell ref="U85:X85"/>
    <mergeCell ref="AA85:AA86"/>
    <mergeCell ref="AB85:AB86"/>
    <mergeCell ref="AC85:AC86"/>
    <mergeCell ref="AJ85:AJ86"/>
    <mergeCell ref="AK85:AK86"/>
    <mergeCell ref="AL85:AL86"/>
    <mergeCell ref="AM85:AM86"/>
    <mergeCell ref="AD85:AD86"/>
    <mergeCell ref="Q85:T85"/>
    <mergeCell ref="AL96:AM96"/>
    <mergeCell ref="AN85:AP85"/>
    <mergeCell ref="AE85:AE86"/>
    <mergeCell ref="AF85:AF86"/>
    <mergeCell ref="AG85:AG86"/>
    <mergeCell ref="AH85:AH86"/>
    <mergeCell ref="AI85:AI86"/>
    <mergeCell ref="H98:J98"/>
    <mergeCell ref="K98:L98"/>
    <mergeCell ref="M98:M99"/>
    <mergeCell ref="A87:A95"/>
    <mergeCell ref="B87:B90"/>
    <mergeCell ref="B91:B95"/>
    <mergeCell ref="C94:D94"/>
    <mergeCell ref="AJ96:AK96"/>
    <mergeCell ref="AN98:AP98"/>
    <mergeCell ref="AM98:AM99"/>
    <mergeCell ref="AD98:AD99"/>
    <mergeCell ref="N85:P85"/>
    <mergeCell ref="Q98:T98"/>
    <mergeCell ref="A100:A112"/>
    <mergeCell ref="B100:B105"/>
    <mergeCell ref="B106:B112"/>
    <mergeCell ref="C111:D111"/>
    <mergeCell ref="AF98:AF99"/>
    <mergeCell ref="AG98:AG99"/>
    <mergeCell ref="AH98:AH99"/>
    <mergeCell ref="AI98:AI99"/>
    <mergeCell ref="AJ98:AJ99"/>
    <mergeCell ref="U98:X98"/>
    <mergeCell ref="AA98:AA99"/>
    <mergeCell ref="AB98:AB99"/>
    <mergeCell ref="AC98:AC99"/>
    <mergeCell ref="AE98:AE99"/>
    <mergeCell ref="AK98:AK99"/>
    <mergeCell ref="AL98:AL99"/>
    <mergeCell ref="A98:A99"/>
    <mergeCell ref="B98:B99"/>
    <mergeCell ref="D98:D99"/>
    <mergeCell ref="E98:E99"/>
    <mergeCell ref="F98:F99"/>
    <mergeCell ref="N98:P98"/>
    <mergeCell ref="AJ113:AK113"/>
    <mergeCell ref="AL113:AM113"/>
    <mergeCell ref="A115:A116"/>
    <mergeCell ref="B115:B116"/>
    <mergeCell ref="D115:D116"/>
    <mergeCell ref="E115:E116"/>
    <mergeCell ref="F115:F116"/>
    <mergeCell ref="H115:J115"/>
    <mergeCell ref="K115:L115"/>
    <mergeCell ref="M115:M116"/>
    <mergeCell ref="U115:X115"/>
    <mergeCell ref="AA115:AA116"/>
    <mergeCell ref="AB115:AB116"/>
    <mergeCell ref="AC115:AC116"/>
    <mergeCell ref="AJ115:AJ116"/>
    <mergeCell ref="AK115:AK116"/>
    <mergeCell ref="AL115:AL116"/>
    <mergeCell ref="AM115:AM116"/>
    <mergeCell ref="AD115:AD116"/>
    <mergeCell ref="Q115:T115"/>
    <mergeCell ref="AL128:AL129"/>
    <mergeCell ref="A128:A129"/>
    <mergeCell ref="B128:B129"/>
    <mergeCell ref="D128:D129"/>
    <mergeCell ref="E128:E129"/>
    <mergeCell ref="F128:F129"/>
    <mergeCell ref="N128:P128"/>
    <mergeCell ref="AL126:AM126"/>
    <mergeCell ref="AN115:AP115"/>
    <mergeCell ref="AE115:AE116"/>
    <mergeCell ref="AF115:AF116"/>
    <mergeCell ref="AG115:AG116"/>
    <mergeCell ref="AH115:AH116"/>
    <mergeCell ref="AI115:AI116"/>
    <mergeCell ref="H128:J128"/>
    <mergeCell ref="K128:L128"/>
    <mergeCell ref="M128:M129"/>
    <mergeCell ref="A117:A125"/>
    <mergeCell ref="B117:B120"/>
    <mergeCell ref="B121:B125"/>
    <mergeCell ref="C124:D124"/>
    <mergeCell ref="AJ126:AK126"/>
    <mergeCell ref="AN128:AP128"/>
    <mergeCell ref="AM128:AM129"/>
    <mergeCell ref="AD128:AD129"/>
    <mergeCell ref="N115:P115"/>
    <mergeCell ref="Q128:T128"/>
    <mergeCell ref="AF128:AF129"/>
    <mergeCell ref="AG128:AG129"/>
    <mergeCell ref="AH128:AH129"/>
    <mergeCell ref="AI128:AI129"/>
    <mergeCell ref="AJ128:AJ129"/>
    <mergeCell ref="U128:X128"/>
    <mergeCell ref="AA128:AA129"/>
    <mergeCell ref="AB128:AB129"/>
    <mergeCell ref="AC128:AC129"/>
    <mergeCell ref="AE128:AE129"/>
    <mergeCell ref="AK128:AK129"/>
    <mergeCell ref="Q141:T141"/>
    <mergeCell ref="Q158:T158"/>
    <mergeCell ref="A141:A142"/>
    <mergeCell ref="B141:B142"/>
    <mergeCell ref="D141:D142"/>
    <mergeCell ref="E141:E142"/>
    <mergeCell ref="F141:F142"/>
    <mergeCell ref="H141:J141"/>
    <mergeCell ref="K141:L141"/>
    <mergeCell ref="M141:M142"/>
    <mergeCell ref="U141:X141"/>
    <mergeCell ref="AA141:AA142"/>
    <mergeCell ref="AB141:AB142"/>
    <mergeCell ref="AC141:AC142"/>
    <mergeCell ref="AJ141:AJ142"/>
    <mergeCell ref="AK141:AK142"/>
    <mergeCell ref="AJ139:AK139"/>
    <mergeCell ref="AH158:AH159"/>
    <mergeCell ref="AI158:AI159"/>
    <mergeCell ref="AJ158:AJ159"/>
    <mergeCell ref="U158:X158"/>
    <mergeCell ref="AA158:AA159"/>
    <mergeCell ref="AB158:AB159"/>
    <mergeCell ref="AC158:AC159"/>
    <mergeCell ref="AE158:AE159"/>
    <mergeCell ref="H158:J158"/>
    <mergeCell ref="AN141:AP141"/>
    <mergeCell ref="AE141:AE142"/>
    <mergeCell ref="AF141:AF142"/>
    <mergeCell ref="AG141:AG142"/>
    <mergeCell ref="AH141:AH142"/>
    <mergeCell ref="AI141:AI142"/>
    <mergeCell ref="A130:A138"/>
    <mergeCell ref="B130:B133"/>
    <mergeCell ref="B134:B138"/>
    <mergeCell ref="C137:D137"/>
    <mergeCell ref="AL139:AM139"/>
    <mergeCell ref="A143:A155"/>
    <mergeCell ref="B143:B148"/>
    <mergeCell ref="B149:B155"/>
    <mergeCell ref="C154:D154"/>
    <mergeCell ref="AJ156:AK156"/>
    <mergeCell ref="AN158:AP158"/>
    <mergeCell ref="AF158:AF159"/>
    <mergeCell ref="AG158:AG159"/>
    <mergeCell ref="K158:L158"/>
    <mergeCell ref="M158:M159"/>
    <mergeCell ref="N158:P158"/>
    <mergeCell ref="AL141:AL142"/>
    <mergeCell ref="AD141:AD142"/>
    <mergeCell ref="N141:P141"/>
    <mergeCell ref="AM141:AM142"/>
    <mergeCell ref="AL156:AM156"/>
    <mergeCell ref="A177:A187"/>
    <mergeCell ref="B177:B181"/>
    <mergeCell ref="B182:B187"/>
    <mergeCell ref="C186:D186"/>
    <mergeCell ref="AJ188:AK188"/>
    <mergeCell ref="AJ175:AJ176"/>
    <mergeCell ref="AK175:AK176"/>
    <mergeCell ref="A158:A159"/>
    <mergeCell ref="B158:B159"/>
    <mergeCell ref="D158:D159"/>
    <mergeCell ref="E158:E159"/>
    <mergeCell ref="F158:F159"/>
    <mergeCell ref="AL188:AM188"/>
    <mergeCell ref="AA175:AA176"/>
    <mergeCell ref="AB175:AB176"/>
    <mergeCell ref="AK158:AK159"/>
    <mergeCell ref="AL158:AL159"/>
    <mergeCell ref="AM158:AM159"/>
    <mergeCell ref="AD158:AD159"/>
    <mergeCell ref="AC175:AC176"/>
    <mergeCell ref="A160:A172"/>
    <mergeCell ref="B160:B165"/>
    <mergeCell ref="B166:B172"/>
    <mergeCell ref="C171:D171"/>
    <mergeCell ref="AN175:AP175"/>
    <mergeCell ref="AE175:AE176"/>
    <mergeCell ref="AF175:AF176"/>
    <mergeCell ref="AG175:AG176"/>
    <mergeCell ref="AH175:AH176"/>
    <mergeCell ref="AI175:AI176"/>
    <mergeCell ref="AJ173:AK173"/>
    <mergeCell ref="AL173:AM173"/>
    <mergeCell ref="A175:A176"/>
    <mergeCell ref="B175:B176"/>
    <mergeCell ref="D175:D176"/>
    <mergeCell ref="E175:E176"/>
    <mergeCell ref="F175:F176"/>
    <mergeCell ref="H175:J175"/>
    <mergeCell ref="K175:L175"/>
    <mergeCell ref="M175:M176"/>
    <mergeCell ref="AL175:AL176"/>
    <mergeCell ref="AM175:AM176"/>
    <mergeCell ref="U175:X175"/>
    <mergeCell ref="A209:A217"/>
    <mergeCell ref="B209:B212"/>
    <mergeCell ref="B213:B217"/>
    <mergeCell ref="AI418:AI419"/>
    <mergeCell ref="AJ418:AJ419"/>
    <mergeCell ref="AK418:AK419"/>
    <mergeCell ref="AL418:AL419"/>
    <mergeCell ref="AM418:AM419"/>
    <mergeCell ref="AN418:AP418"/>
    <mergeCell ref="AJ205:AK205"/>
    <mergeCell ref="AL205:AM205"/>
    <mergeCell ref="AK190:AK191"/>
    <mergeCell ref="AL190:AL191"/>
    <mergeCell ref="AM190:AM191"/>
    <mergeCell ref="A190:A191"/>
    <mergeCell ref="B190:B191"/>
    <mergeCell ref="D190:D191"/>
    <mergeCell ref="E190:E191"/>
    <mergeCell ref="F190:F191"/>
    <mergeCell ref="H190:J190"/>
    <mergeCell ref="K190:L190"/>
    <mergeCell ref="M190:M191"/>
    <mergeCell ref="AI207:AI208"/>
    <mergeCell ref="AJ207:AJ208"/>
    <mergeCell ref="AK207:AK208"/>
    <mergeCell ref="AL207:AL208"/>
    <mergeCell ref="AH207:AH208"/>
    <mergeCell ref="A207:A208"/>
    <mergeCell ref="B207:B208"/>
    <mergeCell ref="D207:D208"/>
    <mergeCell ref="E207:E208"/>
    <mergeCell ref="C216:D216"/>
    <mergeCell ref="AN190:AP190"/>
    <mergeCell ref="A192:A204"/>
    <mergeCell ref="B192:B197"/>
    <mergeCell ref="B198:B204"/>
    <mergeCell ref="C203:D203"/>
    <mergeCell ref="AF190:AF191"/>
    <mergeCell ref="AG190:AG191"/>
    <mergeCell ref="AH190:AH191"/>
    <mergeCell ref="AI190:AI191"/>
    <mergeCell ref="AJ190:AJ191"/>
    <mergeCell ref="U190:X190"/>
    <mergeCell ref="AA190:AA191"/>
    <mergeCell ref="AB190:AB191"/>
    <mergeCell ref="AC190:AC191"/>
    <mergeCell ref="AE190:AE191"/>
    <mergeCell ref="AM207:AM208"/>
    <mergeCell ref="AN207:AP207"/>
    <mergeCell ref="F207:F208"/>
    <mergeCell ref="H207:J207"/>
    <mergeCell ref="K207:L207"/>
    <mergeCell ref="M207:M208"/>
    <mergeCell ref="U207:X207"/>
    <mergeCell ref="AA207:AA208"/>
    <mergeCell ref="AB207:AB208"/>
    <mergeCell ref="AC207:AC208"/>
    <mergeCell ref="AE207:AE208"/>
    <mergeCell ref="AF207:AF208"/>
    <mergeCell ref="AG207:AG208"/>
    <mergeCell ref="C424:D424"/>
    <mergeCell ref="U418:X418"/>
    <mergeCell ref="AA418:AA419"/>
    <mergeCell ref="AB418:AB419"/>
    <mergeCell ref="AC418:AC419"/>
    <mergeCell ref="AE418:AE419"/>
    <mergeCell ref="AF418:AF419"/>
    <mergeCell ref="AG418:AG419"/>
    <mergeCell ref="AH418:AH419"/>
    <mergeCell ref="A418:A419"/>
    <mergeCell ref="B418:B419"/>
    <mergeCell ref="D418:D419"/>
    <mergeCell ref="E418:E419"/>
    <mergeCell ref="F418:F419"/>
    <mergeCell ref="H418:J418"/>
    <mergeCell ref="K418:L418"/>
    <mergeCell ref="M418:M419"/>
    <mergeCell ref="AD418:AD419"/>
    <mergeCell ref="N418:P418"/>
    <mergeCell ref="Q418:T418"/>
    <mergeCell ref="AJ426:AK426"/>
    <mergeCell ref="AL426:AM426"/>
    <mergeCell ref="A428:A429"/>
    <mergeCell ref="B428:B429"/>
    <mergeCell ref="D428:D429"/>
    <mergeCell ref="E428:E429"/>
    <mergeCell ref="F428:F429"/>
    <mergeCell ref="H428:J428"/>
    <mergeCell ref="K428:L428"/>
    <mergeCell ref="M428:M429"/>
    <mergeCell ref="U428:X428"/>
    <mergeCell ref="AA428:AA429"/>
    <mergeCell ref="AB428:AB429"/>
    <mergeCell ref="AC428:AC429"/>
    <mergeCell ref="AE428:AE429"/>
    <mergeCell ref="AF428:AF429"/>
    <mergeCell ref="AG428:AG429"/>
    <mergeCell ref="AH428:AH429"/>
    <mergeCell ref="AI428:AI429"/>
    <mergeCell ref="AJ428:AJ429"/>
    <mergeCell ref="AK428:AK429"/>
    <mergeCell ref="AL428:AL429"/>
    <mergeCell ref="AD428:AD429"/>
    <mergeCell ref="N428:P428"/>
    <mergeCell ref="Q428:T428"/>
    <mergeCell ref="AF492:AF493"/>
    <mergeCell ref="AG492:AG493"/>
    <mergeCell ref="AH492:AH493"/>
    <mergeCell ref="AI492:AI493"/>
    <mergeCell ref="AJ492:AJ493"/>
    <mergeCell ref="AN435:AP435"/>
    <mergeCell ref="A437:A465"/>
    <mergeCell ref="C464:D464"/>
    <mergeCell ref="AM428:AM429"/>
    <mergeCell ref="AN428:AP428"/>
    <mergeCell ref="A430:A432"/>
    <mergeCell ref="B430:B432"/>
    <mergeCell ref="C431:D431"/>
    <mergeCell ref="AJ433:AK433"/>
    <mergeCell ref="AL433:AM433"/>
    <mergeCell ref="A435:A436"/>
    <mergeCell ref="B435:B436"/>
    <mergeCell ref="D435:D436"/>
    <mergeCell ref="E435:E436"/>
    <mergeCell ref="F435:F436"/>
    <mergeCell ref="H435:J435"/>
    <mergeCell ref="K435:L435"/>
    <mergeCell ref="M435:M436"/>
    <mergeCell ref="U435:X435"/>
    <mergeCell ref="AA435:AA436"/>
    <mergeCell ref="AB435:AB436"/>
    <mergeCell ref="AC435:AC436"/>
    <mergeCell ref="AF484:AF485"/>
    <mergeCell ref="AG484:AG485"/>
    <mergeCell ref="AH484:AH485"/>
    <mergeCell ref="AE468:AE469"/>
    <mergeCell ref="AK492:AK493"/>
    <mergeCell ref="AL492:AL493"/>
    <mergeCell ref="AM492:AM493"/>
    <mergeCell ref="AN492:AP492"/>
    <mergeCell ref="B494:B499"/>
    <mergeCell ref="A494:A499"/>
    <mergeCell ref="AJ466:AK466"/>
    <mergeCell ref="AL466:AM466"/>
    <mergeCell ref="B437:B464"/>
    <mergeCell ref="AH435:AH436"/>
    <mergeCell ref="AI435:AI436"/>
    <mergeCell ref="AJ435:AJ436"/>
    <mergeCell ref="AK435:AK436"/>
    <mergeCell ref="AL435:AL436"/>
    <mergeCell ref="AM435:AM436"/>
    <mergeCell ref="AE435:AE436"/>
    <mergeCell ref="AF435:AF436"/>
    <mergeCell ref="AG435:AG436"/>
    <mergeCell ref="A492:A493"/>
    <mergeCell ref="B492:B493"/>
    <mergeCell ref="D492:D493"/>
    <mergeCell ref="E492:E493"/>
    <mergeCell ref="F492:F493"/>
    <mergeCell ref="H492:J492"/>
    <mergeCell ref="K492:L492"/>
    <mergeCell ref="M492:M493"/>
    <mergeCell ref="U492:X492"/>
    <mergeCell ref="AA492:AA493"/>
    <mergeCell ref="AB492:AB493"/>
    <mergeCell ref="AC492:AC493"/>
    <mergeCell ref="AE492:AE493"/>
    <mergeCell ref="N435:P435"/>
    <mergeCell ref="N468:P468"/>
    <mergeCell ref="N484:P484"/>
    <mergeCell ref="N492:P492"/>
    <mergeCell ref="N175:P175"/>
    <mergeCell ref="N190:P190"/>
    <mergeCell ref="N207:P207"/>
    <mergeCell ref="N220:P220"/>
    <mergeCell ref="N237:P237"/>
    <mergeCell ref="N248:P248"/>
    <mergeCell ref="N259:P259"/>
    <mergeCell ref="N276:P276"/>
    <mergeCell ref="N287:P287"/>
    <mergeCell ref="N304:P304"/>
    <mergeCell ref="N317:P317"/>
    <mergeCell ref="N334:P334"/>
    <mergeCell ref="N345:P345"/>
    <mergeCell ref="N358:P358"/>
    <mergeCell ref="N373:P373"/>
    <mergeCell ref="N384:P384"/>
    <mergeCell ref="N395:P395"/>
  </mergeCells>
  <pageMargins left="0.70866141732283472" right="0.70866141732283472" top="0.74803149606299213" bottom="0.74803149606299213" header="0.31496062992125984" footer="0.31496062992125984"/>
  <pageSetup paperSize="8" scale="26" fitToHeight="7" orientation="landscape" r:id="rId1"/>
  <rowBreaks count="1" manualBreakCount="1">
    <brk id="394" max="35" man="1"/>
  </rowBreaks>
  <ignoredErrors>
    <ignoredError sqref="AQ15:AS15 E13 E15 E14 M11 AK16 M53 AK111 W7:W10 W22:W25 W37:W39 W50:W52 W63:W64 W74:W76 W87:W89 W100:W104 W117:W119 W130:W132 W143:W147 W160:W164 W177:W180 W192:W196 W209:W211 W222:W226 W239:W240 W250:W251 W261:W265 W278:W279 W289:W293 W306:W308 W319:W323 W336:W337 W347:W349 W360:W363 W375:W376 W386:W387 W397:W399 W410:W413 W420:W423 W430 W437:W463 W470:W479 W486:W487 W494:W499 I12:I15 H27:J57 I470 I410:I413 H66:J250 H414:J469 H410:H413 J410:J413 H480:J501 H470:H479 J470:J479 P494:P499 N494:N499 N500:P503 P397:P399 N397:N399 N400:P400 P386:P387 N386:N387 N388:P388 P375:P376 N375:N376 N377:P377 P360:P363 N360:N363 N364:P364 P347:P349 N347:N349 N350:P350 P336:P337 N336:N337 N338:P338 P319:P323 N319:N323 N324:P324 P306:P308 N306:N308 N309:P309 P289:P293 N289:N293 N294:P294 P278:P279 N278:N279 N280:P280 P261:P265 N261:N265 N266:P266 P250:P251 N250:N251 N252:P252 P239:P240 N239:N240 N241:P241 P222:P226 N222:N226 N227:P227 P209:P211 N209:N211 N212:P212 P192:P196 N192:N196 N197:P197 P177:P180 N177:N180 N181:P181 P160:P164 N160:N164 N165:P165 P143:P147 N143:N147 N148:P148 P130:P132 N130:N132 N133:P133 P117:P119 N117:N119 N120:P120 P100:P104 N100:N104 N105:P105 P87:P89 N87:N89 N90:P90 O167 O169 O168 O170 O152 O151 O150 O149 O392 O381 O342 O331 O301 O284 O273 O256 O245 O246:P246 O253:O254 O234 O204 O172 O155 O112 O490:P490 N504:P509 O482:P482 O486:O487 O466:P466 O470:O479 O433:P433 O437:O463 O426:P426 O430 O416:P416 O420:O423 O406:P406 O410:O413 O393:P393 O401:O403 O382:P382 O389:O390 O378:O379 O356:P356 O343:P343 O351:O353 O332:P332 O339:O340 O315:P315 O325:O329 O302:P302 O310:O312 O285:P285 O295:O299 O274:P274 O281:O282 O257:P257 O267:O271 O235:P235 O236:P236 O242:O243 O218:P218 O228:O232 O205:P205 O213:O215 O198:O202 O173:P173 O156:P156 O166 O139:P139 O153 O126:P126 O134:O136 O113:P113 O121:O123 O96:P96 O106:O110 O365:O368 O371:P371 O182:O185 O188:P188 O91:O93 N186:P187 N182:N185 P182:P185 N369:P370 N365:N368 P365:P368 N97:P99 N96 N114:P116 N113 N127:P129 N126 N140:P142 N139 N157:P159 N156 N174:P176 N173 N189:P191 N188 N206:P208 N205 N219:P221 N218 N237:P238 N235 N258:P260 N257 N275:P277 N274 N286:P288 N285 N303:P305 N302 N316:P318 N315 N333:P335 N332 N344:P346 N343 N357:P359 N356 N372:P374 N371 N383:P385 N382 N394:P396 N393 N407:P409 N406 N417:P419 N416 N427:P429 N426 N434:P436 N433 N467:P469 N466 N483:P485 N482 N491:P493 N490 N112 P112 N155 P155 N172 P172 N204 P204 N234 P234 N247:P249 N245 P245 N246 N256 P256 N273 P273 N284 P284 N301 P301 N331 P331 N342 P342 N381 P381 N392 P392 N94:P95 N91:N93 P91:P93 N111:P111 N106:N110 P106:P110 N124:P125 N121:N123 P121:P123 N137:P138 N134:N136 P134:P136 N154:P154 N149 P149 N150 P150 N151 P151 N152 P152 N153 P153 N171:P171 N168 P168 N169 P169 N170 P170 N167 N166 P166 P167 N203:P203 N198:N202 P198:P202 N216:P217 N213:N215 P213:P215 N233:P233 N228:N232 P228:P232 N244:P244 N242:N243 P242:P243 N255:P255 N253:N254 P253:P254 N272:P272 N267:N271 P267:P271 N283:P283 N281:N282 P281:P282 N300:P300 N295:N299 P295:P299 N313:P314 N310:N312 P310:P312 N330:P330 N325:N329 P325:P329 N341:P341 N339:N340 P339:P340 N354:P355 N351:N353 P351:P353 N380:P380 N378:N379 P378:P379 N391:P391 N389:N390 P389:P390 N404:P405 N401:N403 P401:P403 N414:P415 N410:N413 P410:P413 N424:P425 N420:N423 P420:P423 N431:P432 N430 P430 N464:P465 N437:N463 P437:P463 N480:P481 N470:N479 P470:P479 N488:P489 N486:N487 P486:P487 N236 P78:P80 N78:N80 N83 N84:P86 N81:P82 N12:P77 O83:P83 O87:O89 O78:O80 O239:O240 O494:O499 O397:O399 O386:O387 O360:O363 O347:O349 O336:O337 O319:O323 O306:O308 O289:O293 O278:O279 O261:O265 O222:O226 O209:O211 O177:O180 O160:O164 O143:O147 O130:O132 O117:O119 O100:O104 O250:O251 O375:O376 O192:O196 N510:P527 R12:R15 R27:R30 R41:R43 R54:R56 R66:R67 R78:R80 R91:R93 R106:R110 R121:R123 R134:R136 R149:R153 R166:R170 R182:R185 R198:R202 R213:R215 R228:R232 R242:R243 R253:R254 R267:R271 R281:R282 R295:R299 R310:R312 R325:R329 R339:R340 R351:R353 R365:R368 R378:R379 R389:R390 R401:R403 R410:R413 R420:R423 R430 R437:R463 R470:R479 R486:R487 I479 I474:I475 H398:J398 I397 H402:J402 H401 J401 H400:J400 I399 H404:J409 H403 J403 H252:J253 I251 H255:J277 H254 J254 H279:J280 I278 H282:J396 H281 J281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theme="9" tint="-0.249977111117893"/>
  </sheetPr>
  <dimension ref="A1:AS51"/>
  <sheetViews>
    <sheetView view="pageBreakPreview" zoomScale="90" zoomScaleNormal="70" zoomScaleSheetLayoutView="90" workbookViewId="0">
      <pane xSplit="6" ySplit="6" topLeftCell="G22" activePane="bottomRight" state="frozen"/>
      <selection pane="topRight" activeCell="G1" sqref="G1"/>
      <selection pane="bottomLeft" activeCell="A7" sqref="A7"/>
      <selection pane="bottomRight" activeCell="D33" sqref="D28:D33"/>
    </sheetView>
  </sheetViews>
  <sheetFormatPr baseColWidth="10" defaultRowHeight="15"/>
  <cols>
    <col min="1" max="1" width="12" customWidth="1"/>
    <col min="2" max="2" width="14.42578125" customWidth="1"/>
    <col min="3" max="3" width="16.7109375" customWidth="1"/>
    <col min="4" max="4" width="25.28515625" customWidth="1"/>
    <col min="5" max="5" width="16.28515625" customWidth="1"/>
    <col min="6" max="7" width="14.5703125" customWidth="1"/>
    <col min="8" max="9" width="14.42578125" customWidth="1"/>
    <col min="10" max="10" width="15.7109375" customWidth="1"/>
    <col min="11" max="12" width="13.7109375" customWidth="1"/>
    <col min="13" max="13" width="21.7109375" customWidth="1"/>
    <col min="14" max="14" width="19" customWidth="1"/>
    <col min="15" max="16" width="18.85546875" customWidth="1"/>
    <col min="17" max="17" width="23" customWidth="1"/>
    <col min="18" max="18" width="21.42578125" customWidth="1"/>
    <col min="19" max="19" width="15.28515625" customWidth="1"/>
    <col min="20" max="20" width="19.42578125" customWidth="1"/>
    <col min="21" max="21" width="16.28515625" customWidth="1"/>
    <col min="22" max="22" width="19.140625" customWidth="1"/>
    <col min="23" max="23" width="14.85546875" customWidth="1"/>
    <col min="24" max="24" width="17.7109375" customWidth="1"/>
    <col min="25" max="25" width="16.5703125" customWidth="1"/>
    <col min="26" max="26" width="20" customWidth="1"/>
    <col min="27" max="27" width="24.140625" customWidth="1"/>
    <col min="28" max="28" width="23.28515625" customWidth="1"/>
    <col min="29" max="31" width="17.5703125" customWidth="1"/>
    <col min="32" max="32" width="15" customWidth="1"/>
    <col min="33" max="33" width="16.85546875" customWidth="1"/>
    <col min="34" max="34" width="16.28515625" customWidth="1"/>
    <col min="35" max="39" width="13.140625" customWidth="1"/>
    <col min="40" max="42" width="17.7109375" customWidth="1"/>
    <col min="43" max="43" width="15.85546875" bestFit="1" customWidth="1"/>
  </cols>
  <sheetData>
    <row r="1" spans="1:45">
      <c r="A1" s="503">
        <v>1</v>
      </c>
      <c r="B1" s="503">
        <v>2</v>
      </c>
      <c r="C1">
        <v>3</v>
      </c>
      <c r="D1" s="503">
        <v>4</v>
      </c>
      <c r="E1">
        <v>5</v>
      </c>
      <c r="F1">
        <v>6</v>
      </c>
      <c r="G1">
        <v>7</v>
      </c>
      <c r="H1" s="503">
        <v>8</v>
      </c>
      <c r="I1">
        <v>9</v>
      </c>
      <c r="J1" s="503">
        <v>10</v>
      </c>
      <c r="K1">
        <v>11</v>
      </c>
      <c r="L1">
        <v>12</v>
      </c>
      <c r="M1" s="503">
        <v>13</v>
      </c>
      <c r="N1">
        <v>14</v>
      </c>
      <c r="O1" s="503">
        <v>15</v>
      </c>
      <c r="P1" s="503">
        <v>16</v>
      </c>
      <c r="Q1">
        <v>17</v>
      </c>
      <c r="R1" s="503">
        <v>18</v>
      </c>
      <c r="S1">
        <v>19</v>
      </c>
      <c r="T1" s="503">
        <v>20</v>
      </c>
      <c r="U1">
        <v>21</v>
      </c>
      <c r="V1" s="503">
        <v>22</v>
      </c>
      <c r="W1">
        <v>23</v>
      </c>
      <c r="X1" s="503">
        <v>24</v>
      </c>
      <c r="Y1" s="503">
        <v>25</v>
      </c>
      <c r="Z1" s="503">
        <v>26</v>
      </c>
      <c r="AA1" s="503">
        <v>27</v>
      </c>
      <c r="AB1" s="503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 s="22" t="s">
        <v>11</v>
      </c>
      <c r="AR1" s="2"/>
      <c r="AS1" s="2"/>
    </row>
    <row r="2" spans="1:45" ht="18.75">
      <c r="F2" s="1"/>
      <c r="G2" s="1"/>
      <c r="H2" s="2"/>
      <c r="I2" s="2"/>
      <c r="J2" s="2"/>
      <c r="K2" s="2"/>
      <c r="L2" s="2"/>
      <c r="M2" s="2"/>
      <c r="N2" s="2"/>
      <c r="O2" s="452"/>
      <c r="P2" s="452"/>
      <c r="Q2" s="452"/>
      <c r="R2" s="457" t="s">
        <v>574</v>
      </c>
      <c r="S2" s="457"/>
      <c r="T2" s="457" t="s">
        <v>575</v>
      </c>
      <c r="U2" s="457"/>
      <c r="V2" s="452"/>
      <c r="W2" s="452"/>
      <c r="X2" s="452"/>
      <c r="Y2" s="452"/>
      <c r="Z2" s="452"/>
      <c r="AA2" s="452"/>
      <c r="AB2" s="452"/>
      <c r="AC2" s="452"/>
      <c r="AD2" s="452"/>
      <c r="AE2" s="367"/>
      <c r="AF2" s="367"/>
      <c r="AG2" s="2"/>
      <c r="AH2" s="2"/>
      <c r="AI2" s="2"/>
      <c r="AJ2" s="2"/>
      <c r="AK2" s="2"/>
      <c r="AL2" s="2"/>
      <c r="AM2" s="2"/>
      <c r="AN2" s="2"/>
      <c r="AO2" s="2"/>
      <c r="AP2" s="2"/>
      <c r="AQ2" s="22"/>
      <c r="AR2" s="2"/>
      <c r="AS2" s="2"/>
    </row>
    <row r="3" spans="1:45" ht="18.75">
      <c r="D3" s="921" t="s">
        <v>19</v>
      </c>
      <c r="E3" s="466">
        <v>1.9339999999999999</v>
      </c>
      <c r="F3" s="1"/>
      <c r="G3" s="1"/>
      <c r="H3" s="2"/>
      <c r="I3" s="2"/>
      <c r="J3" s="2"/>
      <c r="K3" s="2"/>
      <c r="L3" s="2"/>
      <c r="M3" s="2"/>
      <c r="N3" s="2"/>
      <c r="O3" s="455">
        <v>0.52959999999999996</v>
      </c>
      <c r="P3" s="459">
        <f>+O3</f>
        <v>0.52959999999999996</v>
      </c>
      <c r="Q3" s="459"/>
      <c r="R3" s="455">
        <v>0.58430000000000004</v>
      </c>
      <c r="S3" s="455"/>
      <c r="T3" s="455">
        <v>0.91810000000000003</v>
      </c>
      <c r="U3" s="462"/>
      <c r="V3" s="455">
        <v>0.91930000000000001</v>
      </c>
      <c r="W3" s="462"/>
      <c r="X3" s="459">
        <f>+V3</f>
        <v>0.91930000000000001</v>
      </c>
      <c r="Y3" s="455">
        <v>1</v>
      </c>
      <c r="Z3" s="455">
        <v>1</v>
      </c>
      <c r="AA3" s="452"/>
      <c r="AB3" s="452"/>
      <c r="AC3" s="452"/>
      <c r="AD3" s="452"/>
      <c r="AE3" s="367"/>
      <c r="AF3" s="367"/>
      <c r="AG3" s="2"/>
      <c r="AH3" s="2"/>
      <c r="AI3" s="2"/>
      <c r="AJ3" s="2"/>
      <c r="AK3" s="2"/>
      <c r="AL3" s="2"/>
      <c r="AM3" s="1"/>
      <c r="AN3" s="2"/>
      <c r="AO3" s="2"/>
      <c r="AP3" s="2"/>
      <c r="AQ3" s="22"/>
      <c r="AR3" s="2"/>
      <c r="AS3" s="2"/>
    </row>
    <row r="4" spans="1:45" ht="16.5" thickBot="1">
      <c r="D4" s="922"/>
      <c r="E4" s="466">
        <v>1.766</v>
      </c>
      <c r="F4" s="453"/>
      <c r="G4" s="453"/>
      <c r="H4" s="454"/>
      <c r="I4" s="454"/>
      <c r="J4" s="454"/>
      <c r="K4" s="454"/>
      <c r="L4" s="454"/>
      <c r="M4" s="2"/>
      <c r="N4" s="2"/>
      <c r="O4" s="456">
        <v>0.47039999999999998</v>
      </c>
      <c r="P4" s="460">
        <f>+O4</f>
        <v>0.47039999999999998</v>
      </c>
      <c r="Q4" s="460"/>
      <c r="R4" s="456">
        <v>0.41570000000000001</v>
      </c>
      <c r="S4" s="456"/>
      <c r="T4" s="456">
        <v>8.1900000000000001E-2</v>
      </c>
      <c r="U4" s="463"/>
      <c r="V4" s="456">
        <v>8.0699999999999994E-2</v>
      </c>
      <c r="W4" s="463"/>
      <c r="X4" s="460">
        <f>+V4</f>
        <v>8.0699999999999994E-2</v>
      </c>
      <c r="Y4" s="456">
        <v>0</v>
      </c>
      <c r="Z4" s="456">
        <v>0</v>
      </c>
      <c r="AA4" s="452"/>
      <c r="AB4" s="452"/>
      <c r="AC4" s="2"/>
      <c r="AD4" s="2"/>
      <c r="AE4" s="2"/>
      <c r="AF4" s="923" t="s">
        <v>311</v>
      </c>
      <c r="AG4" s="923"/>
      <c r="AH4" s="865"/>
      <c r="AI4" s="865"/>
      <c r="AJ4" s="923" t="s">
        <v>580</v>
      </c>
      <c r="AK4" s="923"/>
      <c r="AL4" s="923" t="s">
        <v>583</v>
      </c>
      <c r="AM4" s="923"/>
      <c r="AN4" s="2"/>
      <c r="AO4" s="2"/>
      <c r="AP4" s="2"/>
      <c r="AQ4" s="5"/>
      <c r="AR4" s="2"/>
      <c r="AS4" s="2"/>
    </row>
    <row r="5" spans="1:45" ht="39" thickBot="1">
      <c r="A5" s="886" t="s">
        <v>7</v>
      </c>
      <c r="B5" s="886" t="s">
        <v>2</v>
      </c>
      <c r="C5" s="859"/>
      <c r="D5" s="882" t="s">
        <v>22</v>
      </c>
      <c r="E5" s="882" t="s">
        <v>23</v>
      </c>
      <c r="F5" s="931" t="s">
        <v>3</v>
      </c>
      <c r="G5" s="905" t="s">
        <v>0</v>
      </c>
      <c r="H5" s="919"/>
      <c r="I5" s="919"/>
      <c r="J5" s="920"/>
      <c r="K5" s="901" t="s">
        <v>1</v>
      </c>
      <c r="L5" s="901"/>
      <c r="M5" s="886" t="s">
        <v>10</v>
      </c>
      <c r="N5" s="905" t="s">
        <v>5</v>
      </c>
      <c r="O5" s="919"/>
      <c r="P5" s="920"/>
      <c r="Q5" s="902" t="s">
        <v>4</v>
      </c>
      <c r="R5" s="903"/>
      <c r="S5" s="903"/>
      <c r="T5" s="904"/>
      <c r="U5" s="902" t="s">
        <v>6</v>
      </c>
      <c r="V5" s="903"/>
      <c r="W5" s="903"/>
      <c r="X5" s="904"/>
      <c r="Y5" s="390" t="s">
        <v>689</v>
      </c>
      <c r="Z5" s="662" t="s">
        <v>690</v>
      </c>
      <c r="AA5" s="905" t="s">
        <v>686</v>
      </c>
      <c r="AB5" s="886" t="s">
        <v>9</v>
      </c>
      <c r="AC5" s="907" t="s">
        <v>312</v>
      </c>
      <c r="AD5" s="914" t="s">
        <v>649</v>
      </c>
      <c r="AE5" s="897" t="s">
        <v>20</v>
      </c>
      <c r="AF5" s="897" t="s">
        <v>313</v>
      </c>
      <c r="AG5" s="899" t="s">
        <v>552</v>
      </c>
      <c r="AH5" s="895" t="s">
        <v>578</v>
      </c>
      <c r="AI5" s="933" t="s">
        <v>579</v>
      </c>
      <c r="AJ5" s="931" t="s">
        <v>581</v>
      </c>
      <c r="AK5" s="931" t="s">
        <v>582</v>
      </c>
      <c r="AL5" s="931" t="s">
        <v>581</v>
      </c>
      <c r="AM5" s="931" t="s">
        <v>582</v>
      </c>
      <c r="AN5" s="884" t="s">
        <v>553</v>
      </c>
      <c r="AO5" s="885"/>
      <c r="AP5" s="885"/>
      <c r="AQ5" s="21"/>
      <c r="AR5" s="2"/>
      <c r="AS5" s="2"/>
    </row>
    <row r="6" spans="1:45" ht="30.75" thickBot="1">
      <c r="A6" s="888"/>
      <c r="B6" s="888"/>
      <c r="C6" s="860"/>
      <c r="D6" s="883"/>
      <c r="E6" s="883"/>
      <c r="F6" s="932"/>
      <c r="G6" s="464" t="s">
        <v>576</v>
      </c>
      <c r="H6" s="876" t="s">
        <v>18</v>
      </c>
      <c r="I6" s="464" t="s">
        <v>577</v>
      </c>
      <c r="J6" s="876" t="s">
        <v>17</v>
      </c>
      <c r="K6" s="876" t="s">
        <v>18</v>
      </c>
      <c r="L6" s="876" t="s">
        <v>17</v>
      </c>
      <c r="M6" s="888"/>
      <c r="N6" s="464" t="s">
        <v>685</v>
      </c>
      <c r="O6" s="17" t="s">
        <v>18</v>
      </c>
      <c r="P6" s="17" t="s">
        <v>17</v>
      </c>
      <c r="Q6" s="464" t="s">
        <v>685</v>
      </c>
      <c r="R6" s="17" t="s">
        <v>18</v>
      </c>
      <c r="S6" s="464" t="s">
        <v>716</v>
      </c>
      <c r="T6" s="17" t="s">
        <v>17</v>
      </c>
      <c r="U6" s="464" t="s">
        <v>576</v>
      </c>
      <c r="V6" s="17" t="s">
        <v>18</v>
      </c>
      <c r="W6" s="464" t="s">
        <v>577</v>
      </c>
      <c r="X6" s="17" t="s">
        <v>17</v>
      </c>
      <c r="Y6" s="17" t="s">
        <v>18</v>
      </c>
      <c r="Z6" s="17" t="s">
        <v>17</v>
      </c>
      <c r="AA6" s="906"/>
      <c r="AB6" s="888"/>
      <c r="AC6" s="908"/>
      <c r="AD6" s="915"/>
      <c r="AE6" s="898"/>
      <c r="AF6" s="898"/>
      <c r="AG6" s="900"/>
      <c r="AH6" s="896"/>
      <c r="AI6" s="934"/>
      <c r="AJ6" s="932"/>
      <c r="AK6" s="932"/>
      <c r="AL6" s="932"/>
      <c r="AM6" s="932"/>
      <c r="AN6" s="877" t="s">
        <v>551</v>
      </c>
      <c r="AO6" s="9" t="s">
        <v>554</v>
      </c>
      <c r="AP6" s="1" t="s">
        <v>555</v>
      </c>
      <c r="AQ6" s="7"/>
      <c r="AR6" s="2"/>
      <c r="AS6" s="2"/>
    </row>
    <row r="7" spans="1:45">
      <c r="A7" s="916" t="s">
        <v>786</v>
      </c>
      <c r="B7" s="886" t="s">
        <v>309</v>
      </c>
      <c r="C7" s="861" t="str">
        <f>IF(AND(D7=AN7,D7=AO7,D7=AP7),"ok","ATENCIÓN NO ESTÁ TOMANDO BIEN LA LOCALIDAD")</f>
        <v>ok</v>
      </c>
      <c r="D7" s="23" t="str">
        <f>IF(E7&lt;&gt;0,VLOOKUP(E7,Pobl_adoptada!$B$5:$C$158,2,FALSE),"-")</f>
        <v>Daireaux</v>
      </c>
      <c r="E7" s="867">
        <v>56</v>
      </c>
      <c r="F7" s="8" t="s">
        <v>308</v>
      </c>
      <c r="G7" s="8"/>
      <c r="H7" s="33">
        <f>'[33]Inversion rec-TA'!$G$21</f>
        <v>2362579.2007098258</v>
      </c>
      <c r="I7" s="33"/>
      <c r="J7" s="33">
        <f>'[33]Costos Operativos Rec-TA'!$G$23</f>
        <v>998835.52164645586</v>
      </c>
      <c r="K7" s="32">
        <f>'[33]Inversion rec-TA'!$G$46</f>
        <v>0</v>
      </c>
      <c r="L7" s="32">
        <f>+'[33]Costos Operativos Rec-TA'!$G$46</f>
        <v>0</v>
      </c>
      <c r="M7" s="19">
        <f t="shared" ref="M7:M26" si="0">-H7/(1+0.12)+PV(12%,20,J7)-H7/(1+0.12)^10</f>
        <v>-10330878.605787938</v>
      </c>
      <c r="N7" s="19"/>
      <c r="O7" s="25">
        <f>IF($E7&lt;&gt;0,IF(((VLOOKUP($E7,Tabla13[],Inputs_costos!$I$1,FALSE))*(O$3*$E$3+O$4*$E$4)-AG7)&lt;0,0,VLOOKUP($E7,Tabla13[],Inputs_costos!$I$1,FALSE)*(O$3*$E$3+O$4*$E$4)-AG7),0)</f>
        <v>44727.727786000003</v>
      </c>
      <c r="P7" s="25">
        <f>IF($E7&lt;&gt;0,(VLOOKUP($E7,Tabla13[],Inputs_costos!$J$1,FALSE))*(P$3*$E$3+P$4*$E$4),0)</f>
        <v>26127.3549570752</v>
      </c>
      <c r="Q7" s="25"/>
      <c r="R7" s="25">
        <f>IF($E7&lt;&gt;0,IF($AC7&gt;=15,(VLOOKUP($E7,Tabla13[],Inputs_costos!$G$1,FALSE))*($R$3*$E$3+$R$4*$E$4),(VLOOKUP($E7,Tabla13[],Inputs_costos!$G$1,FALSE))*($T$3*$E$3+$T$4*$E$4))-AH7,0)</f>
        <v>724869.87055999995</v>
      </c>
      <c r="S7" s="25">
        <f t="shared" ref="S7:S13" si="1">IF($E7&lt;&gt;0,IF(AC7&lt;15,0,IF(AC7&lt;=350,815000,1345000)),0)</f>
        <v>0</v>
      </c>
      <c r="T7" s="25">
        <f>IF($E7&lt;&gt;0,IF($AC7&gt;=15,(VLOOKUP($E7,Tabla13[],Inputs_costos!$H$1,FALSE))*($R$3*$E$3+$R$4*$E$4),(VLOOKUP($E7,Tabla13[],Inputs_costos!$H$1,FALSE))*($T$3*$E$3+$T$4*$E$4)),0)</f>
        <v>138737.39780000001</v>
      </c>
      <c r="U7" s="465">
        <f>IF($E7&lt;&gt;0,SUMIFS(Tabla24[Costo de Cierre Técnico de BCA (US$)],Tabla24[Localidad],'Resumen_Alt 3'!$D7),0)</f>
        <v>0</v>
      </c>
      <c r="V7" s="461">
        <f>+U7*(V$3*$E$3+V$4*$E$4)</f>
        <v>0</v>
      </c>
      <c r="W7" s="465">
        <f>IF($E7&lt;&gt;0,SUMIFS(Tabla24[Costo anual de Manteniemiento Post-cierre (US$)],Tabla24[Localidad],'Resumen_Alt 3'!$D7),0)</f>
        <v>0</v>
      </c>
      <c r="X7" s="461">
        <f>+W7*(X$3*$E$3+X$4*$E$4)</f>
        <v>0</v>
      </c>
      <c r="Y7" s="28">
        <f>IF($E7&lt;&gt;0,VLOOKUP($D7,'Costo Social x localidad'!$B$2:$M$156,12,FALSE)*(Y$3*$E$3+Y$4*$E$4),0)</f>
        <v>20835.421791599998</v>
      </c>
      <c r="Z7" s="28">
        <f>IF($E7&lt;&gt;0,VLOOKUP(D7,'Estimación  PRESUPUESTO PCAS'!$B$4:$G$158,'Estimación  PRESUPUESTO PCAS'!$G$2,FALSE),0)</f>
        <v>163994.16799055826</v>
      </c>
      <c r="AA7" s="650">
        <f>(-O7-R7)/(1+0.12)+PV(12%,20,P7)+PV(12%,20,T7)-(O7*0.5)/(1+0.12)^10-S7/(1+0.12)^10</f>
        <v>-1925789.2548069127</v>
      </c>
      <c r="AB7" s="651">
        <f>M7+AA7</f>
        <v>-12256667.860594852</v>
      </c>
      <c r="AC7" s="10">
        <f>IF($E7&lt;&gt;0,VLOOKUP($E7,Resumen_Generación!$B$5:$F$158,Resumen_Generación!$D$3,FALSE),0)</f>
        <v>10.513273872000003</v>
      </c>
      <c r="AD7" s="10">
        <f>IF($E7&lt;&gt;0,VLOOKUP($E7,Resumen_Generación!$B$5:$G$158,Resumen_Generación!$G$3,FALSE),0)</f>
        <v>4.2884976599999991</v>
      </c>
      <c r="AE7" s="362">
        <f>IF($E7&lt;&gt;0,VLOOKUP($E7,Resumen_Generación!$B$5:$F$158,Resumen_Generación!$E$3,FALSE),0)</f>
        <v>15157</v>
      </c>
      <c r="AF7" s="10">
        <f>IF($E7&lt;&gt;0,VLOOKUP($E7,Resumen_Generación!$B$5:$F$158,Resumen_Generación!$F$3,FALSE),0)</f>
        <v>4.8609119999999999</v>
      </c>
      <c r="AG7" s="513">
        <f>IF($D7&lt;&gt;"-",VLOOKUP($D7,Valoración_Equip_actual!$D$4:$I$157,Valoración_Equip_actual!$E$2,FALSE)*$E$4,0)</f>
        <v>314432.10574999999</v>
      </c>
      <c r="AH7" s="513">
        <f>IF($D7&lt;&gt;"-",VLOOKUP($D7,Valoración_Equip_actual!$D$4:$I$157,Valoración_Equip_actual!$F$2,FALSE)*$E$4,0)</f>
        <v>97377.24</v>
      </c>
      <c r="AI7" s="513">
        <f>[33]P_Datos!$D$43</f>
        <v>0.34891803278688527</v>
      </c>
      <c r="AJ7" s="514"/>
      <c r="AK7" s="514"/>
      <c r="AL7" s="514"/>
      <c r="AM7" s="514"/>
      <c r="AN7" s="449" t="str">
        <f>[33]Datos!$C$2</f>
        <v>Daireaux</v>
      </c>
      <c r="AO7" s="25" t="str">
        <f>IF($E7&lt;&gt;0,VLOOKUP($E7,Tabla13[],Inputs_costos!$D$1,FALSE),"-")</f>
        <v>DAIREAUX</v>
      </c>
      <c r="AP7" s="28" t="str">
        <f>IF($E7&lt;&gt;0,VLOOKUP($D7,'Costo Social x localidad'!$B$2:$M$156,1,FALSE),"-")</f>
        <v>DAIREAUX</v>
      </c>
    </row>
    <row r="8" spans="1:45">
      <c r="A8" s="917"/>
      <c r="B8" s="887"/>
      <c r="C8" s="478" t="str">
        <f t="shared" ref="C8:C26" si="2">IF(AND(D8=AN8,D8=AO8,D8=AP8),"ok","ATENCIÓN NO ESTÁ TOMANDO BIEN LA LOCALIDAD")</f>
        <v>ok</v>
      </c>
      <c r="D8" s="24" t="str">
        <f>IF(E8&lt;&gt;0,VLOOKUP(E8,Pobl_adoptada!$B$5:$C$158,2,FALSE),"-")</f>
        <v>Henderson</v>
      </c>
      <c r="E8" s="865">
        <v>78</v>
      </c>
      <c r="F8" s="9" t="s">
        <v>308</v>
      </c>
      <c r="G8" s="9"/>
      <c r="H8" s="34">
        <f>'[34]Inversion rec-TA'!$G$21</f>
        <v>2318932.6887098253</v>
      </c>
      <c r="I8" s="34"/>
      <c r="J8" s="34">
        <f>'[34]Costos Operativos Rec-TA'!$G$23</f>
        <v>978783.85731422657</v>
      </c>
      <c r="K8" s="25">
        <f>'[34]Inversion rec-TA'!$G$46</f>
        <v>0</v>
      </c>
      <c r="L8" s="25">
        <f>+'[34]Costos Operativos Rec-TA'!$G$46</f>
        <v>0</v>
      </c>
      <c r="M8" s="19">
        <f t="shared" si="0"/>
        <v>-10128080.720749876</v>
      </c>
      <c r="N8" s="19"/>
      <c r="O8" s="25">
        <f>IF($E8&lt;&gt;0,IF(((VLOOKUP($E8,Tabla13[],Inputs_costos!$I$1,FALSE))*(O$3*$E$3+O$4*$E$4)-AG8)&lt;0,0,VLOOKUP($E8,Tabla13[],Inputs_costos!$I$1,FALSE)*(O$3*$E$3+O$4*$E$4)-AG8),0)</f>
        <v>44727.727786000003</v>
      </c>
      <c r="P8" s="25">
        <f>IF($E8&lt;&gt;0,(VLOOKUP($E8,Tabla13[],Inputs_costos!$J$1,FALSE))*(P$3*$E$3+P$4*$E$4),0)</f>
        <v>26127.3549570752</v>
      </c>
      <c r="Q8" s="25"/>
      <c r="R8" s="25">
        <f>IF($E8&lt;&gt;0,IF($AC8&gt;=15,(VLOOKUP($E8,Tabla13[],Inputs_costos!$G$1,FALSE))*($R$3*$E$3+$R$4*$E$4),(VLOOKUP($E8,Tabla13[],Inputs_costos!$G$1,FALSE))*($T$3*$E$3+$T$4*$E$4))-AH8,0)</f>
        <v>559153.08952000004</v>
      </c>
      <c r="S8" s="25">
        <f t="shared" si="1"/>
        <v>0</v>
      </c>
      <c r="T8" s="25">
        <f>IF($E8&lt;&gt;0,IF($AC8&gt;=15,(VLOOKUP($E8,Tabla13[],Inputs_costos!$H$1,FALSE))*($R$3*$E$3+$R$4*$E$4),(VLOOKUP($E8,Tabla13[],Inputs_costos!$H$1,FALSE))*($T$3*$E$3+$T$4*$E$4)),0)</f>
        <v>92325.177664000003</v>
      </c>
      <c r="U8" s="465">
        <f>IF($E8&lt;&gt;0,SUMIFS(Tabla24[Costo de Cierre Técnico de BCA (US$)],Tabla24[Localidad],'Resumen_Alt 3'!$D8),0)</f>
        <v>296800</v>
      </c>
      <c r="V8" s="461">
        <f t="shared" ref="V8:V26" si="3">+U8*(V$3*$E$3+V$4*$E$4)</f>
        <v>569987.30432</v>
      </c>
      <c r="W8" s="465">
        <f>IF($E8&lt;&gt;0,SUMIFS(Tabla24[Costo anual de Manteniemiento Post-cierre (US$)],Tabla24[Localidad],'Resumen_Alt 3'!$D8),0)</f>
        <v>26351.628898767573</v>
      </c>
      <c r="X8" s="461">
        <f t="shared" ref="X8:X26" si="4">+W8*(X$3*$E$3+X$4*$E$4)</f>
        <v>50606.785446258553</v>
      </c>
      <c r="Y8" s="28">
        <f>IF($E8&lt;&gt;0,VLOOKUP($D8,'Costo Social x localidad'!$B$2:$M$156,12,FALSE)*(Y$3*$E$3+Y$4*$E$4),0)</f>
        <v>9173.7222940799984</v>
      </c>
      <c r="Z8" s="28">
        <f>IF($E8&lt;&gt;0,VLOOKUP(D8,'Estimación  PRESUPUESTO PCAS'!$B$4:$G$158,'Estimación  PRESUPUESTO PCAS'!$G$2,FALSE),0)</f>
        <v>167600.40810335823</v>
      </c>
      <c r="AA8" s="650">
        <f>(-O8-R8)/(1+0.12)+PV(12%,20,P8)+PV(12%,20,T8)-(O8*0.5)/(1+0.12)^10-S8/(1+0.12)^10</f>
        <v>-1431154.3813783214</v>
      </c>
      <c r="AB8" s="651">
        <f>M8+AA8</f>
        <v>-11559235.102128197</v>
      </c>
      <c r="AC8" s="10">
        <f>IF($E8&lt;&gt;0,VLOOKUP($E8,Resumen_Generación!$B$5:$F$158,Resumen_Generación!$D$3,FALSE),0)</f>
        <v>6.9550211520000005</v>
      </c>
      <c r="AD8" s="10">
        <f>IF($E8&lt;&gt;0,VLOOKUP($E8,Resumen_Generación!$B$5:$G$158,Resumen_Generación!$G$3,FALSE),0)</f>
        <v>2.8264060599999996</v>
      </c>
      <c r="AE8" s="362">
        <f>IF($E8&lt;&gt;0,VLOOKUP($E8,Resumen_Generación!$B$5:$F$158,Resumen_Generación!$E$3,FALSE),0)</f>
        <v>10018</v>
      </c>
      <c r="AF8" s="10">
        <f>IF($E8&lt;&gt;0,VLOOKUP($E8,Resumen_Generación!$B$5:$F$158,Resumen_Generación!$F$3,FALSE),0)</f>
        <v>3.2145259999999998</v>
      </c>
      <c r="AG8" s="513">
        <f>IF($D8&lt;&gt;"-",VLOOKUP($D8,Valoración_Equip_actual!$D$4:$I$157,Valoración_Equip_actual!$E$2,FALSE)*$E$4,0)</f>
        <v>314432.10574999999</v>
      </c>
      <c r="AH8" s="513">
        <f>IF($D8&lt;&gt;"-",VLOOKUP($D8,Valoración_Equip_actual!$D$4:$I$157,Valoración_Equip_actual!$F$2,FALSE)*$E$4,0)</f>
        <v>97377.24</v>
      </c>
      <c r="AI8" s="513">
        <f>[34]P_Datos!$D$43</f>
        <v>0.25993442622950819</v>
      </c>
      <c r="AJ8" s="514"/>
      <c r="AK8" s="514"/>
      <c r="AL8" s="514"/>
      <c r="AM8" s="514"/>
      <c r="AN8" s="34" t="str">
        <f>[34]Datos!$C$2</f>
        <v>Henderson</v>
      </c>
      <c r="AO8" s="25" t="str">
        <f>IF($E8&lt;&gt;0,VLOOKUP($E8,Tabla13[],Inputs_costos!$D$1,FALSE),"-")</f>
        <v>HENDERSON</v>
      </c>
      <c r="AP8" s="28" t="str">
        <f>IF($E8&lt;&gt;0,VLOOKUP($D8,'Costo Social x localidad'!$B$2:$M$156,1,FALSE),"-")</f>
        <v>HENDERSON</v>
      </c>
    </row>
    <row r="9" spans="1:45">
      <c r="A9" s="917"/>
      <c r="B9" s="887"/>
      <c r="C9" s="478" t="str">
        <f t="shared" si="2"/>
        <v>ok</v>
      </c>
      <c r="D9" s="24" t="str">
        <f>IF(E9&lt;&gt;0,VLOOKUP(E9,Pobl_adoptada!$B$5:$C$158,2,FALSE),"-")</f>
        <v>San Carlos de Bolívar</v>
      </c>
      <c r="E9" s="865">
        <v>38</v>
      </c>
      <c r="F9" s="9" t="s">
        <v>308</v>
      </c>
      <c r="G9" s="9"/>
      <c r="H9" s="34">
        <f>'[35]Inversion rec-TA'!$G$21</f>
        <v>3737193.8862797669</v>
      </c>
      <c r="I9" s="34"/>
      <c r="J9" s="34">
        <f>'[35]Costos Operativos Rec-TA'!$G$23</f>
        <v>2047058.3466823269</v>
      </c>
      <c r="K9" s="25">
        <f>'[35]Inversion rec-TA'!$G$46</f>
        <v>0</v>
      </c>
      <c r="L9" s="25">
        <f>+'[35]Costos Operativos Rec-TA'!$G$46</f>
        <v>0</v>
      </c>
      <c r="M9" s="19">
        <f t="shared" si="0"/>
        <v>-19830443.583192289</v>
      </c>
      <c r="N9" s="19"/>
      <c r="O9" s="25">
        <f>IF($E9&lt;&gt;0,IF(((VLOOKUP($E9,Tabla13[],Inputs_costos!$I$1,FALSE))*(O$3*$E$3+O$4*$E$4)-AG9)&lt;0,0,VLOOKUP($E9,Tabla13[],Inputs_costos!$I$1,FALSE)*(O$3*$E$3+O$4*$E$4)-AG9),0)</f>
        <v>321021.6827</v>
      </c>
      <c r="P9" s="25">
        <f>IF($E9&lt;&gt;0,(VLOOKUP($E9,Tabla13[],Inputs_costos!$J$1,FALSE))*(P$3*$E$3+P$4*$E$4),0)</f>
        <v>458938.82044800004</v>
      </c>
      <c r="Q9" s="25"/>
      <c r="R9" s="25">
        <f>IF($E9&lt;&gt;0,IF($AC9&gt;=15,(VLOOKUP($E9,Tabla13[],Inputs_costos!$G$1,FALSE))*($R$3*$E$3+$R$4*$E$4),(VLOOKUP($E9,Tabla13[],Inputs_costos!$G$1,FALSE))*($T$3*$E$3+$T$4*$E$4))-AH9,0)</f>
        <v>8301162.4640000006</v>
      </c>
      <c r="S9" s="25">
        <f t="shared" si="1"/>
        <v>815000</v>
      </c>
      <c r="T9" s="25">
        <f>IF($E9&lt;&gt;0,IF($AC9&gt;=15,(VLOOKUP($E9,Tabla13[],Inputs_costos!$H$1,FALSE))*($R$3*$E$3+$R$4*$E$4),(VLOOKUP($E9,Tabla13[],Inputs_costos!$H$1,FALSE))*($T$3*$E$3+$T$4*$E$4)),0)</f>
        <v>1653213.782816</v>
      </c>
      <c r="U9" s="465">
        <f>IF($E9&lt;&gt;0,SUMIFS(Tabla24[Costo de Cierre Técnico de BCA (US$)],Tabla24[Localidad],'Resumen_Alt 3'!$D9),0)</f>
        <v>4770000</v>
      </c>
      <c r="V9" s="461">
        <f t="shared" si="3"/>
        <v>9160510.2479999997</v>
      </c>
      <c r="W9" s="465">
        <f>IF($E9&lt;&gt;0,SUMIFS(Tabla24[Costo anual de Manteniemiento Post-cierre (US$)],Tabla24[Localidad],'Resumen_Alt 3'!$D9),0)</f>
        <v>423508.32158733596</v>
      </c>
      <c r="X9" s="461">
        <f t="shared" si="4"/>
        <v>813323.33752915531</v>
      </c>
      <c r="Y9" s="28">
        <f>IF($E9&lt;&gt;0,VLOOKUP($D9,'Costo Social x localidad'!$B$2:$M$156,12,FALSE)*(Y$3*$E$3+Y$4*$E$4),0)</f>
        <v>63596.654987386661</v>
      </c>
      <c r="Z9" s="28">
        <f>IF($E9&lt;&gt;0,VLOOKUP(D9,'Estimación  PRESUPUESTO PCAS'!$B$4:$G$158,'Estimación  PRESUPUESTO PCAS'!$G$2,FALSE),0)</f>
        <v>347871.28280979767</v>
      </c>
      <c r="AA9" s="650">
        <f>(-O9-R9)/(1+0.12)+PV(12%,20,P9)+PV(12%,20,T9)-(O9*0.5)/(1+0.12)^10-S9/(1+0.12)^10</f>
        <v>-23789071.881386712</v>
      </c>
      <c r="AB9" s="651">
        <f>M9+AA9</f>
        <v>-43619515.464579001</v>
      </c>
      <c r="AC9" s="10">
        <f>IF($E9&lt;&gt;0,VLOOKUP($E9,Resumen_Generación!$B$5:$F$158,Resumen_Generación!$D$3,FALSE),0)</f>
        <v>24.992082584000002</v>
      </c>
      <c r="AD9" s="10">
        <f>IF($E9&lt;&gt;0,VLOOKUP($E9,Resumen_Generación!$B$5:$G$158,Resumen_Generación!$G$3,FALSE),0)</f>
        <v>10.173831770000001</v>
      </c>
      <c r="AE9" s="362">
        <f>IF($E9&lt;&gt;0,VLOOKUP($E9,Resumen_Generación!$B$5:$F$158,Resumen_Generación!$E$3,FALSE),0)</f>
        <v>31256</v>
      </c>
      <c r="AF9" s="10">
        <f>IF($E9&lt;&gt;0,VLOOKUP($E9,Resumen_Generación!$B$5:$F$158,Resumen_Generación!$F$3,FALSE),0)</f>
        <v>11.547374999999999</v>
      </c>
      <c r="AG9" s="513">
        <f>IF($D9&lt;&gt;"-",VLOOKUP($D9,Valoración_Equip_actual!$D$4:$I$157,Valoración_Equip_actual!$E$2,FALSE)*$E$4,0)</f>
        <v>1389819.73074</v>
      </c>
      <c r="AH9" s="513">
        <f>IF($D9&lt;&gt;"-",VLOOKUP($D9,Valoración_Equip_actual!$D$4:$I$157,Valoración_Equip_actual!$F$2,FALSE)*$E$4,0)</f>
        <v>292626.2</v>
      </c>
      <c r="AI9" s="513">
        <f>[35]P_Datos!$D$43</f>
        <v>0.85586885245901645</v>
      </c>
      <c r="AJ9" s="514"/>
      <c r="AK9" s="514"/>
      <c r="AL9" s="514"/>
      <c r="AM9" s="514"/>
      <c r="AN9" s="34" t="str">
        <f>[35]Datos!$C$2</f>
        <v>San Carlos de Bolívar</v>
      </c>
      <c r="AO9" s="25" t="str">
        <f>IF($E9&lt;&gt;0,VLOOKUP($E9,Tabla13[],Inputs_costos!$D$1,FALSE),"-")</f>
        <v>SAN CARLOS DE BOLÍVAR</v>
      </c>
      <c r="AP9" s="28" t="str">
        <f>IF($E9&lt;&gt;0,VLOOKUP($D9,'Costo Social x localidad'!$B$2:$M$156,1,FALSE),"-")</f>
        <v>San Carlos de Bolívar</v>
      </c>
    </row>
    <row r="10" spans="1:45">
      <c r="A10" s="917"/>
      <c r="B10" s="887"/>
      <c r="C10" s="478" t="str">
        <f t="shared" si="2"/>
        <v>ok</v>
      </c>
      <c r="D10" s="24" t="str">
        <f>IF(E10&lt;&gt;0,VLOOKUP(E10,Pobl_adoptada!$B$5:$C$158,2,FALSE),"-")</f>
        <v>9 de Julio</v>
      </c>
      <c r="E10" s="865">
        <v>26</v>
      </c>
      <c r="F10" s="9" t="s">
        <v>308</v>
      </c>
      <c r="G10" s="9"/>
      <c r="H10" s="34">
        <f>'[55]Inversion rec-TA'!$G$21</f>
        <v>4904217.9901958788</v>
      </c>
      <c r="I10" s="34"/>
      <c r="J10" s="34">
        <f>'[55]Costos Operativos Rec-TA'!$G$23</f>
        <v>2762436.9234126438</v>
      </c>
      <c r="K10" s="25">
        <f>'[55]Inversion rec-TA'!$G$46</f>
        <v>0</v>
      </c>
      <c r="L10" s="25">
        <f>+'[55]Costos Operativos Rec-TA'!$G$46</f>
        <v>0</v>
      </c>
      <c r="M10" s="19">
        <f t="shared" si="0"/>
        <v>-26591659.867116291</v>
      </c>
      <c r="N10" s="19"/>
      <c r="O10" s="25">
        <f>IF($E10&lt;&gt;0,IF(((VLOOKUP($E10,Tabla13[],Inputs_costos!$I$1,FALSE))*(O$3*$E$3+O$4*$E$4)-AG10)&lt;0,0,VLOOKUP($E10,Tabla13[],Inputs_costos!$I$1,FALSE)*(O$3*$E$3+O$4*$E$4)-AG10),0)</f>
        <v>1251742.6375480001</v>
      </c>
      <c r="P10" s="25">
        <f>IF($E10&lt;&gt;0,(VLOOKUP($E10,Tabla13[],Inputs_costos!$J$1,FALSE))*(P$3*$E$3+P$4*$E$4),0)</f>
        <v>661668.79775999999</v>
      </c>
      <c r="Q10" s="25"/>
      <c r="R10" s="25">
        <f>IF($E10&lt;&gt;0,IF($AC10&gt;=15,(VLOOKUP($E10,Tabla13[],Inputs_costos!$G$1,FALSE))*($R$3*$E$3+$R$4*$E$4),(VLOOKUP($E10,Tabla13[],Inputs_costos!$G$1,FALSE))*($T$3*$E$3+$T$4*$E$4))-AH10,0)</f>
        <v>10192799.208000001</v>
      </c>
      <c r="S10" s="25">
        <f t="shared" si="1"/>
        <v>815000</v>
      </c>
      <c r="T10" s="25">
        <f>IF($E10&lt;&gt;0,IF($AC10&gt;=15,(VLOOKUP($E10,Tabla13[],Inputs_costos!$H$1,FALSE))*($R$3*$E$3+$R$4*$E$4),(VLOOKUP($E10,Tabla13[],Inputs_costos!$H$1,FALSE))*($T$3*$E$3+$T$4*$E$4)),0)</f>
        <v>1556295.97964</v>
      </c>
      <c r="U10" s="465">
        <f>IF($E10&lt;&gt;0,SUMIFS(Tabla24[Costo de Cierre Técnico de BCA (US$)],Tabla24[Localidad],'Resumen_Alt 3'!$D10),0)</f>
        <v>290440</v>
      </c>
      <c r="V10" s="461">
        <f t="shared" si="3"/>
        <v>557773.29065600003</v>
      </c>
      <c r="W10" s="465">
        <f>IF($E10&lt;&gt;0,SUMIFS(Tabla24[Costo anual de Manteniemiento Post-cierre (US$)],Tabla24[Localidad],'Resumen_Alt 3'!$D10),0)</f>
        <v>25786.951136651125</v>
      </c>
      <c r="X10" s="461">
        <f t="shared" si="4"/>
        <v>49522.354329553018</v>
      </c>
      <c r="Y10" s="28">
        <f>IF($E10&lt;&gt;0,VLOOKUP($D10,'Costo Social x localidad'!$B$2:$M$156,12,FALSE)*(Y$3*$E$3+Y$4*$E$4),0)</f>
        <v>69124.114997280005</v>
      </c>
      <c r="Z10" s="28">
        <f>IF($E10&lt;&gt;0,VLOOKUP(D10,'Estimación  PRESUPUESTO PCAS'!$B$4:$G$158,'Estimación  PRESUPUESTO PCAS'!$G$2,FALSE),0)</f>
        <v>344004.06407999853</v>
      </c>
      <c r="AA10" s="650">
        <f t="shared" ref="AA10:AA26" si="5">(-O10-R10)/(1+0.12)+PV(12%,20,P10)+PV(12%,20,T10)-(O10*0.5)/(1+0.12)^10-S10/(1+0.12)^10</f>
        <v>-27249225.801074978</v>
      </c>
      <c r="AB10" s="651">
        <f t="shared" ref="AB10:AB26" si="6">M10+AA10</f>
        <v>-53840885.668191269</v>
      </c>
      <c r="AC10" s="10">
        <f>IF($E10&lt;&gt;0,VLOOKUP($E10,Resumen_Generación!$B$5:$F$158,Resumen_Generación!$D$3,FALSE),0)</f>
        <v>36.003031864</v>
      </c>
      <c r="AD10" s="10">
        <f>IF($E10&lt;&gt;0,VLOOKUP($E10,Resumen_Generación!$B$5:$G$158,Resumen_Generación!$G$3,FALSE),0)</f>
        <v>14.66804892</v>
      </c>
      <c r="AE10" s="362">
        <f>IF($E10&lt;&gt;0,VLOOKUP($E10,Resumen_Generación!$B$5:$F$158,Resumen_Generación!$E$3,FALSE),0)</f>
        <v>45035</v>
      </c>
      <c r="AF10" s="10">
        <f>IF($E10&lt;&gt;0,VLOOKUP($E10,Resumen_Generación!$B$5:$F$158,Resumen_Generación!$F$3,FALSE),0)</f>
        <v>16.647883</v>
      </c>
      <c r="AG10" s="513">
        <f>IF($D10&lt;&gt;"-",VLOOKUP($D10,Valoración_Equip_actual!$D$4:$I$157,Valoración_Equip_actual!$E$2,FALSE)*$E$4,0)</f>
        <v>520498.37557199999</v>
      </c>
      <c r="AH10" s="513">
        <f>IF($D10&lt;&gt;"-",VLOOKUP($D10,Valoración_Equip_actual!$D$4:$I$157,Valoración_Equip_actual!$F$2,FALSE)*$E$4,0)</f>
        <v>97377.24</v>
      </c>
      <c r="AI10" s="448">
        <f>[55]P_Datos!$D$43</f>
        <v>1.1945573770491804</v>
      </c>
      <c r="AJ10" s="514"/>
      <c r="AK10" s="514"/>
      <c r="AL10" s="514"/>
      <c r="AM10" s="514"/>
      <c r="AN10" s="34" t="str">
        <f>[55]Datos!$C$2</f>
        <v>9 de Julio</v>
      </c>
      <c r="AO10" s="25" t="str">
        <f>IF($E10&lt;&gt;0,VLOOKUP($E10,Tabla13[],Inputs_costos!$D$1,FALSE),"-")</f>
        <v>9 DE JULIO</v>
      </c>
      <c r="AP10" s="28" t="str">
        <f>IF($E10&lt;&gt;0,VLOOKUP($D10,'Costo Social x localidad'!$B$2:$M$156,1,FALSE),"-")</f>
        <v>9 DE JULIO</v>
      </c>
    </row>
    <row r="11" spans="1:45">
      <c r="A11" s="917"/>
      <c r="B11" s="887"/>
      <c r="C11" s="478" t="str">
        <f t="shared" si="2"/>
        <v>ok</v>
      </c>
      <c r="D11" s="24" t="str">
        <f>IF(E11&lt;&gt;0,VLOOKUP(E11,Pobl_adoptada!$B$5:$C$158,2,FALSE),"-")</f>
        <v>Pehuajó</v>
      </c>
      <c r="E11" s="865">
        <v>101</v>
      </c>
      <c r="F11" s="9" t="s">
        <v>308</v>
      </c>
      <c r="G11" s="9"/>
      <c r="H11" s="34">
        <f>'[56]Inversion rec-TA'!$G$21</f>
        <v>3671724.1182797672</v>
      </c>
      <c r="I11" s="34"/>
      <c r="J11" s="34">
        <f>'[56]Costos Operativos Rec-TA'!$G$23</f>
        <v>1970375.3252498843</v>
      </c>
      <c r="K11" s="25">
        <f>'[56]Inversion rec-TA'!$G$46</f>
        <v>0</v>
      </c>
      <c r="L11" s="25">
        <f>+'[56]Costos Operativos Rec-TA'!$G$46</f>
        <v>0</v>
      </c>
      <c r="M11" s="19">
        <f t="shared" si="0"/>
        <v>-19178129.414557755</v>
      </c>
      <c r="N11" s="19"/>
      <c r="O11" s="25">
        <f>IF($E11&lt;&gt;0,IF(((VLOOKUP($E11,Tabla13[],Inputs_costos!$I$1,FALSE))*(O$3*$E$3+O$4*$E$4)-AG11)&lt;0,0,VLOOKUP($E11,Tabla13[],Inputs_costos!$I$1,FALSE)*(O$3*$E$3+O$4*$E$4)-AG11),0)</f>
        <v>1435944.6892200001</v>
      </c>
      <c r="P11" s="25">
        <f>IF($E11&lt;&gt;0,(VLOOKUP($E11,Tabla13[],Inputs_costos!$J$1,FALSE))*(P$3*$E$3+P$4*$E$4),0)</f>
        <v>539203.49350400001</v>
      </c>
      <c r="Q11" s="25"/>
      <c r="R11" s="25">
        <f>IF($E11&lt;&gt;0,IF($AC11&gt;=15,(VLOOKUP($E11,Tabla13[],Inputs_costos!$G$1,FALSE))*($R$3*$E$3+$R$4*$E$4),(VLOOKUP($E11,Tabla13[],Inputs_costos!$G$1,FALSE))*($T$3*$E$3+$T$4*$E$4))-AH11,0)</f>
        <v>9154571.3024000004</v>
      </c>
      <c r="S11" s="25">
        <f t="shared" si="1"/>
        <v>815000</v>
      </c>
      <c r="T11" s="25">
        <f>IF($E11&lt;&gt;0,IF($AC11&gt;=15,(VLOOKUP($E11,Tabla13[],Inputs_costos!$H$1,FALSE))*($R$3*$E$3+$R$4*$E$4),(VLOOKUP($E11,Tabla13[],Inputs_costos!$H$1,FALSE))*($T$3*$E$3+$T$4*$E$4)),0)</f>
        <v>1618782.7032880001</v>
      </c>
      <c r="U11" s="465">
        <f>IF($E11&lt;&gt;0,SUMIFS(Tabla24[Costo de Cierre Técnico de BCA (US$)],Tabla24[Localidad],'Resumen_Alt 3'!$D11),0)</f>
        <v>0</v>
      </c>
      <c r="V11" s="461">
        <f t="shared" si="3"/>
        <v>0</v>
      </c>
      <c r="W11" s="465">
        <f>IF($E11&lt;&gt;0,SUMIFS(Tabla24[Costo anual de Manteniemiento Post-cierre (US$)],Tabla24[Localidad],'Resumen_Alt 3'!$D11),0)</f>
        <v>0</v>
      </c>
      <c r="X11" s="461">
        <f t="shared" si="4"/>
        <v>0</v>
      </c>
      <c r="Y11" s="28">
        <f>IF($E11&lt;&gt;0,VLOOKUP($D11,'Costo Social x localidad'!$B$2:$M$156,12,FALSE)*(Y$3*$E$3+Y$4*$E$4),0)</f>
        <v>46309.279172399998</v>
      </c>
      <c r="Z11" s="28">
        <f>IF($E11&lt;&gt;0,VLOOKUP(D11,'Estimación  PRESUPUESTO PCAS'!$B$4:$G$158,'Estimación  PRESUPUESTO PCAS'!$G$2,FALSE),0)</f>
        <v>275294.8010989977</v>
      </c>
      <c r="AA11" s="650">
        <f t="shared" si="5"/>
        <v>-26068350.156073786</v>
      </c>
      <c r="AB11" s="651">
        <f t="shared" si="6"/>
        <v>-45246479.570631541</v>
      </c>
      <c r="AC11" s="10">
        <f>IF($E11&lt;&gt;0,VLOOKUP($E11,Resumen_Generación!$B$5:$F$158,Resumen_Generación!$D$3,FALSE),0)</f>
        <v>29.334794888000005</v>
      </c>
      <c r="AD11" s="10">
        <f>IF($E11&lt;&gt;0,VLOOKUP($E11,Resumen_Generación!$B$5:$G$158,Resumen_Generación!$G$3,FALSE),0)</f>
        <v>11.917997640000001</v>
      </c>
      <c r="AE11" s="362">
        <f>IF($E11&lt;&gt;0,VLOOKUP($E11,Resumen_Generación!$B$5:$F$158,Resumen_Generación!$E$3,FALSE),0)</f>
        <v>36669</v>
      </c>
      <c r="AF11" s="10">
        <f>IF($E11&lt;&gt;0,VLOOKUP($E11,Resumen_Generación!$B$5:$F$158,Resumen_Generación!$F$3,FALSE),0)</f>
        <v>13.566728000000001</v>
      </c>
      <c r="AG11" s="513">
        <f>IF($D11&lt;&gt;"-",VLOOKUP($D11,Valoración_Equip_actual!$D$4:$I$157,Valoración_Equip_actual!$E$2,FALSE)*$E$4,0)</f>
        <v>299196.86790000001</v>
      </c>
      <c r="AH11" s="513">
        <f>IF($D11&lt;&gt;"-",VLOOKUP($D11,Valoración_Equip_actual!$D$4:$I$157,Valoración_Equip_actual!$F$2,FALSE)*$E$4,0)</f>
        <v>121500.8</v>
      </c>
      <c r="AI11" s="448">
        <f>[56]P_Datos!$D$43</f>
        <v>0.97573770491803291</v>
      </c>
      <c r="AN11" s="34" t="str">
        <f>[56]Datos!$C$2</f>
        <v>Pehuajó</v>
      </c>
      <c r="AO11" s="25" t="str">
        <f>IF($E11&lt;&gt;0,VLOOKUP($E11,Tabla13[],Inputs_costos!$D$1,FALSE),"-")</f>
        <v>PEHUAJÓ</v>
      </c>
      <c r="AP11" s="28" t="str">
        <f>IF($E11&lt;&gt;0,VLOOKUP($D11,'Costo Social x localidad'!$B$2:$M$156,1,FALSE),"-")</f>
        <v>PEHUAJÓ</v>
      </c>
    </row>
    <row r="12" spans="1:45">
      <c r="A12" s="917"/>
      <c r="B12" s="887"/>
      <c r="C12" s="478" t="str">
        <f t="shared" si="2"/>
        <v>ok</v>
      </c>
      <c r="D12" s="24" t="str">
        <f>IF(E12&lt;&gt;0,VLOOKUP(E12,Pobl_adoptada!$B$5:$C$158,2,FALSE),"-")</f>
        <v>Carlos Casares</v>
      </c>
      <c r="E12" s="865">
        <v>44</v>
      </c>
      <c r="F12" s="9" t="s">
        <v>308</v>
      </c>
      <c r="G12" s="9"/>
      <c r="H12" s="34">
        <f>'[57]Inversion rec-TA'!$G$21</f>
        <v>3235258.9982797671</v>
      </c>
      <c r="I12" s="34"/>
      <c r="J12" s="34">
        <f>'[57]Costos Operativos Rec-TA'!$G$23</f>
        <v>1509603.8655466801</v>
      </c>
      <c r="K12" s="25">
        <f>'[57]Inversion rec-TA'!$G$46</f>
        <v>0</v>
      </c>
      <c r="L12" s="25">
        <f>+'[57]Costos Operativos Rec-TA'!$G$46</f>
        <v>0</v>
      </c>
      <c r="M12" s="19">
        <f t="shared" si="0"/>
        <v>-15206191.885260189</v>
      </c>
      <c r="N12" s="19"/>
      <c r="O12" s="25">
        <f>IF($E12&lt;&gt;0,IF(((VLOOKUP($E12,Tabla13[],Inputs_costos!$I$1,FALSE))*(O$3*$E$3+O$4*$E$4)-AG12)&lt;0,0,VLOOKUP($E12,Tabla13[],Inputs_costos!$I$1,FALSE)*(O$3*$E$3+O$4*$E$4)-AG12),0)</f>
        <v>783651.56981320097</v>
      </c>
      <c r="P12" s="25">
        <f>IF($E12&lt;&gt;0,(VLOOKUP($E12,Tabla13[],Inputs_costos!$J$1,FALSE))*(P$3*$E$3+P$4*$E$4),0)</f>
        <v>326030.01932800002</v>
      </c>
      <c r="Q12" s="25"/>
      <c r="R12" s="25">
        <f>IF($E12&lt;&gt;0,IF($AC12&gt;=15,(VLOOKUP($E12,Tabla13[],Inputs_costos!$G$1,FALSE))*($R$3*$E$3+$R$4*$E$4),(VLOOKUP($E12,Tabla13[],Inputs_costos!$G$1,FALSE))*($T$3*$E$3+$T$4*$E$4))-AH12,0)</f>
        <v>6856255.0008000005</v>
      </c>
      <c r="S12" s="25">
        <f t="shared" si="1"/>
        <v>815000</v>
      </c>
      <c r="T12" s="25">
        <f>IF($E12&lt;&gt;0,IF($AC12&gt;=15,(VLOOKUP($E12,Tabla13[],Inputs_costos!$H$1,FALSE))*($R$3*$E$3+$R$4*$E$4),(VLOOKUP($E12,Tabla13[],Inputs_costos!$H$1,FALSE))*($T$3*$E$3+$T$4*$E$4)),0)</f>
        <v>1691466.3952640002</v>
      </c>
      <c r="U12" s="465">
        <f>IF($E12&lt;&gt;0,SUMIFS(Tabla24[Costo de Cierre Técnico de BCA (US$)],Tabla24[Localidad],'Resumen_Alt 3'!$D12),0)</f>
        <v>845880</v>
      </c>
      <c r="V12" s="461">
        <f t="shared" si="3"/>
        <v>1624463.8173120001</v>
      </c>
      <c r="W12" s="465">
        <f>IF($E12&lt;&gt;0,SUMIFS(Tabla24[Costo anual de Manteniemiento Post-cierre (US$)],Tabla24[Localidad],'Resumen_Alt 3'!$D12),0)</f>
        <v>75102.142361487582</v>
      </c>
      <c r="X12" s="461">
        <f t="shared" si="4"/>
        <v>144229.33852183688</v>
      </c>
      <c r="Y12" s="28">
        <f>IF($E12&lt;&gt;0,VLOOKUP($D12,'Costo Social x localidad'!$B$2:$M$156,12,FALSE)*(Y$3*$E$3+Y$4*$E$4),0)</f>
        <v>30297.046984319997</v>
      </c>
      <c r="Z12" s="28">
        <f>IF($E12&lt;&gt;0,VLOOKUP(D12,'Estimación  PRESUPUESTO PCAS'!$B$4:$G$158,'Estimación  PRESUPUESTO PCAS'!$G$2,FALSE),0)</f>
        <v>257668.69386204969</v>
      </c>
      <c r="AA12" s="650">
        <f t="shared" si="5"/>
        <v>-22279486.487378705</v>
      </c>
      <c r="AB12" s="651">
        <f t="shared" si="6"/>
        <v>-37485678.372638896</v>
      </c>
      <c r="AC12" s="10">
        <f>IF($E12&lt;&gt;0,VLOOKUP($E12,Resumen_Generación!$B$5:$F$158,Resumen_Generación!$D$3,FALSE),0)</f>
        <v>17.757768296000002</v>
      </c>
      <c r="AD12" s="10">
        <f>IF($E12&lt;&gt;0,VLOOKUP($E12,Resumen_Generación!$B$5:$G$158,Resumen_Generación!$G$3,FALSE),0)</f>
        <v>7.2362733800000001</v>
      </c>
      <c r="AE12" s="362">
        <f>IF($E12&lt;&gt;0,VLOOKUP($E12,Resumen_Generación!$B$5:$F$158,Resumen_Generación!$E$3,FALSE),0)</f>
        <v>22214</v>
      </c>
      <c r="AF12" s="10">
        <f>IF($E12&lt;&gt;0,VLOOKUP($E12,Resumen_Generación!$B$5:$F$158,Resumen_Generación!$F$3,FALSE),0)</f>
        <v>8.2031810000000007</v>
      </c>
      <c r="AG12" s="513">
        <f>IF($D12&lt;&gt;"-",VLOOKUP($D12,Valoración_Equip_actual!$D$4:$I$157,Valoración_Equip_actual!$E$2,FALSE)*$E$4,0)</f>
        <v>886751.4365867991</v>
      </c>
      <c r="AH12" s="513">
        <f>IF($D12&lt;&gt;"-",VLOOKUP($D12,Valoración_Equip_actual!$D$4:$I$157,Valoración_Equip_actual!$F$2,FALSE)*$E$4,0)</f>
        <v>538877.24</v>
      </c>
      <c r="AI12" s="448">
        <f>[57]P_Datos!$D$43</f>
        <v>0.57252459016393442</v>
      </c>
      <c r="AN12" s="34" t="str">
        <f>[57]Datos!$C$2</f>
        <v>Carlos Casares</v>
      </c>
      <c r="AO12" s="25" t="str">
        <f>IF($E12&lt;&gt;0,VLOOKUP($E12,Tabla13[],Inputs_costos!$D$1,FALSE),"-")</f>
        <v>CARLOS CASARES</v>
      </c>
      <c r="AP12" s="28" t="str">
        <f>IF($E12&lt;&gt;0,VLOOKUP($D12,'Costo Social x localidad'!$B$2:$M$156,1,FALSE),"-")</f>
        <v>CARLOS CASARES</v>
      </c>
    </row>
    <row r="13" spans="1:45">
      <c r="A13" s="917"/>
      <c r="B13" s="887"/>
      <c r="C13" s="478" t="str">
        <f t="shared" si="2"/>
        <v>ok</v>
      </c>
      <c r="D13" s="24" t="str">
        <f>IF(E13&lt;&gt;0,VLOOKUP(E13,Pobl_adoptada!$B$5:$C$158,2,FALSE),"-")</f>
        <v>-</v>
      </c>
      <c r="E13" s="865"/>
      <c r="F13" s="9"/>
      <c r="G13" s="9"/>
      <c r="H13" s="34"/>
      <c r="I13" s="34"/>
      <c r="J13" s="34"/>
      <c r="K13" s="25"/>
      <c r="L13" s="25"/>
      <c r="M13" s="19">
        <f t="shared" si="0"/>
        <v>0</v>
      </c>
      <c r="N13" s="19"/>
      <c r="O13" s="25">
        <f>IF($E13&lt;&gt;0,IF(((VLOOKUP($E13,Tabla13[],Inputs_costos!$I$1,FALSE))*(O$3*$E$3+O$4*$E$4)-AG13)&lt;0,0,VLOOKUP($E13,Tabla13[],Inputs_costos!$I$1,FALSE)*(O$3*$E$3+O$4*$E$4)-AG13),0)</f>
        <v>0</v>
      </c>
      <c r="P13" s="25">
        <f>IF($E13&lt;&gt;0,(VLOOKUP($E13,Tabla13[],Inputs_costos!$J$1,FALSE))*(P$3*$E$3+P$4*$E$4),0)</f>
        <v>0</v>
      </c>
      <c r="Q13" s="25"/>
      <c r="R13" s="25">
        <f>IF($E13&lt;&gt;0,IF($AC13&gt;=15,(VLOOKUP($E13,Tabla13[],Inputs_costos!$G$1,FALSE))*($R$3*$E$3+$R$4*$E$4),(VLOOKUP($E13,Tabla13[],Inputs_costos!$G$1,FALSE))*($T$3*$E$3+$T$4*$E$4))-AH13,0)</f>
        <v>0</v>
      </c>
      <c r="S13" s="25">
        <f t="shared" si="1"/>
        <v>0</v>
      </c>
      <c r="T13" s="25">
        <f>IF($E13&lt;&gt;0,IF($AC13&gt;=15,(VLOOKUP($E13,Tabla13[],Inputs_costos!$H$1,FALSE))*($R$3*$E$3+$R$4*$E$4),(VLOOKUP($E13,Tabla13[],Inputs_costos!$H$1,FALSE))*($T$3*$E$3+$T$4*$E$4)),0)</f>
        <v>0</v>
      </c>
      <c r="U13" s="465">
        <f>IF($E13&lt;&gt;0,SUMIFS(Tabla24[Costo de Cierre Técnico de BCA (US$)],Tabla24[Localidad],'Resumen_Alt 3'!$D13),0)</f>
        <v>0</v>
      </c>
      <c r="V13" s="461">
        <f t="shared" si="3"/>
        <v>0</v>
      </c>
      <c r="W13" s="465">
        <f>IF($E13&lt;&gt;0,SUMIFS(Tabla24[Costo anual de Manteniemiento Post-cierre (US$)],Tabla24[Localidad],'Resumen_Alt 3'!$D13),0)</f>
        <v>0</v>
      </c>
      <c r="X13" s="461">
        <f t="shared" si="4"/>
        <v>0</v>
      </c>
      <c r="Y13" s="28">
        <f>IF($E13&lt;&gt;0,VLOOKUP($D13,'Costo Social x localidad'!$B$2:$M$156,12,FALSE)*(Y$3*$E$3+Y$4*$E$4),0)</f>
        <v>0</v>
      </c>
      <c r="Z13" s="28">
        <f>IF($E13&lt;&gt;0,VLOOKUP(D13,'Estimación  PRESUPUESTO PCAS'!$B$4:$G$158,'Estimación  PRESUPUESTO PCAS'!$G$2,FALSE),0)</f>
        <v>0</v>
      </c>
      <c r="AA13" s="650">
        <f t="shared" si="5"/>
        <v>0</v>
      </c>
      <c r="AB13" s="651">
        <f t="shared" si="6"/>
        <v>0</v>
      </c>
      <c r="AC13" s="10">
        <f>IF($E13&lt;&gt;0,VLOOKUP($E13,Resumen_Generación!$B$5:$F$158,Resumen_Generación!$D$3,FALSE),0)</f>
        <v>0</v>
      </c>
      <c r="AD13" s="10">
        <f>IF($E13&lt;&gt;0,VLOOKUP($E13,Resumen_Generación!$B$5:$G$158,Resumen_Generación!$G$3,FALSE),0)</f>
        <v>0</v>
      </c>
      <c r="AE13" s="362">
        <f>IF($E13&lt;&gt;0,VLOOKUP($E13,Resumen_Generación!$B$5:$F$158,Resumen_Generación!$E$3,FALSE),0)</f>
        <v>0</v>
      </c>
      <c r="AF13" s="10">
        <f>IF($E13&lt;&gt;0,VLOOKUP($E13,Resumen_Generación!$B$5:$F$158,Resumen_Generación!$F$3,FALSE),0)</f>
        <v>0</v>
      </c>
      <c r="AG13" s="513">
        <f>IF($D13&lt;&gt;"-",VLOOKUP($D13,Valoración_Equip_actual!$D$4:$I$157,Valoración_Equip_actual!$E$2,FALSE)*$E$4,0)</f>
        <v>0</v>
      </c>
      <c r="AH13" s="513">
        <f>IF($D13&lt;&gt;"-",VLOOKUP($D13,Valoración_Equip_actual!$D$4:$I$157,Valoración_Equip_actual!$F$2,FALSE)*$E$4,0)</f>
        <v>0</v>
      </c>
      <c r="AI13" s="448"/>
      <c r="AN13" s="34" t="s">
        <v>787</v>
      </c>
      <c r="AO13" s="25" t="str">
        <f>IF($E13&lt;&gt;0,VLOOKUP($E13,Tabla13[],Inputs_costos!$D$1,FALSE),"-")</f>
        <v>-</v>
      </c>
      <c r="AP13" s="28" t="str">
        <f>IF($E13&lt;&gt;0,VLOOKUP($D13,'Costo Social x localidad'!$B$2:$M$156,1,FALSE),"-")</f>
        <v>-</v>
      </c>
    </row>
    <row r="14" spans="1:45">
      <c r="A14" s="917"/>
      <c r="B14" s="887"/>
      <c r="C14" s="478" t="str">
        <f t="shared" si="2"/>
        <v>ok</v>
      </c>
      <c r="D14" s="24" t="str">
        <f>IF(E14&lt;&gt;0,VLOOKUP(E14,Pobl_adoptada!$B$5:$C$158,2,FALSE),"-")</f>
        <v>-</v>
      </c>
      <c r="E14" s="865"/>
      <c r="F14" s="9"/>
      <c r="G14" s="9"/>
      <c r="H14" s="34"/>
      <c r="I14" s="34"/>
      <c r="J14" s="34"/>
      <c r="K14" s="25"/>
      <c r="L14" s="25"/>
      <c r="M14" s="19">
        <f t="shared" si="0"/>
        <v>0</v>
      </c>
      <c r="N14" s="19"/>
      <c r="O14" s="25">
        <f>IF($E14&lt;&gt;0,IF(((VLOOKUP($E14,Tabla13[],Inputs_costos!$I$1,FALSE))*(O$3*$E$3+O$4*$E$4)-AG14)&lt;0,0,VLOOKUP($E14,Tabla13[],Inputs_costos!$I$1,FALSE)*(O$3*$E$3+O$4*$E$4)-AG14),0)</f>
        <v>0</v>
      </c>
      <c r="P14" s="25">
        <f>IF($E14&lt;&gt;0,(VLOOKUP($E14,Tabla13[],Inputs_costos!$J$1,FALSE))*(P$3*$E$3+P$4*$E$4),0)</f>
        <v>0</v>
      </c>
      <c r="Q14" s="25"/>
      <c r="R14" s="25">
        <f>IF($E14&lt;&gt;0,IF($AC14&gt;=15,(VLOOKUP($E14,Tabla13[],Inputs_costos!$G$1,FALSE))*($R$3*$E$3+$R$4*$E$4),(VLOOKUP($E14,Tabla13[],Inputs_costos!$G$1,FALSE))*($T$3*$E$3+$T$4*$E$4))-AH14,0)</f>
        <v>0</v>
      </c>
      <c r="S14" s="25">
        <f t="shared" ref="S14:S26" si="7">IF($E14&lt;&gt;0,IF(AC14&lt;15,0,IF(AC14&lt;=350,815000,1345000)),0)</f>
        <v>0</v>
      </c>
      <c r="T14" s="25">
        <f>IF($E14&lt;&gt;0,IF($AC14&gt;=15,(VLOOKUP($E14,Tabla13[],Inputs_costos!$H$1,FALSE))*($R$3*$E$3+$R$4*$E$4),(VLOOKUP($E14,Tabla13[],Inputs_costos!$H$1,FALSE))*($T$3*$E$3+$T$4*$E$4)),0)</f>
        <v>0</v>
      </c>
      <c r="U14" s="465">
        <f>IF($E14&lt;&gt;0,SUMIFS(Tabla24[Costo de Cierre Técnico de BCA (US$)],Tabla24[Localidad],'Resumen_Alt 3'!$D14),0)</f>
        <v>0</v>
      </c>
      <c r="V14" s="461">
        <f t="shared" si="3"/>
        <v>0</v>
      </c>
      <c r="W14" s="465">
        <f>IF($E14&lt;&gt;0,SUMIFS(Tabla24[Costo anual de Manteniemiento Post-cierre (US$)],Tabla24[Localidad],'Resumen_Alt 3'!$D14),0)</f>
        <v>0</v>
      </c>
      <c r="X14" s="461">
        <f t="shared" si="4"/>
        <v>0</v>
      </c>
      <c r="Y14" s="28">
        <f>IF($E14&lt;&gt;0,VLOOKUP($D14,'Costo Social x localidad'!$B$2:$M$156,12,FALSE)*(Y$3*$E$3+Y$4*$E$4),0)</f>
        <v>0</v>
      </c>
      <c r="Z14" s="28">
        <f>IF($E14&lt;&gt;0,VLOOKUP(D14,'Estimación  PRESUPUESTO PCAS'!$B$4:$G$158,'Estimación  PRESUPUESTO PCAS'!$G$2,FALSE),0)</f>
        <v>0</v>
      </c>
      <c r="AA14" s="650">
        <f t="shared" si="5"/>
        <v>0</v>
      </c>
      <c r="AB14" s="651">
        <f t="shared" si="6"/>
        <v>0</v>
      </c>
      <c r="AC14" s="10">
        <f>IF($E14&lt;&gt;0,VLOOKUP($E14,Resumen_Generación!$B$5:$F$158,Resumen_Generación!$D$3,FALSE),0)</f>
        <v>0</v>
      </c>
      <c r="AD14" s="10">
        <f>IF($E14&lt;&gt;0,VLOOKUP($E14,Resumen_Generación!$B$5:$G$158,Resumen_Generación!$G$3,FALSE),0)</f>
        <v>0</v>
      </c>
      <c r="AE14" s="362">
        <f>IF($E14&lt;&gt;0,VLOOKUP($E14,Resumen_Generación!$B$5:$F$158,Resumen_Generación!$E$3,FALSE),0)</f>
        <v>0</v>
      </c>
      <c r="AF14" s="10">
        <f>IF($E14&lt;&gt;0,VLOOKUP($E14,Resumen_Generación!$B$5:$F$158,Resumen_Generación!$F$3,FALSE),0)</f>
        <v>0</v>
      </c>
      <c r="AG14" s="513">
        <f>IF($D14&lt;&gt;"-",VLOOKUP($D14,Valoración_Equip_actual!$D$4:$I$157,Valoración_Equip_actual!$E$2,FALSE)*$E$4,0)</f>
        <v>0</v>
      </c>
      <c r="AH14" s="513">
        <f>IF($D14&lt;&gt;"-",VLOOKUP($D14,Valoración_Equip_actual!$D$4:$I$157,Valoración_Equip_actual!$F$2,FALSE)*$E$4,0)</f>
        <v>0</v>
      </c>
      <c r="AI14" s="448"/>
      <c r="AN14" s="34" t="s">
        <v>787</v>
      </c>
      <c r="AO14" s="25" t="str">
        <f>IF($E14&lt;&gt;0,VLOOKUP($E14,Tabla13[],Inputs_costos!$D$1,FALSE),"-")</f>
        <v>-</v>
      </c>
      <c r="AP14" s="28" t="str">
        <f>IF($E14&lt;&gt;0,VLOOKUP($D14,'Costo Social x localidad'!$B$2:$M$156,1,FALSE),"-")</f>
        <v>-</v>
      </c>
    </row>
    <row r="15" spans="1:45">
      <c r="A15" s="917"/>
      <c r="B15" s="887"/>
      <c r="C15" s="478" t="str">
        <f t="shared" si="2"/>
        <v>ok</v>
      </c>
      <c r="D15" s="24" t="str">
        <f>IF(E15&lt;&gt;0,VLOOKUP(E15,Pobl_adoptada!$B$5:$C$158,2,FALSE),"-")</f>
        <v>-</v>
      </c>
      <c r="E15" s="865"/>
      <c r="F15" s="9"/>
      <c r="G15" s="9"/>
      <c r="H15" s="34"/>
      <c r="I15" s="34"/>
      <c r="J15" s="34"/>
      <c r="K15" s="25"/>
      <c r="L15" s="25"/>
      <c r="M15" s="19">
        <f t="shared" si="0"/>
        <v>0</v>
      </c>
      <c r="N15" s="19"/>
      <c r="O15" s="25">
        <f>IF($E15&lt;&gt;0,IF(((VLOOKUP($E15,Tabla13[],Inputs_costos!$I$1,FALSE))*(O$3*$E$3+O$4*$E$4)-AG15)&lt;0,0,VLOOKUP($E15,Tabla13[],Inputs_costos!$I$1,FALSE)*(O$3*$E$3+O$4*$E$4)-AG15),0)</f>
        <v>0</v>
      </c>
      <c r="P15" s="25">
        <f>IF($E15&lt;&gt;0,(VLOOKUP($E15,Tabla13[],Inputs_costos!$J$1,FALSE))*(P$3*$E$3+P$4*$E$4),0)</f>
        <v>0</v>
      </c>
      <c r="Q15" s="25"/>
      <c r="R15" s="25">
        <f>IF($E15&lt;&gt;0,IF($AC15&gt;=15,(VLOOKUP($E15,Tabla13[],Inputs_costos!$G$1,FALSE))*($R$3*$E$3+$R$4*$E$4),(VLOOKUP($E15,Tabla13[],Inputs_costos!$G$1,FALSE))*($T$3*$E$3+$T$4*$E$4))-AH15,0)</f>
        <v>0</v>
      </c>
      <c r="S15" s="25">
        <f t="shared" si="7"/>
        <v>0</v>
      </c>
      <c r="T15" s="25">
        <f>IF($E15&lt;&gt;0,IF($AC15&gt;=15,(VLOOKUP($E15,Tabla13[],Inputs_costos!$H$1,FALSE))*($R$3*$E$3+$R$4*$E$4),(VLOOKUP($E15,Tabla13[],Inputs_costos!$H$1,FALSE))*($T$3*$E$3+$T$4*$E$4)),0)</f>
        <v>0</v>
      </c>
      <c r="U15" s="465">
        <f>IF($E15&lt;&gt;0,SUMIFS(Tabla24[Costo de Cierre Técnico de BCA (US$)],Tabla24[Localidad],'Resumen_Alt 3'!$D15),0)</f>
        <v>0</v>
      </c>
      <c r="V15" s="461">
        <f t="shared" si="3"/>
        <v>0</v>
      </c>
      <c r="W15" s="465">
        <f>IF($E15&lt;&gt;0,SUMIFS(Tabla24[Costo anual de Manteniemiento Post-cierre (US$)],Tabla24[Localidad],'Resumen_Alt 3'!$D15),0)</f>
        <v>0</v>
      </c>
      <c r="X15" s="461">
        <f t="shared" si="4"/>
        <v>0</v>
      </c>
      <c r="Y15" s="28">
        <f>IF($E15&lt;&gt;0,VLOOKUP($D15,'Costo Social x localidad'!$B$2:$M$156,12,FALSE)*(Y$3*$E$3+Y$4*$E$4),0)</f>
        <v>0</v>
      </c>
      <c r="Z15" s="28">
        <f>IF($E15&lt;&gt;0,VLOOKUP(D15,'Estimación  PRESUPUESTO PCAS'!$B$4:$G$158,'Estimación  PRESUPUESTO PCAS'!$G$2,FALSE),0)</f>
        <v>0</v>
      </c>
      <c r="AA15" s="650">
        <f t="shared" si="5"/>
        <v>0</v>
      </c>
      <c r="AB15" s="651">
        <f t="shared" si="6"/>
        <v>0</v>
      </c>
      <c r="AC15" s="10">
        <f>IF($E15&lt;&gt;0,VLOOKUP($E15,Resumen_Generación!$B$5:$F$158,Resumen_Generación!$D$3,FALSE),0)</f>
        <v>0</v>
      </c>
      <c r="AD15" s="10">
        <f>IF($E15&lt;&gt;0,VLOOKUP($E15,Resumen_Generación!$B$5:$G$158,Resumen_Generación!$G$3,FALSE),0)</f>
        <v>0</v>
      </c>
      <c r="AE15" s="362">
        <f>IF($E15&lt;&gt;0,VLOOKUP($E15,Resumen_Generación!$B$5:$F$158,Resumen_Generación!$E$3,FALSE),0)</f>
        <v>0</v>
      </c>
      <c r="AF15" s="10">
        <f>IF($E15&lt;&gt;0,VLOOKUP($E15,Resumen_Generación!$B$5:$F$158,Resumen_Generación!$F$3,FALSE),0)</f>
        <v>0</v>
      </c>
      <c r="AG15" s="513">
        <f>IF($D15&lt;&gt;"-",VLOOKUP($D15,Valoración_Equip_actual!$D$4:$I$157,Valoración_Equip_actual!$E$2,FALSE)*$E$4,0)</f>
        <v>0</v>
      </c>
      <c r="AH15" s="513">
        <f>IF($D15&lt;&gt;"-",VLOOKUP($D15,Valoración_Equip_actual!$D$4:$I$157,Valoración_Equip_actual!$F$2,FALSE)*$E$4,0)</f>
        <v>0</v>
      </c>
      <c r="AI15" s="448"/>
      <c r="AN15" s="34" t="s">
        <v>787</v>
      </c>
      <c r="AO15" s="25" t="str">
        <f>IF($E15&lt;&gt;0,VLOOKUP($E15,Tabla13[],Inputs_costos!$D$1,FALSE),"-")</f>
        <v>-</v>
      </c>
      <c r="AP15" s="28" t="str">
        <f>IF($E15&lt;&gt;0,VLOOKUP($D15,'Costo Social x localidad'!$B$2:$M$156,1,FALSE),"-")</f>
        <v>-</v>
      </c>
    </row>
    <row r="16" spans="1:45">
      <c r="A16" s="917"/>
      <c r="B16" s="887"/>
      <c r="C16" s="478" t="str">
        <f t="shared" si="2"/>
        <v>ok</v>
      </c>
      <c r="D16" s="24" t="str">
        <f>IF(E16&lt;&gt;0,VLOOKUP(E16,Pobl_adoptada!$B$5:$C$158,2,FALSE),"-")</f>
        <v>-</v>
      </c>
      <c r="E16" s="865"/>
      <c r="F16" s="9"/>
      <c r="G16" s="9"/>
      <c r="H16" s="34"/>
      <c r="I16" s="34"/>
      <c r="J16" s="34"/>
      <c r="K16" s="25"/>
      <c r="L16" s="25"/>
      <c r="M16" s="19">
        <f t="shared" si="0"/>
        <v>0</v>
      </c>
      <c r="N16" s="19"/>
      <c r="O16" s="25">
        <f>IF($E16&lt;&gt;0,IF(((VLOOKUP($E16,Tabla13[],Inputs_costos!$I$1,FALSE))*(O$3*$E$3+O$4*$E$4)-AG16)&lt;0,0,VLOOKUP($E16,Tabla13[],Inputs_costos!$I$1,FALSE)*(O$3*$E$3+O$4*$E$4)-AG16),0)</f>
        <v>0</v>
      </c>
      <c r="P16" s="25">
        <f>IF($E16&lt;&gt;0,(VLOOKUP($E16,Tabla13[],Inputs_costos!$J$1,FALSE))*(P$3*$E$3+P$4*$E$4),0)</f>
        <v>0</v>
      </c>
      <c r="Q16" s="25"/>
      <c r="R16" s="25">
        <f>IF($E16&lt;&gt;0,IF($AC16&gt;=15,(VLOOKUP($E16,Tabla13[],Inputs_costos!$G$1,FALSE))*($R$3*$E$3+$R$4*$E$4),(VLOOKUP($E16,Tabla13[],Inputs_costos!$G$1,FALSE))*($T$3*$E$3+$T$4*$E$4))-AH16,0)</f>
        <v>0</v>
      </c>
      <c r="S16" s="25">
        <f t="shared" si="7"/>
        <v>0</v>
      </c>
      <c r="T16" s="25">
        <f>IF($E16&lt;&gt;0,IF($AC16&gt;=15,(VLOOKUP($E16,Tabla13[],Inputs_costos!$H$1,FALSE))*($R$3*$E$3+$R$4*$E$4),(VLOOKUP($E16,Tabla13[],Inputs_costos!$H$1,FALSE))*($T$3*$E$3+$T$4*$E$4)),0)</f>
        <v>0</v>
      </c>
      <c r="U16" s="465">
        <f>IF($E16&lt;&gt;0,SUMIFS(Tabla24[Costo de Cierre Técnico de BCA (US$)],Tabla24[Localidad],'Resumen_Alt 3'!$D16),0)</f>
        <v>0</v>
      </c>
      <c r="V16" s="461">
        <f t="shared" si="3"/>
        <v>0</v>
      </c>
      <c r="W16" s="465">
        <f>IF($E16&lt;&gt;0,SUMIFS(Tabla24[Costo anual de Manteniemiento Post-cierre (US$)],Tabla24[Localidad],'Resumen_Alt 3'!$D16),0)</f>
        <v>0</v>
      </c>
      <c r="X16" s="461">
        <f t="shared" si="4"/>
        <v>0</v>
      </c>
      <c r="Y16" s="28">
        <f>IF($E16&lt;&gt;0,VLOOKUP($D16,'Costo Social x localidad'!$B$2:$M$156,12,FALSE)*(Y$3*$E$3+Y$4*$E$4),0)</f>
        <v>0</v>
      </c>
      <c r="Z16" s="28">
        <f>IF($E16&lt;&gt;0,VLOOKUP(D16,'Estimación  PRESUPUESTO PCAS'!$B$4:$G$158,'Estimación  PRESUPUESTO PCAS'!$G$2,FALSE),0)</f>
        <v>0</v>
      </c>
      <c r="AA16" s="650">
        <f t="shared" si="5"/>
        <v>0</v>
      </c>
      <c r="AB16" s="651">
        <f t="shared" si="6"/>
        <v>0</v>
      </c>
      <c r="AC16" s="10">
        <f>IF($E16&lt;&gt;0,VLOOKUP($E16,Resumen_Generación!$B$5:$F$158,Resumen_Generación!$D$3,FALSE),0)</f>
        <v>0</v>
      </c>
      <c r="AD16" s="10">
        <f>IF($E16&lt;&gt;0,VLOOKUP($E16,Resumen_Generación!$B$5:$G$158,Resumen_Generación!$G$3,FALSE),0)</f>
        <v>0</v>
      </c>
      <c r="AE16" s="362">
        <f>IF($E16&lt;&gt;0,VLOOKUP($E16,Resumen_Generación!$B$5:$F$158,Resumen_Generación!$E$3,FALSE),0)</f>
        <v>0</v>
      </c>
      <c r="AF16" s="10">
        <f>IF($E16&lt;&gt;0,VLOOKUP($E16,Resumen_Generación!$B$5:$F$158,Resumen_Generación!$F$3,FALSE),0)</f>
        <v>0</v>
      </c>
      <c r="AG16" s="513">
        <f>IF($D16&lt;&gt;"-",VLOOKUP($D16,Valoración_Equip_actual!$D$4:$I$157,Valoración_Equip_actual!$E$2,FALSE)*$E$4,0)</f>
        <v>0</v>
      </c>
      <c r="AH16" s="513">
        <f>IF($D16&lt;&gt;"-",VLOOKUP($D16,Valoración_Equip_actual!$D$4:$I$157,Valoración_Equip_actual!$F$2,FALSE)*$E$4,0)</f>
        <v>0</v>
      </c>
      <c r="AI16" s="448"/>
      <c r="AN16" s="34" t="s">
        <v>787</v>
      </c>
      <c r="AO16" s="25" t="str">
        <f>IF($E16&lt;&gt;0,VLOOKUP($E16,Tabla13[],Inputs_costos!$D$1,FALSE),"-")</f>
        <v>-</v>
      </c>
      <c r="AP16" s="28" t="str">
        <f>IF($E16&lt;&gt;0,VLOOKUP($D16,'Costo Social x localidad'!$B$2:$M$156,1,FALSE),"-")</f>
        <v>-</v>
      </c>
    </row>
    <row r="17" spans="1:42">
      <c r="A17" s="917"/>
      <c r="B17" s="887"/>
      <c r="C17" s="478" t="str">
        <f t="shared" si="2"/>
        <v>ok</v>
      </c>
      <c r="D17" s="24" t="str">
        <f>IF(E17&lt;&gt;0,VLOOKUP(E17,Pobl_adoptada!$B$5:$C$158,2,FALSE),"-")</f>
        <v>-</v>
      </c>
      <c r="E17" s="865"/>
      <c r="F17" s="9"/>
      <c r="G17" s="9"/>
      <c r="H17" s="34"/>
      <c r="I17" s="34"/>
      <c r="J17" s="34"/>
      <c r="K17" s="25"/>
      <c r="L17" s="25"/>
      <c r="M17" s="19">
        <f t="shared" si="0"/>
        <v>0</v>
      </c>
      <c r="N17" s="19"/>
      <c r="O17" s="25">
        <f>IF($E17&lt;&gt;0,IF(((VLOOKUP($E17,Tabla13[],Inputs_costos!$I$1,FALSE))*(O$3*$E$3+O$4*$E$4)-AG17)&lt;0,0,VLOOKUP($E17,Tabla13[],Inputs_costos!$I$1,FALSE)*(O$3*$E$3+O$4*$E$4)-AG17),0)</f>
        <v>0</v>
      </c>
      <c r="P17" s="25">
        <f>IF($E17&lt;&gt;0,(VLOOKUP($E17,Tabla13[],Inputs_costos!$J$1,FALSE))*(P$3*$E$3+P$4*$E$4),0)</f>
        <v>0</v>
      </c>
      <c r="Q17" s="25"/>
      <c r="R17" s="25">
        <f>IF($E17&lt;&gt;0,IF($AC17&gt;=15,(VLOOKUP($E17,Tabla13[],Inputs_costos!$G$1,FALSE))*($R$3*$E$3+$R$4*$E$4),(VLOOKUP($E17,Tabla13[],Inputs_costos!$G$1,FALSE))*($T$3*$E$3+$T$4*$E$4))-AH17,0)</f>
        <v>0</v>
      </c>
      <c r="S17" s="25">
        <f t="shared" si="7"/>
        <v>0</v>
      </c>
      <c r="T17" s="25">
        <f>IF($E17&lt;&gt;0,IF($AC17&gt;=15,(VLOOKUP($E17,Tabla13[],Inputs_costos!$H$1,FALSE))*($R$3*$E$3+$R$4*$E$4),(VLOOKUP($E17,Tabla13[],Inputs_costos!$H$1,FALSE))*($T$3*$E$3+$T$4*$E$4)),0)</f>
        <v>0</v>
      </c>
      <c r="U17" s="465">
        <f>IF($E17&lt;&gt;0,SUMIFS(Tabla24[Costo de Cierre Técnico de BCA (US$)],Tabla24[Localidad],'Resumen_Alt 3'!$D17),0)</f>
        <v>0</v>
      </c>
      <c r="V17" s="461">
        <f t="shared" si="3"/>
        <v>0</v>
      </c>
      <c r="W17" s="465">
        <f>IF($E17&lt;&gt;0,SUMIFS(Tabla24[Costo anual de Manteniemiento Post-cierre (US$)],Tabla24[Localidad],'Resumen_Alt 3'!$D17),0)</f>
        <v>0</v>
      </c>
      <c r="X17" s="461">
        <f t="shared" si="4"/>
        <v>0</v>
      </c>
      <c r="Y17" s="28">
        <f>IF($E17&lt;&gt;0,VLOOKUP($D17,'Costo Social x localidad'!$B$2:$M$156,12,FALSE)*(Y$3*$E$3+Y$4*$E$4),0)</f>
        <v>0</v>
      </c>
      <c r="Z17" s="28">
        <f>IF($E17&lt;&gt;0,VLOOKUP(D17,'Estimación  PRESUPUESTO PCAS'!$B$4:$G$158,'Estimación  PRESUPUESTO PCAS'!$G$2,FALSE),0)</f>
        <v>0</v>
      </c>
      <c r="AA17" s="650">
        <f t="shared" si="5"/>
        <v>0</v>
      </c>
      <c r="AB17" s="651">
        <f t="shared" si="6"/>
        <v>0</v>
      </c>
      <c r="AC17" s="10">
        <f>IF($E17&lt;&gt;0,VLOOKUP($E17,Resumen_Generación!$B$5:$F$158,Resumen_Generación!$D$3,FALSE),0)</f>
        <v>0</v>
      </c>
      <c r="AD17" s="10">
        <f>IF($E17&lt;&gt;0,VLOOKUP($E17,Resumen_Generación!$B$5:$G$158,Resumen_Generación!$G$3,FALSE),0)</f>
        <v>0</v>
      </c>
      <c r="AE17" s="362">
        <f>IF($E17&lt;&gt;0,VLOOKUP($E17,Resumen_Generación!$B$5:$F$158,Resumen_Generación!$E$3,FALSE),0)</f>
        <v>0</v>
      </c>
      <c r="AF17" s="10">
        <f>IF($E17&lt;&gt;0,VLOOKUP($E17,Resumen_Generación!$B$5:$F$158,Resumen_Generación!$F$3,FALSE),0)</f>
        <v>0</v>
      </c>
      <c r="AG17" s="513">
        <f>IF($D17&lt;&gt;"-",VLOOKUP($D17,Valoración_Equip_actual!$D$4:$I$157,Valoración_Equip_actual!$E$2,FALSE)*$E$4,0)</f>
        <v>0</v>
      </c>
      <c r="AH17" s="513">
        <f>IF($D17&lt;&gt;"-",VLOOKUP($D17,Valoración_Equip_actual!$D$4:$I$157,Valoración_Equip_actual!$F$2,FALSE)*$E$4,0)</f>
        <v>0</v>
      </c>
      <c r="AI17" s="448"/>
      <c r="AN17" s="34" t="s">
        <v>787</v>
      </c>
      <c r="AO17" s="25" t="str">
        <f>IF($E17&lt;&gt;0,VLOOKUP($E17,Tabla13[],Inputs_costos!$D$1,FALSE),"-")</f>
        <v>-</v>
      </c>
      <c r="AP17" s="28" t="str">
        <f>IF($E17&lt;&gt;0,VLOOKUP($D17,'Costo Social x localidad'!$B$2:$M$156,1,FALSE),"-")</f>
        <v>-</v>
      </c>
    </row>
    <row r="18" spans="1:42">
      <c r="A18" s="917"/>
      <c r="B18" s="887"/>
      <c r="C18" s="478" t="str">
        <f t="shared" si="2"/>
        <v>ok</v>
      </c>
      <c r="D18" s="24" t="str">
        <f>IF(E18&lt;&gt;0,VLOOKUP(E18,Pobl_adoptada!$B$5:$C$158,2,FALSE),"-")</f>
        <v>-</v>
      </c>
      <c r="E18" s="865"/>
      <c r="F18" s="9"/>
      <c r="G18" s="9"/>
      <c r="H18" s="34"/>
      <c r="I18" s="34"/>
      <c r="J18" s="34"/>
      <c r="K18" s="25"/>
      <c r="L18" s="25"/>
      <c r="M18" s="19">
        <f t="shared" si="0"/>
        <v>0</v>
      </c>
      <c r="N18" s="19"/>
      <c r="O18" s="25">
        <f>IF($E18&lt;&gt;0,IF(((VLOOKUP($E18,Tabla13[],Inputs_costos!$I$1,FALSE))*(O$3*$E$3+O$4*$E$4)-AG18)&lt;0,0,VLOOKUP($E18,Tabla13[],Inputs_costos!$I$1,FALSE)*(O$3*$E$3+O$4*$E$4)-AG18),0)</f>
        <v>0</v>
      </c>
      <c r="P18" s="25">
        <f>IF($E18&lt;&gt;0,(VLOOKUP($E18,Tabla13[],Inputs_costos!$J$1,FALSE))*(P$3*$E$3+P$4*$E$4),0)</f>
        <v>0</v>
      </c>
      <c r="Q18" s="25"/>
      <c r="R18" s="25">
        <f>IF($E18&lt;&gt;0,IF($AC18&gt;=15,(VLOOKUP($E18,Tabla13[],Inputs_costos!$G$1,FALSE))*($R$3*$E$3+$R$4*$E$4),(VLOOKUP($E18,Tabla13[],Inputs_costos!$G$1,FALSE))*($T$3*$E$3+$T$4*$E$4))-AH18,0)</f>
        <v>0</v>
      </c>
      <c r="S18" s="25">
        <f t="shared" si="7"/>
        <v>0</v>
      </c>
      <c r="T18" s="25">
        <f>IF($E18&lt;&gt;0,IF($AC18&gt;=15,(VLOOKUP($E18,Tabla13[],Inputs_costos!$H$1,FALSE))*($R$3*$E$3+$R$4*$E$4),(VLOOKUP($E18,Tabla13[],Inputs_costos!$H$1,FALSE))*($T$3*$E$3+$T$4*$E$4)),0)</f>
        <v>0</v>
      </c>
      <c r="U18" s="465">
        <f>IF($E18&lt;&gt;0,SUMIFS(Tabla24[Costo de Cierre Técnico de BCA (US$)],Tabla24[Localidad],'Resumen_Alt 3'!$D18),0)</f>
        <v>0</v>
      </c>
      <c r="V18" s="461">
        <f t="shared" si="3"/>
        <v>0</v>
      </c>
      <c r="W18" s="465">
        <f>IF($E18&lt;&gt;0,SUMIFS(Tabla24[Costo anual de Manteniemiento Post-cierre (US$)],Tabla24[Localidad],'Resumen_Alt 3'!$D18),0)</f>
        <v>0</v>
      </c>
      <c r="X18" s="461">
        <f t="shared" si="4"/>
        <v>0</v>
      </c>
      <c r="Y18" s="28">
        <f>IF($E18&lt;&gt;0,VLOOKUP($D18,'Costo Social x localidad'!$B$2:$M$156,12,FALSE)*(Y$3*$E$3+Y$4*$E$4),0)</f>
        <v>0</v>
      </c>
      <c r="Z18" s="28">
        <f>IF($E18&lt;&gt;0,VLOOKUP(D18,'Estimación  PRESUPUESTO PCAS'!$B$4:$G$158,'Estimación  PRESUPUESTO PCAS'!$G$2,FALSE),0)</f>
        <v>0</v>
      </c>
      <c r="AA18" s="650">
        <f t="shared" si="5"/>
        <v>0</v>
      </c>
      <c r="AB18" s="651">
        <f t="shared" si="6"/>
        <v>0</v>
      </c>
      <c r="AC18" s="10">
        <f>IF($E18&lt;&gt;0,VLOOKUP($E18,Resumen_Generación!$B$5:$F$158,Resumen_Generación!$D$3,FALSE),0)</f>
        <v>0</v>
      </c>
      <c r="AD18" s="10">
        <f>IF($E18&lt;&gt;0,VLOOKUP($E18,Resumen_Generación!$B$5:$G$158,Resumen_Generación!$G$3,FALSE),0)</f>
        <v>0</v>
      </c>
      <c r="AE18" s="362">
        <f>IF($E18&lt;&gt;0,VLOOKUP($E18,Resumen_Generación!$B$5:$F$158,Resumen_Generación!$E$3,FALSE),0)</f>
        <v>0</v>
      </c>
      <c r="AF18" s="10">
        <f>IF($E18&lt;&gt;0,VLOOKUP($E18,Resumen_Generación!$B$5:$F$158,Resumen_Generación!$F$3,FALSE),0)</f>
        <v>0</v>
      </c>
      <c r="AG18" s="513">
        <f>IF($D18&lt;&gt;"-",VLOOKUP($D18,Valoración_Equip_actual!$D$4:$I$157,Valoración_Equip_actual!$E$2,FALSE)*$E$4,0)</f>
        <v>0</v>
      </c>
      <c r="AH18" s="513">
        <f>IF($D18&lt;&gt;"-",VLOOKUP($D18,Valoración_Equip_actual!$D$4:$I$157,Valoración_Equip_actual!$F$2,FALSE)*$E$4,0)</f>
        <v>0</v>
      </c>
      <c r="AI18" s="448"/>
      <c r="AN18" s="34" t="s">
        <v>787</v>
      </c>
      <c r="AO18" s="25" t="str">
        <f>IF($E18&lt;&gt;0,VLOOKUP($E18,Tabla13[],Inputs_costos!$D$1,FALSE),"-")</f>
        <v>-</v>
      </c>
      <c r="AP18" s="28" t="str">
        <f>IF($E18&lt;&gt;0,VLOOKUP($D18,'Costo Social x localidad'!$B$2:$M$156,1,FALSE),"-")</f>
        <v>-</v>
      </c>
    </row>
    <row r="19" spans="1:42">
      <c r="A19" s="917"/>
      <c r="B19" s="887"/>
      <c r="C19" s="478" t="str">
        <f t="shared" si="2"/>
        <v>ok</v>
      </c>
      <c r="D19" s="24" t="str">
        <f>IF(E19&lt;&gt;0,VLOOKUP(E19,Pobl_adoptada!$B$5:$C$158,2,FALSE),"-")</f>
        <v>-</v>
      </c>
      <c r="E19" s="865"/>
      <c r="F19" s="9"/>
      <c r="G19" s="9"/>
      <c r="H19" s="34"/>
      <c r="I19" s="34"/>
      <c r="J19" s="34"/>
      <c r="K19" s="25"/>
      <c r="L19" s="25"/>
      <c r="M19" s="19">
        <f t="shared" si="0"/>
        <v>0</v>
      </c>
      <c r="N19" s="19"/>
      <c r="O19" s="25">
        <f>IF($E19&lt;&gt;0,IF(((VLOOKUP($E19,Tabla13[],Inputs_costos!$I$1,FALSE))*(O$3*$E$3+O$4*$E$4)-AG19)&lt;0,0,VLOOKUP($E19,Tabla13[],Inputs_costos!$I$1,FALSE)*(O$3*$E$3+O$4*$E$4)-AG19),0)</f>
        <v>0</v>
      </c>
      <c r="P19" s="25">
        <f>IF($E19&lt;&gt;0,(VLOOKUP($E19,Tabla13[],Inputs_costos!$J$1,FALSE))*(P$3*$E$3+P$4*$E$4),0)</f>
        <v>0</v>
      </c>
      <c r="Q19" s="25"/>
      <c r="R19" s="25">
        <f>IF($E19&lt;&gt;0,IF($AC19&gt;=15,(VLOOKUP($E19,Tabla13[],Inputs_costos!$G$1,FALSE))*($R$3*$E$3+$R$4*$E$4),(VLOOKUP($E19,Tabla13[],Inputs_costos!$G$1,FALSE))*($T$3*$E$3+$T$4*$E$4))-AH19,0)</f>
        <v>0</v>
      </c>
      <c r="S19" s="25">
        <f t="shared" si="7"/>
        <v>0</v>
      </c>
      <c r="T19" s="25">
        <f>IF($E19&lt;&gt;0,IF($AC19&gt;=15,(VLOOKUP($E19,Tabla13[],Inputs_costos!$H$1,FALSE))*($R$3*$E$3+$R$4*$E$4),(VLOOKUP($E19,Tabla13[],Inputs_costos!$H$1,FALSE))*($T$3*$E$3+$T$4*$E$4)),0)</f>
        <v>0</v>
      </c>
      <c r="U19" s="465">
        <f>IF($E19&lt;&gt;0,SUMIFS(Tabla24[Costo de Cierre Técnico de BCA (US$)],Tabla24[Localidad],'Resumen_Alt 3'!$D19),0)</f>
        <v>0</v>
      </c>
      <c r="V19" s="461">
        <f t="shared" si="3"/>
        <v>0</v>
      </c>
      <c r="W19" s="465">
        <f>IF($E19&lt;&gt;0,SUMIFS(Tabla24[Costo anual de Manteniemiento Post-cierre (US$)],Tabla24[Localidad],'Resumen_Alt 3'!$D19),0)</f>
        <v>0</v>
      </c>
      <c r="X19" s="461">
        <f t="shared" si="4"/>
        <v>0</v>
      </c>
      <c r="Y19" s="28">
        <f>IF($E19&lt;&gt;0,VLOOKUP($D19,'Costo Social x localidad'!$B$2:$M$156,12,FALSE)*(Y$3*$E$3+Y$4*$E$4),0)</f>
        <v>0</v>
      </c>
      <c r="Z19" s="28">
        <f>IF($E19&lt;&gt;0,VLOOKUP(D19,'Estimación  PRESUPUESTO PCAS'!$B$4:$G$158,'Estimación  PRESUPUESTO PCAS'!$G$2,FALSE),0)</f>
        <v>0</v>
      </c>
      <c r="AA19" s="650">
        <f t="shared" si="5"/>
        <v>0</v>
      </c>
      <c r="AB19" s="651">
        <f t="shared" si="6"/>
        <v>0</v>
      </c>
      <c r="AC19" s="10">
        <f>IF($E19&lt;&gt;0,VLOOKUP($E19,Resumen_Generación!$B$5:$F$158,Resumen_Generación!$D$3,FALSE),0)</f>
        <v>0</v>
      </c>
      <c r="AD19" s="10">
        <f>IF($E19&lt;&gt;0,VLOOKUP($E19,Resumen_Generación!$B$5:$G$158,Resumen_Generación!$G$3,FALSE),0)</f>
        <v>0</v>
      </c>
      <c r="AE19" s="362">
        <f>IF($E19&lt;&gt;0,VLOOKUP($E19,Resumen_Generación!$B$5:$F$158,Resumen_Generación!$E$3,FALSE),0)</f>
        <v>0</v>
      </c>
      <c r="AF19" s="10">
        <f>IF($E19&lt;&gt;0,VLOOKUP($E19,Resumen_Generación!$B$5:$F$158,Resumen_Generación!$F$3,FALSE),0)</f>
        <v>0</v>
      </c>
      <c r="AG19" s="513">
        <f>IF($D19&lt;&gt;"-",VLOOKUP($D19,Valoración_Equip_actual!$D$4:$I$157,Valoración_Equip_actual!$E$2,FALSE)*$E$4,0)</f>
        <v>0</v>
      </c>
      <c r="AH19" s="513">
        <f>IF($D19&lt;&gt;"-",VLOOKUP($D19,Valoración_Equip_actual!$D$4:$I$157,Valoración_Equip_actual!$F$2,FALSE)*$E$4,0)</f>
        <v>0</v>
      </c>
      <c r="AI19" s="448"/>
      <c r="AN19" s="34" t="s">
        <v>787</v>
      </c>
      <c r="AO19" s="25" t="str">
        <f>IF($E19&lt;&gt;0,VLOOKUP($E19,Tabla13[],Inputs_costos!$D$1,FALSE),"-")</f>
        <v>-</v>
      </c>
      <c r="AP19" s="28" t="str">
        <f>IF($E19&lt;&gt;0,VLOOKUP($D19,'Costo Social x localidad'!$B$2:$M$156,1,FALSE),"-")</f>
        <v>-</v>
      </c>
    </row>
    <row r="20" spans="1:42">
      <c r="A20" s="917"/>
      <c r="B20" s="887"/>
      <c r="C20" s="478" t="str">
        <f t="shared" si="2"/>
        <v>ok</v>
      </c>
      <c r="D20" s="24" t="str">
        <f>IF(E20&lt;&gt;0,VLOOKUP(E20,Pobl_adoptada!$B$5:$C$158,2,FALSE),"-")</f>
        <v>-</v>
      </c>
      <c r="E20" s="865"/>
      <c r="F20" s="9"/>
      <c r="G20" s="9"/>
      <c r="H20" s="34"/>
      <c r="I20" s="34"/>
      <c r="J20" s="34"/>
      <c r="K20" s="25"/>
      <c r="L20" s="25"/>
      <c r="M20" s="19">
        <f t="shared" si="0"/>
        <v>0</v>
      </c>
      <c r="N20" s="19"/>
      <c r="O20" s="25">
        <f>IF($E20&lt;&gt;0,IF(((VLOOKUP($E20,Tabla13[],Inputs_costos!$I$1,FALSE))*(O$3*$E$3+O$4*$E$4)-AG20)&lt;0,0,VLOOKUP($E20,Tabla13[],Inputs_costos!$I$1,FALSE)*(O$3*$E$3+O$4*$E$4)-AG20),0)</f>
        <v>0</v>
      </c>
      <c r="P20" s="25">
        <f>IF($E20&lt;&gt;0,(VLOOKUP($E20,Tabla13[],Inputs_costos!$J$1,FALSE))*(P$3*$E$3+P$4*$E$4),0)</f>
        <v>0</v>
      </c>
      <c r="Q20" s="25"/>
      <c r="R20" s="25">
        <f>IF($E20&lt;&gt;0,IF($AC20&gt;=15,(VLOOKUP($E20,Tabla13[],Inputs_costos!$G$1,FALSE))*($R$3*$E$3+$R$4*$E$4),(VLOOKUP($E20,Tabla13[],Inputs_costos!$G$1,FALSE))*($T$3*$E$3+$T$4*$E$4))-AH20,0)</f>
        <v>0</v>
      </c>
      <c r="S20" s="25">
        <f t="shared" si="7"/>
        <v>0</v>
      </c>
      <c r="T20" s="25">
        <f>IF($E20&lt;&gt;0,IF($AC20&gt;=15,(VLOOKUP($E20,Tabla13[],Inputs_costos!$H$1,FALSE))*($R$3*$E$3+$R$4*$E$4),(VLOOKUP($E20,Tabla13[],Inputs_costos!$H$1,FALSE))*($T$3*$E$3+$T$4*$E$4)),0)</f>
        <v>0</v>
      </c>
      <c r="U20" s="465">
        <f>IF($E20&lt;&gt;0,SUMIFS(Tabla24[Costo de Cierre Técnico de BCA (US$)],Tabla24[Localidad],'Resumen_Alt 3'!$D20),0)</f>
        <v>0</v>
      </c>
      <c r="V20" s="461">
        <f t="shared" si="3"/>
        <v>0</v>
      </c>
      <c r="W20" s="465">
        <f>IF($E20&lt;&gt;0,SUMIFS(Tabla24[Costo anual de Manteniemiento Post-cierre (US$)],Tabla24[Localidad],'Resumen_Alt 3'!$D20),0)</f>
        <v>0</v>
      </c>
      <c r="X20" s="461">
        <f t="shared" si="4"/>
        <v>0</v>
      </c>
      <c r="Y20" s="28">
        <f>IF($E20&lt;&gt;0,VLOOKUP($D20,'Costo Social x localidad'!$B$2:$M$156,12,FALSE)*(Y$3*$E$3+Y$4*$E$4),0)</f>
        <v>0</v>
      </c>
      <c r="Z20" s="28">
        <f>IF($E20&lt;&gt;0,VLOOKUP(D20,'Estimación  PRESUPUESTO PCAS'!$B$4:$G$158,'Estimación  PRESUPUESTO PCAS'!$G$2,FALSE),0)</f>
        <v>0</v>
      </c>
      <c r="AA20" s="650">
        <f t="shared" si="5"/>
        <v>0</v>
      </c>
      <c r="AB20" s="651">
        <f t="shared" si="6"/>
        <v>0</v>
      </c>
      <c r="AC20" s="10">
        <f>IF($E20&lt;&gt;0,VLOOKUP($E20,Resumen_Generación!$B$5:$F$158,Resumen_Generación!$D$3,FALSE),0)</f>
        <v>0</v>
      </c>
      <c r="AD20" s="10">
        <f>IF($E20&lt;&gt;0,VLOOKUP($E20,Resumen_Generación!$B$5:$G$158,Resumen_Generación!$G$3,FALSE),0)</f>
        <v>0</v>
      </c>
      <c r="AE20" s="362">
        <f>IF($E20&lt;&gt;0,VLOOKUP($E20,Resumen_Generación!$B$5:$F$158,Resumen_Generación!$E$3,FALSE),0)</f>
        <v>0</v>
      </c>
      <c r="AF20" s="10">
        <f>IF($E20&lt;&gt;0,VLOOKUP($E20,Resumen_Generación!$B$5:$F$158,Resumen_Generación!$F$3,FALSE),0)</f>
        <v>0</v>
      </c>
      <c r="AG20" s="513">
        <f>IF($D20&lt;&gt;"-",VLOOKUP($D20,Valoración_Equip_actual!$D$4:$I$157,Valoración_Equip_actual!$E$2,FALSE)*$E$4,0)</f>
        <v>0</v>
      </c>
      <c r="AH20" s="513">
        <f>IF($D20&lt;&gt;"-",VLOOKUP($D20,Valoración_Equip_actual!$D$4:$I$157,Valoración_Equip_actual!$F$2,FALSE)*$E$4,0)</f>
        <v>0</v>
      </c>
      <c r="AI20" s="448"/>
      <c r="AN20" s="34" t="s">
        <v>787</v>
      </c>
      <c r="AO20" s="25" t="str">
        <f>IF($E20&lt;&gt;0,VLOOKUP($E20,Tabla13[],Inputs_costos!$D$1,FALSE),"-")</f>
        <v>-</v>
      </c>
      <c r="AP20" s="28" t="str">
        <f>IF($E20&lt;&gt;0,VLOOKUP($D20,'Costo Social x localidad'!$B$2:$M$156,1,FALSE),"-")</f>
        <v>-</v>
      </c>
    </row>
    <row r="21" spans="1:42">
      <c r="A21" s="917"/>
      <c r="B21" s="887"/>
      <c r="C21" s="478" t="str">
        <f t="shared" si="2"/>
        <v>ok</v>
      </c>
      <c r="D21" s="24" t="str">
        <f>IF(E21&lt;&gt;0,VLOOKUP(E21,Pobl_adoptada!$B$5:$C$158,2,FALSE),"-")</f>
        <v>-</v>
      </c>
      <c r="E21" s="865"/>
      <c r="F21" s="9"/>
      <c r="G21" s="9"/>
      <c r="H21" s="34"/>
      <c r="I21" s="34"/>
      <c r="J21" s="34"/>
      <c r="K21" s="25"/>
      <c r="L21" s="25"/>
      <c r="M21" s="19">
        <f t="shared" si="0"/>
        <v>0</v>
      </c>
      <c r="N21" s="19"/>
      <c r="O21" s="25">
        <f>IF($E21&lt;&gt;0,IF(((VLOOKUP($E21,Tabla13[],Inputs_costos!$I$1,FALSE))*(O$3*$E$3+O$4*$E$4)-AG21)&lt;0,0,VLOOKUP($E21,Tabla13[],Inputs_costos!$I$1,FALSE)*(O$3*$E$3+O$4*$E$4)-AG21),0)</f>
        <v>0</v>
      </c>
      <c r="P21" s="25">
        <f>IF($E21&lt;&gt;0,(VLOOKUP($E21,Tabla13[],Inputs_costos!$J$1,FALSE))*(P$3*$E$3+P$4*$E$4),0)</f>
        <v>0</v>
      </c>
      <c r="Q21" s="25"/>
      <c r="R21" s="25">
        <f>IF($E21&lt;&gt;0,IF($AC21&gt;=15,(VLOOKUP($E21,Tabla13[],Inputs_costos!$G$1,FALSE))*($R$3*$E$3+$R$4*$E$4),(VLOOKUP($E21,Tabla13[],Inputs_costos!$G$1,FALSE))*($T$3*$E$3+$T$4*$E$4))-AH21,0)</f>
        <v>0</v>
      </c>
      <c r="S21" s="25">
        <f t="shared" si="7"/>
        <v>0</v>
      </c>
      <c r="T21" s="25">
        <f>IF($E21&lt;&gt;0,IF($AC21&gt;=15,(VLOOKUP($E21,Tabla13[],Inputs_costos!$H$1,FALSE))*($R$3*$E$3+$R$4*$E$4),(VLOOKUP($E21,Tabla13[],Inputs_costos!$H$1,FALSE))*($T$3*$E$3+$T$4*$E$4)),0)</f>
        <v>0</v>
      </c>
      <c r="U21" s="465">
        <f>IF($E21&lt;&gt;0,SUMIFS(Tabla24[Costo de Cierre Técnico de BCA (US$)],Tabla24[Localidad],'Resumen_Alt 3'!$D21),0)</f>
        <v>0</v>
      </c>
      <c r="V21" s="461">
        <f t="shared" si="3"/>
        <v>0</v>
      </c>
      <c r="W21" s="465">
        <f>IF($E21&lt;&gt;0,SUMIFS(Tabla24[Costo anual de Manteniemiento Post-cierre (US$)],Tabla24[Localidad],'Resumen_Alt 3'!$D21),0)</f>
        <v>0</v>
      </c>
      <c r="X21" s="461">
        <f t="shared" si="4"/>
        <v>0</v>
      </c>
      <c r="Y21" s="28">
        <f>IF($E21&lt;&gt;0,VLOOKUP($D21,'Costo Social x localidad'!$B$2:$M$156,12,FALSE)*(Y$3*$E$3+Y$4*$E$4),0)</f>
        <v>0</v>
      </c>
      <c r="Z21" s="28">
        <f>IF($E21&lt;&gt;0,VLOOKUP(D21,'Estimación  PRESUPUESTO PCAS'!$B$4:$G$158,'Estimación  PRESUPUESTO PCAS'!$G$2,FALSE),0)</f>
        <v>0</v>
      </c>
      <c r="AA21" s="650">
        <f t="shared" si="5"/>
        <v>0</v>
      </c>
      <c r="AB21" s="651">
        <f t="shared" si="6"/>
        <v>0</v>
      </c>
      <c r="AC21" s="10">
        <f>IF($E21&lt;&gt;0,VLOOKUP($E21,Resumen_Generación!$B$5:$F$158,Resumen_Generación!$D$3,FALSE),0)</f>
        <v>0</v>
      </c>
      <c r="AD21" s="10">
        <f>IF($E21&lt;&gt;0,VLOOKUP($E21,Resumen_Generación!$B$5:$G$158,Resumen_Generación!$G$3,FALSE),0)</f>
        <v>0</v>
      </c>
      <c r="AE21" s="362">
        <f>IF($E21&lt;&gt;0,VLOOKUP($E21,Resumen_Generación!$B$5:$F$158,Resumen_Generación!$E$3,FALSE),0)</f>
        <v>0</v>
      </c>
      <c r="AF21" s="10">
        <f>IF($E21&lt;&gt;0,VLOOKUP($E21,Resumen_Generación!$B$5:$F$158,Resumen_Generación!$F$3,FALSE),0)</f>
        <v>0</v>
      </c>
      <c r="AG21" s="513">
        <f>IF($D21&lt;&gt;"-",VLOOKUP($D21,Valoración_Equip_actual!$D$4:$I$157,Valoración_Equip_actual!$E$2,FALSE)*$E$4,0)</f>
        <v>0</v>
      </c>
      <c r="AH21" s="513">
        <f>IF($D21&lt;&gt;"-",VLOOKUP($D21,Valoración_Equip_actual!$D$4:$I$157,Valoración_Equip_actual!$F$2,FALSE)*$E$4,0)</f>
        <v>0</v>
      </c>
      <c r="AI21" s="448"/>
      <c r="AN21" s="34" t="s">
        <v>787</v>
      </c>
      <c r="AO21" s="25" t="str">
        <f>IF($E21&lt;&gt;0,VLOOKUP($E21,Tabla13[],Inputs_costos!$D$1,FALSE),"-")</f>
        <v>-</v>
      </c>
      <c r="AP21" s="28" t="str">
        <f>IF($E21&lt;&gt;0,VLOOKUP($D21,'Costo Social x localidad'!$B$2:$M$156,1,FALSE),"-")</f>
        <v>-</v>
      </c>
    </row>
    <row r="22" spans="1:42">
      <c r="A22" s="917"/>
      <c r="B22" s="887"/>
      <c r="C22" s="478" t="str">
        <f t="shared" si="2"/>
        <v>ok</v>
      </c>
      <c r="D22" s="24" t="str">
        <f>IF(E22&lt;&gt;0,VLOOKUP(E22,Pobl_adoptada!$B$5:$C$158,2,FALSE),"-")</f>
        <v>-</v>
      </c>
      <c r="E22" s="865"/>
      <c r="F22" s="9"/>
      <c r="G22" s="9"/>
      <c r="H22" s="34"/>
      <c r="I22" s="34"/>
      <c r="J22" s="34"/>
      <c r="K22" s="25"/>
      <c r="L22" s="25"/>
      <c r="M22" s="19">
        <f t="shared" si="0"/>
        <v>0</v>
      </c>
      <c r="N22" s="19"/>
      <c r="O22" s="25">
        <f>IF($E22&lt;&gt;0,IF(((VLOOKUP($E22,Tabla13[],Inputs_costos!$I$1,FALSE))*(O$3*$E$3+O$4*$E$4)-AG22)&lt;0,0,VLOOKUP($E22,Tabla13[],Inputs_costos!$I$1,FALSE)*(O$3*$E$3+O$4*$E$4)-AG22),0)</f>
        <v>0</v>
      </c>
      <c r="P22" s="25">
        <f>IF($E22&lt;&gt;0,(VLOOKUP($E22,Tabla13[],Inputs_costos!$J$1,FALSE))*(P$3*$E$3+P$4*$E$4),0)</f>
        <v>0</v>
      </c>
      <c r="Q22" s="25"/>
      <c r="R22" s="25">
        <f>IF($E22&lt;&gt;0,IF($AC22&gt;=15,(VLOOKUP($E22,Tabla13[],Inputs_costos!$G$1,FALSE))*($R$3*$E$3+$R$4*$E$4),(VLOOKUP($E22,Tabla13[],Inputs_costos!$G$1,FALSE))*($T$3*$E$3+$T$4*$E$4))-AH22,0)</f>
        <v>0</v>
      </c>
      <c r="S22" s="25">
        <f t="shared" si="7"/>
        <v>0</v>
      </c>
      <c r="T22" s="25">
        <f>IF($E22&lt;&gt;0,IF($AC22&gt;=15,(VLOOKUP($E22,Tabla13[],Inputs_costos!$H$1,FALSE))*($R$3*$E$3+$R$4*$E$4),(VLOOKUP($E22,Tabla13[],Inputs_costos!$H$1,FALSE))*($T$3*$E$3+$T$4*$E$4)),0)</f>
        <v>0</v>
      </c>
      <c r="U22" s="465">
        <f>IF($E22&lt;&gt;0,SUMIFS(Tabla24[Costo de Cierre Técnico de BCA (US$)],Tabla24[Localidad],'Resumen_Alt 3'!$D22),0)</f>
        <v>0</v>
      </c>
      <c r="V22" s="461">
        <f t="shared" si="3"/>
        <v>0</v>
      </c>
      <c r="W22" s="465">
        <f>IF($E22&lt;&gt;0,SUMIFS(Tabla24[Costo anual de Manteniemiento Post-cierre (US$)],Tabla24[Localidad],'Resumen_Alt 3'!$D22),0)</f>
        <v>0</v>
      </c>
      <c r="X22" s="461">
        <f t="shared" si="4"/>
        <v>0</v>
      </c>
      <c r="Y22" s="28">
        <f>IF($E22&lt;&gt;0,VLOOKUP($D22,'Costo Social x localidad'!$B$2:$M$156,12,FALSE)*(Y$3*$E$3+Y$4*$E$4),0)</f>
        <v>0</v>
      </c>
      <c r="Z22" s="28">
        <f>IF($E22&lt;&gt;0,VLOOKUP(D22,'Estimación  PRESUPUESTO PCAS'!$B$4:$G$158,'Estimación  PRESUPUESTO PCAS'!$G$2,FALSE),0)</f>
        <v>0</v>
      </c>
      <c r="AA22" s="650">
        <f t="shared" si="5"/>
        <v>0</v>
      </c>
      <c r="AB22" s="651">
        <f t="shared" si="6"/>
        <v>0</v>
      </c>
      <c r="AC22" s="10">
        <f>IF($E22&lt;&gt;0,VLOOKUP($E22,Resumen_Generación!$B$5:$F$158,Resumen_Generación!$D$3,FALSE),0)</f>
        <v>0</v>
      </c>
      <c r="AD22" s="10">
        <f>IF($E22&lt;&gt;0,VLOOKUP($E22,Resumen_Generación!$B$5:$G$158,Resumen_Generación!$G$3,FALSE),0)</f>
        <v>0</v>
      </c>
      <c r="AE22" s="362">
        <f>IF($E22&lt;&gt;0,VLOOKUP($E22,Resumen_Generación!$B$5:$F$158,Resumen_Generación!$E$3,FALSE),0)</f>
        <v>0</v>
      </c>
      <c r="AF22" s="10">
        <f>IF($E22&lt;&gt;0,VLOOKUP($E22,Resumen_Generación!$B$5:$F$158,Resumen_Generación!$F$3,FALSE),0)</f>
        <v>0</v>
      </c>
      <c r="AG22" s="513">
        <f>IF($D22&lt;&gt;"-",VLOOKUP($D22,Valoración_Equip_actual!$D$4:$I$157,Valoración_Equip_actual!$E$2,FALSE)*$E$4,0)</f>
        <v>0</v>
      </c>
      <c r="AH22" s="513">
        <f>IF($D22&lt;&gt;"-",VLOOKUP($D22,Valoración_Equip_actual!$D$4:$I$157,Valoración_Equip_actual!$F$2,FALSE)*$E$4,0)</f>
        <v>0</v>
      </c>
      <c r="AI22" s="448"/>
      <c r="AN22" s="34" t="s">
        <v>787</v>
      </c>
      <c r="AO22" s="25" t="str">
        <f>IF($E22&lt;&gt;0,VLOOKUP($E22,Tabla13[],Inputs_costos!$D$1,FALSE),"-")</f>
        <v>-</v>
      </c>
      <c r="AP22" s="28" t="str">
        <f>IF($E22&lt;&gt;0,VLOOKUP($D22,'Costo Social x localidad'!$B$2:$M$156,1,FALSE),"-")</f>
        <v>-</v>
      </c>
    </row>
    <row r="23" spans="1:42">
      <c r="A23" s="917"/>
      <c r="B23" s="887"/>
      <c r="C23" s="478" t="str">
        <f t="shared" si="2"/>
        <v>ok</v>
      </c>
      <c r="D23" s="24" t="str">
        <f>IF(E23&lt;&gt;0,VLOOKUP(E23,Pobl_adoptada!$B$5:$C$158,2,FALSE),"-")</f>
        <v>-</v>
      </c>
      <c r="E23" s="865"/>
      <c r="F23" s="9"/>
      <c r="G23" s="9"/>
      <c r="H23" s="34"/>
      <c r="I23" s="34"/>
      <c r="J23" s="34"/>
      <c r="K23" s="25"/>
      <c r="L23" s="25"/>
      <c r="M23" s="19">
        <f t="shared" si="0"/>
        <v>0</v>
      </c>
      <c r="N23" s="19"/>
      <c r="O23" s="25">
        <f>IF($E23&lt;&gt;0,IF(((VLOOKUP($E23,Tabla13[],Inputs_costos!$I$1,FALSE))*(O$3*$E$3+O$4*$E$4)-AG23)&lt;0,0,VLOOKUP($E23,Tabla13[],Inputs_costos!$I$1,FALSE)*(O$3*$E$3+O$4*$E$4)-AG23),0)</f>
        <v>0</v>
      </c>
      <c r="P23" s="25">
        <f>IF($E23&lt;&gt;0,(VLOOKUP($E23,Tabla13[],Inputs_costos!$J$1,FALSE))*(P$3*$E$3+P$4*$E$4),0)</f>
        <v>0</v>
      </c>
      <c r="Q23" s="25"/>
      <c r="R23" s="25">
        <f>IF($E23&lt;&gt;0,IF($AC23&gt;=15,(VLOOKUP($E23,Tabla13[],Inputs_costos!$G$1,FALSE))*($R$3*$E$3+$R$4*$E$4),(VLOOKUP($E23,Tabla13[],Inputs_costos!$G$1,FALSE))*($T$3*$E$3+$T$4*$E$4))-AH23,0)</f>
        <v>0</v>
      </c>
      <c r="S23" s="25">
        <f t="shared" si="7"/>
        <v>0</v>
      </c>
      <c r="T23" s="25">
        <f>IF($E23&lt;&gt;0,IF($AC23&gt;=15,(VLOOKUP($E23,Tabla13[],Inputs_costos!$H$1,FALSE))*($R$3*$E$3+$R$4*$E$4),(VLOOKUP($E23,Tabla13[],Inputs_costos!$H$1,FALSE))*($T$3*$E$3+$T$4*$E$4)),0)</f>
        <v>0</v>
      </c>
      <c r="U23" s="465">
        <f>IF($E23&lt;&gt;0,SUMIFS(Tabla24[Costo de Cierre Técnico de BCA (US$)],Tabla24[Localidad],'Resumen_Alt 3'!$D23),0)</f>
        <v>0</v>
      </c>
      <c r="V23" s="461">
        <f t="shared" si="3"/>
        <v>0</v>
      </c>
      <c r="W23" s="465">
        <f>IF($E23&lt;&gt;0,SUMIFS(Tabla24[Costo anual de Manteniemiento Post-cierre (US$)],Tabla24[Localidad],'Resumen_Alt 3'!$D23),0)</f>
        <v>0</v>
      </c>
      <c r="X23" s="461">
        <f t="shared" si="4"/>
        <v>0</v>
      </c>
      <c r="Y23" s="28">
        <f>IF($E23&lt;&gt;0,VLOOKUP($D23,'Costo Social x localidad'!$B$2:$M$156,12,FALSE)*(Y$3*$E$3+Y$4*$E$4),0)</f>
        <v>0</v>
      </c>
      <c r="Z23" s="28">
        <f>IF($E23&lt;&gt;0,VLOOKUP(D23,'Estimación  PRESUPUESTO PCAS'!$B$4:$G$158,'Estimación  PRESUPUESTO PCAS'!$G$2,FALSE),0)</f>
        <v>0</v>
      </c>
      <c r="AA23" s="650">
        <f t="shared" si="5"/>
        <v>0</v>
      </c>
      <c r="AB23" s="651">
        <f t="shared" si="6"/>
        <v>0</v>
      </c>
      <c r="AC23" s="10">
        <f>IF($E23&lt;&gt;0,VLOOKUP($E23,Resumen_Generación!$B$5:$F$158,Resumen_Generación!$D$3,FALSE),0)</f>
        <v>0</v>
      </c>
      <c r="AD23" s="10">
        <f>IF($E23&lt;&gt;0,VLOOKUP($E23,Resumen_Generación!$B$5:$G$158,Resumen_Generación!$G$3,FALSE),0)</f>
        <v>0</v>
      </c>
      <c r="AE23" s="362">
        <f>IF($E23&lt;&gt;0,VLOOKUP($E23,Resumen_Generación!$B$5:$F$158,Resumen_Generación!$E$3,FALSE),0)</f>
        <v>0</v>
      </c>
      <c r="AF23" s="10">
        <f>IF($E23&lt;&gt;0,VLOOKUP($E23,Resumen_Generación!$B$5:$F$158,Resumen_Generación!$F$3,FALSE),0)</f>
        <v>0</v>
      </c>
      <c r="AG23" s="513">
        <f>IF($D23&lt;&gt;"-",VLOOKUP($D23,Valoración_Equip_actual!$D$4:$I$157,Valoración_Equip_actual!$E$2,FALSE)*$E$4,0)</f>
        <v>0</v>
      </c>
      <c r="AH23" s="513">
        <f>IF($D23&lt;&gt;"-",VLOOKUP($D23,Valoración_Equip_actual!$D$4:$I$157,Valoración_Equip_actual!$F$2,FALSE)*$E$4,0)</f>
        <v>0</v>
      </c>
      <c r="AI23" s="448"/>
      <c r="AN23" s="34" t="s">
        <v>787</v>
      </c>
      <c r="AO23" s="25" t="str">
        <f>IF($E23&lt;&gt;0,VLOOKUP($E23,Tabla13[],Inputs_costos!$D$1,FALSE),"-")</f>
        <v>-</v>
      </c>
      <c r="AP23" s="28" t="str">
        <f>IF($E23&lt;&gt;0,VLOOKUP($D23,'Costo Social x localidad'!$B$2:$M$156,1,FALSE),"-")</f>
        <v>-</v>
      </c>
    </row>
    <row r="24" spans="1:42">
      <c r="A24" s="917"/>
      <c r="B24" s="887"/>
      <c r="C24" s="478" t="str">
        <f t="shared" si="2"/>
        <v>ok</v>
      </c>
      <c r="D24" s="24" t="str">
        <f>IF(E24&lt;&gt;0,VLOOKUP(E24,Pobl_adoptada!$B$5:$C$158,2,FALSE),"-")</f>
        <v>-</v>
      </c>
      <c r="E24" s="865"/>
      <c r="F24" s="9"/>
      <c r="G24" s="9"/>
      <c r="H24" s="34"/>
      <c r="I24" s="34"/>
      <c r="J24" s="34"/>
      <c r="K24" s="25"/>
      <c r="L24" s="25"/>
      <c r="M24" s="19">
        <f t="shared" si="0"/>
        <v>0</v>
      </c>
      <c r="N24" s="19"/>
      <c r="O24" s="25">
        <f>IF($E24&lt;&gt;0,IF(((VLOOKUP($E24,Tabla13[],Inputs_costos!$I$1,FALSE))*(O$3*$E$3+O$4*$E$4)-AG24)&lt;0,0,VLOOKUP($E24,Tabla13[],Inputs_costos!$I$1,FALSE)*(O$3*$E$3+O$4*$E$4)-AG24),0)</f>
        <v>0</v>
      </c>
      <c r="P24" s="25">
        <f>IF($E24&lt;&gt;0,(VLOOKUP($E24,Tabla13[],Inputs_costos!$J$1,FALSE))*(P$3*$E$3+P$4*$E$4),0)</f>
        <v>0</v>
      </c>
      <c r="Q24" s="25"/>
      <c r="R24" s="25">
        <f>IF($E24&lt;&gt;0,IF($AC24&gt;=15,(VLOOKUP($E24,Tabla13[],Inputs_costos!$G$1,FALSE))*($R$3*$E$3+$R$4*$E$4),(VLOOKUP($E24,Tabla13[],Inputs_costos!$G$1,FALSE))*($T$3*$E$3+$T$4*$E$4))-AH24,0)</f>
        <v>0</v>
      </c>
      <c r="S24" s="25">
        <f t="shared" si="7"/>
        <v>0</v>
      </c>
      <c r="T24" s="25">
        <f>IF($E24&lt;&gt;0,IF($AC24&gt;=15,(VLOOKUP($E24,Tabla13[],Inputs_costos!$H$1,FALSE))*($R$3*$E$3+$R$4*$E$4),(VLOOKUP($E24,Tabla13[],Inputs_costos!$H$1,FALSE))*($T$3*$E$3+$T$4*$E$4)),0)</f>
        <v>0</v>
      </c>
      <c r="U24" s="465">
        <f>IF($E24&lt;&gt;0,SUMIFS(Tabla24[Costo de Cierre Técnico de BCA (US$)],Tabla24[Localidad],'Resumen_Alt 3'!$D24),0)</f>
        <v>0</v>
      </c>
      <c r="V24" s="461">
        <f t="shared" si="3"/>
        <v>0</v>
      </c>
      <c r="W24" s="465">
        <f>IF($E24&lt;&gt;0,SUMIFS(Tabla24[Costo anual de Manteniemiento Post-cierre (US$)],Tabla24[Localidad],'Resumen_Alt 3'!$D24),0)</f>
        <v>0</v>
      </c>
      <c r="X24" s="461">
        <f t="shared" si="4"/>
        <v>0</v>
      </c>
      <c r="Y24" s="28">
        <f>IF($E24&lt;&gt;0,VLOOKUP($D24,'Costo Social x localidad'!$B$2:$M$156,12,FALSE)*(Y$3*$E$3+Y$4*$E$4),0)</f>
        <v>0</v>
      </c>
      <c r="Z24" s="28">
        <f>IF($E24&lt;&gt;0,VLOOKUP(D24,'Estimación  PRESUPUESTO PCAS'!$B$4:$G$158,'Estimación  PRESUPUESTO PCAS'!$G$2,FALSE),0)</f>
        <v>0</v>
      </c>
      <c r="AA24" s="650">
        <f t="shared" si="5"/>
        <v>0</v>
      </c>
      <c r="AB24" s="651">
        <f t="shared" si="6"/>
        <v>0</v>
      </c>
      <c r="AC24" s="10">
        <f>IF($E24&lt;&gt;0,VLOOKUP($E24,Resumen_Generación!$B$5:$F$158,Resumen_Generación!$D$3,FALSE),0)</f>
        <v>0</v>
      </c>
      <c r="AD24" s="10">
        <f>IF($E24&lt;&gt;0,VLOOKUP($E24,Resumen_Generación!$B$5:$G$158,Resumen_Generación!$G$3,FALSE),0)</f>
        <v>0</v>
      </c>
      <c r="AE24" s="362">
        <f>IF($E24&lt;&gt;0,VLOOKUP($E24,Resumen_Generación!$B$5:$F$158,Resumen_Generación!$E$3,FALSE),0)</f>
        <v>0</v>
      </c>
      <c r="AF24" s="10">
        <f>IF($E24&lt;&gt;0,VLOOKUP($E24,Resumen_Generación!$B$5:$F$158,Resumen_Generación!$F$3,FALSE),0)</f>
        <v>0</v>
      </c>
      <c r="AG24" s="513">
        <f>IF($D24&lt;&gt;"-",VLOOKUP($D24,Valoración_Equip_actual!$D$4:$I$157,Valoración_Equip_actual!$E$2,FALSE)*$E$4,0)</f>
        <v>0</v>
      </c>
      <c r="AH24" s="513">
        <f>IF($D24&lt;&gt;"-",VLOOKUP($D24,Valoración_Equip_actual!$D$4:$I$157,Valoración_Equip_actual!$F$2,FALSE)*$E$4,0)</f>
        <v>0</v>
      </c>
      <c r="AI24" s="448"/>
      <c r="AN24" s="34" t="s">
        <v>787</v>
      </c>
      <c r="AO24" s="25" t="str">
        <f>IF($E24&lt;&gt;0,VLOOKUP($E24,Tabla13[],Inputs_costos!$D$1,FALSE),"-")</f>
        <v>-</v>
      </c>
      <c r="AP24" s="28" t="str">
        <f>IF($E24&lt;&gt;0,VLOOKUP($D24,'Costo Social x localidad'!$B$2:$M$156,1,FALSE),"-")</f>
        <v>-</v>
      </c>
    </row>
    <row r="25" spans="1:42">
      <c r="A25" s="917"/>
      <c r="B25" s="887"/>
      <c r="C25" s="478" t="str">
        <f t="shared" si="2"/>
        <v>ok</v>
      </c>
      <c r="D25" s="24" t="str">
        <f>IF(E25&lt;&gt;0,VLOOKUP(E25,Pobl_adoptada!$B$5:$C$158,2,FALSE),"-")</f>
        <v>-</v>
      </c>
      <c r="E25" s="865"/>
      <c r="F25" s="9"/>
      <c r="G25" s="9"/>
      <c r="H25" s="34"/>
      <c r="I25" s="34"/>
      <c r="J25" s="34"/>
      <c r="K25" s="25"/>
      <c r="L25" s="25"/>
      <c r="M25" s="19">
        <f t="shared" si="0"/>
        <v>0</v>
      </c>
      <c r="N25" s="19"/>
      <c r="O25" s="25">
        <f>IF($E25&lt;&gt;0,IF(((VLOOKUP($E25,Tabla13[],Inputs_costos!$I$1,FALSE))*(O$3*$E$3+O$4*$E$4)-AG25)&lt;0,0,VLOOKUP($E25,Tabla13[],Inputs_costos!$I$1,FALSE)*(O$3*$E$3+O$4*$E$4)-AG25),0)</f>
        <v>0</v>
      </c>
      <c r="P25" s="25">
        <f>IF($E25&lt;&gt;0,(VLOOKUP($E25,Tabla13[],Inputs_costos!$J$1,FALSE))*(P$3*$E$3+P$4*$E$4),0)</f>
        <v>0</v>
      </c>
      <c r="Q25" s="25"/>
      <c r="R25" s="25">
        <f>IF($E25&lt;&gt;0,IF($AC25&gt;=15,(VLOOKUP($E25,Tabla13[],Inputs_costos!$G$1,FALSE))*($R$3*$E$3+$R$4*$E$4),(VLOOKUP($E25,Tabla13[],Inputs_costos!$G$1,FALSE))*($T$3*$E$3+$T$4*$E$4))-AH25,0)</f>
        <v>0</v>
      </c>
      <c r="S25" s="25">
        <f t="shared" si="7"/>
        <v>0</v>
      </c>
      <c r="T25" s="25">
        <f>IF($E25&lt;&gt;0,IF($AC25&gt;=15,(VLOOKUP($E25,Tabla13[],Inputs_costos!$H$1,FALSE))*($R$3*$E$3+$R$4*$E$4),(VLOOKUP($E25,Tabla13[],Inputs_costos!$H$1,FALSE))*($T$3*$E$3+$T$4*$E$4)),0)</f>
        <v>0</v>
      </c>
      <c r="U25" s="465">
        <f>IF($E25&lt;&gt;0,SUMIFS(Tabla24[Costo de Cierre Técnico de BCA (US$)],Tabla24[Localidad],'Resumen_Alt 3'!$D25),0)</f>
        <v>0</v>
      </c>
      <c r="V25" s="461">
        <f t="shared" si="3"/>
        <v>0</v>
      </c>
      <c r="W25" s="465">
        <f>IF($E25&lt;&gt;0,SUMIFS(Tabla24[Costo anual de Manteniemiento Post-cierre (US$)],Tabla24[Localidad],'Resumen_Alt 3'!$D25),0)</f>
        <v>0</v>
      </c>
      <c r="X25" s="461">
        <f t="shared" si="4"/>
        <v>0</v>
      </c>
      <c r="Y25" s="28">
        <f>IF($E25&lt;&gt;0,VLOOKUP($D25,'Costo Social x localidad'!$B$2:$M$156,12,FALSE)*(Y$3*$E$3+Y$4*$E$4),0)</f>
        <v>0</v>
      </c>
      <c r="Z25" s="28">
        <f>IF($E25&lt;&gt;0,VLOOKUP(D25,'Estimación  PRESUPUESTO PCAS'!$B$4:$G$158,'Estimación  PRESUPUESTO PCAS'!$G$2,FALSE),0)</f>
        <v>0</v>
      </c>
      <c r="AA25" s="650">
        <f t="shared" si="5"/>
        <v>0</v>
      </c>
      <c r="AB25" s="651">
        <f t="shared" si="6"/>
        <v>0</v>
      </c>
      <c r="AC25" s="10">
        <f>IF($E25&lt;&gt;0,VLOOKUP($E25,Resumen_Generación!$B$5:$F$158,Resumen_Generación!$D$3,FALSE),0)</f>
        <v>0</v>
      </c>
      <c r="AD25" s="10">
        <f>IF($E25&lt;&gt;0,VLOOKUP($E25,Resumen_Generación!$B$5:$G$158,Resumen_Generación!$G$3,FALSE),0)</f>
        <v>0</v>
      </c>
      <c r="AE25" s="362">
        <f>IF($E25&lt;&gt;0,VLOOKUP($E25,Resumen_Generación!$B$5:$F$158,Resumen_Generación!$E$3,FALSE),0)</f>
        <v>0</v>
      </c>
      <c r="AF25" s="10">
        <f>IF($E25&lt;&gt;0,VLOOKUP($E25,Resumen_Generación!$B$5:$F$158,Resumen_Generación!$F$3,FALSE),0)</f>
        <v>0</v>
      </c>
      <c r="AG25" s="513">
        <f>IF($D25&lt;&gt;"-",VLOOKUP($D25,Valoración_Equip_actual!$D$4:$I$157,Valoración_Equip_actual!$E$2,FALSE)*$E$4,0)</f>
        <v>0</v>
      </c>
      <c r="AH25" s="513">
        <f>IF($D25&lt;&gt;"-",VLOOKUP($D25,Valoración_Equip_actual!$D$4:$I$157,Valoración_Equip_actual!$F$2,FALSE)*$E$4,0)</f>
        <v>0</v>
      </c>
      <c r="AI25" s="448"/>
      <c r="AN25" s="34" t="s">
        <v>787</v>
      </c>
      <c r="AO25" s="25" t="str">
        <f>IF($E25&lt;&gt;0,VLOOKUP($E25,Tabla13[],Inputs_costos!$D$1,FALSE),"-")</f>
        <v>-</v>
      </c>
      <c r="AP25" s="28" t="str">
        <f>IF($E25&lt;&gt;0,VLOOKUP($D25,'Costo Social x localidad'!$B$2:$M$156,1,FALSE),"-")</f>
        <v>-</v>
      </c>
    </row>
    <row r="26" spans="1:42" ht="15.75" thickBot="1">
      <c r="A26" s="917"/>
      <c r="B26" s="887"/>
      <c r="C26" s="478" t="str">
        <f t="shared" si="2"/>
        <v>ok</v>
      </c>
      <c r="D26" s="24" t="str">
        <f>IF(E26&lt;&gt;0,VLOOKUP(E26,Pobl_adoptada!$B$5:$C$158,2,FALSE),"-")</f>
        <v>-</v>
      </c>
      <c r="E26" s="866"/>
      <c r="F26" s="37"/>
      <c r="G26" s="37"/>
      <c r="H26" s="117"/>
      <c r="I26" s="117"/>
      <c r="J26" s="117"/>
      <c r="K26" s="25"/>
      <c r="L26" s="25"/>
      <c r="M26" s="19">
        <f t="shared" si="0"/>
        <v>0</v>
      </c>
      <c r="N26" s="19"/>
      <c r="O26" s="25">
        <f>IF($E26&lt;&gt;0,IF(((VLOOKUP($E26,Tabla13[],Inputs_costos!$I$1,FALSE))*(O$3*$E$3+O$4*$E$4)-AG26)&lt;0,0,VLOOKUP($E26,Tabla13[],Inputs_costos!$I$1,FALSE)*(O$3*$E$3+O$4*$E$4)-AG26),0)</f>
        <v>0</v>
      </c>
      <c r="P26" s="25">
        <f>IF($E26&lt;&gt;0,(VLOOKUP($E26,Tabla13[],Inputs_costos!$J$1,FALSE))*(P$3*$E$3+P$4*$E$4),0)</f>
        <v>0</v>
      </c>
      <c r="Q26" s="25"/>
      <c r="R26" s="25">
        <f>IF($E26&lt;&gt;0,IF($AC26&gt;=15,(VLOOKUP($E26,Tabla13[],Inputs_costos!$G$1,FALSE))*($R$3*$E$3+$R$4*$E$4),(VLOOKUP($E26,Tabla13[],Inputs_costos!$G$1,FALSE))*($T$3*$E$3+$T$4*$E$4))-AH26,0)</f>
        <v>0</v>
      </c>
      <c r="S26" s="25">
        <f t="shared" si="7"/>
        <v>0</v>
      </c>
      <c r="T26" s="25">
        <f>IF($E26&lt;&gt;0,IF($AC26&gt;=15,(VLOOKUP($E26,Tabla13[],Inputs_costos!$H$1,FALSE))*($R$3*$E$3+$R$4*$E$4),(VLOOKUP($E26,Tabla13[],Inputs_costos!$H$1,FALSE))*($T$3*$E$3+$T$4*$E$4)),0)</f>
        <v>0</v>
      </c>
      <c r="U26" s="465">
        <f>IF($E26&lt;&gt;0,SUMIFS(Tabla24[Costo de Cierre Técnico de BCA (US$)],Tabla24[Localidad],'Resumen_Alt 3'!$D26),0)</f>
        <v>0</v>
      </c>
      <c r="V26" s="461">
        <f t="shared" si="3"/>
        <v>0</v>
      </c>
      <c r="W26" s="465">
        <f>IF($E26&lt;&gt;0,SUMIFS(Tabla24[Costo anual de Manteniemiento Post-cierre (US$)],Tabla24[Localidad],'Resumen_Alt 3'!$D26),0)</f>
        <v>0</v>
      </c>
      <c r="X26" s="461">
        <f t="shared" si="4"/>
        <v>0</v>
      </c>
      <c r="Y26" s="28">
        <f>IF($E26&lt;&gt;0,VLOOKUP($D26,'Costo Social x localidad'!$B$2:$M$156,12,FALSE)*(Y$3*$E$3+Y$4*$E$4),0)</f>
        <v>0</v>
      </c>
      <c r="Z26" s="28">
        <f>IF($E26&lt;&gt;0,VLOOKUP(D26,'Estimación  PRESUPUESTO PCAS'!$B$4:$G$158,'Estimación  PRESUPUESTO PCAS'!$G$2,FALSE),0)</f>
        <v>0</v>
      </c>
      <c r="AA26" s="650">
        <f t="shared" si="5"/>
        <v>0</v>
      </c>
      <c r="AB26" s="651">
        <f t="shared" si="6"/>
        <v>0</v>
      </c>
      <c r="AC26" s="10">
        <f>IF($E26&lt;&gt;0,VLOOKUP($E26,Resumen_Generación!$B$5:$F$158,Resumen_Generación!$D$3,FALSE),0)</f>
        <v>0</v>
      </c>
      <c r="AD26" s="10">
        <f>IF($E26&lt;&gt;0,VLOOKUP($E26,Resumen_Generación!$B$5:$G$158,Resumen_Generación!$G$3,FALSE),0)</f>
        <v>0</v>
      </c>
      <c r="AE26" s="362">
        <f>IF($E26&lt;&gt;0,VLOOKUP($E26,Resumen_Generación!$B$5:$F$158,Resumen_Generación!$E$3,FALSE),0)</f>
        <v>0</v>
      </c>
      <c r="AF26" s="10">
        <f>IF($E26&lt;&gt;0,VLOOKUP($E26,Resumen_Generación!$B$5:$F$158,Resumen_Generación!$F$3,FALSE),0)</f>
        <v>0</v>
      </c>
      <c r="AG26" s="513">
        <f>IF($D26&lt;&gt;"-",VLOOKUP($D26,Valoración_Equip_actual!$D$4:$I$157,Valoración_Equip_actual!$E$2,FALSE)*$E$4,0)</f>
        <v>0</v>
      </c>
      <c r="AH26" s="513">
        <f>IF($D26&lt;&gt;"-",VLOOKUP($D26,Valoración_Equip_actual!$D$4:$I$157,Valoración_Equip_actual!$F$2,FALSE)*$E$4,0)</f>
        <v>0</v>
      </c>
      <c r="AI26" s="448"/>
      <c r="AN26" s="34" t="s">
        <v>787</v>
      </c>
      <c r="AO26" s="25" t="str">
        <f>IF($E26&lt;&gt;0,VLOOKUP($E26,Tabla13[],Inputs_costos!$D$1,FALSE),"-")</f>
        <v>-</v>
      </c>
      <c r="AP26" s="28" t="str">
        <f>IF($E26&lt;&gt;0,VLOOKUP($D26,'Costo Social x localidad'!$B$2:$M$156,1,FALSE),"-")</f>
        <v>-</v>
      </c>
    </row>
    <row r="27" spans="1:42" ht="15.75" thickBot="1">
      <c r="A27" s="917"/>
      <c r="B27" s="888"/>
      <c r="C27" s="862"/>
      <c r="D27" s="863" t="s">
        <v>8</v>
      </c>
      <c r="E27" s="864"/>
      <c r="F27" s="13"/>
      <c r="G27" s="8"/>
      <c r="H27" s="32">
        <f>SUM(H7:H26)</f>
        <v>20229906.882454827</v>
      </c>
      <c r="I27" s="32"/>
      <c r="J27" s="32">
        <f>SUM(J7:J26)</f>
        <v>10267093.839852218</v>
      </c>
      <c r="K27" s="14"/>
      <c r="L27" s="14"/>
      <c r="M27" s="15">
        <f>SUM(M7:M26)</f>
        <v>-101265384.07666434</v>
      </c>
      <c r="N27" s="15"/>
      <c r="O27" s="16">
        <f>SUM(O7:O26)</f>
        <v>3881816.0348532014</v>
      </c>
      <c r="P27" s="16">
        <f>SUM(P7:P26)</f>
        <v>2038095.8409541505</v>
      </c>
      <c r="Q27" s="16"/>
      <c r="R27" s="26">
        <f>SUM(R7:R26)</f>
        <v>35788810.935280003</v>
      </c>
      <c r="S27" s="26"/>
      <c r="T27" s="26">
        <f>SUM(T7:T26)</f>
        <v>6750821.4364720006</v>
      </c>
      <c r="U27" s="26"/>
      <c r="V27" s="26">
        <f>SUM(V7:V26)</f>
        <v>11912734.660288</v>
      </c>
      <c r="W27" s="26"/>
      <c r="X27" s="26">
        <f>SUM(X7:X26)</f>
        <v>1057681.8158268037</v>
      </c>
      <c r="Y27" s="26">
        <f>SUM(Y7:Y26)</f>
        <v>239336.24022706662</v>
      </c>
      <c r="Z27" s="26">
        <f>SUM(Z7:Z26)</f>
        <v>1556433.4179447601</v>
      </c>
      <c r="AA27" s="653">
        <f>SUM(AA7:AA26)</f>
        <v>-102743077.96209942</v>
      </c>
      <c r="AB27" s="654">
        <f>+M27+AA27</f>
        <v>-204008462.03876376</v>
      </c>
      <c r="AC27" s="630">
        <f t="shared" ref="AC27:AI27" si="8">SUM(AC7:AC26)</f>
        <v>125.55597265599999</v>
      </c>
      <c r="AD27" s="630">
        <f t="shared" si="8"/>
        <v>51.11105543</v>
      </c>
      <c r="AE27" s="631">
        <f t="shared" si="8"/>
        <v>160349</v>
      </c>
      <c r="AF27" s="630">
        <f t="shared" si="8"/>
        <v>58.040604999999999</v>
      </c>
      <c r="AG27" s="630">
        <f t="shared" si="8"/>
        <v>3725130.622298799</v>
      </c>
      <c r="AH27" s="630">
        <f t="shared" si="8"/>
        <v>1245135.96</v>
      </c>
      <c r="AI27" s="630">
        <f t="shared" si="8"/>
        <v>4.2075409836065578</v>
      </c>
      <c r="AJ27" s="4"/>
      <c r="AK27" s="4"/>
      <c r="AL27" s="4"/>
      <c r="AM27" s="4"/>
      <c r="AN27" s="4"/>
      <c r="AO27" s="4"/>
      <c r="AP27" s="4"/>
    </row>
    <row r="28" spans="1:42">
      <c r="A28" s="917"/>
      <c r="B28" s="886" t="s">
        <v>310</v>
      </c>
      <c r="C28" s="871" t="str">
        <f>IF(AND(D28=AN28,D28=AO28,D28=AP28),"ok","ATENCIÓN NO ESTÁ TOMANDO BIEN LA LOCALIDAD")</f>
        <v>ok</v>
      </c>
      <c r="D28" s="24" t="str">
        <f>IF(E28&lt;&gt;0,VLOOKUP(E28,Pobl_adoptada!$B$5:$C$158,2,FALSE),"-")</f>
        <v>Daireaux</v>
      </c>
      <c r="E28" s="867">
        <v>56</v>
      </c>
      <c r="F28" s="874" t="s">
        <v>308</v>
      </c>
      <c r="G28" s="576">
        <f>+'[36]Inversion rec-TA'!$G$21</f>
        <v>1929941.4338168197</v>
      </c>
      <c r="H28" s="577">
        <f>+($AC7/$AC$27)*$H$48+G28</f>
        <v>2187100.7226416972</v>
      </c>
      <c r="I28" s="587">
        <f>+'[36]Costos Operativos Rec-TA'!$G$23</f>
        <v>990597.48348618275</v>
      </c>
      <c r="J28" s="579">
        <f>+($AC7/$AC$27)*$J$48+I28</f>
        <v>995740.66926268034</v>
      </c>
      <c r="K28" s="10">
        <f>+'[36]Inversion rec-TA'!$G$46</f>
        <v>0</v>
      </c>
      <c r="L28" s="10">
        <f>+'[36]Costos Operativos Rec-TA'!$G$46</f>
        <v>0</v>
      </c>
      <c r="M28" s="19">
        <f t="shared" ref="M28:M47" si="9">-H28/(1+0.12)+PV(12%,20,J28)-H28/(1+0.12)^10</f>
        <v>-10094585.194285277</v>
      </c>
      <c r="N28" s="614">
        <f t="shared" ref="N28:N33" si="10">+$AD7/$AD$27*$N$49</f>
        <v>151704.63161390263</v>
      </c>
      <c r="O28" s="25">
        <f>IF(N28-AG28&lt;0,0,N28-AG28)</f>
        <v>0</v>
      </c>
      <c r="P28" s="32">
        <f>+$AD7/$AD$27*$P$49</f>
        <v>65438.283898378184</v>
      </c>
      <c r="Q28" s="614">
        <f>+$AC7/$AC$27*$Q$49</f>
        <v>941398.87226070696</v>
      </c>
      <c r="R28" s="647">
        <f>IF(Q28-AH28&lt;0,0,Q28-AH28)</f>
        <v>844021.63226070697</v>
      </c>
      <c r="S28" s="647">
        <f>+S7</f>
        <v>0</v>
      </c>
      <c r="T28" s="32">
        <f>+$AC7/$AC$27*$T$49</f>
        <v>124554.67254525468</v>
      </c>
      <c r="U28" s="27"/>
      <c r="V28" s="461">
        <f>+V7</f>
        <v>0</v>
      </c>
      <c r="W28" s="27"/>
      <c r="X28" s="461">
        <f>+X7</f>
        <v>0</v>
      </c>
      <c r="Y28" s="27">
        <f>+Y7</f>
        <v>20835.421791599998</v>
      </c>
      <c r="Z28" s="27">
        <f>+Z7</f>
        <v>163994.16799055826</v>
      </c>
      <c r="AA28" s="650">
        <f>(-O28-R28)/(1+0.12)+PV(12%,20,P28)+PV(12%,20,T28)-(O28*0.5)/(1+0.12)^10-S28/(1+0.12)^10</f>
        <v>-2172732.4202649612</v>
      </c>
      <c r="AB28" s="651">
        <f>M28+AA28</f>
        <v>-12267317.614550238</v>
      </c>
      <c r="AG28" s="448">
        <f>IF($E28&lt;&gt;0,VLOOKUP($D28,Valoración_Eq_REG!$D$4:$I$157,Valoración_Eq_REG!$E$2,FALSE)*$E$4,0)</f>
        <v>263107.73074999999</v>
      </c>
      <c r="AH28" s="448">
        <f>IF($E28&lt;&gt;0,VLOOKUP($D28,Valoración_Eq_REG!$D$4:$I$157,Valoración_Eq_REG!$F$2,FALSE)*$E$4,0)</f>
        <v>97377.24</v>
      </c>
      <c r="AJ28" s="484">
        <f>+'[36]Evaluacion Economica'!$L$25</f>
        <v>2</v>
      </c>
      <c r="AK28" s="448">
        <f>+'[36]Evaluacion Economica'!$R$25</f>
        <v>21</v>
      </c>
      <c r="AL28" s="484">
        <f>+'[36]P_Evaluacion Economica'!$L$27</f>
        <v>2</v>
      </c>
      <c r="AM28" s="448">
        <f>+'[36]P_Evaluacion Economica'!$Q$27</f>
        <v>6</v>
      </c>
      <c r="AN28" s="34" t="str">
        <f>+[36]Datos!$C$2</f>
        <v>Daireaux</v>
      </c>
      <c r="AO28" s="25" t="str">
        <f>IF($E28&lt;&gt;0,VLOOKUP($E28,Tabla13[],Inputs_costos!$D$1,FALSE),"-")</f>
        <v>DAIREAUX</v>
      </c>
      <c r="AP28" s="28" t="str">
        <f>IF($E28&lt;&gt;0,VLOOKUP($D28,'Costo Social x localidad'!$B$2:$M$156,1,FALSE),"-")</f>
        <v>DAIREAUX</v>
      </c>
    </row>
    <row r="29" spans="1:42">
      <c r="A29" s="917"/>
      <c r="B29" s="887"/>
      <c r="C29" s="478" t="str">
        <f t="shared" ref="C29:C47" si="11">IF(AND(D29=AN29,D29=AO29,D29=AP29),"ok","ATENCIÓN NO ESTÁ TOMANDO BIEN LA LOCALIDAD")</f>
        <v>ok</v>
      </c>
      <c r="D29" s="24" t="str">
        <f>IF(E29&lt;&gt;0,VLOOKUP(E29,Pobl_adoptada!$B$5:$C$158,2,FALSE),"-")</f>
        <v>Henderson</v>
      </c>
      <c r="E29" s="865">
        <v>78</v>
      </c>
      <c r="F29" s="875" t="s">
        <v>308</v>
      </c>
      <c r="G29" s="580">
        <f>+'[37]Inversion rec-TA'!$G$21</f>
        <v>1826477.5508091175</v>
      </c>
      <c r="H29" s="34">
        <f>+($AC8/$AC$27)*$H$48+G29</f>
        <v>1996600.4178613818</v>
      </c>
      <c r="I29" s="465">
        <f>+'[37]Costos Operativos Rec-TA'!$G$23</f>
        <v>949315.92533540563</v>
      </c>
      <c r="J29" s="581">
        <f>+($AC8/$AC$27)*$J$48+I29</f>
        <v>952718.38267645088</v>
      </c>
      <c r="K29" s="10">
        <f>+'[37]Inversion rec-TA'!$G$46</f>
        <v>0</v>
      </c>
      <c r="L29" s="10">
        <f>+'[37]Costos Operativos Rec-TA'!$G$46</f>
        <v>0</v>
      </c>
      <c r="M29" s="19">
        <f t="shared" si="9"/>
        <v>-9541807.0924985707</v>
      </c>
      <c r="N29" s="465">
        <f t="shared" si="10"/>
        <v>99983.473029014538</v>
      </c>
      <c r="O29" s="25">
        <f t="shared" ref="O29:O33" si="12">IF(N29-AG29&lt;0,0,N29-AG29)</f>
        <v>0</v>
      </c>
      <c r="P29" s="25">
        <f t="shared" ref="P29:P47" si="13">+$AD8/$AD$27*$P$49</f>
        <v>43128.194726909685</v>
      </c>
      <c r="Q29" s="465">
        <f t="shared" ref="Q29:Q47" si="14">+$AC8/$AC$27*$Q$49</f>
        <v>622779.27396907075</v>
      </c>
      <c r="R29" s="647">
        <f t="shared" ref="R29:R33" si="15">IF(Q29-AH29&lt;0,0,Q29-AH29)</f>
        <v>525402.03396907076</v>
      </c>
      <c r="S29" s="647">
        <f t="shared" ref="S29:S47" si="16">+S8</f>
        <v>0</v>
      </c>
      <c r="T29" s="25">
        <f t="shared" ref="T29:T47" si="17">+$AC8/$AC$27*$T$49</f>
        <v>82398.726855184868</v>
      </c>
      <c r="U29" s="28"/>
      <c r="V29" s="461">
        <f t="shared" ref="V29:V47" si="18">+V8</f>
        <v>569987.30432</v>
      </c>
      <c r="W29" s="28"/>
      <c r="X29" s="461">
        <f t="shared" ref="X29:Z33" si="19">+X8</f>
        <v>50606.785446258553</v>
      </c>
      <c r="Y29" s="28">
        <f t="shared" si="19"/>
        <v>9173.7222940799984</v>
      </c>
      <c r="Z29" s="28">
        <f t="shared" si="19"/>
        <v>167600.40810335823</v>
      </c>
      <c r="AA29" s="650">
        <f t="shared" ref="AA29:AA33" si="20">(-O29-R29)/(1+0.12)+PV(12%,20,P29)+PV(12%,20,T29)-(O29*0.5)/(1+0.12)^10-S29/(1+0.12)^10</f>
        <v>-1406725.2229938023</v>
      </c>
      <c r="AB29" s="651">
        <f t="shared" ref="AB29:AB33" si="21">M29+AA29</f>
        <v>-10948532.315492373</v>
      </c>
      <c r="AG29" s="448">
        <f>IF($E29&lt;&gt;0,VLOOKUP($D29,Valoración_Eq_REG!$D$4:$I$157,Valoración_Eq_REG!$E$2,FALSE)*$E$4,0)</f>
        <v>263107.73074999999</v>
      </c>
      <c r="AH29" s="448">
        <f>IF($E29&lt;&gt;0,VLOOKUP($D29,Valoración_Eq_REG!$D$4:$I$157,Valoración_Eq_REG!$F$2,FALSE)*$E$4,0)</f>
        <v>97377.24</v>
      </c>
      <c r="AJ29" s="484">
        <f>+'[37]Evaluacion Economica'!$L$25</f>
        <v>2</v>
      </c>
      <c r="AK29" s="448">
        <f>+'[37]Evaluacion Economica'!$R$25</f>
        <v>12</v>
      </c>
      <c r="AL29" s="484">
        <f>+'[37]P_Evaluacion Economica'!$L$27</f>
        <v>2</v>
      </c>
      <c r="AM29" s="448">
        <f>+'[37]P_Evaluacion Economica'!$Q$27</f>
        <v>6</v>
      </c>
      <c r="AN29" s="34" t="str">
        <f>+[37]Datos!$C$2</f>
        <v>Henderson</v>
      </c>
      <c r="AO29" s="25" t="str">
        <f>IF($E29&lt;&gt;0,VLOOKUP($E29,Tabla13[],Inputs_costos!$D$1,FALSE),"-")</f>
        <v>HENDERSON</v>
      </c>
      <c r="AP29" s="28" t="str">
        <f>IF($E29&lt;&gt;0,VLOOKUP($D29,'Costo Social x localidad'!$B$2:$M$156,1,FALSE),"-")</f>
        <v>HENDERSON</v>
      </c>
    </row>
    <row r="30" spans="1:42">
      <c r="A30" s="917"/>
      <c r="B30" s="887"/>
      <c r="C30" s="478" t="str">
        <f t="shared" si="11"/>
        <v>ok</v>
      </c>
      <c r="D30" s="24" t="str">
        <f>IF(E30&lt;&gt;0,VLOOKUP(E30,Pobl_adoptada!$B$5:$C$158,2,FALSE),"-")</f>
        <v>San Carlos de Bolívar</v>
      </c>
      <c r="E30" s="872">
        <v>38</v>
      </c>
      <c r="F30" s="875" t="s">
        <v>308</v>
      </c>
      <c r="G30" s="580">
        <f>+'[38]Inversion rec-TA'!$G$21</f>
        <v>3254708.3102136762</v>
      </c>
      <c r="H30" s="34">
        <f>+($AC9/$AC$27)*$H$48+G30</f>
        <v>3866025.6088784556</v>
      </c>
      <c r="I30" s="465">
        <f>+'[38]Costos Operativos Rec-TA'!$G$23</f>
        <v>2039372.4407416927</v>
      </c>
      <c r="J30" s="581">
        <f>+($AC9/$AC$27)*$J$48+I30</f>
        <v>2051598.7867149883</v>
      </c>
      <c r="K30" s="10">
        <f>+'[38]Inversion rec-TA'!$G$46</f>
        <v>0</v>
      </c>
      <c r="L30" s="10">
        <f>+'[38]Costos Operativos Rec-TA'!$G$46</f>
        <v>0</v>
      </c>
      <c r="M30" s="19">
        <f t="shared" si="9"/>
        <v>-20020866.834495377</v>
      </c>
      <c r="N30" s="465">
        <f t="shared" si="10"/>
        <v>359896.99030631373</v>
      </c>
      <c r="O30" s="25">
        <f t="shared" si="12"/>
        <v>0</v>
      </c>
      <c r="P30" s="25">
        <f t="shared" si="13"/>
        <v>155242.73171682216</v>
      </c>
      <c r="Q30" s="465">
        <f t="shared" si="14"/>
        <v>2237886.9462047294</v>
      </c>
      <c r="R30" s="647">
        <f t="shared" si="15"/>
        <v>1945260.7462047294</v>
      </c>
      <c r="S30" s="647">
        <f t="shared" si="16"/>
        <v>815000</v>
      </c>
      <c r="T30" s="25">
        <f t="shared" si="17"/>
        <v>296090.51379938045</v>
      </c>
      <c r="U30" s="28"/>
      <c r="V30" s="461">
        <f t="shared" si="18"/>
        <v>9160510.2479999997</v>
      </c>
      <c r="W30" s="28"/>
      <c r="X30" s="461">
        <f t="shared" si="19"/>
        <v>813323.33752915531</v>
      </c>
      <c r="Y30" s="28">
        <f t="shared" si="19"/>
        <v>63596.654987386661</v>
      </c>
      <c r="Z30" s="28">
        <f t="shared" si="19"/>
        <v>347871.28280979767</v>
      </c>
      <c r="AA30" s="650">
        <f t="shared" si="20"/>
        <v>-5370456.3729580073</v>
      </c>
      <c r="AB30" s="651">
        <f t="shared" si="21"/>
        <v>-25391323.207453385</v>
      </c>
      <c r="AG30" s="448">
        <f>IF($E30&lt;&gt;0,VLOOKUP($D30,Valoración_Eq_REG!$D$4:$I$157,Valoración_Eq_REG!$E$2,FALSE)*$E$4,0)</f>
        <v>1389819.73074</v>
      </c>
      <c r="AH30" s="448">
        <f>IF($E30&lt;&gt;0,VLOOKUP($D30,Valoración_Eq_REG!$D$4:$I$157,Valoración_Eq_REG!$F$2,FALSE)*$E$4,0)</f>
        <v>292626.2</v>
      </c>
      <c r="AJ30" s="484">
        <f>+'[38]Evaluacion Economica'!$L$25</f>
        <v>3</v>
      </c>
      <c r="AK30" s="448">
        <f>+'[38]Evaluacion Economica'!$R$25</f>
        <v>12</v>
      </c>
      <c r="AL30" s="484">
        <f>+'[38]P_Evaluacion Economica'!$L$27</f>
        <v>3</v>
      </c>
      <c r="AM30" s="448">
        <f>+'[38]P_Evaluacion Economica'!$Q$27</f>
        <v>6</v>
      </c>
      <c r="AN30" s="34" t="str">
        <f>+[38]Datos!$C$2</f>
        <v>San Carlos de Bolívar</v>
      </c>
      <c r="AO30" s="25" t="str">
        <f>IF($E30&lt;&gt;0,VLOOKUP($E30,Tabla13[],Inputs_costos!$D$1,FALSE),"-")</f>
        <v>SAN CARLOS DE BOLÍVAR</v>
      </c>
      <c r="AP30" s="28" t="str">
        <f>IF($E30&lt;&gt;0,VLOOKUP($D30,'Costo Social x localidad'!$B$2:$M$156,1,FALSE),"-")</f>
        <v>San Carlos de Bolívar</v>
      </c>
    </row>
    <row r="31" spans="1:42">
      <c r="A31" s="917"/>
      <c r="B31" s="887"/>
      <c r="C31" s="478" t="str">
        <f t="shared" si="11"/>
        <v>ok</v>
      </c>
      <c r="D31" s="24" t="str">
        <f>IF(E31&lt;&gt;0,VLOOKUP(E31,Pobl_adoptada!$B$5:$C$158,2,FALSE),"-")</f>
        <v>9 de Julio</v>
      </c>
      <c r="E31" s="872">
        <v>26</v>
      </c>
      <c r="F31" s="875" t="s">
        <v>308</v>
      </c>
      <c r="G31" s="580">
        <f>+'[58]Inversion rec-TA'!$G$21</f>
        <v>4727050.9255007925</v>
      </c>
      <c r="H31" s="34">
        <f t="shared" ref="H31:H45" si="22">+($AC10/$AC$27)*$H$48+G31</f>
        <v>5607700.8716934659</v>
      </c>
      <c r="I31" s="465">
        <f>+'[58]Costos Operativos Rec-TA'!$G$23</f>
        <v>3021914.3398721609</v>
      </c>
      <c r="J31" s="581">
        <f t="shared" ref="J31:J45" si="23">+($AC10/$AC$27)*$J$48+I31</f>
        <v>3039527.3387960144</v>
      </c>
      <c r="K31" s="10">
        <f>+'[58]Inversion rec-TA'!$G$46</f>
        <v>0</v>
      </c>
      <c r="L31" s="10">
        <f>+'[58]Costos Operativos Rec-TA'!$G$46</f>
        <v>0</v>
      </c>
      <c r="M31" s="19">
        <f t="shared" si="9"/>
        <v>-29515983.479528669</v>
      </c>
      <c r="N31" s="465">
        <f t="shared" si="10"/>
        <v>518878.90219888865</v>
      </c>
      <c r="O31" s="25">
        <f t="shared" si="12"/>
        <v>154406.62662688864</v>
      </c>
      <c r="P31" s="25">
        <f t="shared" si="13"/>
        <v>223820.09401918616</v>
      </c>
      <c r="Q31" s="465">
        <f t="shared" si="14"/>
        <v>3223849.5836205389</v>
      </c>
      <c r="R31" s="647">
        <f t="shared" si="15"/>
        <v>3126472.3436205387</v>
      </c>
      <c r="S31" s="647">
        <f t="shared" si="16"/>
        <v>815000</v>
      </c>
      <c r="T31" s="25">
        <f t="shared" si="17"/>
        <v>426541.33232465741</v>
      </c>
      <c r="U31" s="28"/>
      <c r="V31" s="461">
        <f t="shared" si="18"/>
        <v>557773.29065600003</v>
      </c>
      <c r="W31" s="28"/>
      <c r="X31" s="461">
        <f t="shared" si="19"/>
        <v>49522.354329553018</v>
      </c>
      <c r="Y31" s="28">
        <f t="shared" si="19"/>
        <v>69124.114997280005</v>
      </c>
      <c r="Z31" s="28">
        <f t="shared" si="19"/>
        <v>344004.06407999853</v>
      </c>
      <c r="AA31" s="650">
        <f t="shared" si="20"/>
        <v>-8074459.821432299</v>
      </c>
      <c r="AB31" s="651">
        <f t="shared" si="21"/>
        <v>-37590443.300960965</v>
      </c>
      <c r="AG31" s="448">
        <f>IF($E31&lt;&gt;0,VLOOKUP($D31,Valoración_Eq_REG!$D$4:$I$157,Valoración_Eq_REG!$E$2,FALSE)*$E$4,0)</f>
        <v>364472.27557200001</v>
      </c>
      <c r="AH31" s="448">
        <f>IF($E31&lt;&gt;0,VLOOKUP($D31,Valoración_Eq_REG!$D$4:$I$157,Valoración_Eq_REG!$F$2,FALSE)*$E$4,0)</f>
        <v>97377.24</v>
      </c>
      <c r="AJ31" s="484">
        <f>+'[58]Evaluacion Economica'!$L$25</f>
        <v>5</v>
      </c>
      <c r="AK31" s="448">
        <f>+'[58]Evaluacion Economica'!$R$25</f>
        <v>19</v>
      </c>
      <c r="AL31" s="484">
        <f>+'[58]P_Evaluacion Economica'!$L$27</f>
        <v>4</v>
      </c>
      <c r="AM31" s="448">
        <f>+'[58]P_Evaluacion Economica'!$Q$27</f>
        <v>6</v>
      </c>
      <c r="AN31" s="34" t="str">
        <f>+[58]Datos!$C$2</f>
        <v>9 de Julio</v>
      </c>
      <c r="AO31" s="25" t="str">
        <f>IF($E31&lt;&gt;0,VLOOKUP($E31,Tabla13[],Inputs_costos!$D$1,FALSE),"-")</f>
        <v>9 DE JULIO</v>
      </c>
      <c r="AP31" s="28" t="str">
        <f>IF($E31&lt;&gt;0,VLOOKUP($D31,'Costo Social x localidad'!$B$2:$M$156,1,FALSE),"-")</f>
        <v>9 DE JULIO</v>
      </c>
    </row>
    <row r="32" spans="1:42">
      <c r="A32" s="917"/>
      <c r="B32" s="887"/>
      <c r="C32" s="478" t="str">
        <f t="shared" si="11"/>
        <v>ok</v>
      </c>
      <c r="D32" s="24" t="str">
        <f>IF(E32&lt;&gt;0,VLOOKUP(E32,Pobl_adoptada!$B$5:$C$158,2,FALSE),"-")</f>
        <v>Pehuajó</v>
      </c>
      <c r="E32" s="872">
        <v>101</v>
      </c>
      <c r="F32" s="9" t="s">
        <v>308</v>
      </c>
      <c r="G32" s="580">
        <f>+'[59]Inversion rec-TA'!$G$21</f>
        <v>3534435.3009231486</v>
      </c>
      <c r="H32" s="34">
        <f t="shared" si="22"/>
        <v>4251977.2467591558</v>
      </c>
      <c r="I32" s="465">
        <f>+'[59]Costos Operativos Rec-TA'!$G$23</f>
        <v>2165386.1301974207</v>
      </c>
      <c r="J32" s="581">
        <f t="shared" si="23"/>
        <v>2179736.9691141411</v>
      </c>
      <c r="K32" s="10">
        <f>+'[59]Inversion rec-TA'!$G$46</f>
        <v>0</v>
      </c>
      <c r="L32" s="10">
        <f>+'[59]Costos Operativos Rec-TA'!$G$46</f>
        <v>0</v>
      </c>
      <c r="M32" s="19">
        <f t="shared" si="9"/>
        <v>-21446853.538744781</v>
      </c>
      <c r="N32" s="465">
        <f t="shared" si="10"/>
        <v>421596.46218661137</v>
      </c>
      <c r="O32" s="25">
        <f t="shared" si="12"/>
        <v>173723.96928661139</v>
      </c>
      <c r="P32" s="25">
        <f t="shared" si="13"/>
        <v>181856.99862700203</v>
      </c>
      <c r="Q32" s="465">
        <f t="shared" si="14"/>
        <v>2626750.0648976103</v>
      </c>
      <c r="R32" s="647">
        <f t="shared" si="15"/>
        <v>2505249.2648976105</v>
      </c>
      <c r="S32" s="647">
        <f t="shared" si="16"/>
        <v>815000</v>
      </c>
      <c r="T32" s="25">
        <f t="shared" si="17"/>
        <v>347540.2444511769</v>
      </c>
      <c r="U32" s="28"/>
      <c r="V32" s="461">
        <f t="shared" si="18"/>
        <v>0</v>
      </c>
      <c r="W32" s="28"/>
      <c r="X32" s="461">
        <f t="shared" si="19"/>
        <v>0</v>
      </c>
      <c r="Y32" s="28">
        <f t="shared" si="19"/>
        <v>46309.279172399998</v>
      </c>
      <c r="Z32" s="28">
        <f t="shared" si="19"/>
        <v>275294.8010989977</v>
      </c>
      <c r="AA32" s="650">
        <f t="shared" si="20"/>
        <v>-6636618.6718651075</v>
      </c>
      <c r="AB32" s="651">
        <f t="shared" si="21"/>
        <v>-28083472.210609891</v>
      </c>
      <c r="AG32" s="448">
        <f>IF($E32&lt;&gt;0,VLOOKUP($D32,Valoración_Eq_REG!$D$4:$I$157,Valoración_Eq_REG!$E$2,FALSE)*$E$4,0)</f>
        <v>247872.49289999998</v>
      </c>
      <c r="AH32" s="448">
        <f>IF($E32&lt;&gt;0,VLOOKUP($D32,Valoración_Eq_REG!$D$4:$I$157,Valoración_Eq_REG!$F$2,FALSE)*$E$4,0)</f>
        <v>121500.8</v>
      </c>
      <c r="AJ32" s="484">
        <f>+'[59]Evaluacion Economica'!$L$25</f>
        <v>4</v>
      </c>
      <c r="AK32" s="448">
        <f>+'[59]Evaluacion Economica'!$R$25</f>
        <v>17</v>
      </c>
      <c r="AL32" s="484">
        <f>+'[59]P_Evaluacion Economica'!$L$27</f>
        <v>3</v>
      </c>
      <c r="AM32" s="448">
        <f>+'[59]P_Evaluacion Economica'!$Q$27</f>
        <v>6</v>
      </c>
      <c r="AN32" s="34" t="str">
        <f>+[59]Datos!$C$2</f>
        <v>Pehuajó</v>
      </c>
      <c r="AO32" s="25" t="str">
        <f>IF($E32&lt;&gt;0,VLOOKUP($E32,Tabla13[],Inputs_costos!$D$1,FALSE),"-")</f>
        <v>PEHUAJÓ</v>
      </c>
      <c r="AP32" s="28" t="str">
        <f>IF($E32&lt;&gt;0,VLOOKUP($D32,'Costo Social x localidad'!$B$2:$M$156,1,FALSE),"-")</f>
        <v>PEHUAJÓ</v>
      </c>
    </row>
    <row r="33" spans="1:42">
      <c r="A33" s="917"/>
      <c r="B33" s="887"/>
      <c r="C33" s="478" t="str">
        <f t="shared" si="11"/>
        <v>ok</v>
      </c>
      <c r="D33" s="24" t="str">
        <f>IF(E33&lt;&gt;0,VLOOKUP(E33,Pobl_adoptada!$B$5:$C$158,2,FALSE),"-")</f>
        <v>Carlos Casares</v>
      </c>
      <c r="E33" s="872">
        <v>44</v>
      </c>
      <c r="F33" s="9" t="s">
        <v>308</v>
      </c>
      <c r="G33" s="580">
        <f>+'[60]Inversion rec-TA'!$G$21</f>
        <v>2722864.7367098257</v>
      </c>
      <c r="H33" s="34">
        <f t="shared" si="22"/>
        <v>3157227.5357498541</v>
      </c>
      <c r="I33" s="465">
        <f>+'[60]Costos Operativos Rec-TA'!$G$23</f>
        <v>1517580.5869679472</v>
      </c>
      <c r="J33" s="581">
        <f t="shared" si="23"/>
        <v>1526267.8429487478</v>
      </c>
      <c r="K33" s="10">
        <f>+'[60]Inversion rec-TA'!$G$46</f>
        <v>0</v>
      </c>
      <c r="L33" s="10">
        <f>+'[60]Costos Operativos Rec-TA'!$G$46</f>
        <v>0</v>
      </c>
      <c r="M33" s="19">
        <f t="shared" si="9"/>
        <v>-15235867.533787921</v>
      </c>
      <c r="N33" s="465">
        <f t="shared" si="10"/>
        <v>255981.52882526934</v>
      </c>
      <c r="O33" s="25">
        <f t="shared" si="12"/>
        <v>0</v>
      </c>
      <c r="P33" s="25">
        <f t="shared" si="13"/>
        <v>110418.4610437019</v>
      </c>
      <c r="Q33" s="465">
        <f t="shared" si="14"/>
        <v>1590098.693447347</v>
      </c>
      <c r="R33" s="647">
        <f t="shared" si="15"/>
        <v>1051221.453447347</v>
      </c>
      <c r="S33" s="647">
        <f t="shared" si="16"/>
        <v>815000</v>
      </c>
      <c r="T33" s="25">
        <f t="shared" si="17"/>
        <v>210382.89710434596</v>
      </c>
      <c r="U33" s="28"/>
      <c r="V33" s="461">
        <f t="shared" si="18"/>
        <v>1624463.8173120001</v>
      </c>
      <c r="W33" s="28"/>
      <c r="X33" s="461">
        <f t="shared" si="19"/>
        <v>144229.33852183688</v>
      </c>
      <c r="Y33" s="28">
        <f t="shared" si="19"/>
        <v>30297.046984319997</v>
      </c>
      <c r="Z33" s="28">
        <f t="shared" si="19"/>
        <v>257668.69386204969</v>
      </c>
      <c r="AA33" s="650">
        <f t="shared" si="20"/>
        <v>-3597206.4305511187</v>
      </c>
      <c r="AB33" s="651">
        <f t="shared" si="21"/>
        <v>-18833073.96433904</v>
      </c>
      <c r="AG33" s="448">
        <f>IF($E33&lt;&gt;0,VLOOKUP($D33,Valoración_Eq_REG!$D$4:$I$157,Valoración_Eq_REG!$E$2,FALSE)*$E$4,0)</f>
        <v>886751.4365867991</v>
      </c>
      <c r="AH33" s="448">
        <f>IF($E33&lt;&gt;0,VLOOKUP($D33,Valoración_Eq_REG!$D$4:$I$157,Valoración_Eq_REG!$F$2,FALSE)*$E$4,0)</f>
        <v>538877.24</v>
      </c>
      <c r="AJ33" s="484">
        <f>+'[60]Evaluacion Economica'!$L$25</f>
        <v>3</v>
      </c>
      <c r="AK33" s="448">
        <f>+'[60]Evaluacion Economica'!$R$25</f>
        <v>9</v>
      </c>
      <c r="AL33" s="484">
        <f>+'[60]P_Evaluacion Economica'!$L$27</f>
        <v>3</v>
      </c>
      <c r="AM33" s="448">
        <f>+'[60]P_Evaluacion Economica'!$Q$27</f>
        <v>6</v>
      </c>
      <c r="AN33" s="34" t="str">
        <f>+[60]Datos!$C$2</f>
        <v>Carlos Casares</v>
      </c>
      <c r="AO33" s="25" t="str">
        <f>IF($E33&lt;&gt;0,VLOOKUP($E33,Tabla13[],Inputs_costos!$D$1,FALSE),"-")</f>
        <v>CARLOS CASARES</v>
      </c>
      <c r="AP33" s="28" t="str">
        <f>IF($E33&lt;&gt;0,VLOOKUP($D33,'Costo Social x localidad'!$B$2:$M$156,1,FALSE),"-")</f>
        <v>CARLOS CASARES</v>
      </c>
    </row>
    <row r="34" spans="1:42">
      <c r="A34" s="917"/>
      <c r="B34" s="887"/>
      <c r="C34" s="478" t="str">
        <f t="shared" si="11"/>
        <v>ok</v>
      </c>
      <c r="D34" s="24" t="str">
        <f>IF(E34&lt;&gt;0,VLOOKUP(E34,Pobl_adoptada!$B$5:$C$158,2,FALSE),"-")</f>
        <v>-</v>
      </c>
      <c r="E34" s="865"/>
      <c r="F34" s="9"/>
      <c r="G34" s="580"/>
      <c r="H34" s="34">
        <f t="shared" si="22"/>
        <v>0</v>
      </c>
      <c r="I34" s="465"/>
      <c r="J34" s="581">
        <f t="shared" si="23"/>
        <v>0</v>
      </c>
      <c r="K34" s="10"/>
      <c r="L34" s="10"/>
      <c r="M34" s="19">
        <f t="shared" si="9"/>
        <v>0</v>
      </c>
      <c r="N34" s="465">
        <f t="shared" ref="N34:N47" si="24">+$AD13/$AD$27*$N$49</f>
        <v>0</v>
      </c>
      <c r="O34" s="25">
        <f t="shared" ref="O34:O47" si="25">IF(N34-AG34&lt;0,0,N34-AG34)</f>
        <v>0</v>
      </c>
      <c r="P34" s="25">
        <f t="shared" si="13"/>
        <v>0</v>
      </c>
      <c r="Q34" s="465">
        <f t="shared" si="14"/>
        <v>0</v>
      </c>
      <c r="R34" s="647">
        <f t="shared" ref="R34:R47" si="26">IF(Q34-AH34&lt;0,0,Q34-AH34)</f>
        <v>0</v>
      </c>
      <c r="S34" s="647">
        <f t="shared" si="16"/>
        <v>0</v>
      </c>
      <c r="T34" s="25">
        <f t="shared" si="17"/>
        <v>0</v>
      </c>
      <c r="U34" s="28"/>
      <c r="V34" s="461">
        <f t="shared" si="18"/>
        <v>0</v>
      </c>
      <c r="W34" s="28"/>
      <c r="X34" s="461">
        <f t="shared" ref="X34:Z34" si="27">+X13</f>
        <v>0</v>
      </c>
      <c r="Y34" s="28">
        <f t="shared" si="27"/>
        <v>0</v>
      </c>
      <c r="Z34" s="28">
        <f t="shared" si="27"/>
        <v>0</v>
      </c>
      <c r="AA34" s="650">
        <f t="shared" ref="AA34:AA47" si="28">(-O34-R34)/(1+0.12)+PV(12%,20,P34)+PV(12%,20,T34)-(O34*0.5)/(1+0.12)^10-S34/(1+0.12)^10</f>
        <v>0</v>
      </c>
      <c r="AB34" s="651">
        <f t="shared" ref="AB34:AB47" si="29">M34+AA34</f>
        <v>0</v>
      </c>
      <c r="AG34" s="448">
        <f>IF($E34&lt;&gt;0,VLOOKUP($D34,Valoración_Eq_REG!$D$4:$I$157,Valoración_Eq_REG!$E$2,FALSE)*$E$4,0)</f>
        <v>0</v>
      </c>
      <c r="AH34" s="448">
        <f>IF($E34&lt;&gt;0,VLOOKUP($D34,Valoración_Eq_REG!$D$4:$I$157,Valoración_Eq_REG!$F$2,FALSE)*$E$4,0)</f>
        <v>0</v>
      </c>
      <c r="AJ34" s="484"/>
      <c r="AK34" s="448"/>
      <c r="AL34" s="484"/>
      <c r="AM34" s="448"/>
      <c r="AN34" s="34" t="s">
        <v>787</v>
      </c>
      <c r="AO34" s="25" t="str">
        <f>IF($E34&lt;&gt;0,VLOOKUP($E34,Tabla13[],Inputs_costos!$D$1,FALSE),"-")</f>
        <v>-</v>
      </c>
      <c r="AP34" s="28" t="str">
        <f>IF($E34&lt;&gt;0,VLOOKUP($D34,'Costo Social x localidad'!$B$2:$M$156,1,FALSE),"-")</f>
        <v>-</v>
      </c>
    </row>
    <row r="35" spans="1:42">
      <c r="A35" s="917"/>
      <c r="B35" s="887"/>
      <c r="C35" s="478" t="str">
        <f t="shared" si="11"/>
        <v>ok</v>
      </c>
      <c r="D35" s="24" t="str">
        <f>IF(E35&lt;&gt;0,VLOOKUP(E35,Pobl_adoptada!$B$5:$C$158,2,FALSE),"-")</f>
        <v>-</v>
      </c>
      <c r="E35" s="865"/>
      <c r="F35" s="9"/>
      <c r="G35" s="580"/>
      <c r="H35" s="34">
        <f t="shared" si="22"/>
        <v>0</v>
      </c>
      <c r="I35" s="465"/>
      <c r="J35" s="581">
        <f t="shared" si="23"/>
        <v>0</v>
      </c>
      <c r="K35" s="10"/>
      <c r="L35" s="10"/>
      <c r="M35" s="19">
        <f t="shared" si="9"/>
        <v>0</v>
      </c>
      <c r="N35" s="465">
        <f t="shared" si="24"/>
        <v>0</v>
      </c>
      <c r="O35" s="25">
        <f t="shared" si="25"/>
        <v>0</v>
      </c>
      <c r="P35" s="25">
        <f t="shared" si="13"/>
        <v>0</v>
      </c>
      <c r="Q35" s="465">
        <f t="shared" si="14"/>
        <v>0</v>
      </c>
      <c r="R35" s="647">
        <f t="shared" si="26"/>
        <v>0</v>
      </c>
      <c r="S35" s="647">
        <f t="shared" si="16"/>
        <v>0</v>
      </c>
      <c r="T35" s="25">
        <f t="shared" si="17"/>
        <v>0</v>
      </c>
      <c r="U35" s="28"/>
      <c r="V35" s="461">
        <f t="shared" si="18"/>
        <v>0</v>
      </c>
      <c r="W35" s="28"/>
      <c r="X35" s="461">
        <f t="shared" ref="X35:Z35" si="30">+X14</f>
        <v>0</v>
      </c>
      <c r="Y35" s="28">
        <f t="shared" si="30"/>
        <v>0</v>
      </c>
      <c r="Z35" s="28">
        <f t="shared" si="30"/>
        <v>0</v>
      </c>
      <c r="AA35" s="650">
        <f t="shared" si="28"/>
        <v>0</v>
      </c>
      <c r="AB35" s="651">
        <f t="shared" si="29"/>
        <v>0</v>
      </c>
      <c r="AG35" s="448">
        <f>IF($E35&lt;&gt;0,VLOOKUP($D35,Valoración_Eq_REG!$D$4:$I$157,Valoración_Eq_REG!$E$2,FALSE)*$E$4,0)</f>
        <v>0</v>
      </c>
      <c r="AH35" s="448">
        <f>IF($E35&lt;&gt;0,VLOOKUP($D35,Valoración_Eq_REG!$D$4:$I$157,Valoración_Eq_REG!$F$2,FALSE)*$E$4,0)</f>
        <v>0</v>
      </c>
      <c r="AJ35" s="484"/>
      <c r="AK35" s="448"/>
      <c r="AL35" s="484"/>
      <c r="AM35" s="448"/>
      <c r="AN35" s="34" t="s">
        <v>787</v>
      </c>
      <c r="AO35" s="25" t="str">
        <f>IF($E35&lt;&gt;0,VLOOKUP($E35,Tabla13[],Inputs_costos!$D$1,FALSE),"-")</f>
        <v>-</v>
      </c>
      <c r="AP35" s="28" t="str">
        <f>IF($E35&lt;&gt;0,VLOOKUP($D35,'Costo Social x localidad'!$B$2:$M$156,1,FALSE),"-")</f>
        <v>-</v>
      </c>
    </row>
    <row r="36" spans="1:42">
      <c r="A36" s="917"/>
      <c r="B36" s="887"/>
      <c r="C36" s="478" t="str">
        <f t="shared" si="11"/>
        <v>ok</v>
      </c>
      <c r="D36" s="24" t="str">
        <f>IF(E36&lt;&gt;0,VLOOKUP(E36,Pobl_adoptada!$B$5:$C$158,2,FALSE),"-")</f>
        <v>-</v>
      </c>
      <c r="E36" s="865"/>
      <c r="F36" s="9"/>
      <c r="G36" s="580"/>
      <c r="H36" s="34">
        <f t="shared" si="22"/>
        <v>0</v>
      </c>
      <c r="I36" s="465"/>
      <c r="J36" s="581">
        <f t="shared" si="23"/>
        <v>0</v>
      </c>
      <c r="K36" s="10"/>
      <c r="L36" s="10"/>
      <c r="M36" s="19">
        <f t="shared" si="9"/>
        <v>0</v>
      </c>
      <c r="N36" s="465">
        <f t="shared" si="24"/>
        <v>0</v>
      </c>
      <c r="O36" s="25">
        <f t="shared" si="25"/>
        <v>0</v>
      </c>
      <c r="P36" s="25">
        <f t="shared" si="13"/>
        <v>0</v>
      </c>
      <c r="Q36" s="465">
        <f t="shared" si="14"/>
        <v>0</v>
      </c>
      <c r="R36" s="647">
        <f t="shared" si="26"/>
        <v>0</v>
      </c>
      <c r="S36" s="647">
        <f t="shared" si="16"/>
        <v>0</v>
      </c>
      <c r="T36" s="25">
        <f t="shared" si="17"/>
        <v>0</v>
      </c>
      <c r="U36" s="28"/>
      <c r="V36" s="461">
        <f t="shared" si="18"/>
        <v>0</v>
      </c>
      <c r="W36" s="28"/>
      <c r="X36" s="461">
        <f t="shared" ref="X36:Z36" si="31">+X15</f>
        <v>0</v>
      </c>
      <c r="Y36" s="28">
        <f t="shared" si="31"/>
        <v>0</v>
      </c>
      <c r="Z36" s="28">
        <f t="shared" si="31"/>
        <v>0</v>
      </c>
      <c r="AA36" s="650">
        <f t="shared" si="28"/>
        <v>0</v>
      </c>
      <c r="AB36" s="651">
        <f t="shared" si="29"/>
        <v>0</v>
      </c>
      <c r="AG36" s="448">
        <f>IF($E36&lt;&gt;0,VLOOKUP($D36,Valoración_Eq_REG!$D$4:$I$157,Valoración_Eq_REG!$E$2,FALSE)*$E$4,0)</f>
        <v>0</v>
      </c>
      <c r="AH36" s="448">
        <f>IF($E36&lt;&gt;0,VLOOKUP($D36,Valoración_Eq_REG!$D$4:$I$157,Valoración_Eq_REG!$F$2,FALSE)*$E$4,0)</f>
        <v>0</v>
      </c>
      <c r="AJ36" s="484"/>
      <c r="AK36" s="448"/>
      <c r="AL36" s="484"/>
      <c r="AM36" s="448"/>
      <c r="AN36" s="34" t="s">
        <v>787</v>
      </c>
      <c r="AO36" s="25" t="str">
        <f>IF($E36&lt;&gt;0,VLOOKUP($E36,Tabla13[],Inputs_costos!$D$1,FALSE),"-")</f>
        <v>-</v>
      </c>
      <c r="AP36" s="28" t="str">
        <f>IF($E36&lt;&gt;0,VLOOKUP($D36,'Costo Social x localidad'!$B$2:$M$156,1,FALSE),"-")</f>
        <v>-</v>
      </c>
    </row>
    <row r="37" spans="1:42">
      <c r="A37" s="917"/>
      <c r="B37" s="887"/>
      <c r="C37" s="478" t="str">
        <f t="shared" si="11"/>
        <v>ok</v>
      </c>
      <c r="D37" s="24" t="str">
        <f>IF(E37&lt;&gt;0,VLOOKUP(E37,Pobl_adoptada!$B$5:$C$158,2,FALSE),"-")</f>
        <v>-</v>
      </c>
      <c r="E37" s="865"/>
      <c r="F37" s="9"/>
      <c r="G37" s="580"/>
      <c r="H37" s="34">
        <f t="shared" si="22"/>
        <v>0</v>
      </c>
      <c r="I37" s="465"/>
      <c r="J37" s="581">
        <f t="shared" si="23"/>
        <v>0</v>
      </c>
      <c r="K37" s="10"/>
      <c r="L37" s="10"/>
      <c r="M37" s="19">
        <f t="shared" si="9"/>
        <v>0</v>
      </c>
      <c r="N37" s="465">
        <f t="shared" si="24"/>
        <v>0</v>
      </c>
      <c r="O37" s="25">
        <f t="shared" si="25"/>
        <v>0</v>
      </c>
      <c r="P37" s="25">
        <f t="shared" si="13"/>
        <v>0</v>
      </c>
      <c r="Q37" s="465">
        <f t="shared" si="14"/>
        <v>0</v>
      </c>
      <c r="R37" s="647">
        <f t="shared" si="26"/>
        <v>0</v>
      </c>
      <c r="S37" s="647">
        <f t="shared" si="16"/>
        <v>0</v>
      </c>
      <c r="T37" s="25">
        <f t="shared" si="17"/>
        <v>0</v>
      </c>
      <c r="U37" s="28"/>
      <c r="V37" s="461">
        <f t="shared" si="18"/>
        <v>0</v>
      </c>
      <c r="W37" s="28"/>
      <c r="X37" s="461">
        <f t="shared" ref="X37:Z37" si="32">+X16</f>
        <v>0</v>
      </c>
      <c r="Y37" s="28">
        <f t="shared" si="32"/>
        <v>0</v>
      </c>
      <c r="Z37" s="28">
        <f t="shared" si="32"/>
        <v>0</v>
      </c>
      <c r="AA37" s="650">
        <f t="shared" si="28"/>
        <v>0</v>
      </c>
      <c r="AB37" s="651">
        <f t="shared" si="29"/>
        <v>0</v>
      </c>
      <c r="AG37" s="448">
        <f>IF($E37&lt;&gt;0,VLOOKUP($D37,Valoración_Eq_REG!$D$4:$I$157,Valoración_Eq_REG!$E$2,FALSE)*$E$4,0)</f>
        <v>0</v>
      </c>
      <c r="AH37" s="448">
        <f>IF($E37&lt;&gt;0,VLOOKUP($D37,Valoración_Eq_REG!$D$4:$I$157,Valoración_Eq_REG!$F$2,FALSE)*$E$4,0)</f>
        <v>0</v>
      </c>
      <c r="AJ37" s="484"/>
      <c r="AK37" s="448"/>
      <c r="AL37" s="484"/>
      <c r="AM37" s="448"/>
      <c r="AN37" s="34" t="s">
        <v>787</v>
      </c>
      <c r="AO37" s="25" t="str">
        <f>IF($E37&lt;&gt;0,VLOOKUP($E37,Tabla13[],Inputs_costos!$D$1,FALSE),"-")</f>
        <v>-</v>
      </c>
      <c r="AP37" s="28" t="str">
        <f>IF($E37&lt;&gt;0,VLOOKUP($D37,'Costo Social x localidad'!$B$2:$M$156,1,FALSE),"-")</f>
        <v>-</v>
      </c>
    </row>
    <row r="38" spans="1:42">
      <c r="A38" s="917"/>
      <c r="B38" s="887"/>
      <c r="C38" s="478" t="str">
        <f t="shared" si="11"/>
        <v>ok</v>
      </c>
      <c r="D38" s="24" t="str">
        <f>IF(E38&lt;&gt;0,VLOOKUP(E38,Pobl_adoptada!$B$5:$C$158,2,FALSE),"-")</f>
        <v>-</v>
      </c>
      <c r="E38" s="865"/>
      <c r="F38" s="9"/>
      <c r="G38" s="580"/>
      <c r="H38" s="34">
        <f t="shared" si="22"/>
        <v>0</v>
      </c>
      <c r="I38" s="465"/>
      <c r="J38" s="581">
        <f t="shared" si="23"/>
        <v>0</v>
      </c>
      <c r="K38" s="10"/>
      <c r="L38" s="10"/>
      <c r="M38" s="19">
        <f t="shared" si="9"/>
        <v>0</v>
      </c>
      <c r="N38" s="465">
        <f t="shared" si="24"/>
        <v>0</v>
      </c>
      <c r="O38" s="25">
        <f t="shared" si="25"/>
        <v>0</v>
      </c>
      <c r="P38" s="25">
        <f t="shared" si="13"/>
        <v>0</v>
      </c>
      <c r="Q38" s="465">
        <f t="shared" si="14"/>
        <v>0</v>
      </c>
      <c r="R38" s="647">
        <f t="shared" si="26"/>
        <v>0</v>
      </c>
      <c r="S38" s="647">
        <f t="shared" si="16"/>
        <v>0</v>
      </c>
      <c r="T38" s="25">
        <f t="shared" si="17"/>
        <v>0</v>
      </c>
      <c r="U38" s="28"/>
      <c r="V38" s="461">
        <f t="shared" si="18"/>
        <v>0</v>
      </c>
      <c r="W38" s="28"/>
      <c r="X38" s="461">
        <f t="shared" ref="X38:Z38" si="33">+X17</f>
        <v>0</v>
      </c>
      <c r="Y38" s="28">
        <f t="shared" si="33"/>
        <v>0</v>
      </c>
      <c r="Z38" s="28">
        <f t="shared" si="33"/>
        <v>0</v>
      </c>
      <c r="AA38" s="650">
        <f t="shared" si="28"/>
        <v>0</v>
      </c>
      <c r="AB38" s="651">
        <f t="shared" si="29"/>
        <v>0</v>
      </c>
      <c r="AG38" s="448">
        <f>IF($E38&lt;&gt;0,VLOOKUP($D38,Valoración_Eq_REG!$D$4:$I$157,Valoración_Eq_REG!$E$2,FALSE)*$E$4,0)</f>
        <v>0</v>
      </c>
      <c r="AH38" s="448">
        <f>IF($E38&lt;&gt;0,VLOOKUP($D38,Valoración_Eq_REG!$D$4:$I$157,Valoración_Eq_REG!$F$2,FALSE)*$E$4,0)</f>
        <v>0</v>
      </c>
      <c r="AJ38" s="484"/>
      <c r="AK38" s="448"/>
      <c r="AL38" s="484"/>
      <c r="AM38" s="448"/>
      <c r="AN38" s="34" t="s">
        <v>787</v>
      </c>
      <c r="AO38" s="25" t="str">
        <f>IF($E38&lt;&gt;0,VLOOKUP($E38,Tabla13[],Inputs_costos!$D$1,FALSE),"-")</f>
        <v>-</v>
      </c>
      <c r="AP38" s="28" t="str">
        <f>IF($E38&lt;&gt;0,VLOOKUP($D38,'Costo Social x localidad'!$B$2:$M$156,1,FALSE),"-")</f>
        <v>-</v>
      </c>
    </row>
    <row r="39" spans="1:42">
      <c r="A39" s="917"/>
      <c r="B39" s="887"/>
      <c r="C39" s="478" t="str">
        <f t="shared" si="11"/>
        <v>ok</v>
      </c>
      <c r="D39" s="24" t="str">
        <f>IF(E39&lt;&gt;0,VLOOKUP(E39,Pobl_adoptada!$B$5:$C$158,2,FALSE),"-")</f>
        <v>-</v>
      </c>
      <c r="E39" s="865"/>
      <c r="F39" s="9"/>
      <c r="G39" s="580"/>
      <c r="H39" s="34">
        <f t="shared" si="22"/>
        <v>0</v>
      </c>
      <c r="I39" s="465"/>
      <c r="J39" s="581">
        <f t="shared" si="23"/>
        <v>0</v>
      </c>
      <c r="K39" s="10"/>
      <c r="L39" s="10"/>
      <c r="M39" s="19">
        <f t="shared" si="9"/>
        <v>0</v>
      </c>
      <c r="N39" s="465">
        <f t="shared" si="24"/>
        <v>0</v>
      </c>
      <c r="O39" s="25">
        <f t="shared" si="25"/>
        <v>0</v>
      </c>
      <c r="P39" s="25">
        <f t="shared" si="13"/>
        <v>0</v>
      </c>
      <c r="Q39" s="465">
        <f t="shared" si="14"/>
        <v>0</v>
      </c>
      <c r="R39" s="647">
        <f t="shared" si="26"/>
        <v>0</v>
      </c>
      <c r="S39" s="647">
        <f t="shared" si="16"/>
        <v>0</v>
      </c>
      <c r="T39" s="25">
        <f t="shared" si="17"/>
        <v>0</v>
      </c>
      <c r="U39" s="28"/>
      <c r="V39" s="461">
        <f t="shared" si="18"/>
        <v>0</v>
      </c>
      <c r="W39" s="28"/>
      <c r="X39" s="461">
        <f t="shared" ref="X39:Z39" si="34">+X18</f>
        <v>0</v>
      </c>
      <c r="Y39" s="28">
        <f t="shared" si="34"/>
        <v>0</v>
      </c>
      <c r="Z39" s="28">
        <f t="shared" si="34"/>
        <v>0</v>
      </c>
      <c r="AA39" s="650">
        <f t="shared" si="28"/>
        <v>0</v>
      </c>
      <c r="AB39" s="651">
        <f t="shared" si="29"/>
        <v>0</v>
      </c>
      <c r="AG39" s="448">
        <f>IF($E39&lt;&gt;0,VLOOKUP($D39,Valoración_Eq_REG!$D$4:$I$157,Valoración_Eq_REG!$E$2,FALSE)*$E$4,0)</f>
        <v>0</v>
      </c>
      <c r="AH39" s="448">
        <f>IF($E39&lt;&gt;0,VLOOKUP($D39,Valoración_Eq_REG!$D$4:$I$157,Valoración_Eq_REG!$F$2,FALSE)*$E$4,0)</f>
        <v>0</v>
      </c>
      <c r="AJ39" s="484"/>
      <c r="AK39" s="448"/>
      <c r="AL39" s="484"/>
      <c r="AM39" s="448"/>
      <c r="AN39" s="34" t="s">
        <v>787</v>
      </c>
      <c r="AO39" s="25" t="str">
        <f>IF($E39&lt;&gt;0,VLOOKUP($E39,Tabla13[],Inputs_costos!$D$1,FALSE),"-")</f>
        <v>-</v>
      </c>
      <c r="AP39" s="28" t="str">
        <f>IF($E39&lt;&gt;0,VLOOKUP($D39,'Costo Social x localidad'!$B$2:$M$156,1,FALSE),"-")</f>
        <v>-</v>
      </c>
    </row>
    <row r="40" spans="1:42">
      <c r="A40" s="917"/>
      <c r="B40" s="887"/>
      <c r="C40" s="478" t="str">
        <f t="shared" si="11"/>
        <v>ok</v>
      </c>
      <c r="D40" s="24" t="str">
        <f>IF(E40&lt;&gt;0,VLOOKUP(E40,Pobl_adoptada!$B$5:$C$158,2,FALSE),"-")</f>
        <v>-</v>
      </c>
      <c r="E40" s="865"/>
      <c r="F40" s="9"/>
      <c r="G40" s="580"/>
      <c r="H40" s="34">
        <f t="shared" si="22"/>
        <v>0</v>
      </c>
      <c r="I40" s="465"/>
      <c r="J40" s="581">
        <f t="shared" si="23"/>
        <v>0</v>
      </c>
      <c r="K40" s="10"/>
      <c r="L40" s="10"/>
      <c r="M40" s="19">
        <f t="shared" si="9"/>
        <v>0</v>
      </c>
      <c r="N40" s="465">
        <f t="shared" si="24"/>
        <v>0</v>
      </c>
      <c r="O40" s="25">
        <f t="shared" si="25"/>
        <v>0</v>
      </c>
      <c r="P40" s="25">
        <f t="shared" si="13"/>
        <v>0</v>
      </c>
      <c r="Q40" s="465">
        <f t="shared" si="14"/>
        <v>0</v>
      </c>
      <c r="R40" s="647">
        <f t="shared" si="26"/>
        <v>0</v>
      </c>
      <c r="S40" s="647">
        <f t="shared" si="16"/>
        <v>0</v>
      </c>
      <c r="T40" s="25">
        <f t="shared" si="17"/>
        <v>0</v>
      </c>
      <c r="U40" s="28"/>
      <c r="V40" s="461">
        <f t="shared" si="18"/>
        <v>0</v>
      </c>
      <c r="W40" s="28"/>
      <c r="X40" s="461">
        <f t="shared" ref="X40:Z40" si="35">+X19</f>
        <v>0</v>
      </c>
      <c r="Y40" s="28">
        <f t="shared" si="35"/>
        <v>0</v>
      </c>
      <c r="Z40" s="28">
        <f t="shared" si="35"/>
        <v>0</v>
      </c>
      <c r="AA40" s="650">
        <f t="shared" si="28"/>
        <v>0</v>
      </c>
      <c r="AB40" s="651">
        <f t="shared" si="29"/>
        <v>0</v>
      </c>
      <c r="AG40" s="448">
        <f>IF($E40&lt;&gt;0,VLOOKUP($D40,Valoración_Eq_REG!$D$4:$I$157,Valoración_Eq_REG!$E$2,FALSE)*$E$4,0)</f>
        <v>0</v>
      </c>
      <c r="AH40" s="448">
        <f>IF($E40&lt;&gt;0,VLOOKUP($D40,Valoración_Eq_REG!$D$4:$I$157,Valoración_Eq_REG!$F$2,FALSE)*$E$4,0)</f>
        <v>0</v>
      </c>
      <c r="AJ40" s="484"/>
      <c r="AK40" s="448"/>
      <c r="AL40" s="484"/>
      <c r="AM40" s="448"/>
      <c r="AN40" s="34" t="s">
        <v>787</v>
      </c>
      <c r="AO40" s="25" t="str">
        <f>IF($E40&lt;&gt;0,VLOOKUP($E40,Tabla13[],Inputs_costos!$D$1,FALSE),"-")</f>
        <v>-</v>
      </c>
      <c r="AP40" s="28" t="str">
        <f>IF($E40&lt;&gt;0,VLOOKUP($D40,'Costo Social x localidad'!$B$2:$M$156,1,FALSE),"-")</f>
        <v>-</v>
      </c>
    </row>
    <row r="41" spans="1:42">
      <c r="A41" s="917"/>
      <c r="B41" s="887"/>
      <c r="C41" s="478" t="str">
        <f t="shared" si="11"/>
        <v>ok</v>
      </c>
      <c r="D41" s="24" t="str">
        <f>IF(E41&lt;&gt;0,VLOOKUP(E41,Pobl_adoptada!$B$5:$C$158,2,FALSE),"-")</f>
        <v>-</v>
      </c>
      <c r="E41" s="865"/>
      <c r="F41" s="9"/>
      <c r="G41" s="580"/>
      <c r="H41" s="34">
        <f t="shared" si="22"/>
        <v>0</v>
      </c>
      <c r="I41" s="465"/>
      <c r="J41" s="581">
        <f t="shared" si="23"/>
        <v>0</v>
      </c>
      <c r="K41" s="10"/>
      <c r="L41" s="10"/>
      <c r="M41" s="19">
        <f t="shared" si="9"/>
        <v>0</v>
      </c>
      <c r="N41" s="465">
        <f t="shared" si="24"/>
        <v>0</v>
      </c>
      <c r="O41" s="25">
        <f t="shared" si="25"/>
        <v>0</v>
      </c>
      <c r="P41" s="25">
        <f t="shared" si="13"/>
        <v>0</v>
      </c>
      <c r="Q41" s="465">
        <f t="shared" si="14"/>
        <v>0</v>
      </c>
      <c r="R41" s="647">
        <f t="shared" si="26"/>
        <v>0</v>
      </c>
      <c r="S41" s="647">
        <f t="shared" si="16"/>
        <v>0</v>
      </c>
      <c r="T41" s="25">
        <f t="shared" si="17"/>
        <v>0</v>
      </c>
      <c r="U41" s="28"/>
      <c r="V41" s="461">
        <f t="shared" si="18"/>
        <v>0</v>
      </c>
      <c r="W41" s="28"/>
      <c r="X41" s="461">
        <f t="shared" ref="X41:Z41" si="36">+X20</f>
        <v>0</v>
      </c>
      <c r="Y41" s="28">
        <f t="shared" si="36"/>
        <v>0</v>
      </c>
      <c r="Z41" s="28">
        <f t="shared" si="36"/>
        <v>0</v>
      </c>
      <c r="AA41" s="650">
        <f t="shared" si="28"/>
        <v>0</v>
      </c>
      <c r="AB41" s="651">
        <f t="shared" si="29"/>
        <v>0</v>
      </c>
      <c r="AG41" s="448">
        <f>IF($E41&lt;&gt;0,VLOOKUP($D41,Valoración_Eq_REG!$D$4:$I$157,Valoración_Eq_REG!$E$2,FALSE)*$E$4,0)</f>
        <v>0</v>
      </c>
      <c r="AH41" s="448">
        <f>IF($E41&lt;&gt;0,VLOOKUP($D41,Valoración_Eq_REG!$D$4:$I$157,Valoración_Eq_REG!$F$2,FALSE)*$E$4,0)</f>
        <v>0</v>
      </c>
      <c r="AJ41" s="484"/>
      <c r="AK41" s="448"/>
      <c r="AL41" s="484"/>
      <c r="AM41" s="448"/>
      <c r="AN41" s="34" t="s">
        <v>787</v>
      </c>
      <c r="AO41" s="25" t="str">
        <f>IF($E41&lt;&gt;0,VLOOKUP($E41,Tabla13[],Inputs_costos!$D$1,FALSE),"-")</f>
        <v>-</v>
      </c>
      <c r="AP41" s="28" t="str">
        <f>IF($E41&lt;&gt;0,VLOOKUP($D41,'Costo Social x localidad'!$B$2:$M$156,1,FALSE),"-")</f>
        <v>-</v>
      </c>
    </row>
    <row r="42" spans="1:42">
      <c r="A42" s="917"/>
      <c r="B42" s="887"/>
      <c r="C42" s="478" t="str">
        <f t="shared" si="11"/>
        <v>ok</v>
      </c>
      <c r="D42" s="24" t="str">
        <f>IF(E42&lt;&gt;0,VLOOKUP(E42,Pobl_adoptada!$B$5:$C$158,2,FALSE),"-")</f>
        <v>-</v>
      </c>
      <c r="E42" s="865"/>
      <c r="F42" s="9"/>
      <c r="G42" s="580"/>
      <c r="H42" s="34">
        <f t="shared" si="22"/>
        <v>0</v>
      </c>
      <c r="I42" s="465"/>
      <c r="J42" s="581">
        <f t="shared" si="23"/>
        <v>0</v>
      </c>
      <c r="K42" s="10"/>
      <c r="L42" s="10"/>
      <c r="M42" s="19">
        <f t="shared" si="9"/>
        <v>0</v>
      </c>
      <c r="N42" s="465">
        <f t="shared" si="24"/>
        <v>0</v>
      </c>
      <c r="O42" s="25">
        <f t="shared" si="25"/>
        <v>0</v>
      </c>
      <c r="P42" s="25">
        <f t="shared" si="13"/>
        <v>0</v>
      </c>
      <c r="Q42" s="465">
        <f t="shared" si="14"/>
        <v>0</v>
      </c>
      <c r="R42" s="647">
        <f t="shared" si="26"/>
        <v>0</v>
      </c>
      <c r="S42" s="647">
        <f t="shared" si="16"/>
        <v>0</v>
      </c>
      <c r="T42" s="25">
        <f t="shared" si="17"/>
        <v>0</v>
      </c>
      <c r="U42" s="28"/>
      <c r="V42" s="461">
        <f t="shared" si="18"/>
        <v>0</v>
      </c>
      <c r="W42" s="28"/>
      <c r="X42" s="461">
        <f t="shared" ref="X42:Z42" si="37">+X21</f>
        <v>0</v>
      </c>
      <c r="Y42" s="28">
        <f t="shared" si="37"/>
        <v>0</v>
      </c>
      <c r="Z42" s="28">
        <f t="shared" si="37"/>
        <v>0</v>
      </c>
      <c r="AA42" s="650">
        <f t="shared" si="28"/>
        <v>0</v>
      </c>
      <c r="AB42" s="651">
        <f t="shared" si="29"/>
        <v>0</v>
      </c>
      <c r="AG42" s="448">
        <f>IF($E42&lt;&gt;0,VLOOKUP($D42,Valoración_Eq_REG!$D$4:$I$157,Valoración_Eq_REG!$E$2,FALSE)*$E$4,0)</f>
        <v>0</v>
      </c>
      <c r="AH42" s="448">
        <f>IF($E42&lt;&gt;0,VLOOKUP($D42,Valoración_Eq_REG!$D$4:$I$157,Valoración_Eq_REG!$F$2,FALSE)*$E$4,0)</f>
        <v>0</v>
      </c>
      <c r="AJ42" s="484"/>
      <c r="AK42" s="448"/>
      <c r="AL42" s="484"/>
      <c r="AM42" s="448"/>
      <c r="AN42" s="34" t="s">
        <v>787</v>
      </c>
      <c r="AO42" s="25" t="str">
        <f>IF($E42&lt;&gt;0,VLOOKUP($E42,Tabla13[],Inputs_costos!$D$1,FALSE),"-")</f>
        <v>-</v>
      </c>
      <c r="AP42" s="28" t="str">
        <f>IF($E42&lt;&gt;0,VLOOKUP($D42,'Costo Social x localidad'!$B$2:$M$156,1,FALSE),"-")</f>
        <v>-</v>
      </c>
    </row>
    <row r="43" spans="1:42">
      <c r="A43" s="917"/>
      <c r="B43" s="887"/>
      <c r="C43" s="478" t="str">
        <f t="shared" si="11"/>
        <v>ok</v>
      </c>
      <c r="D43" s="24" t="str">
        <f>IF(E43&lt;&gt;0,VLOOKUP(E43,Pobl_adoptada!$B$5:$C$158,2,FALSE),"-")</f>
        <v>-</v>
      </c>
      <c r="E43" s="865"/>
      <c r="F43" s="9"/>
      <c r="G43" s="580"/>
      <c r="H43" s="34">
        <f t="shared" si="22"/>
        <v>0</v>
      </c>
      <c r="I43" s="465"/>
      <c r="J43" s="581">
        <f t="shared" si="23"/>
        <v>0</v>
      </c>
      <c r="K43" s="10"/>
      <c r="L43" s="10"/>
      <c r="M43" s="19">
        <f t="shared" si="9"/>
        <v>0</v>
      </c>
      <c r="N43" s="465">
        <f t="shared" si="24"/>
        <v>0</v>
      </c>
      <c r="O43" s="25">
        <f t="shared" si="25"/>
        <v>0</v>
      </c>
      <c r="P43" s="25">
        <f t="shared" si="13"/>
        <v>0</v>
      </c>
      <c r="Q43" s="465">
        <f t="shared" si="14"/>
        <v>0</v>
      </c>
      <c r="R43" s="647">
        <f t="shared" si="26"/>
        <v>0</v>
      </c>
      <c r="S43" s="647">
        <f t="shared" si="16"/>
        <v>0</v>
      </c>
      <c r="T43" s="25">
        <f t="shared" si="17"/>
        <v>0</v>
      </c>
      <c r="U43" s="28"/>
      <c r="V43" s="461">
        <f t="shared" si="18"/>
        <v>0</v>
      </c>
      <c r="W43" s="28"/>
      <c r="X43" s="461">
        <f t="shared" ref="X43:Z43" si="38">+X22</f>
        <v>0</v>
      </c>
      <c r="Y43" s="28">
        <f t="shared" si="38"/>
        <v>0</v>
      </c>
      <c r="Z43" s="28">
        <f t="shared" si="38"/>
        <v>0</v>
      </c>
      <c r="AA43" s="650">
        <f t="shared" si="28"/>
        <v>0</v>
      </c>
      <c r="AB43" s="651">
        <f t="shared" si="29"/>
        <v>0</v>
      </c>
      <c r="AG43" s="448">
        <f>IF($E43&lt;&gt;0,VLOOKUP($D43,Valoración_Eq_REG!$D$4:$I$157,Valoración_Eq_REG!$E$2,FALSE)*$E$4,0)</f>
        <v>0</v>
      </c>
      <c r="AH43" s="448">
        <f>IF($E43&lt;&gt;0,VLOOKUP($D43,Valoración_Eq_REG!$D$4:$I$157,Valoración_Eq_REG!$F$2,FALSE)*$E$4,0)</f>
        <v>0</v>
      </c>
      <c r="AJ43" s="484"/>
      <c r="AK43" s="448"/>
      <c r="AL43" s="484"/>
      <c r="AM43" s="448"/>
      <c r="AN43" s="34" t="s">
        <v>787</v>
      </c>
      <c r="AO43" s="25" t="str">
        <f>IF($E43&lt;&gt;0,VLOOKUP($E43,Tabla13[],Inputs_costos!$D$1,FALSE),"-")</f>
        <v>-</v>
      </c>
      <c r="AP43" s="28" t="str">
        <f>IF($E43&lt;&gt;0,VLOOKUP($D43,'Costo Social x localidad'!$B$2:$M$156,1,FALSE),"-")</f>
        <v>-</v>
      </c>
    </row>
    <row r="44" spans="1:42">
      <c r="A44" s="917"/>
      <c r="B44" s="887"/>
      <c r="C44" s="478" t="str">
        <f t="shared" si="11"/>
        <v>ok</v>
      </c>
      <c r="D44" s="24" t="str">
        <f>IF(E44&lt;&gt;0,VLOOKUP(E44,Pobl_adoptada!$B$5:$C$158,2,FALSE),"-")</f>
        <v>-</v>
      </c>
      <c r="E44" s="865"/>
      <c r="F44" s="9"/>
      <c r="G44" s="580"/>
      <c r="H44" s="34">
        <f t="shared" si="22"/>
        <v>0</v>
      </c>
      <c r="I44" s="465"/>
      <c r="J44" s="581">
        <f t="shared" si="23"/>
        <v>0</v>
      </c>
      <c r="K44" s="10"/>
      <c r="L44" s="10"/>
      <c r="M44" s="19">
        <f t="shared" si="9"/>
        <v>0</v>
      </c>
      <c r="N44" s="465">
        <f t="shared" si="24"/>
        <v>0</v>
      </c>
      <c r="O44" s="25">
        <f t="shared" si="25"/>
        <v>0</v>
      </c>
      <c r="P44" s="25">
        <f t="shared" si="13"/>
        <v>0</v>
      </c>
      <c r="Q44" s="465">
        <f t="shared" si="14"/>
        <v>0</v>
      </c>
      <c r="R44" s="647">
        <f t="shared" si="26"/>
        <v>0</v>
      </c>
      <c r="S44" s="647">
        <f t="shared" si="16"/>
        <v>0</v>
      </c>
      <c r="T44" s="25">
        <f t="shared" si="17"/>
        <v>0</v>
      </c>
      <c r="U44" s="28"/>
      <c r="V44" s="461">
        <f t="shared" si="18"/>
        <v>0</v>
      </c>
      <c r="W44" s="28"/>
      <c r="X44" s="461">
        <f t="shared" ref="X44:Z44" si="39">+X23</f>
        <v>0</v>
      </c>
      <c r="Y44" s="28">
        <f t="shared" si="39"/>
        <v>0</v>
      </c>
      <c r="Z44" s="28">
        <f t="shared" si="39"/>
        <v>0</v>
      </c>
      <c r="AA44" s="650">
        <f t="shared" si="28"/>
        <v>0</v>
      </c>
      <c r="AB44" s="651">
        <f t="shared" si="29"/>
        <v>0</v>
      </c>
      <c r="AG44" s="448">
        <f>IF($E44&lt;&gt;0,VLOOKUP($D44,Valoración_Eq_REG!$D$4:$I$157,Valoración_Eq_REG!$E$2,FALSE)*$E$4,0)</f>
        <v>0</v>
      </c>
      <c r="AH44" s="448">
        <f>IF($E44&lt;&gt;0,VLOOKUP($D44,Valoración_Eq_REG!$D$4:$I$157,Valoración_Eq_REG!$F$2,FALSE)*$E$4,0)</f>
        <v>0</v>
      </c>
      <c r="AJ44" s="484"/>
      <c r="AK44" s="448"/>
      <c r="AL44" s="484"/>
      <c r="AM44" s="448"/>
      <c r="AN44" s="34" t="s">
        <v>787</v>
      </c>
      <c r="AO44" s="25" t="str">
        <f>IF($E44&lt;&gt;0,VLOOKUP($E44,Tabla13[],Inputs_costos!$D$1,FALSE),"-")</f>
        <v>-</v>
      </c>
      <c r="AP44" s="28" t="str">
        <f>IF($E44&lt;&gt;0,VLOOKUP($D44,'Costo Social x localidad'!$B$2:$M$156,1,FALSE),"-")</f>
        <v>-</v>
      </c>
    </row>
    <row r="45" spans="1:42">
      <c r="A45" s="917"/>
      <c r="B45" s="887"/>
      <c r="C45" s="478" t="str">
        <f t="shared" si="11"/>
        <v>ok</v>
      </c>
      <c r="D45" s="24" t="str">
        <f>IF(E45&lt;&gt;0,VLOOKUP(E45,Pobl_adoptada!$B$5:$C$158,2,FALSE),"-")</f>
        <v>-</v>
      </c>
      <c r="E45" s="865"/>
      <c r="F45" s="9"/>
      <c r="G45" s="580"/>
      <c r="H45" s="34">
        <f t="shared" si="22"/>
        <v>0</v>
      </c>
      <c r="I45" s="465"/>
      <c r="J45" s="581">
        <f t="shared" si="23"/>
        <v>0</v>
      </c>
      <c r="K45" s="10"/>
      <c r="L45" s="10"/>
      <c r="M45" s="19">
        <f t="shared" si="9"/>
        <v>0</v>
      </c>
      <c r="N45" s="465">
        <f t="shared" si="24"/>
        <v>0</v>
      </c>
      <c r="O45" s="25">
        <f t="shared" si="25"/>
        <v>0</v>
      </c>
      <c r="P45" s="25">
        <f t="shared" si="13"/>
        <v>0</v>
      </c>
      <c r="Q45" s="465">
        <f t="shared" si="14"/>
        <v>0</v>
      </c>
      <c r="R45" s="647">
        <f t="shared" si="26"/>
        <v>0</v>
      </c>
      <c r="S45" s="647">
        <f t="shared" si="16"/>
        <v>0</v>
      </c>
      <c r="T45" s="25">
        <f t="shared" si="17"/>
        <v>0</v>
      </c>
      <c r="U45" s="28"/>
      <c r="V45" s="461">
        <f t="shared" si="18"/>
        <v>0</v>
      </c>
      <c r="W45" s="28"/>
      <c r="X45" s="461">
        <f t="shared" ref="X45:Z45" si="40">+X24</f>
        <v>0</v>
      </c>
      <c r="Y45" s="28">
        <f t="shared" si="40"/>
        <v>0</v>
      </c>
      <c r="Z45" s="28">
        <f t="shared" si="40"/>
        <v>0</v>
      </c>
      <c r="AA45" s="650">
        <f t="shared" si="28"/>
        <v>0</v>
      </c>
      <c r="AB45" s="651">
        <f t="shared" si="29"/>
        <v>0</v>
      </c>
      <c r="AG45" s="448">
        <f>IF($E45&lt;&gt;0,VLOOKUP($D45,Valoración_Eq_REG!$D$4:$I$157,Valoración_Eq_REG!$E$2,FALSE)*$E$4,0)</f>
        <v>0</v>
      </c>
      <c r="AH45" s="448">
        <f>IF($E45&lt;&gt;0,VLOOKUP($D45,Valoración_Eq_REG!$D$4:$I$157,Valoración_Eq_REG!$F$2,FALSE)*$E$4,0)</f>
        <v>0</v>
      </c>
      <c r="AJ45" s="484"/>
      <c r="AK45" s="448"/>
      <c r="AL45" s="484"/>
      <c r="AM45" s="448"/>
      <c r="AN45" s="34" t="s">
        <v>787</v>
      </c>
      <c r="AO45" s="25" t="str">
        <f>IF($E45&lt;&gt;0,VLOOKUP($E45,Tabla13[],Inputs_costos!$D$1,FALSE),"-")</f>
        <v>-</v>
      </c>
      <c r="AP45" s="28" t="str">
        <f>IF($E45&lt;&gt;0,VLOOKUP($D45,'Costo Social x localidad'!$B$2:$M$156,1,FALSE),"-")</f>
        <v>-</v>
      </c>
    </row>
    <row r="46" spans="1:42">
      <c r="A46" s="917"/>
      <c r="B46" s="887"/>
      <c r="C46" s="478" t="str">
        <f t="shared" si="11"/>
        <v>ok</v>
      </c>
      <c r="D46" s="24" t="str">
        <f>IF(E46&lt;&gt;0,VLOOKUP(E46,Pobl_adoptada!$B$5:$C$158,2,FALSE),"-")</f>
        <v>-</v>
      </c>
      <c r="E46" s="865"/>
      <c r="F46" s="9"/>
      <c r="G46" s="580"/>
      <c r="H46" s="34">
        <f>+($AC25/$AC27)*H48+G46</f>
        <v>0</v>
      </c>
      <c r="I46" s="465"/>
      <c r="J46" s="581">
        <f>+($AC25/$AC27)*J48+I46</f>
        <v>0</v>
      </c>
      <c r="K46" s="10"/>
      <c r="L46" s="10"/>
      <c r="M46" s="19">
        <f t="shared" si="9"/>
        <v>0</v>
      </c>
      <c r="N46" s="465">
        <f t="shared" si="24"/>
        <v>0</v>
      </c>
      <c r="O46" s="25">
        <f t="shared" si="25"/>
        <v>0</v>
      </c>
      <c r="P46" s="25">
        <f t="shared" si="13"/>
        <v>0</v>
      </c>
      <c r="Q46" s="465">
        <f t="shared" si="14"/>
        <v>0</v>
      </c>
      <c r="R46" s="647">
        <f t="shared" si="26"/>
        <v>0</v>
      </c>
      <c r="S46" s="647">
        <f t="shared" si="16"/>
        <v>0</v>
      </c>
      <c r="T46" s="25">
        <f t="shared" si="17"/>
        <v>0</v>
      </c>
      <c r="U46" s="458"/>
      <c r="V46" s="461">
        <f t="shared" si="18"/>
        <v>0</v>
      </c>
      <c r="W46" s="28"/>
      <c r="X46" s="461">
        <f t="shared" ref="X46:Z46" si="41">+X25</f>
        <v>0</v>
      </c>
      <c r="Y46" s="28">
        <f t="shared" si="41"/>
        <v>0</v>
      </c>
      <c r="Z46" s="28">
        <f t="shared" si="41"/>
        <v>0</v>
      </c>
      <c r="AA46" s="650">
        <f t="shared" si="28"/>
        <v>0</v>
      </c>
      <c r="AB46" s="651">
        <f t="shared" si="29"/>
        <v>0</v>
      </c>
      <c r="AC46" s="39"/>
      <c r="AD46" s="10"/>
      <c r="AE46" s="10"/>
      <c r="AF46" s="10"/>
      <c r="AG46" s="448">
        <f>IF($E46&lt;&gt;0,VLOOKUP($D46,Valoración_Eq_REG!$D$4:$I$157,Valoración_Eq_REG!$E$2,FALSE)*$E$4,0)</f>
        <v>0</v>
      </c>
      <c r="AH46" s="448">
        <f>IF($E46&lt;&gt;0,VLOOKUP($D46,Valoración_Eq_REG!$D$4:$I$157,Valoración_Eq_REG!$F$2,FALSE)*$E$4,0)</f>
        <v>0</v>
      </c>
      <c r="AI46" s="11"/>
      <c r="AJ46" s="484"/>
      <c r="AK46" s="448"/>
      <c r="AL46" s="484"/>
      <c r="AM46" s="448"/>
      <c r="AN46" s="34" t="s">
        <v>787</v>
      </c>
      <c r="AO46" s="25" t="str">
        <f>IF($E46&lt;&gt;0,VLOOKUP($E46,Tabla13[],Inputs_costos!$D$1,FALSE),"-")</f>
        <v>-</v>
      </c>
      <c r="AP46" s="28" t="str">
        <f>IF($E46&lt;&gt;0,VLOOKUP($D46,'Costo Social x localidad'!$B$2:$M$156,1,FALSE),"-")</f>
        <v>-</v>
      </c>
    </row>
    <row r="47" spans="1:42">
      <c r="A47" s="917"/>
      <c r="B47" s="887"/>
      <c r="C47" s="478" t="str">
        <f t="shared" si="11"/>
        <v>ok</v>
      </c>
      <c r="D47" s="24" t="str">
        <f>IF(E47&lt;&gt;0,VLOOKUP(E47,Pobl_adoptada!$B$5:$C$158,2,FALSE),"-")</f>
        <v>-</v>
      </c>
      <c r="E47" s="865"/>
      <c r="F47" s="9"/>
      <c r="G47" s="580"/>
      <c r="H47" s="34">
        <f>+($AC26/$AC27)*H48+G47</f>
        <v>0</v>
      </c>
      <c r="I47" s="465"/>
      <c r="J47" s="581">
        <f>+($AC26/$AC27)*J48+I47</f>
        <v>0</v>
      </c>
      <c r="K47" s="10"/>
      <c r="L47" s="10"/>
      <c r="M47" s="19">
        <f t="shared" si="9"/>
        <v>0</v>
      </c>
      <c r="N47" s="465">
        <f t="shared" si="24"/>
        <v>0</v>
      </c>
      <c r="O47" s="25">
        <f t="shared" si="25"/>
        <v>0</v>
      </c>
      <c r="P47" s="25">
        <f t="shared" si="13"/>
        <v>0</v>
      </c>
      <c r="Q47" s="465">
        <f t="shared" si="14"/>
        <v>0</v>
      </c>
      <c r="R47" s="647">
        <f t="shared" si="26"/>
        <v>0</v>
      </c>
      <c r="S47" s="647">
        <f t="shared" si="16"/>
        <v>0</v>
      </c>
      <c r="T47" s="25">
        <f t="shared" si="17"/>
        <v>0</v>
      </c>
      <c r="U47" s="29"/>
      <c r="V47" s="461">
        <f t="shared" si="18"/>
        <v>0</v>
      </c>
      <c r="W47" s="25"/>
      <c r="X47" s="461">
        <f t="shared" ref="X47:Z47" si="42">+X26</f>
        <v>0</v>
      </c>
      <c r="Y47" s="28">
        <f t="shared" si="42"/>
        <v>0</v>
      </c>
      <c r="Z47" s="28">
        <f t="shared" si="42"/>
        <v>0</v>
      </c>
      <c r="AA47" s="650">
        <f t="shared" si="28"/>
        <v>0</v>
      </c>
      <c r="AB47" s="651">
        <f t="shared" si="29"/>
        <v>0</v>
      </c>
      <c r="AC47" s="10"/>
      <c r="AD47" s="10"/>
      <c r="AE47" s="10"/>
      <c r="AF47" s="10"/>
      <c r="AG47" s="448">
        <f>IF($E47&lt;&gt;0,VLOOKUP($D47,Valoración_Eq_REG!$D$4:$I$157,Valoración_Eq_REG!$E$2,FALSE)*$E$4,0)</f>
        <v>0</v>
      </c>
      <c r="AH47" s="448">
        <f>IF($E47&lt;&gt;0,VLOOKUP($D47,Valoración_Eq_REG!$D$4:$I$157,Valoración_Eq_REG!$F$2,FALSE)*$E$4,0)</f>
        <v>0</v>
      </c>
      <c r="AI47" s="2"/>
      <c r="AJ47" s="484"/>
      <c r="AK47" s="448"/>
      <c r="AL47" s="484"/>
      <c r="AM47" s="448"/>
      <c r="AN47" s="34" t="s">
        <v>787</v>
      </c>
      <c r="AO47" s="25" t="str">
        <f>IF($E47&lt;&gt;0,VLOOKUP($E47,Tabla13[],Inputs_costos!$D$1,FALSE),"-")</f>
        <v>-</v>
      </c>
      <c r="AP47" s="28" t="str">
        <f>IF($E47&lt;&gt;0,VLOOKUP($D47,'Costo Social x localidad'!$B$2:$M$156,1,FALSE),"-")</f>
        <v>-</v>
      </c>
    </row>
    <row r="48" spans="1:42" ht="30.75" thickBot="1">
      <c r="A48" s="917"/>
      <c r="B48" s="887"/>
      <c r="C48" s="912" t="s">
        <v>12</v>
      </c>
      <c r="D48" s="913"/>
      <c r="E48" s="498" t="s">
        <v>589</v>
      </c>
      <c r="F48" s="571">
        <v>0.02</v>
      </c>
      <c r="G48" s="582"/>
      <c r="H48" s="461">
        <f>+AJ48*AJ50+AL48*AL50</f>
        <v>3071154.1456106296</v>
      </c>
      <c r="I48" s="461"/>
      <c r="J48" s="583">
        <f>+$F48*H48</f>
        <v>61423.082912212594</v>
      </c>
      <c r="K48" s="10"/>
      <c r="L48" s="10"/>
      <c r="M48" s="19"/>
      <c r="N48" s="465"/>
      <c r="O48" s="10"/>
      <c r="P48" s="10"/>
      <c r="Q48" s="618"/>
      <c r="R48" s="28"/>
      <c r="S48" s="28"/>
      <c r="T48" s="28"/>
      <c r="U48" s="28"/>
      <c r="V48" s="28"/>
      <c r="W48" s="28"/>
      <c r="X48" s="28"/>
      <c r="Y48" s="28"/>
      <c r="Z48" s="28"/>
      <c r="AA48" s="658"/>
      <c r="AB48" s="20"/>
      <c r="AC48" s="10"/>
      <c r="AD48" s="10"/>
      <c r="AE48" s="10"/>
      <c r="AF48" s="10"/>
      <c r="AG48" s="4"/>
      <c r="AH48" s="4"/>
      <c r="AI48" s="4"/>
      <c r="AJ48" s="501">
        <f>ROUNDUP(C49*SUM(AJ28:AJ47),0)</f>
        <v>6</v>
      </c>
      <c r="AK48" s="502">
        <f>AVERAGE(AK28:AK47)</f>
        <v>15</v>
      </c>
      <c r="AL48" s="501">
        <f>ROUNDUP(C49*SUM(AL28:AL47),0)</f>
        <v>6</v>
      </c>
      <c r="AM48" s="502">
        <f>AVERAGE(AM28:AM47)</f>
        <v>6</v>
      </c>
      <c r="AN48" s="4"/>
      <c r="AO48" s="4"/>
      <c r="AP48" s="4"/>
    </row>
    <row r="49" spans="1:42" ht="15.75" thickBot="1">
      <c r="A49" s="918"/>
      <c r="B49" s="888"/>
      <c r="C49" s="570">
        <v>0.3</v>
      </c>
      <c r="D49" s="500" t="str">
        <f>A7</f>
        <v>REGIÓN BOLÍVAR-CASARES</v>
      </c>
      <c r="E49" s="468"/>
      <c r="F49" s="469"/>
      <c r="G49" s="584"/>
      <c r="H49" s="585">
        <f>SUM(H28:H47)</f>
        <v>21066632.403584011</v>
      </c>
      <c r="I49" s="585"/>
      <c r="J49" s="586">
        <f>SUM(J28:J47)</f>
        <v>10745589.989513023</v>
      </c>
      <c r="K49" s="14"/>
      <c r="L49" s="14"/>
      <c r="M49" s="15">
        <f>SUM(M28:M48)</f>
        <v>-105855963.67334059</v>
      </c>
      <c r="N49" s="615">
        <f>(VLOOKUP($E28,Tabla13[],Inputs_costos!$P$1,FALSE))*(O$3*$E$3+O$4*$E$4)</f>
        <v>1808041.9881600002</v>
      </c>
      <c r="O49" s="35">
        <f>SUM(O28:O47)</f>
        <v>328130.59591350006</v>
      </c>
      <c r="P49" s="35">
        <f>(VLOOKUP($E28,Tabla13[],Inputs_costos!$Q$1,FALSE))*(P$3*$E$3+P$4*$E$4)</f>
        <v>779904.76403200009</v>
      </c>
      <c r="Q49" s="615">
        <f>IF($AC27&gt;=15,(VLOOKUP($E28,Tabla13[],Inputs_costos!$N$1,FALSE))*($R$3*$E$3+$R$4*$E$4),(VLOOKUP($E28,Tabla13[],Inputs_costos!$N$1,FALSE))*($T$3*$E$3+$T$4*$E$4))</f>
        <v>11242763.434400002</v>
      </c>
      <c r="R49" s="35">
        <f>SUM(R28:R47)</f>
        <v>9997627.4744000044</v>
      </c>
      <c r="S49" s="35"/>
      <c r="T49" s="35">
        <f>IF($AC27&gt;=15,(VLOOKUP($E28,Tabla13[],Inputs_costos!$O$1,FALSE))*($R$3*$E$3+$R$4*$E$4),(VLOOKUP($E28,Tabla13[],Inputs_costos!$O$1,FALSE))*($T$3*$E$3+$T$4*$E$4))</f>
        <v>1487508.38708</v>
      </c>
      <c r="U49" s="35"/>
      <c r="V49" s="31">
        <f>SUM(V28:V47)</f>
        <v>11912734.660288</v>
      </c>
      <c r="W49" s="31"/>
      <c r="X49" s="31">
        <f>SUM(X28:X47)</f>
        <v>1057681.8158268037</v>
      </c>
      <c r="Y49" s="31">
        <f>SUM(Y28:Y47)</f>
        <v>239336.24022706662</v>
      </c>
      <c r="Z49" s="31">
        <f>SUM(Z28:Z47)</f>
        <v>1556433.4179447601</v>
      </c>
      <c r="AA49" s="653">
        <f>SUM(AA28:AA47)</f>
        <v>-27258198.940065295</v>
      </c>
      <c r="AB49" s="654">
        <f>+M49+AA49</f>
        <v>-133114162.61340588</v>
      </c>
      <c r="AC49" s="38"/>
      <c r="AD49" s="38"/>
      <c r="AE49" s="38"/>
      <c r="AF49" s="38"/>
      <c r="AG49" s="4"/>
      <c r="AH49" s="4"/>
      <c r="AI49" s="4"/>
      <c r="AJ49" s="11"/>
      <c r="AK49" s="499">
        <f>VLOOKUP(ROUNDUP(AK48,0),DATOS!$F$16:$G$31,2,FALSE)</f>
        <v>15</v>
      </c>
      <c r="AL49" s="497"/>
      <c r="AM49" s="499">
        <f>VLOOKUP(ROUNDUP(AM48,0),DATOS!$J$16:$K$34,2,FALSE)</f>
        <v>6</v>
      </c>
      <c r="AN49" s="4"/>
      <c r="AO49" s="4"/>
      <c r="AP49" s="4"/>
    </row>
    <row r="50" spans="1:42"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0"/>
      <c r="V50" s="2"/>
      <c r="W50" s="2"/>
      <c r="X50" s="2"/>
      <c r="Y50" s="2"/>
      <c r="Z50" s="2"/>
      <c r="AA50" s="4"/>
      <c r="AB50" s="4"/>
      <c r="AC50" s="4"/>
      <c r="AD50" s="4"/>
      <c r="AE50" s="4"/>
      <c r="AF50" s="4"/>
      <c r="AG50" s="644"/>
      <c r="AH50" s="448"/>
      <c r="AI50" s="4"/>
      <c r="AJ50" s="892">
        <f>VLOOKUP(AK49,DATOS!$F$3:$H$11,3,FALSE)</f>
        <v>277598.62978843832</v>
      </c>
      <c r="AK50" s="892"/>
      <c r="AL50" s="892">
        <f>VLOOKUP(AM49,DATOS!$J$3:$L$12,3,FALSE)</f>
        <v>234260.39447999999</v>
      </c>
      <c r="AM50" s="892"/>
      <c r="AN50" s="4"/>
      <c r="AO50" s="4"/>
      <c r="AP50" s="4"/>
    </row>
    <row r="51" spans="1:42">
      <c r="H51" s="554"/>
      <c r="J51" s="554"/>
      <c r="M51" s="554"/>
      <c r="O51" s="554"/>
      <c r="P51" s="554"/>
      <c r="R51" s="554"/>
      <c r="T51" s="554"/>
      <c r="V51" s="554"/>
      <c r="X51" s="554"/>
      <c r="Y51" s="554"/>
      <c r="Z51" s="554"/>
      <c r="AA51" s="554"/>
      <c r="AB51" s="554"/>
      <c r="AC51" s="554"/>
      <c r="AD51" s="554"/>
      <c r="AE51" s="554"/>
      <c r="AF51" s="554"/>
      <c r="AG51" s="554"/>
      <c r="AH51" s="554"/>
      <c r="AI51" s="554"/>
    </row>
  </sheetData>
  <mergeCells count="35">
    <mergeCell ref="AL50:AM50"/>
    <mergeCell ref="A7:A49"/>
    <mergeCell ref="B7:B27"/>
    <mergeCell ref="B28:B49"/>
    <mergeCell ref="C48:D48"/>
    <mergeCell ref="AJ50:AK50"/>
    <mergeCell ref="AF5:AF6"/>
    <mergeCell ref="AN5:AP5"/>
    <mergeCell ref="AH5:AH6"/>
    <mergeCell ref="AI5:AI6"/>
    <mergeCell ref="AJ5:AJ6"/>
    <mergeCell ref="AK5:AK6"/>
    <mergeCell ref="AL5:AL6"/>
    <mergeCell ref="AM5:AM6"/>
    <mergeCell ref="AA5:AA6"/>
    <mergeCell ref="AB5:AB6"/>
    <mergeCell ref="AC5:AC6"/>
    <mergeCell ref="AD5:AD6"/>
    <mergeCell ref="AE5:AE6"/>
    <mergeCell ref="D3:D4"/>
    <mergeCell ref="AF4:AG4"/>
    <mergeCell ref="AJ4:AK4"/>
    <mergeCell ref="AL4:AM4"/>
    <mergeCell ref="A5:A6"/>
    <mergeCell ref="B5:B6"/>
    <mergeCell ref="D5:D6"/>
    <mergeCell ref="E5:E6"/>
    <mergeCell ref="F5:F6"/>
    <mergeCell ref="G5:J5"/>
    <mergeCell ref="AG5:AG6"/>
    <mergeCell ref="K5:L5"/>
    <mergeCell ref="M5:M6"/>
    <mergeCell ref="N5:P5"/>
    <mergeCell ref="Q5:T5"/>
    <mergeCell ref="U5:X5"/>
  </mergeCells>
  <pageMargins left="0.70866141732283472" right="0.70866141732283472" top="0.74803149606299213" bottom="0.74803149606299213" header="0.31496062992125984" footer="0.31496062992125984"/>
  <pageSetup paperSize="8" scale="26" fitToHeight="7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theme="6" tint="-0.249977111117893"/>
  </sheetPr>
  <dimension ref="A3:AA221"/>
  <sheetViews>
    <sheetView zoomScale="55" zoomScaleNormal="5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24" sqref="C24"/>
    </sheetView>
  </sheetViews>
  <sheetFormatPr baseColWidth="10" defaultRowHeight="15"/>
  <cols>
    <col min="1" max="2" width="36" bestFit="1" customWidth="1"/>
    <col min="3" max="3" width="16.7109375" customWidth="1"/>
    <col min="4" max="4" width="16.85546875" customWidth="1"/>
    <col min="5" max="5" width="15" customWidth="1"/>
    <col min="6" max="6" width="15.85546875" customWidth="1"/>
    <col min="7" max="8" width="14" customWidth="1"/>
    <col min="9" max="9" width="15.28515625" bestFit="1" customWidth="1"/>
    <col min="10" max="10" width="13.7109375" bestFit="1" customWidth="1"/>
    <col min="11" max="11" width="15.28515625" bestFit="1" customWidth="1"/>
    <col min="12" max="12" width="16" customWidth="1"/>
    <col min="13" max="14" width="13.7109375" customWidth="1"/>
    <col min="15" max="15" width="15.85546875" customWidth="1"/>
    <col min="16" max="16" width="17.85546875" customWidth="1"/>
    <col min="17" max="17" width="21.85546875" customWidth="1"/>
    <col min="18" max="18" width="14.7109375" customWidth="1"/>
    <col min="19" max="19" width="25.28515625" customWidth="1"/>
    <col min="20" max="20" width="15.28515625" customWidth="1"/>
    <col min="21" max="21" width="18.140625" bestFit="1" customWidth="1"/>
    <col min="22" max="22" width="19.28515625" customWidth="1"/>
    <col min="23" max="23" width="14.85546875" customWidth="1"/>
    <col min="24" max="24" width="14.5703125" customWidth="1"/>
  </cols>
  <sheetData>
    <row r="3" spans="1:27">
      <c r="A3" s="760">
        <v>0</v>
      </c>
      <c r="B3" s="761">
        <v>1</v>
      </c>
      <c r="C3" s="761">
        <v>2</v>
      </c>
      <c r="D3" s="761">
        <v>3</v>
      </c>
      <c r="E3" s="761">
        <v>4</v>
      </c>
      <c r="F3" s="761">
        <v>5</v>
      </c>
      <c r="G3" s="761">
        <v>6</v>
      </c>
      <c r="H3" s="761">
        <v>7</v>
      </c>
      <c r="I3" s="761">
        <v>8</v>
      </c>
      <c r="J3" s="761">
        <v>9</v>
      </c>
      <c r="K3" s="761">
        <v>10</v>
      </c>
      <c r="L3" s="761">
        <v>11</v>
      </c>
      <c r="M3" s="761">
        <v>12</v>
      </c>
      <c r="N3" s="761">
        <v>13</v>
      </c>
      <c r="O3" s="761">
        <v>14</v>
      </c>
      <c r="P3" s="761">
        <v>15</v>
      </c>
      <c r="Q3" s="676">
        <v>16</v>
      </c>
      <c r="R3" s="686">
        <v>17</v>
      </c>
      <c r="S3" s="686">
        <v>18</v>
      </c>
      <c r="T3" s="686">
        <v>19</v>
      </c>
      <c r="U3" s="761">
        <v>20</v>
      </c>
      <c r="V3" s="761">
        <v>21</v>
      </c>
      <c r="W3" s="761">
        <v>22</v>
      </c>
      <c r="X3" s="761">
        <v>23</v>
      </c>
    </row>
    <row r="4" spans="1:27" ht="14.45" customHeight="1">
      <c r="A4" s="942" t="s">
        <v>7</v>
      </c>
      <c r="B4" s="942" t="s">
        <v>22</v>
      </c>
      <c r="C4" s="945" t="s">
        <v>699</v>
      </c>
      <c r="D4" s="946"/>
      <c r="E4" s="946"/>
      <c r="F4" s="946"/>
      <c r="G4" s="946"/>
      <c r="H4" s="946"/>
      <c r="I4" s="946"/>
      <c r="J4" s="946"/>
      <c r="K4" s="946"/>
      <c r="L4" s="946"/>
      <c r="M4" s="946"/>
      <c r="N4" s="947"/>
      <c r="O4" s="943" t="s">
        <v>700</v>
      </c>
      <c r="P4" s="943"/>
      <c r="Q4" s="935" t="s">
        <v>706</v>
      </c>
      <c r="R4" s="935" t="s">
        <v>730</v>
      </c>
      <c r="S4" s="935" t="s">
        <v>712</v>
      </c>
      <c r="T4" s="935" t="s">
        <v>717</v>
      </c>
      <c r="U4" s="935" t="s">
        <v>722</v>
      </c>
      <c r="V4" s="935" t="s">
        <v>723</v>
      </c>
      <c r="W4" s="935" t="s">
        <v>724</v>
      </c>
      <c r="X4" s="935" t="s">
        <v>729</v>
      </c>
    </row>
    <row r="5" spans="1:27" ht="24.75" customHeight="1">
      <c r="A5" s="942"/>
      <c r="B5" s="942"/>
      <c r="C5" s="945" t="s">
        <v>695</v>
      </c>
      <c r="D5" s="946"/>
      <c r="E5" s="946"/>
      <c r="F5" s="946"/>
      <c r="G5" s="946"/>
      <c r="H5" s="947"/>
      <c r="I5" s="945" t="s">
        <v>696</v>
      </c>
      <c r="J5" s="946"/>
      <c r="K5" s="946"/>
      <c r="L5" s="946"/>
      <c r="M5" s="946"/>
      <c r="N5" s="947"/>
      <c r="O5" s="944" t="s">
        <v>701</v>
      </c>
      <c r="P5" s="944" t="s">
        <v>702</v>
      </c>
      <c r="Q5" s="935"/>
      <c r="R5" s="935"/>
      <c r="S5" s="935"/>
      <c r="T5" s="935"/>
      <c r="U5" s="935"/>
      <c r="V5" s="935"/>
      <c r="W5" s="935"/>
      <c r="X5" s="935"/>
    </row>
    <row r="6" spans="1:27" ht="30" customHeight="1">
      <c r="A6" s="942" t="s">
        <v>7</v>
      </c>
      <c r="B6" s="942"/>
      <c r="C6" s="698" t="s">
        <v>0</v>
      </c>
      <c r="D6" s="698" t="s">
        <v>5</v>
      </c>
      <c r="E6" s="698" t="s">
        <v>697</v>
      </c>
      <c r="F6" s="698" t="s">
        <v>698</v>
      </c>
      <c r="G6" s="703" t="s">
        <v>726</v>
      </c>
      <c r="H6" s="703" t="s">
        <v>727</v>
      </c>
      <c r="I6" s="698" t="s">
        <v>0</v>
      </c>
      <c r="J6" s="698" t="s">
        <v>5</v>
      </c>
      <c r="K6" s="698" t="s">
        <v>697</v>
      </c>
      <c r="L6" s="698" t="s">
        <v>698</v>
      </c>
      <c r="M6" s="703" t="s">
        <v>726</v>
      </c>
      <c r="N6" s="703" t="s">
        <v>727</v>
      </c>
      <c r="O6" s="944"/>
      <c r="P6" s="944"/>
      <c r="Q6" s="935"/>
      <c r="R6" s="935"/>
      <c r="S6" s="935"/>
      <c r="T6" s="935"/>
      <c r="U6" s="935"/>
      <c r="V6" s="935"/>
      <c r="W6" s="935"/>
      <c r="X6" s="935"/>
    </row>
    <row r="7" spans="1:27">
      <c r="A7" s="704" t="str">
        <f>+Resumen!A7</f>
        <v>REGIÓN BAHÍA BLANCA</v>
      </c>
      <c r="B7" s="705" t="str">
        <f>+Resumen!D7</f>
        <v>Bahía Blanca</v>
      </c>
      <c r="C7" s="706">
        <f>+Resumen!H7</f>
        <v>21085222.749070093</v>
      </c>
      <c r="D7" s="706">
        <f>+Resumen!O7</f>
        <v>1091713.3763800003</v>
      </c>
      <c r="E7" s="706">
        <f>+Resumen!R7</f>
        <v>59155813.223999999</v>
      </c>
      <c r="F7" s="706">
        <f>+Resumen!V7</f>
        <v>0</v>
      </c>
      <c r="G7" s="706">
        <f>+Resumen!Y7</f>
        <v>270712.31529599993</v>
      </c>
      <c r="H7" s="706">
        <f>+Resumen!Z7</f>
        <v>1352663.6402417512</v>
      </c>
      <c r="I7" s="706">
        <f>+Resumen!H12</f>
        <v>23770357.3116135</v>
      </c>
      <c r="J7" s="706">
        <f>+Resumen!O12</f>
        <v>896076.50462198863</v>
      </c>
      <c r="K7" s="706">
        <f>+Resumen!R12</f>
        <v>58132243.504816145</v>
      </c>
      <c r="L7" s="706">
        <f>+Resumen!V12</f>
        <v>0</v>
      </c>
      <c r="M7" s="706">
        <f>+Resumen!Y12</f>
        <v>270712.31529599993</v>
      </c>
      <c r="N7" s="706">
        <f>+Resumen!Z12</f>
        <v>1352663.6402417512</v>
      </c>
      <c r="O7" s="707">
        <f>+Resumen!AB7</f>
        <v>-214500025.10037881</v>
      </c>
      <c r="P7" s="707">
        <f>+Resumen!AB12</f>
        <v>-218180832.92499188</v>
      </c>
      <c r="Q7" s="708">
        <f t="shared" ref="Q7:Q38" si="0">SUM(C7:F7)</f>
        <v>81332749.349450096</v>
      </c>
      <c r="R7" s="709" t="str">
        <f t="shared" ref="R7:R70" si="1">+IF(O7&lt;P7,"R","L")</f>
        <v>L</v>
      </c>
      <c r="S7" s="708">
        <f t="shared" ref="S7:S38" si="2">+SUM(I7:L7)</f>
        <v>82798677.321051627</v>
      </c>
      <c r="T7" s="739" t="s">
        <v>488</v>
      </c>
      <c r="U7" s="740">
        <f>+(P7/O7-1)</f>
        <v>1.7159941230265874E-2</v>
      </c>
      <c r="V7" s="941">
        <f>+(SUM(P7:P10)/SUM(O7:O10)-1)</f>
        <v>-6.6737216126549814E-2</v>
      </c>
      <c r="W7" s="936">
        <f>+(SUM(P7:P106)/SUM(O7:O106)-1)</f>
        <v>-0.10527688647451294</v>
      </c>
      <c r="X7" s="737" t="str">
        <f t="shared" ref="X7:X38" si="3">+IF(AA7&lt;0,"R","L")</f>
        <v>R</v>
      </c>
      <c r="AA7" s="695">
        <f>+$V$7</f>
        <v>-6.6737216126549814E-2</v>
      </c>
    </row>
    <row r="8" spans="1:27">
      <c r="A8" s="710" t="str">
        <f>+A7</f>
        <v>REGIÓN BAHÍA BLANCA</v>
      </c>
      <c r="B8" s="711" t="str">
        <f>+Resumen!D8</f>
        <v>Médanos</v>
      </c>
      <c r="C8" s="712">
        <f>+Resumen!H8</f>
        <v>2124373.5982136764</v>
      </c>
      <c r="D8" s="712">
        <f>+Resumen!O8</f>
        <v>359159.83353599999</v>
      </c>
      <c r="E8" s="712">
        <f>+Resumen!R8</f>
        <v>529218.36447999999</v>
      </c>
      <c r="F8" s="712">
        <f>+Resumen!V8</f>
        <v>0</v>
      </c>
      <c r="G8" s="712">
        <f>+Resumen!Y8</f>
        <v>8292.5319658666649</v>
      </c>
      <c r="H8" s="712">
        <f>+Resumen!Z8</f>
        <v>162799.91796229675</v>
      </c>
      <c r="I8" s="712">
        <f>+Resumen!H13</f>
        <v>1711828.4158476361</v>
      </c>
      <c r="J8" s="712">
        <f>+Resumen!O13</f>
        <v>37360.830587280587</v>
      </c>
      <c r="K8" s="712">
        <f>+Resumen!R13</f>
        <v>613610.52235560073</v>
      </c>
      <c r="L8" s="712">
        <f>+Resumen!V13</f>
        <v>0</v>
      </c>
      <c r="M8" s="712">
        <f>+Resumen!Y13</f>
        <v>8292.5319658666649</v>
      </c>
      <c r="N8" s="712">
        <f>+Resumen!Z13</f>
        <v>162799.91796229675</v>
      </c>
      <c r="O8" s="713">
        <f>+Resumen!AB8</f>
        <v>-9567094.5924255792</v>
      </c>
      <c r="P8" s="713">
        <f>+Resumen!AB13</f>
        <v>-8642726.1999901365</v>
      </c>
      <c r="Q8" s="714">
        <f t="shared" si="0"/>
        <v>3012751.7962296763</v>
      </c>
      <c r="R8" s="715" t="str">
        <f t="shared" si="1"/>
        <v>R</v>
      </c>
      <c r="S8" s="714">
        <f t="shared" si="2"/>
        <v>2362799.7687905175</v>
      </c>
      <c r="T8" s="741" t="s">
        <v>488</v>
      </c>
      <c r="U8" s="742">
        <f t="shared" ref="U8:U17" si="4">+(P8/O8-1)</f>
        <v>-9.6619551892721978E-2</v>
      </c>
      <c r="V8" s="939"/>
      <c r="W8" s="936"/>
      <c r="X8" s="737" t="str">
        <f t="shared" si="3"/>
        <v>R</v>
      </c>
      <c r="AA8" s="695">
        <f t="shared" ref="AA8:AA10" si="5">+AA7</f>
        <v>-6.6737216126549814E-2</v>
      </c>
    </row>
    <row r="9" spans="1:27">
      <c r="A9" s="710" t="str">
        <f>+A8</f>
        <v>REGIÓN BAHÍA BLANCA</v>
      </c>
      <c r="B9" s="711" t="str">
        <f>+Resumen!D9</f>
        <v>Punta Alta</v>
      </c>
      <c r="C9" s="712">
        <f>+Resumen!H9</f>
        <v>4261533.3559366791</v>
      </c>
      <c r="D9" s="712">
        <f>+Resumen!O9</f>
        <v>1845326.9414400002</v>
      </c>
      <c r="E9" s="712">
        <f>+Resumen!R9</f>
        <v>12208399.557600001</v>
      </c>
      <c r="F9" s="712">
        <f>+Resumen!V9</f>
        <v>5496306.1487999996</v>
      </c>
      <c r="G9" s="712">
        <f>+Resumen!Y9</f>
        <v>117465.03548615998</v>
      </c>
      <c r="H9" s="712">
        <f>+Resumen!Z9</f>
        <v>430316.97504720849</v>
      </c>
      <c r="I9" s="712">
        <f>+Resumen!H14</f>
        <v>4188937.5887376098</v>
      </c>
      <c r="J9" s="712">
        <f>+Resumen!O14</f>
        <v>434738.0706824665</v>
      </c>
      <c r="K9" s="712">
        <f>+Resumen!R14</f>
        <v>7145470.2806931417</v>
      </c>
      <c r="L9" s="712">
        <f>+Resumen!V14</f>
        <v>5496306.1487999996</v>
      </c>
      <c r="M9" s="712">
        <f>+Resumen!Y14</f>
        <v>117465.03548615998</v>
      </c>
      <c r="N9" s="712">
        <f>+Resumen!Z14</f>
        <v>430316.97504720849</v>
      </c>
      <c r="O9" s="713">
        <f>+Resumen!AB9</f>
        <v>-52867793.379964128</v>
      </c>
      <c r="P9" s="713">
        <f>+Resumen!AB14</f>
        <v>-32144237.378892951</v>
      </c>
      <c r="Q9" s="714">
        <f t="shared" si="0"/>
        <v>23811566.003776681</v>
      </c>
      <c r="R9" s="715" t="str">
        <f t="shared" si="1"/>
        <v>R</v>
      </c>
      <c r="S9" s="714">
        <f t="shared" si="2"/>
        <v>17265452.088913217</v>
      </c>
      <c r="T9" s="741" t="s">
        <v>488</v>
      </c>
      <c r="U9" s="742">
        <f t="shared" si="4"/>
        <v>-0.39198829147510827</v>
      </c>
      <c r="V9" s="939"/>
      <c r="W9" s="936"/>
      <c r="X9" s="737" t="str">
        <f t="shared" si="3"/>
        <v>R</v>
      </c>
      <c r="AA9" s="695">
        <f t="shared" si="5"/>
        <v>-6.6737216126549814E-2</v>
      </c>
    </row>
    <row r="10" spans="1:27" ht="15.75" thickBot="1">
      <c r="A10" s="716" t="str">
        <f>+A9</f>
        <v>REGIÓN BAHÍA BLANCA</v>
      </c>
      <c r="B10" s="717" t="str">
        <f>+Resumen!D10</f>
        <v>Tornquist</v>
      </c>
      <c r="C10" s="718">
        <f>+Resumen!H10</f>
        <v>2244110.0967098256</v>
      </c>
      <c r="D10" s="718">
        <f>+Resumen!O10</f>
        <v>359159.83353599999</v>
      </c>
      <c r="E10" s="718">
        <f>+Resumen!R10</f>
        <v>614861.10415999999</v>
      </c>
      <c r="F10" s="718">
        <f>+Resumen!V10</f>
        <v>6514140.6207999997</v>
      </c>
      <c r="G10" s="718">
        <f>+Resumen!Y10</f>
        <v>24473.342218053331</v>
      </c>
      <c r="H10" s="718">
        <f>+Resumen!Z10</f>
        <v>229995.11655205826</v>
      </c>
      <c r="I10" s="718">
        <f>+Resumen!H15</f>
        <v>1794839.4754103168</v>
      </c>
      <c r="J10" s="718">
        <f>+Resumen!O15</f>
        <v>54465.118008265126</v>
      </c>
      <c r="K10" s="718">
        <f>+Resumen!R15</f>
        <v>881456.48253511195</v>
      </c>
      <c r="L10" s="718">
        <f>+Resumen!V15</f>
        <v>6514140.6207999997</v>
      </c>
      <c r="M10" s="718">
        <f>+Resumen!Y15</f>
        <v>24473.342218053331</v>
      </c>
      <c r="N10" s="718">
        <f>+Resumen!Z15</f>
        <v>229995.11655205826</v>
      </c>
      <c r="O10" s="719">
        <f>+Resumen!AB10</f>
        <v>-11252304.522029944</v>
      </c>
      <c r="P10" s="719">
        <f>+Resumen!AB15</f>
        <v>-9986608.4653903544</v>
      </c>
      <c r="Q10" s="720">
        <f t="shared" si="0"/>
        <v>9732271.6552058253</v>
      </c>
      <c r="R10" s="721" t="str">
        <f t="shared" si="1"/>
        <v>R</v>
      </c>
      <c r="S10" s="720">
        <f t="shared" si="2"/>
        <v>9244901.6967536937</v>
      </c>
      <c r="T10" s="743" t="s">
        <v>488</v>
      </c>
      <c r="U10" s="744">
        <f t="shared" si="4"/>
        <v>-0.11248327435163075</v>
      </c>
      <c r="V10" s="940"/>
      <c r="W10" s="936"/>
      <c r="X10" s="737" t="str">
        <f t="shared" si="3"/>
        <v>R</v>
      </c>
      <c r="AA10" s="695">
        <f t="shared" si="5"/>
        <v>-6.6737216126549814E-2</v>
      </c>
    </row>
    <row r="11" spans="1:27">
      <c r="A11" s="722" t="str">
        <f>+Resumen!A22</f>
        <v>REGIÓN SAN ANTONIO DE ARECO</v>
      </c>
      <c r="B11" s="711" t="str">
        <f>+Resumen!D22</f>
        <v>San Antonio de Areco</v>
      </c>
      <c r="C11" s="712">
        <f>+Resumen!H22</f>
        <v>3231490.7336182352</v>
      </c>
      <c r="D11" s="712">
        <f>+Resumen!O22</f>
        <v>1123267.7845439999</v>
      </c>
      <c r="E11" s="712">
        <f>+Resumen!R22</f>
        <v>7861172.8408000004</v>
      </c>
      <c r="F11" s="712">
        <f>+Resumen!V22</f>
        <v>3460637.2047999999</v>
      </c>
      <c r="G11" s="712">
        <f>+Resumen!Y22</f>
        <v>40627.82121496</v>
      </c>
      <c r="H11" s="712">
        <f>+Resumen!Z22</f>
        <v>289438.0856376224</v>
      </c>
      <c r="I11" s="712">
        <f>+Resumen!H27</f>
        <v>3236819.7658112915</v>
      </c>
      <c r="J11" s="712">
        <f>+Resumen!O27</f>
        <v>33968.567383648129</v>
      </c>
      <c r="K11" s="712">
        <f>+Resumen!R27</f>
        <v>4513444.1229707431</v>
      </c>
      <c r="L11" s="712">
        <f>+Resumen!V27</f>
        <v>3460637.2047999999</v>
      </c>
      <c r="M11" s="712">
        <f>+Resumen!Y27</f>
        <v>40627.82121496</v>
      </c>
      <c r="N11" s="712">
        <f>+Resumen!Z27</f>
        <v>289438.0856376224</v>
      </c>
      <c r="O11" s="713">
        <f>+Resumen!AB22</f>
        <v>-38515438.335164636</v>
      </c>
      <c r="P11" s="713">
        <f>+Resumen!AB27</f>
        <v>-24593307.933583423</v>
      </c>
      <c r="Q11" s="714">
        <f t="shared" si="0"/>
        <v>15676568.563762236</v>
      </c>
      <c r="R11" s="715" t="str">
        <f t="shared" si="1"/>
        <v>R</v>
      </c>
      <c r="S11" s="714">
        <f t="shared" si="2"/>
        <v>11244869.660965683</v>
      </c>
      <c r="T11" s="741" t="s">
        <v>488</v>
      </c>
      <c r="U11" s="742">
        <f>+(P11/O11-1)</f>
        <v>-0.36146882921153967</v>
      </c>
      <c r="V11" s="939">
        <f>+(SUM(P11:P14)/SUM(O11:O14)-1)</f>
        <v>-0.18275952598270573</v>
      </c>
      <c r="W11" s="936"/>
      <c r="X11" s="737" t="str">
        <f t="shared" si="3"/>
        <v>R</v>
      </c>
      <c r="AA11" s="695">
        <f>+$V$11</f>
        <v>-0.18275952598270573</v>
      </c>
    </row>
    <row r="12" spans="1:27">
      <c r="A12" s="710" t="str">
        <f>+A11</f>
        <v>REGIÓN SAN ANTONIO DE ARECO</v>
      </c>
      <c r="B12" s="711" t="str">
        <f>+Resumen!D23</f>
        <v>San Andrés de Giles</v>
      </c>
      <c r="C12" s="712">
        <f>+Resumen!H23</f>
        <v>2322050.2967098258</v>
      </c>
      <c r="D12" s="712">
        <f>+Resumen!O23</f>
        <v>872789.03287</v>
      </c>
      <c r="E12" s="712">
        <f>+Resumen!R23</f>
        <v>7473427.0616000006</v>
      </c>
      <c r="F12" s="712">
        <f>+Resumen!V23</f>
        <v>2585299.5588799999</v>
      </c>
      <c r="G12" s="712">
        <f>+Resumen!Y23</f>
        <v>40327.731950239999</v>
      </c>
      <c r="H12" s="712">
        <f>+Resumen!Z23</f>
        <v>265208.05950059823</v>
      </c>
      <c r="I12" s="712">
        <f>+Resumen!H28</f>
        <v>2351637.5648758826</v>
      </c>
      <c r="J12" s="712">
        <f>+Resumen!O28</f>
        <v>0</v>
      </c>
      <c r="K12" s="712">
        <f>+Resumen!R28</f>
        <v>4010421.248950311</v>
      </c>
      <c r="L12" s="712">
        <f>+Resumen!V28</f>
        <v>2585299.5588799999</v>
      </c>
      <c r="M12" s="712">
        <f>+Resumen!Y28</f>
        <v>40327.731950239999</v>
      </c>
      <c r="N12" s="712">
        <f>+Resumen!Z28</f>
        <v>265208.05950059823</v>
      </c>
      <c r="O12" s="713">
        <f>+Resumen!AB23</f>
        <v>-33134866.657760292</v>
      </c>
      <c r="P12" s="713">
        <f>+Resumen!AB28</f>
        <v>-18764299.366280109</v>
      </c>
      <c r="Q12" s="714">
        <f t="shared" si="0"/>
        <v>13253565.950059826</v>
      </c>
      <c r="R12" s="715" t="str">
        <f t="shared" si="1"/>
        <v>R</v>
      </c>
      <c r="S12" s="714">
        <f t="shared" si="2"/>
        <v>8947358.3727061935</v>
      </c>
      <c r="T12" s="741" t="s">
        <v>488</v>
      </c>
      <c r="U12" s="742">
        <f t="shared" si="4"/>
        <v>-0.43369926427980809</v>
      </c>
      <c r="V12" s="939"/>
      <c r="W12" s="936"/>
      <c r="X12" s="737" t="str">
        <f t="shared" si="3"/>
        <v>R</v>
      </c>
      <c r="AA12" s="695">
        <f>+AA11</f>
        <v>-0.18275952598270573</v>
      </c>
    </row>
    <row r="13" spans="1:27">
      <c r="A13" s="710" t="str">
        <f t="shared" ref="A13:A79" si="6">+A12</f>
        <v>REGIÓN SAN ANTONIO DE ARECO</v>
      </c>
      <c r="B13" s="711" t="str">
        <f>+Resumen!D24</f>
        <v>Capitán Sarmiento</v>
      </c>
      <c r="C13" s="712">
        <f>+Resumen!H24</f>
        <v>2551485.894213676</v>
      </c>
      <c r="D13" s="712">
        <f>+Resumen!O24</f>
        <v>359159.83353599999</v>
      </c>
      <c r="E13" s="712">
        <f>+Resumen!R24</f>
        <v>989116.03607999999</v>
      </c>
      <c r="F13" s="712">
        <f>+Resumen!V24</f>
        <v>920122.36268799996</v>
      </c>
      <c r="G13" s="712">
        <f>+Resumen!Y24</f>
        <v>24229.542358560004</v>
      </c>
      <c r="H13" s="712">
        <f>+Resumen!Z24</f>
        <v>180871.24126517674</v>
      </c>
      <c r="I13" s="712">
        <f>+Resumen!H29</f>
        <v>2741168.6348090544</v>
      </c>
      <c r="J13" s="712">
        <f>+Resumen!O29</f>
        <v>411088.36880506866</v>
      </c>
      <c r="K13" s="712">
        <f>+Resumen!R29</f>
        <v>3103921.1167424107</v>
      </c>
      <c r="L13" s="712">
        <f>+Resumen!V29</f>
        <v>920122.36268799996</v>
      </c>
      <c r="M13" s="712">
        <f>+Resumen!Y29</f>
        <v>24229.542358560004</v>
      </c>
      <c r="N13" s="712">
        <f>+Resumen!Z29</f>
        <v>180871.24126517674</v>
      </c>
      <c r="O13" s="713">
        <f>+Resumen!AB24</f>
        <v>-14870337.250143077</v>
      </c>
      <c r="P13" s="713">
        <f>+Resumen!AB29</f>
        <v>-19702632.548692562</v>
      </c>
      <c r="Q13" s="714">
        <f t="shared" si="0"/>
        <v>4819884.1265176758</v>
      </c>
      <c r="R13" s="715" t="str">
        <f t="shared" si="1"/>
        <v>L</v>
      </c>
      <c r="S13" s="714">
        <f t="shared" si="2"/>
        <v>7176300.483044534</v>
      </c>
      <c r="T13" s="741" t="s">
        <v>488</v>
      </c>
      <c r="U13" s="742">
        <f t="shared" si="4"/>
        <v>0.32496205144930324</v>
      </c>
      <c r="V13" s="939"/>
      <c r="W13" s="936"/>
      <c r="X13" s="737" t="str">
        <f t="shared" si="3"/>
        <v>R</v>
      </c>
      <c r="AA13" s="695">
        <f>+AA12</f>
        <v>-0.18275952598270573</v>
      </c>
    </row>
    <row r="14" spans="1:27" ht="15.75" thickBot="1">
      <c r="A14" s="716" t="str">
        <f t="shared" si="6"/>
        <v>REGIÓN SAN ANTONIO DE ARECO</v>
      </c>
      <c r="B14" s="717" t="str">
        <f>+Resumen!D25</f>
        <v>Carmen de Areco</v>
      </c>
      <c r="C14" s="718">
        <f>+Resumen!H25</f>
        <v>3459076.1176182353</v>
      </c>
      <c r="D14" s="718">
        <f>+Resumen!O25</f>
        <v>359159.83353599999</v>
      </c>
      <c r="E14" s="718">
        <f>+Resumen!R25</f>
        <v>880025.32719999994</v>
      </c>
      <c r="F14" s="718">
        <f>+Resumen!V25</f>
        <v>1221401.3663999999</v>
      </c>
      <c r="G14" s="718">
        <f>+Resumen!Y25</f>
        <v>26484.020083359999</v>
      </c>
      <c r="H14" s="718">
        <f>+Resumen!Z25</f>
        <v>191869.02644754233</v>
      </c>
      <c r="I14" s="718">
        <f>+Resumen!H30</f>
        <v>3353242.0535218194</v>
      </c>
      <c r="J14" s="718">
        <f>+Resumen!O30</f>
        <v>403436.35719292198</v>
      </c>
      <c r="K14" s="718">
        <f>+Resumen!R30</f>
        <v>2951386.8465365348</v>
      </c>
      <c r="L14" s="718">
        <f>+Resumen!V30</f>
        <v>1221401.3663999999</v>
      </c>
      <c r="M14" s="718">
        <f>+Resumen!Y30</f>
        <v>26484.020083359999</v>
      </c>
      <c r="N14" s="718">
        <f>+Resumen!Z30</f>
        <v>191869.02644754233</v>
      </c>
      <c r="O14" s="719">
        <f>+Resumen!AB25</f>
        <v>-19588044.979876965</v>
      </c>
      <c r="P14" s="719">
        <f>+Resumen!AB30</f>
        <v>-23656073.994876273</v>
      </c>
      <c r="Q14" s="720">
        <f t="shared" si="0"/>
        <v>5919662.6447542347</v>
      </c>
      <c r="R14" s="721" t="str">
        <f t="shared" si="1"/>
        <v>L</v>
      </c>
      <c r="S14" s="720">
        <f t="shared" si="2"/>
        <v>7929466.6236512754</v>
      </c>
      <c r="T14" s="743" t="s">
        <v>488</v>
      </c>
      <c r="U14" s="744">
        <f t="shared" si="4"/>
        <v>0.20767917467916996</v>
      </c>
      <c r="V14" s="940"/>
      <c r="W14" s="936"/>
      <c r="X14" s="737" t="str">
        <f t="shared" si="3"/>
        <v>R</v>
      </c>
      <c r="AA14" s="695">
        <f>+AA13</f>
        <v>-0.18275952598270573</v>
      </c>
    </row>
    <row r="15" spans="1:27">
      <c r="A15" s="722" t="str">
        <f>+Resumen!A37</f>
        <v>REGIÓN ALBERTI</v>
      </c>
      <c r="B15" s="711" t="str">
        <f>+Resumen!D37</f>
        <v>Chivilcoy</v>
      </c>
      <c r="C15" s="712">
        <f>+Resumen!H37</f>
        <v>5066299.6873689638</v>
      </c>
      <c r="D15" s="712">
        <f>+Resumen!O37</f>
        <v>1226125.0927200001</v>
      </c>
      <c r="E15" s="712">
        <f>+Resumen!R37</f>
        <v>12716737.9968</v>
      </c>
      <c r="F15" s="712">
        <f>+Resumen!V37</f>
        <v>3969554.4408</v>
      </c>
      <c r="G15" s="712">
        <f>+Resumen!Y37</f>
        <v>133461.74456506668</v>
      </c>
      <c r="H15" s="712">
        <f>+Resumen!Z37</f>
        <v>419906.36522111204</v>
      </c>
      <c r="I15" s="712">
        <f>+Resumen!H41</f>
        <v>6012114.9383997023</v>
      </c>
      <c r="J15" s="712">
        <f>+Resumen!O41</f>
        <v>905479.1678032109</v>
      </c>
      <c r="K15" s="712">
        <f>+Resumen!R41</f>
        <v>10523666.852288794</v>
      </c>
      <c r="L15" s="712">
        <f>+Resumen!V41</f>
        <v>3969554.4408</v>
      </c>
      <c r="M15" s="712">
        <f>+Resumen!Y41</f>
        <v>133461.74456506668</v>
      </c>
      <c r="N15" s="712">
        <f>+Resumen!Z41</f>
        <v>419906.36522111204</v>
      </c>
      <c r="O15" s="713">
        <f>+Resumen!AB37</f>
        <v>-58302509.337394401</v>
      </c>
      <c r="P15" s="713">
        <f>+Resumen!AB41</f>
        <v>-52320478.274586372</v>
      </c>
      <c r="Q15" s="714">
        <f t="shared" si="0"/>
        <v>22978717.217688963</v>
      </c>
      <c r="R15" s="715" t="str">
        <f t="shared" si="1"/>
        <v>R</v>
      </c>
      <c r="S15" s="714">
        <f t="shared" si="2"/>
        <v>21410815.399291705</v>
      </c>
      <c r="T15" s="741" t="s">
        <v>488</v>
      </c>
      <c r="U15" s="745">
        <f>+(P15/O15-1)</f>
        <v>-0.10260332069397293</v>
      </c>
      <c r="V15" s="938">
        <f>+(SUM(P15:P17)/SUM(O15:O17)-1)</f>
        <v>-0.15221154686201077</v>
      </c>
      <c r="W15" s="936"/>
      <c r="X15" s="737" t="str">
        <f t="shared" si="3"/>
        <v>R</v>
      </c>
      <c r="AA15" s="695">
        <f>+V15</f>
        <v>-0.15221154686201077</v>
      </c>
    </row>
    <row r="16" spans="1:27">
      <c r="A16" s="710" t="str">
        <f t="shared" si="6"/>
        <v>REGIÓN ALBERTI</v>
      </c>
      <c r="B16" s="711" t="str">
        <f>+Resumen!D38</f>
        <v>Bragado</v>
      </c>
      <c r="C16" s="712">
        <f>+Resumen!H38</f>
        <v>4841933.6678497093</v>
      </c>
      <c r="D16" s="712">
        <f>+Resumen!O38</f>
        <v>1050912.2175100001</v>
      </c>
      <c r="E16" s="712">
        <f>+Resumen!R38</f>
        <v>9212690.5808000006</v>
      </c>
      <c r="F16" s="712">
        <f>+Resumen!V38</f>
        <v>3257070.3103999998</v>
      </c>
      <c r="G16" s="712">
        <f>+Resumen!Y38</f>
        <v>68505.656918720008</v>
      </c>
      <c r="H16" s="712">
        <f>+Resumen!Z38</f>
        <v>316298.4677655971</v>
      </c>
      <c r="I16" s="712">
        <f>+Resumen!H42</f>
        <v>4984566.4388692863</v>
      </c>
      <c r="J16" s="712">
        <f>+Resumen!O42</f>
        <v>253381.0670211307</v>
      </c>
      <c r="K16" s="712">
        <f>+Resumen!R42</f>
        <v>5692877.6176053584</v>
      </c>
      <c r="L16" s="712">
        <f>+Resumen!V42</f>
        <v>3257070.3103999998</v>
      </c>
      <c r="M16" s="712">
        <f>+Resumen!Y42</f>
        <v>68505.656918720008</v>
      </c>
      <c r="N16" s="712">
        <f>+Resumen!Z42</f>
        <v>316298.4677655971</v>
      </c>
      <c r="O16" s="713">
        <f>+Resumen!AB38</f>
        <v>-52420921.514198452</v>
      </c>
      <c r="P16" s="713">
        <f>+Resumen!AB42</f>
        <v>-38864683.802771904</v>
      </c>
      <c r="Q16" s="714">
        <f t="shared" si="0"/>
        <v>18362606.776559711</v>
      </c>
      <c r="R16" s="715" t="str">
        <f t="shared" si="1"/>
        <v>R</v>
      </c>
      <c r="S16" s="714">
        <f t="shared" si="2"/>
        <v>14187895.433895776</v>
      </c>
      <c r="T16" s="741" t="s">
        <v>488</v>
      </c>
      <c r="U16" s="742">
        <f t="shared" si="4"/>
        <v>-0.25860357505838161</v>
      </c>
      <c r="V16" s="939"/>
      <c r="W16" s="936"/>
      <c r="X16" s="737" t="str">
        <f t="shared" si="3"/>
        <v>R</v>
      </c>
      <c r="AA16" s="695">
        <f t="shared" ref="AA16:AA17" si="7">+AA15</f>
        <v>-0.15221154686201077</v>
      </c>
    </row>
    <row r="17" spans="1:27" ht="15.75" thickBot="1">
      <c r="A17" s="716" t="str">
        <f t="shared" si="6"/>
        <v>REGIÓN ALBERTI</v>
      </c>
      <c r="B17" s="717" t="str">
        <f>+Resumen!D39</f>
        <v>Alberti</v>
      </c>
      <c r="C17" s="718">
        <f>+Resumen!H39</f>
        <v>2269050.9607098256</v>
      </c>
      <c r="D17" s="718">
        <f>+Resumen!O39</f>
        <v>0</v>
      </c>
      <c r="E17" s="718">
        <f>+Resumen!R39</f>
        <v>715865.77023999998</v>
      </c>
      <c r="F17" s="718">
        <f>+Resumen!V39</f>
        <v>0</v>
      </c>
      <c r="G17" s="718">
        <f>+Resumen!Y39</f>
        <v>8308.0550750399998</v>
      </c>
      <c r="H17" s="718">
        <f>+Resumen!Z39</f>
        <v>162521.56730949826</v>
      </c>
      <c r="I17" s="718">
        <f>+Resumen!H43</f>
        <v>1920276.6840642591</v>
      </c>
      <c r="J17" s="718">
        <f>+Resumen!O43</f>
        <v>0</v>
      </c>
      <c r="K17" s="718">
        <f>+Resumen!R43</f>
        <v>1619183.4773058491</v>
      </c>
      <c r="L17" s="718">
        <f>+Resumen!V43</f>
        <v>0</v>
      </c>
      <c r="M17" s="718">
        <f>+Resumen!Y43</f>
        <v>8308.0550750399998</v>
      </c>
      <c r="N17" s="718">
        <f>+Resumen!Z43</f>
        <v>162521.56730949826</v>
      </c>
      <c r="O17" s="719">
        <f>+Resumen!AB39</f>
        <v>-11330601.687529776</v>
      </c>
      <c r="P17" s="719">
        <f>+Resumen!AB43</f>
        <v>-12290837.368238293</v>
      </c>
      <c r="Q17" s="720">
        <f t="shared" si="0"/>
        <v>2984916.7309498256</v>
      </c>
      <c r="R17" s="721" t="str">
        <f t="shared" si="1"/>
        <v>L</v>
      </c>
      <c r="S17" s="720">
        <f t="shared" si="2"/>
        <v>3539460.1613701079</v>
      </c>
      <c r="T17" s="743" t="s">
        <v>488</v>
      </c>
      <c r="U17" s="744">
        <f t="shared" si="4"/>
        <v>8.4747104098216841E-2</v>
      </c>
      <c r="V17" s="940"/>
      <c r="W17" s="936"/>
      <c r="X17" s="737" t="str">
        <f t="shared" si="3"/>
        <v>R</v>
      </c>
      <c r="AA17" s="695">
        <f t="shared" si="7"/>
        <v>-0.15221154686201077</v>
      </c>
    </row>
    <row r="18" spans="1:27">
      <c r="A18" s="722" t="str">
        <f>+Resumen!A50</f>
        <v>REGIÓN AYACUCHO</v>
      </c>
      <c r="B18" s="711" t="str">
        <f>+Resumen!D50</f>
        <v>Ayacucho</v>
      </c>
      <c r="C18" s="712">
        <f>+Resumen!H50</f>
        <v>2861394.9873590353</v>
      </c>
      <c r="D18" s="712">
        <f>+Resumen!O50</f>
        <v>897690.99473200005</v>
      </c>
      <c r="E18" s="712">
        <f>+Resumen!R50</f>
        <v>7063008.8304000003</v>
      </c>
      <c r="F18" s="712">
        <f>+Resumen!V50</f>
        <v>2646369.6272</v>
      </c>
      <c r="G18" s="712">
        <f>+Resumen!Y50</f>
        <v>33719.674943360005</v>
      </c>
      <c r="H18" s="712">
        <f>+Resumen!Z50</f>
        <v>267357.04439691035</v>
      </c>
      <c r="I18" s="712">
        <f>+Resumen!H54</f>
        <v>3106276.7946540955</v>
      </c>
      <c r="J18" s="712">
        <f>+Resumen!O54</f>
        <v>398096.89955794264</v>
      </c>
      <c r="K18" s="712">
        <f>+Resumen!R54</f>
        <v>5664173.6174221477</v>
      </c>
      <c r="L18" s="712">
        <f>+Resumen!V54</f>
        <v>2646369.6272</v>
      </c>
      <c r="M18" s="712">
        <f>+Resumen!Y54</f>
        <v>33719.674943360005</v>
      </c>
      <c r="N18" s="712">
        <f>+Resumen!Z54</f>
        <v>267357.04439691035</v>
      </c>
      <c r="O18" s="713">
        <f>+Resumen!AB50</f>
        <v>-35481020.637660652</v>
      </c>
      <c r="P18" s="713">
        <f>+Resumen!AB54</f>
        <v>-29728398.003052209</v>
      </c>
      <c r="Q18" s="714">
        <f t="shared" si="0"/>
        <v>13468464.439691035</v>
      </c>
      <c r="R18" s="715" t="str">
        <f t="shared" si="1"/>
        <v>R</v>
      </c>
      <c r="S18" s="714">
        <f t="shared" si="2"/>
        <v>11814916.938834187</v>
      </c>
      <c r="T18" s="741" t="s">
        <v>488</v>
      </c>
      <c r="U18" s="745">
        <f>+(P18/O18-1)</f>
        <v>-0.16213238884403547</v>
      </c>
      <c r="V18" s="938">
        <f>+(SUM(P18:P20)/SUM(O18:O20)-1)</f>
        <v>-1.931280545906533E-2</v>
      </c>
      <c r="W18" s="936"/>
      <c r="X18" s="737" t="str">
        <f t="shared" si="3"/>
        <v>R</v>
      </c>
      <c r="AA18" s="695">
        <f>+V18</f>
        <v>-1.931280545906533E-2</v>
      </c>
    </row>
    <row r="19" spans="1:27">
      <c r="A19" s="710" t="str">
        <f t="shared" si="6"/>
        <v>REGIÓN AYACUCHO</v>
      </c>
      <c r="B19" s="711" t="str">
        <f>+Resumen!D51</f>
        <v>Maipú</v>
      </c>
      <c r="C19" s="712">
        <f>+Resumen!H51</f>
        <v>2318932.6887098253</v>
      </c>
      <c r="D19" s="712">
        <f>+Resumen!O51</f>
        <v>359159.83353599999</v>
      </c>
      <c r="E19" s="712">
        <f>+Resumen!R51</f>
        <v>661714.97967999999</v>
      </c>
      <c r="F19" s="712">
        <f>+Resumen!V51</f>
        <v>0</v>
      </c>
      <c r="G19" s="712">
        <f>+Resumen!Y51</f>
        <v>12531.283762799996</v>
      </c>
      <c r="H19" s="712">
        <f>+Resumen!Z51</f>
        <v>166070.47501925824</v>
      </c>
      <c r="I19" s="712">
        <f>+Resumen!H55</f>
        <v>2150347.7319806376</v>
      </c>
      <c r="J19" s="712">
        <f>+Resumen!O55</f>
        <v>505215.74279846367</v>
      </c>
      <c r="K19" s="712">
        <f>+Resumen!R55</f>
        <v>2494399.5709978244</v>
      </c>
      <c r="L19" s="712">
        <f>+Resumen!V55</f>
        <v>0</v>
      </c>
      <c r="M19" s="712">
        <f>+Resumen!Y55</f>
        <v>12531.283762799996</v>
      </c>
      <c r="N19" s="712">
        <f>+Resumen!Z55</f>
        <v>166070.47501925824</v>
      </c>
      <c r="O19" s="713">
        <f>+Resumen!AB51</f>
        <v>-12032377.342644963</v>
      </c>
      <c r="P19" s="713">
        <f>+Resumen!AB55</f>
        <v>-17199353.930959251</v>
      </c>
      <c r="Q19" s="714">
        <f t="shared" si="0"/>
        <v>3339807.5019258251</v>
      </c>
      <c r="R19" s="715" t="str">
        <f t="shared" si="1"/>
        <v>L</v>
      </c>
      <c r="S19" s="714">
        <f t="shared" si="2"/>
        <v>5149963.045776926</v>
      </c>
      <c r="T19" s="741" t="s">
        <v>488</v>
      </c>
      <c r="U19" s="742">
        <f t="shared" ref="U19:U22" si="8">+(P19/O19-1)</f>
        <v>0.42942275172850253</v>
      </c>
      <c r="V19" s="939"/>
      <c r="W19" s="936"/>
      <c r="X19" s="737" t="str">
        <f t="shared" si="3"/>
        <v>R</v>
      </c>
      <c r="AA19" s="695">
        <f t="shared" ref="AA19:AA20" si="9">+AA18</f>
        <v>-1.931280545906533E-2</v>
      </c>
    </row>
    <row r="20" spans="1:27" ht="15.75" thickBot="1">
      <c r="A20" s="716" t="str">
        <f t="shared" si="6"/>
        <v>REGIÓN AYACUCHO</v>
      </c>
      <c r="B20" s="717" t="str">
        <f>+Resumen!D52</f>
        <v>Labarden</v>
      </c>
      <c r="C20" s="718">
        <f>+Resumen!H52</f>
        <v>846373.82851839997</v>
      </c>
      <c r="D20" s="718">
        <f>+Resumen!O52</f>
        <v>359159.83353599999</v>
      </c>
      <c r="E20" s="718">
        <f>+Resumen!R52</f>
        <v>356780.74063999997</v>
      </c>
      <c r="F20" s="718">
        <f>+Resumen!V52</f>
        <v>0</v>
      </c>
      <c r="G20" s="718">
        <f>+Resumen!Y52</f>
        <v>3510.1086584</v>
      </c>
      <c r="H20" s="718">
        <f>+Resumen!Z52</f>
        <v>148295.544026944</v>
      </c>
      <c r="I20" s="718">
        <f>+Resumen!H56</f>
        <v>698536.91143648967</v>
      </c>
      <c r="J20" s="718">
        <f>+Resumen!O56</f>
        <v>36671.732215593918</v>
      </c>
      <c r="K20" s="718">
        <f>+Resumen!R56</f>
        <v>183251.04838002988</v>
      </c>
      <c r="L20" s="718">
        <f>+Resumen!V56</f>
        <v>0</v>
      </c>
      <c r="M20" s="718">
        <f>+Resumen!Y56</f>
        <v>3510.1086584</v>
      </c>
      <c r="N20" s="718">
        <f>+Resumen!Z56</f>
        <v>148295.544026944</v>
      </c>
      <c r="O20" s="719">
        <f>+Resumen!AB52</f>
        <v>-5048252.118250519</v>
      </c>
      <c r="P20" s="719">
        <f>+Resumen!AB56</f>
        <v>-4618785.2415837962</v>
      </c>
      <c r="Q20" s="720">
        <f t="shared" si="0"/>
        <v>1562314.4026943999</v>
      </c>
      <c r="R20" s="721" t="str">
        <f t="shared" si="1"/>
        <v>R</v>
      </c>
      <c r="S20" s="720">
        <f t="shared" si="2"/>
        <v>918459.69203211344</v>
      </c>
      <c r="T20" s="743" t="s">
        <v>488</v>
      </c>
      <c r="U20" s="744">
        <f t="shared" si="8"/>
        <v>-8.5072390721950608E-2</v>
      </c>
      <c r="V20" s="940"/>
      <c r="W20" s="936"/>
      <c r="X20" s="737" t="str">
        <f t="shared" si="3"/>
        <v>R</v>
      </c>
      <c r="AA20" s="695">
        <f t="shared" si="9"/>
        <v>-1.931280545906533E-2</v>
      </c>
    </row>
    <row r="21" spans="1:27">
      <c r="A21" s="723" t="str">
        <f>+Resumen!A63</f>
        <v>REGIÓN AZUL</v>
      </c>
      <c r="B21" s="724" t="str">
        <f>+Resumen!D63</f>
        <v>Azul</v>
      </c>
      <c r="C21" s="725">
        <f>+Resumen!H63</f>
        <v>6214228.2529044515</v>
      </c>
      <c r="D21" s="725">
        <f>+Resumen!O63</f>
        <v>1792132.2303200001</v>
      </c>
      <c r="E21" s="725">
        <f>+Resumen!R63</f>
        <v>13131104.925600002</v>
      </c>
      <c r="F21" s="725">
        <f>+Resumen!V63</f>
        <v>0</v>
      </c>
      <c r="G21" s="725">
        <f>+Resumen!Y63</f>
        <v>98443.206103680001</v>
      </c>
      <c r="H21" s="725">
        <f>+Resumen!Z63</f>
        <v>396890.71761030564</v>
      </c>
      <c r="I21" s="725">
        <f>+Resumen!H66</f>
        <v>7710574.6781597678</v>
      </c>
      <c r="J21" s="725">
        <f>+Resumen!O66</f>
        <v>1613648.4420171031</v>
      </c>
      <c r="K21" s="725">
        <f>+Resumen!R66</f>
        <v>12524844.466844443</v>
      </c>
      <c r="L21" s="725">
        <f>+Resumen!V66</f>
        <v>0</v>
      </c>
      <c r="M21" s="725">
        <f>+Resumen!Y66</f>
        <v>98443.206103680001</v>
      </c>
      <c r="N21" s="725">
        <f>+Resumen!Z66</f>
        <v>396890.71761030564</v>
      </c>
      <c r="O21" s="726">
        <f>+Resumen!AB63</f>
        <v>-67939232.764353827</v>
      </c>
      <c r="P21" s="726">
        <f>+Resumen!AB66</f>
        <v>-68228998.007184967</v>
      </c>
      <c r="Q21" s="727">
        <f t="shared" si="0"/>
        <v>21137465.408824451</v>
      </c>
      <c r="R21" s="728" t="str">
        <f t="shared" si="1"/>
        <v>L</v>
      </c>
      <c r="S21" s="727">
        <f t="shared" si="2"/>
        <v>21849067.587021314</v>
      </c>
      <c r="T21" s="746" t="s">
        <v>488</v>
      </c>
      <c r="U21" s="745">
        <f>+(P21/O21-1)</f>
        <v>4.2650649858850809E-3</v>
      </c>
      <c r="V21" s="938">
        <f>+(SUM(P21:P22)/SUM(O21:O22)-1)</f>
        <v>1.9457822621178789E-2</v>
      </c>
      <c r="W21" s="936"/>
      <c r="X21" s="737" t="str">
        <f t="shared" si="3"/>
        <v>L</v>
      </c>
      <c r="AA21" s="695">
        <f>+V21</f>
        <v>1.9457822621178789E-2</v>
      </c>
    </row>
    <row r="22" spans="1:27" ht="15.75" thickBot="1">
      <c r="A22" s="716" t="str">
        <f t="shared" si="6"/>
        <v>REGIÓN AZUL</v>
      </c>
      <c r="B22" s="717" t="str">
        <f>+Resumen!D64</f>
        <v>Tapalqué</v>
      </c>
      <c r="C22" s="718">
        <f>+Resumen!H64</f>
        <v>2293991.8247098257</v>
      </c>
      <c r="D22" s="718">
        <f>+Resumen!O64</f>
        <v>359159.83353599999</v>
      </c>
      <c r="E22" s="718">
        <f>+Resumen!R64</f>
        <v>572978.82328000001</v>
      </c>
      <c r="F22" s="718">
        <f>+Resumen!V64</f>
        <v>1221401.3663999999</v>
      </c>
      <c r="G22" s="718">
        <f>+Resumen!Y64</f>
        <v>9488.8269027200004</v>
      </c>
      <c r="H22" s="718">
        <f>+Resumen!Z64</f>
        <v>177147.71847925824</v>
      </c>
      <c r="I22" s="718">
        <f>+Resumen!H67</f>
        <v>2053954.5635882162</v>
      </c>
      <c r="J22" s="718">
        <f>+Resumen!O67</f>
        <v>218736.69806289687</v>
      </c>
      <c r="K22" s="718">
        <f>+Resumen!R67</f>
        <v>1524851.7267555567</v>
      </c>
      <c r="L22" s="718">
        <f>+Resumen!V67</f>
        <v>1221401.3663999999</v>
      </c>
      <c r="M22" s="718">
        <f>+Resumen!Y67</f>
        <v>9488.8269027200004</v>
      </c>
      <c r="N22" s="718">
        <f>+Resumen!Z67</f>
        <v>177147.71847925824</v>
      </c>
      <c r="O22" s="719">
        <f>+Resumen!AB64</f>
        <v>-11811557.712221937</v>
      </c>
      <c r="P22" s="719">
        <f>+Resumen!AB67</f>
        <v>-13073569.204382787</v>
      </c>
      <c r="Q22" s="720">
        <f t="shared" si="0"/>
        <v>4447531.847925826</v>
      </c>
      <c r="R22" s="721" t="str">
        <f t="shared" si="1"/>
        <v>L</v>
      </c>
      <c r="S22" s="720">
        <f t="shared" si="2"/>
        <v>5018944.35480667</v>
      </c>
      <c r="T22" s="743" t="s">
        <v>488</v>
      </c>
      <c r="U22" s="744">
        <f t="shared" si="8"/>
        <v>0.10684547482293461</v>
      </c>
      <c r="V22" s="940"/>
      <c r="W22" s="936"/>
      <c r="X22" s="737" t="str">
        <f t="shared" si="3"/>
        <v>L</v>
      </c>
      <c r="AA22" s="695">
        <f t="shared" ref="AA22:AA85" si="10">+AA21</f>
        <v>1.9457822621178789E-2</v>
      </c>
    </row>
    <row r="23" spans="1:27">
      <c r="A23" s="723" t="str">
        <f>+Resumen!A74</f>
        <v>REGIÓN BOLÍVAR</v>
      </c>
      <c r="B23" s="724" t="str">
        <f>+Resumen!D74</f>
        <v>Daireaux</v>
      </c>
      <c r="C23" s="725">
        <f>+Resumen!H74</f>
        <v>2362579.2007098258</v>
      </c>
      <c r="D23" s="725">
        <f>+Resumen!O74</f>
        <v>44727.727786000003</v>
      </c>
      <c r="E23" s="725">
        <f>+Resumen!R74</f>
        <v>724869.87055999995</v>
      </c>
      <c r="F23" s="725">
        <f>+Resumen!V74</f>
        <v>0</v>
      </c>
      <c r="G23" s="725">
        <f>+Resumen!Y74</f>
        <v>20835.421791599998</v>
      </c>
      <c r="H23" s="725">
        <f>+Resumen!Z74</f>
        <v>163994.16799055826</v>
      </c>
      <c r="I23" s="725">
        <f>+Resumen!H78</f>
        <v>2310153.3685058947</v>
      </c>
      <c r="J23" s="725">
        <f>+Resumen!O78</f>
        <v>185379.88940537709</v>
      </c>
      <c r="K23" s="725">
        <f>+Resumen!R78</f>
        <v>2686353.3277113126</v>
      </c>
      <c r="L23" s="725">
        <f>+Resumen!V78</f>
        <v>0</v>
      </c>
      <c r="M23" s="725">
        <f>+Resumen!Y78</f>
        <v>20835.421791599998</v>
      </c>
      <c r="N23" s="725">
        <f>+Resumen!Z78</f>
        <v>163994.16799055826</v>
      </c>
      <c r="O23" s="726">
        <f>+Resumen!AB74</f>
        <v>-12256667.860594852</v>
      </c>
      <c r="P23" s="726">
        <f>+Resumen!AB78</f>
        <v>-17052431.272018753</v>
      </c>
      <c r="Q23" s="727">
        <f t="shared" si="0"/>
        <v>3132176.7990558259</v>
      </c>
      <c r="R23" s="728" t="str">
        <f t="shared" si="1"/>
        <v>L</v>
      </c>
      <c r="S23" s="727">
        <f t="shared" si="2"/>
        <v>5181886.5856225844</v>
      </c>
      <c r="T23" s="746" t="s">
        <v>488</v>
      </c>
      <c r="U23" s="745">
        <f>+(P23/O23-1)</f>
        <v>0.39127791223275832</v>
      </c>
      <c r="V23" s="938">
        <f>+(SUM(P23:P25)/SUM(O23:O25)-1)</f>
        <v>-1.0208891347757154E-3</v>
      </c>
      <c r="W23" s="936"/>
      <c r="X23" s="737" t="str">
        <f t="shared" si="3"/>
        <v>R</v>
      </c>
      <c r="AA23" s="695">
        <f>+V23</f>
        <v>-1.0208891347757154E-3</v>
      </c>
    </row>
    <row r="24" spans="1:27">
      <c r="A24" s="710" t="str">
        <f t="shared" si="6"/>
        <v>REGIÓN BOLÍVAR</v>
      </c>
      <c r="B24" s="711" t="str">
        <f>+Resumen!D75</f>
        <v>Henderson</v>
      </c>
      <c r="C24" s="712">
        <f>+Resumen!H75</f>
        <v>2318932.6887098253</v>
      </c>
      <c r="D24" s="712">
        <f>+Resumen!O75</f>
        <v>44727.727786000003</v>
      </c>
      <c r="E24" s="712">
        <f>+Resumen!R75</f>
        <v>559153.08952000004</v>
      </c>
      <c r="F24" s="712">
        <f>+Resumen!V75</f>
        <v>569987.30432</v>
      </c>
      <c r="G24" s="712">
        <f>+Resumen!Y75</f>
        <v>9173.7222940799984</v>
      </c>
      <c r="H24" s="712">
        <f>+Resumen!Z75</f>
        <v>167600.40810335823</v>
      </c>
      <c r="I24" s="712">
        <f>+Resumen!H79</f>
        <v>2078005.4839915812</v>
      </c>
      <c r="J24" s="712">
        <f>+Resumen!O79</f>
        <v>32475.531254656438</v>
      </c>
      <c r="K24" s="712">
        <f>+Resumen!R79</f>
        <v>1744190.4025461567</v>
      </c>
      <c r="L24" s="712">
        <f>+Resumen!V79</f>
        <v>569987.30432</v>
      </c>
      <c r="M24" s="712">
        <f>+Resumen!Y79</f>
        <v>9173.7222940799984</v>
      </c>
      <c r="N24" s="712">
        <f>+Resumen!Z79</f>
        <v>167600.40810335823</v>
      </c>
      <c r="O24" s="713">
        <f>+Resumen!AB75</f>
        <v>-11559235.102128197</v>
      </c>
      <c r="P24" s="713">
        <f>+Resumen!AB79</f>
        <v>-14016720.291484198</v>
      </c>
      <c r="Q24" s="714">
        <f t="shared" si="0"/>
        <v>3492800.8103358252</v>
      </c>
      <c r="R24" s="715" t="str">
        <f t="shared" si="1"/>
        <v>L</v>
      </c>
      <c r="S24" s="714">
        <f t="shared" si="2"/>
        <v>4424658.7221123939</v>
      </c>
      <c r="T24" s="741" t="s">
        <v>488</v>
      </c>
      <c r="U24" s="742">
        <f t="shared" ref="U24:U25" si="11">+(P24/O24-1)</f>
        <v>0.21259929118524012</v>
      </c>
      <c r="V24" s="939"/>
      <c r="W24" s="936"/>
      <c r="X24" s="737" t="str">
        <f t="shared" si="3"/>
        <v>R</v>
      </c>
      <c r="AA24" s="695">
        <f t="shared" si="10"/>
        <v>-1.0208891347757154E-3</v>
      </c>
    </row>
    <row r="25" spans="1:27" ht="15.75" thickBot="1">
      <c r="A25" s="716" t="str">
        <f t="shared" si="6"/>
        <v>REGIÓN BOLÍVAR</v>
      </c>
      <c r="B25" s="717" t="str">
        <f>+Resumen!D76</f>
        <v>San Carlos de Bolívar</v>
      </c>
      <c r="C25" s="718">
        <f>+Resumen!H76</f>
        <v>3737193.8862797669</v>
      </c>
      <c r="D25" s="718">
        <f>+Resumen!O76</f>
        <v>321021.6827</v>
      </c>
      <c r="E25" s="718">
        <f>+Resumen!R76</f>
        <v>8301162.4640000006</v>
      </c>
      <c r="F25" s="718">
        <f>+Resumen!V76</f>
        <v>9160510.2479999997</v>
      </c>
      <c r="G25" s="718">
        <f>+Resumen!Y76</f>
        <v>63596.654987386661</v>
      </c>
      <c r="H25" s="718">
        <f>+Resumen!Z76</f>
        <v>347871.28280979767</v>
      </c>
      <c r="I25" s="718">
        <f>+Resumen!H80</f>
        <v>4158545.5151474522</v>
      </c>
      <c r="J25" s="718">
        <f>+Resumen!O80</f>
        <v>0</v>
      </c>
      <c r="K25" s="718">
        <f>+Resumen!R80</f>
        <v>6324839.0241425335</v>
      </c>
      <c r="L25" s="718">
        <f>+Resumen!V80</f>
        <v>9160510.2479999997</v>
      </c>
      <c r="M25" s="718">
        <f>+Resumen!Y80</f>
        <v>63596.654987386661</v>
      </c>
      <c r="N25" s="718">
        <f>+Resumen!Z80</f>
        <v>347871.28280979767</v>
      </c>
      <c r="O25" s="719">
        <f>+Resumen!AB76</f>
        <v>-43619515.464579001</v>
      </c>
      <c r="P25" s="719">
        <f>+Resumen!AB80</f>
        <v>-36297422.777827598</v>
      </c>
      <c r="Q25" s="720">
        <f t="shared" si="0"/>
        <v>21519888.280979767</v>
      </c>
      <c r="R25" s="721" t="str">
        <f t="shared" si="1"/>
        <v>R</v>
      </c>
      <c r="S25" s="720">
        <f t="shared" si="2"/>
        <v>19643894.787289985</v>
      </c>
      <c r="T25" s="743" t="s">
        <v>488</v>
      </c>
      <c r="U25" s="744">
        <f t="shared" si="11"/>
        <v>-0.16786276988100135</v>
      </c>
      <c r="V25" s="940"/>
      <c r="W25" s="936"/>
      <c r="X25" s="737" t="str">
        <f t="shared" si="3"/>
        <v>R</v>
      </c>
      <c r="AA25" s="695">
        <f t="shared" si="10"/>
        <v>-1.0208891347757154E-3</v>
      </c>
    </row>
    <row r="26" spans="1:27">
      <c r="A26" s="722" t="str">
        <f>+Resumen!A87</f>
        <v>REGIÓN CAPILLA DEL SEÑOR</v>
      </c>
      <c r="B26" s="711" t="str">
        <f>+Resumen!D87</f>
        <v>Los Cardales</v>
      </c>
      <c r="C26" s="712">
        <f>+Resumen!H87</f>
        <v>2194228.3687098254</v>
      </c>
      <c r="D26" s="712">
        <f>+Resumen!O87</f>
        <v>359159.83353599999</v>
      </c>
      <c r="E26" s="712">
        <f>+Resumen!R87</f>
        <v>878702.19007999997</v>
      </c>
      <c r="F26" s="712">
        <f>+Resumen!V87</f>
        <v>0</v>
      </c>
      <c r="G26" s="712">
        <f>+Resumen!Y87</f>
        <v>13882.737253493333</v>
      </c>
      <c r="H26" s="712">
        <f>+Resumen!Z87</f>
        <v>166993.30392325827</v>
      </c>
      <c r="I26" s="712">
        <f>+Resumen!H91</f>
        <v>1987890.1784000597</v>
      </c>
      <c r="J26" s="712">
        <f>+Resumen!O91</f>
        <v>495581.61910365097</v>
      </c>
      <c r="K26" s="712">
        <f>+Resumen!R91</f>
        <v>3095703.787012605</v>
      </c>
      <c r="L26" s="712">
        <f>+Resumen!V91</f>
        <v>0</v>
      </c>
      <c r="M26" s="712">
        <f>+Resumen!Y91</f>
        <v>13882.737253493333</v>
      </c>
      <c r="N26" s="712">
        <f>+Resumen!Z91</f>
        <v>166993.30392325827</v>
      </c>
      <c r="O26" s="713">
        <f>+Resumen!AB87</f>
        <v>-11493580.807099983</v>
      </c>
      <c r="P26" s="713">
        <f>+Resumen!AB91</f>
        <v>-16607516.092853261</v>
      </c>
      <c r="Q26" s="714">
        <f t="shared" si="0"/>
        <v>3432090.3923258255</v>
      </c>
      <c r="R26" s="715" t="str">
        <f t="shared" si="1"/>
        <v>L</v>
      </c>
      <c r="S26" s="714">
        <f t="shared" si="2"/>
        <v>5579175.5845163157</v>
      </c>
      <c r="T26" s="741" t="s">
        <v>488</v>
      </c>
      <c r="U26" s="745">
        <f>+(P26/O26-1)</f>
        <v>0.444938385311062</v>
      </c>
      <c r="V26" s="938">
        <f>+(SUM(P26:P28)/SUM(O26:O28)-1)</f>
        <v>-1.5652585598091573E-2</v>
      </c>
      <c r="W26" s="936"/>
      <c r="X26" s="737" t="str">
        <f t="shared" si="3"/>
        <v>R</v>
      </c>
      <c r="AA26" s="695">
        <f>+V26</f>
        <v>-1.5652585598091573E-2</v>
      </c>
    </row>
    <row r="27" spans="1:27">
      <c r="A27" s="710" t="str">
        <f t="shared" si="6"/>
        <v>REGIÓN CAPILLA DEL SEÑOR</v>
      </c>
      <c r="B27" s="711" t="str">
        <f>+Resumen!D88</f>
        <v>Parada Robles - Pavón</v>
      </c>
      <c r="C27" s="712">
        <f>+Resumen!H88</f>
        <v>1529654.1341475856</v>
      </c>
      <c r="D27" s="712">
        <f>+Resumen!O88</f>
        <v>1682645.8268800001</v>
      </c>
      <c r="E27" s="712">
        <f>+Resumen!R88</f>
        <v>7805247.9688000008</v>
      </c>
      <c r="F27" s="712">
        <f>+Resumen!V88</f>
        <v>0</v>
      </c>
      <c r="G27" s="712">
        <f>+Resumen!Y88</f>
        <v>22118.254435199997</v>
      </c>
      <c r="H27" s="712">
        <f>+Resumen!Z88</f>
        <v>242847.87929827586</v>
      </c>
      <c r="I27" s="712">
        <f>+Resumen!H92</f>
        <v>1519415.0406739397</v>
      </c>
      <c r="J27" s="712">
        <f>+Resumen!O92</f>
        <v>859305.93320368975</v>
      </c>
      <c r="K27" s="712">
        <f>+Resumen!R92</f>
        <v>5325308.4066416798</v>
      </c>
      <c r="L27" s="712">
        <f>+Resumen!V92</f>
        <v>0</v>
      </c>
      <c r="M27" s="712">
        <f>+Resumen!Y92</f>
        <v>22118.254435199997</v>
      </c>
      <c r="N27" s="712">
        <f>+Resumen!Z92</f>
        <v>242847.87929827586</v>
      </c>
      <c r="O27" s="713">
        <f>+Resumen!AB88</f>
        <v>-29586104.445869923</v>
      </c>
      <c r="P27" s="713">
        <f>+Resumen!AB92</f>
        <v>-19193667.740702607</v>
      </c>
      <c r="Q27" s="714">
        <f t="shared" si="0"/>
        <v>11017547.929827586</v>
      </c>
      <c r="R27" s="715" t="str">
        <f t="shared" si="1"/>
        <v>R</v>
      </c>
      <c r="S27" s="714">
        <f t="shared" si="2"/>
        <v>7704029.3805193091</v>
      </c>
      <c r="T27" s="741" t="s">
        <v>488</v>
      </c>
      <c r="U27" s="742">
        <f t="shared" ref="U27:U33" si="12">+(P27/O27-1)</f>
        <v>-0.35126073201631147</v>
      </c>
      <c r="V27" s="939"/>
      <c r="W27" s="936"/>
      <c r="X27" s="737" t="str">
        <f t="shared" si="3"/>
        <v>R</v>
      </c>
      <c r="AA27" s="695">
        <f t="shared" si="10"/>
        <v>-1.5652585598091573E-2</v>
      </c>
    </row>
    <row r="28" spans="1:27" ht="15.75" thickBot="1">
      <c r="A28" s="716" t="str">
        <f t="shared" si="6"/>
        <v>REGIÓN CAPILLA DEL SEÑOR</v>
      </c>
      <c r="B28" s="717" t="str">
        <f>+Resumen!D89</f>
        <v>Capilla del Señor</v>
      </c>
      <c r="C28" s="718">
        <f>+Resumen!H89</f>
        <v>2235340.0917175272</v>
      </c>
      <c r="D28" s="718">
        <f>+Resumen!O89</f>
        <v>0</v>
      </c>
      <c r="E28" s="718">
        <f>+Resumen!R89</f>
        <v>794783.53695999994</v>
      </c>
      <c r="F28" s="718">
        <f>+Resumen!V89</f>
        <v>0</v>
      </c>
      <c r="G28" s="718">
        <f>+Resumen!Y89</f>
        <v>12968.687259599999</v>
      </c>
      <c r="H28" s="718">
        <f>+Resumen!Z89</f>
        <v>162973.63628677526</v>
      </c>
      <c r="I28" s="718">
        <f>+Resumen!H93</f>
        <v>1927716.0987341052</v>
      </c>
      <c r="J28" s="718">
        <f>+Resumen!O93</f>
        <v>0</v>
      </c>
      <c r="K28" s="718">
        <f>+Resumen!R93</f>
        <v>2819937.3135457165</v>
      </c>
      <c r="L28" s="718">
        <f>+Resumen!V93</f>
        <v>0</v>
      </c>
      <c r="M28" s="718">
        <f>+Resumen!Y93</f>
        <v>12968.687259599999</v>
      </c>
      <c r="N28" s="718">
        <f>+Resumen!Z93</f>
        <v>162973.63628677526</v>
      </c>
      <c r="O28" s="719">
        <f>+Resumen!AB89</f>
        <v>-10908547.096081208</v>
      </c>
      <c r="P28" s="719">
        <f>+Resumen!AB93</f>
        <v>-15373298.258558249</v>
      </c>
      <c r="Q28" s="720">
        <f t="shared" si="0"/>
        <v>3030123.6286775274</v>
      </c>
      <c r="R28" s="721" t="str">
        <f t="shared" si="1"/>
        <v>L</v>
      </c>
      <c r="S28" s="720">
        <f t="shared" si="2"/>
        <v>4747653.4122798219</v>
      </c>
      <c r="T28" s="743" t="s">
        <v>488</v>
      </c>
      <c r="U28" s="744">
        <f t="shared" si="12"/>
        <v>0.40928925943592986</v>
      </c>
      <c r="V28" s="940"/>
      <c r="W28" s="936"/>
      <c r="X28" s="737" t="str">
        <f t="shared" si="3"/>
        <v>R</v>
      </c>
      <c r="AA28" s="695">
        <f t="shared" si="10"/>
        <v>-1.5652585598091573E-2</v>
      </c>
    </row>
    <row r="29" spans="1:27">
      <c r="A29" s="723" t="str">
        <f>+Resumen!A100</f>
        <v>REGIÓN CARHUÉ</v>
      </c>
      <c r="B29" s="724" t="str">
        <f>+Resumen!D100</f>
        <v>Casbas</v>
      </c>
      <c r="C29" s="725">
        <f>+Resumen!H100</f>
        <v>2134993.8167098258</v>
      </c>
      <c r="D29" s="725">
        <f>+Resumen!O100</f>
        <v>359159.83353599999</v>
      </c>
      <c r="E29" s="725">
        <f>+Resumen!R100</f>
        <v>498110.46351999999</v>
      </c>
      <c r="F29" s="725">
        <f>+Resumen!V100</f>
        <v>0</v>
      </c>
      <c r="G29" s="725">
        <f>+Resumen!Y100</f>
        <v>4131.1781011199992</v>
      </c>
      <c r="H29" s="725">
        <f>+Resumen!Z100</f>
        <v>162595.04113765823</v>
      </c>
      <c r="I29" s="725">
        <f>+Resumen!H106</f>
        <v>1916248.7151379185</v>
      </c>
      <c r="J29" s="725">
        <f>+Resumen!O106</f>
        <v>280012.53233161214</v>
      </c>
      <c r="K29" s="725">
        <f>+Resumen!R106</f>
        <v>1326563.3420098044</v>
      </c>
      <c r="L29" s="725">
        <f>+Resumen!V106</f>
        <v>0</v>
      </c>
      <c r="M29" s="725">
        <f>+Resumen!Y106</f>
        <v>4131.1781011199992</v>
      </c>
      <c r="N29" s="725">
        <f>+Resumen!Z106</f>
        <v>162595.04113765823</v>
      </c>
      <c r="O29" s="726">
        <f>+Resumen!AB100</f>
        <v>-9806046.0702500474</v>
      </c>
      <c r="P29" s="726">
        <f>+Resumen!AB106</f>
        <v>-12398747.19333729</v>
      </c>
      <c r="Q29" s="727">
        <f t="shared" si="0"/>
        <v>2992264.1137658255</v>
      </c>
      <c r="R29" s="728" t="str">
        <f t="shared" si="1"/>
        <v>L</v>
      </c>
      <c r="S29" s="727">
        <f t="shared" si="2"/>
        <v>3522824.5894793347</v>
      </c>
      <c r="T29" s="746" t="s">
        <v>488</v>
      </c>
      <c r="U29" s="745">
        <f t="shared" si="12"/>
        <v>0.26439821968133281</v>
      </c>
      <c r="V29" s="938">
        <f>+(SUM(P29:P33)/SUM(O29:O33)-1)</f>
        <v>0.44483085525882826</v>
      </c>
      <c r="W29" s="936"/>
      <c r="X29" s="737" t="str">
        <f t="shared" si="3"/>
        <v>L</v>
      </c>
      <c r="AA29" s="695">
        <f>+V29</f>
        <v>0.44483085525882826</v>
      </c>
    </row>
    <row r="30" spans="1:27">
      <c r="A30" s="710" t="str">
        <f t="shared" si="6"/>
        <v>REGIÓN CARHUÉ</v>
      </c>
      <c r="B30" s="711" t="str">
        <f>+Resumen!D101</f>
        <v>Rivera</v>
      </c>
      <c r="C30" s="712">
        <f>+Resumen!H101</f>
        <v>911843.59651839989</v>
      </c>
      <c r="D30" s="712">
        <f>+Resumen!O101</f>
        <v>359159.83353599999</v>
      </c>
      <c r="E30" s="712">
        <f>+Resumen!R101</f>
        <v>443191.57663999998</v>
      </c>
      <c r="F30" s="712">
        <f>+Resumen!V101</f>
        <v>0</v>
      </c>
      <c r="G30" s="712">
        <f>+Resumen!Y101</f>
        <v>4770.0918655999985</v>
      </c>
      <c r="H30" s="712">
        <f>+Resumen!Z101</f>
        <v>149814.350066944</v>
      </c>
      <c r="I30" s="712">
        <f>+Resumen!H107</f>
        <v>1154843.0986772876</v>
      </c>
      <c r="J30" s="712">
        <f>+Resumen!O107</f>
        <v>186248.98823793017</v>
      </c>
      <c r="K30" s="712">
        <f>+Resumen!R107</f>
        <v>886222.37069997226</v>
      </c>
      <c r="L30" s="712">
        <f>+Resumen!V107</f>
        <v>0</v>
      </c>
      <c r="M30" s="712">
        <f>+Resumen!Y107</f>
        <v>4770.0918655999985</v>
      </c>
      <c r="N30" s="712">
        <f>+Resumen!Z107</f>
        <v>149814.350066944</v>
      </c>
      <c r="O30" s="713">
        <f>+Resumen!AB101</f>
        <v>-5886528.779256138</v>
      </c>
      <c r="P30" s="713">
        <f>+Resumen!AB107</f>
        <v>-9242207.8652987573</v>
      </c>
      <c r="Q30" s="714">
        <f t="shared" si="0"/>
        <v>1714195.0066943998</v>
      </c>
      <c r="R30" s="715" t="str">
        <f t="shared" si="1"/>
        <v>L</v>
      </c>
      <c r="S30" s="714">
        <f t="shared" si="2"/>
        <v>2227314.4576151902</v>
      </c>
      <c r="T30" s="741" t="s">
        <v>488</v>
      </c>
      <c r="U30" s="742">
        <f t="shared" si="12"/>
        <v>0.57006076278228379</v>
      </c>
      <c r="V30" s="939"/>
      <c r="W30" s="936"/>
      <c r="X30" s="737" t="str">
        <f t="shared" si="3"/>
        <v>L</v>
      </c>
      <c r="AA30" s="695">
        <f t="shared" si="10"/>
        <v>0.44483085525882826</v>
      </c>
    </row>
    <row r="31" spans="1:27">
      <c r="A31" s="710" t="str">
        <f t="shared" si="6"/>
        <v>REGIÓN CARHUÉ</v>
      </c>
      <c r="B31" s="711" t="str">
        <f>+Resumen!D102</f>
        <v>Salliqueló</v>
      </c>
      <c r="C31" s="712">
        <f>+Resumen!H102</f>
        <v>2212934.0167098255</v>
      </c>
      <c r="D31" s="712">
        <f>+Resumen!O102</f>
        <v>359159.83353599999</v>
      </c>
      <c r="E31" s="712">
        <f>+Resumen!R102</f>
        <v>608140.26136</v>
      </c>
      <c r="F31" s="712">
        <f>+Resumen!V102</f>
        <v>5292739.2544</v>
      </c>
      <c r="G31" s="712">
        <f>+Resumen!Y102</f>
        <v>10816.487964399999</v>
      </c>
      <c r="H31" s="712">
        <f>+Resumen!Z102</f>
        <v>217402.13366005826</v>
      </c>
      <c r="I31" s="712">
        <f>+Resumen!H108</f>
        <v>2143086.8330049124</v>
      </c>
      <c r="J31" s="712">
        <f>+Resumen!O108</f>
        <v>465124.02321984037</v>
      </c>
      <c r="K31" s="712">
        <f>+Resumen!R108</f>
        <v>2209142.9399947235</v>
      </c>
      <c r="L31" s="712">
        <f>+Resumen!V108</f>
        <v>5292739.2544</v>
      </c>
      <c r="M31" s="712">
        <f>+Resumen!Y108</f>
        <v>10816.487964399999</v>
      </c>
      <c r="N31" s="712">
        <f>+Resumen!Z108</f>
        <v>217402.13366005826</v>
      </c>
      <c r="O31" s="713">
        <f>+Resumen!AB102</f>
        <v>-10947159.438258003</v>
      </c>
      <c r="P31" s="713">
        <f>+Resumen!AB108</f>
        <v>-15731915.021126941</v>
      </c>
      <c r="Q31" s="714">
        <f t="shared" si="0"/>
        <v>8472973.3660058249</v>
      </c>
      <c r="R31" s="715" t="str">
        <f t="shared" si="1"/>
        <v>L</v>
      </c>
      <c r="S31" s="714">
        <f t="shared" si="2"/>
        <v>10110093.050619476</v>
      </c>
      <c r="T31" s="741" t="s">
        <v>488</v>
      </c>
      <c r="U31" s="742">
        <f t="shared" si="12"/>
        <v>0.43707736329729796</v>
      </c>
      <c r="V31" s="939"/>
      <c r="W31" s="936"/>
      <c r="X31" s="737" t="str">
        <f t="shared" si="3"/>
        <v>L</v>
      </c>
      <c r="AA31" s="695">
        <f t="shared" si="10"/>
        <v>0.44483085525882826</v>
      </c>
    </row>
    <row r="32" spans="1:27">
      <c r="A32" s="710" t="str">
        <f t="shared" si="6"/>
        <v>REGIÓN CARHUÉ</v>
      </c>
      <c r="B32" s="711" t="str">
        <f>+Resumen!D103</f>
        <v>Guaminí</v>
      </c>
      <c r="C32" s="712">
        <f>+Resumen!H103</f>
        <v>933666.85251839994</v>
      </c>
      <c r="D32" s="712">
        <f>+Resumen!O103</f>
        <v>359159.83353599999</v>
      </c>
      <c r="E32" s="712">
        <f>+Resumen!R103</f>
        <v>428597.74656</v>
      </c>
      <c r="F32" s="712">
        <f>+Resumen!V103</f>
        <v>1017834.472</v>
      </c>
      <c r="G32" s="712">
        <f>+Resumen!Y103</f>
        <v>10449.8089136</v>
      </c>
      <c r="H32" s="712">
        <f>+Resumen!Z103</f>
        <v>160064.98904614401</v>
      </c>
      <c r="I32" s="712">
        <f>+Resumen!H109</f>
        <v>1154181.6109236504</v>
      </c>
      <c r="J32" s="712">
        <f>+Resumen!O109</f>
        <v>161335.63590935169</v>
      </c>
      <c r="K32" s="712">
        <f>+Resumen!R109</f>
        <v>768685.50839585077</v>
      </c>
      <c r="L32" s="712">
        <f>+Resumen!V109</f>
        <v>1017834.472</v>
      </c>
      <c r="M32" s="712">
        <f>+Resumen!Y109</f>
        <v>10449.8089136</v>
      </c>
      <c r="N32" s="712">
        <f>+Resumen!Z109</f>
        <v>160064.98904614401</v>
      </c>
      <c r="O32" s="713">
        <f>+Resumen!AB103</f>
        <v>-6009599.3211208815</v>
      </c>
      <c r="P32" s="713">
        <f>+Resumen!AB109</f>
        <v>-8913202.1596299596</v>
      </c>
      <c r="Q32" s="714">
        <f t="shared" si="0"/>
        <v>2739258.9046144001</v>
      </c>
      <c r="R32" s="715" t="str">
        <f t="shared" si="1"/>
        <v>L</v>
      </c>
      <c r="S32" s="714">
        <f t="shared" si="2"/>
        <v>3102037.2272288529</v>
      </c>
      <c r="T32" s="741" t="s">
        <v>488</v>
      </c>
      <c r="U32" s="742">
        <f t="shared" si="12"/>
        <v>0.48316080380006299</v>
      </c>
      <c r="V32" s="939"/>
      <c r="W32" s="936"/>
      <c r="X32" s="737" t="str">
        <f t="shared" si="3"/>
        <v>L</v>
      </c>
      <c r="AA32" s="695">
        <f t="shared" si="10"/>
        <v>0.44483085525882826</v>
      </c>
    </row>
    <row r="33" spans="1:27" ht="15.75" thickBot="1">
      <c r="A33" s="716" t="str">
        <f t="shared" si="6"/>
        <v>REGIÓN CARHUÉ</v>
      </c>
      <c r="B33" s="717" t="str">
        <f>+Resumen!D104</f>
        <v>Carhué</v>
      </c>
      <c r="C33" s="718">
        <f>+Resumen!H104</f>
        <v>2431166.5767098255</v>
      </c>
      <c r="D33" s="718">
        <f>+Resumen!O104</f>
        <v>359159.83353599999</v>
      </c>
      <c r="E33" s="718">
        <f>+Resumen!R104</f>
        <v>686294.06192000001</v>
      </c>
      <c r="F33" s="718">
        <f>+Resumen!V104</f>
        <v>3362925.0954880002</v>
      </c>
      <c r="G33" s="718">
        <f>+Resumen!Y104</f>
        <v>14739.699925333331</v>
      </c>
      <c r="H33" s="718">
        <f>+Resumen!Z104</f>
        <v>201067.85567653825</v>
      </c>
      <c r="I33" s="718">
        <f>+Resumen!H110</f>
        <v>2461387.460525699</v>
      </c>
      <c r="J33" s="718">
        <f>+Resumen!O110</f>
        <v>598643.01934126567</v>
      </c>
      <c r="K33" s="718">
        <f>+Resumen!R110</f>
        <v>2836469.1332996488</v>
      </c>
      <c r="L33" s="718">
        <f>+Resumen!V110</f>
        <v>3362925.0954880002</v>
      </c>
      <c r="M33" s="718">
        <f>+Resumen!Y110</f>
        <v>14739.699925333331</v>
      </c>
      <c r="N33" s="718">
        <f>+Resumen!Z110</f>
        <v>201067.85567653825</v>
      </c>
      <c r="O33" s="719">
        <f>+Resumen!AB104</f>
        <v>-13054784.477494799</v>
      </c>
      <c r="P33" s="719">
        <f>+Resumen!AB110</f>
        <v>-19748647.784201756</v>
      </c>
      <c r="Q33" s="720">
        <f t="shared" si="0"/>
        <v>6839545.5676538255</v>
      </c>
      <c r="R33" s="721" t="str">
        <f t="shared" si="1"/>
        <v>L</v>
      </c>
      <c r="S33" s="720">
        <f t="shared" si="2"/>
        <v>9259424.7086546142</v>
      </c>
      <c r="T33" s="743" t="s">
        <v>488</v>
      </c>
      <c r="U33" s="744">
        <f t="shared" si="12"/>
        <v>0.51275172855182238</v>
      </c>
      <c r="V33" s="940"/>
      <c r="W33" s="936"/>
      <c r="X33" s="737" t="str">
        <f t="shared" si="3"/>
        <v>L</v>
      </c>
      <c r="AA33" s="695">
        <f t="shared" si="10"/>
        <v>0.44483085525882826</v>
      </c>
    </row>
    <row r="34" spans="1:27">
      <c r="A34" s="723" t="str">
        <f>+Resumen!A117</f>
        <v>REGIÓN CARLOS CASARES</v>
      </c>
      <c r="B34" s="724" t="str">
        <f>+Resumen!D117</f>
        <v>9 de Julio</v>
      </c>
      <c r="C34" s="725">
        <f>+Resumen!H117</f>
        <v>4904217.9901958788</v>
      </c>
      <c r="D34" s="725">
        <f>+Resumen!O117</f>
        <v>1251742.6375480001</v>
      </c>
      <c r="E34" s="725">
        <f>+Resumen!R117</f>
        <v>10192799.208000001</v>
      </c>
      <c r="F34" s="725">
        <f>+Resumen!V117</f>
        <v>557773.29065600003</v>
      </c>
      <c r="G34" s="725">
        <f>+Resumen!Y117</f>
        <v>69124.114997280005</v>
      </c>
      <c r="H34" s="725">
        <f>+Resumen!Z117</f>
        <v>344004.06407999853</v>
      </c>
      <c r="I34" s="725">
        <f>+Resumen!H121</f>
        <v>5512650.0003711842</v>
      </c>
      <c r="J34" s="725">
        <f>+Resumen!O121</f>
        <v>517944.05860249529</v>
      </c>
      <c r="K34" s="725">
        <f>+Resumen!R121</f>
        <v>7239680.5918351859</v>
      </c>
      <c r="L34" s="725">
        <f>+Resumen!V121</f>
        <v>557773.29065600003</v>
      </c>
      <c r="M34" s="725">
        <f>+Resumen!Y121</f>
        <v>69124.114997280005</v>
      </c>
      <c r="N34" s="725">
        <f>+Resumen!Z121</f>
        <v>344004.06407999853</v>
      </c>
      <c r="O34" s="726">
        <f>+Resumen!AB117</f>
        <v>-53840885.668191269</v>
      </c>
      <c r="P34" s="726">
        <f>+Resumen!AB121</f>
        <v>-44691902.064826339</v>
      </c>
      <c r="Q34" s="727">
        <f t="shared" si="0"/>
        <v>16906533.126399878</v>
      </c>
      <c r="R34" s="728" t="str">
        <f t="shared" si="1"/>
        <v>R</v>
      </c>
      <c r="S34" s="727">
        <f t="shared" si="2"/>
        <v>13828047.941464866</v>
      </c>
      <c r="T34" s="746" t="s">
        <v>488</v>
      </c>
      <c r="U34" s="745">
        <f>+(P34/O34-1)</f>
        <v>-0.16992632067287983</v>
      </c>
      <c r="V34" s="938">
        <f>+(SUM(P34:P36)/SUM(O34:O36)-1)</f>
        <v>-0.26264216243707283</v>
      </c>
      <c r="W34" s="936"/>
      <c r="X34" s="737" t="str">
        <f t="shared" si="3"/>
        <v>R</v>
      </c>
      <c r="AA34" s="695">
        <f>+V34</f>
        <v>-0.26264216243707283</v>
      </c>
    </row>
    <row r="35" spans="1:27">
      <c r="A35" s="710" t="str">
        <f t="shared" si="6"/>
        <v>REGIÓN CARLOS CASARES</v>
      </c>
      <c r="B35" s="711" t="str">
        <f>+Resumen!D118</f>
        <v>Pehuajó</v>
      </c>
      <c r="C35" s="712">
        <f>+Resumen!H118</f>
        <v>3671724.1182797672</v>
      </c>
      <c r="D35" s="712">
        <f>+Resumen!O118</f>
        <v>1435944.6892200001</v>
      </c>
      <c r="E35" s="712">
        <f>+Resumen!R118</f>
        <v>9154571.3024000004</v>
      </c>
      <c r="F35" s="712">
        <f>+Resumen!V118</f>
        <v>0</v>
      </c>
      <c r="G35" s="712">
        <f>+Resumen!Y118</f>
        <v>46309.279172399998</v>
      </c>
      <c r="H35" s="712">
        <f>+Resumen!Z118</f>
        <v>275294.8010989977</v>
      </c>
      <c r="I35" s="712">
        <f>+Resumen!H122</f>
        <v>4174531.052097064</v>
      </c>
      <c r="J35" s="712">
        <f>+Resumen!O122</f>
        <v>469103.28523839812</v>
      </c>
      <c r="K35" s="712">
        <f>+Resumen!R122</f>
        <v>5856637.0243728459</v>
      </c>
      <c r="L35" s="712">
        <f>+Resumen!V122</f>
        <v>0</v>
      </c>
      <c r="M35" s="712">
        <f>+Resumen!Y122</f>
        <v>46309.279172399998</v>
      </c>
      <c r="N35" s="712">
        <f>+Resumen!Z122</f>
        <v>275294.8010989977</v>
      </c>
      <c r="O35" s="713">
        <f>+Resumen!AB118</f>
        <v>-45246479.570631541</v>
      </c>
      <c r="P35" s="713">
        <f>+Resumen!AB122</f>
        <v>-33864331.796248674</v>
      </c>
      <c r="Q35" s="714">
        <f t="shared" si="0"/>
        <v>14262240.109899767</v>
      </c>
      <c r="R35" s="715" t="str">
        <f t="shared" si="1"/>
        <v>R</v>
      </c>
      <c r="S35" s="714">
        <f t="shared" si="2"/>
        <v>10500271.361708308</v>
      </c>
      <c r="T35" s="741" t="s">
        <v>488</v>
      </c>
      <c r="U35" s="742">
        <f t="shared" ref="U35:U36" si="13">+(P35/O35-1)</f>
        <v>-0.25155874849036342</v>
      </c>
      <c r="V35" s="939"/>
      <c r="W35" s="936"/>
      <c r="X35" s="737" t="str">
        <f t="shared" si="3"/>
        <v>R</v>
      </c>
      <c r="AA35" s="695">
        <f t="shared" si="10"/>
        <v>-0.26264216243707283</v>
      </c>
    </row>
    <row r="36" spans="1:27" ht="15.75" thickBot="1">
      <c r="A36" s="716" t="str">
        <f t="shared" si="6"/>
        <v>REGIÓN CARLOS CASARES</v>
      </c>
      <c r="B36" s="717" t="str">
        <f>+Resumen!D119</f>
        <v>Carlos Casares</v>
      </c>
      <c r="C36" s="718">
        <f>+Resumen!H119</f>
        <v>3235258.9982797671</v>
      </c>
      <c r="D36" s="718">
        <f>+Resumen!O119</f>
        <v>783651.56981320097</v>
      </c>
      <c r="E36" s="718">
        <f>+Resumen!R119</f>
        <v>6856255.0008000005</v>
      </c>
      <c r="F36" s="718">
        <f>+Resumen!V119</f>
        <v>1624463.8173120001</v>
      </c>
      <c r="G36" s="718">
        <f>+Resumen!Y119</f>
        <v>30297.046984319997</v>
      </c>
      <c r="H36" s="718">
        <f>+Resumen!Z119</f>
        <v>257668.69386204969</v>
      </c>
      <c r="I36" s="718">
        <f>+Resumen!H123</f>
        <v>3110345.6132592722</v>
      </c>
      <c r="J36" s="718">
        <f>+Resumen!O123</f>
        <v>0</v>
      </c>
      <c r="K36" s="718">
        <f>+Resumen!R123</f>
        <v>3079978.3453919673</v>
      </c>
      <c r="L36" s="718">
        <f>+Resumen!V123</f>
        <v>1624463.8173120001</v>
      </c>
      <c r="M36" s="718">
        <f>+Resumen!Y123</f>
        <v>30297.046984319997</v>
      </c>
      <c r="N36" s="718">
        <f>+Resumen!Z123</f>
        <v>257668.69386204969</v>
      </c>
      <c r="O36" s="719">
        <f>+Resumen!AB119</f>
        <v>-37485678.372638896</v>
      </c>
      <c r="P36" s="719">
        <f>+Resumen!AB123</f>
        <v>-22146970.245659724</v>
      </c>
      <c r="Q36" s="720">
        <f t="shared" si="0"/>
        <v>12499629.386204969</v>
      </c>
      <c r="R36" s="721" t="str">
        <f t="shared" si="1"/>
        <v>R</v>
      </c>
      <c r="S36" s="720">
        <f t="shared" si="2"/>
        <v>7814787.7759632394</v>
      </c>
      <c r="T36" s="743" t="s">
        <v>488</v>
      </c>
      <c r="U36" s="744">
        <f t="shared" si="13"/>
        <v>-0.40918848992139412</v>
      </c>
      <c r="V36" s="940"/>
      <c r="W36" s="936"/>
      <c r="X36" s="737" t="str">
        <f t="shared" si="3"/>
        <v>R</v>
      </c>
      <c r="AA36" s="695">
        <f t="shared" si="10"/>
        <v>-0.26264216243707283</v>
      </c>
    </row>
    <row r="37" spans="1:27">
      <c r="A37" s="723" t="str">
        <f>+Resumen!A130</f>
        <v>REGIÓN CORONEL PRINGLES</v>
      </c>
      <c r="B37" s="724" t="str">
        <f>+Resumen!D130</f>
        <v>Laprida</v>
      </c>
      <c r="C37" s="725">
        <f>+Resumen!H130</f>
        <v>2322050.2967098258</v>
      </c>
      <c r="D37" s="725">
        <f>+Resumen!O130</f>
        <v>61125.258535999979</v>
      </c>
      <c r="E37" s="725">
        <f>+Resumen!R130</f>
        <v>688982.39903999993</v>
      </c>
      <c r="F37" s="725">
        <f>+Resumen!V130</f>
        <v>0</v>
      </c>
      <c r="G37" s="725">
        <f>+Resumen!Y130</f>
        <v>10206.95204672</v>
      </c>
      <c r="H37" s="725">
        <f>+Resumen!Z130</f>
        <v>163393.97954285826</v>
      </c>
      <c r="I37" s="725">
        <f>+Resumen!H134</f>
        <v>2228260.4331049202</v>
      </c>
      <c r="J37" s="725">
        <f>+Resumen!O134</f>
        <v>177076.06291479059</v>
      </c>
      <c r="K37" s="725">
        <f>+Resumen!R134</f>
        <v>2344883.8307932634</v>
      </c>
      <c r="L37" s="725">
        <f>+Resumen!V134</f>
        <v>0</v>
      </c>
      <c r="M37" s="725">
        <f>+Resumen!Y134</f>
        <v>10206.95204672</v>
      </c>
      <c r="N37" s="725">
        <f>+Resumen!Z134</f>
        <v>163393.97954285826</v>
      </c>
      <c r="O37" s="726">
        <f>+Resumen!AB130</f>
        <v>-11796018.009167375</v>
      </c>
      <c r="P37" s="726">
        <f>+Resumen!AB134</f>
        <v>-16294038.949261025</v>
      </c>
      <c r="Q37" s="727">
        <f t="shared" si="0"/>
        <v>3072157.9542858256</v>
      </c>
      <c r="R37" s="728" t="str">
        <f t="shared" si="1"/>
        <v>L</v>
      </c>
      <c r="S37" s="727">
        <f t="shared" si="2"/>
        <v>4750220.3268129742</v>
      </c>
      <c r="T37" s="746" t="s">
        <v>488</v>
      </c>
      <c r="U37" s="745">
        <f>+(P37/O37-1)</f>
        <v>0.38131689325990981</v>
      </c>
      <c r="V37" s="938">
        <f>+(SUM(P37:P39)/SUM(O37:O39)-1)</f>
        <v>-8.5003199941011687E-3</v>
      </c>
      <c r="W37" s="936"/>
      <c r="X37" s="737" t="str">
        <f t="shared" si="3"/>
        <v>R</v>
      </c>
      <c r="AA37" s="695">
        <f>+V37</f>
        <v>-8.5003199941011687E-3</v>
      </c>
    </row>
    <row r="38" spans="1:27">
      <c r="A38" s="710" t="str">
        <f t="shared" si="6"/>
        <v>REGIÓN CORONEL PRINGLES</v>
      </c>
      <c r="B38" s="711" t="str">
        <f>+Resumen!D131</f>
        <v>Sierra de la Ventana</v>
      </c>
      <c r="C38" s="712">
        <f>+Resumen!H131</f>
        <v>2222286.8407098255</v>
      </c>
      <c r="D38" s="712">
        <f>+Resumen!O131</f>
        <v>359159.83353599999</v>
      </c>
      <c r="E38" s="712">
        <f>+Resumen!R131</f>
        <v>528066.22</v>
      </c>
      <c r="F38" s="712">
        <f>+Resumen!V131</f>
        <v>0</v>
      </c>
      <c r="G38" s="712">
        <f>+Resumen!Y131</f>
        <v>24473.342218053331</v>
      </c>
      <c r="H38" s="712">
        <f>+Resumen!Z131</f>
        <v>163767.52894245824</v>
      </c>
      <c r="I38" s="712">
        <f>+Resumen!H135</f>
        <v>1957537.9040087122</v>
      </c>
      <c r="J38" s="712">
        <f>+Resumen!O135</f>
        <v>243145.61328662769</v>
      </c>
      <c r="K38" s="712">
        <f>+Resumen!R135</f>
        <v>1286390.3373614445</v>
      </c>
      <c r="L38" s="712">
        <f>+Resumen!V135</f>
        <v>0</v>
      </c>
      <c r="M38" s="712">
        <f>+Resumen!Y135</f>
        <v>24473.342218053331</v>
      </c>
      <c r="N38" s="712">
        <f>+Resumen!Z135</f>
        <v>163767.52894245824</v>
      </c>
      <c r="O38" s="713">
        <f>+Resumen!AB131</f>
        <v>-10780539.256756013</v>
      </c>
      <c r="P38" s="713">
        <f>+Resumen!AB135</f>
        <v>-12422636.698525634</v>
      </c>
      <c r="Q38" s="714">
        <f t="shared" si="0"/>
        <v>3109512.8942458257</v>
      </c>
      <c r="R38" s="715" t="str">
        <f t="shared" si="1"/>
        <v>L</v>
      </c>
      <c r="S38" s="714">
        <f t="shared" si="2"/>
        <v>3487073.8546567848</v>
      </c>
      <c r="T38" s="741" t="s">
        <v>488</v>
      </c>
      <c r="U38" s="742">
        <f t="shared" ref="U38:U44" si="14">+(P38/O38-1)</f>
        <v>0.15232052893277492</v>
      </c>
      <c r="V38" s="939"/>
      <c r="W38" s="936"/>
      <c r="X38" s="737" t="str">
        <f t="shared" si="3"/>
        <v>R</v>
      </c>
      <c r="AA38" s="695">
        <f t="shared" si="10"/>
        <v>-8.5003199941011687E-3</v>
      </c>
    </row>
    <row r="39" spans="1:27" ht="15.75" thickBot="1">
      <c r="A39" s="716" t="str">
        <f t="shared" si="6"/>
        <v>REGIÓN CORONEL PRINGLES</v>
      </c>
      <c r="B39" s="717" t="str">
        <f>+Resumen!D132</f>
        <v>Coronel Pringles</v>
      </c>
      <c r="C39" s="718">
        <f>+Resumen!H132</f>
        <v>3533898.709618235</v>
      </c>
      <c r="D39" s="718">
        <f>+Resumen!O132</f>
        <v>1017801.86294</v>
      </c>
      <c r="E39" s="718">
        <f>+Resumen!R132</f>
        <v>7619637.6760000009</v>
      </c>
      <c r="F39" s="718">
        <f>+Resumen!V132</f>
        <v>7432227.3145439997</v>
      </c>
      <c r="G39" s="718">
        <f>+Resumen!Y132</f>
        <v>40456.341635119992</v>
      </c>
      <c r="H39" s="718">
        <f>+Resumen!Z132</f>
        <v>328708.05563102238</v>
      </c>
      <c r="I39" s="718">
        <f>+Resumen!H136</f>
        <v>4020052.6571838176</v>
      </c>
      <c r="J39" s="718">
        <f>+Resumen!O136</f>
        <v>416165.02929858177</v>
      </c>
      <c r="K39" s="718">
        <f>+Resumen!R136</f>
        <v>5884216.6686452944</v>
      </c>
      <c r="L39" s="718">
        <f>+Resumen!V136</f>
        <v>7432227.3145439997</v>
      </c>
      <c r="M39" s="718">
        <f>+Resumen!Y136</f>
        <v>40456.341635119992</v>
      </c>
      <c r="N39" s="718">
        <f>+Resumen!Z136</f>
        <v>328708.05563102238</v>
      </c>
      <c r="O39" s="719">
        <f>+Resumen!AB132</f>
        <v>-41209848.414173126</v>
      </c>
      <c r="P39" s="719">
        <f>+Resumen!AB136</f>
        <v>-34527525.172755487</v>
      </c>
      <c r="Q39" s="720">
        <f t="shared" ref="Q39:Q70" si="15">SUM(C39:F39)</f>
        <v>19603565.563102238</v>
      </c>
      <c r="R39" s="721" t="str">
        <f t="shared" si="1"/>
        <v>R</v>
      </c>
      <c r="S39" s="720">
        <f t="shared" ref="S39:S70" si="16">+SUM(I39:L39)</f>
        <v>17752661.669671692</v>
      </c>
      <c r="T39" s="743" t="s">
        <v>488</v>
      </c>
      <c r="U39" s="744">
        <f t="shared" si="14"/>
        <v>-0.1621535506332854</v>
      </c>
      <c r="V39" s="940"/>
      <c r="W39" s="936"/>
      <c r="X39" s="737" t="str">
        <f t="shared" ref="X39:X70" si="17">+IF(AA39&lt;0,"R","L")</f>
        <v>R</v>
      </c>
      <c r="AA39" s="695">
        <f t="shared" si="10"/>
        <v>-8.5003199941011687E-3</v>
      </c>
    </row>
    <row r="40" spans="1:27">
      <c r="A40" s="723" t="str">
        <f>+Resumen!A143</f>
        <v>REGIÓN CORONEL SUÁREZ</v>
      </c>
      <c r="B40" s="724" t="str">
        <f>+Resumen!D143</f>
        <v>Darregueira</v>
      </c>
      <c r="C40" s="725">
        <f>+Resumen!H143</f>
        <v>2240992.4887098256</v>
      </c>
      <c r="D40" s="725">
        <f>+Resumen!O143</f>
        <v>359159.83353599999</v>
      </c>
      <c r="E40" s="725">
        <f>+Resumen!R143</f>
        <v>519809.18455999997</v>
      </c>
      <c r="F40" s="725">
        <f>+Resumen!V143</f>
        <v>0</v>
      </c>
      <c r="G40" s="725">
        <f>+Resumen!Y143</f>
        <v>4923.2918963199991</v>
      </c>
      <c r="H40" s="725">
        <f>+Resumen!Z143</f>
        <v>163872.01506805824</v>
      </c>
      <c r="I40" s="725">
        <f>+Resumen!H149</f>
        <v>1924086.2660254133</v>
      </c>
      <c r="J40" s="725">
        <f>+Resumen!O149</f>
        <v>139901.01854266395</v>
      </c>
      <c r="K40" s="725">
        <f>+Resumen!R149</f>
        <v>968528.40724334714</v>
      </c>
      <c r="L40" s="725">
        <f>+Resumen!V149</f>
        <v>0</v>
      </c>
      <c r="M40" s="725">
        <f>+Resumen!Y149</f>
        <v>4923.2918963199991</v>
      </c>
      <c r="N40" s="725">
        <f>+Resumen!Z149</f>
        <v>163872.01506805824</v>
      </c>
      <c r="O40" s="726">
        <f>+Resumen!AB143</f>
        <v>-10947802.790351143</v>
      </c>
      <c r="P40" s="726">
        <f>+Resumen!AB149</f>
        <v>-11391194.66410928</v>
      </c>
      <c r="Q40" s="727">
        <f t="shared" si="15"/>
        <v>3119961.5068058255</v>
      </c>
      <c r="R40" s="728" t="str">
        <f t="shared" si="1"/>
        <v>L</v>
      </c>
      <c r="S40" s="727">
        <f t="shared" si="16"/>
        <v>3032515.6918114242</v>
      </c>
      <c r="T40" s="746" t="s">
        <v>488</v>
      </c>
      <c r="U40" s="745">
        <f t="shared" si="14"/>
        <v>4.0500535335631138E-2</v>
      </c>
      <c r="V40" s="938">
        <f>+(SUM(P40:P44)/SUM(O40:O44)-1)</f>
        <v>-1.3735011346983295E-2</v>
      </c>
      <c r="W40" s="936"/>
      <c r="X40" s="737" t="str">
        <f t="shared" si="17"/>
        <v>R</v>
      </c>
      <c r="AA40" s="695">
        <f>+V40</f>
        <v>-1.3735011346983295E-2</v>
      </c>
    </row>
    <row r="41" spans="1:27">
      <c r="A41" s="710" t="str">
        <f t="shared" si="6"/>
        <v>REGIÓN CORONEL SUÁREZ</v>
      </c>
      <c r="B41" s="711" t="str">
        <f>+Resumen!D144</f>
        <v>Puán</v>
      </c>
      <c r="C41" s="712">
        <f>+Resumen!H144</f>
        <v>2128758.6007098258</v>
      </c>
      <c r="D41" s="712">
        <f>+Resumen!O144</f>
        <v>359159.83353599999</v>
      </c>
      <c r="E41" s="712">
        <f>+Resumen!R144</f>
        <v>514048.46216</v>
      </c>
      <c r="F41" s="712">
        <f>+Resumen!V144</f>
        <v>773554.19871999999</v>
      </c>
      <c r="G41" s="712">
        <f>+Resumen!Y144</f>
        <v>30981.079318453332</v>
      </c>
      <c r="H41" s="712">
        <f>+Resumen!Z144</f>
        <v>170427.61095125825</v>
      </c>
      <c r="I41" s="712">
        <f>+Resumen!H150</f>
        <v>1807076.0641936387</v>
      </c>
      <c r="J41" s="712">
        <f>+Resumen!O150</f>
        <v>137682.0023276906</v>
      </c>
      <c r="K41" s="712">
        <f>+Resumen!R150</f>
        <v>938800.22894562117</v>
      </c>
      <c r="L41" s="712">
        <f>+Resumen!V150</f>
        <v>773554.19871999999</v>
      </c>
      <c r="M41" s="712">
        <f>+Resumen!Y150</f>
        <v>30981.079318453332</v>
      </c>
      <c r="N41" s="712">
        <f>+Resumen!Z150</f>
        <v>170427.61095125825</v>
      </c>
      <c r="O41" s="713">
        <f>+Resumen!AB144</f>
        <v>-9745509.0629755314</v>
      </c>
      <c r="P41" s="713">
        <f>+Resumen!AB150</f>
        <v>-10422168.788785458</v>
      </c>
      <c r="Q41" s="714">
        <f t="shared" si="15"/>
        <v>3775521.0951258261</v>
      </c>
      <c r="R41" s="715" t="str">
        <f t="shared" si="1"/>
        <v>L</v>
      </c>
      <c r="S41" s="714">
        <f t="shared" si="16"/>
        <v>3657112.4941869508</v>
      </c>
      <c r="T41" s="741" t="s">
        <v>488</v>
      </c>
      <c r="U41" s="742">
        <f t="shared" si="14"/>
        <v>6.9432978968809955E-2</v>
      </c>
      <c r="V41" s="939"/>
      <c r="W41" s="936"/>
      <c r="X41" s="737" t="str">
        <f t="shared" si="17"/>
        <v>R</v>
      </c>
      <c r="AA41" s="695">
        <f t="shared" si="10"/>
        <v>-1.3735011346983295E-2</v>
      </c>
    </row>
    <row r="42" spans="1:27">
      <c r="A42" s="710" t="str">
        <f t="shared" si="6"/>
        <v>REGIÓN CORONEL SUÁREZ</v>
      </c>
      <c r="B42" s="711" t="str">
        <f>+Resumen!D145</f>
        <v>General La Madrid</v>
      </c>
      <c r="C42" s="712">
        <f>+Resumen!H145</f>
        <v>2300227.0407098257</v>
      </c>
      <c r="D42" s="712">
        <f>+Resumen!O145</f>
        <v>359159.83353599999</v>
      </c>
      <c r="E42" s="712">
        <f>+Resumen!R145</f>
        <v>674964.64119999995</v>
      </c>
      <c r="F42" s="712">
        <f>+Resumen!V145</f>
        <v>3257070.3103999998</v>
      </c>
      <c r="G42" s="712">
        <f>+Resumen!Y145</f>
        <v>12693.405954400001</v>
      </c>
      <c r="H42" s="712">
        <f>+Resumen!Z145</f>
        <v>198586.61825845827</v>
      </c>
      <c r="I42" s="712">
        <f>+Resumen!H151</f>
        <v>2112240.7646316173</v>
      </c>
      <c r="J42" s="712">
        <f>+Resumen!O151</f>
        <v>260735.97182905269</v>
      </c>
      <c r="K42" s="712">
        <f>+Resumen!R151</f>
        <v>1770936.9787543591</v>
      </c>
      <c r="L42" s="712">
        <f>+Resumen!V151</f>
        <v>3257070.3103999998</v>
      </c>
      <c r="M42" s="712">
        <f>+Resumen!Y151</f>
        <v>12693.405954400001</v>
      </c>
      <c r="N42" s="712">
        <f>+Resumen!Z151</f>
        <v>198586.61825845827</v>
      </c>
      <c r="O42" s="713">
        <f>+Resumen!AB145</f>
        <v>-11905236.163377544</v>
      </c>
      <c r="P42" s="713">
        <f>+Resumen!AB151</f>
        <v>-13855037.229412261</v>
      </c>
      <c r="Q42" s="714">
        <f t="shared" si="15"/>
        <v>6591421.8258458255</v>
      </c>
      <c r="R42" s="715" t="str">
        <f t="shared" si="1"/>
        <v>L</v>
      </c>
      <c r="S42" s="714">
        <f t="shared" si="16"/>
        <v>7400984.025615029</v>
      </c>
      <c r="T42" s="741" t="s">
        <v>488</v>
      </c>
      <c r="U42" s="742">
        <f t="shared" si="14"/>
        <v>0.16377676505339944</v>
      </c>
      <c r="V42" s="939"/>
      <c r="W42" s="936"/>
      <c r="X42" s="737" t="str">
        <f t="shared" si="17"/>
        <v>R</v>
      </c>
      <c r="AA42" s="695">
        <f t="shared" si="10"/>
        <v>-1.3735011346983295E-2</v>
      </c>
    </row>
    <row r="43" spans="1:27">
      <c r="A43" s="710" t="str">
        <f t="shared" si="6"/>
        <v>REGIÓN CORONEL SUÁREZ</v>
      </c>
      <c r="B43" s="711" t="str">
        <f>+Resumen!D146</f>
        <v>Pigüé</v>
      </c>
      <c r="C43" s="712">
        <f>+Resumen!H146</f>
        <v>2471695.4807098256</v>
      </c>
      <c r="D43" s="712">
        <f>+Resumen!O146</f>
        <v>0</v>
      </c>
      <c r="E43" s="712">
        <f>+Resumen!R146</f>
        <v>932852.98063999997</v>
      </c>
      <c r="F43" s="712">
        <f>+Resumen!V146</f>
        <v>1424968.2608</v>
      </c>
      <c r="G43" s="712">
        <f>+Resumen!Y146</f>
        <v>24858.010666399998</v>
      </c>
      <c r="H43" s="712">
        <f>+Resumen!Z146</f>
        <v>180967.56722149826</v>
      </c>
      <c r="I43" s="712">
        <f>+Resumen!H152</f>
        <v>2786818.8027537717</v>
      </c>
      <c r="J43" s="712">
        <f>+Resumen!O152</f>
        <v>0</v>
      </c>
      <c r="K43" s="712">
        <f>+Resumen!R152</f>
        <v>3105424.2919314262</v>
      </c>
      <c r="L43" s="712">
        <f>+Resumen!V152</f>
        <v>1424968.2608</v>
      </c>
      <c r="M43" s="712">
        <f>+Resumen!Y152</f>
        <v>24858.010666399998</v>
      </c>
      <c r="N43" s="712">
        <f>+Resumen!Z152</f>
        <v>180967.56722149826</v>
      </c>
      <c r="O43" s="713">
        <f>+Resumen!AB146</f>
        <v>-13740764.647101484</v>
      </c>
      <c r="P43" s="713">
        <f>+Resumen!AB152</f>
        <v>-19406450.588103391</v>
      </c>
      <c r="Q43" s="714">
        <f t="shared" si="15"/>
        <v>4829516.7221498257</v>
      </c>
      <c r="R43" s="715" t="str">
        <f t="shared" si="1"/>
        <v>L</v>
      </c>
      <c r="S43" s="714">
        <f t="shared" si="16"/>
        <v>7317211.3554851981</v>
      </c>
      <c r="T43" s="741" t="s">
        <v>488</v>
      </c>
      <c r="U43" s="742">
        <f t="shared" si="14"/>
        <v>0.412326830894163</v>
      </c>
      <c r="V43" s="939"/>
      <c r="W43" s="936"/>
      <c r="X43" s="737" t="str">
        <f t="shared" si="17"/>
        <v>R</v>
      </c>
      <c r="AA43" s="695">
        <f t="shared" si="10"/>
        <v>-1.3735011346983295E-2</v>
      </c>
    </row>
    <row r="44" spans="1:27" ht="15.75" thickBot="1">
      <c r="A44" s="716" t="str">
        <f t="shared" si="6"/>
        <v>REGIÓN CORONEL SUÁREZ</v>
      </c>
      <c r="B44" s="717" t="str">
        <f>+Resumen!D147</f>
        <v>Coronel Suárez</v>
      </c>
      <c r="C44" s="718">
        <f>+Resumen!H147</f>
        <v>3684194.5502797677</v>
      </c>
      <c r="D44" s="718">
        <f>+Resumen!O147</f>
        <v>694802.74034400017</v>
      </c>
      <c r="E44" s="718">
        <f>+Resumen!R147</f>
        <v>8552777.0911999997</v>
      </c>
      <c r="F44" s="718">
        <f>+Resumen!V147</f>
        <v>5374166.0121600004</v>
      </c>
      <c r="G44" s="718">
        <f>+Resumen!Y147</f>
        <v>55721.288446080005</v>
      </c>
      <c r="H44" s="718">
        <f>+Resumen!Z147</f>
        <v>315731.80393983767</v>
      </c>
      <c r="I44" s="718">
        <f>+Resumen!H153</f>
        <v>4159235.3025763705</v>
      </c>
      <c r="J44" s="718">
        <f>+Resumen!O153</f>
        <v>0</v>
      </c>
      <c r="K44" s="718">
        <f>+Resumen!R153</f>
        <v>5959724.2595252469</v>
      </c>
      <c r="L44" s="718">
        <f>+Resumen!V153</f>
        <v>5374166.0121600004</v>
      </c>
      <c r="M44" s="718">
        <f>+Resumen!Y153</f>
        <v>55721.288446080005</v>
      </c>
      <c r="N44" s="718">
        <f>+Resumen!Z153</f>
        <v>315731.80393983767</v>
      </c>
      <c r="O44" s="719">
        <f>+Resumen!AB147</f>
        <v>-43734940.808931783</v>
      </c>
      <c r="P44" s="719">
        <f>+Resumen!AB153</f>
        <v>-33762231.308807999</v>
      </c>
      <c r="Q44" s="720">
        <f t="shared" si="15"/>
        <v>18305940.393983766</v>
      </c>
      <c r="R44" s="721" t="str">
        <f t="shared" si="1"/>
        <v>R</v>
      </c>
      <c r="S44" s="720">
        <f t="shared" si="16"/>
        <v>15493125.574261617</v>
      </c>
      <c r="T44" s="743" t="s">
        <v>488</v>
      </c>
      <c r="U44" s="744">
        <f t="shared" si="14"/>
        <v>-0.22802613461150734</v>
      </c>
      <c r="V44" s="940"/>
      <c r="W44" s="936"/>
      <c r="X44" s="737" t="str">
        <f t="shared" si="17"/>
        <v>R</v>
      </c>
      <c r="AA44" s="695">
        <f t="shared" si="10"/>
        <v>-1.3735011346983295E-2</v>
      </c>
    </row>
    <row r="45" spans="1:27">
      <c r="A45" s="723" t="str">
        <f>+Resumen!A160</f>
        <v>REGIÓN DOLORES</v>
      </c>
      <c r="B45" s="724" t="str">
        <f>+Resumen!D160</f>
        <v>Pila</v>
      </c>
      <c r="C45" s="725">
        <f>+Resumen!H160</f>
        <v>1285056.9507775998</v>
      </c>
      <c r="D45" s="725">
        <f>+Resumen!O160</f>
        <v>44727.727786000003</v>
      </c>
      <c r="E45" s="725">
        <f>+Resumen!R160</f>
        <v>370969.49112000002</v>
      </c>
      <c r="F45" s="725">
        <f>+Resumen!V160</f>
        <v>0</v>
      </c>
      <c r="G45" s="725">
        <f>+Resumen!Y160</f>
        <v>4011.9258044799999</v>
      </c>
      <c r="H45" s="725">
        <f>+Resumen!Z160</f>
        <v>149679.941696836</v>
      </c>
      <c r="I45" s="725">
        <f>+Resumen!H166</f>
        <v>1146179.464038138</v>
      </c>
      <c r="J45" s="725">
        <f>+Resumen!O166</f>
        <v>0</v>
      </c>
      <c r="K45" s="725">
        <f>+Resumen!R166</f>
        <v>672374.37637036084</v>
      </c>
      <c r="L45" s="725">
        <f>+Resumen!V166</f>
        <v>0</v>
      </c>
      <c r="M45" s="725">
        <f>+Resumen!Y166</f>
        <v>4011.9258044799999</v>
      </c>
      <c r="N45" s="725">
        <f>+Resumen!Z166</f>
        <v>149679.941696836</v>
      </c>
      <c r="O45" s="726">
        <f>+Resumen!AB160</f>
        <v>-7768465.0057985</v>
      </c>
      <c r="P45" s="726">
        <f>+Resumen!AB166</f>
        <v>-8832054.742124116</v>
      </c>
      <c r="Q45" s="727">
        <f t="shared" si="15"/>
        <v>1700754.1696835998</v>
      </c>
      <c r="R45" s="728" t="str">
        <f t="shared" si="1"/>
        <v>L</v>
      </c>
      <c r="S45" s="727">
        <f t="shared" si="16"/>
        <v>1818553.8404084989</v>
      </c>
      <c r="T45" s="746" t="s">
        <v>488</v>
      </c>
      <c r="U45" s="745">
        <f t="shared" ref="U45:U49" si="18">+(P45/O45-1)</f>
        <v>0.13691118329447782</v>
      </c>
      <c r="V45" s="938">
        <f>+(SUM(P45:P49)/SUM(O45:O49)-1)</f>
        <v>-2.5994268410609478E-2</v>
      </c>
      <c r="W45" s="936"/>
      <c r="X45" s="737" t="str">
        <f t="shared" si="17"/>
        <v>R</v>
      </c>
      <c r="AA45" s="695">
        <f>+V45</f>
        <v>-2.5994268410609478E-2</v>
      </c>
    </row>
    <row r="46" spans="1:27">
      <c r="A46" s="710" t="str">
        <f t="shared" si="6"/>
        <v>REGIÓN DOLORES</v>
      </c>
      <c r="B46" s="711" t="str">
        <f>+Resumen!D161</f>
        <v>General Conesa</v>
      </c>
      <c r="C46" s="712">
        <f>+Resumen!H161</f>
        <v>1338056.2867775999</v>
      </c>
      <c r="D46" s="712">
        <f>+Resumen!O161</f>
        <v>44727.727786000003</v>
      </c>
      <c r="E46" s="712">
        <f>+Resumen!R161</f>
        <v>422645.00007999997</v>
      </c>
      <c r="F46" s="712">
        <f>+Resumen!V161</f>
        <v>203566.89439999999</v>
      </c>
      <c r="G46" s="712">
        <f>+Resumen!Y161</f>
        <v>3876.4250197333331</v>
      </c>
      <c r="H46" s="712">
        <f>+Resumen!Z161</f>
        <v>152762.35909043599</v>
      </c>
      <c r="I46" s="712">
        <f>+Resumen!H167</f>
        <v>1163842.8323609736</v>
      </c>
      <c r="J46" s="712">
        <f>+Resumen!O167</f>
        <v>0</v>
      </c>
      <c r="K46" s="712">
        <f>+Resumen!R167</f>
        <v>510094.76423828414</v>
      </c>
      <c r="L46" s="712">
        <f>+Resumen!V167</f>
        <v>203566.89439999999</v>
      </c>
      <c r="M46" s="712">
        <f>+Resumen!Y167</f>
        <v>3876.4250197333331</v>
      </c>
      <c r="N46" s="712">
        <f>+Resumen!Z167</f>
        <v>152762.35909043599</v>
      </c>
      <c r="O46" s="713">
        <f>+Resumen!AB161</f>
        <v>-8216969.1201932188</v>
      </c>
      <c r="P46" s="713">
        <f>+Resumen!AB167</f>
        <v>-8397231.1883624773</v>
      </c>
      <c r="Q46" s="714">
        <f t="shared" si="15"/>
        <v>2008995.9090435999</v>
      </c>
      <c r="R46" s="715" t="str">
        <f t="shared" si="1"/>
        <v>L</v>
      </c>
      <c r="S46" s="714">
        <f t="shared" si="16"/>
        <v>1877504.4909992577</v>
      </c>
      <c r="T46" s="741" t="s">
        <v>488</v>
      </c>
      <c r="U46" s="742">
        <f t="shared" si="18"/>
        <v>2.1937780893719561E-2</v>
      </c>
      <c r="V46" s="939"/>
      <c r="W46" s="936"/>
      <c r="X46" s="737" t="str">
        <f t="shared" si="17"/>
        <v>R</v>
      </c>
      <c r="AA46" s="695">
        <f t="shared" si="10"/>
        <v>-2.5994268410609478E-2</v>
      </c>
    </row>
    <row r="47" spans="1:27">
      <c r="A47" s="710" t="str">
        <f t="shared" si="6"/>
        <v>REGIÓN DOLORES</v>
      </c>
      <c r="B47" s="711" t="str">
        <f>+Resumen!D162</f>
        <v>General Guido</v>
      </c>
      <c r="C47" s="712">
        <f>+Resumen!H162</f>
        <v>877549.90851840004</v>
      </c>
      <c r="D47" s="712">
        <f>+Resumen!O162</f>
        <v>359159.83353599999</v>
      </c>
      <c r="E47" s="712">
        <f>+Resumen!R162</f>
        <v>388272.68975999998</v>
      </c>
      <c r="F47" s="712">
        <f>+Resumen!V162</f>
        <v>407133.78879999998</v>
      </c>
      <c r="G47" s="712">
        <f>+Resumen!Y162</f>
        <v>3510.1086584</v>
      </c>
      <c r="H47" s="712">
        <f>+Resumen!Z162</f>
        <v>152993.56220614398</v>
      </c>
      <c r="I47" s="712">
        <f>+Resumen!H168</f>
        <v>750304.6266524361</v>
      </c>
      <c r="J47" s="712">
        <f>+Resumen!O168</f>
        <v>50190.984830444788</v>
      </c>
      <c r="K47" s="712">
        <f>+Resumen!R168</f>
        <v>315385.54716088291</v>
      </c>
      <c r="L47" s="712">
        <f>+Resumen!V168</f>
        <v>407133.78879999998</v>
      </c>
      <c r="M47" s="712">
        <f>+Resumen!Y168</f>
        <v>3510.1086584</v>
      </c>
      <c r="N47" s="712">
        <f>+Resumen!Z168</f>
        <v>152993.56220614398</v>
      </c>
      <c r="O47" s="713">
        <f>+Resumen!AB162</f>
        <v>-5365709.9680074491</v>
      </c>
      <c r="P47" s="713">
        <f>+Resumen!AB168</f>
        <v>-5053101.9677671725</v>
      </c>
      <c r="Q47" s="714">
        <f t="shared" si="15"/>
        <v>2032116.2206144</v>
      </c>
      <c r="R47" s="715" t="str">
        <f t="shared" si="1"/>
        <v>R</v>
      </c>
      <c r="S47" s="714">
        <f t="shared" si="16"/>
        <v>1523014.9474437637</v>
      </c>
      <c r="T47" s="741" t="s">
        <v>488</v>
      </c>
      <c r="U47" s="742">
        <f t="shared" si="18"/>
        <v>-5.8260323816265336E-2</v>
      </c>
      <c r="V47" s="939"/>
      <c r="W47" s="936"/>
      <c r="X47" s="737" t="str">
        <f t="shared" si="17"/>
        <v>R</v>
      </c>
      <c r="AA47" s="695">
        <f t="shared" si="10"/>
        <v>-2.5994268410609478E-2</v>
      </c>
    </row>
    <row r="48" spans="1:27">
      <c r="A48" s="710" t="str">
        <f t="shared" si="6"/>
        <v>REGIÓN DOLORES</v>
      </c>
      <c r="B48" s="711" t="str">
        <f>+Resumen!D163</f>
        <v>Castelli</v>
      </c>
      <c r="C48" s="712">
        <f>+Resumen!H163</f>
        <v>2206698.8007098255</v>
      </c>
      <c r="D48" s="712">
        <f>+Resumen!O163</f>
        <v>44727.727786000003</v>
      </c>
      <c r="E48" s="712">
        <f>+Resumen!R163</f>
        <v>690326.56759999995</v>
      </c>
      <c r="F48" s="712">
        <f>+Resumen!V163</f>
        <v>3908484.3724799999</v>
      </c>
      <c r="G48" s="712">
        <f>+Resumen!Y163</f>
        <v>15257.620483733333</v>
      </c>
      <c r="H48" s="712">
        <f>+Resumen!Z163</f>
        <v>201174.77468575825</v>
      </c>
      <c r="I48" s="712">
        <f>+Resumen!H169</f>
        <v>1970271.1101710959</v>
      </c>
      <c r="J48" s="712">
        <f>+Resumen!O169</f>
        <v>63145.598342556215</v>
      </c>
      <c r="K48" s="712">
        <f>+Resumen!R169</f>
        <v>2027866.1046533305</v>
      </c>
      <c r="L48" s="712">
        <f>+Resumen!V169</f>
        <v>3908484.3724799999</v>
      </c>
      <c r="M48" s="712">
        <f>+Resumen!Y169</f>
        <v>15257.620483733333</v>
      </c>
      <c r="N48" s="712">
        <f>+Resumen!Z169</f>
        <v>201174.77468575825</v>
      </c>
      <c r="O48" s="713">
        <f>+Resumen!AB163</f>
        <v>-10709707.614859637</v>
      </c>
      <c r="P48" s="713">
        <f>+Resumen!AB169</f>
        <v>-13563697.568345241</v>
      </c>
      <c r="Q48" s="714">
        <f t="shared" si="15"/>
        <v>6850237.4685758259</v>
      </c>
      <c r="R48" s="715" t="str">
        <f t="shared" si="1"/>
        <v>L</v>
      </c>
      <c r="S48" s="714">
        <f t="shared" si="16"/>
        <v>7969767.1856469829</v>
      </c>
      <c r="T48" s="741" t="s">
        <v>488</v>
      </c>
      <c r="U48" s="742">
        <f t="shared" si="18"/>
        <v>0.26648626238177742</v>
      </c>
      <c r="V48" s="939"/>
      <c r="W48" s="936"/>
      <c r="X48" s="737" t="str">
        <f t="shared" si="17"/>
        <v>R</v>
      </c>
      <c r="AA48" s="695">
        <f t="shared" si="10"/>
        <v>-2.5994268410609478E-2</v>
      </c>
    </row>
    <row r="49" spans="1:27" ht="15.75" thickBot="1">
      <c r="A49" s="716" t="str">
        <f t="shared" si="6"/>
        <v>REGIÓN DOLORES</v>
      </c>
      <c r="B49" s="717" t="str">
        <f>+Resumen!D164</f>
        <v>Dolores</v>
      </c>
      <c r="C49" s="718">
        <f>+Resumen!H164</f>
        <v>3446605.6856182353</v>
      </c>
      <c r="D49" s="718">
        <f>+Resumen!O164</f>
        <v>1319740.84345</v>
      </c>
      <c r="E49" s="718">
        <f>+Resumen!R164</f>
        <v>9130226.6400000006</v>
      </c>
      <c r="F49" s="718">
        <f>+Resumen!V164</f>
        <v>1221401.3663999999</v>
      </c>
      <c r="G49" s="718">
        <f>+Resumen!Y164</f>
        <v>41267.387820479998</v>
      </c>
      <c r="H49" s="718">
        <f>+Resumen!Z164</f>
        <v>283852.14535468235</v>
      </c>
      <c r="I49" s="718">
        <f>+Resumen!H170</f>
        <v>4016609.5654053157</v>
      </c>
      <c r="J49" s="718">
        <f>+Resumen!O170</f>
        <v>812222.97918379144</v>
      </c>
      <c r="K49" s="718">
        <f>+Resumen!R170</f>
        <v>7563299.7347771414</v>
      </c>
      <c r="L49" s="718">
        <f>+Resumen!V170</f>
        <v>1221401.3663999999</v>
      </c>
      <c r="M49" s="718">
        <f>+Resumen!Y170</f>
        <v>41267.387820479998</v>
      </c>
      <c r="N49" s="718">
        <f>+Resumen!Z170</f>
        <v>283852.14535468235</v>
      </c>
      <c r="O49" s="719">
        <f>+Resumen!AB164</f>
        <v>-42687070.966792054</v>
      </c>
      <c r="P49" s="719">
        <f>+Resumen!AB170</f>
        <v>-36958819.643885501</v>
      </c>
      <c r="Q49" s="720">
        <f t="shared" si="15"/>
        <v>15117974.535468236</v>
      </c>
      <c r="R49" s="721" t="str">
        <f t="shared" si="1"/>
        <v>R</v>
      </c>
      <c r="S49" s="720">
        <f t="shared" si="16"/>
        <v>13613533.645766247</v>
      </c>
      <c r="T49" s="743" t="s">
        <v>488</v>
      </c>
      <c r="U49" s="744">
        <f t="shared" si="18"/>
        <v>-0.13419171644179528</v>
      </c>
      <c r="V49" s="940"/>
      <c r="W49" s="936"/>
      <c r="X49" s="737" t="str">
        <f t="shared" si="17"/>
        <v>R</v>
      </c>
      <c r="AA49" s="695">
        <f t="shared" si="10"/>
        <v>-2.5994268410609478E-2</v>
      </c>
    </row>
    <row r="50" spans="1:27">
      <c r="A50" s="723" t="str">
        <f>+Resumen!A177</f>
        <v>REGIÓN GENERAL PAZ RANCHOS</v>
      </c>
      <c r="B50" s="724" t="str">
        <f>+Resumen!D177</f>
        <v>San Miguel del Monte</v>
      </c>
      <c r="C50" s="725">
        <f>+Resumen!H177</f>
        <v>3409845.0462797675</v>
      </c>
      <c r="D50" s="725">
        <f>+Resumen!O177</f>
        <v>1683016.8214400001</v>
      </c>
      <c r="E50" s="725">
        <f>+Resumen!R177</f>
        <v>7779149.6952000009</v>
      </c>
      <c r="F50" s="725">
        <f>+Resumen!V177</f>
        <v>2442802.7327999999</v>
      </c>
      <c r="G50" s="725">
        <f>+Resumen!Y177</f>
        <v>37291.803500560003</v>
      </c>
      <c r="H50" s="725">
        <f>+Resumen!Z177</f>
        <v>285820.5429571977</v>
      </c>
      <c r="I50" s="725">
        <f>+Resumen!H182</f>
        <v>3568156.8319205241</v>
      </c>
      <c r="J50" s="725">
        <f>+Resumen!O182</f>
        <v>543917.31184842496</v>
      </c>
      <c r="K50" s="725">
        <f>+Resumen!R182</f>
        <v>4278879.3068555845</v>
      </c>
      <c r="L50" s="725">
        <f>+Resumen!V182</f>
        <v>2442802.7327999999</v>
      </c>
      <c r="M50" s="725">
        <f>+Resumen!Y182</f>
        <v>37291.803500560003</v>
      </c>
      <c r="N50" s="725">
        <f>+Resumen!Z182</f>
        <v>285820.5429571977</v>
      </c>
      <c r="O50" s="726">
        <f>+Resumen!AB177</f>
        <v>-40958024.571473449</v>
      </c>
      <c r="P50" s="726">
        <f>+Resumen!AB182</f>
        <v>-26724386.185696676</v>
      </c>
      <c r="Q50" s="727">
        <f t="shared" si="15"/>
        <v>15314814.295719769</v>
      </c>
      <c r="R50" s="728" t="str">
        <f t="shared" si="1"/>
        <v>R</v>
      </c>
      <c r="S50" s="727">
        <f t="shared" si="16"/>
        <v>10833756.183424532</v>
      </c>
      <c r="T50" s="746" t="s">
        <v>488</v>
      </c>
      <c r="U50" s="742">
        <f>+(P50/O50-1)</f>
        <v>-0.34751769731810389</v>
      </c>
      <c r="V50" s="939">
        <f>+(SUM(P50:P53)/SUM(O50:O53)-1)</f>
        <v>-0.28942583570696323</v>
      </c>
      <c r="W50" s="936"/>
      <c r="X50" s="737" t="str">
        <f t="shared" si="17"/>
        <v>R</v>
      </c>
      <c r="AA50" s="695">
        <f>+V50</f>
        <v>-0.28942583570696323</v>
      </c>
    </row>
    <row r="51" spans="1:27">
      <c r="A51" s="710" t="str">
        <f t="shared" si="6"/>
        <v>REGIÓN GENERAL PAZ RANCHOS</v>
      </c>
      <c r="B51" s="711" t="str">
        <f>+Resumen!D178</f>
        <v>Coronel Brandsen</v>
      </c>
      <c r="C51" s="712">
        <f>+Resumen!H178</f>
        <v>2919362.0765078356</v>
      </c>
      <c r="D51" s="712">
        <f>+Resumen!O178</f>
        <v>1714922.3536</v>
      </c>
      <c r="E51" s="712">
        <f>+Resumen!R178</f>
        <v>8742921.6560000014</v>
      </c>
      <c r="F51" s="712">
        <f>+Resumen!V178</f>
        <v>936407.71424</v>
      </c>
      <c r="G51" s="712">
        <f>+Resumen!Y178</f>
        <v>62286.548095893326</v>
      </c>
      <c r="H51" s="712">
        <f>+Resumen!Z178</f>
        <v>275808.53800347837</v>
      </c>
      <c r="I51" s="712">
        <f>+Resumen!H183</f>
        <v>3526474.9313919954</v>
      </c>
      <c r="J51" s="712">
        <f>+Resumen!O183</f>
        <v>710667.8824775914</v>
      </c>
      <c r="K51" s="712">
        <f>+Resumen!R183</f>
        <v>5542576.0933674723</v>
      </c>
      <c r="L51" s="712">
        <f>+Resumen!V183</f>
        <v>936407.71424</v>
      </c>
      <c r="M51" s="712">
        <f>+Resumen!Y183</f>
        <v>62286.548095893326</v>
      </c>
      <c r="N51" s="712">
        <f>+Resumen!Z183</f>
        <v>275808.53800347837</v>
      </c>
      <c r="O51" s="713">
        <f>+Resumen!AB178</f>
        <v>-38947530.160201147</v>
      </c>
      <c r="P51" s="713">
        <f>+Resumen!AB183</f>
        <v>-27688306.610061459</v>
      </c>
      <c r="Q51" s="714">
        <f t="shared" si="15"/>
        <v>14313613.800347837</v>
      </c>
      <c r="R51" s="715" t="str">
        <f t="shared" si="1"/>
        <v>R</v>
      </c>
      <c r="S51" s="714">
        <f t="shared" si="16"/>
        <v>10716126.62147706</v>
      </c>
      <c r="T51" s="741" t="s">
        <v>488</v>
      </c>
      <c r="U51" s="742">
        <f t="shared" ref="U51:U58" si="19">+(P51/O51-1)</f>
        <v>-0.28908697172394815</v>
      </c>
      <c r="V51" s="939"/>
      <c r="W51" s="936"/>
      <c r="X51" s="737" t="str">
        <f t="shared" si="17"/>
        <v>R</v>
      </c>
      <c r="AA51" s="695">
        <f t="shared" si="10"/>
        <v>-0.28942583570696323</v>
      </c>
    </row>
    <row r="52" spans="1:27">
      <c r="A52" s="710" t="str">
        <f t="shared" si="6"/>
        <v>REGIÓN GENERAL PAZ RANCHOS</v>
      </c>
      <c r="B52" s="711" t="str">
        <f>+Resumen!D179</f>
        <v>General Belgrano</v>
      </c>
      <c r="C52" s="712">
        <f>+Resumen!H179</f>
        <v>3484016.9816182349</v>
      </c>
      <c r="D52" s="712">
        <f>+Resumen!O179</f>
        <v>1670403.0064000001</v>
      </c>
      <c r="E52" s="712">
        <f>+Resumen!R179</f>
        <v>7402588.8904000008</v>
      </c>
      <c r="F52" s="712">
        <f>+Resumen!V179</f>
        <v>4234191.4035200002</v>
      </c>
      <c r="G52" s="712">
        <f>+Resumen!Y179</f>
        <v>32371.558195760001</v>
      </c>
      <c r="H52" s="712">
        <f>+Resumen!Z179</f>
        <v>300584.40281938238</v>
      </c>
      <c r="I52" s="712">
        <f>+Resumen!H184</f>
        <v>3518333.64355858</v>
      </c>
      <c r="J52" s="712">
        <f>+Resumen!O184</f>
        <v>484592.6155285954</v>
      </c>
      <c r="K52" s="712">
        <f>+Resumen!R184</f>
        <v>3806214.3917922121</v>
      </c>
      <c r="L52" s="712">
        <f>+Resumen!V184</f>
        <v>4234191.4035200002</v>
      </c>
      <c r="M52" s="712">
        <f>+Resumen!Y184</f>
        <v>32371.558195760001</v>
      </c>
      <c r="N52" s="712">
        <f>+Resumen!Z184</f>
        <v>300584.40281938238</v>
      </c>
      <c r="O52" s="713">
        <f>+Resumen!AB179</f>
        <v>-40821255.770397022</v>
      </c>
      <c r="P52" s="713">
        <f>+Resumen!AB184</f>
        <v>-26225440.276953448</v>
      </c>
      <c r="Q52" s="714">
        <f t="shared" si="15"/>
        <v>16791200.281938236</v>
      </c>
      <c r="R52" s="715" t="str">
        <f t="shared" si="1"/>
        <v>R</v>
      </c>
      <c r="S52" s="714">
        <f t="shared" si="16"/>
        <v>12043332.054399386</v>
      </c>
      <c r="T52" s="741" t="s">
        <v>488</v>
      </c>
      <c r="U52" s="742">
        <f t="shared" si="19"/>
        <v>-0.35755429905290292</v>
      </c>
      <c r="V52" s="939"/>
      <c r="W52" s="936"/>
      <c r="X52" s="737" t="str">
        <f t="shared" si="17"/>
        <v>R</v>
      </c>
      <c r="AA52" s="695">
        <f t="shared" si="10"/>
        <v>-0.28942583570696323</v>
      </c>
    </row>
    <row r="53" spans="1:27" ht="15.75" thickBot="1">
      <c r="A53" s="716" t="str">
        <f t="shared" si="6"/>
        <v>REGIÓN GENERAL PAZ RANCHOS</v>
      </c>
      <c r="B53" s="717" t="str">
        <f>+Resumen!D180</f>
        <v>Ranchos</v>
      </c>
      <c r="C53" s="718">
        <f>+Resumen!H180</f>
        <v>2356343.9847098258</v>
      </c>
      <c r="D53" s="718">
        <f>+Resumen!O180</f>
        <v>359159.83353599999</v>
      </c>
      <c r="E53" s="718">
        <f>+Resumen!R180</f>
        <v>730843.64847999997</v>
      </c>
      <c r="F53" s="718">
        <f>+Resumen!V180</f>
        <v>3867770.9936000002</v>
      </c>
      <c r="G53" s="718">
        <f>+Resumen!Y180</f>
        <v>21676.498664800005</v>
      </c>
      <c r="H53" s="718">
        <f>+Resumen!Z180</f>
        <v>205813.58460325823</v>
      </c>
      <c r="I53" s="718">
        <f>+Resumen!H185</f>
        <v>2092166.5649777995</v>
      </c>
      <c r="J53" s="718">
        <f>+Resumen!O185</f>
        <v>233771.26022538848</v>
      </c>
      <c r="K53" s="718">
        <f>+Resumen!R185</f>
        <v>1828100.6663847333</v>
      </c>
      <c r="L53" s="718">
        <f>+Resumen!V185</f>
        <v>3867770.9936000002</v>
      </c>
      <c r="M53" s="718">
        <f>+Resumen!Y185</f>
        <v>21676.498664800005</v>
      </c>
      <c r="N53" s="718">
        <f>+Resumen!Z185</f>
        <v>205813.58460325823</v>
      </c>
      <c r="O53" s="719">
        <f>+Resumen!AB180</f>
        <v>-12385131.908615399</v>
      </c>
      <c r="P53" s="719">
        <f>+Resumen!AB185</f>
        <v>-13947774.163185172</v>
      </c>
      <c r="Q53" s="720">
        <f t="shared" si="15"/>
        <v>7314118.460325826</v>
      </c>
      <c r="R53" s="721" t="str">
        <f t="shared" si="1"/>
        <v>L</v>
      </c>
      <c r="S53" s="720">
        <f t="shared" si="16"/>
        <v>8021809.4851879217</v>
      </c>
      <c r="T53" s="743" t="s">
        <v>488</v>
      </c>
      <c r="U53" s="744">
        <f t="shared" si="19"/>
        <v>0.12617082047246986</v>
      </c>
      <c r="V53" s="940"/>
      <c r="W53" s="936"/>
      <c r="X53" s="737" t="str">
        <f t="shared" si="17"/>
        <v>R</v>
      </c>
      <c r="AA53" s="695">
        <f t="shared" si="10"/>
        <v>-0.28942583570696323</v>
      </c>
    </row>
    <row r="54" spans="1:27">
      <c r="A54" s="723" t="str">
        <f>+Resumen!A192</f>
        <v>REGIÓN GENERAL VILLEGAS</v>
      </c>
      <c r="B54" s="724" t="str">
        <f>+Resumen!D192</f>
        <v>Carlos Tejedor</v>
      </c>
      <c r="C54" s="725">
        <f>+Resumen!H192</f>
        <v>2144346.6407098258</v>
      </c>
      <c r="D54" s="725">
        <f>+Resumen!O192</f>
        <v>0</v>
      </c>
      <c r="E54" s="725">
        <f>+Resumen!R192</f>
        <v>518272.99192</v>
      </c>
      <c r="F54" s="725">
        <f>+Resumen!V192</f>
        <v>1465681.63968</v>
      </c>
      <c r="G54" s="725">
        <f>+Resumen!Y192</f>
        <v>6740.3661243200013</v>
      </c>
      <c r="H54" s="725">
        <f>+Resumen!Z192</f>
        <v>173955.41272309824</v>
      </c>
      <c r="I54" s="725">
        <f>+Resumen!H198</f>
        <v>1857243.1290971749</v>
      </c>
      <c r="J54" s="725">
        <f>+Resumen!O198</f>
        <v>0</v>
      </c>
      <c r="K54" s="725">
        <f>+Resumen!R198</f>
        <v>1036136.4624317592</v>
      </c>
      <c r="L54" s="725">
        <f>+Resumen!V198</f>
        <v>1465681.63968</v>
      </c>
      <c r="M54" s="725">
        <f>+Resumen!Y198</f>
        <v>6740.3661243200013</v>
      </c>
      <c r="N54" s="725">
        <f>+Resumen!Z198</f>
        <v>173955.41272309824</v>
      </c>
      <c r="O54" s="726">
        <f>+Resumen!AB192</f>
        <v>-9681536.4608885814</v>
      </c>
      <c r="P54" s="726">
        <f>+Resumen!AB198</f>
        <v>-10797634.310937125</v>
      </c>
      <c r="Q54" s="727">
        <f t="shared" si="15"/>
        <v>4128301.2723098258</v>
      </c>
      <c r="R54" s="728" t="str">
        <f t="shared" si="1"/>
        <v>L</v>
      </c>
      <c r="S54" s="727">
        <f t="shared" si="16"/>
        <v>4359061.2312089335</v>
      </c>
      <c r="T54" s="746" t="s">
        <v>488</v>
      </c>
      <c r="U54" s="745">
        <f t="shared" si="19"/>
        <v>0.1152810666527313</v>
      </c>
      <c r="V54" s="938">
        <f>+(SUM(P54:P58)/SUM(O54:O58)-1)</f>
        <v>-2.1269145347506457E-2</v>
      </c>
      <c r="W54" s="936"/>
      <c r="X54" s="737" t="str">
        <f t="shared" si="17"/>
        <v>R</v>
      </c>
      <c r="AA54" s="695">
        <f>+V54</f>
        <v>-2.1269145347506457E-2</v>
      </c>
    </row>
    <row r="55" spans="1:27">
      <c r="A55" s="710" t="str">
        <f t="shared" si="6"/>
        <v>REGIÓN GENERAL VILLEGAS</v>
      </c>
      <c r="B55" s="711" t="str">
        <f>+Resumen!D193</f>
        <v>Florentino Ameghino</v>
      </c>
      <c r="C55" s="712">
        <f>+Resumen!H193</f>
        <v>2208549.0142136766</v>
      </c>
      <c r="D55" s="712">
        <f>+Resumen!O193</f>
        <v>359159.83353599999</v>
      </c>
      <c r="E55" s="712">
        <f>+Resumen!R193</f>
        <v>652881.87199999997</v>
      </c>
      <c r="F55" s="712">
        <f>+Resumen!V193</f>
        <v>2809223.1427199999</v>
      </c>
      <c r="G55" s="712">
        <f>+Resumen!Y193</f>
        <v>10646.749293999999</v>
      </c>
      <c r="H55" s="712">
        <f>+Resumen!Z193</f>
        <v>192970.53862469675</v>
      </c>
      <c r="I55" s="712">
        <f>+Resumen!H199</f>
        <v>2005974.4003798668</v>
      </c>
      <c r="J55" s="712">
        <f>+Resumen!O199</f>
        <v>282469.09512666753</v>
      </c>
      <c r="K55" s="712">
        <f>+Resumen!R199</f>
        <v>1787070.7511546561</v>
      </c>
      <c r="L55" s="712">
        <f>+Resumen!V199</f>
        <v>2809223.1427199999</v>
      </c>
      <c r="M55" s="712">
        <f>+Resumen!Y199</f>
        <v>10646.749293999999</v>
      </c>
      <c r="N55" s="712">
        <f>+Resumen!Z199</f>
        <v>192970.53862469675</v>
      </c>
      <c r="O55" s="713">
        <f>+Resumen!AB193</f>
        <v>-10712314.45755386</v>
      </c>
      <c r="P55" s="713">
        <f>+Resumen!AB199</f>
        <v>-13236830.791918833</v>
      </c>
      <c r="Q55" s="714">
        <f t="shared" si="15"/>
        <v>6029813.8624696769</v>
      </c>
      <c r="R55" s="715" t="str">
        <f t="shared" si="1"/>
        <v>L</v>
      </c>
      <c r="S55" s="714">
        <f t="shared" si="16"/>
        <v>6884737.3893811908</v>
      </c>
      <c r="T55" s="741" t="s">
        <v>488</v>
      </c>
      <c r="U55" s="742">
        <f t="shared" si="19"/>
        <v>0.23566488309954292</v>
      </c>
      <c r="V55" s="939"/>
      <c r="W55" s="936"/>
      <c r="X55" s="737" t="str">
        <f t="shared" si="17"/>
        <v>R</v>
      </c>
      <c r="AA55" s="695">
        <f t="shared" si="10"/>
        <v>-2.1269145347506457E-2</v>
      </c>
    </row>
    <row r="56" spans="1:27">
      <c r="A56" s="710" t="str">
        <f t="shared" si="6"/>
        <v>REGIÓN GENERAL VILLEGAS</v>
      </c>
      <c r="B56" s="711" t="str">
        <f>+Resumen!D194</f>
        <v>América</v>
      </c>
      <c r="C56" s="712">
        <f>+Resumen!H194</f>
        <v>2371932.0247098259</v>
      </c>
      <c r="D56" s="712">
        <f>+Resumen!O194</f>
        <v>359159.83353599999</v>
      </c>
      <c r="E56" s="712">
        <f>+Resumen!R194</f>
        <v>824359.37543999997</v>
      </c>
      <c r="F56" s="712">
        <f>+Resumen!V194</f>
        <v>1473824.3154559999</v>
      </c>
      <c r="G56" s="712">
        <f>+Resumen!Y194</f>
        <v>30228.281061440004</v>
      </c>
      <c r="H56" s="712">
        <f>+Resumen!Z194</f>
        <v>182965.15549141826</v>
      </c>
      <c r="I56" s="712">
        <f>+Resumen!H200</f>
        <v>2390286.786071999</v>
      </c>
      <c r="J56" s="712">
        <f>+Resumen!O200</f>
        <v>432469.8499289804</v>
      </c>
      <c r="K56" s="712">
        <f>+Resumen!R200</f>
        <v>2743121.9672405287</v>
      </c>
      <c r="L56" s="712">
        <f>+Resumen!V200</f>
        <v>1473824.3154559999</v>
      </c>
      <c r="M56" s="712">
        <f>+Resumen!Y200</f>
        <v>30228.281061440004</v>
      </c>
      <c r="N56" s="712">
        <f>+Resumen!Z200</f>
        <v>182965.15549141826</v>
      </c>
      <c r="O56" s="713">
        <f>+Resumen!AB194</f>
        <v>-12829572.24766998</v>
      </c>
      <c r="P56" s="713">
        <f>+Resumen!AB200</f>
        <v>-17300840.712311912</v>
      </c>
      <c r="Q56" s="714">
        <f t="shared" si="15"/>
        <v>5029275.5491418261</v>
      </c>
      <c r="R56" s="715" t="str">
        <f t="shared" si="1"/>
        <v>L</v>
      </c>
      <c r="S56" s="714">
        <f t="shared" si="16"/>
        <v>7039702.9186975081</v>
      </c>
      <c r="T56" s="741" t="s">
        <v>488</v>
      </c>
      <c r="U56" s="742">
        <f t="shared" si="19"/>
        <v>0.34851266888137866</v>
      </c>
      <c r="V56" s="939"/>
      <c r="W56" s="936"/>
      <c r="X56" s="737" t="str">
        <f t="shared" si="17"/>
        <v>R</v>
      </c>
      <c r="AA56" s="695">
        <f t="shared" si="10"/>
        <v>-2.1269145347506457E-2</v>
      </c>
    </row>
    <row r="57" spans="1:27">
      <c r="A57" s="710" t="str">
        <f t="shared" si="6"/>
        <v>REGIÓN GENERAL VILLEGAS</v>
      </c>
      <c r="B57" s="711" t="str">
        <f>+Resumen!D195</f>
        <v>Tres Algarrobos</v>
      </c>
      <c r="C57" s="712">
        <f>+Resumen!H195</f>
        <v>1303762.5987776001</v>
      </c>
      <c r="D57" s="712">
        <f>+Resumen!O195</f>
        <v>359159.83353599999</v>
      </c>
      <c r="E57" s="712">
        <f>+Resumen!R195</f>
        <v>452408.73248000001</v>
      </c>
      <c r="F57" s="712">
        <f>+Resumen!V195</f>
        <v>0</v>
      </c>
      <c r="G57" s="712">
        <f>+Resumen!Y195</f>
        <v>3734.2507487999997</v>
      </c>
      <c r="H57" s="712">
        <f>+Resumen!Z195</f>
        <v>153825.711647936</v>
      </c>
      <c r="I57" s="712">
        <f>+Resumen!H201</f>
        <v>1179636.50444035</v>
      </c>
      <c r="J57" s="712">
        <f>+Resumen!O201</f>
        <v>104629.54664931541</v>
      </c>
      <c r="K57" s="712">
        <f>+Resumen!R201</f>
        <v>667825.48021500569</v>
      </c>
      <c r="L57" s="712">
        <f>+Resumen!V201</f>
        <v>0</v>
      </c>
      <c r="M57" s="712">
        <f>+Resumen!Y201</f>
        <v>3734.2507487999997</v>
      </c>
      <c r="N57" s="712">
        <f>+Resumen!Z201</f>
        <v>153825.711647936</v>
      </c>
      <c r="O57" s="713">
        <f>+Resumen!AB195</f>
        <v>-8322813.1087174546</v>
      </c>
      <c r="P57" s="713">
        <f>+Resumen!AB201</f>
        <v>-8522451.4396935608</v>
      </c>
      <c r="Q57" s="714">
        <f t="shared" si="15"/>
        <v>2115331.1647936003</v>
      </c>
      <c r="R57" s="715" t="str">
        <f t="shared" si="1"/>
        <v>L</v>
      </c>
      <c r="S57" s="714">
        <f t="shared" si="16"/>
        <v>1952091.531304671</v>
      </c>
      <c r="T57" s="741" t="s">
        <v>488</v>
      </c>
      <c r="U57" s="742">
        <f t="shared" si="19"/>
        <v>2.3986881402755733E-2</v>
      </c>
      <c r="V57" s="939"/>
      <c r="W57" s="936"/>
      <c r="X57" s="737" t="str">
        <f t="shared" si="17"/>
        <v>R</v>
      </c>
      <c r="AA57" s="695">
        <f t="shared" si="10"/>
        <v>-2.1269145347506457E-2</v>
      </c>
    </row>
    <row r="58" spans="1:27" ht="15.75" thickBot="1">
      <c r="A58" s="716" t="str">
        <f t="shared" si="6"/>
        <v>REGIÓN GENERAL VILLEGAS</v>
      </c>
      <c r="B58" s="717" t="str">
        <f>+Resumen!D196</f>
        <v>General Villegas</v>
      </c>
      <c r="C58" s="718">
        <f>+Resumen!H196</f>
        <v>3374900.7016182351</v>
      </c>
      <c r="D58" s="718">
        <f>+Resumen!O196</f>
        <v>1586410.6254800002</v>
      </c>
      <c r="E58" s="718">
        <f>+Resumen!R196</f>
        <v>7831346.2424000008</v>
      </c>
      <c r="F58" s="718">
        <f>+Resumen!V196</f>
        <v>488560.54655999999</v>
      </c>
      <c r="G58" s="718">
        <f>+Resumen!Y196</f>
        <v>51303.077901040007</v>
      </c>
      <c r="H58" s="718">
        <f>+Resumen!Z196</f>
        <v>265484.58116058237</v>
      </c>
      <c r="I58" s="718">
        <f>+Resumen!H202</f>
        <v>3827085.9466176708</v>
      </c>
      <c r="J58" s="718">
        <f>+Resumen!O202</f>
        <v>738757.08126417594</v>
      </c>
      <c r="K58" s="718">
        <f>+Resumen!R202</f>
        <v>5278912.3213580502</v>
      </c>
      <c r="L58" s="718">
        <f>+Resumen!V202</f>
        <v>488560.54655999999</v>
      </c>
      <c r="M58" s="718">
        <f>+Resumen!Y202</f>
        <v>51303.077901040007</v>
      </c>
      <c r="N58" s="718">
        <f>+Resumen!Z202</f>
        <v>265484.58116058237</v>
      </c>
      <c r="O58" s="719">
        <f>+Resumen!AB196</f>
        <v>-40256853.747524619</v>
      </c>
      <c r="P58" s="719">
        <f>+Resumen!AB202</f>
        <v>-30205450.955932446</v>
      </c>
      <c r="Q58" s="720">
        <f t="shared" si="15"/>
        <v>13281218.116058238</v>
      </c>
      <c r="R58" s="721" t="str">
        <f t="shared" si="1"/>
        <v>R</v>
      </c>
      <c r="S58" s="720">
        <f t="shared" si="16"/>
        <v>10333315.895799898</v>
      </c>
      <c r="T58" s="743" t="s">
        <v>488</v>
      </c>
      <c r="U58" s="744">
        <f t="shared" si="19"/>
        <v>-0.24968177728519658</v>
      </c>
      <c r="V58" s="940"/>
      <c r="W58" s="936"/>
      <c r="X58" s="737" t="str">
        <f t="shared" si="17"/>
        <v>R</v>
      </c>
      <c r="AA58" s="695">
        <f t="shared" si="10"/>
        <v>-2.1269145347506457E-2</v>
      </c>
    </row>
    <row r="59" spans="1:27">
      <c r="A59" s="723" t="str">
        <f>+Resumen!A209</f>
        <v>REGIÓN GENERAL ARENALES</v>
      </c>
      <c r="B59" s="724" t="str">
        <f>+Resumen!D209</f>
        <v>Ascensión</v>
      </c>
      <c r="C59" s="725">
        <f>+Resumen!H209</f>
        <v>1338056.2867775999</v>
      </c>
      <c r="D59" s="725">
        <f>+Resumen!O209</f>
        <v>359159.83353599999</v>
      </c>
      <c r="E59" s="725">
        <f>+Resumen!R209</f>
        <v>478908.05551999999</v>
      </c>
      <c r="F59" s="725">
        <f>+Resumen!V209</f>
        <v>0</v>
      </c>
      <c r="G59" s="725">
        <f>+Resumen!Y209</f>
        <v>3784.7371225599995</v>
      </c>
      <c r="H59" s="725">
        <f>+Resumen!Z209</f>
        <v>154433.64175833599</v>
      </c>
      <c r="I59" s="725">
        <f>+Resumen!H213</f>
        <v>1456376.9474226865</v>
      </c>
      <c r="J59" s="725">
        <f>+Resumen!O213</f>
        <v>125037.80806642295</v>
      </c>
      <c r="K59" s="725">
        <f>+Resumen!R213</f>
        <v>262523.80631044199</v>
      </c>
      <c r="L59" s="725">
        <f>+Resumen!V213</f>
        <v>0</v>
      </c>
      <c r="M59" s="725">
        <f>+Resumen!Y213</f>
        <v>3784.7371225599995</v>
      </c>
      <c r="N59" s="725">
        <f>+Resumen!Z213</f>
        <v>154433.64175833599</v>
      </c>
      <c r="O59" s="726">
        <f>+Resumen!AB209</f>
        <v>-8668822.7160671428</v>
      </c>
      <c r="P59" s="726">
        <f>+Resumen!AB213</f>
        <v>-8144539.1625436665</v>
      </c>
      <c r="Q59" s="727">
        <f t="shared" si="15"/>
        <v>2176124.1758336001</v>
      </c>
      <c r="R59" s="728" t="str">
        <f t="shared" si="1"/>
        <v>R</v>
      </c>
      <c r="S59" s="727">
        <f t="shared" si="16"/>
        <v>1843938.5617995516</v>
      </c>
      <c r="T59" s="746" t="s">
        <v>488</v>
      </c>
      <c r="U59" s="745">
        <f>+(P59/O59-1)</f>
        <v>-6.0479210464386091E-2</v>
      </c>
      <c r="V59" s="938">
        <f>+(SUM(P59:P61)/SUM(O59:O61)-1)</f>
        <v>-7.9313768638467286E-2</v>
      </c>
      <c r="W59" s="936"/>
      <c r="X59" s="737" t="str">
        <f t="shared" si="17"/>
        <v>R</v>
      </c>
      <c r="AA59" s="695">
        <f>+V59</f>
        <v>-7.9313768638467286E-2</v>
      </c>
    </row>
    <row r="60" spans="1:27">
      <c r="A60" s="710" t="str">
        <f t="shared" si="6"/>
        <v>REGIÓN GENERAL ARENALES</v>
      </c>
      <c r="B60" s="711" t="str">
        <f>+Resumen!D210</f>
        <v>Arribeños</v>
      </c>
      <c r="C60" s="712">
        <f>+Resumen!H210</f>
        <v>1313115.4227775999</v>
      </c>
      <c r="D60" s="712">
        <f>+Resumen!O210</f>
        <v>359159.83353599999</v>
      </c>
      <c r="E60" s="712">
        <f>+Resumen!R210</f>
        <v>431670.13183999999</v>
      </c>
      <c r="F60" s="712">
        <f>+Resumen!V210</f>
        <v>0</v>
      </c>
      <c r="G60" s="712">
        <f>+Resumen!Y210</f>
        <v>17463.497819999997</v>
      </c>
      <c r="H60" s="712">
        <f>+Resumen!Z210</f>
        <v>153711.85388153599</v>
      </c>
      <c r="I60" s="712">
        <f>+Resumen!H214</f>
        <v>1314250.4024595418</v>
      </c>
      <c r="J60" s="712">
        <f>+Resumen!O214</f>
        <v>84457.540216278067</v>
      </c>
      <c r="K60" s="712">
        <f>+Resumen!R214</f>
        <v>177528.9009584453</v>
      </c>
      <c r="L60" s="712">
        <f>+Resumen!V214</f>
        <v>0</v>
      </c>
      <c r="M60" s="712">
        <f>+Resumen!Y214</f>
        <v>17463.497819999997</v>
      </c>
      <c r="N60" s="712">
        <f>+Resumen!Z214</f>
        <v>153711.85388153599</v>
      </c>
      <c r="O60" s="713">
        <f>+Resumen!AB210</f>
        <v>-8353595.5353922267</v>
      </c>
      <c r="P60" s="713">
        <f>+Resumen!AB214</f>
        <v>-7435524.6962679885</v>
      </c>
      <c r="Q60" s="714">
        <f t="shared" si="15"/>
        <v>2103945.3881536</v>
      </c>
      <c r="R60" s="715" t="str">
        <f t="shared" si="1"/>
        <v>R</v>
      </c>
      <c r="S60" s="714">
        <f t="shared" si="16"/>
        <v>1576236.8436342652</v>
      </c>
      <c r="T60" s="741" t="s">
        <v>488</v>
      </c>
      <c r="U60" s="742">
        <f t="shared" ref="U60:U66" si="20">+(P60/O60-1)</f>
        <v>-0.1099012796627018</v>
      </c>
      <c r="V60" s="939"/>
      <c r="W60" s="936"/>
      <c r="X60" s="737" t="str">
        <f t="shared" si="17"/>
        <v>R</v>
      </c>
      <c r="AA60" s="695">
        <f t="shared" si="10"/>
        <v>-7.9313768638467286E-2</v>
      </c>
    </row>
    <row r="61" spans="1:27" ht="15.75" thickBot="1">
      <c r="A61" s="716" t="str">
        <f t="shared" si="6"/>
        <v>REGIÓN GENERAL ARENALES</v>
      </c>
      <c r="B61" s="717" t="str">
        <f>+Resumen!D211</f>
        <v>General Arenales</v>
      </c>
      <c r="C61" s="718">
        <f>+Resumen!H211</f>
        <v>2131876.2087098258</v>
      </c>
      <c r="D61" s="718">
        <f>+Resumen!O211</f>
        <v>359159.83353599999</v>
      </c>
      <c r="E61" s="718">
        <f>+Resumen!R211</f>
        <v>506367.49896</v>
      </c>
      <c r="F61" s="718">
        <f>+Resumen!V211</f>
        <v>1628535.1551999999</v>
      </c>
      <c r="G61" s="718">
        <f>+Resumen!Y211</f>
        <v>17463.497819999997</v>
      </c>
      <c r="H61" s="718">
        <f>+Resumen!Z211</f>
        <v>178931.78696405826</v>
      </c>
      <c r="I61" s="718">
        <f>+Resumen!H215</f>
        <v>2049264.2243628921</v>
      </c>
      <c r="J61" s="718">
        <f>+Resumen!O215</f>
        <v>149664.48525329895</v>
      </c>
      <c r="K61" s="718">
        <f>+Resumen!R215</f>
        <v>311721.56593111268</v>
      </c>
      <c r="L61" s="718">
        <f>+Resumen!V215</f>
        <v>1628535.1551999999</v>
      </c>
      <c r="M61" s="718">
        <f>+Resumen!Y215</f>
        <v>17463.497819999997</v>
      </c>
      <c r="N61" s="718">
        <f>+Resumen!Z215</f>
        <v>178931.78696405826</v>
      </c>
      <c r="O61" s="719">
        <f>+Resumen!AB211</f>
        <v>-9798368.2647650763</v>
      </c>
      <c r="P61" s="719">
        <f>+Resumen!AB215</f>
        <v>-9113465.0009632409</v>
      </c>
      <c r="Q61" s="720">
        <f t="shared" si="15"/>
        <v>4625938.6964058261</v>
      </c>
      <c r="R61" s="721" t="str">
        <f t="shared" si="1"/>
        <v>R</v>
      </c>
      <c r="S61" s="720">
        <f t="shared" si="16"/>
        <v>4139185.4307473036</v>
      </c>
      <c r="T61" s="743" t="s">
        <v>488</v>
      </c>
      <c r="U61" s="744">
        <f t="shared" si="20"/>
        <v>-6.9899726698857245E-2</v>
      </c>
      <c r="V61" s="940"/>
      <c r="W61" s="936"/>
      <c r="X61" s="737" t="str">
        <f t="shared" si="17"/>
        <v>R</v>
      </c>
      <c r="AA61" s="695">
        <f t="shared" si="10"/>
        <v>-7.9313768638467286E-2</v>
      </c>
    </row>
    <row r="62" spans="1:27">
      <c r="A62" s="723" t="str">
        <f>+Resumen!A222</f>
        <v>REGIÓN JUNÍN</v>
      </c>
      <c r="B62" s="724" t="str">
        <f>+Resumen!D222</f>
        <v>Juan Bautista Alberdi</v>
      </c>
      <c r="C62" s="725">
        <f>+Resumen!H222</f>
        <v>1281939.3427775998</v>
      </c>
      <c r="D62" s="725">
        <f>+Resumen!O222</f>
        <v>359159.83353599999</v>
      </c>
      <c r="E62" s="725">
        <f>+Resumen!R222</f>
        <v>442807.52847999998</v>
      </c>
      <c r="F62" s="725">
        <f>+Resumen!V222</f>
        <v>0</v>
      </c>
      <c r="G62" s="725">
        <f>+Resumen!Y222</f>
        <v>3705.9609704</v>
      </c>
      <c r="H62" s="725">
        <f>+Resumen!Z222</f>
        <v>153511.46704793599</v>
      </c>
      <c r="I62" s="725">
        <f>+Resumen!H228</f>
        <v>1081737.7354589535</v>
      </c>
      <c r="J62" s="725">
        <f>+Resumen!O228</f>
        <v>38601.761303905223</v>
      </c>
      <c r="K62" s="725">
        <f>+Resumen!R228</f>
        <v>412344.86838832701</v>
      </c>
      <c r="L62" s="725">
        <f>+Resumen!V228</f>
        <v>0</v>
      </c>
      <c r="M62" s="725">
        <f>+Resumen!Y228</f>
        <v>3705.9609704</v>
      </c>
      <c r="N62" s="725">
        <f>+Resumen!Z228</f>
        <v>153511.46704793599</v>
      </c>
      <c r="O62" s="726">
        <f>+Resumen!AB222</f>
        <v>-8124320.8870515581</v>
      </c>
      <c r="P62" s="726">
        <f>+Resumen!AB228</f>
        <v>-7722202.464007779</v>
      </c>
      <c r="Q62" s="727">
        <f t="shared" si="15"/>
        <v>2083906.7047935999</v>
      </c>
      <c r="R62" s="728" t="str">
        <f t="shared" si="1"/>
        <v>R</v>
      </c>
      <c r="S62" s="727">
        <f t="shared" si="16"/>
        <v>1532684.3651511858</v>
      </c>
      <c r="T62" s="746" t="s">
        <v>488</v>
      </c>
      <c r="U62" s="745">
        <f t="shared" si="20"/>
        <v>-4.9495635220990652E-2</v>
      </c>
      <c r="V62" s="938">
        <f>+(SUM(P62:P66)/SUM(O62:O66)-1)</f>
        <v>-0.13763771351176246</v>
      </c>
      <c r="W62" s="936"/>
      <c r="X62" s="737" t="str">
        <f t="shared" si="17"/>
        <v>R</v>
      </c>
      <c r="AA62" s="695">
        <f>+V62</f>
        <v>-0.13763771351176246</v>
      </c>
    </row>
    <row r="63" spans="1:27">
      <c r="A63" s="710" t="str">
        <f t="shared" si="6"/>
        <v>REGIÓN JUNÍN</v>
      </c>
      <c r="B63" s="711" t="str">
        <f>+Resumen!D223</f>
        <v>Chacabuco</v>
      </c>
      <c r="C63" s="712">
        <f>+Resumen!H223</f>
        <v>4707842.6050227936</v>
      </c>
      <c r="D63" s="712">
        <f>+Resumen!O223</f>
        <v>1598623.2492800001</v>
      </c>
      <c r="E63" s="712">
        <f>+Resumen!R223</f>
        <v>10726440.684800001</v>
      </c>
      <c r="F63" s="712">
        <f>+Resumen!V223</f>
        <v>3155286.8632</v>
      </c>
      <c r="G63" s="712">
        <f>+Resumen!Y223</f>
        <v>80973.83271432</v>
      </c>
      <c r="H63" s="712">
        <f>+Resumen!Z223</f>
        <v>385024.81752878497</v>
      </c>
      <c r="I63" s="712">
        <f>+Resumen!H229</f>
        <v>5065062.2200870104</v>
      </c>
      <c r="J63" s="712">
        <f>+Resumen!O229</f>
        <v>649221.85186661826</v>
      </c>
      <c r="K63" s="712">
        <f>+Resumen!R229</f>
        <v>6793987.8529190812</v>
      </c>
      <c r="L63" s="712">
        <f>+Resumen!V229</f>
        <v>3155286.8632</v>
      </c>
      <c r="M63" s="712">
        <f>+Resumen!Y229</f>
        <v>80973.83271432</v>
      </c>
      <c r="N63" s="712">
        <f>+Resumen!Z229</f>
        <v>385024.81752878497</v>
      </c>
      <c r="O63" s="713">
        <f>+Resumen!AB223</f>
        <v>-53783058.024152853</v>
      </c>
      <c r="P63" s="713">
        <f>+Resumen!AB229</f>
        <v>-39330446.334079936</v>
      </c>
      <c r="Q63" s="714">
        <f t="shared" si="15"/>
        <v>20188193.402302794</v>
      </c>
      <c r="R63" s="715" t="str">
        <f t="shared" si="1"/>
        <v>R</v>
      </c>
      <c r="S63" s="714">
        <f t="shared" si="16"/>
        <v>15663558.788072709</v>
      </c>
      <c r="T63" s="741" t="s">
        <v>488</v>
      </c>
      <c r="U63" s="742">
        <f t="shared" si="20"/>
        <v>-0.26872052689124792</v>
      </c>
      <c r="V63" s="939"/>
      <c r="W63" s="936"/>
      <c r="X63" s="737" t="str">
        <f t="shared" si="17"/>
        <v>R</v>
      </c>
      <c r="AA63" s="695">
        <f t="shared" si="10"/>
        <v>-0.13763771351176246</v>
      </c>
    </row>
    <row r="64" spans="1:27">
      <c r="A64" s="710" t="str">
        <f t="shared" si="6"/>
        <v>REGIÓN JUNÍN</v>
      </c>
      <c r="B64" s="711" t="str">
        <f>+Resumen!D224</f>
        <v>Vedia</v>
      </c>
      <c r="C64" s="712">
        <f>+Resumen!H224</f>
        <v>2272168.5687098252</v>
      </c>
      <c r="D64" s="712">
        <f>+Resumen!O224</f>
        <v>0</v>
      </c>
      <c r="E64" s="712">
        <f>+Resumen!R224</f>
        <v>686678.11008000001</v>
      </c>
      <c r="F64" s="712">
        <f>+Resumen!V224</f>
        <v>3053503.4160000002</v>
      </c>
      <c r="G64" s="712">
        <f>+Resumen!Y224</f>
        <v>22963.030740959999</v>
      </c>
      <c r="H64" s="712">
        <f>+Resumen!Z224</f>
        <v>192795.90094789825</v>
      </c>
      <c r="I64" s="712">
        <f>+Resumen!H230</f>
        <v>1899298.2101409556</v>
      </c>
      <c r="J64" s="712">
        <f>+Resumen!O230</f>
        <v>0</v>
      </c>
      <c r="K64" s="712">
        <f>+Resumen!R230</f>
        <v>1324729.9403296302</v>
      </c>
      <c r="L64" s="712">
        <f>+Resumen!V230</f>
        <v>3053503.4160000002</v>
      </c>
      <c r="M64" s="712">
        <f>+Resumen!Y230</f>
        <v>22963.030740959999</v>
      </c>
      <c r="N64" s="712">
        <f>+Resumen!Z230</f>
        <v>192795.90094789825</v>
      </c>
      <c r="O64" s="713">
        <f>+Resumen!AB224</f>
        <v>-11361812.346064478</v>
      </c>
      <c r="P64" s="713">
        <f>+Resumen!AB230</f>
        <v>-11371536.158993842</v>
      </c>
      <c r="Q64" s="714">
        <f t="shared" si="15"/>
        <v>6012350.0947898254</v>
      </c>
      <c r="R64" s="715" t="str">
        <f t="shared" si="1"/>
        <v>L</v>
      </c>
      <c r="S64" s="714">
        <f t="shared" si="16"/>
        <v>6277531.5664705858</v>
      </c>
      <c r="T64" s="741" t="s">
        <v>488</v>
      </c>
      <c r="U64" s="742">
        <f t="shared" si="20"/>
        <v>8.5583291055946198E-4</v>
      </c>
      <c r="V64" s="939"/>
      <c r="W64" s="936"/>
      <c r="X64" s="737" t="str">
        <f t="shared" si="17"/>
        <v>R</v>
      </c>
      <c r="AA64" s="695">
        <f t="shared" si="10"/>
        <v>-0.13763771351176246</v>
      </c>
    </row>
    <row r="65" spans="1:27">
      <c r="A65" s="710" t="str">
        <f t="shared" si="6"/>
        <v>REGIÓN JUNÍN</v>
      </c>
      <c r="B65" s="711" t="str">
        <f>+Resumen!D225</f>
        <v>Los Toldos</v>
      </c>
      <c r="C65" s="712">
        <f>+Resumen!H225</f>
        <v>2443637.0087098256</v>
      </c>
      <c r="D65" s="712">
        <f>+Resumen!O225</f>
        <v>359159.83353599999</v>
      </c>
      <c r="E65" s="712">
        <f>+Resumen!R225</f>
        <v>988347.93975999998</v>
      </c>
      <c r="F65" s="712">
        <f>+Resumen!V225</f>
        <v>2524229.4905599998</v>
      </c>
      <c r="G65" s="712">
        <f>+Resumen!Y225</f>
        <v>26202.42798144</v>
      </c>
      <c r="H65" s="712">
        <f>+Resumen!Z225</f>
        <v>195826.14272565825</v>
      </c>
      <c r="I65" s="712">
        <f>+Resumen!H231</f>
        <v>2538186.8191836234</v>
      </c>
      <c r="J65" s="712">
        <f>+Resumen!O231</f>
        <v>232394.95422389632</v>
      </c>
      <c r="K65" s="712">
        <f>+Resumen!R231</f>
        <v>2453645.3591565113</v>
      </c>
      <c r="L65" s="712">
        <f>+Resumen!V231</f>
        <v>2524229.4905599998</v>
      </c>
      <c r="M65" s="712">
        <f>+Resumen!Y231</f>
        <v>26202.42798144</v>
      </c>
      <c r="N65" s="712">
        <f>+Resumen!Z231</f>
        <v>195826.14272565825</v>
      </c>
      <c r="O65" s="713">
        <f>+Resumen!AB225</f>
        <v>-14198003.488657732</v>
      </c>
      <c r="P65" s="713">
        <f>+Resumen!AB231</f>
        <v>-16352269.570440505</v>
      </c>
      <c r="Q65" s="714">
        <f t="shared" si="15"/>
        <v>6315374.2725658249</v>
      </c>
      <c r="R65" s="715" t="str">
        <f t="shared" si="1"/>
        <v>L</v>
      </c>
      <c r="S65" s="714">
        <f t="shared" si="16"/>
        <v>7748456.6231240304</v>
      </c>
      <c r="T65" s="741" t="s">
        <v>488</v>
      </c>
      <c r="U65" s="742">
        <f t="shared" si="20"/>
        <v>0.15173021217410865</v>
      </c>
      <c r="V65" s="939"/>
      <c r="W65" s="936"/>
      <c r="X65" s="737" t="str">
        <f t="shared" si="17"/>
        <v>R</v>
      </c>
      <c r="AA65" s="695">
        <f t="shared" si="10"/>
        <v>-0.13763771351176246</v>
      </c>
    </row>
    <row r="66" spans="1:27" ht="15.75" thickBot="1">
      <c r="A66" s="716" t="str">
        <f t="shared" si="6"/>
        <v>REGIÓN JUNÍN</v>
      </c>
      <c r="B66" s="717" t="str">
        <f>+Resumen!D226</f>
        <v>Junín</v>
      </c>
      <c r="C66" s="718">
        <f>+Resumen!H226</f>
        <v>5750938.3644238552</v>
      </c>
      <c r="D66" s="718">
        <f>+Resumen!O226</f>
        <v>1850647.2441500002</v>
      </c>
      <c r="E66" s="718">
        <f>+Resumen!R226</f>
        <v>16222971.510400001</v>
      </c>
      <c r="F66" s="718">
        <f>+Resumen!V226</f>
        <v>12205870.988224</v>
      </c>
      <c r="G66" s="718">
        <f>+Resumen!Y226</f>
        <v>106842.96851903999</v>
      </c>
      <c r="H66" s="718">
        <f>+Resumen!Z226</f>
        <v>583052.7513399733</v>
      </c>
      <c r="I66" s="718">
        <f>+Resumen!H232</f>
        <v>6799355.2655724362</v>
      </c>
      <c r="J66" s="718">
        <f>+Resumen!O232</f>
        <v>1157810.0005136901</v>
      </c>
      <c r="K66" s="718">
        <f>+Resumen!R232</f>
        <v>13669920.260006454</v>
      </c>
      <c r="L66" s="718">
        <f>+Resumen!V232</f>
        <v>12205870.988224</v>
      </c>
      <c r="M66" s="718">
        <f>+Resumen!Y232</f>
        <v>106842.96851903999</v>
      </c>
      <c r="N66" s="718">
        <f>+Resumen!Z232</f>
        <v>583052.7513399733</v>
      </c>
      <c r="O66" s="719">
        <f>+Resumen!AB226</f>
        <v>-67592124.091908962</v>
      </c>
      <c r="P66" s="719">
        <f>+Resumen!AB232</f>
        <v>-58940854.206782475</v>
      </c>
      <c r="Q66" s="720">
        <f t="shared" si="15"/>
        <v>36030428.107197858</v>
      </c>
      <c r="R66" s="721" t="str">
        <f t="shared" si="1"/>
        <v>R</v>
      </c>
      <c r="S66" s="720">
        <f t="shared" si="16"/>
        <v>33832956.514316581</v>
      </c>
      <c r="T66" s="743" t="s">
        <v>488</v>
      </c>
      <c r="U66" s="744">
        <f t="shared" si="20"/>
        <v>-0.12799227722689777</v>
      </c>
      <c r="V66" s="940"/>
      <c r="W66" s="936"/>
      <c r="X66" s="737" t="str">
        <f t="shared" si="17"/>
        <v>R</v>
      </c>
      <c r="AA66" s="695">
        <f t="shared" si="10"/>
        <v>-0.13763771351176246</v>
      </c>
    </row>
    <row r="67" spans="1:27">
      <c r="A67" s="723" t="str">
        <f>+Resumen!A239</f>
        <v>REGIÓN LINCOLN</v>
      </c>
      <c r="B67" s="724" t="str">
        <f>+Resumen!D239</f>
        <v>General Pinto</v>
      </c>
      <c r="C67" s="725">
        <f>+Resumen!H239</f>
        <v>2217901.8382136761</v>
      </c>
      <c r="D67" s="725">
        <f>+Resumen!O239</f>
        <v>359159.83353599999</v>
      </c>
      <c r="E67" s="725">
        <f>+Resumen!R239</f>
        <v>483879.65015999996</v>
      </c>
      <c r="F67" s="725">
        <f>+Resumen!V239</f>
        <v>1429039.5986879999</v>
      </c>
      <c r="G67" s="725">
        <f>+Resumen!Y239</f>
        <v>13299.460053199999</v>
      </c>
      <c r="H67" s="725">
        <f>+Resumen!Z239</f>
        <v>177572.20920597675</v>
      </c>
      <c r="I67" s="725">
        <f>+Resumen!H242</f>
        <v>1963616.2340302977</v>
      </c>
      <c r="J67" s="725">
        <f>+Resumen!O242</f>
        <v>304635.39476036222</v>
      </c>
      <c r="K67" s="725">
        <f>+Resumen!R242</f>
        <v>1555542.8857247222</v>
      </c>
      <c r="L67" s="725">
        <f>+Resumen!V242</f>
        <v>1429039.5986879999</v>
      </c>
      <c r="M67" s="725">
        <f>+Resumen!Y242</f>
        <v>13299.460053199999</v>
      </c>
      <c r="N67" s="725">
        <f>+Resumen!Z242</f>
        <v>177572.20920597675</v>
      </c>
      <c r="O67" s="726">
        <f>+Resumen!AB239</f>
        <v>-10514018.299100732</v>
      </c>
      <c r="P67" s="726">
        <f>+Resumen!AB242</f>
        <v>-13133064.961456727</v>
      </c>
      <c r="Q67" s="727">
        <f t="shared" si="15"/>
        <v>4489980.9205976762</v>
      </c>
      <c r="R67" s="728" t="str">
        <f t="shared" si="1"/>
        <v>L</v>
      </c>
      <c r="S67" s="727">
        <f t="shared" si="16"/>
        <v>5252834.1132033821</v>
      </c>
      <c r="T67" s="746" t="s">
        <v>488</v>
      </c>
      <c r="U67" s="745">
        <f>+(P67/O67-1)</f>
        <v>0.2491004474074392</v>
      </c>
      <c r="V67" s="938">
        <f>+(SUM(P67:P68)/SUM(O67:O68)-1)</f>
        <v>5.709323737072669E-3</v>
      </c>
      <c r="W67" s="936"/>
      <c r="X67" s="737" t="str">
        <f t="shared" si="17"/>
        <v>L</v>
      </c>
      <c r="AA67" s="695">
        <f>+V67</f>
        <v>5.709323737072669E-3</v>
      </c>
    </row>
    <row r="68" spans="1:27" ht="15.75" thickBot="1">
      <c r="A68" s="716" t="str">
        <f t="shared" si="6"/>
        <v>REGIÓN LINCOLN</v>
      </c>
      <c r="B68" s="717" t="str">
        <f>+Resumen!D240</f>
        <v>Lincoln</v>
      </c>
      <c r="C68" s="718">
        <f>+Resumen!H240</f>
        <v>3399841.5656182352</v>
      </c>
      <c r="D68" s="718">
        <f>+Resumen!O240</f>
        <v>1288435.3889840001</v>
      </c>
      <c r="E68" s="718">
        <f>+Resumen!R240</f>
        <v>8632936.0744000003</v>
      </c>
      <c r="F68" s="718">
        <f>+Resumen!V240</f>
        <v>4844892.08672</v>
      </c>
      <c r="G68" s="718">
        <f>+Resumen!Y240</f>
        <v>68508.703510239997</v>
      </c>
      <c r="H68" s="718">
        <f>+Resumen!Z240</f>
        <v>314333.45115722239</v>
      </c>
      <c r="I68" s="718">
        <f>+Resumen!H243</f>
        <v>4204793.966805513</v>
      </c>
      <c r="J68" s="718">
        <f>+Resumen!O243</f>
        <v>1013665.056303638</v>
      </c>
      <c r="K68" s="718">
        <f>+Resumen!R243</f>
        <v>7815160.7038752781</v>
      </c>
      <c r="L68" s="718">
        <f>+Resumen!V243</f>
        <v>4844892.08672</v>
      </c>
      <c r="M68" s="718">
        <f>+Resumen!Y243</f>
        <v>68508.703510239997</v>
      </c>
      <c r="N68" s="718">
        <f>+Resumen!Z243</f>
        <v>314333.45115722239</v>
      </c>
      <c r="O68" s="719">
        <f>+Resumen!AB240</f>
        <v>-41540187.845930748</v>
      </c>
      <c r="P68" s="719">
        <f>+Resumen!AB243</f>
        <v>-39218335.498333052</v>
      </c>
      <c r="Q68" s="720">
        <f t="shared" si="15"/>
        <v>18166105.115722235</v>
      </c>
      <c r="R68" s="721" t="str">
        <f t="shared" si="1"/>
        <v>R</v>
      </c>
      <c r="S68" s="720">
        <f t="shared" si="16"/>
        <v>17878511.813704431</v>
      </c>
      <c r="T68" s="743" t="s">
        <v>488</v>
      </c>
      <c r="U68" s="744">
        <f t="shared" ref="U68" si="21">+(P68/O68-1)</f>
        <v>-5.589412248710246E-2</v>
      </c>
      <c r="V68" s="940"/>
      <c r="W68" s="936"/>
      <c r="X68" s="737" t="str">
        <f t="shared" si="17"/>
        <v>L</v>
      </c>
      <c r="AA68" s="695">
        <f t="shared" si="10"/>
        <v>5.709323737072669E-3</v>
      </c>
    </row>
    <row r="69" spans="1:27">
      <c r="A69" s="723" t="str">
        <f>+Resumen!A250</f>
        <v>REGIÓN MONTE HERMOSO</v>
      </c>
      <c r="B69" s="724" t="str">
        <f>+Resumen!D250</f>
        <v>Coronel Dorrego</v>
      </c>
      <c r="C69" s="725">
        <f>+Resumen!H250</f>
        <v>2412460.9287098255</v>
      </c>
      <c r="D69" s="725">
        <f>+Resumen!O250</f>
        <v>34462.852786000003</v>
      </c>
      <c r="E69" s="725">
        <f>+Resumen!R250</f>
        <v>711833.26456000004</v>
      </c>
      <c r="F69" s="725">
        <f>+Resumen!V250</f>
        <v>6221004.2928640004</v>
      </c>
      <c r="G69" s="725">
        <f>+Resumen!Y250</f>
        <v>23541.447902399996</v>
      </c>
      <c r="H69" s="725">
        <f>+Resumen!Z250</f>
        <v>226470.01338919826</v>
      </c>
      <c r="I69" s="725">
        <f>+Resumen!H253</f>
        <v>2362266.7791208569</v>
      </c>
      <c r="J69" s="725">
        <f>+Resumen!O253</f>
        <v>209247.45744963305</v>
      </c>
      <c r="K69" s="725">
        <f>+Resumen!R253</f>
        <v>2535053.3024590998</v>
      </c>
      <c r="L69" s="725">
        <f>+Resumen!V253</f>
        <v>6221004.2928640004</v>
      </c>
      <c r="M69" s="725">
        <f>+Resumen!Y253</f>
        <v>23541.447902399996</v>
      </c>
      <c r="N69" s="725">
        <f>+Resumen!Z253</f>
        <v>226470.01338919826</v>
      </c>
      <c r="O69" s="726">
        <f>+Resumen!AB250</f>
        <v>-12449795.02938957</v>
      </c>
      <c r="P69" s="726">
        <f>+Resumen!AB253</f>
        <v>-17447857.638289135</v>
      </c>
      <c r="Q69" s="727">
        <f t="shared" si="15"/>
        <v>9379761.3389198259</v>
      </c>
      <c r="R69" s="728" t="str">
        <f t="shared" si="1"/>
        <v>L</v>
      </c>
      <c r="S69" s="727">
        <f t="shared" si="16"/>
        <v>11327571.831893589</v>
      </c>
      <c r="T69" s="746" t="s">
        <v>488</v>
      </c>
      <c r="U69" s="745">
        <f>+(P69/O69-1)</f>
        <v>0.40145742135520335</v>
      </c>
      <c r="V69" s="938">
        <f>+(SUM(P69:P70)/SUM(O69:O70)-1)</f>
        <v>1.1671420800388521E-2</v>
      </c>
      <c r="W69" s="936"/>
      <c r="X69" s="737" t="str">
        <f t="shared" si="17"/>
        <v>L</v>
      </c>
      <c r="AA69" s="695">
        <f>+V69</f>
        <v>1.1671420800388521E-2</v>
      </c>
    </row>
    <row r="70" spans="1:27" ht="15.75" thickBot="1">
      <c r="A70" s="716" t="str">
        <f t="shared" si="6"/>
        <v>REGIÓN MONTE HERMOSO</v>
      </c>
      <c r="B70" s="717" t="str">
        <f>+Resumen!D251</f>
        <v>Monte Hermoso</v>
      </c>
      <c r="C70" s="718">
        <f>+Resumen!H251</f>
        <v>3343073.9649567031</v>
      </c>
      <c r="D70" s="718">
        <f>+Resumen!O251</f>
        <v>833549.18217200018</v>
      </c>
      <c r="E70" s="718">
        <f>+Resumen!R251</f>
        <v>7099669.9479999999</v>
      </c>
      <c r="F70" s="718">
        <f>+Resumen!V251</f>
        <v>4427579.9532000003</v>
      </c>
      <c r="G70" s="718">
        <f>+Resumen!Y251</f>
        <v>13436.991898960001</v>
      </c>
      <c r="H70" s="718">
        <f>+Resumen!Z251</f>
        <v>289711.13048328704</v>
      </c>
      <c r="I70" s="718">
        <f>+Resumen!H254</f>
        <v>3835420.0654266239</v>
      </c>
      <c r="J70" s="718">
        <f>+Resumen!O254</f>
        <v>406640.82757236692</v>
      </c>
      <c r="K70" s="718">
        <f>+Resumen!R254</f>
        <v>5882579.4623408997</v>
      </c>
      <c r="L70" s="718">
        <f>+Resumen!V254</f>
        <v>4427579.9532000003</v>
      </c>
      <c r="M70" s="718">
        <f>+Resumen!Y254</f>
        <v>13436.991898960001</v>
      </c>
      <c r="N70" s="718">
        <f>+Resumen!Z254</f>
        <v>289711.13048328704</v>
      </c>
      <c r="O70" s="719">
        <f>+Resumen!AB251</f>
        <v>-38424123.688477986</v>
      </c>
      <c r="P70" s="719">
        <f>+Resumen!AB254</f>
        <v>-34019831.992699414</v>
      </c>
      <c r="Q70" s="720">
        <f t="shared" si="15"/>
        <v>15703873.048328705</v>
      </c>
      <c r="R70" s="721" t="str">
        <f t="shared" si="1"/>
        <v>R</v>
      </c>
      <c r="S70" s="720">
        <f t="shared" si="16"/>
        <v>14552220.30853989</v>
      </c>
      <c r="T70" s="743" t="s">
        <v>488</v>
      </c>
      <c r="U70" s="744">
        <f t="shared" ref="U70:U75" si="22">+(P70/O70-1)</f>
        <v>-0.1146230876073111</v>
      </c>
      <c r="V70" s="940"/>
      <c r="W70" s="936"/>
      <c r="X70" s="737" t="str">
        <f t="shared" si="17"/>
        <v>L</v>
      </c>
      <c r="AA70" s="695">
        <f t="shared" si="10"/>
        <v>1.1671420800388521E-2</v>
      </c>
    </row>
    <row r="71" spans="1:27">
      <c r="A71" s="723" t="str">
        <f>+Resumen!A261</f>
        <v>REGIÓN NAVARRO</v>
      </c>
      <c r="B71" s="724" t="str">
        <f>+Resumen!D261</f>
        <v>Suipacha</v>
      </c>
      <c r="C71" s="725">
        <f>+Resumen!H261</f>
        <v>2300227.0407098257</v>
      </c>
      <c r="D71" s="725">
        <f>+Resumen!O261</f>
        <v>359159.83353599999</v>
      </c>
      <c r="E71" s="725">
        <f>+Resumen!R261</f>
        <v>710681.12008000002</v>
      </c>
      <c r="F71" s="725">
        <f>+Resumen!V261</f>
        <v>1506395.01856</v>
      </c>
      <c r="G71" s="725">
        <f>+Resumen!Y261</f>
        <v>15494.529243359997</v>
      </c>
      <c r="H71" s="725">
        <f>+Resumen!Z261</f>
        <v>181437.03012885826</v>
      </c>
      <c r="I71" s="725">
        <f>+Resumen!H267</f>
        <v>2005792.5673657139</v>
      </c>
      <c r="J71" s="725">
        <f>+Resumen!O267</f>
        <v>151438.77086185131</v>
      </c>
      <c r="K71" s="725">
        <f>+Resumen!R267</f>
        <v>1480757.7098472845</v>
      </c>
      <c r="L71" s="725">
        <f>+Resumen!V267</f>
        <v>1506395.01856</v>
      </c>
      <c r="M71" s="725">
        <f>+Resumen!Y267</f>
        <v>15494.529243359997</v>
      </c>
      <c r="N71" s="725">
        <f>+Resumen!Z267</f>
        <v>181437.03012885826</v>
      </c>
      <c r="O71" s="726">
        <f>+Resumen!AB261</f>
        <v>-11993626.552760612</v>
      </c>
      <c r="P71" s="726">
        <f>+Resumen!AB267</f>
        <v>-12254230.450579595</v>
      </c>
      <c r="Q71" s="727">
        <f t="shared" ref="Q71:Q106" si="23">SUM(C71:F71)</f>
        <v>4876463.0128858257</v>
      </c>
      <c r="R71" s="728" t="str">
        <f t="shared" ref="R71:R105" si="24">+IF(O71&lt;P71,"R","L")</f>
        <v>L</v>
      </c>
      <c r="S71" s="727">
        <f t="shared" ref="S71:S102" si="25">+SUM(I71:L71)</f>
        <v>5144384.0666348496</v>
      </c>
      <c r="T71" s="746" t="s">
        <v>488</v>
      </c>
      <c r="U71" s="745">
        <f t="shared" si="22"/>
        <v>2.1728531955916175E-2</v>
      </c>
      <c r="V71" s="938">
        <f>+(SUM(P71:P75)/SUM(O71:O75)-1)</f>
        <v>-0.23808156355278964</v>
      </c>
      <c r="W71" s="936"/>
      <c r="X71" s="737" t="str">
        <f t="shared" ref="X71:X106" si="26">+IF(AA71&lt;0,"R","L")</f>
        <v>R</v>
      </c>
      <c r="AA71" s="695">
        <f>+V71</f>
        <v>-0.23808156355278964</v>
      </c>
    </row>
    <row r="72" spans="1:27">
      <c r="A72" s="710" t="str">
        <f t="shared" si="6"/>
        <v>REGIÓN NAVARRO</v>
      </c>
      <c r="B72" s="711" t="str">
        <f>+Resumen!D262</f>
        <v>Mercedes</v>
      </c>
      <c r="C72" s="712">
        <f>+Resumen!H262</f>
        <v>4798219.3181958785</v>
      </c>
      <c r="D72" s="712">
        <f>+Resumen!O262</f>
        <v>1750055.7074000002</v>
      </c>
      <c r="E72" s="712">
        <f>+Resumen!R262</f>
        <v>12842214.773600001</v>
      </c>
      <c r="F72" s="712">
        <f>+Resumen!V262</f>
        <v>1547108.39744</v>
      </c>
      <c r="G72" s="712">
        <f>+Resumen!Y262</f>
        <v>127916.80292288</v>
      </c>
      <c r="H72" s="712">
        <f>+Resumen!Z262</f>
        <v>394392.37745794852</v>
      </c>
      <c r="I72" s="712">
        <f>+Resumen!H268</f>
        <v>5836215.7621496553</v>
      </c>
      <c r="J72" s="712">
        <f>+Resumen!O268</f>
        <v>994669.02767982695</v>
      </c>
      <c r="K72" s="712">
        <f>+Resumen!R268</f>
        <v>9772561.7053839676</v>
      </c>
      <c r="L72" s="712">
        <f>+Resumen!V268</f>
        <v>1547108.39744</v>
      </c>
      <c r="M72" s="712">
        <f>+Resumen!Y268</f>
        <v>127916.80292288</v>
      </c>
      <c r="N72" s="712">
        <f>+Resumen!Z268</f>
        <v>394392.37745794852</v>
      </c>
      <c r="O72" s="713">
        <f>+Resumen!AB262</f>
        <v>-56817385.208838776</v>
      </c>
      <c r="P72" s="713">
        <f>+Resumen!AB268</f>
        <v>-47371220.509100489</v>
      </c>
      <c r="Q72" s="714">
        <f t="shared" si="23"/>
        <v>20937598.19663588</v>
      </c>
      <c r="R72" s="715" t="str">
        <f t="shared" si="24"/>
        <v>R</v>
      </c>
      <c r="S72" s="714">
        <f t="shared" si="25"/>
        <v>18150554.89265345</v>
      </c>
      <c r="T72" s="741" t="s">
        <v>488</v>
      </c>
      <c r="U72" s="742">
        <f t="shared" si="22"/>
        <v>-0.16625482966204497</v>
      </c>
      <c r="V72" s="939"/>
      <c r="W72" s="936"/>
      <c r="X72" s="737" t="str">
        <f t="shared" si="26"/>
        <v>R</v>
      </c>
      <c r="AA72" s="695">
        <f t="shared" si="10"/>
        <v>-0.23808156355278964</v>
      </c>
    </row>
    <row r="73" spans="1:27">
      <c r="A73" s="710" t="str">
        <f t="shared" si="6"/>
        <v>REGIÓN NAVARRO</v>
      </c>
      <c r="B73" s="711" t="str">
        <f>+Resumen!D263</f>
        <v>Lobos</v>
      </c>
      <c r="C73" s="712">
        <f>+Resumen!H263</f>
        <v>3605603.6936182352</v>
      </c>
      <c r="D73" s="712">
        <f>+Resumen!O263</f>
        <v>1274656.8303600003</v>
      </c>
      <c r="E73" s="712">
        <f>+Resumen!R263</f>
        <v>9688051.9928000011</v>
      </c>
      <c r="F73" s="712">
        <f>+Resumen!V263</f>
        <v>0</v>
      </c>
      <c r="G73" s="712">
        <f>+Resumen!Y263</f>
        <v>45390.949442799996</v>
      </c>
      <c r="H73" s="712">
        <f>+Resumen!Z263</f>
        <v>278355.52516778233</v>
      </c>
      <c r="I73" s="712">
        <f>+Resumen!H269</f>
        <v>4187048.7366479258</v>
      </c>
      <c r="J73" s="712">
        <f>+Resumen!O269</f>
        <v>293183.90104421508</v>
      </c>
      <c r="K73" s="712">
        <f>+Resumen!R269</f>
        <v>5838149.3399860365</v>
      </c>
      <c r="L73" s="712">
        <f>+Resumen!V269</f>
        <v>0</v>
      </c>
      <c r="M73" s="712">
        <f>+Resumen!Y269</f>
        <v>45390.949442799996</v>
      </c>
      <c r="N73" s="712">
        <f>+Resumen!Z269</f>
        <v>278355.52516778233</v>
      </c>
      <c r="O73" s="713">
        <f>+Resumen!AB263</f>
        <v>-44965429.045820646</v>
      </c>
      <c r="P73" s="713">
        <f>+Resumen!AB269</f>
        <v>-31148891.232544754</v>
      </c>
      <c r="Q73" s="714">
        <f t="shared" si="23"/>
        <v>14568312.516778236</v>
      </c>
      <c r="R73" s="715" t="str">
        <f t="shared" si="24"/>
        <v>R</v>
      </c>
      <c r="S73" s="714">
        <f t="shared" si="25"/>
        <v>10318381.977678176</v>
      </c>
      <c r="T73" s="741" t="s">
        <v>488</v>
      </c>
      <c r="U73" s="742">
        <f t="shared" si="22"/>
        <v>-0.30727023196412895</v>
      </c>
      <c r="V73" s="939"/>
      <c r="W73" s="936"/>
      <c r="X73" s="737" t="str">
        <f t="shared" si="26"/>
        <v>R</v>
      </c>
      <c r="AA73" s="695">
        <f t="shared" si="10"/>
        <v>-0.23808156355278964</v>
      </c>
    </row>
    <row r="74" spans="1:27">
      <c r="A74" s="710" t="str">
        <f t="shared" si="6"/>
        <v>REGIÓN NAVARRO</v>
      </c>
      <c r="B74" s="711" t="str">
        <f>+Resumen!D264</f>
        <v>General Las Heras</v>
      </c>
      <c r="C74" s="712">
        <f>+Resumen!H264</f>
        <v>2484748.7317175274</v>
      </c>
      <c r="D74" s="712">
        <f>+Resumen!O264</f>
        <v>359159.83353599999</v>
      </c>
      <c r="E74" s="712">
        <f>+Resumen!R264</f>
        <v>851050.72256000002</v>
      </c>
      <c r="F74" s="712">
        <f>+Resumen!V264</f>
        <v>0</v>
      </c>
      <c r="G74" s="712">
        <f>+Resumen!Y264</f>
        <v>25492.717233066665</v>
      </c>
      <c r="H74" s="712">
        <f>+Resumen!Z264</f>
        <v>169621.99287813526</v>
      </c>
      <c r="I74" s="712">
        <f>+Resumen!H270</f>
        <v>2196621.0992573318</v>
      </c>
      <c r="J74" s="712">
        <f>+Resumen!O270</f>
        <v>207784.01420491238</v>
      </c>
      <c r="K74" s="712">
        <f>+Resumen!R270</f>
        <v>2030584.1324972303</v>
      </c>
      <c r="L74" s="712">
        <f>+Resumen!V270</f>
        <v>0</v>
      </c>
      <c r="M74" s="712">
        <f>+Resumen!Y270</f>
        <v>25492.717233066665</v>
      </c>
      <c r="N74" s="712">
        <f>+Resumen!Z270</f>
        <v>169621.99287813526</v>
      </c>
      <c r="O74" s="713">
        <f>+Resumen!AB264</f>
        <v>-13497936.395523369</v>
      </c>
      <c r="P74" s="713">
        <f>+Resumen!AB270</f>
        <v>-14438902.47853625</v>
      </c>
      <c r="Q74" s="714">
        <f t="shared" si="23"/>
        <v>3694959.2878135275</v>
      </c>
      <c r="R74" s="715" t="str">
        <f t="shared" si="24"/>
        <v>L</v>
      </c>
      <c r="S74" s="714">
        <f t="shared" si="25"/>
        <v>4434989.2459594747</v>
      </c>
      <c r="T74" s="741" t="s">
        <v>488</v>
      </c>
      <c r="U74" s="742">
        <f t="shared" si="22"/>
        <v>6.9711847458768128E-2</v>
      </c>
      <c r="V74" s="939"/>
      <c r="W74" s="936"/>
      <c r="X74" s="737" t="str">
        <f t="shared" si="26"/>
        <v>R</v>
      </c>
      <c r="AA74" s="695">
        <f t="shared" si="10"/>
        <v>-0.23808156355278964</v>
      </c>
    </row>
    <row r="75" spans="1:27" ht="15.75" thickBot="1">
      <c r="A75" s="716" t="str">
        <f t="shared" si="6"/>
        <v>REGIÓN NAVARRO</v>
      </c>
      <c r="B75" s="717" t="str">
        <f>+Resumen!D265</f>
        <v>Navarro</v>
      </c>
      <c r="C75" s="718">
        <f>+Resumen!H265</f>
        <v>3269552.6862797677</v>
      </c>
      <c r="D75" s="718">
        <f>+Resumen!O265</f>
        <v>780518.72018000006</v>
      </c>
      <c r="E75" s="718">
        <f>+Resumen!R265</f>
        <v>6182956.4224000005</v>
      </c>
      <c r="F75" s="718">
        <f>+Resumen!V265</f>
        <v>3053503.4160000002</v>
      </c>
      <c r="G75" s="718">
        <f>+Resumen!Y265</f>
        <v>31049.33747608</v>
      </c>
      <c r="H75" s="718">
        <f>+Resumen!Z265</f>
        <v>265537.71244859765</v>
      </c>
      <c r="I75" s="718">
        <f>+Resumen!H271</f>
        <v>3156464.4786214824</v>
      </c>
      <c r="J75" s="718">
        <f>+Resumen!O271</f>
        <v>0</v>
      </c>
      <c r="K75" s="718">
        <f>+Resumen!R271</f>
        <v>2013350.1450854836</v>
      </c>
      <c r="L75" s="718">
        <f>+Resumen!V271</f>
        <v>3053503.4160000002</v>
      </c>
      <c r="M75" s="718">
        <f>+Resumen!Y271</f>
        <v>31049.33747608</v>
      </c>
      <c r="N75" s="718">
        <f>+Resumen!Z271</f>
        <v>265537.71244859765</v>
      </c>
      <c r="O75" s="719">
        <f>+Resumen!AB265</f>
        <v>-36903427.219297186</v>
      </c>
      <c r="P75" s="719">
        <f>+Resumen!AB271</f>
        <v>-19876851.373968396</v>
      </c>
      <c r="Q75" s="720">
        <f t="shared" si="23"/>
        <v>13286531.24485977</v>
      </c>
      <c r="R75" s="721" t="str">
        <f t="shared" si="24"/>
        <v>R</v>
      </c>
      <c r="S75" s="720">
        <f t="shared" si="25"/>
        <v>8223318.0397069659</v>
      </c>
      <c r="T75" s="743" t="s">
        <v>488</v>
      </c>
      <c r="U75" s="744">
        <f t="shared" si="22"/>
        <v>-0.46138196715847068</v>
      </c>
      <c r="V75" s="940"/>
      <c r="W75" s="936"/>
      <c r="X75" s="737" t="str">
        <f t="shared" si="26"/>
        <v>R</v>
      </c>
      <c r="AA75" s="695">
        <f t="shared" si="10"/>
        <v>-0.23808156355278964</v>
      </c>
    </row>
    <row r="76" spans="1:27">
      <c r="A76" s="723" t="str">
        <f>+Resumen!A278</f>
        <v>REGIÓN NECOCHEA</v>
      </c>
      <c r="B76" s="724" t="str">
        <f>+Resumen!D278</f>
        <v>Necochea - Quequén</v>
      </c>
      <c r="C76" s="725">
        <f>+Resumen!H278</f>
        <v>6729708.0387735227</v>
      </c>
      <c r="D76" s="725">
        <f>+Resumen!O278</f>
        <v>2088328.37824</v>
      </c>
      <c r="E76" s="725">
        <f>+Resumen!R278</f>
        <v>18046864.494400002</v>
      </c>
      <c r="F76" s="725">
        <f>+Resumen!V278</f>
        <v>3664204.0992000001</v>
      </c>
      <c r="G76" s="725">
        <f>+Resumen!Y278</f>
        <v>101740.14758016</v>
      </c>
      <c r="H76" s="725">
        <f>+Resumen!Z278</f>
        <v>514286.21263266902</v>
      </c>
      <c r="I76" s="725">
        <f>+Resumen!H281</f>
        <v>8421667.88230142</v>
      </c>
      <c r="J76" s="725">
        <f>+Resumen!O281</f>
        <v>1925150.6092027798</v>
      </c>
      <c r="K76" s="725">
        <f>+Resumen!R281</f>
        <v>17442313.660204537</v>
      </c>
      <c r="L76" s="725">
        <f>+Resumen!V281</f>
        <v>3664204.0992000001</v>
      </c>
      <c r="M76" s="725">
        <f>+Resumen!Y281</f>
        <v>101740.14758016</v>
      </c>
      <c r="N76" s="725">
        <f>+Resumen!Z281</f>
        <v>514286.21263266902</v>
      </c>
      <c r="O76" s="726">
        <f>+Resumen!AB278</f>
        <v>-77408171.646829486</v>
      </c>
      <c r="P76" s="726">
        <f>+Resumen!AB281</f>
        <v>-78527044.131779343</v>
      </c>
      <c r="Q76" s="727">
        <f t="shared" si="23"/>
        <v>30529105.010613523</v>
      </c>
      <c r="R76" s="728" t="str">
        <f t="shared" si="24"/>
        <v>L</v>
      </c>
      <c r="S76" s="727">
        <f t="shared" si="25"/>
        <v>31453336.250908736</v>
      </c>
      <c r="T76" s="746" t="s">
        <v>488</v>
      </c>
      <c r="U76" s="745">
        <f>+(P76/O76-1)</f>
        <v>1.4454190832134062E-2</v>
      </c>
      <c r="V76" s="938">
        <f>+(SUM(P76:P77)/SUM(O76:O77)-1)</f>
        <v>2.7108830880054002E-2</v>
      </c>
      <c r="W76" s="936"/>
      <c r="X76" s="737" t="str">
        <f t="shared" si="26"/>
        <v>L</v>
      </c>
      <c r="AA76" s="695">
        <f>+V76</f>
        <v>2.7108830880054002E-2</v>
      </c>
    </row>
    <row r="77" spans="1:27" ht="15.75" thickBot="1">
      <c r="A77" s="716" t="str">
        <f t="shared" si="6"/>
        <v>REGIÓN NECOCHEA</v>
      </c>
      <c r="B77" s="717" t="str">
        <f>+Resumen!D279</f>
        <v>Lobería</v>
      </c>
      <c r="C77" s="718">
        <f>+Resumen!H279</f>
        <v>2428048.9687098255</v>
      </c>
      <c r="D77" s="718">
        <f>+Resumen!O279</f>
        <v>359159.83353599999</v>
      </c>
      <c r="E77" s="718">
        <f>+Resumen!R279</f>
        <v>836840.94064000004</v>
      </c>
      <c r="F77" s="718">
        <f>+Resumen!V279</f>
        <v>1828030.711712</v>
      </c>
      <c r="G77" s="718">
        <f>+Resumen!Y279</f>
        <v>30421.086781919996</v>
      </c>
      <c r="H77" s="718">
        <f>+Resumen!Z279</f>
        <v>187193.20454597825</v>
      </c>
      <c r="I77" s="718">
        <f>+Resumen!H282</f>
        <v>2237472.0586236021</v>
      </c>
      <c r="J77" s="718">
        <f>+Resumen!O282</f>
        <v>223464.38503722011</v>
      </c>
      <c r="K77" s="718">
        <f>+Resumen!R282</f>
        <v>2064189.9933954626</v>
      </c>
      <c r="L77" s="718">
        <f>+Resumen!V282</f>
        <v>1828030.711712</v>
      </c>
      <c r="M77" s="718">
        <f>+Resumen!Y282</f>
        <v>30421.086781919996</v>
      </c>
      <c r="N77" s="718">
        <f>+Resumen!Z282</f>
        <v>187193.20454597825</v>
      </c>
      <c r="O77" s="719">
        <f>+Resumen!AB279</f>
        <v>-13491698.297624413</v>
      </c>
      <c r="P77" s="719">
        <f>+Resumen!AB282</f>
        <v>-14837015.014017662</v>
      </c>
      <c r="Q77" s="720">
        <f t="shared" si="23"/>
        <v>5452080.4545978252</v>
      </c>
      <c r="R77" s="721" t="str">
        <f t="shared" si="24"/>
        <v>L</v>
      </c>
      <c r="S77" s="720">
        <f t="shared" si="25"/>
        <v>6353157.1487682844</v>
      </c>
      <c r="T77" s="743" t="s">
        <v>488</v>
      </c>
      <c r="U77" s="744">
        <f t="shared" ref="U77:U82" si="27">+(P77/O77-1)</f>
        <v>9.971440857302083E-2</v>
      </c>
      <c r="V77" s="940"/>
      <c r="W77" s="936"/>
      <c r="X77" s="737" t="str">
        <f t="shared" si="26"/>
        <v>L</v>
      </c>
      <c r="AA77" s="695">
        <f t="shared" si="10"/>
        <v>2.7108830880054002E-2</v>
      </c>
    </row>
    <row r="78" spans="1:27">
      <c r="A78" s="723" t="str">
        <f>+Resumen!A289</f>
        <v>REGIÓN PERGAMINO</v>
      </c>
      <c r="B78" s="724" t="str">
        <f>+Resumen!D289</f>
        <v>Salto</v>
      </c>
      <c r="C78" s="725">
        <f>+Resumen!H289</f>
        <v>3334371.7976182355</v>
      </c>
      <c r="D78" s="725">
        <f>+Resumen!O289</f>
        <v>1709327.8104900001</v>
      </c>
      <c r="E78" s="725">
        <f>+Resumen!R289</f>
        <v>9270311.1056000013</v>
      </c>
      <c r="F78" s="725">
        <f>+Resumen!V289</f>
        <v>0</v>
      </c>
      <c r="G78" s="725">
        <f>+Resumen!Y289</f>
        <v>52432.275286559998</v>
      </c>
      <c r="H78" s="725">
        <f>+Resumen!Z289</f>
        <v>275812.5071370824</v>
      </c>
      <c r="I78" s="725">
        <f>+Resumen!H295</f>
        <v>3432570.3301986246</v>
      </c>
      <c r="J78" s="725">
        <f>+Resumen!O295</f>
        <v>414560.52667190152</v>
      </c>
      <c r="K78" s="725">
        <f>+Resumen!R295</f>
        <v>4862263.828050117</v>
      </c>
      <c r="L78" s="725">
        <f>+Resumen!V295</f>
        <v>0</v>
      </c>
      <c r="M78" s="725">
        <f>+Resumen!Y295</f>
        <v>52432.275286559998</v>
      </c>
      <c r="N78" s="725">
        <f>+Resumen!Z295</f>
        <v>275812.5071370824</v>
      </c>
      <c r="O78" s="726">
        <f>+Resumen!AB289</f>
        <v>-42504585.243261255</v>
      </c>
      <c r="P78" s="726">
        <f>+Resumen!AB295</f>
        <v>-24925637.493940659</v>
      </c>
      <c r="Q78" s="727">
        <f t="shared" si="23"/>
        <v>14314010.713708237</v>
      </c>
      <c r="R78" s="728" t="str">
        <f t="shared" si="24"/>
        <v>R</v>
      </c>
      <c r="S78" s="727">
        <f t="shared" si="25"/>
        <v>8709394.6849206425</v>
      </c>
      <c r="T78" s="746" t="s">
        <v>488</v>
      </c>
      <c r="U78" s="745">
        <f t="shared" si="27"/>
        <v>-0.41357767988355065</v>
      </c>
      <c r="V78" s="938">
        <f>+(SUM(P78:P82)/SUM(O78:O82)-1)</f>
        <v>-0.36284114799560929</v>
      </c>
      <c r="W78" s="936"/>
      <c r="X78" s="737" t="str">
        <f t="shared" si="26"/>
        <v>R</v>
      </c>
      <c r="AA78" s="695">
        <f>+V78</f>
        <v>-0.36284114799560929</v>
      </c>
    </row>
    <row r="79" spans="1:27">
      <c r="A79" s="710" t="str">
        <f t="shared" si="6"/>
        <v>REGIÓN PERGAMINO</v>
      </c>
      <c r="B79" s="711" t="str">
        <f>+Resumen!D290</f>
        <v>Colón</v>
      </c>
      <c r="C79" s="712">
        <f>+Resumen!H290</f>
        <v>3250847.0382797671</v>
      </c>
      <c r="D79" s="712">
        <f>+Resumen!O290</f>
        <v>1701566.54944</v>
      </c>
      <c r="E79" s="712">
        <f>+Resumen!R290</f>
        <v>8332805.9280000003</v>
      </c>
      <c r="F79" s="712">
        <f>+Resumen!V290</f>
        <v>2178165.7700800002</v>
      </c>
      <c r="G79" s="712">
        <f>+Resumen!Y290</f>
        <v>45639.972030613324</v>
      </c>
      <c r="H79" s="712">
        <f>+Resumen!Z290</f>
        <v>287306.25285799766</v>
      </c>
      <c r="I79" s="712">
        <f>+Resumen!H296</f>
        <v>3232430.3635348007</v>
      </c>
      <c r="J79" s="712">
        <f>+Resumen!O296</f>
        <v>331201.60976558103</v>
      </c>
      <c r="K79" s="712">
        <f>+Resumen!R296</f>
        <v>3857246.9444489456</v>
      </c>
      <c r="L79" s="712">
        <f>+Resumen!V296</f>
        <v>2178165.7700800002</v>
      </c>
      <c r="M79" s="712">
        <f>+Resumen!Y296</f>
        <v>45639.972030613324</v>
      </c>
      <c r="N79" s="712">
        <f>+Resumen!Z296</f>
        <v>287306.25285799766</v>
      </c>
      <c r="O79" s="713">
        <f>+Resumen!AB290</f>
        <v>-40552606.617952272</v>
      </c>
      <c r="P79" s="713">
        <f>+Resumen!AB296</f>
        <v>-22343610.88656579</v>
      </c>
      <c r="Q79" s="714">
        <f t="shared" si="23"/>
        <v>15463385.285799768</v>
      </c>
      <c r="R79" s="715" t="str">
        <f t="shared" si="24"/>
        <v>R</v>
      </c>
      <c r="S79" s="714">
        <f t="shared" si="25"/>
        <v>9599044.6878293268</v>
      </c>
      <c r="T79" s="741" t="s">
        <v>488</v>
      </c>
      <c r="U79" s="742">
        <f t="shared" si="27"/>
        <v>-0.44902158578693008</v>
      </c>
      <c r="V79" s="939"/>
      <c r="W79" s="936"/>
      <c r="X79" s="737" t="str">
        <f t="shared" si="26"/>
        <v>R</v>
      </c>
      <c r="AA79" s="695">
        <f t="shared" si="10"/>
        <v>-0.36284114799560929</v>
      </c>
    </row>
    <row r="80" spans="1:27">
      <c r="A80" s="710" t="str">
        <f t="shared" ref="A80:A82" si="28">+A79</f>
        <v>REGIÓN PERGAMINO</v>
      </c>
      <c r="B80" s="711" t="str">
        <f>+Resumen!D291</f>
        <v>Arrecifes</v>
      </c>
      <c r="C80" s="712">
        <f>+Resumen!H291</f>
        <v>3421664.8216182347</v>
      </c>
      <c r="D80" s="712">
        <f>+Resumen!O291</f>
        <v>1719559.7856000001</v>
      </c>
      <c r="E80" s="712">
        <f>+Resumen!R291</f>
        <v>8849178.912800001</v>
      </c>
      <c r="F80" s="712">
        <f>+Resumen!V291</f>
        <v>5089172.3600000003</v>
      </c>
      <c r="G80" s="712">
        <f>+Resumen!Y291</f>
        <v>49362.399102800009</v>
      </c>
      <c r="H80" s="712">
        <f>+Resumen!Z291</f>
        <v>323468.15880018234</v>
      </c>
      <c r="I80" s="712">
        <f>+Resumen!H297</f>
        <v>3436450.9044025927</v>
      </c>
      <c r="J80" s="712">
        <f>+Resumen!O297</f>
        <v>377012.54668069445</v>
      </c>
      <c r="K80" s="712">
        <f>+Resumen!R297</f>
        <v>4390618.5423285374</v>
      </c>
      <c r="L80" s="712">
        <f>+Resumen!V297</f>
        <v>5089172.3600000003</v>
      </c>
      <c r="M80" s="712">
        <f>+Resumen!Y297</f>
        <v>49362.399102800009</v>
      </c>
      <c r="N80" s="712">
        <f>+Resumen!Z297</f>
        <v>323468.15880018234</v>
      </c>
      <c r="O80" s="713">
        <f>+Resumen!AB291</f>
        <v>-42452303.565862402</v>
      </c>
      <c r="P80" s="713">
        <f>+Resumen!AB297</f>
        <v>-24342492.395761676</v>
      </c>
      <c r="Q80" s="714">
        <f t="shared" si="23"/>
        <v>19079575.880018234</v>
      </c>
      <c r="R80" s="715" t="str">
        <f t="shared" si="24"/>
        <v>R</v>
      </c>
      <c r="S80" s="714">
        <f t="shared" si="25"/>
        <v>13293254.353411824</v>
      </c>
      <c r="T80" s="741" t="s">
        <v>488</v>
      </c>
      <c r="U80" s="742">
        <f t="shared" si="27"/>
        <v>-0.42659195494549207</v>
      </c>
      <c r="V80" s="939"/>
      <c r="W80" s="936"/>
      <c r="X80" s="737" t="str">
        <f t="shared" si="26"/>
        <v>R</v>
      </c>
      <c r="AA80" s="695">
        <f t="shared" si="10"/>
        <v>-0.36284114799560929</v>
      </c>
    </row>
    <row r="81" spans="1:27">
      <c r="A81" s="710" t="str">
        <f t="shared" si="28"/>
        <v>REGIÓN PERGAMINO</v>
      </c>
      <c r="B81" s="711" t="str">
        <f>+Resumen!D292</f>
        <v>Rojas</v>
      </c>
      <c r="C81" s="712">
        <f>+Resumen!H292</f>
        <v>2686708.6762290802</v>
      </c>
      <c r="D81" s="712">
        <f>+Resumen!O292</f>
        <v>1674483.9465600001</v>
      </c>
      <c r="E81" s="712">
        <f>+Resumen!R292</f>
        <v>7520031.1216000002</v>
      </c>
      <c r="F81" s="712">
        <f>+Resumen!V292</f>
        <v>2279949.21728</v>
      </c>
      <c r="G81" s="712">
        <f>+Resumen!Y292</f>
        <v>33020.699803199997</v>
      </c>
      <c r="H81" s="712">
        <f>+Resumen!Z292</f>
        <v>274284.1296166908</v>
      </c>
      <c r="I81" s="712">
        <f>+Resumen!H298</f>
        <v>2747129.6649056617</v>
      </c>
      <c r="J81" s="712">
        <f>+Resumen!O298</f>
        <v>260817.60670982228</v>
      </c>
      <c r="K81" s="712">
        <f>+Resumen!R298</f>
        <v>3051690.8731666054</v>
      </c>
      <c r="L81" s="712">
        <f>+Resumen!V298</f>
        <v>2279949.21728</v>
      </c>
      <c r="M81" s="712">
        <f>+Resumen!Y298</f>
        <v>33020.699803199997</v>
      </c>
      <c r="N81" s="712">
        <f>+Resumen!Z298</f>
        <v>274284.1296166908</v>
      </c>
      <c r="O81" s="713">
        <f>+Resumen!AB292</f>
        <v>-36052809.290212363</v>
      </c>
      <c r="P81" s="713">
        <f>+Resumen!AB298</f>
        <v>-18201577.333923321</v>
      </c>
      <c r="Q81" s="714">
        <f t="shared" si="23"/>
        <v>14161172.96166908</v>
      </c>
      <c r="R81" s="715" t="str">
        <f t="shared" si="24"/>
        <v>R</v>
      </c>
      <c r="S81" s="714">
        <f t="shared" si="25"/>
        <v>8339587.3620620891</v>
      </c>
      <c r="T81" s="741" t="s">
        <v>488</v>
      </c>
      <c r="U81" s="742">
        <f t="shared" si="27"/>
        <v>-0.49514121944264977</v>
      </c>
      <c r="V81" s="939"/>
      <c r="W81" s="936"/>
      <c r="X81" s="737" t="str">
        <f t="shared" si="26"/>
        <v>R</v>
      </c>
      <c r="AA81" s="695">
        <f t="shared" si="10"/>
        <v>-0.36284114799560929</v>
      </c>
    </row>
    <row r="82" spans="1:27" ht="15.75" thickBot="1">
      <c r="A82" s="716" t="str">
        <f t="shared" si="28"/>
        <v>REGIÓN PERGAMINO</v>
      </c>
      <c r="B82" s="717" t="str">
        <f>+Resumen!D293</f>
        <v>Pergamino</v>
      </c>
      <c r="C82" s="718">
        <f>+Resumen!H293</f>
        <v>5508898.1529631335</v>
      </c>
      <c r="D82" s="718">
        <f>+Resumen!O293</f>
        <v>1165228.7191400002</v>
      </c>
      <c r="E82" s="718">
        <f>+Resumen!R293</f>
        <v>16846272.320800003</v>
      </c>
      <c r="F82" s="718">
        <f>+Resumen!V293</f>
        <v>0</v>
      </c>
      <c r="G82" s="718">
        <f>+Resumen!Y293</f>
        <v>82901.497317120011</v>
      </c>
      <c r="H82" s="718">
        <f>+Resumen!Z293</f>
        <v>426677.38991128921</v>
      </c>
      <c r="I82" s="718">
        <f>+Resumen!H299</f>
        <v>6548268.8931252221</v>
      </c>
      <c r="J82" s="718">
        <f>+Resumen!O299</f>
        <v>300442.69676200114</v>
      </c>
      <c r="K82" s="718">
        <f>+Resumen!R299</f>
        <v>13621570.679205796</v>
      </c>
      <c r="L82" s="718">
        <f>+Resumen!V299</f>
        <v>0</v>
      </c>
      <c r="M82" s="718">
        <f>+Resumen!Y299</f>
        <v>82901.497317120011</v>
      </c>
      <c r="N82" s="718">
        <f>+Resumen!Z299</f>
        <v>426677.38991128921</v>
      </c>
      <c r="O82" s="719">
        <f>+Resumen!AB293</f>
        <v>-65868404.069460377</v>
      </c>
      <c r="P82" s="719">
        <f>+Resumen!AB299</f>
        <v>-55096171.210918248</v>
      </c>
      <c r="Q82" s="720">
        <f t="shared" si="23"/>
        <v>23520399.192903139</v>
      </c>
      <c r="R82" s="721" t="str">
        <f t="shared" si="24"/>
        <v>R</v>
      </c>
      <c r="S82" s="720">
        <f t="shared" si="25"/>
        <v>20470282.269093018</v>
      </c>
      <c r="T82" s="743" t="s">
        <v>488</v>
      </c>
      <c r="U82" s="744">
        <f t="shared" si="27"/>
        <v>-0.16354173158928309</v>
      </c>
      <c r="V82" s="940"/>
      <c r="W82" s="936"/>
      <c r="X82" s="737" t="str">
        <f t="shared" si="26"/>
        <v>R</v>
      </c>
      <c r="AA82" s="695">
        <f t="shared" si="10"/>
        <v>-0.36284114799560929</v>
      </c>
    </row>
    <row r="83" spans="1:27">
      <c r="A83" s="723" t="str">
        <f>+Resumen!A306</f>
        <v>REGIÓN SAN NICOLÁS DE LOS ARROYOS</v>
      </c>
      <c r="B83" s="724" t="str">
        <f>+Resumen!D306</f>
        <v>Ramallo</v>
      </c>
      <c r="C83" s="725">
        <f>+Resumen!H306</f>
        <v>2287756.6087098252</v>
      </c>
      <c r="D83" s="725">
        <f>+Resumen!O306</f>
        <v>359159.83353599999</v>
      </c>
      <c r="E83" s="725">
        <f>+Resumen!R306</f>
        <v>6940276.6152000008</v>
      </c>
      <c r="F83" s="725">
        <f>+Resumen!V306</f>
        <v>3745630.85696</v>
      </c>
      <c r="G83" s="725">
        <f>+Resumen!Y306</f>
        <v>73772.198126293326</v>
      </c>
      <c r="H83" s="725">
        <f>+Resumen!Z306</f>
        <v>266000.63914405822</v>
      </c>
      <c r="I83" s="725">
        <f>+Resumen!H310</f>
        <v>1981811.6965620979</v>
      </c>
      <c r="J83" s="725">
        <f>+Resumen!O310</f>
        <v>233479.6396006658</v>
      </c>
      <c r="K83" s="725">
        <f>+Resumen!R310</f>
        <v>2578655.6940904688</v>
      </c>
      <c r="L83" s="725">
        <f>+Resumen!V310</f>
        <v>3745630.85696</v>
      </c>
      <c r="M83" s="725">
        <f>+Resumen!Y310</f>
        <v>73772.198126293326</v>
      </c>
      <c r="N83" s="725">
        <f>+Resumen!Z310</f>
        <v>266000.63914405822</v>
      </c>
      <c r="O83" s="726">
        <f>+Resumen!AB306</f>
        <v>-31492279.682587985</v>
      </c>
      <c r="P83" s="726">
        <f>+Resumen!AB310</f>
        <v>-14081636.352363558</v>
      </c>
      <c r="Q83" s="727">
        <f t="shared" si="23"/>
        <v>13332823.914405826</v>
      </c>
      <c r="R83" s="728" t="str">
        <f t="shared" si="24"/>
        <v>R</v>
      </c>
      <c r="S83" s="727">
        <f t="shared" si="25"/>
        <v>8539577.887213232</v>
      </c>
      <c r="T83" s="746" t="s">
        <v>488</v>
      </c>
      <c r="U83" s="745">
        <f>+(P83/O83-1)</f>
        <v>-0.55285433464033207</v>
      </c>
      <c r="V83" s="938">
        <f>+(SUM(P83:P85)/SUM(O83:O85)-1)</f>
        <v>-0.14560485026747638</v>
      </c>
      <c r="W83" s="936"/>
      <c r="X83" s="737" t="str">
        <f t="shared" si="26"/>
        <v>R</v>
      </c>
      <c r="AA83" s="695">
        <f>+V83</f>
        <v>-0.14560485026747638</v>
      </c>
    </row>
    <row r="84" spans="1:27">
      <c r="A84" s="710" t="str">
        <f t="shared" ref="A84:A85" si="29">+A83</f>
        <v>REGIÓN SAN NICOLÁS DE LOS ARROYOS</v>
      </c>
      <c r="B84" s="711" t="str">
        <f>+Resumen!D307</f>
        <v>Villa Ramallo</v>
      </c>
      <c r="C84" s="712">
        <f>+Resumen!H307</f>
        <v>2362579.2007098258</v>
      </c>
      <c r="D84" s="712">
        <f>+Resumen!O307</f>
        <v>359159.83353599999</v>
      </c>
      <c r="E84" s="712">
        <f>+Resumen!R307</f>
        <v>774049.06648000004</v>
      </c>
      <c r="F84" s="712">
        <f>+Resumen!V307</f>
        <v>0</v>
      </c>
      <c r="G84" s="712">
        <f>+Resumen!Y307</f>
        <v>17902.352074666662</v>
      </c>
      <c r="H84" s="712">
        <f>+Resumen!Z307</f>
        <v>167630.28100725825</v>
      </c>
      <c r="I84" s="712">
        <f>+Resumen!H311</f>
        <v>1961593.3221226975</v>
      </c>
      <c r="J84" s="712">
        <f>+Resumen!O311</f>
        <v>144181.43861221286</v>
      </c>
      <c r="K84" s="712">
        <f>+Resumen!R311</f>
        <v>1608569.4874581057</v>
      </c>
      <c r="L84" s="712">
        <f>+Resumen!V311</f>
        <v>0</v>
      </c>
      <c r="M84" s="712">
        <f>+Resumen!Y311</f>
        <v>17902.352074666662</v>
      </c>
      <c r="N84" s="712">
        <f>+Resumen!Z311</f>
        <v>167630.28100725825</v>
      </c>
      <c r="O84" s="713">
        <f>+Resumen!AB307</f>
        <v>-12461430.358901415</v>
      </c>
      <c r="P84" s="713">
        <f>+Resumen!AB311</f>
        <v>-12365940.492985664</v>
      </c>
      <c r="Q84" s="714">
        <f t="shared" si="23"/>
        <v>3495788.1007258259</v>
      </c>
      <c r="R84" s="715" t="str">
        <f t="shared" si="24"/>
        <v>R</v>
      </c>
      <c r="S84" s="714">
        <f t="shared" si="25"/>
        <v>3714344.2481930158</v>
      </c>
      <c r="T84" s="741" t="s">
        <v>488</v>
      </c>
      <c r="U84" s="742">
        <f t="shared" ref="U84:U85" si="30">+(P84/O84-1)</f>
        <v>-7.6628334922677066E-3</v>
      </c>
      <c r="V84" s="939"/>
      <c r="W84" s="936"/>
      <c r="X84" s="737" t="str">
        <f t="shared" si="26"/>
        <v>R</v>
      </c>
      <c r="AA84" s="695">
        <f t="shared" si="10"/>
        <v>-0.14560485026747638</v>
      </c>
    </row>
    <row r="85" spans="1:27" ht="15.75" thickBot="1">
      <c r="A85" s="716" t="str">
        <f t="shared" si="29"/>
        <v>REGIÓN SAN NICOLÁS DE LOS ARROYOS</v>
      </c>
      <c r="B85" s="717" t="str">
        <f>+Resumen!D308</f>
        <v>San Nicolás de los Arroyos</v>
      </c>
      <c r="C85" s="718">
        <f>+Resumen!H308</f>
        <v>6752696.6593687227</v>
      </c>
      <c r="D85" s="718">
        <f>+Resumen!O308</f>
        <v>768253.9576640001</v>
      </c>
      <c r="E85" s="718">
        <f>+Resumen!R308</f>
        <v>23591655.970400002</v>
      </c>
      <c r="F85" s="718">
        <f>+Resumen!V308</f>
        <v>0</v>
      </c>
      <c r="G85" s="718">
        <f>+Resumen!Y308</f>
        <v>153597.68046</v>
      </c>
      <c r="H85" s="718">
        <f>+Resumen!Z308</f>
        <v>521579.98234290909</v>
      </c>
      <c r="I85" s="718">
        <f>+Resumen!H312</f>
        <v>7819423.2972273529</v>
      </c>
      <c r="J85" s="718">
        <f>+Resumen!O312</f>
        <v>527860.86665112129</v>
      </c>
      <c r="K85" s="718">
        <f>+Resumen!R312</f>
        <v>22659258.339251429</v>
      </c>
      <c r="L85" s="718">
        <f>+Resumen!V312</f>
        <v>0</v>
      </c>
      <c r="M85" s="718">
        <f>+Resumen!Y312</f>
        <v>153597.68046</v>
      </c>
      <c r="N85" s="718">
        <f>+Resumen!Z312</f>
        <v>521579.98234290909</v>
      </c>
      <c r="O85" s="719">
        <f>+Resumen!AB308</f>
        <v>-81066986.647299021</v>
      </c>
      <c r="P85" s="719">
        <f>+Resumen!AB312</f>
        <v>-80369500.021732569</v>
      </c>
      <c r="Q85" s="720">
        <f t="shared" si="23"/>
        <v>31112606.587432723</v>
      </c>
      <c r="R85" s="721" t="str">
        <f t="shared" si="24"/>
        <v>R</v>
      </c>
      <c r="S85" s="720">
        <f t="shared" si="25"/>
        <v>31006542.503129903</v>
      </c>
      <c r="T85" s="743" t="s">
        <v>488</v>
      </c>
      <c r="U85" s="744">
        <f t="shared" si="30"/>
        <v>-8.6038306641522677E-3</v>
      </c>
      <c r="V85" s="940"/>
      <c r="W85" s="936"/>
      <c r="X85" s="737" t="str">
        <f t="shared" si="26"/>
        <v>R</v>
      </c>
      <c r="AA85" s="695">
        <f t="shared" si="10"/>
        <v>-0.14560485026747638</v>
      </c>
    </row>
    <row r="86" spans="1:27">
      <c r="A86" s="723" t="str">
        <f>+Resumen!A319</f>
        <v>REGIÓN SALADILLO</v>
      </c>
      <c r="B86" s="724" t="str">
        <f>+Resumen!D319</f>
        <v>Las Flores</v>
      </c>
      <c r="C86" s="725">
        <f>+Resumen!H319</f>
        <v>3222137.9096182352</v>
      </c>
      <c r="D86" s="725">
        <f>+Resumen!O319</f>
        <v>1196052.0927400002</v>
      </c>
      <c r="E86" s="725">
        <f>+Resumen!R319</f>
        <v>8140847.4360000007</v>
      </c>
      <c r="F86" s="725">
        <f>+Resumen!V319</f>
        <v>826481.59126400005</v>
      </c>
      <c r="G86" s="725">
        <f>+Resumen!Y319</f>
        <v>34797.733114080002</v>
      </c>
      <c r="H86" s="725">
        <f>+Resumen!Z319</f>
        <v>266527.59029622236</v>
      </c>
      <c r="I86" s="725">
        <f>+Resumen!H325</f>
        <v>3429846.0824014852</v>
      </c>
      <c r="J86" s="725">
        <f>+Resumen!O325</f>
        <v>116236.64115134528</v>
      </c>
      <c r="K86" s="725">
        <f>+Resumen!R325</f>
        <v>4394259.7920580385</v>
      </c>
      <c r="L86" s="725">
        <f>+Resumen!V325</f>
        <v>826481.59126400005</v>
      </c>
      <c r="M86" s="725">
        <f>+Resumen!Y325</f>
        <v>34797.733114080002</v>
      </c>
      <c r="N86" s="725">
        <f>+Resumen!Z325</f>
        <v>266527.59029622236</v>
      </c>
      <c r="O86" s="726">
        <f>+Resumen!AB319</f>
        <v>-39224951.722275279</v>
      </c>
      <c r="P86" s="726">
        <f>+Resumen!AB325</f>
        <v>-24808540.414212748</v>
      </c>
      <c r="Q86" s="727">
        <f t="shared" si="23"/>
        <v>13385519.029622236</v>
      </c>
      <c r="R86" s="728" t="str">
        <f t="shared" si="24"/>
        <v>R</v>
      </c>
      <c r="S86" s="727">
        <f t="shared" si="25"/>
        <v>8766824.1068748683</v>
      </c>
      <c r="T86" s="746" t="s">
        <v>488</v>
      </c>
      <c r="U86" s="745">
        <f t="shared" ref="U86:U90" si="31">+(P86/O86-1)</f>
        <v>-0.36753165204982674</v>
      </c>
      <c r="V86" s="938">
        <f>+(SUM(P86:P90)/SUM(O86:O90)-1)</f>
        <v>-0.27112702778451236</v>
      </c>
      <c r="W86" s="936"/>
      <c r="X86" s="737" t="str">
        <f t="shared" si="26"/>
        <v>R</v>
      </c>
      <c r="AA86" s="695">
        <f>+V86</f>
        <v>-0.27112702778451236</v>
      </c>
    </row>
    <row r="87" spans="1:27">
      <c r="A87" s="710" t="str">
        <f t="shared" ref="A87:A90" si="32">+A86</f>
        <v>REGIÓN SALADILLO</v>
      </c>
      <c r="B87" s="711" t="str">
        <f>+Resumen!D320</f>
        <v>Roque Pérez</v>
      </c>
      <c r="C87" s="712">
        <f>+Resumen!H320</f>
        <v>2406225.7127098255</v>
      </c>
      <c r="D87" s="712">
        <f>+Resumen!O320</f>
        <v>73943.442519250617</v>
      </c>
      <c r="E87" s="712">
        <f>+Resumen!R320</f>
        <v>523633.86783999996</v>
      </c>
      <c r="F87" s="712">
        <f>+Resumen!V320</f>
        <v>732840.81984000001</v>
      </c>
      <c r="G87" s="712">
        <f>+Resumen!Y320</f>
        <v>18321.33094656</v>
      </c>
      <c r="H87" s="712">
        <f>+Resumen!Z320</f>
        <v>170038.83842909074</v>
      </c>
      <c r="I87" s="712">
        <f>+Resumen!H326</f>
        <v>2511940.4792518625</v>
      </c>
      <c r="J87" s="712">
        <f>+Resumen!O326</f>
        <v>48576.447669281653</v>
      </c>
      <c r="K87" s="712">
        <f>+Resumen!R326</f>
        <v>1882427.1634852157</v>
      </c>
      <c r="L87" s="712">
        <f>+Resumen!V326</f>
        <v>732840.81984000001</v>
      </c>
      <c r="M87" s="712">
        <f>+Resumen!Y326</f>
        <v>18321.33094656</v>
      </c>
      <c r="N87" s="712">
        <f>+Resumen!Z326</f>
        <v>170038.83842909074</v>
      </c>
      <c r="O87" s="713">
        <f>+Resumen!AB320</f>
        <v>-12657394.085159954</v>
      </c>
      <c r="P87" s="713">
        <f>+Resumen!AB326</f>
        <v>-15753950.283648828</v>
      </c>
      <c r="Q87" s="714">
        <f t="shared" si="23"/>
        <v>3736643.8429090763</v>
      </c>
      <c r="R87" s="715" t="str">
        <f t="shared" si="24"/>
        <v>L</v>
      </c>
      <c r="S87" s="714">
        <f t="shared" si="25"/>
        <v>5175784.9102463601</v>
      </c>
      <c r="T87" s="741" t="s">
        <v>488</v>
      </c>
      <c r="U87" s="742">
        <f t="shared" si="31"/>
        <v>0.24464405371713949</v>
      </c>
      <c r="V87" s="939"/>
      <c r="W87" s="936"/>
      <c r="X87" s="737" t="str">
        <f t="shared" si="26"/>
        <v>R</v>
      </c>
      <c r="AA87" s="695">
        <f t="shared" ref="AA87:AA106" si="33">+AA86</f>
        <v>-0.27112702778451236</v>
      </c>
    </row>
    <row r="88" spans="1:27">
      <c r="A88" s="710" t="str">
        <f t="shared" si="32"/>
        <v>REGIÓN SALADILLO</v>
      </c>
      <c r="B88" s="711" t="str">
        <f>+Resumen!D321</f>
        <v>General Alvear</v>
      </c>
      <c r="C88" s="712">
        <f>+Resumen!H321</f>
        <v>2309579.8647098257</v>
      </c>
      <c r="D88" s="712">
        <f>+Resumen!O321</f>
        <v>65389.380019250617</v>
      </c>
      <c r="E88" s="712">
        <f>+Resumen!R321</f>
        <v>675732.73751999997</v>
      </c>
      <c r="F88" s="712">
        <f>+Resumen!V321</f>
        <v>1099261.22976</v>
      </c>
      <c r="G88" s="712">
        <f>+Resumen!Y321</f>
        <v>14080.693164400001</v>
      </c>
      <c r="H88" s="712">
        <f>+Resumen!Z321</f>
        <v>174172.03212009076</v>
      </c>
      <c r="I88" s="712">
        <f>+Resumen!H327</f>
        <v>1987695.7059311389</v>
      </c>
      <c r="J88" s="712">
        <f>+Resumen!O327</f>
        <v>0</v>
      </c>
      <c r="K88" s="712">
        <f>+Resumen!R327</f>
        <v>1456103.1466380067</v>
      </c>
      <c r="L88" s="712">
        <f>+Resumen!V327</f>
        <v>1099261.22976</v>
      </c>
      <c r="M88" s="712">
        <f>+Resumen!Y327</f>
        <v>14080.693164400001</v>
      </c>
      <c r="N88" s="712">
        <f>+Resumen!Z327</f>
        <v>174172.03212009076</v>
      </c>
      <c r="O88" s="713">
        <f>+Resumen!AB321</f>
        <v>-11622639.496490458</v>
      </c>
      <c r="P88" s="713">
        <f>+Resumen!AB327</f>
        <v>-12200621.711746611</v>
      </c>
      <c r="Q88" s="714">
        <f t="shared" si="23"/>
        <v>4149963.2120090765</v>
      </c>
      <c r="R88" s="715" t="str">
        <f t="shared" si="24"/>
        <v>L</v>
      </c>
      <c r="S88" s="714">
        <f t="shared" si="25"/>
        <v>4543060.0823291456</v>
      </c>
      <c r="T88" s="741" t="s">
        <v>488</v>
      </c>
      <c r="U88" s="742">
        <f t="shared" si="31"/>
        <v>4.9728997912279693E-2</v>
      </c>
      <c r="V88" s="939"/>
      <c r="W88" s="936"/>
      <c r="X88" s="737" t="str">
        <f t="shared" si="26"/>
        <v>R</v>
      </c>
      <c r="AA88" s="695">
        <f t="shared" si="33"/>
        <v>-0.27112702778451236</v>
      </c>
    </row>
    <row r="89" spans="1:27">
      <c r="A89" s="710" t="str">
        <f t="shared" si="32"/>
        <v>REGIÓN SALADILLO</v>
      </c>
      <c r="B89" s="711" t="str">
        <f>+Resumen!D322</f>
        <v>25 de Mayo</v>
      </c>
      <c r="C89" s="712">
        <f>+Resumen!H322</f>
        <v>3403609.8302797675</v>
      </c>
      <c r="D89" s="712">
        <f>+Resumen!O322</f>
        <v>1308896.7802592507</v>
      </c>
      <c r="E89" s="712">
        <f>+Resumen!R322</f>
        <v>7741753.176</v>
      </c>
      <c r="F89" s="712">
        <f>+Resumen!V322</f>
        <v>5976724.0195840001</v>
      </c>
      <c r="G89" s="712">
        <f>+Resumen!Y322</f>
        <v>61189.194845546655</v>
      </c>
      <c r="H89" s="712">
        <f>+Resumen!Z322</f>
        <v>316982.23806123016</v>
      </c>
      <c r="I89" s="712">
        <f>+Resumen!H328</f>
        <v>3547420.4463844462</v>
      </c>
      <c r="J89" s="712">
        <f>+Resumen!O328</f>
        <v>192291.6735880184</v>
      </c>
      <c r="K89" s="712">
        <f>+Resumen!R328</f>
        <v>3938807.6439338736</v>
      </c>
      <c r="L89" s="712">
        <f>+Resumen!V328</f>
        <v>5976724.0195840001</v>
      </c>
      <c r="M89" s="712">
        <f>+Resumen!Y328</f>
        <v>61189.194845546655</v>
      </c>
      <c r="N89" s="712">
        <f>+Resumen!Z328</f>
        <v>316982.23806123016</v>
      </c>
      <c r="O89" s="713">
        <f>+Resumen!AB322</f>
        <v>-40647157.676208869</v>
      </c>
      <c r="P89" s="713">
        <f>+Resumen!AB328</f>
        <v>-25301058.702716332</v>
      </c>
      <c r="Q89" s="714">
        <f t="shared" si="23"/>
        <v>18430983.806123018</v>
      </c>
      <c r="R89" s="715" t="str">
        <f t="shared" si="24"/>
        <v>R</v>
      </c>
      <c r="S89" s="714">
        <f t="shared" si="25"/>
        <v>13655243.783490337</v>
      </c>
      <c r="T89" s="741" t="s">
        <v>488</v>
      </c>
      <c r="U89" s="742">
        <f t="shared" si="31"/>
        <v>-0.37754420852099924</v>
      </c>
      <c r="V89" s="939"/>
      <c r="W89" s="936"/>
      <c r="X89" s="737" t="str">
        <f t="shared" si="26"/>
        <v>R</v>
      </c>
      <c r="AA89" s="695">
        <f t="shared" si="33"/>
        <v>-0.27112702778451236</v>
      </c>
    </row>
    <row r="90" spans="1:27" ht="15.75" thickBot="1">
      <c r="A90" s="716" t="str">
        <f t="shared" si="32"/>
        <v>REGIÓN SALADILLO</v>
      </c>
      <c r="B90" s="717" t="str">
        <f>+Resumen!D323</f>
        <v>Saladillo</v>
      </c>
      <c r="C90" s="718">
        <f>+Resumen!H323</f>
        <v>3508307.1889567031</v>
      </c>
      <c r="D90" s="718">
        <f>+Resumen!O323</f>
        <v>1467979.3882499505</v>
      </c>
      <c r="E90" s="718">
        <f>+Resumen!R323</f>
        <v>9182808.9624000005</v>
      </c>
      <c r="F90" s="718">
        <f>+Resumen!V323</f>
        <v>5944153.3164799996</v>
      </c>
      <c r="G90" s="718">
        <f>+Resumen!Y323</f>
        <v>59509.144698053322</v>
      </c>
      <c r="H90" s="718">
        <f>+Resumen!Z323</f>
        <v>333704.88856086653</v>
      </c>
      <c r="I90" s="718">
        <f>+Resumen!H329</f>
        <v>3682398.3909093537</v>
      </c>
      <c r="J90" s="718">
        <f>+Resumen!O329</f>
        <v>407419.97154323448</v>
      </c>
      <c r="K90" s="718">
        <f>+Resumen!R329</f>
        <v>5716658.5698848655</v>
      </c>
      <c r="L90" s="718">
        <f>+Resumen!V329</f>
        <v>5944153.3164799996</v>
      </c>
      <c r="M90" s="718">
        <f>+Resumen!Y329</f>
        <v>59509.144698053322</v>
      </c>
      <c r="N90" s="718">
        <f>+Resumen!Z329</f>
        <v>333704.88856086653</v>
      </c>
      <c r="O90" s="719">
        <f>+Resumen!AB323</f>
        <v>-43193581.251926765</v>
      </c>
      <c r="P90" s="719">
        <f>+Resumen!AB329</f>
        <v>-29332144.851941615</v>
      </c>
      <c r="Q90" s="720">
        <f t="shared" si="23"/>
        <v>20103248.856086653</v>
      </c>
      <c r="R90" s="721" t="str">
        <f t="shared" si="24"/>
        <v>R</v>
      </c>
      <c r="S90" s="720">
        <f t="shared" si="25"/>
        <v>15750630.248817453</v>
      </c>
      <c r="T90" s="743" t="s">
        <v>488</v>
      </c>
      <c r="U90" s="744">
        <f t="shared" si="31"/>
        <v>-0.32091426545852397</v>
      </c>
      <c r="V90" s="940"/>
      <c r="W90" s="936"/>
      <c r="X90" s="737" t="str">
        <f t="shared" si="26"/>
        <v>R</v>
      </c>
      <c r="AA90" s="695">
        <f t="shared" si="33"/>
        <v>-0.27112702778451236</v>
      </c>
    </row>
    <row r="91" spans="1:27">
      <c r="A91" s="723" t="str">
        <f>+Resumen!A336</f>
        <v>REGIÓN TANDIL</v>
      </c>
      <c r="B91" s="724" t="str">
        <f>+Resumen!D336</f>
        <v>Rauch</v>
      </c>
      <c r="C91" s="725">
        <f>+Resumen!H336</f>
        <v>2212934.0167098255</v>
      </c>
      <c r="D91" s="725">
        <f>+Resumen!O336</f>
        <v>359159.83353599999</v>
      </c>
      <c r="E91" s="725">
        <f>+Resumen!R336</f>
        <v>749833.00095999998</v>
      </c>
      <c r="F91" s="725">
        <f>+Resumen!V336</f>
        <v>488560.54655999999</v>
      </c>
      <c r="G91" s="725">
        <f>+Resumen!Y336</f>
        <v>18751.770805600001</v>
      </c>
      <c r="H91" s="725">
        <f>+Resumen!Z336</f>
        <v>170777.27397765825</v>
      </c>
      <c r="I91" s="725">
        <f>+Resumen!H339</f>
        <v>1913370.3728850998</v>
      </c>
      <c r="J91" s="725">
        <f>+Resumen!O339</f>
        <v>186451.24959882599</v>
      </c>
      <c r="K91" s="725">
        <f>+Resumen!R339</f>
        <v>1849969.8686063448</v>
      </c>
      <c r="L91" s="725">
        <f>+Resumen!V339</f>
        <v>488560.54655999999</v>
      </c>
      <c r="M91" s="725">
        <f>+Resumen!Y339</f>
        <v>18751.770805600001</v>
      </c>
      <c r="N91" s="725">
        <f>+Resumen!Z339</f>
        <v>170777.27397765825</v>
      </c>
      <c r="O91" s="726">
        <f>+Resumen!AB336</f>
        <v>-11570307.410051703</v>
      </c>
      <c r="P91" s="726">
        <f>+Resumen!AB339</f>
        <v>-12273005.612852059</v>
      </c>
      <c r="Q91" s="727">
        <f t="shared" si="23"/>
        <v>3810487.3977658255</v>
      </c>
      <c r="R91" s="728" t="str">
        <f t="shared" si="24"/>
        <v>L</v>
      </c>
      <c r="S91" s="727">
        <f t="shared" si="25"/>
        <v>4438352.0376502704</v>
      </c>
      <c r="T91" s="746" t="s">
        <v>488</v>
      </c>
      <c r="U91" s="745">
        <f>+(P91/O91-1)</f>
        <v>6.0732889619673047E-2</v>
      </c>
      <c r="V91" s="938">
        <f>+(SUM(P91:P92)/SUM(O91:O92)-1)</f>
        <v>2.2666302590526044E-2</v>
      </c>
      <c r="W91" s="936"/>
      <c r="X91" s="737" t="str">
        <f t="shared" si="26"/>
        <v>L</v>
      </c>
      <c r="AA91" s="695">
        <f>+V91</f>
        <v>2.2666302590526044E-2</v>
      </c>
    </row>
    <row r="92" spans="1:27" ht="15.75" thickBot="1">
      <c r="A92" s="716" t="str">
        <f t="shared" ref="A92" si="34">+A91</f>
        <v>REGIÓN TANDIL</v>
      </c>
      <c r="B92" s="717" t="str">
        <f>+Resumen!D337</f>
        <v>Tandil</v>
      </c>
      <c r="C92" s="718">
        <f>+Resumen!H337</f>
        <v>6662936.9574504588</v>
      </c>
      <c r="D92" s="718">
        <f>+Resumen!O337</f>
        <v>2273083.6691200002</v>
      </c>
      <c r="E92" s="718">
        <f>+Resumen!R337</f>
        <v>22505940.955200002</v>
      </c>
      <c r="F92" s="718">
        <f>+Resumen!V337</f>
        <v>0</v>
      </c>
      <c r="G92" s="718">
        <f>+Resumen!Y337</f>
        <v>121276.59742079997</v>
      </c>
      <c r="H92" s="718">
        <f>+Resumen!Z337</f>
        <v>525696.91977213079</v>
      </c>
      <c r="I92" s="718">
        <f>+Resumen!H340</f>
        <v>8579172.0532469153</v>
      </c>
      <c r="J92" s="718">
        <f>+Resumen!O340</f>
        <v>2148217.5164811742</v>
      </c>
      <c r="K92" s="718">
        <f>+Resumen!R340</f>
        <v>22023825.492993657</v>
      </c>
      <c r="L92" s="718">
        <f>+Resumen!V340</f>
        <v>0</v>
      </c>
      <c r="M92" s="718">
        <f>+Resumen!Y340</f>
        <v>121276.59742079997</v>
      </c>
      <c r="N92" s="718">
        <f>+Resumen!Z340</f>
        <v>525696.91977213079</v>
      </c>
      <c r="O92" s="719">
        <f>+Resumen!AB337</f>
        <v>-81470314.409096316</v>
      </c>
      <c r="P92" s="719">
        <f>+Resumen!AB340</f>
        <v>-82876503.093659461</v>
      </c>
      <c r="Q92" s="720">
        <f t="shared" si="23"/>
        <v>31441961.581770461</v>
      </c>
      <c r="R92" s="721" t="str">
        <f t="shared" si="24"/>
        <v>L</v>
      </c>
      <c r="S92" s="720">
        <f t="shared" si="25"/>
        <v>32751215.062721744</v>
      </c>
      <c r="T92" s="743" t="s">
        <v>488</v>
      </c>
      <c r="U92" s="744">
        <f t="shared" ref="U92" si="35">+(P92/O92-1)</f>
        <v>1.7260135728728088E-2</v>
      </c>
      <c r="V92" s="940"/>
      <c r="W92" s="936"/>
      <c r="X92" s="737" t="str">
        <f t="shared" si="26"/>
        <v>L</v>
      </c>
      <c r="AA92" s="695">
        <f t="shared" si="33"/>
        <v>2.2666302590526044E-2</v>
      </c>
    </row>
    <row r="93" spans="1:27">
      <c r="A93" s="723" t="str">
        <f>+Resumen!A347</f>
        <v>REGIÓN TRENQUE LAUQUEN</v>
      </c>
      <c r="B93" s="724" t="str">
        <f>+Resumen!D347</f>
        <v>Tres Lomas</v>
      </c>
      <c r="C93" s="725">
        <f>+Resumen!H347</f>
        <v>2281521.3927098257</v>
      </c>
      <c r="D93" s="725">
        <f>+Resumen!O347</f>
        <v>299186.473536</v>
      </c>
      <c r="E93" s="725">
        <f>+Resumen!R347</f>
        <v>586420.12952000007</v>
      </c>
      <c r="F93" s="725">
        <f>+Resumen!V347</f>
        <v>3460637.2047999999</v>
      </c>
      <c r="G93" s="725">
        <f>+Resumen!Y347</f>
        <v>11522.644356000001</v>
      </c>
      <c r="H93" s="725">
        <f>+Resumen!Z347</f>
        <v>198950.05200565828</v>
      </c>
      <c r="I93" s="725">
        <f>+Resumen!H351</f>
        <v>2026701.1147995219</v>
      </c>
      <c r="J93" s="725">
        <f>+Resumen!O351</f>
        <v>221912.12633784098</v>
      </c>
      <c r="K93" s="725">
        <f>+Resumen!R351</f>
        <v>1725704.94847717</v>
      </c>
      <c r="L93" s="725">
        <f>+Resumen!V351</f>
        <v>3460637.2047999999</v>
      </c>
      <c r="M93" s="725">
        <f>+Resumen!Y351</f>
        <v>11522.644356000001</v>
      </c>
      <c r="N93" s="725">
        <f>+Resumen!Z351</f>
        <v>198950.05200565828</v>
      </c>
      <c r="O93" s="726">
        <f>+Resumen!AB347</f>
        <v>-11558895.168405751</v>
      </c>
      <c r="P93" s="726">
        <f>+Resumen!AB351</f>
        <v>-13738475.567051662</v>
      </c>
      <c r="Q93" s="727">
        <f t="shared" si="23"/>
        <v>6627765.2005658261</v>
      </c>
      <c r="R93" s="728" t="str">
        <f t="shared" si="24"/>
        <v>L</v>
      </c>
      <c r="S93" s="727">
        <f t="shared" si="25"/>
        <v>7434955.3944145329</v>
      </c>
      <c r="T93" s="746" t="s">
        <v>488</v>
      </c>
      <c r="U93" s="745">
        <f>+(P93/O93-1)</f>
        <v>0.18856303884504633</v>
      </c>
      <c r="V93" s="938">
        <f>+(SUM(P93:P95)/SUM(O93:O95)-1)</f>
        <v>-1.3167049420305554E-2</v>
      </c>
      <c r="W93" s="936"/>
      <c r="X93" s="737" t="str">
        <f t="shared" si="26"/>
        <v>R</v>
      </c>
      <c r="AA93" s="695">
        <f>+V93</f>
        <v>-1.3167049420305554E-2</v>
      </c>
    </row>
    <row r="94" spans="1:27">
      <c r="A94" s="710" t="str">
        <f t="shared" ref="A94:A95" si="36">+A93</f>
        <v>REGIÓN TRENQUE LAUQUEN</v>
      </c>
      <c r="B94" s="711" t="str">
        <f>+Resumen!D348</f>
        <v>Pellegrini</v>
      </c>
      <c r="C94" s="712">
        <f>+Resumen!H348</f>
        <v>2163052.2887098254</v>
      </c>
      <c r="D94" s="712">
        <f>+Resumen!O348</f>
        <v>61125.258535999979</v>
      </c>
      <c r="E94" s="712">
        <f>+Resumen!R348</f>
        <v>523841.69023999997</v>
      </c>
      <c r="F94" s="712">
        <f>+Resumen!V348</f>
        <v>1872815.42848</v>
      </c>
      <c r="G94" s="712">
        <f>+Resumen!Y348</f>
        <v>7559.8992432000005</v>
      </c>
      <c r="H94" s="712">
        <f>+Resumen!Z348</f>
        <v>178880.74665965824</v>
      </c>
      <c r="I94" s="712">
        <f>+Resumen!H352</f>
        <v>1830806.5337105817</v>
      </c>
      <c r="J94" s="712">
        <f>+Resumen!O352</f>
        <v>0</v>
      </c>
      <c r="K94" s="712">
        <f>+Resumen!R352</f>
        <v>1060027.373173407</v>
      </c>
      <c r="L94" s="712">
        <f>+Resumen!V352</f>
        <v>1872815.42848</v>
      </c>
      <c r="M94" s="712">
        <f>+Resumen!Y352</f>
        <v>7559.8992432000005</v>
      </c>
      <c r="N94" s="712">
        <f>+Resumen!Z352</f>
        <v>178880.74665965824</v>
      </c>
      <c r="O94" s="713">
        <f>+Resumen!AB348</f>
        <v>-9894187.6821966432</v>
      </c>
      <c r="P94" s="713">
        <f>+Resumen!AB352</f>
        <v>-10906325.344218802</v>
      </c>
      <c r="Q94" s="714">
        <f t="shared" si="23"/>
        <v>4620834.6659658253</v>
      </c>
      <c r="R94" s="715" t="str">
        <f t="shared" si="24"/>
        <v>L</v>
      </c>
      <c r="S94" s="714">
        <f t="shared" si="25"/>
        <v>4763649.3353639888</v>
      </c>
      <c r="T94" s="741" t="s">
        <v>488</v>
      </c>
      <c r="U94" s="742">
        <f t="shared" ref="U94:U95" si="37">+(P94/O94-1)</f>
        <v>0.10229618585499178</v>
      </c>
      <c r="V94" s="939"/>
      <c r="W94" s="936"/>
      <c r="X94" s="737" t="str">
        <f t="shared" si="26"/>
        <v>R</v>
      </c>
      <c r="AA94" s="695">
        <f t="shared" si="33"/>
        <v>-1.3167049420305554E-2</v>
      </c>
    </row>
    <row r="95" spans="1:27" ht="15.75" thickBot="1">
      <c r="A95" s="716" t="str">
        <f t="shared" si="36"/>
        <v>REGIÓN TRENQUE LAUQUEN</v>
      </c>
      <c r="B95" s="717" t="str">
        <f>+Resumen!D349</f>
        <v>Trenque Lauquen</v>
      </c>
      <c r="C95" s="718">
        <f>+Resumen!H349</f>
        <v>3615607.1742797671</v>
      </c>
      <c r="D95" s="718">
        <f>+Resumen!O349</f>
        <v>1545523.1438279503</v>
      </c>
      <c r="E95" s="718">
        <f>+Resumen!R349</f>
        <v>9874027.4375999998</v>
      </c>
      <c r="F95" s="718">
        <f>+Resumen!V349</f>
        <v>5292739.2544</v>
      </c>
      <c r="G95" s="718">
        <f>+Resumen!Y349</f>
        <v>73762.550586480007</v>
      </c>
      <c r="H95" s="718">
        <f>+Resumen!Z349</f>
        <v>335951.37010107719</v>
      </c>
      <c r="I95" s="718">
        <f>+Resumen!H353</f>
        <v>4320702.2373002078</v>
      </c>
      <c r="J95" s="718">
        <f>+Resumen!O353</f>
        <v>1159831.9316987991</v>
      </c>
      <c r="K95" s="718">
        <f>+Resumen!R353</f>
        <v>8651191.1783494242</v>
      </c>
      <c r="L95" s="718">
        <f>+Resumen!V353</f>
        <v>5292739.2544</v>
      </c>
      <c r="M95" s="718">
        <f>+Resumen!Y353</f>
        <v>73762.550586480007</v>
      </c>
      <c r="N95" s="718">
        <f>+Resumen!Z353</f>
        <v>335951.37010107719</v>
      </c>
      <c r="O95" s="719">
        <f>+Resumen!AB349</f>
        <v>-45963085.905775174</v>
      </c>
      <c r="P95" s="719">
        <f>+Resumen!AB353</f>
        <v>-41883695.819364235</v>
      </c>
      <c r="Q95" s="720">
        <f t="shared" si="23"/>
        <v>20327897.010107718</v>
      </c>
      <c r="R95" s="721" t="str">
        <f t="shared" si="24"/>
        <v>R</v>
      </c>
      <c r="S95" s="720">
        <f t="shared" si="25"/>
        <v>19424464.601748429</v>
      </c>
      <c r="T95" s="743" t="s">
        <v>488</v>
      </c>
      <c r="U95" s="744">
        <f t="shared" si="37"/>
        <v>-8.8753616212230213E-2</v>
      </c>
      <c r="V95" s="940"/>
      <c r="W95" s="936"/>
      <c r="X95" s="737" t="str">
        <f t="shared" si="26"/>
        <v>R</v>
      </c>
      <c r="AA95" s="695">
        <f t="shared" si="33"/>
        <v>-1.3167049420305554E-2</v>
      </c>
    </row>
    <row r="96" spans="1:27">
      <c r="A96" s="723" t="str">
        <f>+Resumen!A360</f>
        <v>REGIÓN TRES ARROYOS</v>
      </c>
      <c r="B96" s="724" t="str">
        <f>+Resumen!D360</f>
        <v>Benito Juárez</v>
      </c>
      <c r="C96" s="725">
        <f>+Resumen!H360</f>
        <v>3363080.9262797674</v>
      </c>
      <c r="D96" s="725">
        <f>+Resumen!O360</f>
        <v>0</v>
      </c>
      <c r="E96" s="725">
        <f>+Resumen!R360</f>
        <v>849493.49847999995</v>
      </c>
      <c r="F96" s="725">
        <f>+Resumen!V360</f>
        <v>1994955.5651199999</v>
      </c>
      <c r="G96" s="725">
        <f>+Resumen!Y360</f>
        <v>34362.505754080004</v>
      </c>
      <c r="H96" s="725">
        <f>+Resumen!Z360</f>
        <v>194747.69989879767</v>
      </c>
      <c r="I96" s="725">
        <f>+Resumen!H365</f>
        <v>3315389.6862940718</v>
      </c>
      <c r="J96" s="725">
        <f>+Resumen!O365</f>
        <v>15428.534968982567</v>
      </c>
      <c r="K96" s="725">
        <f>+Resumen!R365</f>
        <v>2779148.0878085401</v>
      </c>
      <c r="L96" s="725">
        <f>+Resumen!V365</f>
        <v>1994955.5651199999</v>
      </c>
      <c r="M96" s="725">
        <f>+Resumen!Y365</f>
        <v>34362.505754080004</v>
      </c>
      <c r="N96" s="725">
        <f>+Resumen!Z365</f>
        <v>194747.69989879767</v>
      </c>
      <c r="O96" s="726">
        <f>+Resumen!AB360</f>
        <v>-18568774.325978469</v>
      </c>
      <c r="P96" s="726">
        <f>+Resumen!AB365</f>
        <v>-22612606.50105188</v>
      </c>
      <c r="Q96" s="727">
        <f t="shared" si="23"/>
        <v>6207529.9898797665</v>
      </c>
      <c r="R96" s="728" t="str">
        <f t="shared" si="24"/>
        <v>L</v>
      </c>
      <c r="S96" s="727">
        <f t="shared" si="25"/>
        <v>8104921.8741915952</v>
      </c>
      <c r="T96" s="746" t="s">
        <v>488</v>
      </c>
      <c r="U96" s="742">
        <f>+(P96/O96-1)</f>
        <v>0.21777593416146623</v>
      </c>
      <c r="V96" s="939">
        <f>+(SUM(P96:P99)/SUM(O96:O99)-1)</f>
        <v>-5.9704505591512413E-3</v>
      </c>
      <c r="W96" s="936"/>
      <c r="X96" s="737" t="str">
        <f t="shared" si="26"/>
        <v>R</v>
      </c>
      <c r="AA96" s="695">
        <f>+V96</f>
        <v>-5.9704505591512413E-3</v>
      </c>
    </row>
    <row r="97" spans="1:27">
      <c r="A97" s="710" t="str">
        <f t="shared" ref="A97:A99" si="38">+A96</f>
        <v>REGIÓN TRES ARROYOS</v>
      </c>
      <c r="B97" s="711" t="str">
        <f>+Resumen!D361</f>
        <v>San Cayetano</v>
      </c>
      <c r="C97" s="712">
        <f>+Resumen!H361</f>
        <v>2306462.2567098257</v>
      </c>
      <c r="D97" s="712">
        <f>+Resumen!O361</f>
        <v>359159.83353599999</v>
      </c>
      <c r="E97" s="712">
        <f>+Resumen!R361</f>
        <v>634831.60847999994</v>
      </c>
      <c r="F97" s="712">
        <f>+Resumen!V361</f>
        <v>1017834.472</v>
      </c>
      <c r="G97" s="712">
        <f>+Resumen!Y361</f>
        <v>8365.9403139199985</v>
      </c>
      <c r="H97" s="712">
        <f>+Resumen!Z361</f>
        <v>175855.28170725825</v>
      </c>
      <c r="I97" s="712">
        <f>+Resumen!H366</f>
        <v>2008341.1548455465</v>
      </c>
      <c r="J97" s="712">
        <f>+Resumen!O366</f>
        <v>186379.20812975301</v>
      </c>
      <c r="K97" s="712">
        <f>+Resumen!R366</f>
        <v>1415507.7310090284</v>
      </c>
      <c r="L97" s="712">
        <f>+Resumen!V366</f>
        <v>1017834.472</v>
      </c>
      <c r="M97" s="712">
        <f>+Resumen!Y366</f>
        <v>8365.9403139199985</v>
      </c>
      <c r="N97" s="712">
        <f>+Resumen!Z366</f>
        <v>175855.28170725825</v>
      </c>
      <c r="O97" s="713">
        <f>+Resumen!AB361</f>
        <v>-11744938.287967067</v>
      </c>
      <c r="P97" s="713">
        <f>+Resumen!AB366</f>
        <v>-12595731.794434957</v>
      </c>
      <c r="Q97" s="714">
        <f t="shared" si="23"/>
        <v>4318288.1707258252</v>
      </c>
      <c r="R97" s="715" t="str">
        <f t="shared" si="24"/>
        <v>L</v>
      </c>
      <c r="S97" s="714">
        <f t="shared" si="25"/>
        <v>4628062.5659843273</v>
      </c>
      <c r="T97" s="741" t="s">
        <v>488</v>
      </c>
      <c r="U97" s="742">
        <f t="shared" ref="U97:U99" si="39">+(P97/O97-1)</f>
        <v>7.2439163630135583E-2</v>
      </c>
      <c r="V97" s="939"/>
      <c r="W97" s="936"/>
      <c r="X97" s="737" t="str">
        <f t="shared" si="26"/>
        <v>R</v>
      </c>
      <c r="AA97" s="695">
        <f t="shared" si="33"/>
        <v>-5.9704505591512413E-3</v>
      </c>
    </row>
    <row r="98" spans="1:27">
      <c r="A98" s="710" t="str">
        <f t="shared" si="38"/>
        <v>REGIÓN TRES ARROYOS</v>
      </c>
      <c r="B98" s="711" t="str">
        <f>+Resumen!D362</f>
        <v>Adolfo Gonzáles Chaves</v>
      </c>
      <c r="C98" s="712">
        <f>+Resumen!H362</f>
        <v>2415578.5367098255</v>
      </c>
      <c r="D98" s="712">
        <f>+Resumen!O362</f>
        <v>359159.83353599999</v>
      </c>
      <c r="E98" s="712">
        <f>+Resumen!R362</f>
        <v>676884.88199999998</v>
      </c>
      <c r="F98" s="712">
        <f>+Resumen!V362</f>
        <v>2483516.1116800001</v>
      </c>
      <c r="G98" s="712">
        <f>+Resumen!Y362</f>
        <v>15974.14979408</v>
      </c>
      <c r="H98" s="712">
        <f>+Resumen!Z362</f>
        <v>192023.79363925825</v>
      </c>
      <c r="I98" s="712">
        <f>+Resumen!H367</f>
        <v>2164386.2977223261</v>
      </c>
      <c r="J98" s="712">
        <f>+Resumen!O367</f>
        <v>212534.37335334075</v>
      </c>
      <c r="K98" s="712">
        <f>+Resumen!R367</f>
        <v>1612098.0210343755</v>
      </c>
      <c r="L98" s="712">
        <f>+Resumen!V367</f>
        <v>2483516.1116800001</v>
      </c>
      <c r="M98" s="712">
        <f>+Resumen!Y367</f>
        <v>15974.14979408</v>
      </c>
      <c r="N98" s="712">
        <f>+Resumen!Z367</f>
        <v>192023.79363925825</v>
      </c>
      <c r="O98" s="713">
        <f>+Resumen!AB362</f>
        <v>-12989271.058817821</v>
      </c>
      <c r="P98" s="713">
        <f>+Resumen!AB367</f>
        <v>-14169209.634341979</v>
      </c>
      <c r="Q98" s="714">
        <f t="shared" si="23"/>
        <v>5935139.3639258258</v>
      </c>
      <c r="R98" s="715" t="str">
        <f t="shared" si="24"/>
        <v>L</v>
      </c>
      <c r="S98" s="714">
        <f t="shared" si="25"/>
        <v>6472534.8037900422</v>
      </c>
      <c r="T98" s="741" t="s">
        <v>488</v>
      </c>
      <c r="U98" s="742">
        <f t="shared" si="39"/>
        <v>9.0839475916791645E-2</v>
      </c>
      <c r="V98" s="939"/>
      <c r="W98" s="936"/>
      <c r="X98" s="737" t="str">
        <f t="shared" si="26"/>
        <v>R</v>
      </c>
      <c r="AA98" s="695">
        <f t="shared" si="33"/>
        <v>-5.9704505591512413E-3</v>
      </c>
    </row>
    <row r="99" spans="1:27" ht="15.75" thickBot="1">
      <c r="A99" s="716" t="str">
        <f t="shared" si="38"/>
        <v>REGIÓN TRES ARROYOS</v>
      </c>
      <c r="B99" s="717" t="str">
        <f>+Resumen!D363</f>
        <v>Tres Arroyos</v>
      </c>
      <c r="C99" s="718">
        <f>+Resumen!H363</f>
        <v>4714077.8210227937</v>
      </c>
      <c r="D99" s="718">
        <f>+Resumen!O363</f>
        <v>0</v>
      </c>
      <c r="E99" s="718">
        <f>+Resumen!R363</f>
        <v>10545542.0184</v>
      </c>
      <c r="F99" s="718">
        <f>+Resumen!V363</f>
        <v>0</v>
      </c>
      <c r="G99" s="718">
        <f>+Resumen!Y363</f>
        <v>82042.533496799995</v>
      </c>
      <c r="H99" s="718">
        <f>+Resumen!Z363</f>
        <v>323417.64799278497</v>
      </c>
      <c r="I99" s="718">
        <f>+Resumen!H368</f>
        <v>5388697.9473311892</v>
      </c>
      <c r="J99" s="718">
        <f>+Resumen!O368</f>
        <v>0</v>
      </c>
      <c r="K99" s="718">
        <f>+Resumen!R368</f>
        <v>8479721.3201480545</v>
      </c>
      <c r="L99" s="718">
        <f>+Resumen!V368</f>
        <v>0</v>
      </c>
      <c r="M99" s="718">
        <f>+Resumen!Y368</f>
        <v>82042.533496799995</v>
      </c>
      <c r="N99" s="718">
        <f>+Resumen!Z368</f>
        <v>323417.64799278497</v>
      </c>
      <c r="O99" s="719">
        <f>+Resumen!AB363</f>
        <v>-52012982.361881658</v>
      </c>
      <c r="P99" s="719">
        <f>+Resumen!AB368</f>
        <v>-45369338.842108607</v>
      </c>
      <c r="Q99" s="720">
        <f t="shared" si="23"/>
        <v>15259619.839422794</v>
      </c>
      <c r="R99" s="721" t="str">
        <f t="shared" si="24"/>
        <v>R</v>
      </c>
      <c r="S99" s="720">
        <f t="shared" si="25"/>
        <v>13868419.267479245</v>
      </c>
      <c r="T99" s="743" t="s">
        <v>488</v>
      </c>
      <c r="U99" s="744">
        <f t="shared" si="39"/>
        <v>-0.127730486084219</v>
      </c>
      <c r="V99" s="940"/>
      <c r="W99" s="936"/>
      <c r="X99" s="737" t="str">
        <f t="shared" si="26"/>
        <v>R</v>
      </c>
      <c r="AA99" s="695">
        <f t="shared" si="33"/>
        <v>-5.9704505591512413E-3</v>
      </c>
    </row>
    <row r="100" spans="1:27">
      <c r="A100" s="723" t="str">
        <f>+Resumen!A375</f>
        <v>REGIÓN VILLARINO</v>
      </c>
      <c r="B100" s="724" t="str">
        <f>+Resumen!D375</f>
        <v>Mayor Buratovich</v>
      </c>
      <c r="C100" s="725">
        <f>+Resumen!H375</f>
        <v>2224137.0542136761</v>
      </c>
      <c r="D100" s="725">
        <f>+Resumen!O375</f>
        <v>359159.83353599999</v>
      </c>
      <c r="E100" s="725">
        <f>+Resumen!R375</f>
        <v>625422.42856000003</v>
      </c>
      <c r="F100" s="725">
        <f>+Resumen!V375</f>
        <v>0</v>
      </c>
      <c r="G100" s="725">
        <f>+Resumen!Y375</f>
        <v>9959.4527546666668</v>
      </c>
      <c r="H100" s="725">
        <f>+Resumen!Z375</f>
        <v>164759.59316309675</v>
      </c>
      <c r="I100" s="725">
        <f>+Resumen!H378</f>
        <v>1910515.8114722846</v>
      </c>
      <c r="J100" s="725">
        <f>+Resumen!O378</f>
        <v>383783.43592170422</v>
      </c>
      <c r="K100" s="725">
        <f>+Resumen!R378</f>
        <v>2050983.7105563995</v>
      </c>
      <c r="L100" s="725">
        <f>+Resumen!V378</f>
        <v>0</v>
      </c>
      <c r="M100" s="725">
        <f>+Resumen!Y378</f>
        <v>9959.4527546666668</v>
      </c>
      <c r="N100" s="725">
        <f>+Resumen!Z378</f>
        <v>164759.59316309675</v>
      </c>
      <c r="O100" s="726">
        <f>+Resumen!AB375</f>
        <v>-10804795.534843102</v>
      </c>
      <c r="P100" s="726">
        <f>+Resumen!AB378</f>
        <v>-14345108.616055667</v>
      </c>
      <c r="Q100" s="727">
        <f t="shared" si="23"/>
        <v>3208719.316309676</v>
      </c>
      <c r="R100" s="728" t="str">
        <f t="shared" si="24"/>
        <v>L</v>
      </c>
      <c r="S100" s="727">
        <f t="shared" si="25"/>
        <v>4345282.957950389</v>
      </c>
      <c r="T100" s="746" t="s">
        <v>488</v>
      </c>
      <c r="U100" s="745">
        <f>+(P100/O100-1)</f>
        <v>0.32766127501402775</v>
      </c>
      <c r="V100" s="938">
        <f>+(SUM(P100:P101)/SUM(O100:O101)-1)</f>
        <v>-1.1062564749803161E-2</v>
      </c>
      <c r="W100" s="936"/>
      <c r="X100" s="737" t="str">
        <f t="shared" si="26"/>
        <v>R</v>
      </c>
      <c r="AA100" s="695">
        <f>+V100</f>
        <v>-1.1062564749803161E-2</v>
      </c>
    </row>
    <row r="101" spans="1:27" ht="15.75" thickBot="1">
      <c r="A101" s="716" t="str">
        <f t="shared" ref="A101" si="40">+A100</f>
        <v>REGIÓN VILLARINO</v>
      </c>
      <c r="B101" s="717" t="str">
        <f>+Resumen!D376</f>
        <v>Pedro Luro</v>
      </c>
      <c r="C101" s="718">
        <f>+Resumen!H376</f>
        <v>2417428.7502136761</v>
      </c>
      <c r="D101" s="718">
        <f>+Resumen!O376</f>
        <v>853440.77096200001</v>
      </c>
      <c r="E101" s="718">
        <f>+Resumen!R376</f>
        <v>7860799.9408</v>
      </c>
      <c r="F101" s="718">
        <f>+Resumen!V376</f>
        <v>0</v>
      </c>
      <c r="G101" s="718">
        <f>+Resumen!Y376</f>
        <v>25586.146039679999</v>
      </c>
      <c r="H101" s="718">
        <f>+Resumen!Z376</f>
        <v>243989.09461975674</v>
      </c>
      <c r="I101" s="718">
        <f>+Resumen!H379</f>
        <v>2690868.1603854867</v>
      </c>
      <c r="J101" s="718">
        <f>+Resumen!O379</f>
        <v>504345.32640029595</v>
      </c>
      <c r="K101" s="718">
        <f>+Resumen!R379</f>
        <v>6818328.0886436002</v>
      </c>
      <c r="L101" s="718">
        <f>+Resumen!V379</f>
        <v>0</v>
      </c>
      <c r="M101" s="718">
        <f>+Resumen!Y379</f>
        <v>25586.146039679999</v>
      </c>
      <c r="N101" s="718">
        <f>+Resumen!Z379</f>
        <v>243989.09461975674</v>
      </c>
      <c r="O101" s="719">
        <f>+Resumen!AB376</f>
        <v>-34137966.077069752</v>
      </c>
      <c r="P101" s="719">
        <f>+Resumen!AB379</f>
        <v>-30100470.785490431</v>
      </c>
      <c r="Q101" s="720">
        <f t="shared" si="23"/>
        <v>11131669.461975675</v>
      </c>
      <c r="R101" s="721" t="str">
        <f t="shared" si="24"/>
        <v>R</v>
      </c>
      <c r="S101" s="720">
        <f t="shared" si="25"/>
        <v>10013541.575429384</v>
      </c>
      <c r="T101" s="743" t="s">
        <v>488</v>
      </c>
      <c r="U101" s="744">
        <f t="shared" ref="U101" si="41">+(P101/O101-1)</f>
        <v>-0.11826994269266911</v>
      </c>
      <c r="V101" s="940"/>
      <c r="W101" s="936"/>
      <c r="X101" s="737" t="str">
        <f t="shared" si="26"/>
        <v>R</v>
      </c>
      <c r="AA101" s="695">
        <f t="shared" si="33"/>
        <v>-1.1062564749803161E-2</v>
      </c>
    </row>
    <row r="102" spans="1:27">
      <c r="A102" s="723" t="str">
        <f>+Resumen!A386</f>
        <v>REGIÓN ZÁRATE</v>
      </c>
      <c r="B102" s="724" t="str">
        <f>+Resumen!D386</f>
        <v>Zárate</v>
      </c>
      <c r="C102" s="725">
        <f>+Resumen!H386</f>
        <v>4776362.1433689632</v>
      </c>
      <c r="D102" s="725">
        <f>+Resumen!O386</f>
        <v>2140267.6166400001</v>
      </c>
      <c r="E102" s="725">
        <f>+Resumen!R386</f>
        <v>19250504.487199999</v>
      </c>
      <c r="F102" s="725">
        <f>+Resumen!V386</f>
        <v>569987.30432</v>
      </c>
      <c r="G102" s="725">
        <f>+Resumen!Y386</f>
        <v>138682.09334304</v>
      </c>
      <c r="H102" s="725">
        <f>+Resumen!Z386</f>
        <v>466886.41939411208</v>
      </c>
      <c r="I102" s="725">
        <f>+Resumen!H389</f>
        <v>5784883.7167995982</v>
      </c>
      <c r="J102" s="725">
        <f>+Resumen!O389</f>
        <v>1423836.0820070319</v>
      </c>
      <c r="K102" s="725">
        <f>+Resumen!R389</f>
        <v>16497342.825392064</v>
      </c>
      <c r="L102" s="725">
        <f>+Resumen!V389</f>
        <v>569987.30432</v>
      </c>
      <c r="M102" s="725">
        <f>+Resumen!Y389</f>
        <v>138682.09334304</v>
      </c>
      <c r="N102" s="725">
        <f>+Resumen!Z389</f>
        <v>466886.41939411208</v>
      </c>
      <c r="O102" s="726">
        <f>+Resumen!AB386</f>
        <v>-64529079.342296988</v>
      </c>
      <c r="P102" s="726">
        <f>+Resumen!AB389</f>
        <v>-55897802.486724086</v>
      </c>
      <c r="Q102" s="727">
        <f t="shared" si="23"/>
        <v>26737121.55152896</v>
      </c>
      <c r="R102" s="728" t="str">
        <f t="shared" si="24"/>
        <v>R</v>
      </c>
      <c r="S102" s="727">
        <f t="shared" si="25"/>
        <v>24276049.928518694</v>
      </c>
      <c r="T102" s="746" t="s">
        <v>488</v>
      </c>
      <c r="U102" s="745">
        <f>+(P102/O102-1)</f>
        <v>-0.13375794205567326</v>
      </c>
      <c r="V102" s="938">
        <f>+(SUM(P102:P103)/SUM(O102:O103)-1)</f>
        <v>-0.15178124375989432</v>
      </c>
      <c r="W102" s="936"/>
      <c r="X102" s="737" t="str">
        <f t="shared" si="26"/>
        <v>R</v>
      </c>
      <c r="AA102" s="695">
        <f>+AA101</f>
        <v>-1.1062564749803161E-2</v>
      </c>
    </row>
    <row r="103" spans="1:27" ht="15.75" thickBot="1">
      <c r="A103" s="716" t="str">
        <f t="shared" ref="A103" si="42">+A102</f>
        <v>REGIÓN ZÁRATE</v>
      </c>
      <c r="B103" s="717" t="str">
        <f>+Resumen!D387</f>
        <v>Campana</v>
      </c>
      <c r="C103" s="718">
        <f>+Resumen!H387</f>
        <v>5931725.5956718549</v>
      </c>
      <c r="D103" s="718">
        <f>+Resumen!O387</f>
        <v>2053454.8896000001</v>
      </c>
      <c r="E103" s="718">
        <f>+Resumen!R387</f>
        <v>17392635.192000002</v>
      </c>
      <c r="F103" s="718">
        <f>+Resumen!V387</f>
        <v>0</v>
      </c>
      <c r="G103" s="718">
        <f>+Resumen!Y387</f>
        <v>102840.55490015999</v>
      </c>
      <c r="H103" s="718">
        <f>+Resumen!Z387</f>
        <v>449895.09596589825</v>
      </c>
      <c r="I103" s="718">
        <f>+Resumen!H390</f>
        <v>6371940.0886324588</v>
      </c>
      <c r="J103" s="718">
        <f>+Resumen!O390</f>
        <v>1198353.4680729681</v>
      </c>
      <c r="K103" s="718">
        <f>+Resumen!R390</f>
        <v>14180477.173807936</v>
      </c>
      <c r="L103" s="718">
        <f>+Resumen!V390</f>
        <v>0</v>
      </c>
      <c r="M103" s="718">
        <f>+Resumen!Y390</f>
        <v>102840.55490015999</v>
      </c>
      <c r="N103" s="718">
        <f>+Resumen!Z390</f>
        <v>449895.09596589825</v>
      </c>
      <c r="O103" s="719">
        <f>+Resumen!AB387</f>
        <v>-70244539.524516821</v>
      </c>
      <c r="P103" s="719">
        <f>+Resumen!AB390</f>
        <v>-58419708.88246277</v>
      </c>
      <c r="Q103" s="720">
        <f t="shared" si="23"/>
        <v>25377815.677271858</v>
      </c>
      <c r="R103" s="721" t="str">
        <f t="shared" si="24"/>
        <v>R</v>
      </c>
      <c r="S103" s="720">
        <f t="shared" ref="S103:S134" si="43">+SUM(I103:L103)</f>
        <v>21750770.730513364</v>
      </c>
      <c r="T103" s="743" t="s">
        <v>488</v>
      </c>
      <c r="U103" s="744">
        <f t="shared" ref="U103" si="44">+(P103/O103-1)</f>
        <v>-0.16833807612799478</v>
      </c>
      <c r="V103" s="940"/>
      <c r="W103" s="936"/>
      <c r="X103" s="737" t="str">
        <f t="shared" si="26"/>
        <v>R</v>
      </c>
      <c r="AA103" s="695">
        <f>+V102</f>
        <v>-0.15178124375989432</v>
      </c>
    </row>
    <row r="104" spans="1:27">
      <c r="A104" s="722" t="str">
        <f>+Resumen!A397</f>
        <v>REGIÓN GENERAL PUEYRREDÓN MDQ</v>
      </c>
      <c r="B104" s="711" t="str">
        <f>+Resumen!D397</f>
        <v>Miramar</v>
      </c>
      <c r="C104" s="712">
        <f>+Resumen!H397</f>
        <v>5260619.2797599919</v>
      </c>
      <c r="D104" s="712">
        <f>+Resumen!O397</f>
        <v>1831229.1481600001</v>
      </c>
      <c r="E104" s="712">
        <f>+Resumen!R397</f>
        <v>11844887.889600001</v>
      </c>
      <c r="F104" s="712">
        <f>+Resumen!V397</f>
        <v>3134930.1737600002</v>
      </c>
      <c r="G104" s="712">
        <f>+Resumen!Y397</f>
        <v>61798.803301119995</v>
      </c>
      <c r="H104" s="712">
        <f>+Resumen!Z397</f>
        <v>353389.06491279992</v>
      </c>
      <c r="I104" s="712">
        <f>+Resumen!H401</f>
        <v>5242594.125688456</v>
      </c>
      <c r="J104" s="712">
        <f>+Resumen!O401</f>
        <v>333246.85044326715</v>
      </c>
      <c r="K104" s="712">
        <f>+Resumen!R401</f>
        <v>6178769.9021726903</v>
      </c>
      <c r="L104" s="712">
        <f>+Resumen!V401</f>
        <v>3134930.1737600002</v>
      </c>
      <c r="M104" s="712">
        <f>+Resumen!Y401</f>
        <v>61798.803301119995</v>
      </c>
      <c r="N104" s="712">
        <f>+Resumen!Z401</f>
        <v>353389.06491279992</v>
      </c>
      <c r="O104" s="713">
        <f>+Resumen!AB397</f>
        <v>-59237617.629701622</v>
      </c>
      <c r="P104" s="713">
        <f>+Resumen!AB401</f>
        <v>-37854276.301071554</v>
      </c>
      <c r="Q104" s="714">
        <f t="shared" si="23"/>
        <v>22071666.491279993</v>
      </c>
      <c r="R104" s="715" t="str">
        <f t="shared" si="24"/>
        <v>R</v>
      </c>
      <c r="S104" s="714">
        <f t="shared" si="43"/>
        <v>14889541.052064415</v>
      </c>
      <c r="T104" s="741" t="s">
        <v>488</v>
      </c>
      <c r="U104" s="745">
        <f>+(P104/O104-1)</f>
        <v>-0.36097571415344198</v>
      </c>
      <c r="V104" s="938">
        <f>+(SUM(P104:P106)/SUM(O104:O106)-1)</f>
        <v>-1.0258001918136417E-3</v>
      </c>
      <c r="W104" s="936"/>
      <c r="X104" s="737" t="str">
        <f t="shared" si="26"/>
        <v>R</v>
      </c>
      <c r="AA104" s="695">
        <f>+V104</f>
        <v>-1.0258001918136417E-3</v>
      </c>
    </row>
    <row r="105" spans="1:27">
      <c r="A105" s="710" t="str">
        <f t="shared" ref="A105:A114" si="45">+A104</f>
        <v>REGIÓN GENERAL PUEYRREDÓN MDQ</v>
      </c>
      <c r="B105" s="711" t="str">
        <f>+Resumen!D398</f>
        <v>Comandante Nicanor Otamendi</v>
      </c>
      <c r="C105" s="712">
        <f>+Resumen!H398</f>
        <v>2212934.0167098255</v>
      </c>
      <c r="D105" s="712">
        <f>+Resumen!O398</f>
        <v>359159.83353599999</v>
      </c>
      <c r="E105" s="712">
        <f>+Resumen!R398</f>
        <v>588169.75703999994</v>
      </c>
      <c r="F105" s="712">
        <f>+Resumen!V398</f>
        <v>0</v>
      </c>
      <c r="G105" s="712">
        <f>+Resumen!Y398</f>
        <v>79380.247735679994</v>
      </c>
      <c r="H105" s="712">
        <f>+Resumen!Z398</f>
        <v>164275.03607285826</v>
      </c>
      <c r="I105" s="712">
        <f>+Resumen!H402</f>
        <v>1726321.9508348322</v>
      </c>
      <c r="J105" s="712">
        <f>+Resumen!O402</f>
        <v>38882.149577226715</v>
      </c>
      <c r="K105" s="712">
        <f>+Resumen!R402</f>
        <v>727542.52423918189</v>
      </c>
      <c r="L105" s="712">
        <f>+Resumen!V402</f>
        <v>0</v>
      </c>
      <c r="M105" s="712">
        <f>+Resumen!Y402</f>
        <v>79380.247735679994</v>
      </c>
      <c r="N105" s="712">
        <f>+Resumen!Z402</f>
        <v>164275.03607285826</v>
      </c>
      <c r="O105" s="713">
        <f>+Resumen!AB398</f>
        <v>-10815022.053382613</v>
      </c>
      <c r="P105" s="713">
        <f>+Resumen!AB402</f>
        <v>-9257486.1282376442</v>
      </c>
      <c r="Q105" s="714">
        <f t="shared" si="23"/>
        <v>3160263.6072858255</v>
      </c>
      <c r="R105" s="715" t="str">
        <f t="shared" si="24"/>
        <v>R</v>
      </c>
      <c r="S105" s="714">
        <f t="shared" si="43"/>
        <v>2492746.6246512407</v>
      </c>
      <c r="T105" s="741" t="s">
        <v>488</v>
      </c>
      <c r="U105" s="742">
        <f t="shared" ref="U105:U106" si="46">+(P105/O105-1)</f>
        <v>-0.14401597310269176</v>
      </c>
      <c r="V105" s="939"/>
      <c r="W105" s="936"/>
      <c r="X105" s="737" t="str">
        <f t="shared" si="26"/>
        <v>R</v>
      </c>
      <c r="AA105" s="695">
        <f t="shared" si="33"/>
        <v>-1.0258001918136417E-3</v>
      </c>
    </row>
    <row r="106" spans="1:27" ht="15.75" thickBot="1">
      <c r="A106" s="729" t="str">
        <f t="shared" si="45"/>
        <v>REGIÓN GENERAL PUEYRREDÓN MDQ</v>
      </c>
      <c r="B106" s="730" t="str">
        <f>+Resumen!D399</f>
        <v>Mar del Plata</v>
      </c>
      <c r="C106" s="731">
        <f>+Resumen!H399</f>
        <v>20906592.355105683</v>
      </c>
      <c r="D106" s="731">
        <f>+Resumen!O399</f>
        <v>6272776.0204800004</v>
      </c>
      <c r="E106" s="731">
        <f>+Resumen!R399</f>
        <v>115930395.49360001</v>
      </c>
      <c r="F106" s="731">
        <f>+Resumen!V399</f>
        <v>0</v>
      </c>
      <c r="G106" s="731">
        <f>+Resumen!Y399</f>
        <v>398159.67391199997</v>
      </c>
      <c r="H106" s="731">
        <f>+Resumen!Z399</f>
        <v>2279318.8580377852</v>
      </c>
      <c r="I106" s="731">
        <f>+Resumen!H403</f>
        <v>27783263.801072653</v>
      </c>
      <c r="J106" s="731">
        <f>+Resumen!O403</f>
        <v>6190950.2636595061</v>
      </c>
      <c r="K106" s="731">
        <f>+Resumen!R403</f>
        <v>115651180.39918815</v>
      </c>
      <c r="L106" s="731">
        <f>+Resumen!V403</f>
        <v>0</v>
      </c>
      <c r="M106" s="731">
        <f>+Resumen!Y403</f>
        <v>398159.67391199997</v>
      </c>
      <c r="N106" s="731">
        <f>+Resumen!Z403</f>
        <v>2279318.8580377852</v>
      </c>
      <c r="O106" s="732">
        <f>+Resumen!AB399</f>
        <v>-267673575.16414398</v>
      </c>
      <c r="P106" s="732">
        <f>+Resumen!AB403</f>
        <v>-290268012.80194825</v>
      </c>
      <c r="Q106" s="733">
        <f t="shared" si="23"/>
        <v>143109763.86918569</v>
      </c>
      <c r="R106" s="734" t="str">
        <f t="shared" ref="R106" si="47">+IF(O106&lt;P106,"R","L")</f>
        <v>L</v>
      </c>
      <c r="S106" s="733">
        <f t="shared" si="43"/>
        <v>149625394.4639203</v>
      </c>
      <c r="T106" s="747" t="s">
        <v>488</v>
      </c>
      <c r="U106" s="748">
        <f t="shared" si="46"/>
        <v>8.4410415275205208E-2</v>
      </c>
      <c r="V106" s="948"/>
      <c r="W106" s="937"/>
      <c r="X106" s="737" t="str">
        <f t="shared" si="26"/>
        <v>R</v>
      </c>
      <c r="AA106" s="696">
        <f t="shared" si="33"/>
        <v>-1.0258001918136417E-3</v>
      </c>
    </row>
    <row r="107" spans="1:27" ht="15.75" thickTop="1">
      <c r="A107" s="722" t="str">
        <f>+Resumen!A410</f>
        <v>REGIÓN CEAMSE Ensenada</v>
      </c>
      <c r="B107" s="711" t="str">
        <f>+Resumen!D410</f>
        <v>Magdalena</v>
      </c>
      <c r="C107" s="735"/>
      <c r="D107" s="735"/>
      <c r="E107" s="735"/>
      <c r="F107" s="735"/>
      <c r="G107" s="735"/>
      <c r="H107" s="735"/>
      <c r="I107" s="712">
        <f>+Resumen!H410</f>
        <v>5289662.9462621082</v>
      </c>
      <c r="J107" s="712">
        <f>+Resumen!O410</f>
        <v>76448.224015498301</v>
      </c>
      <c r="K107" s="712">
        <f>+Resumen!R410</f>
        <v>1509909.5686470042</v>
      </c>
      <c r="L107" s="712">
        <f>+Resumen!V410</f>
        <v>0</v>
      </c>
      <c r="M107" s="712">
        <f>+Resumen!Y410</f>
        <v>38784.56080746666</v>
      </c>
      <c r="N107" s="712">
        <f>+Resumen!Z410</f>
        <v>201432.60738924611</v>
      </c>
      <c r="O107" s="736"/>
      <c r="P107" s="713">
        <f>+Resumen!AB410</f>
        <v>-27973702.784879621</v>
      </c>
      <c r="Q107" s="714">
        <f t="shared" ref="Q107:Q154" si="48">SUM(I107:L107)</f>
        <v>6876020.7389246114</v>
      </c>
      <c r="R107" s="715" t="s">
        <v>707</v>
      </c>
      <c r="S107" s="714">
        <f t="shared" si="43"/>
        <v>6876020.7389246114</v>
      </c>
      <c r="T107" s="741" t="s">
        <v>718</v>
      </c>
      <c r="U107" s="735"/>
      <c r="V107" s="749"/>
      <c r="X107" s="738" t="str">
        <f t="shared" ref="X107:X138" si="49">+R107</f>
        <v>R</v>
      </c>
    </row>
    <row r="108" spans="1:27">
      <c r="A108" s="710" t="str">
        <f t="shared" si="45"/>
        <v>REGIÓN CEAMSE Ensenada</v>
      </c>
      <c r="B108" s="711" t="str">
        <f>+Resumen!D411</f>
        <v>Berisso</v>
      </c>
      <c r="C108" s="735"/>
      <c r="D108" s="735"/>
      <c r="E108" s="735"/>
      <c r="F108" s="735"/>
      <c r="G108" s="735"/>
      <c r="H108" s="735"/>
      <c r="I108" s="712">
        <f>+Resumen!H411</f>
        <v>14499362.56514935</v>
      </c>
      <c r="J108" s="712">
        <f>+Resumen!O411</f>
        <v>608205.32441610866</v>
      </c>
      <c r="K108" s="712">
        <f>+Resumen!R411</f>
        <v>12053377.483410567</v>
      </c>
      <c r="L108" s="712">
        <f>+Resumen!V411</f>
        <v>4112051.26688</v>
      </c>
      <c r="M108" s="712">
        <f>+Resumen!Y411</f>
        <v>139032.60840863999</v>
      </c>
      <c r="N108" s="712">
        <f>+Resumen!Z411</f>
        <v>523584.85799820034</v>
      </c>
      <c r="O108" s="736"/>
      <c r="P108" s="713">
        <f>+Resumen!AB411</f>
        <v>-57498759.685582705</v>
      </c>
      <c r="Q108" s="714">
        <f t="shared" si="48"/>
        <v>31272996.639856026</v>
      </c>
      <c r="R108" s="715" t="s">
        <v>707</v>
      </c>
      <c r="S108" s="714">
        <f t="shared" si="43"/>
        <v>31272996.639856026</v>
      </c>
      <c r="T108" s="741" t="s">
        <v>718</v>
      </c>
      <c r="U108" s="735"/>
      <c r="V108" s="749"/>
      <c r="X108" s="738" t="str">
        <f t="shared" si="49"/>
        <v>R</v>
      </c>
    </row>
    <row r="109" spans="1:27">
      <c r="A109" s="710" t="str">
        <f t="shared" si="45"/>
        <v>REGIÓN CEAMSE Ensenada</v>
      </c>
      <c r="B109" s="711" t="str">
        <f>+Resumen!D412</f>
        <v>Ensenada</v>
      </c>
      <c r="C109" s="735"/>
      <c r="D109" s="735"/>
      <c r="E109" s="735"/>
      <c r="F109" s="735"/>
      <c r="G109" s="735"/>
      <c r="H109" s="735"/>
      <c r="I109" s="712">
        <f>+Resumen!H412</f>
        <v>9667795.3489086162</v>
      </c>
      <c r="J109" s="712">
        <f>+Resumen!O412</f>
        <v>380215.4427337689</v>
      </c>
      <c r="K109" s="712">
        <f>+Resumen!R412</f>
        <v>7548107.8408110244</v>
      </c>
      <c r="L109" s="712">
        <f>+Resumen!V412</f>
        <v>0</v>
      </c>
      <c r="M109" s="712">
        <f>+Resumen!Y412</f>
        <v>107453.13783461333</v>
      </c>
      <c r="N109" s="712">
        <f>+Resumen!Z412</f>
        <v>352623.88290566765</v>
      </c>
      <c r="O109" s="736"/>
      <c r="P109" s="713">
        <f>+Resumen!AB412</f>
        <v>-38541416.65862219</v>
      </c>
      <c r="Q109" s="714">
        <f t="shared" si="48"/>
        <v>17596118.632453408</v>
      </c>
      <c r="R109" s="715" t="s">
        <v>707</v>
      </c>
      <c r="S109" s="714">
        <f t="shared" si="43"/>
        <v>17596118.632453408</v>
      </c>
      <c r="T109" s="741" t="s">
        <v>718</v>
      </c>
      <c r="U109" s="735"/>
      <c r="V109" s="749"/>
      <c r="X109" s="738" t="str">
        <f t="shared" si="49"/>
        <v>R</v>
      </c>
    </row>
    <row r="110" spans="1:27">
      <c r="A110" s="710" t="str">
        <f t="shared" si="45"/>
        <v>REGIÓN CEAMSE Ensenada</v>
      </c>
      <c r="B110" s="711" t="str">
        <f>+Resumen!D413</f>
        <v>La Plata</v>
      </c>
      <c r="C110" s="735"/>
      <c r="D110" s="735"/>
      <c r="E110" s="735"/>
      <c r="F110" s="735"/>
      <c r="G110" s="735"/>
      <c r="H110" s="735"/>
      <c r="I110" s="712">
        <f>+Resumen!H413</f>
        <v>547034238.59801674</v>
      </c>
      <c r="J110" s="712">
        <f>+Resumen!O413</f>
        <v>6409001.9173146244</v>
      </c>
      <c r="K110" s="712">
        <f>+Resumen!R413</f>
        <v>126727944.29913142</v>
      </c>
      <c r="L110" s="712">
        <f>+Resumen!V413</f>
        <v>1473824.3154559999</v>
      </c>
      <c r="M110" s="712">
        <f>+Resumen!Y413</f>
        <v>537329.85903519997</v>
      </c>
      <c r="N110" s="712">
        <f>+Resumen!Z413</f>
        <v>10357347.536948781</v>
      </c>
      <c r="O110" s="736"/>
      <c r="P110" s="713">
        <f>+Resumen!AB413</f>
        <v>-2355579202.5167155</v>
      </c>
      <c r="Q110" s="714">
        <f t="shared" si="48"/>
        <v>681645009.12991881</v>
      </c>
      <c r="R110" s="715" t="s">
        <v>707</v>
      </c>
      <c r="S110" s="714">
        <f t="shared" si="43"/>
        <v>681645009.12991881</v>
      </c>
      <c r="T110" s="741" t="s">
        <v>718</v>
      </c>
      <c r="U110" s="735"/>
      <c r="V110" s="749"/>
      <c r="X110" s="738" t="str">
        <f t="shared" si="49"/>
        <v>R</v>
      </c>
    </row>
    <row r="111" spans="1:27">
      <c r="A111" s="722" t="str">
        <f>+Resumen!A420</f>
        <v>REGIÓN CEAMSE Ezeiza</v>
      </c>
      <c r="B111" s="711" t="str">
        <f>+Resumen!D420</f>
        <v>Marcos Paz</v>
      </c>
      <c r="C111" s="735"/>
      <c r="D111" s="735"/>
      <c r="E111" s="735"/>
      <c r="F111" s="735"/>
      <c r="G111" s="735"/>
      <c r="H111" s="735"/>
      <c r="I111" s="712">
        <f>+Resumen!H420</f>
        <v>5708677.3415990435</v>
      </c>
      <c r="J111" s="712">
        <f>+Resumen!O420</f>
        <v>586086.24956486642</v>
      </c>
      <c r="K111" s="712">
        <f>+Resumen!R420</f>
        <v>9488750.0953024328</v>
      </c>
      <c r="L111" s="712">
        <f>+Resumen!V420</f>
        <v>346063.72048000002</v>
      </c>
      <c r="M111" s="712">
        <f>+Resumen!Y420</f>
        <v>78642.416214719997</v>
      </c>
      <c r="N111" s="712">
        <f>+Resumen!Z420</f>
        <v>334292.11758682935</v>
      </c>
      <c r="O111" s="736"/>
      <c r="P111" s="713">
        <f>+Resumen!AB420</f>
        <v>-43400935.906540237</v>
      </c>
      <c r="Q111" s="714">
        <f t="shared" si="48"/>
        <v>16129577.406946344</v>
      </c>
      <c r="R111" s="715" t="s">
        <v>707</v>
      </c>
      <c r="S111" s="714">
        <f t="shared" si="43"/>
        <v>16129577.406946344</v>
      </c>
      <c r="T111" s="741" t="s">
        <v>718</v>
      </c>
      <c r="U111" s="735"/>
      <c r="V111" s="749"/>
      <c r="X111" s="738" t="str">
        <f t="shared" si="49"/>
        <v>R</v>
      </c>
    </row>
    <row r="112" spans="1:27">
      <c r="A112" s="710" t="str">
        <f t="shared" si="45"/>
        <v>REGIÓN CEAMSE Ezeiza</v>
      </c>
      <c r="B112" s="711" t="str">
        <f>+Resumen!D421</f>
        <v>San Vicente</v>
      </c>
      <c r="C112" s="735"/>
      <c r="D112" s="735"/>
      <c r="E112" s="735"/>
      <c r="F112" s="735"/>
      <c r="G112" s="735"/>
      <c r="H112" s="735"/>
      <c r="I112" s="712">
        <f>+Resumen!H421</f>
        <v>7452885.8226634106</v>
      </c>
      <c r="J112" s="712">
        <f>+Resumen!O421</f>
        <v>1057476.9092050411</v>
      </c>
      <c r="K112" s="712">
        <f>+Resumen!R421</f>
        <v>16780553.229686465</v>
      </c>
      <c r="L112" s="712">
        <f>+Resumen!V421</f>
        <v>0</v>
      </c>
      <c r="M112" s="712">
        <f>+Resumen!Y421</f>
        <v>111912.67628351998</v>
      </c>
      <c r="N112" s="712">
        <f>+Resumen!Z421</f>
        <v>448808.84951943648</v>
      </c>
      <c r="O112" s="736"/>
      <c r="P112" s="713">
        <f>+Resumen!AB421</f>
        <v>-62845920.609400034</v>
      </c>
      <c r="Q112" s="714">
        <f t="shared" si="48"/>
        <v>25290915.961554915</v>
      </c>
      <c r="R112" s="715" t="s">
        <v>707</v>
      </c>
      <c r="S112" s="714">
        <f t="shared" si="43"/>
        <v>25290915.961554915</v>
      </c>
      <c r="T112" s="741" t="s">
        <v>718</v>
      </c>
      <c r="U112" s="735"/>
      <c r="V112" s="749"/>
      <c r="X112" s="738" t="str">
        <f t="shared" si="49"/>
        <v>R</v>
      </c>
    </row>
    <row r="113" spans="1:24">
      <c r="A113" s="710" t="str">
        <f t="shared" si="45"/>
        <v>REGIÓN CEAMSE Ezeiza</v>
      </c>
      <c r="B113" s="711" t="str">
        <f>+Resumen!D422</f>
        <v>Cañuelas</v>
      </c>
      <c r="C113" s="735"/>
      <c r="D113" s="735"/>
      <c r="E113" s="735"/>
      <c r="F113" s="735"/>
      <c r="G113" s="735"/>
      <c r="H113" s="735"/>
      <c r="I113" s="712">
        <f>+Resumen!H422</f>
        <v>3795248.7970102071</v>
      </c>
      <c r="J113" s="712">
        <f>+Resumen!O422</f>
        <v>435774.97318183276</v>
      </c>
      <c r="K113" s="712">
        <f>+Resumen!R422</f>
        <v>6973290.7446873588</v>
      </c>
      <c r="L113" s="712">
        <f>+Resumen!V422</f>
        <v>0</v>
      </c>
      <c r="M113" s="712">
        <f>+Resumen!Y422</f>
        <v>118702.96717378666</v>
      </c>
      <c r="N113" s="712">
        <f>+Resumen!Z422</f>
        <v>272726.3314359925</v>
      </c>
      <c r="O113" s="736"/>
      <c r="P113" s="713">
        <f>+Resumen!AB422</f>
        <v>-28532461.930773582</v>
      </c>
      <c r="Q113" s="714">
        <f t="shared" si="48"/>
        <v>11204314.514879398</v>
      </c>
      <c r="R113" s="715" t="s">
        <v>707</v>
      </c>
      <c r="S113" s="714">
        <f t="shared" si="43"/>
        <v>11204314.514879398</v>
      </c>
      <c r="T113" s="741" t="s">
        <v>718</v>
      </c>
      <c r="U113" s="735"/>
      <c r="V113" s="749"/>
      <c r="X113" s="738" t="str">
        <f t="shared" si="49"/>
        <v>R</v>
      </c>
    </row>
    <row r="114" spans="1:24">
      <c r="A114" s="710" t="str">
        <f t="shared" si="45"/>
        <v>REGIÓN CEAMSE Ezeiza</v>
      </c>
      <c r="B114" s="711" t="str">
        <f>+Resumen!D423</f>
        <v>Ezeiza</v>
      </c>
      <c r="C114" s="735"/>
      <c r="D114" s="735"/>
      <c r="E114" s="735"/>
      <c r="F114" s="735"/>
      <c r="G114" s="735"/>
      <c r="H114" s="735"/>
      <c r="I114" s="712">
        <f>+Resumen!H423</f>
        <v>7421177.0210140664</v>
      </c>
      <c r="J114" s="712">
        <f>+Resumen!O423</f>
        <v>1958010.1672482598</v>
      </c>
      <c r="K114" s="712">
        <f>+Resumen!R423</f>
        <v>31652627.399123743</v>
      </c>
      <c r="L114" s="712">
        <f>+Resumen!V423</f>
        <v>0</v>
      </c>
      <c r="M114" s="712">
        <f>+Resumen!Y423</f>
        <v>229850.81961407996</v>
      </c>
      <c r="N114" s="712">
        <f>+Resumen!Z423</f>
        <v>645570.08234232594</v>
      </c>
      <c r="O114" s="736"/>
      <c r="P114" s="713">
        <f>+Resumen!AB423</f>
        <v>-75393300.262849063</v>
      </c>
      <c r="Q114" s="714">
        <f t="shared" si="48"/>
        <v>41031814.587386072</v>
      </c>
      <c r="R114" s="715" t="s">
        <v>707</v>
      </c>
      <c r="S114" s="714">
        <f t="shared" si="43"/>
        <v>41031814.587386072</v>
      </c>
      <c r="T114" s="741" t="s">
        <v>718</v>
      </c>
      <c r="U114" s="735"/>
      <c r="V114" s="749"/>
      <c r="X114" s="738" t="str">
        <f t="shared" si="49"/>
        <v>R</v>
      </c>
    </row>
    <row r="115" spans="1:24">
      <c r="A115" s="722" t="str">
        <f>+Resumen!A430</f>
        <v>REGIÓN CEAMSE González Catán</v>
      </c>
      <c r="B115" s="711" t="str">
        <f>+Resumen!D430</f>
        <v>La Matanza</v>
      </c>
      <c r="C115" s="735"/>
      <c r="D115" s="735"/>
      <c r="E115" s="735"/>
      <c r="F115" s="735"/>
      <c r="G115" s="735"/>
      <c r="H115" s="735"/>
      <c r="I115" s="712">
        <f>+Resumen!H430</f>
        <v>110890390.57221866</v>
      </c>
      <c r="J115" s="712">
        <f>+Resumen!O430</f>
        <v>16773406.04672</v>
      </c>
      <c r="K115" s="712">
        <f>+Resumen!R430</f>
        <v>354729598.93360001</v>
      </c>
      <c r="L115" s="712">
        <f>+Resumen!V430</f>
        <v>27583314.191199999</v>
      </c>
      <c r="M115" s="712">
        <f>+Resumen!Y430</f>
        <v>1731632.9950751995</v>
      </c>
      <c r="N115" s="712">
        <f>+Resumen!Z430</f>
        <v>7782323.0461560795</v>
      </c>
      <c r="O115" s="736"/>
      <c r="P115" s="713">
        <f>+Resumen!AB430</f>
        <v>-796883483.52202713</v>
      </c>
      <c r="Q115" s="714">
        <f t="shared" si="48"/>
        <v>509976709.74373865</v>
      </c>
      <c r="R115" s="715" t="s">
        <v>707</v>
      </c>
      <c r="S115" s="714">
        <f t="shared" si="43"/>
        <v>509976709.74373865</v>
      </c>
      <c r="T115" s="741" t="s">
        <v>718</v>
      </c>
      <c r="U115" s="735"/>
      <c r="V115" s="749"/>
      <c r="X115" s="738" t="str">
        <f t="shared" si="49"/>
        <v>R</v>
      </c>
    </row>
    <row r="116" spans="1:24">
      <c r="A116" s="722" t="str">
        <f>+Resumen!A437</f>
        <v>REGIÓN CEAMSE Norte III</v>
      </c>
      <c r="B116" s="711" t="str">
        <f>+Resumen!D437</f>
        <v>Almirante Brown</v>
      </c>
      <c r="C116" s="735"/>
      <c r="D116" s="735"/>
      <c r="E116" s="735"/>
      <c r="F116" s="735"/>
      <c r="G116" s="735"/>
      <c r="H116" s="735"/>
      <c r="I116" s="712">
        <f>+Resumen!H437</f>
        <v>32732212.010355521</v>
      </c>
      <c r="J116" s="712">
        <f>+Resumen!O437</f>
        <v>3893071.101716164</v>
      </c>
      <c r="K116" s="712">
        <f>+Resumen!R437</f>
        <v>91494899.097925946</v>
      </c>
      <c r="L116" s="712">
        <f>+Resumen!V437</f>
        <v>5374166.0121600004</v>
      </c>
      <c r="M116" s="712">
        <f>+Resumen!Y437</f>
        <v>512586.28624319995</v>
      </c>
      <c r="N116" s="712">
        <f>+Resumen!Z437</f>
        <v>2135087.6233323645</v>
      </c>
      <c r="O116" s="736"/>
      <c r="P116" s="713">
        <f>+Resumen!AB437</f>
        <v>-277628321.27035338</v>
      </c>
      <c r="Q116" s="714">
        <f t="shared" si="48"/>
        <v>133494348.22215763</v>
      </c>
      <c r="R116" s="715" t="s">
        <v>707</v>
      </c>
      <c r="S116" s="714">
        <f t="shared" si="43"/>
        <v>133494348.22215763</v>
      </c>
      <c r="T116" s="741" t="s">
        <v>718</v>
      </c>
      <c r="U116" s="735"/>
      <c r="V116" s="749"/>
      <c r="X116" s="738" t="str">
        <f t="shared" si="49"/>
        <v>R</v>
      </c>
    </row>
    <row r="117" spans="1:24">
      <c r="A117" s="710" t="str">
        <f t="shared" ref="A117:A142" si="50">+A116</f>
        <v>REGIÓN CEAMSE Norte III</v>
      </c>
      <c r="B117" s="711" t="str">
        <f>+Resumen!D438</f>
        <v>Avellaneda</v>
      </c>
      <c r="C117" s="735"/>
      <c r="D117" s="735"/>
      <c r="E117" s="735"/>
      <c r="F117" s="735"/>
      <c r="G117" s="735"/>
      <c r="H117" s="735"/>
      <c r="I117" s="712">
        <f>+Resumen!H438</f>
        <v>17420215.635439668</v>
      </c>
      <c r="J117" s="712">
        <f>+Resumen!O438</f>
        <v>2496537.5686672269</v>
      </c>
      <c r="K117" s="712">
        <f>+Resumen!R438</f>
        <v>56165655.771857142</v>
      </c>
      <c r="L117" s="712">
        <f>+Resumen!V438</f>
        <v>175067.52918400001</v>
      </c>
      <c r="M117" s="712">
        <f>+Resumen!Y438</f>
        <v>389459.95459487999</v>
      </c>
      <c r="N117" s="712">
        <f>+Resumen!Z438</f>
        <v>1276534.5475772205</v>
      </c>
      <c r="O117" s="736"/>
      <c r="P117" s="713">
        <f>+Resumen!AB438</f>
        <v>-154847029.25171933</v>
      </c>
      <c r="Q117" s="714">
        <f t="shared" si="48"/>
        <v>76257476.505148038</v>
      </c>
      <c r="R117" s="715" t="s">
        <v>707</v>
      </c>
      <c r="S117" s="714">
        <f t="shared" si="43"/>
        <v>76257476.505148038</v>
      </c>
      <c r="T117" s="741" t="s">
        <v>718</v>
      </c>
      <c r="U117" s="735"/>
      <c r="V117" s="749"/>
      <c r="X117" s="738" t="str">
        <f t="shared" si="49"/>
        <v>R</v>
      </c>
    </row>
    <row r="118" spans="1:24">
      <c r="A118" s="710" t="str">
        <f t="shared" si="50"/>
        <v>REGIÓN CEAMSE Norte III</v>
      </c>
      <c r="B118" s="711" t="str">
        <f>+Resumen!D439</f>
        <v>Berazategui</v>
      </c>
      <c r="C118" s="735"/>
      <c r="D118" s="735"/>
      <c r="E118" s="735"/>
      <c r="F118" s="735"/>
      <c r="G118" s="735"/>
      <c r="H118" s="735"/>
      <c r="I118" s="712">
        <f>+Resumen!H439</f>
        <v>18571346.68167226</v>
      </c>
      <c r="J118" s="712">
        <f>+Resumen!O439</f>
        <v>2595717.2063974668</v>
      </c>
      <c r="K118" s="712">
        <f>+Resumen!R439</f>
        <v>58234023.176028766</v>
      </c>
      <c r="L118" s="712">
        <f>+Resumen!V439</f>
        <v>3501350.5836800002</v>
      </c>
      <c r="M118" s="712">
        <f>+Resumen!Y439</f>
        <v>480512.78475552</v>
      </c>
      <c r="N118" s="712">
        <f>+Resumen!Z439</f>
        <v>1376208.9647166773</v>
      </c>
      <c r="O118" s="736"/>
      <c r="P118" s="713">
        <f>+Resumen!AB439</f>
        <v>-161712955.75119099</v>
      </c>
      <c r="Q118" s="714">
        <f t="shared" si="48"/>
        <v>82902437.647778496</v>
      </c>
      <c r="R118" s="715" t="s">
        <v>707</v>
      </c>
      <c r="S118" s="714">
        <f t="shared" si="43"/>
        <v>82902437.647778496</v>
      </c>
      <c r="T118" s="741" t="s">
        <v>718</v>
      </c>
      <c r="U118" s="735"/>
      <c r="V118" s="749"/>
      <c r="X118" s="738" t="str">
        <f t="shared" si="49"/>
        <v>R</v>
      </c>
    </row>
    <row r="119" spans="1:24">
      <c r="A119" s="710" t="str">
        <f t="shared" si="50"/>
        <v>REGIÓN CEAMSE Norte III</v>
      </c>
      <c r="B119" s="711" t="str">
        <f>+Resumen!D440</f>
        <v>Escobar</v>
      </c>
      <c r="C119" s="735"/>
      <c r="D119" s="735"/>
      <c r="E119" s="735"/>
      <c r="F119" s="735"/>
      <c r="G119" s="735"/>
      <c r="H119" s="735"/>
      <c r="I119" s="712">
        <f>+Resumen!H440</f>
        <v>9583011.1589948647</v>
      </c>
      <c r="J119" s="712">
        <f>+Resumen!O440</f>
        <v>1464131.4929098422</v>
      </c>
      <c r="K119" s="712">
        <f>+Resumen!R440</f>
        <v>32606985.553941276</v>
      </c>
      <c r="L119" s="712">
        <f>+Resumen!V440</f>
        <v>3419923.8259200002</v>
      </c>
      <c r="M119" s="712">
        <f>+Resumen!Y440</f>
        <v>372812.50807488</v>
      </c>
      <c r="N119" s="712">
        <f>+Resumen!Z440</f>
        <v>721098.05039707478</v>
      </c>
      <c r="O119" s="736"/>
      <c r="P119" s="713">
        <f>+Resumen!AB440</f>
        <v>-84043273.195160657</v>
      </c>
      <c r="Q119" s="714">
        <f t="shared" si="48"/>
        <v>47074052.031765983</v>
      </c>
      <c r="R119" s="715" t="s">
        <v>707</v>
      </c>
      <c r="S119" s="714">
        <f t="shared" si="43"/>
        <v>47074052.031765983</v>
      </c>
      <c r="T119" s="741" t="s">
        <v>718</v>
      </c>
      <c r="U119" s="735"/>
      <c r="V119" s="749"/>
      <c r="X119" s="738" t="str">
        <f t="shared" si="49"/>
        <v>R</v>
      </c>
    </row>
    <row r="120" spans="1:24">
      <c r="A120" s="710" t="str">
        <f t="shared" si="50"/>
        <v>REGIÓN CEAMSE Norte III</v>
      </c>
      <c r="B120" s="711" t="str">
        <f>+Resumen!D441</f>
        <v>Esteban Echeverría</v>
      </c>
      <c r="C120" s="735"/>
      <c r="D120" s="735"/>
      <c r="E120" s="735"/>
      <c r="F120" s="735"/>
      <c r="G120" s="735"/>
      <c r="H120" s="735"/>
      <c r="I120" s="712">
        <f>+Resumen!H441</f>
        <v>18972545.37604969</v>
      </c>
      <c r="J120" s="712">
        <f>+Resumen!O441</f>
        <v>2633504.5280084587</v>
      </c>
      <c r="K120" s="712">
        <f>+Resumen!R441</f>
        <v>58817918.903037779</v>
      </c>
      <c r="L120" s="712">
        <f>+Resumen!V441</f>
        <v>0</v>
      </c>
      <c r="M120" s="712">
        <f>+Resumen!Y441</f>
        <v>342267.05843999999</v>
      </c>
      <c r="N120" s="712">
        <f>+Resumen!Z441</f>
        <v>1339031.9321064388</v>
      </c>
      <c r="O120" s="736"/>
      <c r="P120" s="713">
        <f>+Resumen!AB441</f>
        <v>-165201416.00010636</v>
      </c>
      <c r="Q120" s="714">
        <f t="shared" si="48"/>
        <v>80423968.80709593</v>
      </c>
      <c r="R120" s="715" t="s">
        <v>707</v>
      </c>
      <c r="S120" s="714">
        <f t="shared" si="43"/>
        <v>80423968.80709593</v>
      </c>
      <c r="T120" s="741" t="s">
        <v>718</v>
      </c>
      <c r="U120" s="735"/>
      <c r="V120" s="749"/>
      <c r="X120" s="738" t="str">
        <f t="shared" si="49"/>
        <v>R</v>
      </c>
    </row>
    <row r="121" spans="1:24">
      <c r="A121" s="710" t="str">
        <f t="shared" si="50"/>
        <v>REGIÓN CEAMSE Norte III</v>
      </c>
      <c r="B121" s="711" t="str">
        <f>+Resumen!D442</f>
        <v>Florencio Varela</v>
      </c>
      <c r="C121" s="735"/>
      <c r="D121" s="735"/>
      <c r="E121" s="735"/>
      <c r="F121" s="735"/>
      <c r="G121" s="735"/>
      <c r="H121" s="735"/>
      <c r="I121" s="712">
        <f>+Resumen!H442</f>
        <v>23010060.037003744</v>
      </c>
      <c r="J121" s="712">
        <f>+Resumen!O442</f>
        <v>3967910.8914992539</v>
      </c>
      <c r="K121" s="712">
        <f>+Resumen!R442</f>
        <v>89128193.98820965</v>
      </c>
      <c r="L121" s="712">
        <f>+Resumen!V442</f>
        <v>2874364.548928</v>
      </c>
      <c r="M121" s="712">
        <f>+Resumen!Y442</f>
        <v>402056.93301119993</v>
      </c>
      <c r="N121" s="712">
        <f>+Resumen!Z442</f>
        <v>1917380.3419846094</v>
      </c>
      <c r="O121" s="736"/>
      <c r="P121" s="713">
        <f>+Resumen!AB442</f>
        <v>-203865359.61289877</v>
      </c>
      <c r="Q121" s="714">
        <f t="shared" si="48"/>
        <v>118980529.46564063</v>
      </c>
      <c r="R121" s="715" t="s">
        <v>707</v>
      </c>
      <c r="S121" s="714">
        <f t="shared" si="43"/>
        <v>118980529.46564063</v>
      </c>
      <c r="T121" s="741" t="s">
        <v>718</v>
      </c>
      <c r="U121" s="735"/>
      <c r="V121" s="749"/>
      <c r="X121" s="738" t="str">
        <f t="shared" si="49"/>
        <v>R</v>
      </c>
    </row>
    <row r="122" spans="1:24">
      <c r="A122" s="710" t="str">
        <f t="shared" si="50"/>
        <v>REGIÓN CEAMSE Norte III</v>
      </c>
      <c r="B122" s="711" t="str">
        <f>+Resumen!D443</f>
        <v>General Rodríguez</v>
      </c>
      <c r="C122" s="735"/>
      <c r="D122" s="735"/>
      <c r="E122" s="735"/>
      <c r="F122" s="735"/>
      <c r="G122" s="735"/>
      <c r="H122" s="735"/>
      <c r="I122" s="712">
        <f>+Resumen!H443</f>
        <v>4271986.3854850344</v>
      </c>
      <c r="J122" s="712">
        <f>+Resumen!O443</f>
        <v>903799.26430967124</v>
      </c>
      <c r="K122" s="712">
        <f>+Resumen!R443</f>
        <v>19726536.562504232</v>
      </c>
      <c r="L122" s="712">
        <f>+Resumen!V443</f>
        <v>0</v>
      </c>
      <c r="M122" s="712">
        <f>+Resumen!Y443</f>
        <v>150361.51377311998</v>
      </c>
      <c r="N122" s="712">
        <f>+Resumen!Z443</f>
        <v>443951.42765373667</v>
      </c>
      <c r="O122" s="736"/>
      <c r="P122" s="713">
        <f>+Resumen!AB443</f>
        <v>-39528503.472620159</v>
      </c>
      <c r="Q122" s="714">
        <f t="shared" si="48"/>
        <v>24902322.212298937</v>
      </c>
      <c r="R122" s="715" t="s">
        <v>707</v>
      </c>
      <c r="S122" s="714">
        <f t="shared" si="43"/>
        <v>24902322.212298937</v>
      </c>
      <c r="T122" s="741" t="s">
        <v>718</v>
      </c>
      <c r="U122" s="735"/>
      <c r="V122" s="749"/>
      <c r="X122" s="738" t="str">
        <f t="shared" si="49"/>
        <v>R</v>
      </c>
    </row>
    <row r="123" spans="1:24">
      <c r="A123" s="710" t="str">
        <f t="shared" si="50"/>
        <v>REGIÓN CEAMSE Norte III</v>
      </c>
      <c r="B123" s="711" t="str">
        <f>+Resumen!D444</f>
        <v>General San Martín</v>
      </c>
      <c r="C123" s="735"/>
      <c r="D123" s="735"/>
      <c r="E123" s="735"/>
      <c r="F123" s="735"/>
      <c r="G123" s="735"/>
      <c r="H123" s="735"/>
      <c r="I123" s="712">
        <f>+Resumen!H444</f>
        <v>8761968.0650463533</v>
      </c>
      <c r="J123" s="712">
        <f>+Resumen!O444</f>
        <v>2832943.4949719841</v>
      </c>
      <c r="K123" s="712">
        <f>+Resumen!R444</f>
        <v>63980541.371533841</v>
      </c>
      <c r="L123" s="712">
        <f>+Resumen!V444</f>
        <v>11399746.0864</v>
      </c>
      <c r="M123" s="712">
        <f>+Resumen!Y444</f>
        <v>313192.86124400009</v>
      </c>
      <c r="N123" s="712">
        <f>+Resumen!Z444</f>
        <v>1437300.3852692824</v>
      </c>
      <c r="O123" s="736"/>
      <c r="P123" s="713">
        <f>+Resumen!AB444</f>
        <v>-97151160.632150322</v>
      </c>
      <c r="Q123" s="714">
        <f t="shared" si="48"/>
        <v>86975199.017952174</v>
      </c>
      <c r="R123" s="715" t="s">
        <v>707</v>
      </c>
      <c r="S123" s="714">
        <f t="shared" si="43"/>
        <v>86975199.017952174</v>
      </c>
      <c r="T123" s="741" t="s">
        <v>718</v>
      </c>
      <c r="U123" s="735"/>
      <c r="V123" s="749"/>
      <c r="X123" s="738" t="str">
        <f t="shared" si="49"/>
        <v>R</v>
      </c>
    </row>
    <row r="124" spans="1:24">
      <c r="A124" s="710" t="str">
        <f t="shared" si="50"/>
        <v>REGIÓN CEAMSE Norte III</v>
      </c>
      <c r="B124" s="711" t="str">
        <f>+Resumen!D445</f>
        <v>Hurlingham</v>
      </c>
      <c r="C124" s="735"/>
      <c r="D124" s="735"/>
      <c r="E124" s="735"/>
      <c r="F124" s="735"/>
      <c r="G124" s="735"/>
      <c r="H124" s="735"/>
      <c r="I124" s="712">
        <f>+Resumen!H445</f>
        <v>7351375.3551308475</v>
      </c>
      <c r="J124" s="712">
        <f>+Resumen!O445</f>
        <v>860891.74293735169</v>
      </c>
      <c r="K124" s="712">
        <f>+Resumen!R445</f>
        <v>19507235.732914783</v>
      </c>
      <c r="L124" s="712">
        <f>+Resumen!V445</f>
        <v>1734389.940288</v>
      </c>
      <c r="M124" s="712">
        <f>+Resumen!Y445</f>
        <v>211577.67775872003</v>
      </c>
      <c r="N124" s="712">
        <f>+Resumen!Z445</f>
        <v>500846.05964088731</v>
      </c>
      <c r="O124" s="736"/>
      <c r="P124" s="713">
        <f>+Resumen!AB445</f>
        <v>-59900580.663969219</v>
      </c>
      <c r="Q124" s="714">
        <f t="shared" si="48"/>
        <v>29453892.771270983</v>
      </c>
      <c r="R124" s="715" t="s">
        <v>707</v>
      </c>
      <c r="S124" s="714">
        <f t="shared" si="43"/>
        <v>29453892.771270983</v>
      </c>
      <c r="T124" s="741" t="s">
        <v>718</v>
      </c>
      <c r="U124" s="735"/>
      <c r="V124" s="749"/>
      <c r="X124" s="738" t="str">
        <f t="shared" si="49"/>
        <v>R</v>
      </c>
    </row>
    <row r="125" spans="1:24">
      <c r="A125" s="710" t="str">
        <f t="shared" si="50"/>
        <v>REGIÓN CEAMSE Norte III</v>
      </c>
      <c r="B125" s="711" t="str">
        <f>+Resumen!D446</f>
        <v>Ituzaingó</v>
      </c>
      <c r="C125" s="735"/>
      <c r="D125" s="735"/>
      <c r="E125" s="735"/>
      <c r="F125" s="735"/>
      <c r="G125" s="735"/>
      <c r="H125" s="735"/>
      <c r="I125" s="712">
        <f>+Resumen!H446</f>
        <v>7109958.4871485</v>
      </c>
      <c r="J125" s="712">
        <f>+Resumen!O446</f>
        <v>860662.93042319117</v>
      </c>
      <c r="K125" s="712">
        <f>+Resumen!R446</f>
        <v>19412885.232120208</v>
      </c>
      <c r="L125" s="712">
        <f>+Resumen!V446</f>
        <v>0</v>
      </c>
      <c r="M125" s="712">
        <f>+Resumen!Y446</f>
        <v>174244.43119103997</v>
      </c>
      <c r="N125" s="712">
        <f>+Resumen!Z446</f>
        <v>474966.23312114878</v>
      </c>
      <c r="O125" s="736"/>
      <c r="P125" s="713">
        <f>+Resumen!AB446</f>
        <v>-57709199.864037886</v>
      </c>
      <c r="Q125" s="714">
        <f t="shared" si="48"/>
        <v>27383506.649691898</v>
      </c>
      <c r="R125" s="715" t="s">
        <v>707</v>
      </c>
      <c r="S125" s="714">
        <f t="shared" si="43"/>
        <v>27383506.649691898</v>
      </c>
      <c r="T125" s="741" t="s">
        <v>718</v>
      </c>
      <c r="U125" s="735"/>
      <c r="V125" s="749"/>
      <c r="X125" s="738" t="str">
        <f t="shared" si="49"/>
        <v>R</v>
      </c>
    </row>
    <row r="126" spans="1:24">
      <c r="A126" s="710" t="str">
        <f t="shared" si="50"/>
        <v>REGIÓN CEAMSE Norte III</v>
      </c>
      <c r="B126" s="711" t="str">
        <f>+Resumen!D447</f>
        <v>José C. Paz</v>
      </c>
      <c r="C126" s="735"/>
      <c r="D126" s="735"/>
      <c r="E126" s="735"/>
      <c r="F126" s="735"/>
      <c r="G126" s="735"/>
      <c r="H126" s="735"/>
      <c r="I126" s="712">
        <f>+Resumen!H447</f>
        <v>14130888.024814233</v>
      </c>
      <c r="J126" s="712">
        <f>+Resumen!O447</f>
        <v>2433665.8153580073</v>
      </c>
      <c r="K126" s="712">
        <f>+Resumen!R447</f>
        <v>54090435.515497081</v>
      </c>
      <c r="L126" s="712">
        <f>+Resumen!V447</f>
        <v>4274904.7823999999</v>
      </c>
      <c r="M126" s="712">
        <f>+Resumen!Y447</f>
        <v>444734.64592703996</v>
      </c>
      <c r="N126" s="712">
        <f>+Resumen!Z447</f>
        <v>1256620.8120710396</v>
      </c>
      <c r="O126" s="736"/>
      <c r="P126" s="713">
        <f>+Resumen!AB447</f>
        <v>-129216953.86798021</v>
      </c>
      <c r="Q126" s="714">
        <f t="shared" si="48"/>
        <v>74929894.138069317</v>
      </c>
      <c r="R126" s="715" t="s">
        <v>707</v>
      </c>
      <c r="S126" s="714">
        <f t="shared" si="43"/>
        <v>74929894.138069317</v>
      </c>
      <c r="T126" s="741" t="s">
        <v>718</v>
      </c>
      <c r="U126" s="735"/>
      <c r="V126" s="749"/>
      <c r="X126" s="738" t="str">
        <f t="shared" si="49"/>
        <v>R</v>
      </c>
    </row>
    <row r="127" spans="1:24">
      <c r="A127" s="710" t="str">
        <f t="shared" si="50"/>
        <v>REGIÓN CEAMSE Norte III</v>
      </c>
      <c r="B127" s="711" t="str">
        <f>+Resumen!D448</f>
        <v>Lanús</v>
      </c>
      <c r="C127" s="735"/>
      <c r="D127" s="735"/>
      <c r="E127" s="735"/>
      <c r="F127" s="735"/>
      <c r="G127" s="735"/>
      <c r="H127" s="735"/>
      <c r="I127" s="712">
        <f>+Resumen!H448</f>
        <v>14835598.799992628</v>
      </c>
      <c r="J127" s="712">
        <f>+Resumen!O448</f>
        <v>2659353.9109324371</v>
      </c>
      <c r="K127" s="712">
        <f>+Resumen!R448</f>
        <v>60730185.070268318</v>
      </c>
      <c r="L127" s="712">
        <f>+Resumen!V448</f>
        <v>382705.76147199998</v>
      </c>
      <c r="M127" s="712">
        <f>+Resumen!Y448</f>
        <v>485121.16946591996</v>
      </c>
      <c r="N127" s="712">
        <f>+Resumen!Z448</f>
        <v>1311790.0531399804</v>
      </c>
      <c r="O127" s="736"/>
      <c r="P127" s="713">
        <f>+Resumen!AB448</f>
        <v>-143619442.35154411</v>
      </c>
      <c r="Q127" s="714">
        <f t="shared" si="48"/>
        <v>78607843.542665377</v>
      </c>
      <c r="R127" s="715" t="s">
        <v>707</v>
      </c>
      <c r="S127" s="714">
        <f t="shared" si="43"/>
        <v>78607843.542665377</v>
      </c>
      <c r="T127" s="741" t="s">
        <v>718</v>
      </c>
      <c r="U127" s="735"/>
      <c r="V127" s="749"/>
      <c r="X127" s="738" t="str">
        <f t="shared" si="49"/>
        <v>R</v>
      </c>
    </row>
    <row r="128" spans="1:24">
      <c r="A128" s="710" t="str">
        <f t="shared" si="50"/>
        <v>REGIÓN CEAMSE Norte III</v>
      </c>
      <c r="B128" s="711" t="str">
        <f>+Resumen!D449</f>
        <v>Lomas de Zamora</v>
      </c>
      <c r="C128" s="735"/>
      <c r="D128" s="735"/>
      <c r="E128" s="735"/>
      <c r="F128" s="735"/>
      <c r="G128" s="735"/>
      <c r="H128" s="735"/>
      <c r="I128" s="712">
        <f>+Resumen!H449</f>
        <v>23183431.930300884</v>
      </c>
      <c r="J128" s="712">
        <f>+Resumen!O449</f>
        <v>4214757.8938955106</v>
      </c>
      <c r="K128" s="712">
        <f>+Resumen!R449</f>
        <v>101154765.60953009</v>
      </c>
      <c r="L128" s="712">
        <f>+Resumen!V449</f>
        <v>0</v>
      </c>
      <c r="M128" s="712">
        <f>+Resumen!Y449</f>
        <v>436152.55465599993</v>
      </c>
      <c r="N128" s="712">
        <f>+Resumen!Z449</f>
        <v>2060966.7315058971</v>
      </c>
      <c r="O128" s="736"/>
      <c r="P128" s="713">
        <f>+Resumen!AB449</f>
        <v>-223621452.74325377</v>
      </c>
      <c r="Q128" s="714">
        <f t="shared" si="48"/>
        <v>128552955.43372649</v>
      </c>
      <c r="R128" s="715" t="s">
        <v>707</v>
      </c>
      <c r="S128" s="714">
        <f t="shared" si="43"/>
        <v>128552955.43372649</v>
      </c>
      <c r="T128" s="741" t="s">
        <v>718</v>
      </c>
      <c r="U128" s="735"/>
      <c r="V128" s="749"/>
      <c r="X128" s="738" t="str">
        <f t="shared" si="49"/>
        <v>R</v>
      </c>
    </row>
    <row r="129" spans="1:24">
      <c r="A129" s="710" t="str">
        <f t="shared" si="50"/>
        <v>REGIÓN CEAMSE Norte III</v>
      </c>
      <c r="B129" s="711" t="str">
        <f>+Resumen!D450</f>
        <v>Malvinas Argentinas</v>
      </c>
      <c r="C129" s="735"/>
      <c r="D129" s="735"/>
      <c r="E129" s="735"/>
      <c r="F129" s="735"/>
      <c r="G129" s="735"/>
      <c r="H129" s="735"/>
      <c r="I129" s="712">
        <f>+Resumen!H450</f>
        <v>13056695.452998184</v>
      </c>
      <c r="J129" s="712">
        <f>+Resumen!O450</f>
        <v>2607007.8584208079</v>
      </c>
      <c r="K129" s="712">
        <f>+Resumen!R450</f>
        <v>58350706.092081897</v>
      </c>
      <c r="L129" s="712">
        <f>+Resumen!V450</f>
        <v>11069967.717472</v>
      </c>
      <c r="M129" s="712">
        <f>+Resumen!Y450</f>
        <v>307793.95558080002</v>
      </c>
      <c r="N129" s="712">
        <f>+Resumen!Z450</f>
        <v>1408938.0568145933</v>
      </c>
      <c r="O129" s="736"/>
      <c r="P129" s="713">
        <f>+Resumen!AB450</f>
        <v>-128427346.2905153</v>
      </c>
      <c r="Q129" s="714">
        <f t="shared" si="48"/>
        <v>85084377.120972887</v>
      </c>
      <c r="R129" s="715" t="s">
        <v>707</v>
      </c>
      <c r="S129" s="714">
        <f t="shared" si="43"/>
        <v>85084377.120972887</v>
      </c>
      <c r="T129" s="741" t="s">
        <v>718</v>
      </c>
      <c r="U129" s="735"/>
      <c r="V129" s="749"/>
      <c r="X129" s="738" t="str">
        <f t="shared" si="49"/>
        <v>R</v>
      </c>
    </row>
    <row r="130" spans="1:24">
      <c r="A130" s="710" t="str">
        <f t="shared" si="50"/>
        <v>REGIÓN CEAMSE Norte III</v>
      </c>
      <c r="B130" s="711" t="str">
        <f>+Resumen!D451</f>
        <v>Merlo</v>
      </c>
      <c r="C130" s="735"/>
      <c r="D130" s="735"/>
      <c r="E130" s="735"/>
      <c r="F130" s="735"/>
      <c r="G130" s="735"/>
      <c r="H130" s="735"/>
      <c r="I130" s="712">
        <f>+Resumen!H451</f>
        <v>20572475.399494164</v>
      </c>
      <c r="J130" s="712">
        <f>+Resumen!O451</f>
        <v>4308055.125906379</v>
      </c>
      <c r="K130" s="712">
        <f>+Resumen!R451</f>
        <v>96583418.282113776</v>
      </c>
      <c r="L130" s="712">
        <f>+Resumen!V451</f>
        <v>321635.69315200002</v>
      </c>
      <c r="M130" s="712">
        <f>+Resumen!Y451</f>
        <v>443021.16029759997</v>
      </c>
      <c r="N130" s="712">
        <f>+Resumen!Z451</f>
        <v>1959456.1675099945</v>
      </c>
      <c r="O130" s="736"/>
      <c r="P130" s="713">
        <f>+Resumen!AB451</f>
        <v>-203382428.73350304</v>
      </c>
      <c r="Q130" s="714">
        <f t="shared" si="48"/>
        <v>121785584.50066631</v>
      </c>
      <c r="R130" s="715" t="s">
        <v>707</v>
      </c>
      <c r="S130" s="714">
        <f t="shared" si="43"/>
        <v>121785584.50066631</v>
      </c>
      <c r="T130" s="741" t="s">
        <v>718</v>
      </c>
      <c r="U130" s="735"/>
      <c r="V130" s="749"/>
      <c r="X130" s="738" t="str">
        <f t="shared" si="49"/>
        <v>R</v>
      </c>
    </row>
    <row r="131" spans="1:24">
      <c r="A131" s="710" t="str">
        <f t="shared" si="50"/>
        <v>REGIÓN CEAMSE Norte III</v>
      </c>
      <c r="B131" s="711" t="str">
        <f>+Resumen!D452</f>
        <v>Moreno</v>
      </c>
      <c r="C131" s="735"/>
      <c r="D131" s="735"/>
      <c r="E131" s="735"/>
      <c r="F131" s="735"/>
      <c r="G131" s="735"/>
      <c r="H131" s="735"/>
      <c r="I131" s="712">
        <f>+Resumen!H452</f>
        <v>14410683.99541441</v>
      </c>
      <c r="J131" s="712">
        <f>+Resumen!O452</f>
        <v>4561458.7859956911</v>
      </c>
      <c r="K131" s="712">
        <f>+Resumen!R452</f>
        <v>100842267.1033508</v>
      </c>
      <c r="L131" s="712">
        <f>+Resumen!V452</f>
        <v>663628.07574400003</v>
      </c>
      <c r="M131" s="712">
        <f>+Resumen!Y452</f>
        <v>438115.02623039996</v>
      </c>
      <c r="N131" s="712">
        <f>+Resumen!Z452</f>
        <v>1939842.9694075733</v>
      </c>
      <c r="O131" s="736"/>
      <c r="P131" s="713">
        <f>+Resumen!AB452</f>
        <v>-165561557.8966898</v>
      </c>
      <c r="Q131" s="714">
        <f t="shared" si="48"/>
        <v>120478037.9605049</v>
      </c>
      <c r="R131" s="715" t="s">
        <v>707</v>
      </c>
      <c r="S131" s="714">
        <f t="shared" si="43"/>
        <v>120478037.9605049</v>
      </c>
      <c r="T131" s="741" t="s">
        <v>718</v>
      </c>
      <c r="U131" s="735"/>
      <c r="V131" s="749"/>
      <c r="X131" s="738" t="str">
        <f t="shared" si="49"/>
        <v>R</v>
      </c>
    </row>
    <row r="132" spans="1:24">
      <c r="A132" s="710" t="str">
        <f t="shared" si="50"/>
        <v>REGIÓN CEAMSE Norte III</v>
      </c>
      <c r="B132" s="711" t="str">
        <f>+Resumen!D453</f>
        <v>Morón</v>
      </c>
      <c r="C132" s="735"/>
      <c r="D132" s="735"/>
      <c r="E132" s="735"/>
      <c r="F132" s="735"/>
      <c r="G132" s="735"/>
      <c r="H132" s="735"/>
      <c r="I132" s="712">
        <f>+Resumen!H453</f>
        <v>14905889.729685962</v>
      </c>
      <c r="J132" s="712">
        <f>+Resumen!O453</f>
        <v>2302053.456120485</v>
      </c>
      <c r="K132" s="712">
        <f>+Resumen!R453</f>
        <v>51840163.224308185</v>
      </c>
      <c r="L132" s="712">
        <f>+Resumen!V453</f>
        <v>793910.88815999997</v>
      </c>
      <c r="M132" s="712">
        <f>+Resumen!Y453</f>
        <v>310379.23302048008</v>
      </c>
      <c r="N132" s="712">
        <f>+Resumen!Z453</f>
        <v>1180302.6594741195</v>
      </c>
      <c r="O132" s="736"/>
      <c r="P132" s="713">
        <f>+Resumen!AB453</f>
        <v>-134367800.78684264</v>
      </c>
      <c r="Q132" s="714">
        <f t="shared" si="48"/>
        <v>69842017.298274636</v>
      </c>
      <c r="R132" s="715" t="s">
        <v>707</v>
      </c>
      <c r="S132" s="714">
        <f t="shared" si="43"/>
        <v>69842017.298274636</v>
      </c>
      <c r="T132" s="741" t="s">
        <v>718</v>
      </c>
      <c r="U132" s="735"/>
      <c r="V132" s="749"/>
      <c r="X132" s="738" t="str">
        <f t="shared" si="49"/>
        <v>R</v>
      </c>
    </row>
    <row r="133" spans="1:24">
      <c r="A133" s="710" t="str">
        <f t="shared" si="50"/>
        <v>REGIÓN CEAMSE Norte III</v>
      </c>
      <c r="B133" s="711" t="str">
        <f>+Resumen!D454</f>
        <v>Pilar</v>
      </c>
      <c r="C133" s="735"/>
      <c r="D133" s="735"/>
      <c r="E133" s="735"/>
      <c r="F133" s="735"/>
      <c r="G133" s="735"/>
      <c r="H133" s="735"/>
      <c r="I133" s="712">
        <f>+Resumen!H454</f>
        <v>11457910.354234627</v>
      </c>
      <c r="J133" s="712">
        <f>+Resumen!O454</f>
        <v>3114751.2029684098</v>
      </c>
      <c r="K133" s="712">
        <f>+Resumen!R454</f>
        <v>69115952.962761372</v>
      </c>
      <c r="L133" s="712">
        <f>+Resumen!V454</f>
        <v>4531399.069344</v>
      </c>
      <c r="M133" s="712">
        <f>+Resumen!Y454</f>
        <v>319075.31796480005</v>
      </c>
      <c r="N133" s="712">
        <f>+Resumen!Z454</f>
        <v>1455972.6038396261</v>
      </c>
      <c r="O133" s="736"/>
      <c r="P133" s="713">
        <f>+Resumen!AB454</f>
        <v>-121395058.16996747</v>
      </c>
      <c r="Q133" s="714">
        <f t="shared" si="48"/>
        <v>88220013.589308411</v>
      </c>
      <c r="R133" s="715" t="s">
        <v>707</v>
      </c>
      <c r="S133" s="714">
        <f t="shared" si="43"/>
        <v>88220013.589308411</v>
      </c>
      <c r="T133" s="741" t="s">
        <v>718</v>
      </c>
      <c r="U133" s="735"/>
      <c r="V133" s="749"/>
      <c r="X133" s="738" t="str">
        <f t="shared" si="49"/>
        <v>R</v>
      </c>
    </row>
    <row r="134" spans="1:24">
      <c r="A134" s="710" t="str">
        <f t="shared" si="50"/>
        <v>REGIÓN CEAMSE Norte III</v>
      </c>
      <c r="B134" s="711" t="str">
        <f>+Resumen!D455</f>
        <v>Presidente Perón</v>
      </c>
      <c r="C134" s="735"/>
      <c r="D134" s="735"/>
      <c r="E134" s="735"/>
      <c r="F134" s="735"/>
      <c r="G134" s="735"/>
      <c r="H134" s="735"/>
      <c r="I134" s="712">
        <f>+Resumen!H455</f>
        <v>5183411.709201593</v>
      </c>
      <c r="J134" s="712">
        <f>+Resumen!O455</f>
        <v>587023.64479454479</v>
      </c>
      <c r="K134" s="712">
        <f>+Resumen!R455</f>
        <v>13039845.036175516</v>
      </c>
      <c r="L134" s="712">
        <f>+Resumen!V455</f>
        <v>1221401.3663999999</v>
      </c>
      <c r="M134" s="712">
        <f>+Resumen!Y455</f>
        <v>140220.24067584003</v>
      </c>
      <c r="N134" s="712">
        <f>+Resumen!Z455</f>
        <v>383068.42195714568</v>
      </c>
      <c r="O134" s="736"/>
      <c r="P134" s="713">
        <f>+Resumen!AB455</f>
        <v>-40367339.857013732</v>
      </c>
      <c r="Q134" s="714">
        <f t="shared" si="48"/>
        <v>20031681.756571654</v>
      </c>
      <c r="R134" s="715" t="s">
        <v>707</v>
      </c>
      <c r="S134" s="714">
        <f t="shared" si="43"/>
        <v>20031681.756571654</v>
      </c>
      <c r="T134" s="741" t="s">
        <v>718</v>
      </c>
      <c r="U134" s="735"/>
      <c r="V134" s="749"/>
      <c r="X134" s="738" t="str">
        <f t="shared" si="49"/>
        <v>R</v>
      </c>
    </row>
    <row r="135" spans="1:24">
      <c r="A135" s="710" t="str">
        <f t="shared" si="50"/>
        <v>REGIÓN CEAMSE Norte III</v>
      </c>
      <c r="B135" s="711" t="str">
        <f>+Resumen!D456</f>
        <v>Quilmes</v>
      </c>
      <c r="C135" s="735"/>
      <c r="D135" s="735"/>
      <c r="E135" s="735"/>
      <c r="F135" s="735"/>
      <c r="G135" s="735"/>
      <c r="H135" s="735"/>
      <c r="I135" s="712">
        <f>+Resumen!H456</f>
        <v>26666182.785964727</v>
      </c>
      <c r="J135" s="712">
        <f>+Resumen!O456</f>
        <v>4201087.8153262297</v>
      </c>
      <c r="K135" s="712">
        <f>+Resumen!R456</f>
        <v>94666017.09183073</v>
      </c>
      <c r="L135" s="712">
        <f>+Resumen!V456</f>
        <v>1921671.4831359999</v>
      </c>
      <c r="M135" s="712">
        <f>+Resumen!Y456</f>
        <v>485141.29760960001</v>
      </c>
      <c r="N135" s="712">
        <f>+Resumen!Z456</f>
        <v>2044496.7876438652</v>
      </c>
      <c r="O135" s="736"/>
      <c r="P135" s="713">
        <f>+Resumen!AB456</f>
        <v>-239324255.43637729</v>
      </c>
      <c r="Q135" s="714">
        <f t="shared" si="48"/>
        <v>127454959.17625768</v>
      </c>
      <c r="R135" s="715" t="s">
        <v>707</v>
      </c>
      <c r="S135" s="714">
        <f t="shared" ref="S135:S154" si="51">+SUM(I135:L135)</f>
        <v>127454959.17625768</v>
      </c>
      <c r="T135" s="741" t="s">
        <v>718</v>
      </c>
      <c r="U135" s="735"/>
      <c r="V135" s="749"/>
      <c r="X135" s="738" t="str">
        <f t="shared" si="49"/>
        <v>R</v>
      </c>
    </row>
    <row r="136" spans="1:24">
      <c r="A136" s="710" t="str">
        <f t="shared" si="50"/>
        <v>REGIÓN CEAMSE Norte III</v>
      </c>
      <c r="B136" s="711" t="str">
        <f>+Resumen!D457</f>
        <v>San Fernando</v>
      </c>
      <c r="C136" s="735"/>
      <c r="D136" s="735"/>
      <c r="E136" s="735"/>
      <c r="F136" s="735"/>
      <c r="G136" s="735"/>
      <c r="H136" s="735"/>
      <c r="I136" s="712">
        <f>+Resumen!H457</f>
        <v>6105217.5053111622</v>
      </c>
      <c r="J136" s="712">
        <f>+Resumen!O457</f>
        <v>799093.59604493191</v>
      </c>
      <c r="K136" s="712">
        <f>+Resumen!R457</f>
        <v>18056239.031748708</v>
      </c>
      <c r="L136" s="712">
        <f>+Resumen!V457</f>
        <v>3704917.4780799998</v>
      </c>
      <c r="M136" s="712">
        <f>+Resumen!Y457</f>
        <v>229906.06208063997</v>
      </c>
      <c r="N136" s="712">
        <f>+Resumen!Z457</f>
        <v>490990.74513981002</v>
      </c>
      <c r="O136" s="736"/>
      <c r="P136" s="713">
        <f>+Resumen!AB457</f>
        <v>-50462721.933358833</v>
      </c>
      <c r="Q136" s="714">
        <f t="shared" si="48"/>
        <v>28665467.611184802</v>
      </c>
      <c r="R136" s="715" t="s">
        <v>707</v>
      </c>
      <c r="S136" s="714">
        <f t="shared" si="51"/>
        <v>28665467.611184802</v>
      </c>
      <c r="T136" s="741" t="s">
        <v>718</v>
      </c>
      <c r="U136" s="735"/>
      <c r="V136" s="749"/>
      <c r="X136" s="738" t="str">
        <f t="shared" si="49"/>
        <v>R</v>
      </c>
    </row>
    <row r="137" spans="1:24">
      <c r="A137" s="710" t="str">
        <f t="shared" si="50"/>
        <v>REGIÓN CEAMSE Norte III</v>
      </c>
      <c r="B137" s="711" t="str">
        <f>+Resumen!D458</f>
        <v>San Isidro</v>
      </c>
      <c r="C137" s="735"/>
      <c r="D137" s="735"/>
      <c r="E137" s="735"/>
      <c r="F137" s="735"/>
      <c r="G137" s="735"/>
      <c r="H137" s="735"/>
      <c r="I137" s="712">
        <f>+Resumen!H458</f>
        <v>6452109.2454956546</v>
      </c>
      <c r="J137" s="712">
        <f>+Resumen!O458</f>
        <v>1291068.5689895421</v>
      </c>
      <c r="K137" s="712">
        <f>+Resumen!R458</f>
        <v>29382946.91257564</v>
      </c>
      <c r="L137" s="712">
        <f>+Resumen!V458</f>
        <v>0</v>
      </c>
      <c r="M137" s="712">
        <f>+Resumen!Y458</f>
        <v>241303.77823679999</v>
      </c>
      <c r="N137" s="712">
        <f>+Resumen!Z458</f>
        <v>596748.95908826054</v>
      </c>
      <c r="O137" s="736"/>
      <c r="P137" s="713">
        <f>+Resumen!AB458</f>
        <v>-58996106.600549683</v>
      </c>
      <c r="Q137" s="714">
        <f t="shared" si="48"/>
        <v>37126124.72706084</v>
      </c>
      <c r="R137" s="715" t="s">
        <v>707</v>
      </c>
      <c r="S137" s="714">
        <f t="shared" si="51"/>
        <v>37126124.72706084</v>
      </c>
      <c r="T137" s="741" t="s">
        <v>718</v>
      </c>
      <c r="U137" s="735"/>
      <c r="V137" s="749"/>
      <c r="X137" s="738" t="str">
        <f t="shared" si="49"/>
        <v>R</v>
      </c>
    </row>
    <row r="138" spans="1:24">
      <c r="A138" s="710" t="str">
        <f t="shared" si="50"/>
        <v>REGIÓN CEAMSE Norte III</v>
      </c>
      <c r="B138" s="711" t="str">
        <f>+Resumen!D459</f>
        <v>San Miguel</v>
      </c>
      <c r="C138" s="735"/>
      <c r="D138" s="735"/>
      <c r="E138" s="735"/>
      <c r="F138" s="735"/>
      <c r="G138" s="735"/>
      <c r="H138" s="735"/>
      <c r="I138" s="712">
        <f>+Resumen!H459</f>
        <v>12854425.041919349</v>
      </c>
      <c r="J138" s="712">
        <f>+Resumen!O459</f>
        <v>2419639.8642925913</v>
      </c>
      <c r="K138" s="712">
        <f>+Resumen!R459</f>
        <v>53891389.838369332</v>
      </c>
      <c r="L138" s="712">
        <f>+Resumen!V459</f>
        <v>0</v>
      </c>
      <c r="M138" s="712">
        <f>+Resumen!Y459</f>
        <v>329329.70081999997</v>
      </c>
      <c r="N138" s="712">
        <f>+Resumen!Z459</f>
        <v>1170154.221168719</v>
      </c>
      <c r="O138" s="736"/>
      <c r="P138" s="713">
        <f>+Resumen!AB459</f>
        <v>-121992157.55640602</v>
      </c>
      <c r="Q138" s="714">
        <f t="shared" si="48"/>
        <v>69165454.744581267</v>
      </c>
      <c r="R138" s="715" t="s">
        <v>707</v>
      </c>
      <c r="S138" s="714">
        <f t="shared" si="51"/>
        <v>69165454.744581267</v>
      </c>
      <c r="T138" s="741" t="s">
        <v>718</v>
      </c>
      <c r="U138" s="735"/>
      <c r="V138" s="749"/>
      <c r="X138" s="738" t="str">
        <f t="shared" si="49"/>
        <v>R</v>
      </c>
    </row>
    <row r="139" spans="1:24">
      <c r="A139" s="710" t="str">
        <f t="shared" si="50"/>
        <v>REGIÓN CEAMSE Norte III</v>
      </c>
      <c r="B139" s="711" t="str">
        <f>+Resumen!D460</f>
        <v>Tigre</v>
      </c>
      <c r="C139" s="735"/>
      <c r="D139" s="735"/>
      <c r="E139" s="735"/>
      <c r="F139" s="735"/>
      <c r="G139" s="735"/>
      <c r="H139" s="735"/>
      <c r="I139" s="712">
        <f>+Resumen!H460</f>
        <v>9030479.6443546973</v>
      </c>
      <c r="J139" s="712">
        <f>+Resumen!O460</f>
        <v>3126075.128147962</v>
      </c>
      <c r="K139" s="712">
        <f>+Resumen!R460</f>
        <v>69907646.614381567</v>
      </c>
      <c r="L139" s="712">
        <f>+Resumen!V460</f>
        <v>0</v>
      </c>
      <c r="M139" s="712">
        <f>+Resumen!Y460</f>
        <v>506307.7053215999</v>
      </c>
      <c r="N139" s="712">
        <f>+Resumen!Z460</f>
        <v>1363635.4208032633</v>
      </c>
      <c r="O139" s="736"/>
      <c r="P139" s="713">
        <f>+Resumen!AB460</f>
        <v>-106392025.16993135</v>
      </c>
      <c r="Q139" s="714">
        <f t="shared" si="48"/>
        <v>82064201.386884227</v>
      </c>
      <c r="R139" s="715" t="s">
        <v>707</v>
      </c>
      <c r="S139" s="714">
        <f t="shared" si="51"/>
        <v>82064201.386884227</v>
      </c>
      <c r="T139" s="741" t="s">
        <v>718</v>
      </c>
      <c r="U139" s="735"/>
      <c r="V139" s="749"/>
      <c r="X139" s="738" t="str">
        <f t="shared" ref="X139:X160" si="52">+R139</f>
        <v>R</v>
      </c>
    </row>
    <row r="140" spans="1:24">
      <c r="A140" s="710" t="str">
        <f t="shared" si="50"/>
        <v>REGIÓN CEAMSE Norte III</v>
      </c>
      <c r="B140" s="711" t="str">
        <f>+Resumen!D461</f>
        <v>Tres de Febrero</v>
      </c>
      <c r="C140" s="735"/>
      <c r="D140" s="735"/>
      <c r="E140" s="735"/>
      <c r="F140" s="735"/>
      <c r="G140" s="735"/>
      <c r="H140" s="735"/>
      <c r="I140" s="712">
        <f>+Resumen!H461</f>
        <v>12144182.09662734</v>
      </c>
      <c r="J140" s="712">
        <f>+Resumen!O461</f>
        <v>2140173.6840053741</v>
      </c>
      <c r="K140" s="712">
        <f>+Resumen!R461</f>
        <v>48599013.121707603</v>
      </c>
      <c r="L140" s="712">
        <f>+Resumen!V461</f>
        <v>708412.79251199996</v>
      </c>
      <c r="M140" s="712">
        <f>+Resumen!Y461</f>
        <v>340285.15418832004</v>
      </c>
      <c r="N140" s="712">
        <f>+Resumen!Z461</f>
        <v>1086549.1254227846</v>
      </c>
      <c r="O140" s="736"/>
      <c r="P140" s="713">
        <f>+Resumen!AB461</f>
        <v>-114370232.04042645</v>
      </c>
      <c r="Q140" s="714">
        <f t="shared" si="48"/>
        <v>63591781.694852315</v>
      </c>
      <c r="R140" s="715" t="s">
        <v>707</v>
      </c>
      <c r="S140" s="714">
        <f t="shared" si="51"/>
        <v>63591781.694852315</v>
      </c>
      <c r="T140" s="741" t="s">
        <v>718</v>
      </c>
      <c r="U140" s="735"/>
      <c r="V140" s="749"/>
      <c r="X140" s="738" t="str">
        <f t="shared" si="52"/>
        <v>R</v>
      </c>
    </row>
    <row r="141" spans="1:24">
      <c r="A141" s="710" t="str">
        <f t="shared" si="50"/>
        <v>REGIÓN CEAMSE Norte III</v>
      </c>
      <c r="B141" s="711" t="str">
        <f>+Resumen!D462</f>
        <v>Vicente López</v>
      </c>
      <c r="C141" s="735"/>
      <c r="D141" s="735"/>
      <c r="E141" s="735"/>
      <c r="F141" s="735"/>
      <c r="G141" s="735"/>
      <c r="H141" s="735"/>
      <c r="I141" s="712">
        <f>+Resumen!H462</f>
        <v>3848863.8125351509</v>
      </c>
      <c r="J141" s="712">
        <f>+Resumen!O462</f>
        <v>1042892.2723285086</v>
      </c>
      <c r="K141" s="712">
        <f>+Resumen!R462</f>
        <v>23965970.592413917</v>
      </c>
      <c r="L141" s="712">
        <f>+Resumen!V462</f>
        <v>0</v>
      </c>
      <c r="M141" s="712">
        <f>+Resumen!Y462</f>
        <v>194627.52836639999</v>
      </c>
      <c r="N141" s="712">
        <f>+Resumen!Z462</f>
        <v>493393.98346596968</v>
      </c>
      <c r="O141" s="736"/>
      <c r="P141" s="713">
        <f>+Resumen!AB462</f>
        <v>-38979950.160787478</v>
      </c>
      <c r="Q141" s="714">
        <f t="shared" si="48"/>
        <v>28857726.677277576</v>
      </c>
      <c r="R141" s="715" t="s">
        <v>707</v>
      </c>
      <c r="S141" s="714">
        <f t="shared" si="51"/>
        <v>28857726.677277576</v>
      </c>
      <c r="T141" s="741" t="s">
        <v>718</v>
      </c>
      <c r="U141" s="735"/>
      <c r="V141" s="749"/>
      <c r="X141" s="738" t="str">
        <f t="shared" si="52"/>
        <v>R</v>
      </c>
    </row>
    <row r="142" spans="1:24">
      <c r="A142" s="710" t="str">
        <f t="shared" si="50"/>
        <v>REGIÓN CEAMSE Norte III</v>
      </c>
      <c r="B142" s="711" t="str">
        <f>+Resumen!D463</f>
        <v>CABA</v>
      </c>
      <c r="C142" s="735"/>
      <c r="D142" s="735"/>
      <c r="E142" s="735"/>
      <c r="F142" s="735"/>
      <c r="G142" s="735"/>
      <c r="H142" s="735"/>
      <c r="I142" s="712">
        <f>+Resumen!H463</f>
        <v>143093410.96495825</v>
      </c>
      <c r="J142" s="712">
        <f>+Resumen!O463</f>
        <v>36597795.068431973</v>
      </c>
      <c r="K142" s="712">
        <f>+Resumen!R463</f>
        <v>823474539.09481215</v>
      </c>
      <c r="L142" s="712">
        <f>+Resumen!V463</f>
        <v>0</v>
      </c>
      <c r="M142" s="712">
        <f>+Resumen!Y463</f>
        <v>1834046.7489759999</v>
      </c>
      <c r="N142" s="712">
        <f>+Resumen!Z463</f>
        <v>15180158.576923037</v>
      </c>
      <c r="O142" s="736"/>
      <c r="P142" s="713">
        <f>+Resumen!AB463</f>
        <v>-1383503097.354753</v>
      </c>
      <c r="Q142" s="714">
        <f t="shared" si="48"/>
        <v>1003165745.1282024</v>
      </c>
      <c r="R142" s="715" t="s">
        <v>707</v>
      </c>
      <c r="S142" s="714">
        <f t="shared" si="51"/>
        <v>1003165745.1282024</v>
      </c>
      <c r="T142" s="741" t="s">
        <v>718</v>
      </c>
      <c r="U142" s="735"/>
      <c r="V142" s="749"/>
      <c r="X142" s="738" t="str">
        <f t="shared" si="52"/>
        <v>R</v>
      </c>
    </row>
    <row r="143" spans="1:24">
      <c r="A143" s="722" t="str">
        <f>+Resumen!A470</f>
        <v>REGIÓN MADARIAGA</v>
      </c>
      <c r="B143" s="711" t="str">
        <f>+Resumen!D470</f>
        <v>General Lavalle</v>
      </c>
      <c r="C143" s="735"/>
      <c r="D143" s="735"/>
      <c r="E143" s="735"/>
      <c r="F143" s="735"/>
      <c r="G143" s="735"/>
      <c r="H143" s="735"/>
      <c r="I143" s="712">
        <f>+Resumen!H470</f>
        <v>1050961.1115888313</v>
      </c>
      <c r="J143" s="712">
        <f>+Resumen!O470</f>
        <v>23059.91712528182</v>
      </c>
      <c r="K143" s="712">
        <f>+Resumen!R470</f>
        <v>364366.98846121476</v>
      </c>
      <c r="L143" s="712">
        <f>+Resumen!V470</f>
        <v>7328408.1984000001</v>
      </c>
      <c r="M143" s="712">
        <f>+Resumen!Y470</f>
        <v>10051.720954986666</v>
      </c>
      <c r="N143" s="712">
        <f>+Resumen!Z470</f>
        <v>220340.36215575328</v>
      </c>
      <c r="O143" s="736"/>
      <c r="P143" s="713">
        <f>+Resumen!AB470</f>
        <v>-7568553.6786545841</v>
      </c>
      <c r="Q143" s="714">
        <f t="shared" si="48"/>
        <v>8766796.2155753281</v>
      </c>
      <c r="R143" s="715" t="s">
        <v>707</v>
      </c>
      <c r="S143" s="714">
        <f t="shared" si="51"/>
        <v>8766796.2155753281</v>
      </c>
      <c r="T143" s="741" t="s">
        <v>488</v>
      </c>
      <c r="U143" s="735"/>
      <c r="V143" s="749"/>
      <c r="X143" s="738" t="str">
        <f t="shared" si="52"/>
        <v>R</v>
      </c>
    </row>
    <row r="144" spans="1:24">
      <c r="A144" s="710" t="str">
        <f t="shared" ref="A144:A152" si="53">+A143</f>
        <v>REGIÓN MADARIAGA</v>
      </c>
      <c r="B144" s="711" t="str">
        <f>+Resumen!D471</f>
        <v>San Clemente del Tuyú</v>
      </c>
      <c r="C144" s="735"/>
      <c r="D144" s="735"/>
      <c r="E144" s="735"/>
      <c r="F144" s="735"/>
      <c r="G144" s="735"/>
      <c r="H144" s="735"/>
      <c r="I144" s="712">
        <f>+Resumen!H471</f>
        <v>4356877.0318008782</v>
      </c>
      <c r="J144" s="712">
        <f>+Resumen!O471</f>
        <v>326841.75813642651</v>
      </c>
      <c r="K144" s="712">
        <f>+Resumen!R471</f>
        <v>5172155.2559123989</v>
      </c>
      <c r="L144" s="712">
        <f>+Resumen!V471</f>
        <v>0</v>
      </c>
      <c r="M144" s="712">
        <f>+Resumen!Y471</f>
        <v>18538.509399199997</v>
      </c>
      <c r="N144" s="712">
        <f>+Resumen!Z471</f>
        <v>231231.14045849704</v>
      </c>
      <c r="O144" s="736"/>
      <c r="P144" s="713">
        <f>+Resumen!AB471</f>
        <v>-29596045.457510564</v>
      </c>
      <c r="Q144" s="714">
        <f t="shared" si="48"/>
        <v>9855874.0458497033</v>
      </c>
      <c r="R144" s="715" t="s">
        <v>707</v>
      </c>
      <c r="S144" s="714">
        <f t="shared" si="51"/>
        <v>9855874.0458497033</v>
      </c>
      <c r="T144" s="741" t="s">
        <v>488</v>
      </c>
      <c r="U144" s="735"/>
      <c r="V144" s="749"/>
      <c r="X144" s="738" t="str">
        <f t="shared" si="52"/>
        <v>R</v>
      </c>
    </row>
    <row r="145" spans="1:24">
      <c r="A145" s="710" t="str">
        <f t="shared" si="53"/>
        <v>REGIÓN MADARIAGA</v>
      </c>
      <c r="B145" s="711" t="str">
        <f>+Resumen!D472</f>
        <v>Santa Teresita - Mar del Tuyú</v>
      </c>
      <c r="C145" s="735"/>
      <c r="D145" s="735"/>
      <c r="E145" s="735"/>
      <c r="F145" s="735"/>
      <c r="G145" s="735"/>
      <c r="H145" s="735"/>
      <c r="I145" s="712">
        <f>+Resumen!H472</f>
        <v>6414673.5273332242</v>
      </c>
      <c r="J145" s="712">
        <f>+Resumen!O472</f>
        <v>0</v>
      </c>
      <c r="K145" s="712">
        <f>+Resumen!R472</f>
        <v>8793622.612531973</v>
      </c>
      <c r="L145" s="712">
        <f>+Resumen!V472</f>
        <v>0</v>
      </c>
      <c r="M145" s="712">
        <f>+Resumen!Y472</f>
        <v>45986.122857599992</v>
      </c>
      <c r="N145" s="712">
        <f>+Resumen!Z472</f>
        <v>284755.36139865196</v>
      </c>
      <c r="O145" s="736"/>
      <c r="P145" s="713">
        <f>+Resumen!AB472</f>
        <v>-44672007.580158398</v>
      </c>
      <c r="Q145" s="714">
        <f t="shared" si="48"/>
        <v>15208296.139865197</v>
      </c>
      <c r="R145" s="715" t="s">
        <v>707</v>
      </c>
      <c r="S145" s="714">
        <f t="shared" si="51"/>
        <v>15208296.139865197</v>
      </c>
      <c r="T145" s="741" t="s">
        <v>488</v>
      </c>
      <c r="U145" s="735"/>
      <c r="V145" s="749"/>
      <c r="X145" s="738" t="str">
        <f t="shared" si="52"/>
        <v>R</v>
      </c>
    </row>
    <row r="146" spans="1:24">
      <c r="A146" s="710" t="str">
        <f t="shared" si="53"/>
        <v>REGIÓN MADARIAGA</v>
      </c>
      <c r="B146" s="711" t="str">
        <f>+Resumen!D473</f>
        <v>Mar de Ajó - San Bernardo</v>
      </c>
      <c r="C146" s="735"/>
      <c r="D146" s="735"/>
      <c r="E146" s="735"/>
      <c r="F146" s="735"/>
      <c r="G146" s="735"/>
      <c r="H146" s="735"/>
      <c r="I146" s="712">
        <f>+Resumen!H473</f>
        <v>6990658.5994635569</v>
      </c>
      <c r="J146" s="712">
        <f>+Resumen!O473</f>
        <v>977616.05724857573</v>
      </c>
      <c r="K146" s="712">
        <f>+Resumen!R473</f>
        <v>15393513.576808278</v>
      </c>
      <c r="L146" s="712">
        <f>+Resumen!V473</f>
        <v>0</v>
      </c>
      <c r="M146" s="712">
        <f>+Resumen!Y473</f>
        <v>87207.017627520021</v>
      </c>
      <c r="N146" s="712">
        <f>+Resumen!Z473</f>
        <v>424694.75291900511</v>
      </c>
      <c r="O146" s="736"/>
      <c r="P146" s="713">
        <f>+Resumen!AB473</f>
        <v>-53522184.386147343</v>
      </c>
      <c r="Q146" s="714">
        <f t="shared" si="48"/>
        <v>23361788.233520411</v>
      </c>
      <c r="R146" s="715" t="s">
        <v>707</v>
      </c>
      <c r="S146" s="714">
        <f t="shared" si="51"/>
        <v>23361788.233520411</v>
      </c>
      <c r="T146" s="741" t="s">
        <v>488</v>
      </c>
      <c r="U146" s="735"/>
      <c r="V146" s="749"/>
      <c r="X146" s="738" t="str">
        <f t="shared" si="52"/>
        <v>R</v>
      </c>
    </row>
    <row r="147" spans="1:24">
      <c r="A147" s="710" t="str">
        <f t="shared" si="53"/>
        <v>REGIÓN MADARIAGA</v>
      </c>
      <c r="B147" s="711" t="str">
        <f>+Resumen!D474</f>
        <v>Pavón</v>
      </c>
      <c r="C147" s="735"/>
      <c r="D147" s="735"/>
      <c r="E147" s="735"/>
      <c r="F147" s="735"/>
      <c r="G147" s="735"/>
      <c r="H147" s="735"/>
      <c r="I147" s="712">
        <f>+Resumen!H474</f>
        <v>751487.97279933852</v>
      </c>
      <c r="J147" s="712">
        <f>+Resumen!O474</f>
        <v>11747.013688810348</v>
      </c>
      <c r="K147" s="712">
        <f>+Resumen!R474</f>
        <v>185727.86235851538</v>
      </c>
      <c r="L147" s="712">
        <f>+Resumen!V474</f>
        <v>0</v>
      </c>
      <c r="M147" s="712">
        <f>+Resumen!Y474</f>
        <v>10051.720954986666</v>
      </c>
      <c r="N147" s="712">
        <f>+Resumen!Z474</f>
        <v>142162.02848846663</v>
      </c>
      <c r="O147" s="736"/>
      <c r="P147" s="713">
        <f>+Resumen!AB474</f>
        <v>-4786161.6399784936</v>
      </c>
      <c r="Q147" s="714">
        <f t="shared" si="48"/>
        <v>948962.8488466643</v>
      </c>
      <c r="R147" s="715" t="s">
        <v>707</v>
      </c>
      <c r="S147" s="714">
        <f t="shared" si="51"/>
        <v>948962.8488466643</v>
      </c>
      <c r="T147" s="741" t="s">
        <v>488</v>
      </c>
      <c r="U147" s="735"/>
      <c r="V147" s="749"/>
      <c r="X147" s="738" t="str">
        <f t="shared" si="52"/>
        <v>R</v>
      </c>
    </row>
    <row r="148" spans="1:24">
      <c r="A148" s="710" t="str">
        <f t="shared" si="53"/>
        <v>REGIÓN MADARIAGA</v>
      </c>
      <c r="B148" s="711" t="str">
        <f>+Resumen!D475</f>
        <v>General Juan Madariaga</v>
      </c>
      <c r="C148" s="735"/>
      <c r="D148" s="735"/>
      <c r="E148" s="735"/>
      <c r="F148" s="735"/>
      <c r="G148" s="735"/>
      <c r="H148" s="735"/>
      <c r="I148" s="712">
        <f>+Resumen!H475</f>
        <v>3224846.3588932566</v>
      </c>
      <c r="J148" s="712">
        <f>+Resumen!O475</f>
        <v>194650.90092818203</v>
      </c>
      <c r="K148" s="712">
        <f>+Resumen!R475</f>
        <v>2990427.1835251758</v>
      </c>
      <c r="L148" s="712">
        <f>+Resumen!V475</f>
        <v>8956943.3535999991</v>
      </c>
      <c r="M148" s="712">
        <f>+Resumen!Y475</f>
        <v>51762.242765840005</v>
      </c>
      <c r="N148" s="712">
        <f>+Resumen!Z475</f>
        <v>286341.0779694661</v>
      </c>
      <c r="O148" s="736"/>
      <c r="P148" s="713">
        <f>+Resumen!AB475</f>
        <v>-20795647.228182554</v>
      </c>
      <c r="Q148" s="714">
        <f t="shared" si="48"/>
        <v>15366867.796946613</v>
      </c>
      <c r="R148" s="715" t="s">
        <v>707</v>
      </c>
      <c r="S148" s="714">
        <f t="shared" si="51"/>
        <v>15366867.796946613</v>
      </c>
      <c r="T148" s="741" t="s">
        <v>488</v>
      </c>
      <c r="U148" s="735"/>
      <c r="V148" s="749"/>
      <c r="X148" s="738" t="str">
        <f t="shared" si="52"/>
        <v>R</v>
      </c>
    </row>
    <row r="149" spans="1:24">
      <c r="A149" s="710" t="str">
        <f t="shared" si="53"/>
        <v>REGIÓN MADARIAGA</v>
      </c>
      <c r="B149" s="711" t="str">
        <f>+Resumen!D476</f>
        <v>Pinamar</v>
      </c>
      <c r="C149" s="735"/>
      <c r="D149" s="735"/>
      <c r="E149" s="735"/>
      <c r="F149" s="735"/>
      <c r="G149" s="735"/>
      <c r="H149" s="735"/>
      <c r="I149" s="712">
        <f>+Resumen!H476</f>
        <v>3329154.2155370815</v>
      </c>
      <c r="J149" s="712">
        <f>+Resumen!O476</f>
        <v>622339.62895622966</v>
      </c>
      <c r="K149" s="712">
        <f>+Resumen!R476</f>
        <v>9827007.8989850618</v>
      </c>
      <c r="L149" s="712">
        <f>+Resumen!V476</f>
        <v>0</v>
      </c>
      <c r="M149" s="712">
        <f>+Resumen!Y476</f>
        <v>58406.060954133318</v>
      </c>
      <c r="N149" s="712">
        <f>+Resumen!Z476</f>
        <v>270457.41743478371</v>
      </c>
      <c r="O149" s="736"/>
      <c r="P149" s="713">
        <f>+Resumen!AB476</f>
        <v>-27062272.921097733</v>
      </c>
      <c r="Q149" s="714">
        <f t="shared" si="48"/>
        <v>13778501.743478373</v>
      </c>
      <c r="R149" s="715" t="s">
        <v>707</v>
      </c>
      <c r="S149" s="714">
        <f t="shared" si="51"/>
        <v>13778501.743478373</v>
      </c>
      <c r="T149" s="741" t="s">
        <v>488</v>
      </c>
      <c r="U149" s="735"/>
      <c r="V149" s="749"/>
      <c r="X149" s="738" t="str">
        <f t="shared" si="52"/>
        <v>R</v>
      </c>
    </row>
    <row r="150" spans="1:24">
      <c r="A150" s="710" t="str">
        <f t="shared" si="53"/>
        <v>REGIÓN MADARIAGA</v>
      </c>
      <c r="B150" s="711" t="str">
        <f>+Resumen!D477</f>
        <v>Villa Gesell</v>
      </c>
      <c r="C150" s="735"/>
      <c r="D150" s="735"/>
      <c r="E150" s="735"/>
      <c r="F150" s="735"/>
      <c r="G150" s="735"/>
      <c r="H150" s="735"/>
      <c r="I150" s="712">
        <f>+Resumen!H477</f>
        <v>5664767.0676500844</v>
      </c>
      <c r="J150" s="712">
        <f>+Resumen!O477</f>
        <v>590296.15152111044</v>
      </c>
      <c r="K150" s="712">
        <f>+Resumen!R477</f>
        <v>9440937.7966831792</v>
      </c>
      <c r="L150" s="712">
        <f>+Resumen!V477</f>
        <v>0</v>
      </c>
      <c r="M150" s="712">
        <f>+Resumen!Y477</f>
        <v>56019.564263466658</v>
      </c>
      <c r="N150" s="712">
        <f>+Resumen!Z477</f>
        <v>289632.41015854373</v>
      </c>
      <c r="O150" s="736"/>
      <c r="P150" s="713">
        <f>+Resumen!AB477</f>
        <v>-42169549.710429132</v>
      </c>
      <c r="Q150" s="714">
        <f t="shared" si="48"/>
        <v>15696001.015854374</v>
      </c>
      <c r="R150" s="715" t="s">
        <v>707</v>
      </c>
      <c r="S150" s="714">
        <f t="shared" si="51"/>
        <v>15696001.015854374</v>
      </c>
      <c r="T150" s="741" t="s">
        <v>488</v>
      </c>
      <c r="U150" s="735"/>
      <c r="V150" s="749"/>
      <c r="X150" s="738" t="str">
        <f t="shared" si="52"/>
        <v>R</v>
      </c>
    </row>
    <row r="151" spans="1:24">
      <c r="A151" s="710" t="str">
        <f t="shared" si="53"/>
        <v>REGIÓN MADARIAGA</v>
      </c>
      <c r="B151" s="711" t="str">
        <f>+Resumen!D478</f>
        <v>Santa Clara del Mar</v>
      </c>
      <c r="C151" s="735"/>
      <c r="D151" s="735"/>
      <c r="E151" s="735"/>
      <c r="F151" s="735"/>
      <c r="G151" s="735"/>
      <c r="H151" s="735"/>
      <c r="I151" s="712">
        <f>+Resumen!H478</f>
        <v>3604941.1101456876</v>
      </c>
      <c r="J151" s="712">
        <f>+Resumen!O478</f>
        <v>295294.24676545803</v>
      </c>
      <c r="K151" s="712">
        <f>+Resumen!R478</f>
        <v>4543143.4394107005</v>
      </c>
      <c r="L151" s="712">
        <f>+Resumen!V478</f>
        <v>407133.78879999998</v>
      </c>
      <c r="M151" s="712">
        <f>+Resumen!Y478</f>
        <v>14181.883525599998</v>
      </c>
      <c r="N151" s="712">
        <f>+Resumen!Z478</f>
        <v>221177.52585121844</v>
      </c>
      <c r="O151" s="736"/>
      <c r="P151" s="713">
        <f>+Resumen!AB478</f>
        <v>-24359658.18587568</v>
      </c>
      <c r="Q151" s="714">
        <f t="shared" si="48"/>
        <v>8850512.5851218458</v>
      </c>
      <c r="R151" s="715" t="s">
        <v>707</v>
      </c>
      <c r="S151" s="714">
        <f t="shared" si="51"/>
        <v>8850512.5851218458</v>
      </c>
      <c r="T151" s="741" t="s">
        <v>488</v>
      </c>
      <c r="U151" s="735"/>
      <c r="V151" s="749"/>
      <c r="X151" s="738" t="str">
        <f t="shared" si="52"/>
        <v>R</v>
      </c>
    </row>
    <row r="152" spans="1:24">
      <c r="A152" s="710" t="str">
        <f t="shared" si="53"/>
        <v>REGIÓN MADARIAGA</v>
      </c>
      <c r="B152" s="711" t="str">
        <f>+Resumen!D479</f>
        <v>Coronel Vidal</v>
      </c>
      <c r="C152" s="735"/>
      <c r="D152" s="735"/>
      <c r="E152" s="735"/>
      <c r="F152" s="735"/>
      <c r="G152" s="735"/>
      <c r="H152" s="735"/>
      <c r="I152" s="712">
        <f>+Resumen!H479</f>
        <v>1845843.7418957853</v>
      </c>
      <c r="J152" s="712">
        <f>+Resumen!O479</f>
        <v>58756.71173221519</v>
      </c>
      <c r="K152" s="712">
        <f>+Resumen!R479</f>
        <v>943122.890123497</v>
      </c>
      <c r="L152" s="712">
        <f>+Resumen!V479</f>
        <v>0</v>
      </c>
      <c r="M152" s="712">
        <f>+Resumen!Y479</f>
        <v>9574.566692639999</v>
      </c>
      <c r="N152" s="712">
        <f>+Resumen!Z479</f>
        <v>161149.63343751497</v>
      </c>
      <c r="O152" s="736"/>
      <c r="P152" s="713">
        <f>+Resumen!AB479</f>
        <v>-10409074.079414323</v>
      </c>
      <c r="Q152" s="714">
        <f t="shared" si="48"/>
        <v>2847723.3437514976</v>
      </c>
      <c r="R152" s="715" t="s">
        <v>707</v>
      </c>
      <c r="S152" s="714">
        <f t="shared" si="51"/>
        <v>2847723.3437514976</v>
      </c>
      <c r="T152" s="741" t="s">
        <v>488</v>
      </c>
      <c r="U152" s="735"/>
      <c r="V152" s="749"/>
      <c r="X152" s="738" t="str">
        <f t="shared" si="52"/>
        <v>R</v>
      </c>
    </row>
    <row r="153" spans="1:24">
      <c r="A153" s="722" t="str">
        <f>+Resumen!A486</f>
        <v>REGIÓN SAN PEDRO</v>
      </c>
      <c r="B153" s="711" t="str">
        <f>+Resumen!D486</f>
        <v>Baradero</v>
      </c>
      <c r="C153" s="735"/>
      <c r="D153" s="735"/>
      <c r="E153" s="735"/>
      <c r="F153" s="735"/>
      <c r="G153" s="735"/>
      <c r="H153" s="735"/>
      <c r="I153" s="712">
        <f>+Resumen!H486</f>
        <v>4195167.4490489345</v>
      </c>
      <c r="J153" s="712">
        <f>+Resumen!O486</f>
        <v>577582.16699499963</v>
      </c>
      <c r="K153" s="712">
        <f>+Resumen!R486</f>
        <v>5979013.0491989972</v>
      </c>
      <c r="L153" s="712">
        <f>+Resumen!V486</f>
        <v>3542063.9625599999</v>
      </c>
      <c r="M153" s="712">
        <f>+Resumen!Y486</f>
        <v>67070.277085440001</v>
      </c>
      <c r="N153" s="712">
        <f>+Resumen!Z486</f>
        <v>275610.66627802933</v>
      </c>
      <c r="O153" s="736"/>
      <c r="P153" s="713">
        <f>+Resumen!AB486</f>
        <v>-33497487.789389946</v>
      </c>
      <c r="Q153" s="714">
        <f t="shared" si="48"/>
        <v>14293826.627802933</v>
      </c>
      <c r="R153" s="715" t="s">
        <v>707</v>
      </c>
      <c r="S153" s="714">
        <f t="shared" si="51"/>
        <v>14293826.627802933</v>
      </c>
      <c r="T153" s="741" t="s">
        <v>488</v>
      </c>
      <c r="U153" s="735"/>
      <c r="V153" s="749"/>
      <c r="X153" s="738" t="str">
        <f t="shared" si="52"/>
        <v>R</v>
      </c>
    </row>
    <row r="154" spans="1:24">
      <c r="A154" s="710" t="str">
        <f t="shared" ref="A154" si="54">+A153</f>
        <v>REGIÓN SAN PEDRO</v>
      </c>
      <c r="B154" s="711" t="str">
        <f>+Resumen!D487</f>
        <v>San Pedro</v>
      </c>
      <c r="C154" s="735"/>
      <c r="D154" s="735"/>
      <c r="E154" s="735"/>
      <c r="F154" s="735"/>
      <c r="G154" s="735"/>
      <c r="H154" s="735"/>
      <c r="I154" s="712">
        <f>+Resumen!H487</f>
        <v>4447027.4947552104</v>
      </c>
      <c r="J154" s="712">
        <f>+Resumen!O487</f>
        <v>380554.03799300059</v>
      </c>
      <c r="K154" s="712">
        <f>+Resumen!R487</f>
        <v>10448273.195601003</v>
      </c>
      <c r="L154" s="712">
        <f>+Resumen!V487</f>
        <v>6636280.7574399998</v>
      </c>
      <c r="M154" s="712">
        <f>+Resumen!Y487</f>
        <v>81525.604538880012</v>
      </c>
      <c r="N154" s="712">
        <f>+Resumen!Z487</f>
        <v>406574.09357236512</v>
      </c>
      <c r="O154" s="736"/>
      <c r="P154" s="713">
        <f>+Resumen!AB487</f>
        <v>-41516666.545618586</v>
      </c>
      <c r="Q154" s="714">
        <f t="shared" si="48"/>
        <v>21912135.485789213</v>
      </c>
      <c r="R154" s="715" t="s">
        <v>707</v>
      </c>
      <c r="S154" s="714">
        <f t="shared" si="51"/>
        <v>21912135.485789213</v>
      </c>
      <c r="T154" s="741" t="s">
        <v>488</v>
      </c>
      <c r="U154" s="735"/>
      <c r="V154" s="749"/>
      <c r="X154" s="738" t="str">
        <f t="shared" si="52"/>
        <v>R</v>
      </c>
    </row>
    <row r="155" spans="1:24">
      <c r="A155" s="722" t="s">
        <v>508</v>
      </c>
      <c r="B155" s="711" t="str">
        <f>+Resumen!D494</f>
        <v>Luján</v>
      </c>
      <c r="C155" s="712">
        <f>+Resumen!H494</f>
        <v>8127639.0707180705</v>
      </c>
      <c r="D155" s="712">
        <f>+Resumen!O494</f>
        <v>1857475.5023679007</v>
      </c>
      <c r="E155" s="712">
        <f>+Resumen!R494</f>
        <v>20357939.674400002</v>
      </c>
      <c r="F155" s="712">
        <f>+Resumen!V494</f>
        <v>6188433.5897599999</v>
      </c>
      <c r="G155" s="712">
        <f>+Resumen!Y494</f>
        <v>121422.57806159998</v>
      </c>
      <c r="H155" s="712">
        <f>+Resumen!Z494</f>
        <v>589315.99796557461</v>
      </c>
      <c r="I155" s="712"/>
      <c r="J155" s="712"/>
      <c r="K155" s="712"/>
      <c r="L155" s="712"/>
      <c r="M155" s="712"/>
      <c r="N155" s="712"/>
      <c r="O155" s="713">
        <f>+Resumen!AB494</f>
        <v>-88478979.69591181</v>
      </c>
      <c r="P155" s="713"/>
      <c r="Q155" s="714">
        <f t="shared" ref="Q155:Q160" si="55">SUM(C155:F155)</f>
        <v>36531487.837245971</v>
      </c>
      <c r="R155" s="715" t="s">
        <v>711</v>
      </c>
      <c r="S155" s="714">
        <f t="shared" ref="S155:S160" si="56">+SUM(C155:F155)</f>
        <v>36531487.837245971</v>
      </c>
      <c r="T155" s="741" t="s">
        <v>488</v>
      </c>
      <c r="U155" s="735"/>
      <c r="V155" s="749"/>
      <c r="X155" s="738" t="str">
        <f t="shared" si="52"/>
        <v>L</v>
      </c>
    </row>
    <row r="156" spans="1:24">
      <c r="A156" s="722" t="s">
        <v>516</v>
      </c>
      <c r="B156" s="711" t="str">
        <f>+Resumen!D495</f>
        <v>Chascomús</v>
      </c>
      <c r="C156" s="712">
        <f>+Resumen!H495</f>
        <v>4058822.4916336392</v>
      </c>
      <c r="D156" s="712">
        <f>+Resumen!O495</f>
        <v>1693523.4887600001</v>
      </c>
      <c r="E156" s="712">
        <f>+Resumen!R495</f>
        <v>9919404.8324000016</v>
      </c>
      <c r="F156" s="712">
        <f>+Resumen!V495</f>
        <v>7124841.3039999995</v>
      </c>
      <c r="G156" s="712">
        <f>+Resumen!Y495</f>
        <v>71596.496553653327</v>
      </c>
      <c r="H156" s="712">
        <f>+Resumen!Z495</f>
        <v>360638.32116793643</v>
      </c>
      <c r="I156" s="712"/>
      <c r="J156" s="712"/>
      <c r="K156" s="712"/>
      <c r="L156" s="712"/>
      <c r="M156" s="712"/>
      <c r="N156" s="712"/>
      <c r="O156" s="713">
        <f>+Resumen!AB495</f>
        <v>-48978971.260046579</v>
      </c>
      <c r="P156" s="736"/>
      <c r="Q156" s="714">
        <f t="shared" si="55"/>
        <v>22796592.11679364</v>
      </c>
      <c r="R156" s="715" t="s">
        <v>711</v>
      </c>
      <c r="S156" s="714">
        <f t="shared" si="56"/>
        <v>22796592.11679364</v>
      </c>
      <c r="T156" s="741" t="s">
        <v>488</v>
      </c>
      <c r="U156" s="735"/>
      <c r="V156" s="749"/>
      <c r="X156" s="738" t="str">
        <f t="shared" si="52"/>
        <v>L</v>
      </c>
    </row>
    <row r="157" spans="1:24">
      <c r="A157" s="722" t="s">
        <v>436</v>
      </c>
      <c r="B157" s="711" t="str">
        <f>+Resumen!D496</f>
        <v>Balcarce</v>
      </c>
      <c r="C157" s="712">
        <f>+Resumen!H496</f>
        <v>4317650.2999366792</v>
      </c>
      <c r="D157" s="712">
        <f>+Resumen!O496</f>
        <v>1160028.4113050001</v>
      </c>
      <c r="E157" s="712">
        <f>+Resumen!R496</f>
        <v>11171125.694</v>
      </c>
      <c r="F157" s="712">
        <f>+Resumen!V496</f>
        <v>1302828.1241599999</v>
      </c>
      <c r="G157" s="712">
        <f>+Resumen!Y496</f>
        <v>78809.229439360002</v>
      </c>
      <c r="H157" s="712">
        <f>+Resumen!Z496</f>
        <v>357067.80661752098</v>
      </c>
      <c r="I157" s="712"/>
      <c r="J157" s="712"/>
      <c r="K157" s="712"/>
      <c r="L157" s="712"/>
      <c r="M157" s="712"/>
      <c r="N157" s="712"/>
      <c r="O157" s="713">
        <f>+Resumen!AB496</f>
        <v>-51329656.183637127</v>
      </c>
      <c r="P157" s="736"/>
      <c r="Q157" s="714">
        <f t="shared" si="55"/>
        <v>17951632.529401679</v>
      </c>
      <c r="R157" s="715" t="s">
        <v>711</v>
      </c>
      <c r="S157" s="714">
        <f t="shared" si="56"/>
        <v>17951632.529401679</v>
      </c>
      <c r="T157" s="741" t="s">
        <v>488</v>
      </c>
      <c r="U157" s="735"/>
      <c r="V157" s="749"/>
      <c r="X157" s="738" t="str">
        <f t="shared" si="52"/>
        <v>L</v>
      </c>
    </row>
    <row r="158" spans="1:24">
      <c r="A158" s="722" t="s">
        <v>467</v>
      </c>
      <c r="B158" s="711" t="str">
        <f>+Resumen!D497</f>
        <v>Carmen de Patagones</v>
      </c>
      <c r="C158" s="712">
        <f>+Resumen!H497</f>
        <v>3197847.7022797675</v>
      </c>
      <c r="D158" s="712">
        <f>+Resumen!O497</f>
        <v>1562020.8753000002</v>
      </c>
      <c r="E158" s="712">
        <f>+Resumen!R497</f>
        <v>8815623.9896000009</v>
      </c>
      <c r="F158" s="712">
        <f>+Resumen!V497</f>
        <v>6273931.6854079999</v>
      </c>
      <c r="G158" s="712">
        <f>+Resumen!Y497</f>
        <v>63082.796551013344</v>
      </c>
      <c r="H158" s="712">
        <f>+Resumen!Z497</f>
        <v>331166.64252587769</v>
      </c>
      <c r="I158" s="712"/>
      <c r="J158" s="712"/>
      <c r="K158" s="712"/>
      <c r="L158" s="712"/>
      <c r="M158" s="712"/>
      <c r="N158" s="712"/>
      <c r="O158" s="713">
        <f>+Resumen!AB497</f>
        <v>-40493565.768707663</v>
      </c>
      <c r="P158" s="736"/>
      <c r="Q158" s="714">
        <f t="shared" si="55"/>
        <v>19849424.252587769</v>
      </c>
      <c r="R158" s="715" t="s">
        <v>711</v>
      </c>
      <c r="S158" s="714">
        <f t="shared" si="56"/>
        <v>19849424.252587769</v>
      </c>
      <c r="T158" s="741" t="s">
        <v>488</v>
      </c>
      <c r="U158" s="735"/>
      <c r="V158" s="749"/>
      <c r="X158" s="738" t="str">
        <f t="shared" si="52"/>
        <v>L</v>
      </c>
    </row>
    <row r="159" spans="1:24">
      <c r="A159" s="722" t="s">
        <v>507</v>
      </c>
      <c r="B159" s="711" t="str">
        <f>+Resumen!D498</f>
        <v>Olavarría</v>
      </c>
      <c r="C159" s="712">
        <f>+Resumen!H498</f>
        <v>7032116.0147735225</v>
      </c>
      <c r="D159" s="712">
        <f>+Resumen!O498</f>
        <v>1710881.09632</v>
      </c>
      <c r="E159" s="712">
        <f>+Resumen!R498</f>
        <v>17057085.960000001</v>
      </c>
      <c r="F159" s="712">
        <f>+Resumen!V498</f>
        <v>4775679.3426240003</v>
      </c>
      <c r="G159" s="712">
        <f>+Resumen!Y498</f>
        <v>122432.81255423998</v>
      </c>
      <c r="H159" s="712">
        <f>+Resumen!Z498</f>
        <v>514869.43017146911</v>
      </c>
      <c r="I159" s="712"/>
      <c r="J159" s="712"/>
      <c r="K159" s="712"/>
      <c r="L159" s="712"/>
      <c r="M159" s="712"/>
      <c r="N159" s="712"/>
      <c r="O159" s="713">
        <f>+Resumen!AB498</f>
        <v>-78270304.035105973</v>
      </c>
      <c r="P159" s="736"/>
      <c r="Q159" s="714">
        <f t="shared" si="55"/>
        <v>30575762.413717523</v>
      </c>
      <c r="R159" s="715" t="s">
        <v>711</v>
      </c>
      <c r="S159" s="714">
        <f t="shared" si="56"/>
        <v>30575762.413717523</v>
      </c>
      <c r="T159" s="741" t="s">
        <v>488</v>
      </c>
      <c r="U159" s="735"/>
      <c r="V159" s="749"/>
      <c r="X159" s="738" t="str">
        <f t="shared" si="52"/>
        <v>L</v>
      </c>
    </row>
    <row r="160" spans="1:24">
      <c r="A160" s="763" t="s">
        <v>573</v>
      </c>
      <c r="B160" s="750" t="str">
        <f>+Resumen!D499</f>
        <v>Verónica</v>
      </c>
      <c r="C160" s="751">
        <f>+Resumen!H499</f>
        <v>2278403.7847098256</v>
      </c>
      <c r="D160" s="751">
        <f>+Resumen!O499</f>
        <v>0</v>
      </c>
      <c r="E160" s="751">
        <f>+Resumen!R499</f>
        <v>677268.93015999999</v>
      </c>
      <c r="F160" s="751">
        <f>+Resumen!V499</f>
        <v>1286542.7726080001</v>
      </c>
      <c r="G160" s="751">
        <f>+Resumen!Y499</f>
        <v>16215.265751520001</v>
      </c>
      <c r="H160" s="751">
        <f>+Resumen!Z499</f>
        <v>175094.55487477826</v>
      </c>
      <c r="I160" s="751"/>
      <c r="J160" s="751"/>
      <c r="K160" s="751"/>
      <c r="L160" s="751"/>
      <c r="M160" s="751"/>
      <c r="N160" s="751"/>
      <c r="O160" s="752">
        <f>+Resumen!AB499</f>
        <v>-11253166.500673529</v>
      </c>
      <c r="P160" s="753"/>
      <c r="Q160" s="754">
        <f t="shared" si="55"/>
        <v>4242215.487477826</v>
      </c>
      <c r="R160" s="755" t="s">
        <v>711</v>
      </c>
      <c r="S160" s="754">
        <f t="shared" si="56"/>
        <v>4242215.487477826</v>
      </c>
      <c r="T160" s="756" t="s">
        <v>488</v>
      </c>
      <c r="U160" s="757"/>
      <c r="V160" s="758"/>
      <c r="W160" s="759"/>
      <c r="X160" s="738" t="str">
        <f t="shared" si="52"/>
        <v>L</v>
      </c>
    </row>
    <row r="161" spans="1:25">
      <c r="A161" s="687"/>
      <c r="B161" s="688"/>
      <c r="C161" s="689"/>
      <c r="D161" s="689"/>
      <c r="E161" s="689"/>
      <c r="F161" s="689"/>
      <c r="G161" s="689"/>
      <c r="H161" s="689"/>
      <c r="I161" s="689"/>
      <c r="J161" s="689"/>
      <c r="K161" s="689"/>
      <c r="L161" s="689"/>
      <c r="M161" s="689"/>
      <c r="N161" s="689"/>
      <c r="O161" s="690"/>
      <c r="P161" s="762"/>
      <c r="Q161" s="691"/>
      <c r="R161" s="692"/>
      <c r="S161" s="691"/>
      <c r="T161" s="693"/>
      <c r="U161" s="514"/>
      <c r="V161" s="514"/>
      <c r="W161" s="514"/>
      <c r="X161" s="697"/>
    </row>
    <row r="162" spans="1:25">
      <c r="B162" s="674"/>
      <c r="C162" s="675"/>
      <c r="D162" s="675"/>
      <c r="E162" s="675"/>
      <c r="F162" s="675"/>
      <c r="G162" s="675"/>
      <c r="H162" s="675"/>
      <c r="I162" s="675"/>
      <c r="J162" s="675"/>
      <c r="K162" s="675"/>
      <c r="L162" s="675"/>
      <c r="M162" s="675"/>
      <c r="N162" s="675"/>
      <c r="O162" s="675"/>
      <c r="Q162" s="679">
        <f>SUM(Q7:Q160)</f>
        <v>5839910648.3618164</v>
      </c>
      <c r="S162" s="679">
        <f>SUM(S7:S160)</f>
        <v>5746259420.307745</v>
      </c>
    </row>
    <row r="163" spans="1:25">
      <c r="C163" s="554"/>
      <c r="D163" s="554"/>
      <c r="E163" s="554"/>
      <c r="F163" s="554"/>
      <c r="G163" s="554"/>
      <c r="H163" s="554"/>
      <c r="P163" s="550" t="s">
        <v>710</v>
      </c>
      <c r="R163" s="681">
        <f>+(Q162/S162-1)</f>
        <v>1.6297772377470432E-2</v>
      </c>
    </row>
    <row r="164" spans="1:25">
      <c r="P164" s="685" t="s">
        <v>719</v>
      </c>
      <c r="Q164" s="679">
        <f>SUMIFS(Q7:Q160,T7:T160,"NO")</f>
        <v>1563415571.1882958</v>
      </c>
      <c r="S164" s="679">
        <f>SUMIFS(S7:S160,T7:T160,"NO")</f>
        <v>1469764343.1342247</v>
      </c>
    </row>
    <row r="165" spans="1:25">
      <c r="P165" s="550" t="s">
        <v>720</v>
      </c>
      <c r="Q165" s="679"/>
      <c r="R165" s="681">
        <f>+(Q164/S164-1)</f>
        <v>6.3718533172714586E-2</v>
      </c>
      <c r="S165" s="679"/>
    </row>
    <row r="166" spans="1:25">
      <c r="Y166" s="678">
        <f>+COUNTIF(X7:X160,"R")/COUNTA(X7:X160)</f>
        <v>0.86363636363636365</v>
      </c>
    </row>
    <row r="167" spans="1:25">
      <c r="P167" s="550" t="s">
        <v>714</v>
      </c>
      <c r="Q167" s="680">
        <f>+COUNTA(Q7:Q160)</f>
        <v>154</v>
      </c>
    </row>
    <row r="168" spans="1:25">
      <c r="P168" s="550" t="s">
        <v>708</v>
      </c>
      <c r="Q168">
        <f>+COUNTIF(R7:R160,"R")</f>
        <v>99</v>
      </c>
    </row>
    <row r="169" spans="1:25">
      <c r="P169" s="550" t="s">
        <v>709</v>
      </c>
      <c r="Q169" s="678">
        <f>+Q168/Q167</f>
        <v>0.6428571428571429</v>
      </c>
    </row>
    <row r="171" spans="1:25">
      <c r="P171" s="550" t="s">
        <v>715</v>
      </c>
      <c r="Q171" s="680">
        <f>+COUNTA(Q7:Q160)-COUNTA(Q107:Q142)</f>
        <v>118</v>
      </c>
      <c r="R171">
        <f>COUNTIF(T7:T160,"NO")</f>
        <v>118</v>
      </c>
    </row>
    <row r="172" spans="1:25">
      <c r="P172" s="550" t="s">
        <v>713</v>
      </c>
      <c r="Q172" s="680">
        <f>+COUNTIF(R7:R160,"R")-(Q167-Q171)</f>
        <v>63</v>
      </c>
      <c r="R172">
        <f>COUNTIFS(T7:T160,"NO",R7:R160,"R")</f>
        <v>63</v>
      </c>
    </row>
    <row r="173" spans="1:25">
      <c r="P173" s="550" t="s">
        <v>709</v>
      </c>
      <c r="Q173" s="678">
        <f>+Q172/Q171</f>
        <v>0.53389830508474578</v>
      </c>
      <c r="R173" s="678">
        <f>+R172/R171</f>
        <v>0.53389830508474578</v>
      </c>
    </row>
    <row r="174" spans="1:25">
      <c r="P174" s="550"/>
      <c r="Q174" s="678"/>
      <c r="R174" s="678"/>
    </row>
    <row r="175" spans="1:25">
      <c r="B175" s="503">
        <v>1</v>
      </c>
      <c r="C175">
        <v>2</v>
      </c>
      <c r="D175">
        <v>3</v>
      </c>
      <c r="E175">
        <v>4</v>
      </c>
      <c r="F175">
        <v>5</v>
      </c>
      <c r="G175">
        <v>6</v>
      </c>
      <c r="H175">
        <v>7</v>
      </c>
      <c r="I175">
        <v>8</v>
      </c>
      <c r="J175">
        <v>9</v>
      </c>
      <c r="K175">
        <v>10</v>
      </c>
      <c r="L175">
        <v>11</v>
      </c>
      <c r="M175">
        <v>12</v>
      </c>
      <c r="N175">
        <v>13</v>
      </c>
      <c r="O175">
        <v>14</v>
      </c>
      <c r="P175" s="503">
        <v>15</v>
      </c>
      <c r="Q175" s="503">
        <v>16</v>
      </c>
      <c r="R175" s="503">
        <v>17</v>
      </c>
      <c r="S175" s="503">
        <v>18</v>
      </c>
      <c r="T175" s="503">
        <v>19</v>
      </c>
      <c r="U175" s="503">
        <v>20</v>
      </c>
      <c r="V175" s="503">
        <v>16</v>
      </c>
    </row>
    <row r="176" spans="1:25">
      <c r="A176" s="555" t="s">
        <v>721</v>
      </c>
    </row>
    <row r="177" spans="1:24">
      <c r="C177" s="885" t="s">
        <v>695</v>
      </c>
      <c r="D177" s="885"/>
      <c r="E177" s="885"/>
      <c r="F177" s="885"/>
      <c r="G177" s="694"/>
      <c r="H177" s="694"/>
      <c r="I177" s="885" t="s">
        <v>696</v>
      </c>
      <c r="J177" s="885"/>
      <c r="K177" s="885"/>
      <c r="L177" s="885"/>
      <c r="M177" s="694"/>
      <c r="N177" s="694"/>
      <c r="P177" s="949" t="s">
        <v>725</v>
      </c>
      <c r="Q177" s="949"/>
      <c r="R177" s="949"/>
      <c r="S177" s="949"/>
      <c r="T177" s="949"/>
      <c r="U177" s="949"/>
      <c r="V177" s="949"/>
    </row>
    <row r="178" spans="1:24">
      <c r="B178" s="682" t="s">
        <v>7</v>
      </c>
      <c r="C178" s="682" t="s">
        <v>0</v>
      </c>
      <c r="D178" s="682" t="s">
        <v>5</v>
      </c>
      <c r="E178" s="682" t="s">
        <v>697</v>
      </c>
      <c r="F178" s="682" t="s">
        <v>698</v>
      </c>
      <c r="G178" s="694" t="s">
        <v>726</v>
      </c>
      <c r="H178" s="694" t="s">
        <v>727</v>
      </c>
      <c r="I178" s="682" t="s">
        <v>0</v>
      </c>
      <c r="J178" s="682" t="s">
        <v>5</v>
      </c>
      <c r="K178" s="682" t="s">
        <v>697</v>
      </c>
      <c r="L178" s="682" t="s">
        <v>698</v>
      </c>
      <c r="M178" s="694" t="s">
        <v>726</v>
      </c>
      <c r="N178" s="694" t="s">
        <v>727</v>
      </c>
      <c r="P178" s="698" t="s">
        <v>0</v>
      </c>
      <c r="Q178" s="698" t="s">
        <v>5</v>
      </c>
      <c r="R178" s="698" t="s">
        <v>697</v>
      </c>
      <c r="S178" s="698" t="s">
        <v>698</v>
      </c>
      <c r="T178" s="764" t="s">
        <v>726</v>
      </c>
      <c r="U178" s="764" t="s">
        <v>727</v>
      </c>
      <c r="V178" s="698" t="s">
        <v>8</v>
      </c>
      <c r="X178" s="555" t="s">
        <v>723</v>
      </c>
    </row>
    <row r="179" spans="1:24">
      <c r="A179" s="554"/>
      <c r="B179" t="s">
        <v>307</v>
      </c>
      <c r="C179" s="554">
        <f t="shared" ref="C179:N179" si="57">SUMIFS(C$7:C$160,$A$7:$A$160,$B179)</f>
        <v>29715239.799930274</v>
      </c>
      <c r="D179" s="554">
        <f t="shared" si="57"/>
        <v>3655359.9848920004</v>
      </c>
      <c r="E179" s="554">
        <f t="shared" si="57"/>
        <v>72508292.250239998</v>
      </c>
      <c r="F179" s="554">
        <f t="shared" si="57"/>
        <v>12010446.7696</v>
      </c>
      <c r="G179" s="554">
        <f t="shared" si="57"/>
        <v>420943.22496607993</v>
      </c>
      <c r="H179" s="554">
        <f t="shared" si="57"/>
        <v>2175775.6498033144</v>
      </c>
      <c r="I179" s="554">
        <f t="shared" si="57"/>
        <v>31465962.791609064</v>
      </c>
      <c r="J179" s="554">
        <f t="shared" si="57"/>
        <v>1422640.5239000006</v>
      </c>
      <c r="K179" s="554">
        <f t="shared" si="57"/>
        <v>66772780.790399998</v>
      </c>
      <c r="L179" s="554">
        <f t="shared" si="57"/>
        <v>12010446.7696</v>
      </c>
      <c r="M179" s="554">
        <f t="shared" si="57"/>
        <v>420943.22496607993</v>
      </c>
      <c r="N179" s="554">
        <f t="shared" si="57"/>
        <v>2175775.6498033144</v>
      </c>
      <c r="P179" s="699">
        <f t="shared" ref="P179:P207" si="58">+IF($X179&lt;0,I179,C179)</f>
        <v>31465962.791609064</v>
      </c>
      <c r="Q179" s="699">
        <f t="shared" ref="Q179:Q207" si="59">+IF($X179&lt;0,J179,D179)</f>
        <v>1422640.5239000006</v>
      </c>
      <c r="R179" s="699">
        <f t="shared" ref="R179:R207" si="60">+IF($X179&lt;0,K179,E179)</f>
        <v>66772780.790399998</v>
      </c>
      <c r="S179" s="699">
        <f t="shared" ref="S179:U207" si="61">+IF($X179&lt;0,L179,F179)</f>
        <v>12010446.7696</v>
      </c>
      <c r="T179" s="699">
        <f t="shared" si="61"/>
        <v>420943.22496607993</v>
      </c>
      <c r="U179" s="699">
        <f t="shared" si="61"/>
        <v>2175775.6498033144</v>
      </c>
      <c r="V179" s="701">
        <f>SUM(P179:U179)</f>
        <v>114268549.75027846</v>
      </c>
      <c r="X179" s="681">
        <f>+VLOOKUP(B179,A7:V106,$W$3,FALSE)</f>
        <v>-6.6737216126549814E-2</v>
      </c>
    </row>
    <row r="180" spans="1:24">
      <c r="A180" s="554"/>
      <c r="B180" t="s">
        <v>590</v>
      </c>
      <c r="C180" s="554">
        <f t="shared" ref="C180:I219" si="62">SUMIFS(C$7:C$160,$A$7:$A$160,$B180)</f>
        <v>11564103.042159973</v>
      </c>
      <c r="D180" s="554">
        <f t="shared" si="62"/>
        <v>2714376.4844859997</v>
      </c>
      <c r="E180" s="554">
        <f t="shared" si="62"/>
        <v>17203741.26568</v>
      </c>
      <c r="F180" s="554">
        <f t="shared" si="62"/>
        <v>8187460.4927679999</v>
      </c>
      <c r="G180" s="554">
        <f t="shared" si="62"/>
        <v>131669.11560712001</v>
      </c>
      <c r="H180" s="554">
        <f t="shared" si="62"/>
        <v>927386.41285093979</v>
      </c>
      <c r="I180" s="554">
        <f t="shared" si="62"/>
        <v>11682868.019018048</v>
      </c>
      <c r="J180" s="554">
        <f t="shared" ref="J180:N214" si="63">SUMIFS(J$7:J$160,$A$7:$A$160,$B180)</f>
        <v>848493.29338163882</v>
      </c>
      <c r="K180" s="554">
        <f t="shared" si="63"/>
        <v>14579173.335200001</v>
      </c>
      <c r="L180" s="554">
        <f t="shared" si="63"/>
        <v>8187460.4927679999</v>
      </c>
      <c r="M180" s="554">
        <f t="shared" si="63"/>
        <v>131669.11560712001</v>
      </c>
      <c r="N180" s="554">
        <f t="shared" si="63"/>
        <v>927386.41285093979</v>
      </c>
      <c r="P180" s="699">
        <f t="shared" si="58"/>
        <v>11682868.019018048</v>
      </c>
      <c r="Q180" s="699">
        <f t="shared" si="59"/>
        <v>848493.29338163882</v>
      </c>
      <c r="R180" s="699">
        <f t="shared" si="60"/>
        <v>14579173.335200001</v>
      </c>
      <c r="S180" s="699">
        <f t="shared" si="61"/>
        <v>8187460.4927679999</v>
      </c>
      <c r="T180" s="699">
        <f t="shared" si="61"/>
        <v>131669.11560712001</v>
      </c>
      <c r="U180" s="699">
        <f t="shared" si="61"/>
        <v>927386.41285093979</v>
      </c>
      <c r="V180" s="701">
        <f t="shared" ref="V180:V219" si="64">SUM(P180:U180)</f>
        <v>36357050.668825746</v>
      </c>
      <c r="X180" s="681">
        <f t="shared" ref="X180:X207" si="65">+VLOOKUP(B180,A8:V107,$W$3,FALSE)</f>
        <v>-0.18275952598270573</v>
      </c>
    </row>
    <row r="181" spans="1:24">
      <c r="A181" s="554"/>
      <c r="B181" t="s">
        <v>591</v>
      </c>
      <c r="C181" s="554">
        <f t="shared" si="62"/>
        <v>12177284.315928498</v>
      </c>
      <c r="D181" s="554">
        <f t="shared" si="62"/>
        <v>2277037.3102299999</v>
      </c>
      <c r="E181" s="554">
        <f t="shared" si="62"/>
        <v>22645294.347840004</v>
      </c>
      <c r="F181" s="554">
        <f t="shared" si="62"/>
        <v>7226624.7511999998</v>
      </c>
      <c r="G181" s="554">
        <f t="shared" si="62"/>
        <v>210275.4565588267</v>
      </c>
      <c r="H181" s="554">
        <f t="shared" si="62"/>
        <v>898726.40029620752</v>
      </c>
      <c r="I181" s="554">
        <f t="shared" si="62"/>
        <v>12916958.061333248</v>
      </c>
      <c r="J181" s="554">
        <f t="shared" si="63"/>
        <v>1158860.2348243417</v>
      </c>
      <c r="K181" s="554">
        <f t="shared" si="63"/>
        <v>17835727.9472</v>
      </c>
      <c r="L181" s="554">
        <f t="shared" si="63"/>
        <v>7226624.7511999998</v>
      </c>
      <c r="M181" s="554">
        <f t="shared" si="63"/>
        <v>210275.4565588267</v>
      </c>
      <c r="N181" s="554">
        <f t="shared" si="63"/>
        <v>898726.40029620752</v>
      </c>
      <c r="P181" s="699">
        <f t="shared" si="58"/>
        <v>12916958.061333248</v>
      </c>
      <c r="Q181" s="699">
        <f t="shared" si="59"/>
        <v>1158860.2348243417</v>
      </c>
      <c r="R181" s="699">
        <f t="shared" si="60"/>
        <v>17835727.9472</v>
      </c>
      <c r="S181" s="699">
        <f t="shared" si="61"/>
        <v>7226624.7511999998</v>
      </c>
      <c r="T181" s="699">
        <f t="shared" si="61"/>
        <v>210275.4565588267</v>
      </c>
      <c r="U181" s="699">
        <f t="shared" si="61"/>
        <v>898726.40029620752</v>
      </c>
      <c r="V181" s="701">
        <f t="shared" si="64"/>
        <v>40247172.851412624</v>
      </c>
      <c r="X181" s="681">
        <f t="shared" si="65"/>
        <v>-0.15221154686201077</v>
      </c>
    </row>
    <row r="182" spans="1:24">
      <c r="A182" s="554"/>
      <c r="B182" t="s">
        <v>592</v>
      </c>
      <c r="C182" s="554">
        <f t="shared" si="62"/>
        <v>6026701.504587261</v>
      </c>
      <c r="D182" s="554">
        <f t="shared" si="62"/>
        <v>1616010.6618039999</v>
      </c>
      <c r="E182" s="554">
        <f t="shared" si="62"/>
        <v>8081504.5507200006</v>
      </c>
      <c r="F182" s="554">
        <f t="shared" si="62"/>
        <v>2646369.6272</v>
      </c>
      <c r="G182" s="554">
        <f t="shared" si="62"/>
        <v>49761.067364560004</v>
      </c>
      <c r="H182" s="554">
        <f t="shared" si="62"/>
        <v>581723.06344311254</v>
      </c>
      <c r="I182" s="554">
        <f t="shared" si="62"/>
        <v>5955161.438071223</v>
      </c>
      <c r="J182" s="554">
        <f t="shared" si="63"/>
        <v>939984.37457200023</v>
      </c>
      <c r="K182" s="554">
        <f t="shared" si="63"/>
        <v>8341824.2368000019</v>
      </c>
      <c r="L182" s="554">
        <f t="shared" si="63"/>
        <v>2646369.6272</v>
      </c>
      <c r="M182" s="554">
        <f t="shared" si="63"/>
        <v>49761.067364560004</v>
      </c>
      <c r="N182" s="554">
        <f t="shared" si="63"/>
        <v>581723.06344311254</v>
      </c>
      <c r="P182" s="699">
        <f t="shared" si="58"/>
        <v>5955161.438071223</v>
      </c>
      <c r="Q182" s="699">
        <f t="shared" si="59"/>
        <v>939984.37457200023</v>
      </c>
      <c r="R182" s="699">
        <f t="shared" si="60"/>
        <v>8341824.2368000019</v>
      </c>
      <c r="S182" s="699">
        <f t="shared" si="61"/>
        <v>2646369.6272</v>
      </c>
      <c r="T182" s="699">
        <f t="shared" si="61"/>
        <v>49761.067364560004</v>
      </c>
      <c r="U182" s="699">
        <f t="shared" si="61"/>
        <v>581723.06344311254</v>
      </c>
      <c r="V182" s="701">
        <f t="shared" si="64"/>
        <v>18514823.807450898</v>
      </c>
      <c r="X182" s="681">
        <f t="shared" si="65"/>
        <v>-1.931280545906533E-2</v>
      </c>
    </row>
    <row r="183" spans="1:24">
      <c r="A183" s="554"/>
      <c r="B183" t="s">
        <v>593</v>
      </c>
      <c r="C183" s="554">
        <f t="shared" si="62"/>
        <v>8508220.0776142776</v>
      </c>
      <c r="D183" s="554">
        <f t="shared" si="62"/>
        <v>2151292.0638560001</v>
      </c>
      <c r="E183" s="554">
        <f t="shared" si="62"/>
        <v>13704083.748880001</v>
      </c>
      <c r="F183" s="554">
        <f t="shared" si="62"/>
        <v>1221401.3663999999</v>
      </c>
      <c r="G183" s="554">
        <f t="shared" si="62"/>
        <v>107932.0330064</v>
      </c>
      <c r="H183" s="554">
        <f t="shared" si="62"/>
        <v>574038.43608956388</v>
      </c>
      <c r="I183" s="554">
        <f t="shared" si="62"/>
        <v>9764529.2417479847</v>
      </c>
      <c r="J183" s="554">
        <f t="shared" si="63"/>
        <v>1832385.14008</v>
      </c>
      <c r="K183" s="554">
        <f t="shared" si="63"/>
        <v>14049696.193599999</v>
      </c>
      <c r="L183" s="554">
        <f t="shared" si="63"/>
        <v>1221401.3663999999</v>
      </c>
      <c r="M183" s="554">
        <f t="shared" si="63"/>
        <v>107932.0330064</v>
      </c>
      <c r="N183" s="554">
        <f t="shared" si="63"/>
        <v>574038.43608956388</v>
      </c>
      <c r="P183" s="699">
        <f t="shared" si="58"/>
        <v>8508220.0776142776</v>
      </c>
      <c r="Q183" s="699">
        <f t="shared" si="59"/>
        <v>2151292.0638560001</v>
      </c>
      <c r="R183" s="699">
        <f t="shared" si="60"/>
        <v>13704083.748880001</v>
      </c>
      <c r="S183" s="699">
        <f t="shared" si="61"/>
        <v>1221401.3663999999</v>
      </c>
      <c r="T183" s="699">
        <f t="shared" si="61"/>
        <v>107932.0330064</v>
      </c>
      <c r="U183" s="699">
        <f t="shared" si="61"/>
        <v>574038.43608956388</v>
      </c>
      <c r="V183" s="701">
        <f t="shared" si="64"/>
        <v>26266967.725846242</v>
      </c>
      <c r="X183" s="681">
        <f t="shared" si="65"/>
        <v>1.9457822621178789E-2</v>
      </c>
    </row>
    <row r="184" spans="1:24">
      <c r="A184" s="554"/>
      <c r="B184" t="s">
        <v>594</v>
      </c>
      <c r="C184" s="554">
        <f t="shared" si="62"/>
        <v>8418705.775699418</v>
      </c>
      <c r="D184" s="554">
        <f t="shared" si="62"/>
        <v>410477.13827200001</v>
      </c>
      <c r="E184" s="554">
        <f t="shared" si="62"/>
        <v>9585185.4240800012</v>
      </c>
      <c r="F184" s="554">
        <f t="shared" si="62"/>
        <v>9730497.5523199998</v>
      </c>
      <c r="G184" s="554">
        <f t="shared" si="62"/>
        <v>93605.79907306665</v>
      </c>
      <c r="H184" s="554">
        <f t="shared" si="62"/>
        <v>679465.85890371422</v>
      </c>
      <c r="I184" s="554">
        <f t="shared" si="62"/>
        <v>8546704.3676449284</v>
      </c>
      <c r="J184" s="554">
        <f t="shared" si="63"/>
        <v>217855.42066003353</v>
      </c>
      <c r="K184" s="554">
        <f t="shared" si="63"/>
        <v>10755382.754400004</v>
      </c>
      <c r="L184" s="554">
        <f t="shared" si="63"/>
        <v>9730497.5523199998</v>
      </c>
      <c r="M184" s="554">
        <f t="shared" si="63"/>
        <v>93605.79907306665</v>
      </c>
      <c r="N184" s="554">
        <f t="shared" si="63"/>
        <v>679465.85890371422</v>
      </c>
      <c r="P184" s="699">
        <f t="shared" si="58"/>
        <v>8546704.3676449284</v>
      </c>
      <c r="Q184" s="699">
        <f t="shared" si="59"/>
        <v>217855.42066003353</v>
      </c>
      <c r="R184" s="699">
        <f t="shared" si="60"/>
        <v>10755382.754400004</v>
      </c>
      <c r="S184" s="699">
        <f t="shared" si="61"/>
        <v>9730497.5523199998</v>
      </c>
      <c r="T184" s="699">
        <f t="shared" si="61"/>
        <v>93605.79907306665</v>
      </c>
      <c r="U184" s="699">
        <f t="shared" si="61"/>
        <v>679465.85890371422</v>
      </c>
      <c r="V184" s="701">
        <f t="shared" si="64"/>
        <v>30023511.753001746</v>
      </c>
      <c r="X184" s="681">
        <f t="shared" si="65"/>
        <v>-1.0208891347757154E-3</v>
      </c>
    </row>
    <row r="185" spans="1:24">
      <c r="A185" s="554"/>
      <c r="B185" t="s">
        <v>595</v>
      </c>
      <c r="C185" s="554">
        <f t="shared" si="62"/>
        <v>5959222.5945749385</v>
      </c>
      <c r="D185" s="554">
        <f t="shared" si="62"/>
        <v>2041805.6604160001</v>
      </c>
      <c r="E185" s="554">
        <f t="shared" si="62"/>
        <v>9478733.6958400011</v>
      </c>
      <c r="F185" s="554">
        <f t="shared" si="62"/>
        <v>0</v>
      </c>
      <c r="G185" s="554">
        <f t="shared" si="62"/>
        <v>48969.678948293324</v>
      </c>
      <c r="H185" s="554">
        <f t="shared" si="62"/>
        <v>572814.81950830936</v>
      </c>
      <c r="I185" s="554">
        <f t="shared" si="62"/>
        <v>5435021.3178081047</v>
      </c>
      <c r="J185" s="554">
        <f t="shared" si="63"/>
        <v>1354887.5523073408</v>
      </c>
      <c r="K185" s="554">
        <f t="shared" si="63"/>
        <v>11240949.507200001</v>
      </c>
      <c r="L185" s="554">
        <f t="shared" si="63"/>
        <v>0</v>
      </c>
      <c r="M185" s="554">
        <f t="shared" si="63"/>
        <v>48969.678948293324</v>
      </c>
      <c r="N185" s="554">
        <f t="shared" si="63"/>
        <v>572814.81950830936</v>
      </c>
      <c r="P185" s="699">
        <f t="shared" si="58"/>
        <v>5435021.3178081047</v>
      </c>
      <c r="Q185" s="699">
        <f t="shared" si="59"/>
        <v>1354887.5523073408</v>
      </c>
      <c r="R185" s="699">
        <f t="shared" si="60"/>
        <v>11240949.507200001</v>
      </c>
      <c r="S185" s="699">
        <f t="shared" si="61"/>
        <v>0</v>
      </c>
      <c r="T185" s="699">
        <f t="shared" si="61"/>
        <v>48969.678948293324</v>
      </c>
      <c r="U185" s="699">
        <f t="shared" si="61"/>
        <v>572814.81950830936</v>
      </c>
      <c r="V185" s="701">
        <f t="shared" si="64"/>
        <v>18652642.875772052</v>
      </c>
      <c r="X185" s="681">
        <f t="shared" si="65"/>
        <v>-1.5652585598091573E-2</v>
      </c>
    </row>
    <row r="186" spans="1:24">
      <c r="A186" s="554"/>
      <c r="B186" t="s">
        <v>597</v>
      </c>
      <c r="C186" s="554">
        <f t="shared" si="62"/>
        <v>8624604.8591662776</v>
      </c>
      <c r="D186" s="554">
        <f t="shared" si="62"/>
        <v>1795799.16768</v>
      </c>
      <c r="E186" s="554">
        <f t="shared" si="62"/>
        <v>2664334.1100000003</v>
      </c>
      <c r="F186" s="554">
        <f t="shared" si="62"/>
        <v>9673498.8218879998</v>
      </c>
      <c r="G186" s="554">
        <f t="shared" si="62"/>
        <v>44907.26677005332</v>
      </c>
      <c r="H186" s="554">
        <f t="shared" si="62"/>
        <v>890944.36958734272</v>
      </c>
      <c r="I186" s="554">
        <f t="shared" si="62"/>
        <v>8829747.7182694674</v>
      </c>
      <c r="J186" s="554">
        <f t="shared" si="63"/>
        <v>1691364.1990399999</v>
      </c>
      <c r="K186" s="554">
        <f t="shared" si="63"/>
        <v>8027083.2943999991</v>
      </c>
      <c r="L186" s="554">
        <f t="shared" si="63"/>
        <v>9673498.8218879998</v>
      </c>
      <c r="M186" s="554">
        <f t="shared" si="63"/>
        <v>44907.26677005332</v>
      </c>
      <c r="N186" s="554">
        <f t="shared" si="63"/>
        <v>890944.36958734272</v>
      </c>
      <c r="P186" s="699">
        <f t="shared" si="58"/>
        <v>8624604.8591662776</v>
      </c>
      <c r="Q186" s="699">
        <f t="shared" si="59"/>
        <v>1795799.16768</v>
      </c>
      <c r="R186" s="699">
        <f t="shared" si="60"/>
        <v>2664334.1100000003</v>
      </c>
      <c r="S186" s="699">
        <f t="shared" si="61"/>
        <v>9673498.8218879998</v>
      </c>
      <c r="T186" s="699">
        <f t="shared" si="61"/>
        <v>44907.26677005332</v>
      </c>
      <c r="U186" s="699">
        <f t="shared" si="61"/>
        <v>890944.36958734272</v>
      </c>
      <c r="V186" s="701">
        <f t="shared" si="64"/>
        <v>23694088.595091674</v>
      </c>
      <c r="X186" s="681">
        <f t="shared" si="65"/>
        <v>0.44483085525882826</v>
      </c>
    </row>
    <row r="187" spans="1:24">
      <c r="A187" s="554"/>
      <c r="B187" t="s">
        <v>596</v>
      </c>
      <c r="C187" s="554">
        <f t="shared" si="62"/>
        <v>11811201.106755413</v>
      </c>
      <c r="D187" s="554">
        <f t="shared" si="62"/>
        <v>3471338.8965812009</v>
      </c>
      <c r="E187" s="554">
        <f t="shared" si="62"/>
        <v>26203625.511200003</v>
      </c>
      <c r="F187" s="554">
        <f t="shared" si="62"/>
        <v>2182237.1079680002</v>
      </c>
      <c r="G187" s="554">
        <f t="shared" si="62"/>
        <v>145730.441154</v>
      </c>
      <c r="H187" s="554">
        <f t="shared" si="62"/>
        <v>876967.55904104596</v>
      </c>
      <c r="I187" s="554">
        <f t="shared" si="62"/>
        <v>12797526.66572752</v>
      </c>
      <c r="J187" s="554">
        <f t="shared" si="63"/>
        <v>987047.34384089336</v>
      </c>
      <c r="K187" s="554">
        <f t="shared" si="63"/>
        <v>16176295.961599998</v>
      </c>
      <c r="L187" s="554">
        <f t="shared" si="63"/>
        <v>2182237.1079680002</v>
      </c>
      <c r="M187" s="554">
        <f t="shared" si="63"/>
        <v>145730.441154</v>
      </c>
      <c r="N187" s="554">
        <f t="shared" si="63"/>
        <v>876967.55904104596</v>
      </c>
      <c r="P187" s="699">
        <f t="shared" si="58"/>
        <v>12797526.66572752</v>
      </c>
      <c r="Q187" s="699">
        <f t="shared" si="59"/>
        <v>987047.34384089336</v>
      </c>
      <c r="R187" s="699">
        <f t="shared" si="60"/>
        <v>16176295.961599998</v>
      </c>
      <c r="S187" s="699">
        <f t="shared" si="61"/>
        <v>2182237.1079680002</v>
      </c>
      <c r="T187" s="699">
        <f t="shared" si="61"/>
        <v>145730.441154</v>
      </c>
      <c r="U187" s="699">
        <f t="shared" si="61"/>
        <v>876967.55904104596</v>
      </c>
      <c r="V187" s="701">
        <f t="shared" si="64"/>
        <v>33165805.079331458</v>
      </c>
      <c r="X187" s="681">
        <f t="shared" si="65"/>
        <v>-0.26264216243707283</v>
      </c>
    </row>
    <row r="188" spans="1:24">
      <c r="A188" s="554"/>
      <c r="B188" t="s">
        <v>598</v>
      </c>
      <c r="C188" s="554">
        <f t="shared" si="62"/>
        <v>8078235.8470378863</v>
      </c>
      <c r="D188" s="554">
        <f t="shared" si="62"/>
        <v>1438086.9550119999</v>
      </c>
      <c r="E188" s="554">
        <f t="shared" si="62"/>
        <v>8836686.2950400002</v>
      </c>
      <c r="F188" s="554">
        <f t="shared" si="62"/>
        <v>7432227.3145439997</v>
      </c>
      <c r="G188" s="554">
        <f t="shared" si="62"/>
        <v>75136.635899893328</v>
      </c>
      <c r="H188" s="554">
        <f t="shared" si="62"/>
        <v>655869.56411633897</v>
      </c>
      <c r="I188" s="554">
        <f t="shared" si="62"/>
        <v>8205850.9942974504</v>
      </c>
      <c r="J188" s="554">
        <f t="shared" si="63"/>
        <v>836386.70550000004</v>
      </c>
      <c r="K188" s="554">
        <f t="shared" si="63"/>
        <v>9515490.8368000016</v>
      </c>
      <c r="L188" s="554">
        <f t="shared" si="63"/>
        <v>7432227.3145439997</v>
      </c>
      <c r="M188" s="554">
        <f t="shared" si="63"/>
        <v>75136.635899893328</v>
      </c>
      <c r="N188" s="554">
        <f t="shared" si="63"/>
        <v>655869.56411633897</v>
      </c>
      <c r="P188" s="699">
        <f t="shared" si="58"/>
        <v>8205850.9942974504</v>
      </c>
      <c r="Q188" s="699">
        <f t="shared" si="59"/>
        <v>836386.70550000004</v>
      </c>
      <c r="R188" s="699">
        <f t="shared" si="60"/>
        <v>9515490.8368000016</v>
      </c>
      <c r="S188" s="699">
        <f t="shared" si="61"/>
        <v>7432227.3145439997</v>
      </c>
      <c r="T188" s="699">
        <f t="shared" si="61"/>
        <v>75136.635899893328</v>
      </c>
      <c r="U188" s="699">
        <f t="shared" si="61"/>
        <v>655869.56411633897</v>
      </c>
      <c r="V188" s="701">
        <f t="shared" si="64"/>
        <v>26720962.051157687</v>
      </c>
      <c r="X188" s="681">
        <f t="shared" si="65"/>
        <v>-8.5003199941011687E-3</v>
      </c>
    </row>
    <row r="189" spans="1:24">
      <c r="A189" s="554"/>
      <c r="B189" t="s">
        <v>599</v>
      </c>
      <c r="C189" s="554">
        <f t="shared" si="62"/>
        <v>12825868.161119072</v>
      </c>
      <c r="D189" s="554">
        <f t="shared" si="62"/>
        <v>1772282.240952</v>
      </c>
      <c r="E189" s="554">
        <f t="shared" si="62"/>
        <v>11194452.359759999</v>
      </c>
      <c r="F189" s="554">
        <f t="shared" si="62"/>
        <v>10829758.78208</v>
      </c>
      <c r="G189" s="554">
        <f t="shared" si="62"/>
        <v>129177.07628165334</v>
      </c>
      <c r="H189" s="554">
        <f t="shared" si="62"/>
        <v>1029585.6154391107</v>
      </c>
      <c r="I189" s="554">
        <f t="shared" si="62"/>
        <v>12789457.20018081</v>
      </c>
      <c r="J189" s="554">
        <f t="shared" si="63"/>
        <v>538318.99269940727</v>
      </c>
      <c r="K189" s="554">
        <f t="shared" si="63"/>
        <v>12743414.1664</v>
      </c>
      <c r="L189" s="554">
        <f t="shared" si="63"/>
        <v>10829758.78208</v>
      </c>
      <c r="M189" s="554">
        <f t="shared" si="63"/>
        <v>129177.07628165334</v>
      </c>
      <c r="N189" s="554">
        <f t="shared" si="63"/>
        <v>1029585.6154391107</v>
      </c>
      <c r="P189" s="699">
        <f t="shared" si="58"/>
        <v>12789457.20018081</v>
      </c>
      <c r="Q189" s="699">
        <f t="shared" si="59"/>
        <v>538318.99269940727</v>
      </c>
      <c r="R189" s="699">
        <f t="shared" si="60"/>
        <v>12743414.1664</v>
      </c>
      <c r="S189" s="699">
        <f t="shared" si="61"/>
        <v>10829758.78208</v>
      </c>
      <c r="T189" s="699">
        <f t="shared" si="61"/>
        <v>129177.07628165334</v>
      </c>
      <c r="U189" s="699">
        <f t="shared" si="61"/>
        <v>1029585.6154391107</v>
      </c>
      <c r="V189" s="701">
        <f t="shared" si="64"/>
        <v>38059711.833080977</v>
      </c>
      <c r="X189" s="681">
        <f t="shared" si="65"/>
        <v>-1.3735011346983295E-2</v>
      </c>
    </row>
    <row r="190" spans="1:24">
      <c r="A190" s="554"/>
      <c r="B190" t="s">
        <v>600</v>
      </c>
      <c r="C190" s="554">
        <f t="shared" si="62"/>
        <v>9153967.6324016601</v>
      </c>
      <c r="D190" s="554">
        <f t="shared" si="62"/>
        <v>1813083.8603440002</v>
      </c>
      <c r="E190" s="554">
        <f t="shared" si="62"/>
        <v>11002440.388560001</v>
      </c>
      <c r="F190" s="554">
        <f t="shared" si="62"/>
        <v>5740586.4220799999</v>
      </c>
      <c r="G190" s="554">
        <f t="shared" si="62"/>
        <v>67923.467786826659</v>
      </c>
      <c r="H190" s="554">
        <f t="shared" si="62"/>
        <v>940462.78303385654</v>
      </c>
      <c r="I190" s="554">
        <f t="shared" si="62"/>
        <v>9047207.5986279584</v>
      </c>
      <c r="J190" s="554">
        <f t="shared" si="63"/>
        <v>925559.56235679239</v>
      </c>
      <c r="K190" s="554">
        <f t="shared" si="63"/>
        <v>11089020.5272</v>
      </c>
      <c r="L190" s="554">
        <f t="shared" si="63"/>
        <v>5740586.4220799999</v>
      </c>
      <c r="M190" s="554">
        <f t="shared" si="63"/>
        <v>67923.467786826659</v>
      </c>
      <c r="N190" s="554">
        <f t="shared" si="63"/>
        <v>940462.78303385654</v>
      </c>
      <c r="P190" s="699">
        <f t="shared" si="58"/>
        <v>9047207.5986279584</v>
      </c>
      <c r="Q190" s="699">
        <f t="shared" si="59"/>
        <v>925559.56235679239</v>
      </c>
      <c r="R190" s="699">
        <f t="shared" si="60"/>
        <v>11089020.5272</v>
      </c>
      <c r="S190" s="699">
        <f t="shared" si="61"/>
        <v>5740586.4220799999</v>
      </c>
      <c r="T190" s="699">
        <f t="shared" si="61"/>
        <v>67923.467786826659</v>
      </c>
      <c r="U190" s="699">
        <f t="shared" si="61"/>
        <v>940462.78303385654</v>
      </c>
      <c r="V190" s="701">
        <f t="shared" si="64"/>
        <v>27810760.361085434</v>
      </c>
      <c r="X190" s="681">
        <f t="shared" si="65"/>
        <v>-2.5994268410609478E-2</v>
      </c>
    </row>
    <row r="191" spans="1:24">
      <c r="A191" s="554"/>
      <c r="B191" t="s">
        <v>601</v>
      </c>
      <c r="C191" s="554">
        <f t="shared" si="62"/>
        <v>12169568.089115664</v>
      </c>
      <c r="D191" s="554">
        <f t="shared" si="62"/>
        <v>5427502.0149760004</v>
      </c>
      <c r="E191" s="554">
        <f t="shared" si="62"/>
        <v>24655503.890080005</v>
      </c>
      <c r="F191" s="554">
        <f t="shared" si="62"/>
        <v>11481172.84416</v>
      </c>
      <c r="G191" s="554">
        <f t="shared" si="62"/>
        <v>153626.40845701331</v>
      </c>
      <c r="H191" s="554">
        <f t="shared" si="62"/>
        <v>1068027.0683833167</v>
      </c>
      <c r="I191" s="554">
        <f t="shared" si="62"/>
        <v>12705131.971848898</v>
      </c>
      <c r="J191" s="554">
        <f t="shared" si="63"/>
        <v>1972949.0700800002</v>
      </c>
      <c r="K191" s="554">
        <f t="shared" si="63"/>
        <v>15455770.458400004</v>
      </c>
      <c r="L191" s="554">
        <f t="shared" si="63"/>
        <v>11481172.84416</v>
      </c>
      <c r="M191" s="554">
        <f t="shared" si="63"/>
        <v>153626.40845701331</v>
      </c>
      <c r="N191" s="554">
        <f t="shared" si="63"/>
        <v>1068027.0683833167</v>
      </c>
      <c r="P191" s="699">
        <f t="shared" si="58"/>
        <v>12705131.971848898</v>
      </c>
      <c r="Q191" s="699">
        <f t="shared" si="59"/>
        <v>1972949.0700800002</v>
      </c>
      <c r="R191" s="699">
        <f t="shared" si="60"/>
        <v>15455770.458400004</v>
      </c>
      <c r="S191" s="699">
        <f t="shared" si="61"/>
        <v>11481172.84416</v>
      </c>
      <c r="T191" s="699">
        <f t="shared" si="61"/>
        <v>153626.40845701331</v>
      </c>
      <c r="U191" s="699">
        <f t="shared" si="61"/>
        <v>1068027.0683833167</v>
      </c>
      <c r="V191" s="701">
        <f t="shared" si="64"/>
        <v>42836677.821329229</v>
      </c>
      <c r="X191" s="681">
        <f t="shared" si="65"/>
        <v>-0.28942583570696323</v>
      </c>
    </row>
    <row r="192" spans="1:24">
      <c r="A192" s="554"/>
      <c r="B192" t="s">
        <v>602</v>
      </c>
      <c r="C192" s="554">
        <f t="shared" si="62"/>
        <v>11403490.980029164</v>
      </c>
      <c r="D192" s="554">
        <f t="shared" si="62"/>
        <v>2663890.1260879999</v>
      </c>
      <c r="E192" s="554">
        <f t="shared" si="62"/>
        <v>10279269.21424</v>
      </c>
      <c r="F192" s="554">
        <f t="shared" si="62"/>
        <v>6237289.6444159998</v>
      </c>
      <c r="G192" s="554">
        <f t="shared" si="62"/>
        <v>102652.7251296</v>
      </c>
      <c r="H192" s="554">
        <f t="shared" si="62"/>
        <v>969201.39964773168</v>
      </c>
      <c r="I192" s="554">
        <f t="shared" si="62"/>
        <v>11260226.766607061</v>
      </c>
      <c r="J192" s="554">
        <f t="shared" si="63"/>
        <v>1558325.5729691393</v>
      </c>
      <c r="K192" s="554">
        <f t="shared" si="63"/>
        <v>11513066.9824</v>
      </c>
      <c r="L192" s="554">
        <f t="shared" si="63"/>
        <v>6237289.6444159998</v>
      </c>
      <c r="M192" s="554">
        <f t="shared" si="63"/>
        <v>102652.7251296</v>
      </c>
      <c r="N192" s="554">
        <f t="shared" si="63"/>
        <v>969201.39964773168</v>
      </c>
      <c r="P192" s="699">
        <f t="shared" si="58"/>
        <v>11260226.766607061</v>
      </c>
      <c r="Q192" s="699">
        <f t="shared" si="59"/>
        <v>1558325.5729691393</v>
      </c>
      <c r="R192" s="699">
        <f t="shared" si="60"/>
        <v>11513066.9824</v>
      </c>
      <c r="S192" s="699">
        <f t="shared" si="61"/>
        <v>6237289.6444159998</v>
      </c>
      <c r="T192" s="699">
        <f t="shared" si="61"/>
        <v>102652.7251296</v>
      </c>
      <c r="U192" s="699">
        <f t="shared" si="61"/>
        <v>969201.39964773168</v>
      </c>
      <c r="V192" s="701">
        <f t="shared" si="64"/>
        <v>31640763.091169532</v>
      </c>
      <c r="X192" s="681">
        <f t="shared" si="65"/>
        <v>-2.1269145347506457E-2</v>
      </c>
    </row>
    <row r="193" spans="1:24">
      <c r="A193" s="554"/>
      <c r="B193" t="s">
        <v>603</v>
      </c>
      <c r="C193" s="554">
        <f t="shared" si="62"/>
        <v>4783047.9182650261</v>
      </c>
      <c r="D193" s="554">
        <f t="shared" si="62"/>
        <v>1077479.500608</v>
      </c>
      <c r="E193" s="554">
        <f t="shared" si="62"/>
        <v>1416945.6863199999</v>
      </c>
      <c r="F193" s="554">
        <f t="shared" si="62"/>
        <v>1628535.1551999999</v>
      </c>
      <c r="G193" s="554">
        <f t="shared" si="62"/>
        <v>38711.732762559994</v>
      </c>
      <c r="H193" s="554">
        <f t="shared" si="62"/>
        <v>487077.28260393022</v>
      </c>
      <c r="I193" s="554">
        <f t="shared" si="62"/>
        <v>4819891.5742451204</v>
      </c>
      <c r="J193" s="554">
        <f t="shared" si="63"/>
        <v>359159.83353599999</v>
      </c>
      <c r="K193" s="554">
        <f t="shared" si="63"/>
        <v>751774.27319999994</v>
      </c>
      <c r="L193" s="554">
        <f t="shared" si="63"/>
        <v>1628535.1551999999</v>
      </c>
      <c r="M193" s="554">
        <f t="shared" si="63"/>
        <v>38711.732762559994</v>
      </c>
      <c r="N193" s="554">
        <f t="shared" si="63"/>
        <v>487077.28260393022</v>
      </c>
      <c r="P193" s="699">
        <f t="shared" si="58"/>
        <v>4819891.5742451204</v>
      </c>
      <c r="Q193" s="699">
        <f t="shared" si="59"/>
        <v>359159.83353599999</v>
      </c>
      <c r="R193" s="699">
        <f t="shared" si="60"/>
        <v>751774.27319999994</v>
      </c>
      <c r="S193" s="699">
        <f t="shared" si="61"/>
        <v>1628535.1551999999</v>
      </c>
      <c r="T193" s="699">
        <f t="shared" si="61"/>
        <v>38711.732762559994</v>
      </c>
      <c r="U193" s="699">
        <f t="shared" si="61"/>
        <v>487077.28260393022</v>
      </c>
      <c r="V193" s="701">
        <f t="shared" si="64"/>
        <v>8085149.85154761</v>
      </c>
      <c r="X193" s="681">
        <f t="shared" si="65"/>
        <v>-7.9313768638467286E-2</v>
      </c>
    </row>
    <row r="194" spans="1:24">
      <c r="A194" s="554"/>
      <c r="B194" t="s">
        <v>604</v>
      </c>
      <c r="C194" s="554">
        <f t="shared" si="62"/>
        <v>16456525.8896439</v>
      </c>
      <c r="D194" s="554">
        <f t="shared" si="62"/>
        <v>4167590.1605020002</v>
      </c>
      <c r="E194" s="554">
        <f t="shared" si="62"/>
        <v>29067245.77352</v>
      </c>
      <c r="F194" s="554">
        <f t="shared" si="62"/>
        <v>20938890.757984001</v>
      </c>
      <c r="G194" s="554">
        <f t="shared" si="62"/>
        <v>240688.22092615999</v>
      </c>
      <c r="H194" s="554">
        <f t="shared" si="62"/>
        <v>1510211.0795902507</v>
      </c>
      <c r="I194" s="554">
        <f t="shared" si="62"/>
        <v>17383640.250442978</v>
      </c>
      <c r="J194" s="554">
        <f t="shared" si="63"/>
        <v>2078028.5679081099</v>
      </c>
      <c r="K194" s="554">
        <f t="shared" si="63"/>
        <v>24654628.280800004</v>
      </c>
      <c r="L194" s="554">
        <f t="shared" si="63"/>
        <v>20938890.757984001</v>
      </c>
      <c r="M194" s="554">
        <f t="shared" si="63"/>
        <v>240688.22092615999</v>
      </c>
      <c r="N194" s="554">
        <f t="shared" si="63"/>
        <v>1510211.0795902507</v>
      </c>
      <c r="P194" s="699">
        <f t="shared" si="58"/>
        <v>17383640.250442978</v>
      </c>
      <c r="Q194" s="699">
        <f t="shared" si="59"/>
        <v>2078028.5679081099</v>
      </c>
      <c r="R194" s="699">
        <f t="shared" si="60"/>
        <v>24654628.280800004</v>
      </c>
      <c r="S194" s="699">
        <f t="shared" si="61"/>
        <v>20938890.757984001</v>
      </c>
      <c r="T194" s="699">
        <f t="shared" si="61"/>
        <v>240688.22092615999</v>
      </c>
      <c r="U194" s="699">
        <f t="shared" si="61"/>
        <v>1510211.0795902507</v>
      </c>
      <c r="V194" s="701">
        <f t="shared" si="64"/>
        <v>66806087.157651499</v>
      </c>
      <c r="X194" s="681">
        <f t="shared" si="65"/>
        <v>-0.13763771351176246</v>
      </c>
    </row>
    <row r="195" spans="1:24">
      <c r="A195" s="554"/>
      <c r="B195" t="s">
        <v>605</v>
      </c>
      <c r="C195" s="554">
        <f t="shared" si="62"/>
        <v>5617743.4038319113</v>
      </c>
      <c r="D195" s="554">
        <f t="shared" si="62"/>
        <v>1647595.2225200001</v>
      </c>
      <c r="E195" s="554">
        <f t="shared" si="62"/>
        <v>9116815.72456</v>
      </c>
      <c r="F195" s="554">
        <f t="shared" si="62"/>
        <v>6273931.6854079999</v>
      </c>
      <c r="G195" s="554">
        <f t="shared" si="62"/>
        <v>81808.163563440001</v>
      </c>
      <c r="H195" s="554">
        <f t="shared" si="62"/>
        <v>491905.66036319913</v>
      </c>
      <c r="I195" s="554">
        <f t="shared" ref="I195:N219" si="66">SUMIFS(I$7:I$160,$A$7:$A$160,$B195)</f>
        <v>6168410.200835811</v>
      </c>
      <c r="J195" s="554">
        <f t="shared" si="63"/>
        <v>1318300.4510640004</v>
      </c>
      <c r="K195" s="554">
        <f t="shared" si="63"/>
        <v>9370703.5896000005</v>
      </c>
      <c r="L195" s="554">
        <f t="shared" si="63"/>
        <v>6273931.6854079999</v>
      </c>
      <c r="M195" s="554">
        <f t="shared" si="63"/>
        <v>81808.163563440001</v>
      </c>
      <c r="N195" s="554">
        <f t="shared" si="63"/>
        <v>491905.66036319913</v>
      </c>
      <c r="P195" s="699">
        <f t="shared" si="58"/>
        <v>5617743.4038319113</v>
      </c>
      <c r="Q195" s="699">
        <f t="shared" si="59"/>
        <v>1647595.2225200001</v>
      </c>
      <c r="R195" s="699">
        <f t="shared" si="60"/>
        <v>9116815.72456</v>
      </c>
      <c r="S195" s="699">
        <f t="shared" si="61"/>
        <v>6273931.6854079999</v>
      </c>
      <c r="T195" s="699">
        <f t="shared" si="61"/>
        <v>81808.163563440001</v>
      </c>
      <c r="U195" s="699">
        <f t="shared" si="61"/>
        <v>491905.66036319913</v>
      </c>
      <c r="V195" s="701">
        <f t="shared" si="64"/>
        <v>23229799.86024655</v>
      </c>
      <c r="X195" s="681">
        <f t="shared" si="65"/>
        <v>5.709323737072669E-3</v>
      </c>
    </row>
    <row r="196" spans="1:24">
      <c r="A196" s="554"/>
      <c r="B196" t="s">
        <v>606</v>
      </c>
      <c r="C196" s="554">
        <f t="shared" si="62"/>
        <v>5755534.8936665282</v>
      </c>
      <c r="D196" s="554">
        <f t="shared" si="62"/>
        <v>868012.03495800018</v>
      </c>
      <c r="E196" s="554">
        <f t="shared" si="62"/>
        <v>7811503.2125599999</v>
      </c>
      <c r="F196" s="554">
        <f t="shared" si="62"/>
        <v>10648584.246064</v>
      </c>
      <c r="G196" s="554">
        <f t="shared" si="62"/>
        <v>36978.43980136</v>
      </c>
      <c r="H196" s="554">
        <f t="shared" si="62"/>
        <v>516181.14387248526</v>
      </c>
      <c r="I196" s="554">
        <f t="shared" si="66"/>
        <v>6197686.8445474803</v>
      </c>
      <c r="J196" s="554">
        <f t="shared" si="63"/>
        <v>615888.28502199997</v>
      </c>
      <c r="K196" s="554">
        <f t="shared" si="63"/>
        <v>8417632.7647999991</v>
      </c>
      <c r="L196" s="554">
        <f t="shared" si="63"/>
        <v>10648584.246064</v>
      </c>
      <c r="M196" s="554">
        <f t="shared" si="63"/>
        <v>36978.43980136</v>
      </c>
      <c r="N196" s="554">
        <f t="shared" si="63"/>
        <v>516181.14387248526</v>
      </c>
      <c r="P196" s="699">
        <f t="shared" si="58"/>
        <v>5755534.8936665282</v>
      </c>
      <c r="Q196" s="699">
        <f t="shared" si="59"/>
        <v>868012.03495800018</v>
      </c>
      <c r="R196" s="699">
        <f t="shared" si="60"/>
        <v>7811503.2125599999</v>
      </c>
      <c r="S196" s="699">
        <f t="shared" si="61"/>
        <v>10648584.246064</v>
      </c>
      <c r="T196" s="699">
        <f t="shared" si="61"/>
        <v>36978.43980136</v>
      </c>
      <c r="U196" s="699">
        <f t="shared" si="61"/>
        <v>516181.14387248526</v>
      </c>
      <c r="V196" s="701">
        <f t="shared" si="64"/>
        <v>25636793.970922373</v>
      </c>
      <c r="X196" s="681">
        <f t="shared" si="65"/>
        <v>1.1671420800388521E-2</v>
      </c>
    </row>
    <row r="197" spans="1:24">
      <c r="A197" s="554"/>
      <c r="B197" t="s">
        <v>607</v>
      </c>
      <c r="C197" s="554">
        <f t="shared" si="62"/>
        <v>16458351.470521236</v>
      </c>
      <c r="D197" s="554">
        <f t="shared" si="62"/>
        <v>4523550.9250120008</v>
      </c>
      <c r="E197" s="554">
        <f t="shared" si="62"/>
        <v>30274955.031440005</v>
      </c>
      <c r="F197" s="554">
        <f t="shared" si="62"/>
        <v>6107006.8320000004</v>
      </c>
      <c r="G197" s="554">
        <f t="shared" si="62"/>
        <v>245344.33631818666</v>
      </c>
      <c r="H197" s="554">
        <f t="shared" si="62"/>
        <v>1289344.638081322</v>
      </c>
      <c r="I197" s="554">
        <f t="shared" si="66"/>
        <v>17382142.644042108</v>
      </c>
      <c r="J197" s="554">
        <f t="shared" si="63"/>
        <v>1647075.7137908058</v>
      </c>
      <c r="K197" s="554">
        <f t="shared" si="63"/>
        <v>21135403.0328</v>
      </c>
      <c r="L197" s="554">
        <f t="shared" si="63"/>
        <v>6107006.8320000004</v>
      </c>
      <c r="M197" s="554">
        <f t="shared" si="63"/>
        <v>245344.33631818666</v>
      </c>
      <c r="N197" s="554">
        <f t="shared" si="63"/>
        <v>1289344.638081322</v>
      </c>
      <c r="P197" s="699">
        <f t="shared" si="58"/>
        <v>17382142.644042108</v>
      </c>
      <c r="Q197" s="699">
        <f t="shared" si="59"/>
        <v>1647075.7137908058</v>
      </c>
      <c r="R197" s="699">
        <f t="shared" si="60"/>
        <v>21135403.0328</v>
      </c>
      <c r="S197" s="699">
        <f t="shared" si="61"/>
        <v>6107006.8320000004</v>
      </c>
      <c r="T197" s="699">
        <f t="shared" si="61"/>
        <v>245344.33631818666</v>
      </c>
      <c r="U197" s="699">
        <f t="shared" si="61"/>
        <v>1289344.638081322</v>
      </c>
      <c r="V197" s="701">
        <f t="shared" si="64"/>
        <v>47806317.197032422</v>
      </c>
      <c r="X197" s="681">
        <f t="shared" si="65"/>
        <v>-0.23808156355278964</v>
      </c>
    </row>
    <row r="198" spans="1:24">
      <c r="A198" s="554"/>
      <c r="B198" t="s">
        <v>608</v>
      </c>
      <c r="C198" s="554">
        <f t="shared" si="62"/>
        <v>9157757.0074833483</v>
      </c>
      <c r="D198" s="554">
        <f t="shared" si="62"/>
        <v>2447488.211776</v>
      </c>
      <c r="E198" s="554">
        <f t="shared" si="62"/>
        <v>18883705.435040001</v>
      </c>
      <c r="F198" s="554">
        <f t="shared" si="62"/>
        <v>5492234.810912</v>
      </c>
      <c r="G198" s="554">
        <f t="shared" si="62"/>
        <v>132161.23436207999</v>
      </c>
      <c r="H198" s="554">
        <f t="shared" si="62"/>
        <v>701479.41717864724</v>
      </c>
      <c r="I198" s="554">
        <f t="shared" si="66"/>
        <v>10659139.940925023</v>
      </c>
      <c r="J198" s="554">
        <f t="shared" si="63"/>
        <v>2148614.9942399999</v>
      </c>
      <c r="K198" s="554">
        <f t="shared" si="63"/>
        <v>19506503.6536</v>
      </c>
      <c r="L198" s="554">
        <f t="shared" si="63"/>
        <v>5492234.810912</v>
      </c>
      <c r="M198" s="554">
        <f t="shared" si="63"/>
        <v>132161.23436207999</v>
      </c>
      <c r="N198" s="554">
        <f t="shared" si="63"/>
        <v>701479.41717864724</v>
      </c>
      <c r="P198" s="699">
        <f t="shared" si="58"/>
        <v>9157757.0074833483</v>
      </c>
      <c r="Q198" s="699">
        <f t="shared" si="59"/>
        <v>2447488.211776</v>
      </c>
      <c r="R198" s="699">
        <f t="shared" si="60"/>
        <v>18883705.435040001</v>
      </c>
      <c r="S198" s="699">
        <f t="shared" si="61"/>
        <v>5492234.810912</v>
      </c>
      <c r="T198" s="699">
        <f t="shared" si="61"/>
        <v>132161.23436207999</v>
      </c>
      <c r="U198" s="699">
        <f t="shared" si="61"/>
        <v>701479.41717864724</v>
      </c>
      <c r="V198" s="701">
        <f t="shared" si="64"/>
        <v>36814826.116752073</v>
      </c>
      <c r="X198" s="681">
        <f t="shared" si="65"/>
        <v>2.7108830880054002E-2</v>
      </c>
    </row>
    <row r="199" spans="1:24">
      <c r="A199" s="554"/>
      <c r="B199" t="s">
        <v>609</v>
      </c>
      <c r="C199" s="554">
        <f t="shared" si="62"/>
        <v>18202490.486708451</v>
      </c>
      <c r="D199" s="554">
        <f t="shared" si="62"/>
        <v>7970166.8112300001</v>
      </c>
      <c r="E199" s="554">
        <f t="shared" si="62"/>
        <v>50818599.38880001</v>
      </c>
      <c r="F199" s="554">
        <f t="shared" si="62"/>
        <v>9547287.34736</v>
      </c>
      <c r="G199" s="554">
        <f t="shared" si="62"/>
        <v>263356.84354029334</v>
      </c>
      <c r="H199" s="554">
        <f t="shared" si="62"/>
        <v>1587548.4383232426</v>
      </c>
      <c r="I199" s="554">
        <f t="shared" si="66"/>
        <v>19396850.156166904</v>
      </c>
      <c r="J199" s="554">
        <f t="shared" si="63"/>
        <v>1684034.9865900006</v>
      </c>
      <c r="K199" s="554">
        <f t="shared" si="63"/>
        <v>29783390.867200002</v>
      </c>
      <c r="L199" s="554">
        <f t="shared" si="63"/>
        <v>9547287.34736</v>
      </c>
      <c r="M199" s="554">
        <f t="shared" si="63"/>
        <v>263356.84354029334</v>
      </c>
      <c r="N199" s="554">
        <f t="shared" si="63"/>
        <v>1587548.4383232426</v>
      </c>
      <c r="P199" s="699">
        <f t="shared" si="58"/>
        <v>19396850.156166904</v>
      </c>
      <c r="Q199" s="699">
        <f t="shared" si="59"/>
        <v>1684034.9865900006</v>
      </c>
      <c r="R199" s="699">
        <f t="shared" si="60"/>
        <v>29783390.867200002</v>
      </c>
      <c r="S199" s="699">
        <f t="shared" si="61"/>
        <v>9547287.34736</v>
      </c>
      <c r="T199" s="699">
        <f t="shared" si="61"/>
        <v>263356.84354029334</v>
      </c>
      <c r="U199" s="699">
        <f t="shared" si="61"/>
        <v>1587548.4383232426</v>
      </c>
      <c r="V199" s="701">
        <f t="shared" si="64"/>
        <v>62262468.639180452</v>
      </c>
      <c r="X199" s="681">
        <f t="shared" si="65"/>
        <v>-0.36284114799560929</v>
      </c>
    </row>
    <row r="200" spans="1:24">
      <c r="A200" s="554"/>
      <c r="B200" t="s">
        <v>610</v>
      </c>
      <c r="C200" s="554">
        <f t="shared" si="62"/>
        <v>11403032.468788374</v>
      </c>
      <c r="D200" s="554">
        <f t="shared" si="62"/>
        <v>1486573.6247360001</v>
      </c>
      <c r="E200" s="554">
        <f t="shared" si="62"/>
        <v>31305981.652080003</v>
      </c>
      <c r="F200" s="554">
        <f t="shared" si="62"/>
        <v>3745630.85696</v>
      </c>
      <c r="G200" s="554">
        <f t="shared" si="62"/>
        <v>245272.23066095999</v>
      </c>
      <c r="H200" s="554">
        <f t="shared" si="62"/>
        <v>955210.90249422553</v>
      </c>
      <c r="I200" s="554">
        <f t="shared" si="66"/>
        <v>11762828.315912148</v>
      </c>
      <c r="J200" s="554">
        <f t="shared" si="63"/>
        <v>905521.94486399996</v>
      </c>
      <c r="K200" s="554">
        <f t="shared" si="63"/>
        <v>26846483.520800002</v>
      </c>
      <c r="L200" s="554">
        <f t="shared" si="63"/>
        <v>3745630.85696</v>
      </c>
      <c r="M200" s="554">
        <f t="shared" si="63"/>
        <v>245272.23066095999</v>
      </c>
      <c r="N200" s="554">
        <f t="shared" si="63"/>
        <v>955210.90249422553</v>
      </c>
      <c r="P200" s="699">
        <f t="shared" si="58"/>
        <v>11762828.315912148</v>
      </c>
      <c r="Q200" s="699">
        <f t="shared" si="59"/>
        <v>905521.94486399996</v>
      </c>
      <c r="R200" s="699">
        <f t="shared" si="60"/>
        <v>26846483.520800002</v>
      </c>
      <c r="S200" s="699">
        <f t="shared" si="61"/>
        <v>3745630.85696</v>
      </c>
      <c r="T200" s="699">
        <f t="shared" si="61"/>
        <v>245272.23066095999</v>
      </c>
      <c r="U200" s="699">
        <f t="shared" si="61"/>
        <v>955210.90249422553</v>
      </c>
      <c r="V200" s="701">
        <f t="shared" si="64"/>
        <v>44460947.77169133</v>
      </c>
      <c r="X200" s="681">
        <f t="shared" si="65"/>
        <v>-0.14560485026747638</v>
      </c>
    </row>
    <row r="201" spans="1:24">
      <c r="A201" s="554"/>
      <c r="B201" t="s">
        <v>611</v>
      </c>
      <c r="C201" s="554">
        <f t="shared" si="62"/>
        <v>14849860.506274357</v>
      </c>
      <c r="D201" s="554">
        <f t="shared" si="62"/>
        <v>4112261.0837877025</v>
      </c>
      <c r="E201" s="554">
        <f t="shared" si="62"/>
        <v>26264776.179760002</v>
      </c>
      <c r="F201" s="554">
        <f t="shared" si="62"/>
        <v>14579460.976927999</v>
      </c>
      <c r="G201" s="554">
        <f t="shared" si="62"/>
        <v>187898.09676863998</v>
      </c>
      <c r="H201" s="554">
        <f t="shared" si="62"/>
        <v>1261425.5874675005</v>
      </c>
      <c r="I201" s="554">
        <f t="shared" si="66"/>
        <v>15159301.104878286</v>
      </c>
      <c r="J201" s="554">
        <f t="shared" si="63"/>
        <v>764524.7339518799</v>
      </c>
      <c r="K201" s="554">
        <f t="shared" si="63"/>
        <v>17388256.316</v>
      </c>
      <c r="L201" s="554">
        <f t="shared" si="63"/>
        <v>14579460.976927999</v>
      </c>
      <c r="M201" s="554">
        <f t="shared" si="63"/>
        <v>187898.09676863998</v>
      </c>
      <c r="N201" s="554">
        <f t="shared" si="63"/>
        <v>1261425.5874675005</v>
      </c>
      <c r="P201" s="699">
        <f t="shared" si="58"/>
        <v>15159301.104878286</v>
      </c>
      <c r="Q201" s="699">
        <f t="shared" si="59"/>
        <v>764524.7339518799</v>
      </c>
      <c r="R201" s="699">
        <f t="shared" si="60"/>
        <v>17388256.316</v>
      </c>
      <c r="S201" s="699">
        <f t="shared" si="61"/>
        <v>14579460.976927999</v>
      </c>
      <c r="T201" s="699">
        <f t="shared" si="61"/>
        <v>187898.09676863998</v>
      </c>
      <c r="U201" s="699">
        <f t="shared" si="61"/>
        <v>1261425.5874675005</v>
      </c>
      <c r="V201" s="701">
        <f t="shared" si="64"/>
        <v>49340866.815994307</v>
      </c>
      <c r="X201" s="681">
        <f t="shared" si="65"/>
        <v>-0.27112702778451236</v>
      </c>
    </row>
    <row r="202" spans="1:24">
      <c r="A202" s="554"/>
      <c r="B202" t="s">
        <v>612</v>
      </c>
      <c r="C202" s="554">
        <f t="shared" si="62"/>
        <v>8875870.9741602838</v>
      </c>
      <c r="D202" s="554">
        <f t="shared" si="62"/>
        <v>2632243.5026560002</v>
      </c>
      <c r="E202" s="554">
        <f t="shared" si="62"/>
        <v>23255773.956160001</v>
      </c>
      <c r="F202" s="554">
        <f t="shared" si="62"/>
        <v>488560.54655999999</v>
      </c>
      <c r="G202" s="554">
        <f t="shared" si="62"/>
        <v>140028.36822639997</v>
      </c>
      <c r="H202" s="554">
        <f t="shared" si="62"/>
        <v>696474.19374978903</v>
      </c>
      <c r="I202" s="554">
        <f t="shared" si="66"/>
        <v>10492542.426132016</v>
      </c>
      <c r="J202" s="554">
        <f t="shared" si="63"/>
        <v>2334668.76608</v>
      </c>
      <c r="K202" s="554">
        <f t="shared" si="63"/>
        <v>23873795.3616</v>
      </c>
      <c r="L202" s="554">
        <f t="shared" si="63"/>
        <v>488560.54655999999</v>
      </c>
      <c r="M202" s="554">
        <f t="shared" si="63"/>
        <v>140028.36822639997</v>
      </c>
      <c r="N202" s="554">
        <f t="shared" si="63"/>
        <v>696474.19374978903</v>
      </c>
      <c r="P202" s="699">
        <f t="shared" si="58"/>
        <v>8875870.9741602838</v>
      </c>
      <c r="Q202" s="699">
        <f t="shared" si="59"/>
        <v>2632243.5026560002</v>
      </c>
      <c r="R202" s="699">
        <f t="shared" si="60"/>
        <v>23255773.956160001</v>
      </c>
      <c r="S202" s="699">
        <f t="shared" si="61"/>
        <v>488560.54655999999</v>
      </c>
      <c r="T202" s="699">
        <f t="shared" si="61"/>
        <v>140028.36822639997</v>
      </c>
      <c r="U202" s="699">
        <f t="shared" si="61"/>
        <v>696474.19374978903</v>
      </c>
      <c r="V202" s="701">
        <f t="shared" si="64"/>
        <v>36088951.541512467</v>
      </c>
      <c r="X202" s="681">
        <f t="shared" si="65"/>
        <v>2.2666302590526044E-2</v>
      </c>
    </row>
    <row r="203" spans="1:24">
      <c r="A203" s="554"/>
      <c r="B203" t="s">
        <v>613</v>
      </c>
      <c r="C203" s="554">
        <f t="shared" si="62"/>
        <v>8060180.8556994181</v>
      </c>
      <c r="D203" s="554">
        <f t="shared" si="62"/>
        <v>1905834.8758999503</v>
      </c>
      <c r="E203" s="554">
        <f t="shared" si="62"/>
        <v>10984289.25736</v>
      </c>
      <c r="F203" s="554">
        <f t="shared" si="62"/>
        <v>10626191.88768</v>
      </c>
      <c r="G203" s="554">
        <f t="shared" si="62"/>
        <v>92845.094185680005</v>
      </c>
      <c r="H203" s="554">
        <f t="shared" si="62"/>
        <v>713782.16876639379</v>
      </c>
      <c r="I203" s="554">
        <f t="shared" si="66"/>
        <v>8178209.8858103119</v>
      </c>
      <c r="J203" s="554">
        <f t="shared" si="63"/>
        <v>1381744.0580366401</v>
      </c>
      <c r="K203" s="554">
        <f t="shared" si="63"/>
        <v>11436923.5</v>
      </c>
      <c r="L203" s="554">
        <f t="shared" si="63"/>
        <v>10626191.88768</v>
      </c>
      <c r="M203" s="554">
        <f t="shared" si="63"/>
        <v>92845.094185680005</v>
      </c>
      <c r="N203" s="554">
        <f t="shared" si="63"/>
        <v>713782.16876639379</v>
      </c>
      <c r="P203" s="699">
        <f t="shared" si="58"/>
        <v>8178209.8858103119</v>
      </c>
      <c r="Q203" s="699">
        <f t="shared" si="59"/>
        <v>1381744.0580366401</v>
      </c>
      <c r="R203" s="699">
        <f t="shared" si="60"/>
        <v>11436923.5</v>
      </c>
      <c r="S203" s="699">
        <f t="shared" si="61"/>
        <v>10626191.88768</v>
      </c>
      <c r="T203" s="699">
        <f t="shared" si="61"/>
        <v>92845.094185680005</v>
      </c>
      <c r="U203" s="699">
        <f t="shared" si="61"/>
        <v>713782.16876639379</v>
      </c>
      <c r="V203" s="701">
        <f t="shared" si="64"/>
        <v>32429696.594479024</v>
      </c>
      <c r="X203" s="681">
        <f t="shared" si="65"/>
        <v>-1.3167049420305554E-2</v>
      </c>
    </row>
    <row r="204" spans="1:24">
      <c r="A204" s="554"/>
      <c r="B204" t="s">
        <v>614</v>
      </c>
      <c r="C204" s="554">
        <f t="shared" si="62"/>
        <v>12799199.540722214</v>
      </c>
      <c r="D204" s="554">
        <f t="shared" si="62"/>
        <v>718319.66707199998</v>
      </c>
      <c r="E204" s="554">
        <f t="shared" si="62"/>
        <v>12706752.00736</v>
      </c>
      <c r="F204" s="554">
        <f t="shared" si="62"/>
        <v>5496306.1488000005</v>
      </c>
      <c r="G204" s="554">
        <f t="shared" si="62"/>
        <v>140745.12935887999</v>
      </c>
      <c r="H204" s="554">
        <f t="shared" si="62"/>
        <v>886044.4232380992</v>
      </c>
      <c r="I204" s="554">
        <f t="shared" si="66"/>
        <v>12876815.086193133</v>
      </c>
      <c r="J204" s="554">
        <f t="shared" si="63"/>
        <v>414342.11645207636</v>
      </c>
      <c r="K204" s="554">
        <f t="shared" si="63"/>
        <v>14286475.16</v>
      </c>
      <c r="L204" s="554">
        <f t="shared" si="63"/>
        <v>5496306.1488000005</v>
      </c>
      <c r="M204" s="554">
        <f t="shared" si="63"/>
        <v>140745.12935887999</v>
      </c>
      <c r="N204" s="554">
        <f t="shared" si="63"/>
        <v>886044.4232380992</v>
      </c>
      <c r="P204" s="699">
        <f t="shared" si="58"/>
        <v>12876815.086193133</v>
      </c>
      <c r="Q204" s="699">
        <f t="shared" si="59"/>
        <v>414342.11645207636</v>
      </c>
      <c r="R204" s="699">
        <f t="shared" si="60"/>
        <v>14286475.16</v>
      </c>
      <c r="S204" s="699">
        <f t="shared" si="61"/>
        <v>5496306.1488000005</v>
      </c>
      <c r="T204" s="699">
        <f t="shared" si="61"/>
        <v>140745.12935887999</v>
      </c>
      <c r="U204" s="699">
        <f t="shared" si="61"/>
        <v>886044.4232380992</v>
      </c>
      <c r="V204" s="701">
        <f t="shared" si="64"/>
        <v>34100728.064042188</v>
      </c>
      <c r="X204" s="681">
        <f t="shared" si="65"/>
        <v>-5.9704505591512413E-3</v>
      </c>
    </row>
    <row r="205" spans="1:24">
      <c r="A205" s="554"/>
      <c r="B205" t="s">
        <v>615</v>
      </c>
      <c r="C205" s="554">
        <f t="shared" si="62"/>
        <v>4641565.8044273518</v>
      </c>
      <c r="D205" s="554">
        <f t="shared" si="62"/>
        <v>1212600.6044979999</v>
      </c>
      <c r="E205" s="554">
        <f t="shared" si="62"/>
        <v>8486222.3693599999</v>
      </c>
      <c r="F205" s="554">
        <f t="shared" si="62"/>
        <v>0</v>
      </c>
      <c r="G205" s="554">
        <f t="shared" si="62"/>
        <v>35545.598794346668</v>
      </c>
      <c r="H205" s="554">
        <f t="shared" si="62"/>
        <v>408748.68778285349</v>
      </c>
      <c r="I205" s="554">
        <f t="shared" si="66"/>
        <v>4601383.9718577713</v>
      </c>
      <c r="J205" s="554">
        <f t="shared" si="63"/>
        <v>888128.76232200023</v>
      </c>
      <c r="K205" s="554">
        <f t="shared" si="63"/>
        <v>8869311.7992000002</v>
      </c>
      <c r="L205" s="554">
        <f t="shared" si="63"/>
        <v>0</v>
      </c>
      <c r="M205" s="554">
        <f t="shared" si="63"/>
        <v>35545.598794346668</v>
      </c>
      <c r="N205" s="554">
        <f t="shared" si="63"/>
        <v>408748.68778285349</v>
      </c>
      <c r="P205" s="699">
        <f t="shared" si="58"/>
        <v>4601383.9718577713</v>
      </c>
      <c r="Q205" s="699">
        <f t="shared" si="59"/>
        <v>888128.76232200023</v>
      </c>
      <c r="R205" s="699">
        <f t="shared" si="60"/>
        <v>8869311.7992000002</v>
      </c>
      <c r="S205" s="699">
        <f t="shared" si="61"/>
        <v>0</v>
      </c>
      <c r="T205" s="699">
        <f t="shared" si="61"/>
        <v>35545.598794346668</v>
      </c>
      <c r="U205" s="699">
        <f t="shared" si="61"/>
        <v>408748.68778285349</v>
      </c>
      <c r="V205" s="701">
        <f t="shared" si="64"/>
        <v>14803118.819956971</v>
      </c>
      <c r="X205" s="681">
        <f t="shared" si="65"/>
        <v>-1.1062564749803161E-2</v>
      </c>
    </row>
    <row r="206" spans="1:24">
      <c r="A206" s="554"/>
      <c r="B206" t="s">
        <v>616</v>
      </c>
      <c r="C206" s="554">
        <f t="shared" si="62"/>
        <v>10708087.739040818</v>
      </c>
      <c r="D206" s="554">
        <f t="shared" si="62"/>
        <v>4193722.50624</v>
      </c>
      <c r="E206" s="554">
        <f t="shared" si="62"/>
        <v>36643139.679200001</v>
      </c>
      <c r="F206" s="554">
        <f t="shared" si="62"/>
        <v>569987.30432</v>
      </c>
      <c r="G206" s="554">
        <f t="shared" si="62"/>
        <v>241522.64824319998</v>
      </c>
      <c r="H206" s="554">
        <f t="shared" si="62"/>
        <v>916781.51536001032</v>
      </c>
      <c r="I206" s="554">
        <f t="shared" si="66"/>
        <v>12156823.805432057</v>
      </c>
      <c r="J206" s="554">
        <f t="shared" si="63"/>
        <v>2622189.55008</v>
      </c>
      <c r="K206" s="554">
        <f t="shared" si="63"/>
        <v>30677819.999200001</v>
      </c>
      <c r="L206" s="554">
        <f t="shared" si="63"/>
        <v>569987.30432</v>
      </c>
      <c r="M206" s="554">
        <f t="shared" si="63"/>
        <v>241522.64824319998</v>
      </c>
      <c r="N206" s="554">
        <f t="shared" si="63"/>
        <v>916781.51536001032</v>
      </c>
      <c r="P206" s="699">
        <f t="shared" si="58"/>
        <v>12156823.805432057</v>
      </c>
      <c r="Q206" s="699">
        <f t="shared" si="59"/>
        <v>2622189.55008</v>
      </c>
      <c r="R206" s="699">
        <f t="shared" si="60"/>
        <v>30677819.999200001</v>
      </c>
      <c r="S206" s="699">
        <f t="shared" si="61"/>
        <v>569987.30432</v>
      </c>
      <c r="T206" s="699">
        <f t="shared" si="61"/>
        <v>241522.64824319998</v>
      </c>
      <c r="U206" s="699">
        <f t="shared" si="61"/>
        <v>916781.51536001032</v>
      </c>
      <c r="V206" s="701">
        <f t="shared" si="64"/>
        <v>47185124.822635263</v>
      </c>
      <c r="X206" s="681">
        <f t="shared" si="65"/>
        <v>-0.15178124375989432</v>
      </c>
    </row>
    <row r="207" spans="1:24">
      <c r="A207" s="554"/>
      <c r="B207" t="s">
        <v>617</v>
      </c>
      <c r="C207" s="554">
        <f t="shared" si="62"/>
        <v>28380145.651575498</v>
      </c>
      <c r="D207" s="554">
        <f t="shared" si="62"/>
        <v>8463165.0021760017</v>
      </c>
      <c r="E207" s="554">
        <f t="shared" si="62"/>
        <v>128363453.14024001</v>
      </c>
      <c r="F207" s="554">
        <f t="shared" si="62"/>
        <v>3134930.1737600002</v>
      </c>
      <c r="G207" s="554">
        <f t="shared" si="62"/>
        <v>539338.72494879994</v>
      </c>
      <c r="H207" s="554">
        <f t="shared" si="62"/>
        <v>2796982.9590234435</v>
      </c>
      <c r="I207" s="554">
        <f t="shared" si="66"/>
        <v>34752179.877595939</v>
      </c>
      <c r="J207" s="554">
        <f t="shared" si="63"/>
        <v>6563079.2636799999</v>
      </c>
      <c r="K207" s="554">
        <f t="shared" si="63"/>
        <v>122557492.82560001</v>
      </c>
      <c r="L207" s="554">
        <f t="shared" si="63"/>
        <v>3134930.1737600002</v>
      </c>
      <c r="M207" s="554">
        <f t="shared" si="63"/>
        <v>539338.72494879994</v>
      </c>
      <c r="N207" s="554">
        <f t="shared" si="63"/>
        <v>2796982.9590234435</v>
      </c>
      <c r="P207" s="699">
        <f t="shared" si="58"/>
        <v>34752179.877595939</v>
      </c>
      <c r="Q207" s="699">
        <f t="shared" si="59"/>
        <v>6563079.2636799999</v>
      </c>
      <c r="R207" s="699">
        <f t="shared" si="60"/>
        <v>122557492.82560001</v>
      </c>
      <c r="S207" s="699">
        <f t="shared" si="61"/>
        <v>3134930.1737600002</v>
      </c>
      <c r="T207" s="699">
        <f t="shared" si="61"/>
        <v>539338.72494879994</v>
      </c>
      <c r="U207" s="699">
        <f t="shared" si="61"/>
        <v>2796982.9590234435</v>
      </c>
      <c r="V207" s="701">
        <f t="shared" si="64"/>
        <v>170344003.82460821</v>
      </c>
      <c r="X207" s="681">
        <f t="shared" si="65"/>
        <v>-1.0258001918136417E-3</v>
      </c>
    </row>
    <row r="208" spans="1:24">
      <c r="A208" s="554"/>
      <c r="B208" t="s">
        <v>618</v>
      </c>
      <c r="C208" s="554">
        <f t="shared" si="62"/>
        <v>0</v>
      </c>
      <c r="D208" s="554">
        <f t="shared" si="62"/>
        <v>0</v>
      </c>
      <c r="E208" s="554">
        <f t="shared" si="62"/>
        <v>0</v>
      </c>
      <c r="F208" s="554">
        <f t="shared" si="62"/>
        <v>0</v>
      </c>
      <c r="G208" s="554">
        <f t="shared" si="62"/>
        <v>0</v>
      </c>
      <c r="H208" s="554">
        <f t="shared" si="62"/>
        <v>0</v>
      </c>
      <c r="I208" s="554">
        <f t="shared" si="66"/>
        <v>576491059.45833683</v>
      </c>
      <c r="J208" s="554">
        <f t="shared" si="63"/>
        <v>7473870.9084799998</v>
      </c>
      <c r="K208" s="554">
        <f t="shared" si="63"/>
        <v>147839339.19200003</v>
      </c>
      <c r="L208" s="554">
        <f t="shared" si="63"/>
        <v>5585875.5823360002</v>
      </c>
      <c r="M208" s="554">
        <f t="shared" si="63"/>
        <v>822600.16608591995</v>
      </c>
      <c r="N208" s="554">
        <f t="shared" si="63"/>
        <v>11434988.885241896</v>
      </c>
      <c r="P208" s="699">
        <f t="shared" ref="P208:U208" si="67">+I208</f>
        <v>576491059.45833683</v>
      </c>
      <c r="Q208" s="699">
        <f t="shared" si="67"/>
        <v>7473870.9084799998</v>
      </c>
      <c r="R208" s="699">
        <f t="shared" si="67"/>
        <v>147839339.19200003</v>
      </c>
      <c r="S208" s="699">
        <f t="shared" si="67"/>
        <v>5585875.5823360002</v>
      </c>
      <c r="T208" s="699">
        <f t="shared" si="67"/>
        <v>822600.16608591995</v>
      </c>
      <c r="U208" s="699">
        <f t="shared" si="67"/>
        <v>11434988.885241896</v>
      </c>
      <c r="V208" s="701">
        <f t="shared" si="64"/>
        <v>749647734.19248068</v>
      </c>
      <c r="X208" s="681"/>
    </row>
    <row r="209" spans="1:24">
      <c r="A209" s="554"/>
      <c r="B209" t="s">
        <v>619</v>
      </c>
      <c r="C209" s="554">
        <f t="shared" si="62"/>
        <v>0</v>
      </c>
      <c r="D209" s="554">
        <f t="shared" si="62"/>
        <v>0</v>
      </c>
      <c r="E209" s="554">
        <f t="shared" si="62"/>
        <v>0</v>
      </c>
      <c r="F209" s="554">
        <f t="shared" si="62"/>
        <v>0</v>
      </c>
      <c r="G209" s="554">
        <f t="shared" si="62"/>
        <v>0</v>
      </c>
      <c r="H209" s="554">
        <f t="shared" si="62"/>
        <v>0</v>
      </c>
      <c r="I209" s="554">
        <f t="shared" si="66"/>
        <v>24377988.982286729</v>
      </c>
      <c r="J209" s="554">
        <f t="shared" si="63"/>
        <v>4037348.2992000002</v>
      </c>
      <c r="K209" s="554">
        <f t="shared" si="63"/>
        <v>64895221.468800001</v>
      </c>
      <c r="L209" s="554">
        <f t="shared" si="63"/>
        <v>346063.72048000002</v>
      </c>
      <c r="M209" s="554">
        <f t="shared" si="63"/>
        <v>539108.87928610668</v>
      </c>
      <c r="N209" s="554">
        <f t="shared" si="63"/>
        <v>1701397.3808845843</v>
      </c>
      <c r="P209" s="699">
        <f t="shared" ref="P209:P213" si="68">+I209</f>
        <v>24377988.982286729</v>
      </c>
      <c r="Q209" s="699">
        <f t="shared" ref="Q209:Q213" si="69">+J209</f>
        <v>4037348.2992000002</v>
      </c>
      <c r="R209" s="699">
        <f t="shared" ref="R209:R213" si="70">+K209</f>
        <v>64895221.468800001</v>
      </c>
      <c r="S209" s="699">
        <f t="shared" ref="S209:S213" si="71">+L209</f>
        <v>346063.72048000002</v>
      </c>
      <c r="T209" s="699">
        <f t="shared" ref="T209:T213" si="72">+M209</f>
        <v>539108.87928610668</v>
      </c>
      <c r="U209" s="699">
        <f t="shared" ref="U209:U213" si="73">+N209</f>
        <v>1701397.3808845843</v>
      </c>
      <c r="V209" s="701">
        <f t="shared" si="64"/>
        <v>95897128.730937421</v>
      </c>
      <c r="X209" s="681"/>
    </row>
    <row r="210" spans="1:24">
      <c r="A210" s="554"/>
      <c r="B210" t="s">
        <v>620</v>
      </c>
      <c r="C210" s="554">
        <f t="shared" si="62"/>
        <v>0</v>
      </c>
      <c r="D210" s="554">
        <f t="shared" si="62"/>
        <v>0</v>
      </c>
      <c r="E210" s="554">
        <f t="shared" si="62"/>
        <v>0</v>
      </c>
      <c r="F210" s="554">
        <f t="shared" si="62"/>
        <v>0</v>
      </c>
      <c r="G210" s="554">
        <f t="shared" si="62"/>
        <v>0</v>
      </c>
      <c r="H210" s="554">
        <f t="shared" si="62"/>
        <v>0</v>
      </c>
      <c r="I210" s="554">
        <f t="shared" si="66"/>
        <v>110890390.57221866</v>
      </c>
      <c r="J210" s="554">
        <f t="shared" si="63"/>
        <v>16773406.04672</v>
      </c>
      <c r="K210" s="554">
        <f t="shared" si="63"/>
        <v>354729598.93360001</v>
      </c>
      <c r="L210" s="554">
        <f t="shared" si="63"/>
        <v>27583314.191199999</v>
      </c>
      <c r="M210" s="554">
        <f t="shared" si="63"/>
        <v>1731632.9950751995</v>
      </c>
      <c r="N210" s="554">
        <f t="shared" si="63"/>
        <v>7782323.0461560795</v>
      </c>
      <c r="P210" s="699">
        <f t="shared" si="68"/>
        <v>110890390.57221866</v>
      </c>
      <c r="Q210" s="699">
        <f t="shared" si="69"/>
        <v>16773406.04672</v>
      </c>
      <c r="R210" s="699">
        <f t="shared" si="70"/>
        <v>354729598.93360001</v>
      </c>
      <c r="S210" s="699">
        <f t="shared" si="71"/>
        <v>27583314.191199999</v>
      </c>
      <c r="T210" s="699">
        <f t="shared" si="72"/>
        <v>1731632.9950751995</v>
      </c>
      <c r="U210" s="699">
        <f t="shared" si="73"/>
        <v>7782323.0461560795</v>
      </c>
      <c r="V210" s="701">
        <f t="shared" si="64"/>
        <v>519490665.78496999</v>
      </c>
      <c r="X210" s="681"/>
    </row>
    <row r="211" spans="1:24">
      <c r="A211" s="554"/>
      <c r="B211" t="s">
        <v>621</v>
      </c>
      <c r="C211" s="554">
        <f t="shared" si="62"/>
        <v>0</v>
      </c>
      <c r="D211" s="554">
        <f t="shared" si="62"/>
        <v>0</v>
      </c>
      <c r="E211" s="554">
        <f t="shared" si="62"/>
        <v>0</v>
      </c>
      <c r="F211" s="554">
        <f t="shared" si="62"/>
        <v>0</v>
      </c>
      <c r="G211" s="554">
        <f t="shared" si="62"/>
        <v>0</v>
      </c>
      <c r="H211" s="554">
        <f t="shared" si="62"/>
        <v>0</v>
      </c>
      <c r="I211" s="554">
        <f t="shared" si="66"/>
        <v>499716535.68562955</v>
      </c>
      <c r="J211" s="554">
        <f t="shared" si="63"/>
        <v>100915123.9138</v>
      </c>
      <c r="K211" s="554">
        <f t="shared" si="63"/>
        <v>2276766376.5840006</v>
      </c>
      <c r="L211" s="554">
        <f t="shared" si="63"/>
        <v>58073563.634432003</v>
      </c>
      <c r="M211" s="554">
        <f t="shared" si="63"/>
        <v>10834633.288504798</v>
      </c>
      <c r="N211" s="554">
        <f t="shared" si="63"/>
        <v>47005491.861175127</v>
      </c>
      <c r="P211" s="699">
        <f t="shared" si="68"/>
        <v>499716535.68562955</v>
      </c>
      <c r="Q211" s="699">
        <f t="shared" si="69"/>
        <v>100915123.9138</v>
      </c>
      <c r="R211" s="699">
        <f t="shared" si="70"/>
        <v>2276766376.5840006</v>
      </c>
      <c r="S211" s="699">
        <f t="shared" si="71"/>
        <v>58073563.634432003</v>
      </c>
      <c r="T211" s="699">
        <f t="shared" si="72"/>
        <v>10834633.288504798</v>
      </c>
      <c r="U211" s="699">
        <f t="shared" si="73"/>
        <v>47005491.861175127</v>
      </c>
      <c r="V211" s="701">
        <f t="shared" si="64"/>
        <v>2993311724.9675417</v>
      </c>
      <c r="X211" s="681"/>
    </row>
    <row r="212" spans="1:24">
      <c r="A212" s="554"/>
      <c r="B212" t="s">
        <v>622</v>
      </c>
      <c r="C212" s="554">
        <f t="shared" si="62"/>
        <v>0</v>
      </c>
      <c r="D212" s="554">
        <f t="shared" si="62"/>
        <v>0</v>
      </c>
      <c r="E212" s="554">
        <f t="shared" si="62"/>
        <v>0</v>
      </c>
      <c r="F212" s="554">
        <f t="shared" si="62"/>
        <v>0</v>
      </c>
      <c r="G212" s="554">
        <f t="shared" si="62"/>
        <v>0</v>
      </c>
      <c r="H212" s="554">
        <f t="shared" si="62"/>
        <v>0</v>
      </c>
      <c r="I212" s="554">
        <f t="shared" si="66"/>
        <v>37234210.737107724</v>
      </c>
      <c r="J212" s="554">
        <f t="shared" si="63"/>
        <v>3100602.3861022899</v>
      </c>
      <c r="K212" s="554">
        <f t="shared" si="63"/>
        <v>57654025.504799984</v>
      </c>
      <c r="L212" s="554">
        <f t="shared" si="63"/>
        <v>16692485.340799998</v>
      </c>
      <c r="M212" s="554">
        <f t="shared" si="63"/>
        <v>361779.40999597334</v>
      </c>
      <c r="N212" s="554">
        <f t="shared" si="63"/>
        <v>2531941.7102719005</v>
      </c>
      <c r="P212" s="699">
        <f t="shared" si="68"/>
        <v>37234210.737107724</v>
      </c>
      <c r="Q212" s="699">
        <f t="shared" si="69"/>
        <v>3100602.3861022899</v>
      </c>
      <c r="R212" s="699">
        <f t="shared" si="70"/>
        <v>57654025.504799984</v>
      </c>
      <c r="S212" s="699">
        <f t="shared" si="71"/>
        <v>16692485.340799998</v>
      </c>
      <c r="T212" s="699">
        <f t="shared" si="72"/>
        <v>361779.40999597334</v>
      </c>
      <c r="U212" s="699">
        <f t="shared" si="73"/>
        <v>2531941.7102719005</v>
      </c>
      <c r="V212" s="701">
        <f t="shared" si="64"/>
        <v>117575045.08907788</v>
      </c>
      <c r="X212" s="681"/>
    </row>
    <row r="213" spans="1:24">
      <c r="A213" s="554"/>
      <c r="B213" t="s">
        <v>623</v>
      </c>
      <c r="C213" s="554">
        <f t="shared" si="62"/>
        <v>0</v>
      </c>
      <c r="D213" s="554">
        <f t="shared" si="62"/>
        <v>0</v>
      </c>
      <c r="E213" s="554">
        <f t="shared" si="62"/>
        <v>0</v>
      </c>
      <c r="F213" s="554">
        <f t="shared" si="62"/>
        <v>0</v>
      </c>
      <c r="G213" s="554">
        <f t="shared" si="62"/>
        <v>0</v>
      </c>
      <c r="H213" s="554">
        <f t="shared" si="62"/>
        <v>0</v>
      </c>
      <c r="I213" s="554">
        <f t="shared" si="66"/>
        <v>8642194.9438041449</v>
      </c>
      <c r="J213" s="554">
        <f t="shared" si="63"/>
        <v>958136.20498800022</v>
      </c>
      <c r="K213" s="554">
        <f t="shared" si="63"/>
        <v>16427286.244800001</v>
      </c>
      <c r="L213" s="554">
        <f t="shared" si="63"/>
        <v>10178344.719999999</v>
      </c>
      <c r="M213" s="554">
        <f t="shared" si="63"/>
        <v>148595.88162432</v>
      </c>
      <c r="N213" s="554">
        <f t="shared" si="63"/>
        <v>682184.75985039445</v>
      </c>
      <c r="P213" s="699">
        <f t="shared" si="68"/>
        <v>8642194.9438041449</v>
      </c>
      <c r="Q213" s="699">
        <f t="shared" si="69"/>
        <v>958136.20498800022</v>
      </c>
      <c r="R213" s="699">
        <f t="shared" si="70"/>
        <v>16427286.244800001</v>
      </c>
      <c r="S213" s="699">
        <f t="shared" si="71"/>
        <v>10178344.719999999</v>
      </c>
      <c r="T213" s="699">
        <f t="shared" si="72"/>
        <v>148595.88162432</v>
      </c>
      <c r="U213" s="699">
        <f t="shared" si="73"/>
        <v>682184.75985039445</v>
      </c>
      <c r="V213" s="701">
        <f t="shared" si="64"/>
        <v>37036742.755066864</v>
      </c>
      <c r="X213" s="681"/>
    </row>
    <row r="214" spans="1:24">
      <c r="A214" s="554"/>
      <c r="B214" s="765" t="str">
        <f>+Resumen!D494</f>
        <v>Luján</v>
      </c>
      <c r="C214" s="554">
        <f t="shared" si="62"/>
        <v>8127639.0707180705</v>
      </c>
      <c r="D214" s="554">
        <f t="shared" si="62"/>
        <v>1857475.5023679007</v>
      </c>
      <c r="E214" s="554">
        <f t="shared" si="62"/>
        <v>20357939.674400002</v>
      </c>
      <c r="F214" s="554">
        <f t="shared" si="62"/>
        <v>6188433.5897599999</v>
      </c>
      <c r="G214" s="554">
        <f t="shared" si="62"/>
        <v>121422.57806159998</v>
      </c>
      <c r="H214" s="554">
        <f t="shared" si="62"/>
        <v>589315.99796557461</v>
      </c>
      <c r="I214" s="554">
        <f t="shared" si="66"/>
        <v>0</v>
      </c>
      <c r="J214" s="554">
        <f t="shared" si="63"/>
        <v>0</v>
      </c>
      <c r="K214" s="554">
        <f t="shared" si="63"/>
        <v>0</v>
      </c>
      <c r="L214" s="554">
        <f t="shared" si="63"/>
        <v>0</v>
      </c>
      <c r="M214" s="554">
        <f t="shared" si="63"/>
        <v>0</v>
      </c>
      <c r="N214" s="554">
        <f t="shared" si="63"/>
        <v>0</v>
      </c>
      <c r="P214" s="699">
        <f>+C214</f>
        <v>8127639.0707180705</v>
      </c>
      <c r="Q214" s="699">
        <f t="shared" ref="Q214:U214" si="74">+D214</f>
        <v>1857475.5023679007</v>
      </c>
      <c r="R214" s="699">
        <f t="shared" si="74"/>
        <v>20357939.674400002</v>
      </c>
      <c r="S214" s="699">
        <f t="shared" si="74"/>
        <v>6188433.5897599999</v>
      </c>
      <c r="T214" s="699">
        <f t="shared" si="74"/>
        <v>121422.57806159998</v>
      </c>
      <c r="U214" s="699">
        <f t="shared" si="74"/>
        <v>589315.99796557461</v>
      </c>
      <c r="V214" s="701">
        <f t="shared" si="64"/>
        <v>37242226.413273148</v>
      </c>
      <c r="X214" s="681"/>
    </row>
    <row r="215" spans="1:24">
      <c r="A215" s="554"/>
      <c r="B215" s="765" t="str">
        <f>+Resumen!D495</f>
        <v>Chascomús</v>
      </c>
      <c r="C215" s="554">
        <f t="shared" si="62"/>
        <v>4058822.4916336392</v>
      </c>
      <c r="D215" s="554">
        <f t="shared" si="62"/>
        <v>1693523.4887600001</v>
      </c>
      <c r="E215" s="554">
        <f t="shared" si="62"/>
        <v>9919404.8324000016</v>
      </c>
      <c r="F215" s="554">
        <f t="shared" si="62"/>
        <v>7124841.3039999995</v>
      </c>
      <c r="G215" s="554">
        <f t="shared" si="62"/>
        <v>71596.496553653327</v>
      </c>
      <c r="H215" s="554">
        <f t="shared" si="62"/>
        <v>360638.32116793643</v>
      </c>
      <c r="I215" s="554">
        <f t="shared" si="66"/>
        <v>0</v>
      </c>
      <c r="J215" s="554">
        <f t="shared" si="66"/>
        <v>0</v>
      </c>
      <c r="K215" s="554">
        <f t="shared" si="66"/>
        <v>0</v>
      </c>
      <c r="L215" s="554">
        <f t="shared" si="66"/>
        <v>0</v>
      </c>
      <c r="M215" s="554">
        <f t="shared" si="66"/>
        <v>0</v>
      </c>
      <c r="N215" s="554">
        <f t="shared" si="66"/>
        <v>0</v>
      </c>
      <c r="P215" s="699">
        <f t="shared" ref="P215:P219" si="75">+C215</f>
        <v>4058822.4916336392</v>
      </c>
      <c r="Q215" s="699">
        <f t="shared" ref="Q215:Q219" si="76">+D215</f>
        <v>1693523.4887600001</v>
      </c>
      <c r="R215" s="699">
        <f t="shared" ref="R215:R219" si="77">+E215</f>
        <v>9919404.8324000016</v>
      </c>
      <c r="S215" s="699">
        <f t="shared" ref="S215:S219" si="78">+F215</f>
        <v>7124841.3039999995</v>
      </c>
      <c r="T215" s="699">
        <f t="shared" ref="T215:T219" si="79">+G215</f>
        <v>71596.496553653327</v>
      </c>
      <c r="U215" s="699">
        <f t="shared" ref="U215:U219" si="80">+H215</f>
        <v>360638.32116793643</v>
      </c>
      <c r="V215" s="701">
        <f t="shared" si="64"/>
        <v>23228826.934515227</v>
      </c>
      <c r="X215" s="681"/>
    </row>
    <row r="216" spans="1:24">
      <c r="A216" s="554"/>
      <c r="B216" s="765" t="str">
        <f>+Resumen!D496</f>
        <v>Balcarce</v>
      </c>
      <c r="C216" s="554">
        <f t="shared" si="62"/>
        <v>4317650.2999366792</v>
      </c>
      <c r="D216" s="554">
        <f t="shared" si="62"/>
        <v>1160028.4113050001</v>
      </c>
      <c r="E216" s="554">
        <f t="shared" si="62"/>
        <v>11171125.694</v>
      </c>
      <c r="F216" s="554">
        <f t="shared" si="62"/>
        <v>1302828.1241599999</v>
      </c>
      <c r="G216" s="554">
        <f t="shared" si="62"/>
        <v>78809.229439360002</v>
      </c>
      <c r="H216" s="554">
        <f t="shared" si="62"/>
        <v>357067.80661752098</v>
      </c>
      <c r="I216" s="554">
        <f t="shared" si="66"/>
        <v>0</v>
      </c>
      <c r="J216" s="554">
        <f t="shared" si="66"/>
        <v>0</v>
      </c>
      <c r="K216" s="554">
        <f t="shared" si="66"/>
        <v>0</v>
      </c>
      <c r="L216" s="554">
        <f t="shared" si="66"/>
        <v>0</v>
      </c>
      <c r="M216" s="554">
        <f t="shared" si="66"/>
        <v>0</v>
      </c>
      <c r="N216" s="554">
        <f t="shared" si="66"/>
        <v>0</v>
      </c>
      <c r="P216" s="699">
        <f t="shared" si="75"/>
        <v>4317650.2999366792</v>
      </c>
      <c r="Q216" s="699">
        <f t="shared" si="76"/>
        <v>1160028.4113050001</v>
      </c>
      <c r="R216" s="699">
        <f t="shared" si="77"/>
        <v>11171125.694</v>
      </c>
      <c r="S216" s="699">
        <f t="shared" si="78"/>
        <v>1302828.1241599999</v>
      </c>
      <c r="T216" s="699">
        <f t="shared" si="79"/>
        <v>78809.229439360002</v>
      </c>
      <c r="U216" s="699">
        <f t="shared" si="80"/>
        <v>357067.80661752098</v>
      </c>
      <c r="V216" s="701">
        <f t="shared" si="64"/>
        <v>18387509.565458558</v>
      </c>
      <c r="X216" s="681"/>
    </row>
    <row r="217" spans="1:24">
      <c r="A217" s="554"/>
      <c r="B217" s="765" t="str">
        <f>+Resumen!D497</f>
        <v>Carmen de Patagones</v>
      </c>
      <c r="C217" s="554">
        <f t="shared" si="62"/>
        <v>3197847.7022797675</v>
      </c>
      <c r="D217" s="554">
        <f t="shared" si="62"/>
        <v>1562020.8753000002</v>
      </c>
      <c r="E217" s="554">
        <f t="shared" si="62"/>
        <v>8815623.9896000009</v>
      </c>
      <c r="F217" s="554">
        <f t="shared" si="62"/>
        <v>6273931.6854079999</v>
      </c>
      <c r="G217" s="554">
        <f t="shared" si="62"/>
        <v>63082.796551013344</v>
      </c>
      <c r="H217" s="554">
        <f t="shared" si="62"/>
        <v>331166.64252587769</v>
      </c>
      <c r="I217" s="554">
        <f t="shared" si="66"/>
        <v>0</v>
      </c>
      <c r="J217" s="554">
        <f t="shared" si="66"/>
        <v>0</v>
      </c>
      <c r="K217" s="554">
        <f t="shared" si="66"/>
        <v>0</v>
      </c>
      <c r="L217" s="554">
        <f t="shared" si="66"/>
        <v>0</v>
      </c>
      <c r="M217" s="554">
        <f t="shared" si="66"/>
        <v>0</v>
      </c>
      <c r="N217" s="554">
        <f t="shared" si="66"/>
        <v>0</v>
      </c>
      <c r="P217" s="699">
        <f t="shared" si="75"/>
        <v>3197847.7022797675</v>
      </c>
      <c r="Q217" s="699">
        <f t="shared" si="76"/>
        <v>1562020.8753000002</v>
      </c>
      <c r="R217" s="699">
        <f t="shared" si="77"/>
        <v>8815623.9896000009</v>
      </c>
      <c r="S217" s="699">
        <f t="shared" si="78"/>
        <v>6273931.6854079999</v>
      </c>
      <c r="T217" s="699">
        <f t="shared" si="79"/>
        <v>63082.796551013344</v>
      </c>
      <c r="U217" s="699">
        <f t="shared" si="80"/>
        <v>331166.64252587769</v>
      </c>
      <c r="V217" s="701">
        <f t="shared" si="64"/>
        <v>20243673.691664658</v>
      </c>
      <c r="X217" s="681"/>
    </row>
    <row r="218" spans="1:24">
      <c r="A218" s="554"/>
      <c r="B218" s="765" t="str">
        <f>+Resumen!D498</f>
        <v>Olavarría</v>
      </c>
      <c r="C218" s="554">
        <f t="shared" si="62"/>
        <v>7032116.0147735225</v>
      </c>
      <c r="D218" s="554">
        <f t="shared" si="62"/>
        <v>1710881.09632</v>
      </c>
      <c r="E218" s="554">
        <f t="shared" si="62"/>
        <v>17057085.960000001</v>
      </c>
      <c r="F218" s="554">
        <f t="shared" si="62"/>
        <v>4775679.3426240003</v>
      </c>
      <c r="G218" s="554">
        <f t="shared" si="62"/>
        <v>122432.81255423998</v>
      </c>
      <c r="H218" s="554">
        <f t="shared" si="62"/>
        <v>514869.43017146911</v>
      </c>
      <c r="I218" s="554">
        <f t="shared" si="66"/>
        <v>0</v>
      </c>
      <c r="J218" s="554">
        <f t="shared" si="66"/>
        <v>0</v>
      </c>
      <c r="K218" s="554">
        <f t="shared" si="66"/>
        <v>0</v>
      </c>
      <c r="L218" s="554">
        <f t="shared" si="66"/>
        <v>0</v>
      </c>
      <c r="M218" s="554">
        <f t="shared" si="66"/>
        <v>0</v>
      </c>
      <c r="N218" s="554">
        <f t="shared" si="66"/>
        <v>0</v>
      </c>
      <c r="P218" s="699">
        <f t="shared" si="75"/>
        <v>7032116.0147735225</v>
      </c>
      <c r="Q218" s="699">
        <f t="shared" si="76"/>
        <v>1710881.09632</v>
      </c>
      <c r="R218" s="699">
        <f t="shared" si="77"/>
        <v>17057085.960000001</v>
      </c>
      <c r="S218" s="699">
        <f t="shared" si="78"/>
        <v>4775679.3426240003</v>
      </c>
      <c r="T218" s="699">
        <f t="shared" si="79"/>
        <v>122432.81255423998</v>
      </c>
      <c r="U218" s="699">
        <f t="shared" si="80"/>
        <v>514869.43017146911</v>
      </c>
      <c r="V218" s="701">
        <f t="shared" si="64"/>
        <v>31213064.656443231</v>
      </c>
      <c r="X218" s="681"/>
    </row>
    <row r="219" spans="1:24">
      <c r="A219" s="554"/>
      <c r="B219" s="765" t="str">
        <f>+Resumen!D499</f>
        <v>Verónica</v>
      </c>
      <c r="C219" s="554">
        <f t="shared" si="62"/>
        <v>2278403.7847098256</v>
      </c>
      <c r="D219" s="554">
        <f t="shared" si="62"/>
        <v>0</v>
      </c>
      <c r="E219" s="554">
        <f t="shared" si="62"/>
        <v>677268.93015999999</v>
      </c>
      <c r="F219" s="554">
        <f t="shared" si="62"/>
        <v>1286542.7726080001</v>
      </c>
      <c r="G219" s="554">
        <f t="shared" si="62"/>
        <v>16215.265751520001</v>
      </c>
      <c r="H219" s="554">
        <f t="shared" si="62"/>
        <v>175094.55487477826</v>
      </c>
      <c r="I219" s="554">
        <f t="shared" si="66"/>
        <v>0</v>
      </c>
      <c r="J219" s="554">
        <f t="shared" si="66"/>
        <v>0</v>
      </c>
      <c r="K219" s="554">
        <f t="shared" si="66"/>
        <v>0</v>
      </c>
      <c r="L219" s="554">
        <f t="shared" si="66"/>
        <v>0</v>
      </c>
      <c r="M219" s="554">
        <f t="shared" si="66"/>
        <v>0</v>
      </c>
      <c r="N219" s="554">
        <f t="shared" si="66"/>
        <v>0</v>
      </c>
      <c r="P219" s="699">
        <f t="shared" si="75"/>
        <v>2278403.7847098256</v>
      </c>
      <c r="Q219" s="699">
        <f t="shared" si="76"/>
        <v>0</v>
      </c>
      <c r="R219" s="699">
        <f t="shared" si="77"/>
        <v>677268.93015999999</v>
      </c>
      <c r="S219" s="699">
        <f t="shared" si="78"/>
        <v>1286542.7726080001</v>
      </c>
      <c r="T219" s="699">
        <f t="shared" si="79"/>
        <v>16215.265751520001</v>
      </c>
      <c r="U219" s="699">
        <f t="shared" si="80"/>
        <v>175094.55487477826</v>
      </c>
      <c r="V219" s="701">
        <f t="shared" si="64"/>
        <v>4433525.3081041239</v>
      </c>
      <c r="X219" s="681"/>
    </row>
    <row r="220" spans="1:24">
      <c r="C220" s="554"/>
      <c r="D220" s="554"/>
      <c r="E220" s="554"/>
      <c r="F220" s="554"/>
      <c r="G220" s="554"/>
      <c r="H220" s="554"/>
      <c r="I220" s="554"/>
      <c r="J220" s="554"/>
      <c r="K220" s="554"/>
      <c r="L220" s="554"/>
      <c r="M220" s="554"/>
      <c r="N220" s="554"/>
      <c r="P220" s="700"/>
      <c r="Q220" s="700"/>
      <c r="R220" s="700"/>
      <c r="S220" s="700"/>
      <c r="T220" s="700"/>
      <c r="U220" s="700"/>
      <c r="V220" s="702"/>
    </row>
    <row r="221" spans="1:24">
      <c r="B221" s="555" t="s">
        <v>728</v>
      </c>
      <c r="C221" s="554"/>
      <c r="D221" s="554"/>
      <c r="E221" s="554"/>
      <c r="F221" s="554"/>
      <c r="G221" s="554"/>
      <c r="H221" s="554"/>
      <c r="I221" s="554"/>
      <c r="J221" s="554"/>
      <c r="K221" s="554"/>
      <c r="L221" s="554"/>
      <c r="M221" s="554"/>
      <c r="N221" s="554"/>
      <c r="P221" s="701">
        <f>SUM(P179:P219)</f>
        <v>1634182734.8247094</v>
      </c>
      <c r="Q221" s="701">
        <f t="shared" ref="Q221:V221" si="81">SUM(Q179:Q219)</f>
        <v>184853985.51509231</v>
      </c>
      <c r="R221" s="701">
        <f t="shared" si="81"/>
        <v>3576153370.2745605</v>
      </c>
      <c r="S221" s="701">
        <f t="shared" si="81"/>
        <v>339289014.23436797</v>
      </c>
      <c r="T221" s="701">
        <f t="shared" si="81"/>
        <v>19356465.05894807</v>
      </c>
      <c r="U221" s="701">
        <f t="shared" si="81"/>
        <v>101526667.49494244</v>
      </c>
      <c r="V221" s="701">
        <f t="shared" si="81"/>
        <v>5855362237.4026194</v>
      </c>
    </row>
  </sheetData>
  <mergeCells count="49">
    <mergeCell ref="X4:X6"/>
    <mergeCell ref="P177:V177"/>
    <mergeCell ref="A4:A6"/>
    <mergeCell ref="V91:V92"/>
    <mergeCell ref="V93:V95"/>
    <mergeCell ref="V96:V99"/>
    <mergeCell ref="V100:V101"/>
    <mergeCell ref="V102:V103"/>
    <mergeCell ref="V71:V75"/>
    <mergeCell ref="V76:V77"/>
    <mergeCell ref="V78:V82"/>
    <mergeCell ref="V86:V90"/>
    <mergeCell ref="V83:V85"/>
    <mergeCell ref="V54:V58"/>
    <mergeCell ref="V59:V61"/>
    <mergeCell ref="V67:V68"/>
    <mergeCell ref="V69:V70"/>
    <mergeCell ref="C177:F177"/>
    <mergeCell ref="I177:L177"/>
    <mergeCell ref="V104:V106"/>
    <mergeCell ref="T4:T6"/>
    <mergeCell ref="R4:R6"/>
    <mergeCell ref="S4:S6"/>
    <mergeCell ref="U4:U6"/>
    <mergeCell ref="V4:V6"/>
    <mergeCell ref="B4:B6"/>
    <mergeCell ref="Q4:Q6"/>
    <mergeCell ref="O4:P4"/>
    <mergeCell ref="P5:P6"/>
    <mergeCell ref="O5:O6"/>
    <mergeCell ref="C5:H5"/>
    <mergeCell ref="C4:N4"/>
    <mergeCell ref="I5:N5"/>
    <mergeCell ref="W4:W6"/>
    <mergeCell ref="W7:W106"/>
    <mergeCell ref="V26:V28"/>
    <mergeCell ref="V15:V17"/>
    <mergeCell ref="V18:V20"/>
    <mergeCell ref="V21:V22"/>
    <mergeCell ref="V23:V25"/>
    <mergeCell ref="V7:V10"/>
    <mergeCell ref="V11:V14"/>
    <mergeCell ref="V29:V33"/>
    <mergeCell ref="V34:V36"/>
    <mergeCell ref="V37:V39"/>
    <mergeCell ref="V40:V44"/>
    <mergeCell ref="V45:V49"/>
    <mergeCell ref="V50:V53"/>
    <mergeCell ref="V62:V66"/>
  </mergeCells>
  <conditionalFormatting sqref="R155">
    <cfRule type="cellIs" dxfId="103" priority="37" operator="equal">
      <formula>"L"</formula>
    </cfRule>
    <cfRule type="cellIs" dxfId="102" priority="38" operator="equal">
      <formula>"R"</formula>
    </cfRule>
  </conditionalFormatting>
  <conditionalFormatting sqref="R154">
    <cfRule type="cellIs" dxfId="101" priority="35" operator="equal">
      <formula>"L"</formula>
    </cfRule>
    <cfRule type="cellIs" dxfId="100" priority="36" operator="equal">
      <formula>"R"</formula>
    </cfRule>
  </conditionalFormatting>
  <conditionalFormatting sqref="R156:R161">
    <cfRule type="cellIs" dxfId="99" priority="29" operator="equal">
      <formula>"L"</formula>
    </cfRule>
    <cfRule type="cellIs" dxfId="98" priority="30" operator="equal">
      <formula>"R"</formula>
    </cfRule>
  </conditionalFormatting>
  <conditionalFormatting sqref="R107:R153">
    <cfRule type="cellIs" dxfId="97" priority="27" operator="equal">
      <formula>"L"</formula>
    </cfRule>
    <cfRule type="cellIs" dxfId="96" priority="28" operator="equal">
      <formula>"R"</formula>
    </cfRule>
  </conditionalFormatting>
  <conditionalFormatting sqref="R106">
    <cfRule type="cellIs" dxfId="95" priority="25" operator="equal">
      <formula>"L"</formula>
    </cfRule>
    <cfRule type="cellIs" dxfId="94" priority="26" operator="equal">
      <formula>"R"</formula>
    </cfRule>
  </conditionalFormatting>
  <conditionalFormatting sqref="R7:R105">
    <cfRule type="cellIs" dxfId="93" priority="23" operator="equal">
      <formula>"L"</formula>
    </cfRule>
    <cfRule type="cellIs" dxfId="92" priority="24" operator="equal">
      <formula>"R"</formula>
    </cfRule>
  </conditionalFormatting>
  <conditionalFormatting sqref="X7">
    <cfRule type="cellIs" dxfId="91" priority="21" operator="equal">
      <formula>"L"</formula>
    </cfRule>
    <cfRule type="cellIs" dxfId="90" priority="22" operator="equal">
      <formula>"R"</formula>
    </cfRule>
  </conditionalFormatting>
  <conditionalFormatting sqref="X21:X22">
    <cfRule type="cellIs" dxfId="89" priority="5" operator="equal">
      <formula>"L"</formula>
    </cfRule>
    <cfRule type="cellIs" dxfId="88" priority="6" operator="equal">
      <formula>"R"</formula>
    </cfRule>
  </conditionalFormatting>
  <conditionalFormatting sqref="X8:X10">
    <cfRule type="cellIs" dxfId="87" priority="15" operator="equal">
      <formula>"L"</formula>
    </cfRule>
    <cfRule type="cellIs" dxfId="86" priority="16" operator="equal">
      <formula>"R"</formula>
    </cfRule>
  </conditionalFormatting>
  <conditionalFormatting sqref="X11:X14">
    <cfRule type="cellIs" dxfId="85" priority="13" operator="equal">
      <formula>"L"</formula>
    </cfRule>
    <cfRule type="cellIs" dxfId="84" priority="14" operator="equal">
      <formula>"R"</formula>
    </cfRule>
  </conditionalFormatting>
  <conditionalFormatting sqref="X15">
    <cfRule type="cellIs" dxfId="83" priority="11" operator="equal">
      <formula>"L"</formula>
    </cfRule>
    <cfRule type="cellIs" dxfId="82" priority="12" operator="equal">
      <formula>"R"</formula>
    </cfRule>
  </conditionalFormatting>
  <conditionalFormatting sqref="X16:X17">
    <cfRule type="cellIs" dxfId="81" priority="9" operator="equal">
      <formula>"L"</formula>
    </cfRule>
    <cfRule type="cellIs" dxfId="80" priority="10" operator="equal">
      <formula>"R"</formula>
    </cfRule>
  </conditionalFormatting>
  <conditionalFormatting sqref="X18:X20">
    <cfRule type="cellIs" dxfId="79" priority="7" operator="equal">
      <formula>"L"</formula>
    </cfRule>
    <cfRule type="cellIs" dxfId="78" priority="8" operator="equal">
      <formula>"R"</formula>
    </cfRule>
  </conditionalFormatting>
  <conditionalFormatting sqref="X23:X107">
    <cfRule type="cellIs" dxfId="77" priority="3" operator="equal">
      <formula>"L"</formula>
    </cfRule>
    <cfRule type="cellIs" dxfId="76" priority="4" operator="equal">
      <formula>"R"</formula>
    </cfRule>
  </conditionalFormatting>
  <conditionalFormatting sqref="X108:X161">
    <cfRule type="cellIs" dxfId="75" priority="1" operator="equal">
      <formula>"L"</formula>
    </cfRule>
    <cfRule type="cellIs" dxfId="74" priority="2" operator="equal">
      <formula>"R"</formula>
    </cfRule>
  </conditionalFormatting>
  <pageMargins left="0.7" right="0.7" top="0.75" bottom="0.75" header="0.3" footer="0.3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B1:F31"/>
  <sheetViews>
    <sheetView workbookViewId="0">
      <selection activeCell="D9" sqref="D9"/>
    </sheetView>
  </sheetViews>
  <sheetFormatPr baseColWidth="10" defaultRowHeight="15"/>
  <cols>
    <col min="2" max="2" width="33.85546875" bestFit="1" customWidth="1"/>
    <col min="5" max="5" width="36" bestFit="1" customWidth="1"/>
  </cols>
  <sheetData>
    <row r="1" spans="2:6" ht="15" customHeight="1"/>
    <row r="2" spans="2:6" ht="45">
      <c r="B2" s="878" t="s">
        <v>773</v>
      </c>
      <c r="C2" s="873" t="s">
        <v>723</v>
      </c>
    </row>
    <row r="3" spans="2:6">
      <c r="B3" t="s">
        <v>609</v>
      </c>
      <c r="C3" s="681">
        <f>+'Costos de Inversión_xLocalidad'!V78</f>
        <v>-0.36284114799560929</v>
      </c>
      <c r="F3" s="681"/>
    </row>
    <row r="4" spans="2:6">
      <c r="B4" t="s">
        <v>601</v>
      </c>
      <c r="C4" s="681">
        <f>+'Costos de Inversión_xLocalidad'!V50</f>
        <v>-0.28942583570696323</v>
      </c>
      <c r="F4" s="681"/>
    </row>
    <row r="5" spans="2:6">
      <c r="B5" t="s">
        <v>611</v>
      </c>
      <c r="C5" s="681">
        <f>+'Costos de Inversión_xLocalidad'!V86</f>
        <v>-0.27112702778451236</v>
      </c>
      <c r="F5" s="681"/>
    </row>
    <row r="6" spans="2:6">
      <c r="B6" t="s">
        <v>596</v>
      </c>
      <c r="C6" s="681">
        <f>+'Costos de Inversión_xLocalidad'!V34</f>
        <v>-0.26264216243707283</v>
      </c>
      <c r="F6" s="681"/>
    </row>
    <row r="7" spans="2:6">
      <c r="B7" t="s">
        <v>607</v>
      </c>
      <c r="C7" s="681">
        <f>+'Costos de Inversión_xLocalidad'!V71</f>
        <v>-0.23808156355278964</v>
      </c>
      <c r="F7" s="681"/>
    </row>
    <row r="8" spans="2:6">
      <c r="B8" t="s">
        <v>590</v>
      </c>
      <c r="C8" s="681">
        <f>+'Costos de Inversión_xLocalidad'!V11</f>
        <v>-0.18275952598270573</v>
      </c>
      <c r="F8" s="681"/>
    </row>
    <row r="9" spans="2:6">
      <c r="B9" t="s">
        <v>591</v>
      </c>
      <c r="C9" s="681">
        <f>+'Costos de Inversión_xLocalidad'!V15</f>
        <v>-0.15221154686201077</v>
      </c>
      <c r="F9" s="681"/>
    </row>
    <row r="10" spans="2:6">
      <c r="B10" t="s">
        <v>616</v>
      </c>
      <c r="C10" s="681">
        <f>+'Costos de Inversión_xLocalidad'!V102</f>
        <v>-0.15178124375989432</v>
      </c>
      <c r="F10" s="681"/>
    </row>
    <row r="11" spans="2:6">
      <c r="B11" t="s">
        <v>610</v>
      </c>
      <c r="C11" s="681">
        <f>+'Costos de Inversión_xLocalidad'!V83</f>
        <v>-0.14560485026747638</v>
      </c>
      <c r="F11" s="681"/>
    </row>
    <row r="12" spans="2:6">
      <c r="B12" t="s">
        <v>604</v>
      </c>
      <c r="C12" s="681">
        <f>+'Costos de Inversión_xLocalidad'!V62</f>
        <v>-0.13763771351176246</v>
      </c>
      <c r="F12" s="681"/>
    </row>
    <row r="13" spans="2:6">
      <c r="B13" t="s">
        <v>603</v>
      </c>
      <c r="C13" s="681">
        <f>+'Costos de Inversión_xLocalidad'!V59</f>
        <v>-7.9313768638467286E-2</v>
      </c>
      <c r="F13" s="681"/>
    </row>
    <row r="14" spans="2:6">
      <c r="B14" t="s">
        <v>307</v>
      </c>
      <c r="C14" s="681">
        <f>+'Costos de Inversión_xLocalidad'!V7</f>
        <v>-6.6737216126549814E-2</v>
      </c>
      <c r="F14" s="681"/>
    </row>
    <row r="15" spans="2:6">
      <c r="B15" t="s">
        <v>600</v>
      </c>
      <c r="C15" s="681">
        <f>+'Costos de Inversión_xLocalidad'!V45</f>
        <v>-2.5994268410609478E-2</v>
      </c>
      <c r="F15" s="681"/>
    </row>
    <row r="16" spans="2:6">
      <c r="B16" t="s">
        <v>602</v>
      </c>
      <c r="C16" s="681">
        <f>+'Costos de Inversión_xLocalidad'!V54</f>
        <v>-2.1269145347506457E-2</v>
      </c>
      <c r="F16" s="681"/>
    </row>
    <row r="17" spans="2:6">
      <c r="B17" t="s">
        <v>592</v>
      </c>
      <c r="C17" s="681">
        <f>+'Costos de Inversión_xLocalidad'!V18</f>
        <v>-1.931280545906533E-2</v>
      </c>
      <c r="F17" s="681"/>
    </row>
    <row r="18" spans="2:6">
      <c r="B18" t="s">
        <v>595</v>
      </c>
      <c r="C18" s="681">
        <f>+'Costos de Inversión_xLocalidad'!V26</f>
        <v>-1.5652585598091573E-2</v>
      </c>
      <c r="F18" s="681"/>
    </row>
    <row r="19" spans="2:6">
      <c r="B19" t="s">
        <v>599</v>
      </c>
      <c r="C19" s="681">
        <f>+'Costos de Inversión_xLocalidad'!V40</f>
        <v>-1.3735011346983295E-2</v>
      </c>
      <c r="F19" s="681"/>
    </row>
    <row r="20" spans="2:6">
      <c r="B20" t="s">
        <v>613</v>
      </c>
      <c r="C20" s="681">
        <f>+'Costos de Inversión_xLocalidad'!V93</f>
        <v>-1.3167049420305554E-2</v>
      </c>
      <c r="F20" s="681"/>
    </row>
    <row r="21" spans="2:6">
      <c r="B21" t="s">
        <v>615</v>
      </c>
      <c r="C21" s="681">
        <f>+'Costos de Inversión_xLocalidad'!V100</f>
        <v>-1.1062564749803161E-2</v>
      </c>
      <c r="F21" s="681"/>
    </row>
    <row r="22" spans="2:6">
      <c r="B22" t="s">
        <v>598</v>
      </c>
      <c r="C22" s="681">
        <f>+'Costos de Inversión_xLocalidad'!V37</f>
        <v>-8.5003199941011687E-3</v>
      </c>
      <c r="F22" s="681"/>
    </row>
    <row r="23" spans="2:6">
      <c r="B23" t="s">
        <v>614</v>
      </c>
      <c r="C23" s="681">
        <f>+'Costos de Inversión_xLocalidad'!V96</f>
        <v>-5.9704505591512413E-3</v>
      </c>
      <c r="F23" s="681"/>
    </row>
    <row r="24" spans="2:6">
      <c r="B24" t="s">
        <v>617</v>
      </c>
      <c r="C24" s="681">
        <f>+'Costos de Inversión_xLocalidad'!V104</f>
        <v>-1.0258001918136417E-3</v>
      </c>
      <c r="F24" s="681"/>
    </row>
    <row r="25" spans="2:6">
      <c r="B25" t="s">
        <v>594</v>
      </c>
      <c r="C25" s="681">
        <f>+'Costos de Inversión_xLocalidad'!V23</f>
        <v>-1.0208891347757154E-3</v>
      </c>
      <c r="F25" s="681"/>
    </row>
    <row r="26" spans="2:6">
      <c r="B26" t="s">
        <v>608</v>
      </c>
      <c r="C26" s="681">
        <f>+'Costos de Inversión_xLocalidad'!V77</f>
        <v>0</v>
      </c>
      <c r="F26" s="681"/>
    </row>
    <row r="27" spans="2:6">
      <c r="B27" t="s">
        <v>605</v>
      </c>
      <c r="C27" s="681">
        <f>+'Costos de Inversión_xLocalidad'!V67</f>
        <v>5.709323737072669E-3</v>
      </c>
      <c r="F27" s="681"/>
    </row>
    <row r="28" spans="2:6">
      <c r="B28" t="s">
        <v>593</v>
      </c>
      <c r="C28" s="681">
        <f>+'Costos de Inversión_xLocalidad'!V21</f>
        <v>1.9457822621178789E-2</v>
      </c>
      <c r="F28" s="681"/>
    </row>
    <row r="29" spans="2:6">
      <c r="B29" t="s">
        <v>612</v>
      </c>
      <c r="C29" s="681">
        <f>+'Costos de Inversión_xLocalidad'!V91</f>
        <v>2.2666302590526044E-2</v>
      </c>
      <c r="F29" s="681"/>
    </row>
    <row r="30" spans="2:6">
      <c r="B30" t="s">
        <v>608</v>
      </c>
      <c r="C30" s="681">
        <f>+'Costos de Inversión_xLocalidad'!V76</f>
        <v>2.7108830880054002E-2</v>
      </c>
      <c r="F30" s="681"/>
    </row>
    <row r="31" spans="2:6">
      <c r="B31" t="s">
        <v>597</v>
      </c>
      <c r="C31" s="681">
        <f>+'Costos de Inversión_xLocalidad'!V29</f>
        <v>0.44483085525882826</v>
      </c>
      <c r="F31" s="681"/>
    </row>
  </sheetData>
  <sortState xmlns:xlrd2="http://schemas.microsoft.com/office/spreadsheetml/2017/richdata2" ref="B3:C31">
    <sortCondition ref="C3:C3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0000"/>
  </sheetPr>
  <dimension ref="A2:G339"/>
  <sheetViews>
    <sheetView workbookViewId="0">
      <selection activeCell="F7" sqref="F7"/>
    </sheetView>
  </sheetViews>
  <sheetFormatPr baseColWidth="10" defaultColWidth="10.85546875" defaultRowHeight="15.75"/>
  <cols>
    <col min="1" max="1" width="14.28515625" style="670" customWidth="1"/>
    <col min="2" max="2" width="27.42578125" style="443" customWidth="1"/>
    <col min="3" max="3" width="21.85546875" style="442" customWidth="1"/>
    <col min="4" max="4" width="15.140625" style="670" customWidth="1"/>
    <col min="5" max="5" width="27.28515625" style="670" bestFit="1" customWidth="1"/>
    <col min="6" max="7" width="12.7109375" style="670" bestFit="1" customWidth="1"/>
    <col min="8" max="16384" width="10.85546875" style="670"/>
  </cols>
  <sheetData>
    <row r="2" spans="1:7">
      <c r="B2" s="443">
        <v>1</v>
      </c>
      <c r="C2" s="442">
        <v>2</v>
      </c>
      <c r="D2" s="443">
        <v>3</v>
      </c>
      <c r="E2" s="443">
        <v>4</v>
      </c>
      <c r="F2" s="443">
        <v>5</v>
      </c>
      <c r="G2" s="443">
        <v>6</v>
      </c>
    </row>
    <row r="3" spans="1:7" ht="47.25">
      <c r="B3" s="669" t="s">
        <v>478</v>
      </c>
      <c r="C3" s="669" t="s">
        <v>479</v>
      </c>
      <c r="D3" s="669" t="s">
        <v>691</v>
      </c>
      <c r="E3" s="669" t="s">
        <v>704</v>
      </c>
      <c r="F3" s="669" t="s">
        <v>703</v>
      </c>
      <c r="G3" s="669" t="s">
        <v>705</v>
      </c>
    </row>
    <row r="4" spans="1:7" ht="15.95" customHeight="1">
      <c r="A4" s="950" t="s">
        <v>692</v>
      </c>
      <c r="B4" s="423" t="s">
        <v>53</v>
      </c>
      <c r="C4" s="400">
        <v>3144290</v>
      </c>
      <c r="D4" s="672">
        <f>IF(C4&gt;=300000,1.5%,IF(C4&gt;=50000,1.25%,1%))</f>
        <v>1.4999999999999999E-2</v>
      </c>
      <c r="E4" s="677">
        <f>VLOOKUP(B4,'Costos de Inversión_xLocalidad'!$B$7:$Q$160,'Costos de Inversión_xLocalidad'!$Q$3,FALSE)</f>
        <v>1003165745.1282024</v>
      </c>
      <c r="F4" s="677">
        <f>+D4*E4</f>
        <v>15047486.176923037</v>
      </c>
      <c r="G4" s="677">
        <f>+F4+132672.4</f>
        <v>15180158.576923037</v>
      </c>
    </row>
    <row r="5" spans="1:7">
      <c r="A5" s="950"/>
      <c r="B5" s="423" t="s">
        <v>348</v>
      </c>
      <c r="C5" s="410">
        <v>1837774</v>
      </c>
      <c r="D5" s="672">
        <f t="shared" ref="D5:D68" si="0">IF(C5&gt;=300000,1.5%,IF(C5&gt;=50000,1.25%,1%))</f>
        <v>1.4999999999999999E-2</v>
      </c>
      <c r="E5" s="677">
        <f>VLOOKUP(B5,'Costos de Inversión_xLocalidad'!$B$7:$Q$160,'Costos de Inversión_xLocalidad'!$Q$3,FALSE)</f>
        <v>509976709.74373865</v>
      </c>
      <c r="F5" s="677">
        <f t="shared" ref="F5:F68" si="1">+D5*E5</f>
        <v>7649650.6461560791</v>
      </c>
      <c r="G5" s="677">
        <f t="shared" ref="G5:G68" si="2">+F5+132672.4</f>
        <v>7782323.0461560795</v>
      </c>
    </row>
    <row r="6" spans="1:7">
      <c r="A6" s="950"/>
      <c r="B6" s="423" t="s">
        <v>350</v>
      </c>
      <c r="C6" s="417">
        <v>772618</v>
      </c>
      <c r="D6" s="672">
        <f t="shared" si="0"/>
        <v>1.4999999999999999E-2</v>
      </c>
      <c r="E6" s="677">
        <f>VLOOKUP(B6,'Costos de Inversión_xLocalidad'!$B$7:$Q$160,'Costos de Inversión_xLocalidad'!$Q$3,FALSE)</f>
        <v>681645009.12991881</v>
      </c>
      <c r="F6" s="677">
        <f t="shared" si="1"/>
        <v>10224675.136948781</v>
      </c>
      <c r="G6" s="677">
        <f t="shared" si="2"/>
        <v>10357347.536948781</v>
      </c>
    </row>
    <row r="7" spans="1:7">
      <c r="A7" s="950"/>
      <c r="B7" s="423" t="s">
        <v>330</v>
      </c>
      <c r="C7" s="417">
        <v>694330</v>
      </c>
      <c r="D7" s="672">
        <f t="shared" si="0"/>
        <v>1.4999999999999999E-2</v>
      </c>
      <c r="E7" s="677">
        <f>VLOOKUP(B7,'Costos de Inversión_xLocalidad'!$B$7:$Q$160,'Costos de Inversión_xLocalidad'!$Q$3,FALSE)</f>
        <v>128552955.43372649</v>
      </c>
      <c r="F7" s="677">
        <f t="shared" si="1"/>
        <v>1928294.3315058972</v>
      </c>
      <c r="G7" s="677">
        <f t="shared" si="2"/>
        <v>2060966.7315058971</v>
      </c>
    </row>
    <row r="8" spans="1:7">
      <c r="A8" s="950"/>
      <c r="B8" s="423" t="s">
        <v>355</v>
      </c>
      <c r="C8" s="417">
        <v>682605</v>
      </c>
      <c r="D8" s="672">
        <f t="shared" si="0"/>
        <v>1.4999999999999999E-2</v>
      </c>
      <c r="E8" s="677">
        <f>VLOOKUP(B8,'Costos de Inversión_xLocalidad'!$B$7:$Q$160,'Costos de Inversión_xLocalidad'!$Q$3,FALSE)</f>
        <v>143109763.86918569</v>
      </c>
      <c r="F8" s="677">
        <f t="shared" si="1"/>
        <v>2146646.4580377853</v>
      </c>
      <c r="G8" s="677">
        <f t="shared" si="2"/>
        <v>2279318.8580377852</v>
      </c>
    </row>
    <row r="9" spans="1:7">
      <c r="A9" s="950"/>
      <c r="B9" s="423" t="s">
        <v>333</v>
      </c>
      <c r="C9" s="417">
        <v>636026</v>
      </c>
      <c r="D9" s="672">
        <f t="shared" si="0"/>
        <v>1.4999999999999999E-2</v>
      </c>
      <c r="E9" s="677">
        <f>VLOOKUP(B9,'Costos de Inversión_xLocalidad'!$B$7:$Q$160,'Costos de Inversión_xLocalidad'!$Q$3,FALSE)</f>
        <v>127454959.17625768</v>
      </c>
      <c r="F9" s="677">
        <f t="shared" si="1"/>
        <v>1911824.3876438653</v>
      </c>
      <c r="G9" s="677">
        <f t="shared" si="2"/>
        <v>2044496.7876438652</v>
      </c>
    </row>
    <row r="10" spans="1:7">
      <c r="A10" s="950"/>
      <c r="B10" s="423" t="s">
        <v>334</v>
      </c>
      <c r="C10" s="417">
        <v>585852</v>
      </c>
      <c r="D10" s="672">
        <f t="shared" si="0"/>
        <v>1.4999999999999999E-2</v>
      </c>
      <c r="E10" s="677">
        <f>VLOOKUP(B10,'Costos de Inversión_xLocalidad'!$B$7:$Q$160,'Costos de Inversión_xLocalidad'!$Q$3,FALSE)</f>
        <v>133494348.22215763</v>
      </c>
      <c r="F10" s="677">
        <f t="shared" si="1"/>
        <v>2002415.2233323643</v>
      </c>
      <c r="G10" s="677">
        <f t="shared" si="2"/>
        <v>2135087.6233323645</v>
      </c>
    </row>
    <row r="11" spans="1:7">
      <c r="A11" s="950"/>
      <c r="B11" s="423" t="s">
        <v>332</v>
      </c>
      <c r="C11" s="417">
        <v>580806</v>
      </c>
      <c r="D11" s="672">
        <f t="shared" si="0"/>
        <v>1.4999999999999999E-2</v>
      </c>
      <c r="E11" s="677">
        <f>VLOOKUP(B11,'Costos de Inversión_xLocalidad'!$B$7:$Q$160,'Costos de Inversión_xLocalidad'!$Q$3,FALSE)</f>
        <v>121785584.50066631</v>
      </c>
      <c r="F11" s="677">
        <f t="shared" si="1"/>
        <v>1826783.7675099946</v>
      </c>
      <c r="G11" s="677">
        <f t="shared" si="2"/>
        <v>1959456.1675099945</v>
      </c>
    </row>
    <row r="12" spans="1:7">
      <c r="A12" s="950"/>
      <c r="B12" s="423" t="s">
        <v>331</v>
      </c>
      <c r="C12" s="417">
        <v>574374</v>
      </c>
      <c r="D12" s="672">
        <f t="shared" si="0"/>
        <v>1.4999999999999999E-2</v>
      </c>
      <c r="E12" s="677">
        <f>VLOOKUP(B12,'Costos de Inversión_xLocalidad'!$B$7:$Q$160,'Costos de Inversión_xLocalidad'!$Q$3,FALSE)</f>
        <v>120478037.9605049</v>
      </c>
      <c r="F12" s="677">
        <f t="shared" si="1"/>
        <v>1807170.5694075734</v>
      </c>
      <c r="G12" s="677">
        <f t="shared" si="2"/>
        <v>1939842.9694075733</v>
      </c>
    </row>
    <row r="13" spans="1:7">
      <c r="A13" s="950"/>
      <c r="B13" s="423" t="s">
        <v>335</v>
      </c>
      <c r="C13" s="417">
        <v>497818</v>
      </c>
      <c r="D13" s="672">
        <f t="shared" si="0"/>
        <v>1.4999999999999999E-2</v>
      </c>
      <c r="E13" s="677">
        <f>VLOOKUP(B13,'Costos de Inversión_xLocalidad'!$B$7:$Q$160,'Costos de Inversión_xLocalidad'!$Q$3,FALSE)</f>
        <v>118980529.46564063</v>
      </c>
      <c r="F13" s="677">
        <f t="shared" si="1"/>
        <v>1784707.9419846095</v>
      </c>
      <c r="G13" s="677">
        <f t="shared" si="2"/>
        <v>1917380.3419846094</v>
      </c>
    </row>
    <row r="14" spans="1:7" ht="15.95" customHeight="1">
      <c r="A14" s="950"/>
      <c r="B14" s="423" t="s">
        <v>493</v>
      </c>
      <c r="C14" s="417">
        <v>462051</v>
      </c>
      <c r="D14" s="672">
        <f t="shared" si="0"/>
        <v>1.4999999999999999E-2</v>
      </c>
      <c r="E14" s="677">
        <f>VLOOKUP(B14,'Costos de Inversión_xLocalidad'!$B$7:$Q$160,'Costos de Inversión_xLocalidad'!$Q$3,FALSE)</f>
        <v>78607843.542665377</v>
      </c>
      <c r="F14" s="677">
        <f t="shared" si="1"/>
        <v>1179117.6531399805</v>
      </c>
      <c r="G14" s="677">
        <f t="shared" si="2"/>
        <v>1311790.0531399804</v>
      </c>
    </row>
    <row r="15" spans="1:7">
      <c r="A15" s="950"/>
      <c r="B15" s="423" t="s">
        <v>491</v>
      </c>
      <c r="C15" s="417">
        <v>450335</v>
      </c>
      <c r="D15" s="672">
        <f t="shared" si="0"/>
        <v>1.4999999999999999E-2</v>
      </c>
      <c r="E15" s="677">
        <f>VLOOKUP(B15,'Costos de Inversión_xLocalidad'!$B$7:$Q$160,'Costos de Inversión_xLocalidad'!$Q$3,FALSE)</f>
        <v>86975199.017952174</v>
      </c>
      <c r="F15" s="677">
        <f t="shared" si="1"/>
        <v>1304627.9852692825</v>
      </c>
      <c r="G15" s="677">
        <f t="shared" si="2"/>
        <v>1437300.3852692824</v>
      </c>
    </row>
    <row r="16" spans="1:7">
      <c r="A16" s="950"/>
      <c r="B16" s="423" t="s">
        <v>336</v>
      </c>
      <c r="C16" s="417">
        <v>447785</v>
      </c>
      <c r="D16" s="672">
        <f t="shared" si="0"/>
        <v>1.4999999999999999E-2</v>
      </c>
      <c r="E16" s="677">
        <f>VLOOKUP(B16,'Costos de Inversión_xLocalidad'!$B$7:$Q$160,'Costos de Inversión_xLocalidad'!$Q$3,FALSE)</f>
        <v>82064201.386884227</v>
      </c>
      <c r="F16" s="677">
        <f t="shared" si="1"/>
        <v>1230963.0208032634</v>
      </c>
      <c r="G16" s="677">
        <f t="shared" si="2"/>
        <v>1363635.4208032633</v>
      </c>
    </row>
    <row r="17" spans="1:7" ht="15.95" customHeight="1">
      <c r="A17" s="950"/>
      <c r="B17" s="423" t="s">
        <v>337</v>
      </c>
      <c r="C17" s="417">
        <v>395072</v>
      </c>
      <c r="D17" s="672">
        <f t="shared" si="0"/>
        <v>1.4999999999999999E-2</v>
      </c>
      <c r="E17" s="677">
        <f>VLOOKUP(B17,'Costos de Inversión_xLocalidad'!$B$7:$Q$160,'Costos de Inversión_xLocalidad'!$Q$3,FALSE)</f>
        <v>88220013.589308411</v>
      </c>
      <c r="F17" s="677">
        <f t="shared" si="1"/>
        <v>1323300.2038396262</v>
      </c>
      <c r="G17" s="677">
        <f t="shared" si="2"/>
        <v>1455972.6038396261</v>
      </c>
    </row>
    <row r="18" spans="1:7">
      <c r="A18" s="950"/>
      <c r="B18" s="423" t="s">
        <v>340</v>
      </c>
      <c r="C18" s="417">
        <v>370939</v>
      </c>
      <c r="D18" s="672">
        <f t="shared" si="0"/>
        <v>1.4999999999999999E-2</v>
      </c>
      <c r="E18" s="677">
        <f>VLOOKUP(B18,'Costos de Inversión_xLocalidad'!$B$7:$Q$160,'Costos de Inversión_xLocalidad'!$Q$3,FALSE)</f>
        <v>76257476.505148038</v>
      </c>
      <c r="F18" s="677">
        <f t="shared" si="1"/>
        <v>1143862.1475772206</v>
      </c>
      <c r="G18" s="677">
        <f t="shared" si="2"/>
        <v>1276534.5475772205</v>
      </c>
    </row>
    <row r="19" spans="1:7">
      <c r="A19" s="950"/>
      <c r="B19" s="423" t="s">
        <v>342</v>
      </c>
      <c r="C19" s="417">
        <v>366377</v>
      </c>
      <c r="D19" s="672">
        <f t="shared" si="0"/>
        <v>1.4999999999999999E-2</v>
      </c>
      <c r="E19" s="677">
        <f>VLOOKUP(B19,'Costos de Inversión_xLocalidad'!$B$7:$Q$160,'Costos de Inversión_xLocalidad'!$Q$3,FALSE)</f>
        <v>63591781.694852315</v>
      </c>
      <c r="F19" s="677">
        <f t="shared" si="1"/>
        <v>953876.72542278469</v>
      </c>
      <c r="G19" s="677">
        <f t="shared" si="2"/>
        <v>1086549.1254227846</v>
      </c>
    </row>
    <row r="20" spans="1:7">
      <c r="A20" s="950"/>
      <c r="B20" s="423" t="s">
        <v>339</v>
      </c>
      <c r="C20" s="417">
        <v>360582</v>
      </c>
      <c r="D20" s="672">
        <f t="shared" si="0"/>
        <v>1.4999999999999999E-2</v>
      </c>
      <c r="E20" s="677">
        <f>VLOOKUP(B20,'Costos de Inversión_xLocalidad'!$B$7:$Q$160,'Costos de Inversión_xLocalidad'!$Q$3,FALSE)</f>
        <v>82902437.647778496</v>
      </c>
      <c r="F20" s="677">
        <f t="shared" si="1"/>
        <v>1243536.5647166774</v>
      </c>
      <c r="G20" s="677">
        <f t="shared" si="2"/>
        <v>1376208.9647166773</v>
      </c>
    </row>
    <row r="21" spans="1:7">
      <c r="A21" s="950"/>
      <c r="B21" s="423" t="s">
        <v>338</v>
      </c>
      <c r="C21" s="417">
        <v>351788</v>
      </c>
      <c r="D21" s="672">
        <f t="shared" si="0"/>
        <v>1.4999999999999999E-2</v>
      </c>
      <c r="E21" s="677">
        <f>VLOOKUP(B21,'Costos de Inversión_xLocalidad'!$B$7:$Q$160,'Costos de Inversión_xLocalidad'!$Q$3,FALSE)</f>
        <v>85084377.120972887</v>
      </c>
      <c r="F21" s="677">
        <f t="shared" si="1"/>
        <v>1276265.6568145934</v>
      </c>
      <c r="G21" s="677">
        <f t="shared" si="2"/>
        <v>1408938.0568145933</v>
      </c>
    </row>
    <row r="22" spans="1:7">
      <c r="A22" s="950"/>
      <c r="B22" s="423" t="s">
        <v>556</v>
      </c>
      <c r="C22" s="417">
        <v>339030</v>
      </c>
      <c r="D22" s="672">
        <f t="shared" si="0"/>
        <v>1.4999999999999999E-2</v>
      </c>
      <c r="E22" s="677">
        <f>VLOOKUP(B22,'Costos de Inversión_xLocalidad'!$B$7:$Q$160,'Costos de Inversión_xLocalidad'!$Q$3,FALSE)</f>
        <v>80423968.80709593</v>
      </c>
      <c r="F22" s="677">
        <f t="shared" si="1"/>
        <v>1206359.5321064389</v>
      </c>
      <c r="G22" s="677">
        <f t="shared" si="2"/>
        <v>1339031.9321064388</v>
      </c>
    </row>
    <row r="23" spans="1:7">
      <c r="A23" s="950"/>
      <c r="B23" s="423" t="s">
        <v>498</v>
      </c>
      <c r="C23" s="417">
        <v>335190</v>
      </c>
      <c r="D23" s="672">
        <f t="shared" si="0"/>
        <v>1.4999999999999999E-2</v>
      </c>
      <c r="E23" s="677">
        <f>VLOOKUP(B23,'Costos de Inversión_xLocalidad'!$B$7:$Q$160,'Costos de Inversión_xLocalidad'!$Q$3,FALSE)</f>
        <v>81332749.349450096</v>
      </c>
      <c r="F23" s="677">
        <f t="shared" si="1"/>
        <v>1219991.2402417513</v>
      </c>
      <c r="G23" s="677">
        <f t="shared" si="2"/>
        <v>1352663.6402417512</v>
      </c>
    </row>
    <row r="24" spans="1:7">
      <c r="A24" s="950"/>
      <c r="B24" s="423" t="s">
        <v>558</v>
      </c>
      <c r="C24" s="417">
        <v>334178</v>
      </c>
      <c r="D24" s="672">
        <f t="shared" si="0"/>
        <v>1.4999999999999999E-2</v>
      </c>
      <c r="E24" s="677">
        <f>VLOOKUP(B24,'Costos de Inversión_xLocalidad'!$B$7:$Q$160,'Costos de Inversión_xLocalidad'!$Q$3,FALSE)</f>
        <v>69842017.298274636</v>
      </c>
      <c r="F24" s="677">
        <f t="shared" si="1"/>
        <v>1047630.2594741195</v>
      </c>
      <c r="G24" s="677">
        <f t="shared" si="2"/>
        <v>1180302.6594741195</v>
      </c>
    </row>
    <row r="25" spans="1:7">
      <c r="A25" s="950"/>
      <c r="B25" s="423" t="s">
        <v>341</v>
      </c>
      <c r="C25" s="417">
        <v>326215</v>
      </c>
      <c r="D25" s="672">
        <f t="shared" si="0"/>
        <v>1.4999999999999999E-2</v>
      </c>
      <c r="E25" s="677">
        <f>VLOOKUP(B25,'Costos de Inversión_xLocalidad'!$B$7:$Q$160,'Costos de Inversión_xLocalidad'!$Q$3,FALSE)</f>
        <v>69165454.744581267</v>
      </c>
      <c r="F25" s="677">
        <f t="shared" si="1"/>
        <v>1037481.821168719</v>
      </c>
      <c r="G25" s="677">
        <f t="shared" si="2"/>
        <v>1170154.221168719</v>
      </c>
    </row>
    <row r="26" spans="1:7">
      <c r="A26" s="950"/>
      <c r="B26" s="423" t="s">
        <v>557</v>
      </c>
      <c r="C26" s="417">
        <v>323918</v>
      </c>
      <c r="D26" s="672">
        <f t="shared" si="0"/>
        <v>1.4999999999999999E-2</v>
      </c>
      <c r="E26" s="677">
        <f>VLOOKUP(B26,'Costos de Inversión_xLocalidad'!$B$7:$Q$160,'Costos de Inversión_xLocalidad'!$Q$3,FALSE)</f>
        <v>74929894.138069317</v>
      </c>
      <c r="F26" s="677">
        <f t="shared" si="1"/>
        <v>1123948.4120710397</v>
      </c>
      <c r="G26" s="677">
        <f t="shared" si="2"/>
        <v>1256620.8120710396</v>
      </c>
    </row>
    <row r="27" spans="1:7" ht="15.75" customHeight="1">
      <c r="A27" s="950" t="s">
        <v>693</v>
      </c>
      <c r="B27" s="423" t="s">
        <v>344</v>
      </c>
      <c r="C27" s="417">
        <v>298777</v>
      </c>
      <c r="D27" s="769">
        <f t="shared" si="0"/>
        <v>1.2500000000000001E-2</v>
      </c>
      <c r="E27" s="677">
        <f>VLOOKUP(B27,'Costos de Inversión_xLocalidad'!$B$7:$Q$160,'Costos de Inversión_xLocalidad'!$Q$3,FALSE)</f>
        <v>37126124.72706084</v>
      </c>
      <c r="F27" s="677">
        <f t="shared" si="1"/>
        <v>464076.55908826052</v>
      </c>
      <c r="G27" s="677">
        <f t="shared" si="2"/>
        <v>596748.95908826054</v>
      </c>
    </row>
    <row r="28" spans="1:7">
      <c r="A28" s="950"/>
      <c r="B28" s="423" t="s">
        <v>501</v>
      </c>
      <c r="C28" s="417">
        <v>283510</v>
      </c>
      <c r="D28" s="769">
        <f t="shared" si="0"/>
        <v>1.2500000000000001E-2</v>
      </c>
      <c r="E28" s="677">
        <f>VLOOKUP(B28,'Costos de Inversión_xLocalidad'!$B$7:$Q$160,'Costos de Inversión_xLocalidad'!$Q$3,FALSE)</f>
        <v>28857726.677277576</v>
      </c>
      <c r="F28" s="677">
        <f t="shared" si="1"/>
        <v>360721.58346596971</v>
      </c>
      <c r="G28" s="677">
        <f t="shared" si="2"/>
        <v>493393.98346596968</v>
      </c>
    </row>
    <row r="29" spans="1:7">
      <c r="A29" s="950"/>
      <c r="B29" s="423" t="s">
        <v>343</v>
      </c>
      <c r="C29" s="417">
        <v>256449</v>
      </c>
      <c r="D29" s="769">
        <f t="shared" si="0"/>
        <v>1.2500000000000001E-2</v>
      </c>
      <c r="E29" s="677">
        <f>VLOOKUP(B29,'Costos de Inversión_xLocalidad'!$B$7:$Q$160,'Costos de Inversión_xLocalidad'!$Q$3,FALSE)</f>
        <v>47074052.031765983</v>
      </c>
      <c r="F29" s="677">
        <f t="shared" si="1"/>
        <v>588425.65039707476</v>
      </c>
      <c r="G29" s="677">
        <f t="shared" si="2"/>
        <v>721098.05039707478</v>
      </c>
    </row>
    <row r="30" spans="1:7">
      <c r="A30" s="950"/>
      <c r="B30" s="423" t="s">
        <v>362</v>
      </c>
      <c r="C30" s="417">
        <v>203283</v>
      </c>
      <c r="D30" s="769">
        <f t="shared" si="0"/>
        <v>1.2500000000000001E-2</v>
      </c>
      <c r="E30" s="677">
        <f>VLOOKUP(B30,'Costos de Inversión_xLocalidad'!$B$7:$Q$160,'Costos de Inversión_xLocalidad'!$Q$3,FALSE)</f>
        <v>41031814.587386072</v>
      </c>
      <c r="F30" s="677">
        <f t="shared" si="1"/>
        <v>512897.68234232592</v>
      </c>
      <c r="G30" s="677">
        <f t="shared" si="2"/>
        <v>645570.08234232594</v>
      </c>
    </row>
    <row r="31" spans="1:7" ht="15.95" customHeight="1">
      <c r="A31" s="950"/>
      <c r="B31" s="423" t="s">
        <v>345</v>
      </c>
      <c r="C31" s="417">
        <v>187122</v>
      </c>
      <c r="D31" s="769">
        <f t="shared" si="0"/>
        <v>1.2500000000000001E-2</v>
      </c>
      <c r="E31" s="677">
        <f>VLOOKUP(B31,'Costos de Inversión_xLocalidad'!$B$7:$Q$160,'Costos de Inversión_xLocalidad'!$Q$3,FALSE)</f>
        <v>29453892.771270983</v>
      </c>
      <c r="F31" s="677">
        <f t="shared" si="1"/>
        <v>368173.65964088729</v>
      </c>
      <c r="G31" s="677">
        <f t="shared" si="2"/>
        <v>500846.05964088731</v>
      </c>
    </row>
    <row r="32" spans="1:7">
      <c r="A32" s="950"/>
      <c r="B32" s="423" t="s">
        <v>559</v>
      </c>
      <c r="C32" s="417">
        <v>179788</v>
      </c>
      <c r="D32" s="769">
        <f t="shared" si="0"/>
        <v>1.2500000000000001E-2</v>
      </c>
      <c r="E32" s="677">
        <f>VLOOKUP(B32,'Costos de Inversión_xLocalidad'!$B$7:$Q$160,'Costos de Inversión_xLocalidad'!$Q$3,FALSE)</f>
        <v>27383506.649691898</v>
      </c>
      <c r="F32" s="677">
        <f t="shared" si="1"/>
        <v>342293.83312114875</v>
      </c>
      <c r="G32" s="677">
        <f t="shared" si="2"/>
        <v>474966.23312114878</v>
      </c>
    </row>
    <row r="33" spans="1:7">
      <c r="A33" s="950"/>
      <c r="B33" s="423" t="s">
        <v>346</v>
      </c>
      <c r="C33" s="417">
        <v>172524</v>
      </c>
      <c r="D33" s="769">
        <f t="shared" si="0"/>
        <v>1.2500000000000001E-2</v>
      </c>
      <c r="E33" s="677">
        <f>VLOOKUP(B33,'Costos de Inversión_xLocalidad'!$B$7:$Q$160,'Costos de Inversión_xLocalidad'!$Q$3,FALSE)</f>
        <v>28665467.611184802</v>
      </c>
      <c r="F33" s="677">
        <f t="shared" si="1"/>
        <v>358318.34513981006</v>
      </c>
      <c r="G33" s="677">
        <f t="shared" si="2"/>
        <v>490990.74513981002</v>
      </c>
    </row>
    <row r="34" spans="1:7">
      <c r="A34" s="950"/>
      <c r="B34" s="423" t="s">
        <v>504</v>
      </c>
      <c r="C34" s="417">
        <v>165375</v>
      </c>
      <c r="D34" s="769">
        <f t="shared" si="0"/>
        <v>1.2500000000000001E-2</v>
      </c>
      <c r="E34" s="677">
        <f>VLOOKUP(B34,'Costos de Inversión_xLocalidad'!$B$7:$Q$160,'Costos de Inversión_xLocalidad'!$Q$3,FALSE)</f>
        <v>31112606.587432723</v>
      </c>
      <c r="F34" s="677">
        <f t="shared" si="1"/>
        <v>388907.58234290907</v>
      </c>
      <c r="G34" s="677">
        <f t="shared" si="2"/>
        <v>521579.98234290909</v>
      </c>
    </row>
    <row r="35" spans="1:7">
      <c r="A35" s="950"/>
      <c r="B35" s="671" t="s">
        <v>389</v>
      </c>
      <c r="C35" s="417">
        <v>150162</v>
      </c>
      <c r="D35" s="769">
        <f t="shared" si="0"/>
        <v>1.2500000000000001E-2</v>
      </c>
      <c r="E35" s="677">
        <f>VLOOKUP(B35,'Costos de Inversión_xLocalidad'!$B$7:$Q$160,'Costos de Inversión_xLocalidad'!$Q$3,FALSE)</f>
        <v>31441961.581770461</v>
      </c>
      <c r="F35" s="677">
        <f t="shared" si="1"/>
        <v>393024.51977213076</v>
      </c>
      <c r="G35" s="677">
        <f t="shared" si="2"/>
        <v>525696.91977213079</v>
      </c>
    </row>
    <row r="36" spans="1:7">
      <c r="A36" s="950"/>
      <c r="B36" s="423" t="s">
        <v>505</v>
      </c>
      <c r="C36" s="417">
        <v>143211</v>
      </c>
      <c r="D36" s="769">
        <f t="shared" si="0"/>
        <v>1.2500000000000001E-2</v>
      </c>
      <c r="E36" s="677">
        <f>VLOOKUP(B36,'Costos de Inversión_xLocalidad'!$B$7:$Q$160,'Costos de Inversión_xLocalidad'!$Q$3,FALSE)</f>
        <v>24902322.212298937</v>
      </c>
      <c r="F36" s="677">
        <f t="shared" si="1"/>
        <v>311279.0276537367</v>
      </c>
      <c r="G36" s="677">
        <f t="shared" si="2"/>
        <v>443951.42765373667</v>
      </c>
    </row>
    <row r="37" spans="1:7">
      <c r="A37" s="950"/>
      <c r="B37" s="423" t="s">
        <v>506</v>
      </c>
      <c r="C37" s="417">
        <v>132087</v>
      </c>
      <c r="D37" s="769">
        <f t="shared" si="0"/>
        <v>1.2500000000000001E-2</v>
      </c>
      <c r="E37" s="677">
        <f>VLOOKUP(B37,'Costos de Inversión_xLocalidad'!$B$7:$Q$160,'Costos de Inversión_xLocalidad'!$Q$3,FALSE)</f>
        <v>26737121.55152896</v>
      </c>
      <c r="F37" s="677">
        <f t="shared" si="1"/>
        <v>334214.01939411205</v>
      </c>
      <c r="G37" s="677">
        <f t="shared" si="2"/>
        <v>466886.41939411208</v>
      </c>
    </row>
    <row r="38" spans="1:7">
      <c r="A38" s="950"/>
      <c r="B38" s="423" t="s">
        <v>507</v>
      </c>
      <c r="C38" s="417">
        <v>126328</v>
      </c>
      <c r="D38" s="769">
        <f t="shared" si="0"/>
        <v>1.2500000000000001E-2</v>
      </c>
      <c r="E38" s="677">
        <f>VLOOKUP(B38,'Costos de Inversión_xLocalidad'!$B$7:$Q$160,'Costos de Inversión_xLocalidad'!$Q$3,FALSE)</f>
        <v>30575762.413717523</v>
      </c>
      <c r="F38" s="677">
        <f t="shared" si="1"/>
        <v>382197.03017146909</v>
      </c>
      <c r="G38" s="677">
        <f t="shared" si="2"/>
        <v>514869.43017146911</v>
      </c>
    </row>
    <row r="39" spans="1:7">
      <c r="A39" s="950"/>
      <c r="B39" s="423" t="s">
        <v>376</v>
      </c>
      <c r="C39" s="417">
        <v>114052</v>
      </c>
      <c r="D39" s="769">
        <f t="shared" si="0"/>
        <v>1.2500000000000001E-2</v>
      </c>
      <c r="E39" s="677">
        <f>VLOOKUP(B39,'Costos de Inversión_xLocalidad'!$B$7:$Q$160,'Costos de Inversión_xLocalidad'!$Q$3,FALSE)</f>
        <v>23520399.192903139</v>
      </c>
      <c r="F39" s="677">
        <f t="shared" si="1"/>
        <v>294004.98991128925</v>
      </c>
      <c r="G39" s="677">
        <f t="shared" si="2"/>
        <v>426677.38991128921</v>
      </c>
    </row>
    <row r="40" spans="1:7">
      <c r="A40" s="950"/>
      <c r="B40" s="423" t="s">
        <v>508</v>
      </c>
      <c r="C40" s="417">
        <v>111365</v>
      </c>
      <c r="D40" s="769">
        <f t="shared" si="0"/>
        <v>1.2500000000000001E-2</v>
      </c>
      <c r="E40" s="677">
        <f>VLOOKUP(B40,'Costos de Inversión_xLocalidad'!$B$7:$Q$160,'Costos de Inversión_xLocalidad'!$Q$3,FALSE)</f>
        <v>36531487.837245971</v>
      </c>
      <c r="F40" s="677">
        <f t="shared" si="1"/>
        <v>456643.59796557465</v>
      </c>
      <c r="G40" s="677">
        <f t="shared" si="2"/>
        <v>589315.99796557461</v>
      </c>
    </row>
    <row r="41" spans="1:7">
      <c r="A41" s="950"/>
      <c r="B41" s="423" t="s">
        <v>375</v>
      </c>
      <c r="C41" s="417">
        <v>110726</v>
      </c>
      <c r="D41" s="769">
        <f t="shared" si="0"/>
        <v>1.2500000000000001E-2</v>
      </c>
      <c r="E41" s="677">
        <f>VLOOKUP(B41,'Costos de Inversión_xLocalidad'!$B$7:$Q$160,'Costos de Inversión_xLocalidad'!$Q$3,FALSE)</f>
        <v>25377815.677271858</v>
      </c>
      <c r="F41" s="677">
        <f t="shared" si="1"/>
        <v>317222.69596589822</v>
      </c>
      <c r="G41" s="677">
        <f t="shared" si="2"/>
        <v>449895.09596589825</v>
      </c>
    </row>
    <row r="42" spans="1:7">
      <c r="A42" s="950"/>
      <c r="B42" s="423" t="s">
        <v>565</v>
      </c>
      <c r="C42" s="417">
        <v>104977</v>
      </c>
      <c r="D42" s="769">
        <f t="shared" si="0"/>
        <v>1.2500000000000001E-2</v>
      </c>
      <c r="E42" s="677">
        <f>VLOOKUP(B42,'Costos de Inversión_xLocalidad'!$B$7:$Q$160,'Costos de Inversión_xLocalidad'!$Q$3,FALSE)</f>
        <v>30529105.010613523</v>
      </c>
      <c r="F42" s="677">
        <f t="shared" si="1"/>
        <v>381613.81263266905</v>
      </c>
      <c r="G42" s="677">
        <f t="shared" si="2"/>
        <v>514286.21263266902</v>
      </c>
    </row>
    <row r="43" spans="1:7">
      <c r="A43" s="950"/>
      <c r="B43" s="423" t="s">
        <v>176</v>
      </c>
      <c r="C43" s="417">
        <v>102836</v>
      </c>
      <c r="D43" s="769">
        <f t="shared" si="0"/>
        <v>1.2500000000000001E-2</v>
      </c>
      <c r="E43" s="677">
        <f>VLOOKUP(B43,'Costos de Inversión_xLocalidad'!$B$7:$Q$160,'Costos de Inversión_xLocalidad'!$Q$3,FALSE)</f>
        <v>23361788.233520411</v>
      </c>
      <c r="F43" s="677">
        <f t="shared" si="1"/>
        <v>292022.35291900515</v>
      </c>
      <c r="G43" s="677">
        <f t="shared" si="2"/>
        <v>424694.75291900511</v>
      </c>
    </row>
    <row r="44" spans="1:7">
      <c r="A44" s="950"/>
      <c r="B44" s="423" t="s">
        <v>560</v>
      </c>
      <c r="C44" s="417">
        <v>102128</v>
      </c>
      <c r="D44" s="769">
        <f t="shared" si="0"/>
        <v>1.2500000000000001E-2</v>
      </c>
      <c r="E44" s="677">
        <f>VLOOKUP(B44,'Costos de Inversión_xLocalidad'!$B$7:$Q$160,'Costos de Inversión_xLocalidad'!$Q$3,FALSE)</f>
        <v>20031681.756571654</v>
      </c>
      <c r="F44" s="677">
        <f t="shared" si="1"/>
        <v>250396.02195714568</v>
      </c>
      <c r="G44" s="677">
        <f t="shared" si="2"/>
        <v>383068.42195714568</v>
      </c>
    </row>
    <row r="45" spans="1:7">
      <c r="A45" s="950"/>
      <c r="B45" s="423" t="s">
        <v>510</v>
      </c>
      <c r="C45" s="417">
        <v>101762</v>
      </c>
      <c r="D45" s="769">
        <f t="shared" si="0"/>
        <v>1.2500000000000001E-2</v>
      </c>
      <c r="E45" s="677">
        <f>VLOOKUP(B45,'Costos de Inversión_xLocalidad'!$B$7:$Q$160,'Costos de Inversión_xLocalidad'!$Q$3,FALSE)</f>
        <v>36030428.107197858</v>
      </c>
      <c r="F45" s="677">
        <f t="shared" si="1"/>
        <v>450380.35133997328</v>
      </c>
      <c r="G45" s="677">
        <f t="shared" si="2"/>
        <v>583052.7513399733</v>
      </c>
    </row>
    <row r="46" spans="1:7">
      <c r="A46" s="950"/>
      <c r="B46" s="423" t="s">
        <v>352</v>
      </c>
      <c r="C46" s="417">
        <v>101263</v>
      </c>
      <c r="D46" s="769">
        <f t="shared" si="0"/>
        <v>1.2500000000000001E-2</v>
      </c>
      <c r="E46" s="677">
        <f>VLOOKUP(B46,'Costos de Inversión_xLocalidad'!$B$7:$Q$160,'Costos de Inversión_xLocalidad'!$Q$3,FALSE)</f>
        <v>31272996.639856026</v>
      </c>
      <c r="F46" s="677">
        <f t="shared" si="1"/>
        <v>390912.45799820032</v>
      </c>
      <c r="G46" s="677">
        <f t="shared" si="2"/>
        <v>523584.85799820034</v>
      </c>
    </row>
    <row r="47" spans="1:7">
      <c r="A47" s="950"/>
      <c r="B47" s="423" t="s">
        <v>364</v>
      </c>
      <c r="C47" s="417">
        <v>98977</v>
      </c>
      <c r="D47" s="769">
        <f t="shared" si="0"/>
        <v>1.2500000000000001E-2</v>
      </c>
      <c r="E47" s="677">
        <f>VLOOKUP(B47,'Costos de Inversión_xLocalidad'!$B$7:$Q$160,'Costos de Inversión_xLocalidad'!$Q$3,FALSE)</f>
        <v>25290915.961554915</v>
      </c>
      <c r="F47" s="677">
        <f t="shared" si="1"/>
        <v>316136.44951943646</v>
      </c>
      <c r="G47" s="677">
        <f t="shared" si="2"/>
        <v>448808.84951943648</v>
      </c>
    </row>
    <row r="48" spans="1:7">
      <c r="A48" s="950"/>
      <c r="B48" s="423" t="s">
        <v>426</v>
      </c>
      <c r="C48" s="417">
        <v>75396</v>
      </c>
      <c r="D48" s="769">
        <f t="shared" si="0"/>
        <v>1.2500000000000001E-2</v>
      </c>
      <c r="E48" s="677">
        <f>VLOOKUP(B48,'Costos de Inversión_xLocalidad'!$B$7:$Q$160,'Costos de Inversión_xLocalidad'!$Q$3,FALSE)</f>
        <v>21137465.408824451</v>
      </c>
      <c r="F48" s="677">
        <f t="shared" si="1"/>
        <v>264218.31761030568</v>
      </c>
      <c r="G48" s="677">
        <f t="shared" si="2"/>
        <v>396890.71761030564</v>
      </c>
    </row>
    <row r="49" spans="1:7">
      <c r="A49" s="950"/>
      <c r="B49" s="423" t="s">
        <v>392</v>
      </c>
      <c r="C49" s="417">
        <v>73477</v>
      </c>
      <c r="D49" s="769">
        <f t="shared" si="0"/>
        <v>1.2500000000000001E-2</v>
      </c>
      <c r="E49" s="677">
        <f>VLOOKUP(B49,'Costos de Inversión_xLocalidad'!$B$7:$Q$160,'Costos de Inversión_xLocalidad'!$Q$3,FALSE)</f>
        <v>20937598.19663588</v>
      </c>
      <c r="F49" s="677">
        <f t="shared" si="1"/>
        <v>261719.97745794849</v>
      </c>
      <c r="G49" s="677">
        <f t="shared" si="2"/>
        <v>394392.37745794852</v>
      </c>
    </row>
    <row r="50" spans="1:7">
      <c r="A50" s="950"/>
      <c r="B50" s="423" t="s">
        <v>366</v>
      </c>
      <c r="C50" s="417">
        <v>71149</v>
      </c>
      <c r="D50" s="769">
        <f t="shared" si="0"/>
        <v>1.2500000000000001E-2</v>
      </c>
      <c r="E50" s="677">
        <f>VLOOKUP(B50,'Costos de Inversión_xLocalidad'!$B$7:$Q$160,'Costos de Inversión_xLocalidad'!$Q$3,FALSE)</f>
        <v>11204314.514879398</v>
      </c>
      <c r="F50" s="677">
        <f t="shared" si="1"/>
        <v>140053.93143599248</v>
      </c>
      <c r="G50" s="677">
        <f t="shared" si="2"/>
        <v>272726.3314359925</v>
      </c>
    </row>
    <row r="51" spans="1:7">
      <c r="A51" s="950"/>
      <c r="B51" s="423" t="s">
        <v>400</v>
      </c>
      <c r="C51" s="417">
        <v>70765</v>
      </c>
      <c r="D51" s="769">
        <f t="shared" si="0"/>
        <v>1.2500000000000001E-2</v>
      </c>
      <c r="E51" s="677">
        <f>VLOOKUP(B51,'Costos de Inversión_xLocalidad'!$B$7:$Q$160,'Costos de Inversión_xLocalidad'!$Q$3,FALSE)</f>
        <v>22978717.217688963</v>
      </c>
      <c r="F51" s="677">
        <f t="shared" si="1"/>
        <v>287233.96522111207</v>
      </c>
      <c r="G51" s="677">
        <f t="shared" si="2"/>
        <v>419906.36522111204</v>
      </c>
    </row>
    <row r="52" spans="1:7">
      <c r="A52" s="950"/>
      <c r="B52" s="423" t="s">
        <v>15</v>
      </c>
      <c r="C52" s="417">
        <v>70407</v>
      </c>
      <c r="D52" s="769">
        <f t="shared" si="0"/>
        <v>1.2500000000000001E-2</v>
      </c>
      <c r="E52" s="677">
        <f>VLOOKUP(B52,'Costos de Inversión_xLocalidad'!$B$7:$Q$160,'Costos de Inversión_xLocalidad'!$Q$3,FALSE)</f>
        <v>23811566.003776681</v>
      </c>
      <c r="F52" s="677">
        <f t="shared" si="1"/>
        <v>297644.57504720852</v>
      </c>
      <c r="G52" s="677">
        <f t="shared" si="2"/>
        <v>430316.97504720849</v>
      </c>
    </row>
    <row r="53" spans="1:7">
      <c r="A53" s="950"/>
      <c r="B53" s="423" t="s">
        <v>412</v>
      </c>
      <c r="C53" s="417">
        <v>69616</v>
      </c>
      <c r="D53" s="769">
        <f t="shared" si="0"/>
        <v>1.2500000000000001E-2</v>
      </c>
      <c r="E53" s="677">
        <f>VLOOKUP(B53,'Costos de Inversión_xLocalidad'!$B$7:$Q$160,'Costos de Inversión_xLocalidad'!$Q$3,FALSE)</f>
        <v>21912135.485789213</v>
      </c>
      <c r="F53" s="677">
        <f t="shared" si="1"/>
        <v>273901.69357236515</v>
      </c>
      <c r="G53" s="677">
        <f t="shared" si="2"/>
        <v>406574.09357236512</v>
      </c>
    </row>
    <row r="54" spans="1:7">
      <c r="A54" s="950"/>
      <c r="B54" s="423" t="s">
        <v>365</v>
      </c>
      <c r="C54" s="417">
        <v>67154</v>
      </c>
      <c r="D54" s="769">
        <f t="shared" si="0"/>
        <v>1.2500000000000001E-2</v>
      </c>
      <c r="E54" s="677">
        <f>VLOOKUP(B54,'Costos de Inversión_xLocalidad'!$B$7:$Q$160,'Costos de Inversión_xLocalidad'!$Q$3,FALSE)</f>
        <v>16129577.406946344</v>
      </c>
      <c r="F54" s="677">
        <f t="shared" si="1"/>
        <v>201619.71758682933</v>
      </c>
      <c r="G54" s="677">
        <f t="shared" si="2"/>
        <v>334292.11758682935</v>
      </c>
    </row>
    <row r="55" spans="1:7">
      <c r="A55" s="950"/>
      <c r="B55" s="423" t="s">
        <v>353</v>
      </c>
      <c r="C55" s="417">
        <v>64406</v>
      </c>
      <c r="D55" s="769">
        <f t="shared" si="0"/>
        <v>1.2500000000000001E-2</v>
      </c>
      <c r="E55" s="677">
        <f>VLOOKUP(B55,'Costos de Inversión_xLocalidad'!$B$7:$Q$160,'Costos de Inversión_xLocalidad'!$Q$3,FALSE)</f>
        <v>17596118.632453408</v>
      </c>
      <c r="F55" s="677">
        <f t="shared" si="1"/>
        <v>219951.48290566762</v>
      </c>
      <c r="G55" s="677">
        <f t="shared" si="2"/>
        <v>352623.88290566765</v>
      </c>
    </row>
    <row r="56" spans="1:7">
      <c r="A56" s="950"/>
      <c r="B56" s="423" t="s">
        <v>420</v>
      </c>
      <c r="C56" s="417">
        <v>62835</v>
      </c>
      <c r="D56" s="769">
        <f t="shared" si="0"/>
        <v>1.2500000000000001E-2</v>
      </c>
      <c r="E56" s="677">
        <f>VLOOKUP(B56,'Costos de Inversión_xLocalidad'!$B$7:$Q$160,'Costos de Inversión_xLocalidad'!$Q$3,FALSE)</f>
        <v>15259619.839422794</v>
      </c>
      <c r="F56" s="677">
        <f t="shared" si="1"/>
        <v>190745.24799278495</v>
      </c>
      <c r="G56" s="677">
        <f t="shared" si="2"/>
        <v>323417.64799278497</v>
      </c>
    </row>
    <row r="57" spans="1:7">
      <c r="A57" s="950"/>
      <c r="B57" s="423" t="s">
        <v>385</v>
      </c>
      <c r="C57" s="417">
        <v>53157</v>
      </c>
      <c r="D57" s="769">
        <f t="shared" si="0"/>
        <v>1.2500000000000001E-2</v>
      </c>
      <c r="E57" s="677">
        <f>VLOOKUP(B57,'Costos de Inversión_xLocalidad'!$B$7:$Q$160,'Costos de Inversión_xLocalidad'!$Q$3,FALSE)</f>
        <v>20188193.402302794</v>
      </c>
      <c r="F57" s="677">
        <f t="shared" si="1"/>
        <v>252352.41752878495</v>
      </c>
      <c r="G57" s="677">
        <f t="shared" si="2"/>
        <v>385024.81752878497</v>
      </c>
    </row>
    <row r="58" spans="1:7">
      <c r="A58" s="950"/>
      <c r="B58" s="423" t="s">
        <v>409</v>
      </c>
      <c r="C58" s="417">
        <v>52941</v>
      </c>
      <c r="D58" s="769">
        <f t="shared" si="0"/>
        <v>1.2500000000000001E-2</v>
      </c>
      <c r="E58" s="677">
        <f>VLOOKUP(B58,'Costos de Inversión_xLocalidad'!$B$7:$Q$160,'Costos de Inversión_xLocalidad'!$Q$3,FALSE)</f>
        <v>16906533.126399878</v>
      </c>
      <c r="F58" s="677">
        <f t="shared" si="1"/>
        <v>211331.6640799985</v>
      </c>
      <c r="G58" s="677">
        <f t="shared" si="2"/>
        <v>344004.06407999853</v>
      </c>
    </row>
    <row r="59" spans="1:7">
      <c r="A59" s="950"/>
      <c r="B59" s="423" t="s">
        <v>436</v>
      </c>
      <c r="C59" s="417">
        <v>51736</v>
      </c>
      <c r="D59" s="769">
        <f t="shared" si="0"/>
        <v>1.2500000000000001E-2</v>
      </c>
      <c r="E59" s="677">
        <f>VLOOKUP(B59,'Costos de Inversión_xLocalidad'!$B$7:$Q$160,'Costos de Inversión_xLocalidad'!$Q$3,FALSE)</f>
        <v>17951632.529401679</v>
      </c>
      <c r="F59" s="677">
        <f t="shared" si="1"/>
        <v>224395.40661752099</v>
      </c>
      <c r="G59" s="677">
        <f t="shared" si="2"/>
        <v>357067.80661752098</v>
      </c>
    </row>
    <row r="60" spans="1:7" ht="15.75" customHeight="1">
      <c r="A60" s="950" t="s">
        <v>694</v>
      </c>
      <c r="B60" s="423" t="s">
        <v>432</v>
      </c>
      <c r="C60" s="417">
        <v>48423</v>
      </c>
      <c r="D60" s="673">
        <f t="shared" si="0"/>
        <v>0.01</v>
      </c>
      <c r="E60" s="677">
        <f>VLOOKUP(B60,'Costos de Inversión_xLocalidad'!$B$7:$Q$160,'Costos de Inversión_xLocalidad'!$Q$3,FALSE)</f>
        <v>20327897.010107718</v>
      </c>
      <c r="F60" s="677">
        <f t="shared" si="1"/>
        <v>203278.9701010772</v>
      </c>
      <c r="G60" s="677">
        <f t="shared" si="2"/>
        <v>335951.37010107719</v>
      </c>
    </row>
    <row r="61" spans="1:7">
      <c r="A61" s="950"/>
      <c r="B61" s="423" t="s">
        <v>358</v>
      </c>
      <c r="C61" s="417">
        <v>45597</v>
      </c>
      <c r="D61" s="673">
        <f t="shared" si="0"/>
        <v>0.01</v>
      </c>
      <c r="E61" s="677">
        <f>VLOOKUP(B61,'Costos de Inversión_xLocalidad'!$B$7:$Q$160,'Costos de Inversión_xLocalidad'!$Q$3,FALSE)</f>
        <v>3160263.6072858255</v>
      </c>
      <c r="F61" s="677">
        <f t="shared" si="1"/>
        <v>31602.636072858255</v>
      </c>
      <c r="G61" s="677">
        <f t="shared" si="2"/>
        <v>164275.03607285826</v>
      </c>
    </row>
    <row r="62" spans="1:7">
      <c r="A62" s="950"/>
      <c r="B62" s="423" t="s">
        <v>458</v>
      </c>
      <c r="C62" s="417">
        <v>44974</v>
      </c>
      <c r="D62" s="673">
        <f t="shared" si="0"/>
        <v>0.01</v>
      </c>
      <c r="E62" s="677">
        <f>VLOOKUP(B62,'Costos de Inversión_xLocalidad'!$B$7:$Q$160,'Costos de Inversión_xLocalidad'!$Q$3,FALSE)</f>
        <v>18166105.115722235</v>
      </c>
      <c r="F62" s="677">
        <f t="shared" si="1"/>
        <v>181661.05115722236</v>
      </c>
      <c r="G62" s="677">
        <f t="shared" si="2"/>
        <v>314333.45115722239</v>
      </c>
    </row>
    <row r="63" spans="1:7">
      <c r="A63" s="950"/>
      <c r="B63" s="423" t="s">
        <v>402</v>
      </c>
      <c r="C63" s="417">
        <v>44972</v>
      </c>
      <c r="D63" s="673">
        <f t="shared" si="0"/>
        <v>0.01</v>
      </c>
      <c r="E63" s="677">
        <f>VLOOKUP(B63,'Costos de Inversión_xLocalidad'!$B$7:$Q$160,'Costos de Inversión_xLocalidad'!$Q$3,FALSE)</f>
        <v>18362606.776559711</v>
      </c>
      <c r="F63" s="677">
        <f t="shared" si="1"/>
        <v>183626.06776559711</v>
      </c>
      <c r="G63" s="677">
        <f t="shared" si="2"/>
        <v>316298.4677655971</v>
      </c>
    </row>
    <row r="64" spans="1:7">
      <c r="A64" s="950"/>
      <c r="B64" s="423" t="s">
        <v>516</v>
      </c>
      <c r="C64" s="417">
        <v>42914</v>
      </c>
      <c r="D64" s="673">
        <f t="shared" si="0"/>
        <v>0.01</v>
      </c>
      <c r="E64" s="677">
        <f>VLOOKUP(B64,'Costos de Inversión_xLocalidad'!$B$7:$Q$160,'Costos de Inversión_xLocalidad'!$Q$3,FALSE)</f>
        <v>22796592.11679364</v>
      </c>
      <c r="F64" s="677">
        <f t="shared" si="1"/>
        <v>227965.92116793641</v>
      </c>
      <c r="G64" s="677">
        <f t="shared" si="2"/>
        <v>360638.32116793643</v>
      </c>
    </row>
    <row r="65" spans="1:7">
      <c r="A65" s="950"/>
      <c r="B65" s="423" t="s">
        <v>520</v>
      </c>
      <c r="C65" s="417">
        <v>42676</v>
      </c>
      <c r="D65" s="673">
        <f t="shared" si="0"/>
        <v>0.01</v>
      </c>
      <c r="E65" s="677">
        <f>VLOOKUP(B65,'Costos de Inversión_xLocalidad'!$B$7:$Q$160,'Costos de Inversión_xLocalidad'!$Q$3,FALSE)</f>
        <v>18305940.393983766</v>
      </c>
      <c r="F65" s="677">
        <f t="shared" si="1"/>
        <v>183059.40393983768</v>
      </c>
      <c r="G65" s="677">
        <f t="shared" si="2"/>
        <v>315731.80393983767</v>
      </c>
    </row>
    <row r="66" spans="1:7">
      <c r="A66" s="950"/>
      <c r="B66" s="423" t="s">
        <v>521</v>
      </c>
      <c r="C66" s="417">
        <v>42561</v>
      </c>
      <c r="D66" s="673">
        <f t="shared" si="0"/>
        <v>0.01</v>
      </c>
      <c r="E66" s="677">
        <f>VLOOKUP(B66,'Costos de Inversión_xLocalidad'!$B$7:$Q$160,'Costos de Inversión_xLocalidad'!$Q$3,FALSE)</f>
        <v>14262240.109899767</v>
      </c>
      <c r="F66" s="677">
        <f t="shared" si="1"/>
        <v>142622.40109899768</v>
      </c>
      <c r="G66" s="677">
        <f t="shared" si="2"/>
        <v>275294.8010989977</v>
      </c>
    </row>
    <row r="67" spans="1:7">
      <c r="A67" s="950"/>
      <c r="B67" s="423" t="s">
        <v>394</v>
      </c>
      <c r="C67" s="417">
        <v>41717</v>
      </c>
      <c r="D67" s="673">
        <f t="shared" si="0"/>
        <v>0.01</v>
      </c>
      <c r="E67" s="677">
        <f>VLOOKUP(B67,'Costos de Inversión_xLocalidad'!$B$7:$Q$160,'Costos de Inversión_xLocalidad'!$Q$3,FALSE)</f>
        <v>14568312.516778236</v>
      </c>
      <c r="F67" s="677">
        <f t="shared" si="1"/>
        <v>145683.12516778236</v>
      </c>
      <c r="G67" s="677">
        <f t="shared" si="2"/>
        <v>278355.52516778233</v>
      </c>
    </row>
    <row r="68" spans="1:7">
      <c r="A68" s="950"/>
      <c r="B68" s="423" t="s">
        <v>368</v>
      </c>
      <c r="C68" s="417">
        <v>40259</v>
      </c>
      <c r="D68" s="673">
        <f t="shared" si="0"/>
        <v>0.01</v>
      </c>
      <c r="E68" s="677">
        <f>VLOOKUP(B68,'Costos de Inversión_xLocalidad'!$B$7:$Q$160,'Costos de Inversión_xLocalidad'!$Q$3,FALSE)</f>
        <v>13778501.743478373</v>
      </c>
      <c r="F68" s="677">
        <f t="shared" si="1"/>
        <v>137785.01743478372</v>
      </c>
      <c r="G68" s="677">
        <f t="shared" si="2"/>
        <v>270457.41743478371</v>
      </c>
    </row>
    <row r="69" spans="1:7">
      <c r="A69" s="950"/>
      <c r="B69" s="423" t="s">
        <v>378</v>
      </c>
      <c r="C69" s="417">
        <v>40157</v>
      </c>
      <c r="D69" s="673">
        <f t="shared" ref="D69:D132" si="3">IF(C69&gt;=300000,1.5%,IF(C69&gt;=50000,1.25%,1%))</f>
        <v>0.01</v>
      </c>
      <c r="E69" s="677">
        <f>VLOOKUP(B69,'Costos de Inversión_xLocalidad'!$B$7:$Q$160,'Costos de Inversión_xLocalidad'!$Q$3,FALSE)</f>
        <v>14314010.713708237</v>
      </c>
      <c r="F69" s="677">
        <f t="shared" ref="F69:F132" si="4">+D69*E69</f>
        <v>143140.10713708238</v>
      </c>
      <c r="G69" s="677">
        <f t="shared" ref="G69:G132" si="5">+F69+132672.4</f>
        <v>275812.5071370824</v>
      </c>
    </row>
    <row r="70" spans="1:7">
      <c r="A70" s="950"/>
      <c r="B70" s="423" t="s">
        <v>382</v>
      </c>
      <c r="C70" s="417">
        <v>39116</v>
      </c>
      <c r="D70" s="673">
        <f t="shared" si="3"/>
        <v>0.01</v>
      </c>
      <c r="E70" s="677">
        <f>VLOOKUP(B70,'Costos de Inversión_xLocalidad'!$B$7:$Q$160,'Costos de Inversión_xLocalidad'!$Q$3,FALSE)</f>
        <v>13332823.914405826</v>
      </c>
      <c r="F70" s="677">
        <f t="shared" si="4"/>
        <v>133328.23914405826</v>
      </c>
      <c r="G70" s="677">
        <f t="shared" si="5"/>
        <v>266000.63914405822</v>
      </c>
    </row>
    <row r="71" spans="1:7">
      <c r="A71" s="950"/>
      <c r="B71" s="423" t="s">
        <v>369</v>
      </c>
      <c r="C71" s="417">
        <v>38614</v>
      </c>
      <c r="D71" s="673">
        <f t="shared" si="3"/>
        <v>0.01</v>
      </c>
      <c r="E71" s="677">
        <f>VLOOKUP(B71,'Costos de Inversión_xLocalidad'!$B$7:$Q$160,'Costos de Inversión_xLocalidad'!$Q$3,FALSE)</f>
        <v>15696001.015854374</v>
      </c>
      <c r="F71" s="677">
        <f t="shared" si="4"/>
        <v>156960.01015854374</v>
      </c>
      <c r="G71" s="677">
        <f t="shared" si="5"/>
        <v>289632.41015854373</v>
      </c>
    </row>
    <row r="72" spans="1:7">
      <c r="A72" s="950"/>
      <c r="B72" s="423" t="s">
        <v>414</v>
      </c>
      <c r="C72" s="417">
        <v>38526</v>
      </c>
      <c r="D72" s="673">
        <f t="shared" si="3"/>
        <v>0.01</v>
      </c>
      <c r="E72" s="677">
        <f>VLOOKUP(B72,'Costos de Inversión_xLocalidad'!$B$7:$Q$160,'Costos de Inversión_xLocalidad'!$Q$3,FALSE)</f>
        <v>14293826.627802933</v>
      </c>
      <c r="F72" s="677">
        <f t="shared" si="4"/>
        <v>142938.26627802933</v>
      </c>
      <c r="G72" s="677">
        <f t="shared" si="5"/>
        <v>275610.66627802933</v>
      </c>
    </row>
    <row r="73" spans="1:7">
      <c r="A73" s="950"/>
      <c r="B73" s="423" t="s">
        <v>125</v>
      </c>
      <c r="C73" s="417">
        <v>38119</v>
      </c>
      <c r="D73" s="673">
        <f t="shared" si="3"/>
        <v>0.01</v>
      </c>
      <c r="E73" s="677">
        <f>VLOOKUP(B73,'Costos de Inversión_xLocalidad'!$B$7:$Q$160,'Costos de Inversión_xLocalidad'!$Q$3,FALSE)</f>
        <v>21519888.280979767</v>
      </c>
      <c r="F73" s="677">
        <f t="shared" si="4"/>
        <v>215198.88280979768</v>
      </c>
      <c r="G73" s="677">
        <f t="shared" si="5"/>
        <v>347871.28280979767</v>
      </c>
    </row>
    <row r="74" spans="1:7">
      <c r="A74" s="950"/>
      <c r="B74" s="423" t="s">
        <v>467</v>
      </c>
      <c r="C74" s="417">
        <v>37811</v>
      </c>
      <c r="D74" s="673">
        <f t="shared" si="3"/>
        <v>0.01</v>
      </c>
      <c r="E74" s="677">
        <f>VLOOKUP(B74,'Costos de Inversión_xLocalidad'!$B$7:$Q$160,'Costos de Inversión_xLocalidad'!$Q$3,FALSE)</f>
        <v>19849424.252587769</v>
      </c>
      <c r="F74" s="677">
        <f t="shared" si="4"/>
        <v>198494.24252587769</v>
      </c>
      <c r="G74" s="677">
        <f t="shared" si="5"/>
        <v>331166.64252587769</v>
      </c>
    </row>
    <row r="75" spans="1:7">
      <c r="A75" s="950"/>
      <c r="B75" s="423" t="s">
        <v>407</v>
      </c>
      <c r="C75" s="417">
        <v>36676</v>
      </c>
      <c r="D75" s="673">
        <f t="shared" si="3"/>
        <v>0.01</v>
      </c>
      <c r="E75" s="677">
        <f>VLOOKUP(B75,'Costos de Inversión_xLocalidad'!$B$7:$Q$160,'Costos de Inversión_xLocalidad'!$Q$3,FALSE)</f>
        <v>18430983.806123018</v>
      </c>
      <c r="F75" s="677">
        <f t="shared" si="4"/>
        <v>184309.8380612302</v>
      </c>
      <c r="G75" s="677">
        <f t="shared" si="5"/>
        <v>316982.23806123016</v>
      </c>
    </row>
    <row r="76" spans="1:7">
      <c r="A76" s="950"/>
      <c r="B76" s="423" t="s">
        <v>404</v>
      </c>
      <c r="C76" s="417">
        <v>35669</v>
      </c>
      <c r="D76" s="673">
        <f t="shared" si="3"/>
        <v>0.01</v>
      </c>
      <c r="E76" s="677">
        <f>VLOOKUP(B76,'Costos de Inversión_xLocalidad'!$B$7:$Q$160,'Costos de Inversión_xLocalidad'!$Q$3,FALSE)</f>
        <v>20103248.856086653</v>
      </c>
      <c r="F76" s="677">
        <f t="shared" si="4"/>
        <v>201032.48856086654</v>
      </c>
      <c r="G76" s="677">
        <f t="shared" si="5"/>
        <v>333704.88856086653</v>
      </c>
    </row>
    <row r="77" spans="1:7">
      <c r="A77" s="950"/>
      <c r="B77" s="423" t="s">
        <v>357</v>
      </c>
      <c r="C77" s="400">
        <v>35498</v>
      </c>
      <c r="D77" s="673">
        <f t="shared" si="3"/>
        <v>0.01</v>
      </c>
      <c r="E77" s="677">
        <f>VLOOKUP(B77,'Costos de Inversión_xLocalidad'!$B$7:$Q$160,'Costos de Inversión_xLocalidad'!$Q$3,FALSE)</f>
        <v>22071666.491279993</v>
      </c>
      <c r="F77" s="677">
        <f t="shared" si="4"/>
        <v>220716.66491279993</v>
      </c>
      <c r="G77" s="677">
        <f t="shared" si="5"/>
        <v>353389.06491279992</v>
      </c>
    </row>
    <row r="78" spans="1:7">
      <c r="A78" s="950"/>
      <c r="B78" s="423" t="s">
        <v>437</v>
      </c>
      <c r="C78" s="417">
        <v>33679</v>
      </c>
      <c r="D78" s="673">
        <f t="shared" si="3"/>
        <v>0.01</v>
      </c>
      <c r="E78" s="677">
        <f>VLOOKUP(B78,'Costos de Inversión_xLocalidad'!$B$7:$Q$160,'Costos de Inversión_xLocalidad'!$Q$3,FALSE)</f>
        <v>13281218.116058238</v>
      </c>
      <c r="F78" s="677">
        <f t="shared" si="4"/>
        <v>132812.18116058238</v>
      </c>
      <c r="G78" s="677">
        <f t="shared" si="5"/>
        <v>265484.58116058237</v>
      </c>
    </row>
    <row r="79" spans="1:7">
      <c r="A79" s="950"/>
      <c r="B79" s="423" t="s">
        <v>415</v>
      </c>
      <c r="C79" s="417">
        <v>33026</v>
      </c>
      <c r="D79" s="673">
        <f t="shared" si="3"/>
        <v>0.01</v>
      </c>
      <c r="E79" s="677">
        <f>VLOOKUP(B79,'Costos de Inversión_xLocalidad'!$B$7:$Q$160,'Costos de Inversión_xLocalidad'!$Q$3,FALSE)</f>
        <v>14313613.800347837</v>
      </c>
      <c r="F79" s="677">
        <f t="shared" si="4"/>
        <v>143136.13800347838</v>
      </c>
      <c r="G79" s="677">
        <f t="shared" si="5"/>
        <v>275808.53800347837</v>
      </c>
    </row>
    <row r="80" spans="1:7">
      <c r="A80" s="950"/>
      <c r="B80" s="423" t="s">
        <v>379</v>
      </c>
      <c r="C80" s="417">
        <v>32405</v>
      </c>
      <c r="D80" s="673">
        <f t="shared" si="3"/>
        <v>0.01</v>
      </c>
      <c r="E80" s="677">
        <f>VLOOKUP(B80,'Costos de Inversión_xLocalidad'!$B$7:$Q$160,'Costos de Inversión_xLocalidad'!$Q$3,FALSE)</f>
        <v>19079575.880018234</v>
      </c>
      <c r="F80" s="677">
        <f t="shared" si="4"/>
        <v>190795.75880018235</v>
      </c>
      <c r="G80" s="677">
        <f t="shared" si="5"/>
        <v>323468.15880018234</v>
      </c>
    </row>
    <row r="81" spans="1:7">
      <c r="A81" s="950"/>
      <c r="B81" s="423" t="s">
        <v>178</v>
      </c>
      <c r="C81" s="400">
        <v>31698</v>
      </c>
      <c r="D81" s="673">
        <f t="shared" si="3"/>
        <v>0.01</v>
      </c>
      <c r="E81" s="677">
        <f>VLOOKUP(B81,'Costos de Inversión_xLocalidad'!$B$7:$Q$160,'Costos de Inversión_xLocalidad'!$Q$3,FALSE)</f>
        <v>15208296.139865197</v>
      </c>
      <c r="F81" s="677">
        <f t="shared" si="4"/>
        <v>152082.96139865197</v>
      </c>
      <c r="G81" s="677">
        <f t="shared" si="5"/>
        <v>284755.36139865196</v>
      </c>
    </row>
    <row r="82" spans="1:7">
      <c r="A82" s="950"/>
      <c r="B82" s="423" t="s">
        <v>442</v>
      </c>
      <c r="C82" s="417">
        <v>31606</v>
      </c>
      <c r="D82" s="673">
        <f t="shared" si="3"/>
        <v>0.01</v>
      </c>
      <c r="E82" s="677">
        <f>VLOOKUP(B82,'Costos de Inversión_xLocalidad'!$B$7:$Q$160,'Costos de Inversión_xLocalidad'!$Q$3,FALSE)</f>
        <v>15117974.535468236</v>
      </c>
      <c r="F82" s="677">
        <f t="shared" si="4"/>
        <v>151179.74535468235</v>
      </c>
      <c r="G82" s="677">
        <f t="shared" si="5"/>
        <v>283852.14535468235</v>
      </c>
    </row>
    <row r="83" spans="1:7">
      <c r="A83" s="950"/>
      <c r="B83" s="423" t="s">
        <v>522</v>
      </c>
      <c r="C83" s="417">
        <v>27356</v>
      </c>
      <c r="D83" s="673">
        <f t="shared" si="3"/>
        <v>0.01</v>
      </c>
      <c r="E83" s="677">
        <f>VLOOKUP(B83,'Costos de Inversión_xLocalidad'!$B$7:$Q$160,'Costos de Inversión_xLocalidad'!$Q$3,FALSE)</f>
        <v>15463385.285799768</v>
      </c>
      <c r="F83" s="677">
        <f t="shared" si="4"/>
        <v>154633.85285799767</v>
      </c>
      <c r="G83" s="677">
        <f t="shared" si="5"/>
        <v>287306.25285799766</v>
      </c>
    </row>
    <row r="84" spans="1:7">
      <c r="A84" s="950"/>
      <c r="B84" s="423" t="s">
        <v>354</v>
      </c>
      <c r="C84" s="417">
        <v>26734</v>
      </c>
      <c r="D84" s="673">
        <f t="shared" si="3"/>
        <v>0.01</v>
      </c>
      <c r="E84" s="677">
        <f>VLOOKUP(B84,'Costos de Inversión_xLocalidad'!$B$7:$Q$160,'Costos de Inversión_xLocalidad'!$Q$3,FALSE)</f>
        <v>6876020.7389246114</v>
      </c>
      <c r="F84" s="677">
        <f t="shared" si="4"/>
        <v>68760.207389246119</v>
      </c>
      <c r="G84" s="677">
        <f t="shared" si="5"/>
        <v>201432.60738924611</v>
      </c>
    </row>
    <row r="85" spans="1:7">
      <c r="A85" s="950"/>
      <c r="B85" s="423" t="s">
        <v>423</v>
      </c>
      <c r="C85" s="417">
        <v>26671</v>
      </c>
      <c r="D85" s="673">
        <f t="shared" si="3"/>
        <v>0.01</v>
      </c>
      <c r="E85" s="677">
        <f>VLOOKUP(B85,'Costos de Inversión_xLocalidad'!$B$7:$Q$160,'Costos de Inversión_xLocalidad'!$Q$3,FALSE)</f>
        <v>15676568.563762236</v>
      </c>
      <c r="F85" s="677">
        <f t="shared" si="4"/>
        <v>156765.68563762237</v>
      </c>
      <c r="G85" s="677">
        <f t="shared" si="5"/>
        <v>289438.0856376224</v>
      </c>
    </row>
    <row r="86" spans="1:7">
      <c r="A86" s="950"/>
      <c r="B86" s="423" t="s">
        <v>406</v>
      </c>
      <c r="C86" s="417">
        <v>26651</v>
      </c>
      <c r="D86" s="673">
        <f t="shared" si="3"/>
        <v>0.01</v>
      </c>
      <c r="E86" s="677">
        <f>VLOOKUP(B86,'Costos de Inversión_xLocalidad'!$B$7:$Q$160,'Costos de Inversión_xLocalidad'!$Q$3,FALSE)</f>
        <v>13385519.029622236</v>
      </c>
      <c r="F86" s="677">
        <f t="shared" si="4"/>
        <v>133855.19029622237</v>
      </c>
      <c r="G86" s="677">
        <f t="shared" si="5"/>
        <v>266527.59029622236</v>
      </c>
    </row>
    <row r="87" spans="1:7">
      <c r="A87" s="950"/>
      <c r="B87" s="423" t="s">
        <v>523</v>
      </c>
      <c r="C87" s="417">
        <v>26474</v>
      </c>
      <c r="D87" s="673">
        <f t="shared" si="3"/>
        <v>0.01</v>
      </c>
      <c r="E87" s="677">
        <f>VLOOKUP(B87,'Costos de Inversión_xLocalidad'!$B$7:$Q$160,'Costos de Inversión_xLocalidad'!$Q$3,FALSE)</f>
        <v>13253565.950059826</v>
      </c>
      <c r="F87" s="677">
        <f t="shared" si="4"/>
        <v>132535.65950059827</v>
      </c>
      <c r="G87" s="677">
        <f t="shared" si="5"/>
        <v>265208.05950059823</v>
      </c>
    </row>
    <row r="88" spans="1:7">
      <c r="A88" s="950"/>
      <c r="B88" s="423" t="s">
        <v>380</v>
      </c>
      <c r="C88" s="417">
        <v>25290</v>
      </c>
      <c r="D88" s="673">
        <f t="shared" si="3"/>
        <v>0.01</v>
      </c>
      <c r="E88" s="677">
        <f>VLOOKUP(B88,'Costos de Inversión_xLocalidad'!$B$7:$Q$160,'Costos de Inversión_xLocalidad'!$Q$3,FALSE)</f>
        <v>14161172.96166908</v>
      </c>
      <c r="F88" s="677">
        <f t="shared" si="4"/>
        <v>141611.72961669081</v>
      </c>
      <c r="G88" s="677">
        <f t="shared" si="5"/>
        <v>274284.1296166908</v>
      </c>
    </row>
    <row r="89" spans="1:7">
      <c r="A89" s="950"/>
      <c r="B89" s="423" t="s">
        <v>417</v>
      </c>
      <c r="C89" s="417">
        <v>24481</v>
      </c>
      <c r="D89" s="673">
        <f t="shared" si="3"/>
        <v>0.01</v>
      </c>
      <c r="E89" s="677">
        <f>VLOOKUP(B89,'Costos de Inversión_xLocalidad'!$B$7:$Q$160,'Costos de Inversión_xLocalidad'!$Q$3,FALSE)</f>
        <v>15314814.295719769</v>
      </c>
      <c r="F89" s="677">
        <f t="shared" si="4"/>
        <v>153148.14295719771</v>
      </c>
      <c r="G89" s="677">
        <f t="shared" si="5"/>
        <v>285820.5429571977</v>
      </c>
    </row>
    <row r="90" spans="1:7">
      <c r="A90" s="950"/>
      <c r="B90" s="423" t="s">
        <v>454</v>
      </c>
      <c r="C90" s="417">
        <v>24249</v>
      </c>
      <c r="D90" s="673">
        <f t="shared" si="3"/>
        <v>0.01</v>
      </c>
      <c r="E90" s="677">
        <f>VLOOKUP(B90,'Costos de Inversión_xLocalidad'!$B$7:$Q$160,'Costos de Inversión_xLocalidad'!$Q$3,FALSE)</f>
        <v>19603565.563102238</v>
      </c>
      <c r="F90" s="677">
        <f t="shared" si="4"/>
        <v>196035.65563102238</v>
      </c>
      <c r="G90" s="677">
        <f t="shared" si="5"/>
        <v>328708.05563102238</v>
      </c>
    </row>
    <row r="91" spans="1:7">
      <c r="A91" s="950"/>
      <c r="B91" s="423" t="s">
        <v>411</v>
      </c>
      <c r="C91" s="417">
        <v>23204</v>
      </c>
      <c r="D91" s="673">
        <f t="shared" si="3"/>
        <v>0.01</v>
      </c>
      <c r="E91" s="677">
        <f>VLOOKUP(B91,'Costos de Inversión_xLocalidad'!$B$7:$Q$160,'Costos de Inversión_xLocalidad'!$Q$3,FALSE)</f>
        <v>12499629.386204969</v>
      </c>
      <c r="F91" s="677">
        <f t="shared" si="4"/>
        <v>124996.2938620497</v>
      </c>
      <c r="G91" s="677">
        <f t="shared" si="5"/>
        <v>257668.69386204969</v>
      </c>
    </row>
    <row r="92" spans="1:7">
      <c r="A92" s="950"/>
      <c r="B92" s="423" t="s">
        <v>371</v>
      </c>
      <c r="C92" s="417">
        <v>23019</v>
      </c>
      <c r="D92" s="673">
        <f t="shared" si="3"/>
        <v>0.01</v>
      </c>
      <c r="E92" s="677">
        <f>VLOOKUP(B92,'Costos de Inversión_xLocalidad'!$B$7:$Q$160,'Costos de Inversión_xLocalidad'!$Q$3,FALSE)</f>
        <v>15366867.796946613</v>
      </c>
      <c r="F92" s="677">
        <f t="shared" si="4"/>
        <v>153668.67796946614</v>
      </c>
      <c r="G92" s="677">
        <f t="shared" si="5"/>
        <v>286341.0779694661</v>
      </c>
    </row>
    <row r="93" spans="1:7">
      <c r="A93" s="950"/>
      <c r="B93" s="423" t="s">
        <v>566</v>
      </c>
      <c r="C93" s="417">
        <v>22846</v>
      </c>
      <c r="D93" s="673">
        <f t="shared" si="3"/>
        <v>0.01</v>
      </c>
      <c r="E93" s="677">
        <f>VLOOKUP(B93,'Costos de Inversión_xLocalidad'!$B$7:$Q$160,'Costos de Inversión_xLocalidad'!$Q$3,FALSE)</f>
        <v>4829516.7221498257</v>
      </c>
      <c r="F93" s="677">
        <f t="shared" si="4"/>
        <v>48295.167221498261</v>
      </c>
      <c r="G93" s="677">
        <f t="shared" si="5"/>
        <v>180967.56722149826</v>
      </c>
    </row>
    <row r="94" spans="1:7">
      <c r="A94" s="950"/>
      <c r="B94" s="423" t="s">
        <v>526</v>
      </c>
      <c r="C94" s="417">
        <v>22558</v>
      </c>
      <c r="D94" s="673">
        <f t="shared" si="3"/>
        <v>0.01</v>
      </c>
      <c r="E94" s="677">
        <f>VLOOKUP(B94,'Costos de Inversión_xLocalidad'!$B$7:$Q$160,'Costos de Inversión_xLocalidad'!$Q$3,FALSE)</f>
        <v>6207529.9898797665</v>
      </c>
      <c r="F94" s="677">
        <f t="shared" si="4"/>
        <v>62075.299898797668</v>
      </c>
      <c r="G94" s="677">
        <f t="shared" si="5"/>
        <v>194747.69989879767</v>
      </c>
    </row>
    <row r="95" spans="1:7">
      <c r="A95" s="950"/>
      <c r="B95" s="423" t="s">
        <v>468</v>
      </c>
      <c r="C95" s="417">
        <v>22136</v>
      </c>
      <c r="D95" s="673">
        <f t="shared" si="3"/>
        <v>0.01</v>
      </c>
      <c r="E95" s="677">
        <f>VLOOKUP(B95,'Costos de Inversión_xLocalidad'!$B$7:$Q$160,'Costos de Inversión_xLocalidad'!$Q$3,FALSE)</f>
        <v>13468464.439691035</v>
      </c>
      <c r="F95" s="677">
        <f t="shared" si="4"/>
        <v>134684.64439691036</v>
      </c>
      <c r="G95" s="677">
        <f t="shared" si="5"/>
        <v>267357.04439691035</v>
      </c>
    </row>
    <row r="96" spans="1:7">
      <c r="A96" s="950"/>
      <c r="B96" s="423" t="s">
        <v>418</v>
      </c>
      <c r="C96" s="417">
        <v>21251</v>
      </c>
      <c r="D96" s="673">
        <f t="shared" si="3"/>
        <v>0.01</v>
      </c>
      <c r="E96" s="677">
        <f>VLOOKUP(B96,'Costos de Inversión_xLocalidad'!$B$7:$Q$160,'Costos de Inversión_xLocalidad'!$Q$3,FALSE)</f>
        <v>16791200.281938236</v>
      </c>
      <c r="F96" s="677">
        <f t="shared" si="4"/>
        <v>167912.00281938235</v>
      </c>
      <c r="G96" s="677">
        <f t="shared" si="5"/>
        <v>300584.40281938238</v>
      </c>
    </row>
    <row r="97" spans="1:7">
      <c r="A97" s="950"/>
      <c r="B97" s="423" t="s">
        <v>395</v>
      </c>
      <c r="C97" s="417">
        <v>20383</v>
      </c>
      <c r="D97" s="673">
        <f t="shared" si="3"/>
        <v>0.01</v>
      </c>
      <c r="E97" s="677">
        <f>VLOOKUP(B97,'Costos de Inversión_xLocalidad'!$B$7:$Q$160,'Costos de Inversión_xLocalidad'!$Q$3,FALSE)</f>
        <v>13286531.24485977</v>
      </c>
      <c r="F97" s="677">
        <f t="shared" si="4"/>
        <v>132865.31244859769</v>
      </c>
      <c r="G97" s="677">
        <f t="shared" si="5"/>
        <v>265537.71244859765</v>
      </c>
    </row>
    <row r="98" spans="1:7">
      <c r="A98" s="950"/>
      <c r="B98" s="423" t="s">
        <v>386</v>
      </c>
      <c r="C98" s="417">
        <v>20068</v>
      </c>
      <c r="D98" s="673">
        <f t="shared" si="3"/>
        <v>0.01</v>
      </c>
      <c r="E98" s="677">
        <f>VLOOKUP(B98,'Costos de Inversión_xLocalidad'!$B$7:$Q$160,'Costos de Inversión_xLocalidad'!$Q$3,FALSE)</f>
        <v>6315374.2725658249</v>
      </c>
      <c r="F98" s="677">
        <f t="shared" si="4"/>
        <v>63153.742725658252</v>
      </c>
      <c r="G98" s="677">
        <f t="shared" si="5"/>
        <v>195826.14272565825</v>
      </c>
    </row>
    <row r="99" spans="1:7">
      <c r="A99" s="950"/>
      <c r="B99" s="423" t="s">
        <v>568</v>
      </c>
      <c r="C99" s="417">
        <v>19844</v>
      </c>
      <c r="D99" s="673">
        <f t="shared" si="3"/>
        <v>0.01</v>
      </c>
      <c r="E99" s="677">
        <f>VLOOKUP(B99,'Costos de Inversión_xLocalidad'!$B$7:$Q$160,'Costos de Inversión_xLocalidad'!$Q$3,FALSE)</f>
        <v>5029275.5491418261</v>
      </c>
      <c r="F99" s="677">
        <f t="shared" si="4"/>
        <v>50292.755491418262</v>
      </c>
      <c r="G99" s="677">
        <f t="shared" si="5"/>
        <v>182965.15549141826</v>
      </c>
    </row>
    <row r="100" spans="1:7">
      <c r="A100" s="950"/>
      <c r="B100" s="423" t="s">
        <v>452</v>
      </c>
      <c r="C100" s="417">
        <v>19149</v>
      </c>
      <c r="D100" s="673">
        <f t="shared" si="3"/>
        <v>0.01</v>
      </c>
      <c r="E100" s="677">
        <f>VLOOKUP(B100,'Costos de Inversión_xLocalidad'!$B$7:$Q$160,'Costos de Inversión_xLocalidad'!$Q$3,FALSE)</f>
        <v>3132176.7990558259</v>
      </c>
      <c r="F100" s="677">
        <f t="shared" si="4"/>
        <v>31321.767990558259</v>
      </c>
      <c r="G100" s="677">
        <f t="shared" si="5"/>
        <v>163994.16799055826</v>
      </c>
    </row>
    <row r="101" spans="1:7">
      <c r="A101" s="950"/>
      <c r="B101" s="423" t="s">
        <v>527</v>
      </c>
      <c r="C101" s="417">
        <v>18234</v>
      </c>
      <c r="D101" s="673">
        <f t="shared" si="3"/>
        <v>0.01</v>
      </c>
      <c r="E101" s="677">
        <f>VLOOKUP(B101,'Costos de Inversión_xLocalidad'!$B$7:$Q$160,'Costos de Inversión_xLocalidad'!$Q$3,FALSE)</f>
        <v>5452080.4545978252</v>
      </c>
      <c r="F101" s="677">
        <f t="shared" si="4"/>
        <v>54520.804545978252</v>
      </c>
      <c r="G101" s="677">
        <f t="shared" si="5"/>
        <v>187193.20454597825</v>
      </c>
    </row>
    <row r="102" spans="1:7">
      <c r="A102" s="950"/>
      <c r="B102" s="423" t="s">
        <v>387</v>
      </c>
      <c r="C102" s="417">
        <v>17587</v>
      </c>
      <c r="D102" s="673">
        <f t="shared" si="3"/>
        <v>0.01</v>
      </c>
      <c r="E102" s="677">
        <f>VLOOKUP(B102,'Costos de Inversión_xLocalidad'!$B$7:$Q$160,'Costos de Inversión_xLocalidad'!$Q$3,FALSE)</f>
        <v>6012350.0947898254</v>
      </c>
      <c r="F102" s="677">
        <f t="shared" si="4"/>
        <v>60123.500947898254</v>
      </c>
      <c r="G102" s="677">
        <f t="shared" si="5"/>
        <v>192795.90094789825</v>
      </c>
    </row>
    <row r="103" spans="1:7">
      <c r="A103" s="950"/>
      <c r="B103" s="423" t="s">
        <v>396</v>
      </c>
      <c r="C103" s="417">
        <v>17572</v>
      </c>
      <c r="D103" s="673">
        <f t="shared" si="3"/>
        <v>0.01</v>
      </c>
      <c r="E103" s="677">
        <f>VLOOKUP(B103,'Costos de Inversión_xLocalidad'!$B$7:$Q$160,'Costos de Inversión_xLocalidad'!$Q$3,FALSE)</f>
        <v>3694959.2878135275</v>
      </c>
      <c r="F103" s="677">
        <f t="shared" si="4"/>
        <v>36949.592878135278</v>
      </c>
      <c r="G103" s="677">
        <f t="shared" si="5"/>
        <v>169621.99287813526</v>
      </c>
    </row>
    <row r="104" spans="1:7">
      <c r="A104" s="950"/>
      <c r="B104" s="423" t="s">
        <v>425</v>
      </c>
      <c r="C104" s="417">
        <v>17386</v>
      </c>
      <c r="D104" s="673">
        <f t="shared" si="3"/>
        <v>0.01</v>
      </c>
      <c r="E104" s="677">
        <f>VLOOKUP(B104,'Costos de Inversión_xLocalidad'!$B$7:$Q$160,'Costos de Inversión_xLocalidad'!$Q$3,FALSE)</f>
        <v>5919662.6447542347</v>
      </c>
      <c r="F104" s="677">
        <f t="shared" si="4"/>
        <v>59196.626447542345</v>
      </c>
      <c r="G104" s="677">
        <f t="shared" si="5"/>
        <v>191869.02644754233</v>
      </c>
    </row>
    <row r="105" spans="1:7">
      <c r="A105" s="950"/>
      <c r="B105" s="423" t="s">
        <v>391</v>
      </c>
      <c r="C105" s="417">
        <v>17234</v>
      </c>
      <c r="D105" s="673">
        <f t="shared" si="3"/>
        <v>0.01</v>
      </c>
      <c r="E105" s="677">
        <f>VLOOKUP(B105,'Costos de Inversión_xLocalidad'!$B$7:$Q$160,'Costos de Inversión_xLocalidad'!$Q$3,FALSE)</f>
        <v>3810487.3977658255</v>
      </c>
      <c r="F105" s="677">
        <f t="shared" si="4"/>
        <v>38104.873977658259</v>
      </c>
      <c r="G105" s="677">
        <f t="shared" si="5"/>
        <v>170777.27397765825</v>
      </c>
    </row>
    <row r="106" spans="1:7">
      <c r="A106" s="950"/>
      <c r="B106" s="423" t="s">
        <v>253</v>
      </c>
      <c r="C106" s="400">
        <v>17038</v>
      </c>
      <c r="D106" s="673">
        <f t="shared" si="3"/>
        <v>0.01</v>
      </c>
      <c r="E106" s="677">
        <f>VLOOKUP(B106,'Costos de Inversión_xLocalidad'!$B$7:$Q$160,'Costos de Inversión_xLocalidad'!$Q$3,FALSE)</f>
        <v>9855874.0458497033</v>
      </c>
      <c r="F106" s="677">
        <f t="shared" si="4"/>
        <v>98558.740458497035</v>
      </c>
      <c r="G106" s="677">
        <f t="shared" si="5"/>
        <v>231231.14045849704</v>
      </c>
    </row>
    <row r="107" spans="1:7">
      <c r="A107" s="950"/>
      <c r="B107" s="423" t="s">
        <v>567</v>
      </c>
      <c r="C107" s="417">
        <v>16427</v>
      </c>
      <c r="D107" s="673">
        <f t="shared" si="3"/>
        <v>0.01</v>
      </c>
      <c r="E107" s="677">
        <f>VLOOKUP(B107,'Costos de Inversión_xLocalidad'!$B$7:$Q$160,'Costos de Inversión_xLocalidad'!$Q$3,FALSE)</f>
        <v>3775521.0951258261</v>
      </c>
      <c r="F107" s="677">
        <f t="shared" si="4"/>
        <v>37755.210951258261</v>
      </c>
      <c r="G107" s="677">
        <f t="shared" si="5"/>
        <v>170427.61095125825</v>
      </c>
    </row>
    <row r="108" spans="1:7">
      <c r="A108" s="950"/>
      <c r="B108" s="423" t="s">
        <v>463</v>
      </c>
      <c r="C108" s="417">
        <v>16227</v>
      </c>
      <c r="D108" s="673">
        <f t="shared" si="3"/>
        <v>0.01</v>
      </c>
      <c r="E108" s="677">
        <f>VLOOKUP(B108,'Costos de Inversión_xLocalidad'!$B$7:$Q$160,'Costos de Inversión_xLocalidad'!$Q$3,FALSE)</f>
        <v>9379761.3389198259</v>
      </c>
      <c r="F108" s="677">
        <f t="shared" si="4"/>
        <v>93797.613389198261</v>
      </c>
      <c r="G108" s="677">
        <f t="shared" si="5"/>
        <v>226470.01338919826</v>
      </c>
    </row>
    <row r="109" spans="1:7">
      <c r="A109" s="950"/>
      <c r="B109" s="423" t="s">
        <v>474</v>
      </c>
      <c r="C109" s="417">
        <v>16050</v>
      </c>
      <c r="D109" s="673">
        <f t="shared" si="3"/>
        <v>0.01</v>
      </c>
      <c r="E109" s="677">
        <f>VLOOKUP(B109,'Costos de Inversión_xLocalidad'!$B$7:$Q$160,'Costos de Inversión_xLocalidad'!$Q$3,FALSE)</f>
        <v>4625938.6964058261</v>
      </c>
      <c r="F109" s="677">
        <f t="shared" si="4"/>
        <v>46259.386964058263</v>
      </c>
      <c r="G109" s="677">
        <f t="shared" si="5"/>
        <v>178931.78696405826</v>
      </c>
    </row>
    <row r="110" spans="1:7">
      <c r="A110" s="950"/>
      <c r="B110" s="423" t="s">
        <v>476</v>
      </c>
      <c r="C110" s="417">
        <v>16050</v>
      </c>
      <c r="D110" s="673">
        <f t="shared" si="3"/>
        <v>0.01</v>
      </c>
      <c r="E110" s="677">
        <f>VLOOKUP(B110,'Costos de Inversión_xLocalidad'!$B$7:$Q$160,'Costos de Inversión_xLocalidad'!$Q$3,FALSE)</f>
        <v>2103945.3881536</v>
      </c>
      <c r="F110" s="677">
        <f t="shared" si="4"/>
        <v>21039.453881535999</v>
      </c>
      <c r="G110" s="677">
        <f t="shared" si="5"/>
        <v>153711.85388153599</v>
      </c>
    </row>
    <row r="111" spans="1:7">
      <c r="A111" s="950"/>
      <c r="B111" s="423" t="s">
        <v>532</v>
      </c>
      <c r="C111" s="417">
        <v>15906</v>
      </c>
      <c r="D111" s="673">
        <f t="shared" si="3"/>
        <v>0.01</v>
      </c>
      <c r="E111" s="677">
        <f>VLOOKUP(B111,'Costos de Inversión_xLocalidad'!$B$7:$Q$160,'Costos de Inversión_xLocalidad'!$Q$3,FALSE)</f>
        <v>4819884.1265176758</v>
      </c>
      <c r="F111" s="677">
        <f t="shared" si="4"/>
        <v>48198.841265176758</v>
      </c>
      <c r="G111" s="677">
        <f t="shared" si="5"/>
        <v>180871.24126517674</v>
      </c>
    </row>
    <row r="112" spans="1:7">
      <c r="A112" s="950"/>
      <c r="B112" s="423" t="s">
        <v>261</v>
      </c>
      <c r="C112" s="400">
        <v>15336</v>
      </c>
      <c r="D112" s="673">
        <f t="shared" si="3"/>
        <v>0.01</v>
      </c>
      <c r="E112" s="677">
        <f>VLOOKUP(B112,'Costos de Inversión_xLocalidad'!$B$7:$Q$160,'Costos de Inversión_xLocalidad'!$Q$3,FALSE)</f>
        <v>11131669.461975675</v>
      </c>
      <c r="F112" s="677">
        <f t="shared" si="4"/>
        <v>111316.69461975676</v>
      </c>
      <c r="G112" s="677">
        <f t="shared" si="5"/>
        <v>243989.09461975674</v>
      </c>
    </row>
    <row r="113" spans="1:7">
      <c r="A113" s="950"/>
      <c r="B113" s="409" t="s">
        <v>569</v>
      </c>
      <c r="C113" s="417">
        <v>15246</v>
      </c>
      <c r="D113" s="673">
        <f t="shared" si="3"/>
        <v>0.01</v>
      </c>
      <c r="E113" s="677">
        <f>VLOOKUP(B113,'Costos de Inversión_xLocalidad'!$B$7:$Q$160,'Costos de Inversión_xLocalidad'!$Q$3,FALSE)</f>
        <v>11017547.929827586</v>
      </c>
      <c r="F113" s="677">
        <f t="shared" si="4"/>
        <v>110175.47929827587</v>
      </c>
      <c r="G113" s="677">
        <f t="shared" si="5"/>
        <v>242847.87929827586</v>
      </c>
    </row>
    <row r="114" spans="1:7">
      <c r="A114" s="950"/>
      <c r="B114" s="423" t="s">
        <v>361</v>
      </c>
      <c r="C114" s="417">
        <v>14669</v>
      </c>
      <c r="D114" s="673">
        <f t="shared" si="3"/>
        <v>0.01</v>
      </c>
      <c r="E114" s="677">
        <f>VLOOKUP(B114,'Costos de Inversión_xLocalidad'!$B$7:$Q$160,'Costos de Inversión_xLocalidad'!$Q$3,FALSE)</f>
        <v>9732271.6552058253</v>
      </c>
      <c r="F114" s="677">
        <f t="shared" si="4"/>
        <v>97322.716552058249</v>
      </c>
      <c r="G114" s="677">
        <f t="shared" si="5"/>
        <v>229995.11655205826</v>
      </c>
    </row>
    <row r="115" spans="1:7">
      <c r="A115" s="950"/>
      <c r="B115" s="423" t="s">
        <v>259</v>
      </c>
      <c r="C115" s="417">
        <v>14669</v>
      </c>
      <c r="D115" s="673">
        <f t="shared" si="3"/>
        <v>0.01</v>
      </c>
      <c r="E115" s="677">
        <f>VLOOKUP(B115,'Costos de Inversión_xLocalidad'!$B$7:$Q$160,'Costos de Inversión_xLocalidad'!$Q$3,FALSE)</f>
        <v>3109512.8942458257</v>
      </c>
      <c r="F115" s="677">
        <f t="shared" si="4"/>
        <v>31095.128942458257</v>
      </c>
      <c r="G115" s="677">
        <f t="shared" si="5"/>
        <v>163767.52894245824</v>
      </c>
    </row>
    <row r="116" spans="1:7">
      <c r="A116" s="950"/>
      <c r="B116" s="423" t="s">
        <v>163</v>
      </c>
      <c r="C116" s="417">
        <v>14230</v>
      </c>
      <c r="D116" s="673">
        <f t="shared" si="3"/>
        <v>0.01</v>
      </c>
      <c r="E116" s="677">
        <f>VLOOKUP(B116,'Costos de Inversión_xLocalidad'!$B$7:$Q$160,'Costos de Inversión_xLocalidad'!$Q$3,FALSE)</f>
        <v>7314118.460325826</v>
      </c>
      <c r="F116" s="677">
        <f t="shared" si="4"/>
        <v>73141.184603258254</v>
      </c>
      <c r="G116" s="677">
        <f t="shared" si="5"/>
        <v>205813.58460325823</v>
      </c>
    </row>
    <row r="117" spans="1:7">
      <c r="A117" s="950"/>
      <c r="B117" s="423" t="s">
        <v>536</v>
      </c>
      <c r="C117" s="417">
        <v>14032</v>
      </c>
      <c r="D117" s="673">
        <f t="shared" si="3"/>
        <v>0.01</v>
      </c>
      <c r="E117" s="677">
        <f>VLOOKUP(B117,'Costos de Inversión_xLocalidad'!$B$7:$Q$160,'Costos de Inversión_xLocalidad'!$Q$3,FALSE)</f>
        <v>3736643.8429090763</v>
      </c>
      <c r="F117" s="677">
        <f t="shared" si="4"/>
        <v>37366.438429090762</v>
      </c>
      <c r="G117" s="677">
        <f t="shared" si="5"/>
        <v>170038.83842909074</v>
      </c>
    </row>
    <row r="118" spans="1:7">
      <c r="A118" s="950"/>
      <c r="B118" s="423" t="s">
        <v>255</v>
      </c>
      <c r="C118" s="400">
        <v>13034</v>
      </c>
      <c r="D118" s="673">
        <f t="shared" si="3"/>
        <v>0.01</v>
      </c>
      <c r="E118" s="677">
        <f>VLOOKUP(B118,'Costos de Inversión_xLocalidad'!$B$7:$Q$160,'Costos de Inversión_xLocalidad'!$Q$3,FALSE)</f>
        <v>8850512.5851218458</v>
      </c>
      <c r="F118" s="677">
        <f t="shared" si="4"/>
        <v>88505.125851218458</v>
      </c>
      <c r="G118" s="677">
        <f t="shared" si="5"/>
        <v>221177.52585121844</v>
      </c>
    </row>
    <row r="119" spans="1:7">
      <c r="A119" s="950"/>
      <c r="B119" s="423" t="s">
        <v>538</v>
      </c>
      <c r="C119" s="417">
        <v>12954</v>
      </c>
      <c r="D119" s="673">
        <f t="shared" si="3"/>
        <v>0.01</v>
      </c>
      <c r="E119" s="677">
        <f>VLOOKUP(B119,'Costos de Inversión_xLocalidad'!$B$7:$Q$160,'Costos de Inversión_xLocalidad'!$Q$3,FALSE)</f>
        <v>5935139.3639258258</v>
      </c>
      <c r="F119" s="677">
        <f t="shared" si="4"/>
        <v>59351.393639258262</v>
      </c>
      <c r="G119" s="677">
        <f t="shared" si="5"/>
        <v>192023.79363925825</v>
      </c>
    </row>
    <row r="120" spans="1:7">
      <c r="A120" s="950"/>
      <c r="B120" s="423" t="s">
        <v>408</v>
      </c>
      <c r="C120" s="417">
        <v>12941</v>
      </c>
      <c r="D120" s="673">
        <f t="shared" si="3"/>
        <v>0.01</v>
      </c>
      <c r="E120" s="677">
        <f>VLOOKUP(B120,'Costos de Inversión_xLocalidad'!$B$7:$Q$160,'Costos de Inversión_xLocalidad'!$Q$3,FALSE)</f>
        <v>4149963.2120090765</v>
      </c>
      <c r="F120" s="677">
        <f t="shared" si="4"/>
        <v>41499.632120090762</v>
      </c>
      <c r="G120" s="677">
        <f t="shared" si="5"/>
        <v>174172.03212009076</v>
      </c>
    </row>
    <row r="121" spans="1:7">
      <c r="A121" s="950"/>
      <c r="B121" s="423" t="s">
        <v>403</v>
      </c>
      <c r="C121" s="417">
        <v>12726</v>
      </c>
      <c r="D121" s="673">
        <f t="shared" si="3"/>
        <v>0.01</v>
      </c>
      <c r="E121" s="677">
        <f>VLOOKUP(B121,'Costos de Inversión_xLocalidad'!$B$7:$Q$160,'Costos de Inversión_xLocalidad'!$Q$3,FALSE)</f>
        <v>2984916.7309498256</v>
      </c>
      <c r="F121" s="677">
        <f t="shared" si="4"/>
        <v>29849.167309498258</v>
      </c>
      <c r="G121" s="677">
        <f t="shared" si="5"/>
        <v>162521.56730949826</v>
      </c>
    </row>
    <row r="122" spans="1:7">
      <c r="A122" s="950"/>
      <c r="B122" s="409" t="s">
        <v>573</v>
      </c>
      <c r="C122" s="417">
        <v>12419</v>
      </c>
      <c r="D122" s="673">
        <f t="shared" si="3"/>
        <v>0.01</v>
      </c>
      <c r="E122" s="677">
        <f>VLOOKUP(B122,'Costos de Inversión_xLocalidad'!$B$7:$Q$160,'Costos de Inversión_xLocalidad'!$Q$3,FALSE)</f>
        <v>4242215.487477826</v>
      </c>
      <c r="F122" s="677">
        <f t="shared" si="4"/>
        <v>42422.154874778258</v>
      </c>
      <c r="G122" s="677">
        <f t="shared" si="5"/>
        <v>175094.55487477826</v>
      </c>
    </row>
    <row r="123" spans="1:7">
      <c r="A123" s="950"/>
      <c r="B123" s="409" t="s">
        <v>383</v>
      </c>
      <c r="C123" s="400">
        <v>12340</v>
      </c>
      <c r="D123" s="673">
        <f t="shared" si="3"/>
        <v>0.01</v>
      </c>
      <c r="E123" s="677">
        <f>VLOOKUP(B123,'Costos de Inversión_xLocalidad'!$B$7:$Q$160,'Costos de Inversión_xLocalidad'!$Q$3,FALSE)</f>
        <v>3495788.1007258259</v>
      </c>
      <c r="F123" s="677">
        <f t="shared" si="4"/>
        <v>34957.881007258256</v>
      </c>
      <c r="G123" s="677">
        <f t="shared" si="5"/>
        <v>167630.28100725825</v>
      </c>
    </row>
    <row r="124" spans="1:7">
      <c r="A124" s="950"/>
      <c r="B124" s="409" t="s">
        <v>460</v>
      </c>
      <c r="C124" s="417">
        <v>12223</v>
      </c>
      <c r="D124" s="673">
        <f t="shared" si="3"/>
        <v>0.01</v>
      </c>
      <c r="E124" s="677">
        <f>VLOOKUP(B124,'Costos de Inversión_xLocalidad'!$B$7:$Q$160,'Costos de Inversión_xLocalidad'!$Q$3,FALSE)</f>
        <v>4489980.9205976762</v>
      </c>
      <c r="F124" s="677">
        <f t="shared" si="4"/>
        <v>44899.809205976766</v>
      </c>
      <c r="G124" s="677">
        <f t="shared" si="5"/>
        <v>177572.20920597675</v>
      </c>
    </row>
    <row r="125" spans="1:7">
      <c r="A125" s="950"/>
      <c r="B125" s="409" t="s">
        <v>544</v>
      </c>
      <c r="C125" s="417">
        <v>12005</v>
      </c>
      <c r="D125" s="673">
        <f t="shared" si="3"/>
        <v>0.01</v>
      </c>
      <c r="E125" s="677">
        <f>VLOOKUP(B125,'Costos de Inversión_xLocalidad'!$B$7:$Q$160,'Costos de Inversión_xLocalidad'!$Q$3,FALSE)</f>
        <v>2739258.9046144001</v>
      </c>
      <c r="F125" s="677">
        <f t="shared" si="4"/>
        <v>27392.589046144003</v>
      </c>
      <c r="G125" s="677">
        <f t="shared" si="5"/>
        <v>160064.98904614401</v>
      </c>
    </row>
    <row r="126" spans="1:7">
      <c r="A126" s="950"/>
      <c r="B126" s="409" t="s">
        <v>450</v>
      </c>
      <c r="C126" s="400">
        <v>11919</v>
      </c>
      <c r="D126" s="673">
        <f t="shared" si="3"/>
        <v>0.01</v>
      </c>
      <c r="E126" s="677">
        <f>VLOOKUP(B126,'Costos de Inversión_xLocalidad'!$B$7:$Q$160,'Costos de Inversión_xLocalidad'!$Q$3,FALSE)</f>
        <v>3030123.6286775274</v>
      </c>
      <c r="F126" s="677">
        <f t="shared" si="4"/>
        <v>30301.236286775274</v>
      </c>
      <c r="G126" s="677">
        <f t="shared" si="5"/>
        <v>162973.63628677526</v>
      </c>
    </row>
    <row r="127" spans="1:7">
      <c r="A127" s="950"/>
      <c r="B127" s="409" t="s">
        <v>397</v>
      </c>
      <c r="C127" s="417">
        <v>11867</v>
      </c>
      <c r="D127" s="673">
        <f t="shared" si="3"/>
        <v>0.01</v>
      </c>
      <c r="E127" s="677">
        <f>VLOOKUP(B127,'Costos de Inversión_xLocalidad'!$B$7:$Q$160,'Costos de Inversión_xLocalidad'!$Q$3,FALSE)</f>
        <v>4876463.0128858257</v>
      </c>
      <c r="F127" s="677">
        <f t="shared" si="4"/>
        <v>48764.630128858254</v>
      </c>
      <c r="G127" s="677">
        <f t="shared" si="5"/>
        <v>181437.03012885826</v>
      </c>
    </row>
    <row r="128" spans="1:7">
      <c r="A128" s="950"/>
      <c r="B128" s="409" t="s">
        <v>456</v>
      </c>
      <c r="C128" s="417">
        <v>11726</v>
      </c>
      <c r="D128" s="673">
        <f t="shared" si="3"/>
        <v>0.01</v>
      </c>
      <c r="E128" s="677">
        <f>VLOOKUP(B128,'Costos de Inversión_xLocalidad'!$B$7:$Q$160,'Costos de Inversión_xLocalidad'!$Q$3,FALSE)</f>
        <v>3072157.9542858256</v>
      </c>
      <c r="F128" s="677">
        <f t="shared" si="4"/>
        <v>30721.579542858257</v>
      </c>
      <c r="G128" s="677">
        <f t="shared" si="5"/>
        <v>163393.97954285826</v>
      </c>
    </row>
    <row r="129" spans="1:7">
      <c r="A129" s="950"/>
      <c r="B129" s="409" t="s">
        <v>429</v>
      </c>
      <c r="C129" s="417">
        <v>11666</v>
      </c>
      <c r="D129" s="673">
        <f t="shared" si="3"/>
        <v>0.01</v>
      </c>
      <c r="E129" s="677">
        <f>VLOOKUP(B129,'Costos de Inversión_xLocalidad'!$B$7:$Q$160,'Costos de Inversión_xLocalidad'!$Q$3,FALSE)</f>
        <v>6591421.8258458255</v>
      </c>
      <c r="F129" s="677">
        <f t="shared" si="4"/>
        <v>65914.218258458262</v>
      </c>
      <c r="G129" s="677">
        <f t="shared" si="5"/>
        <v>198586.61825845827</v>
      </c>
    </row>
    <row r="130" spans="1:7">
      <c r="A130" s="950"/>
      <c r="B130" s="409" t="s">
        <v>541</v>
      </c>
      <c r="C130" s="417">
        <v>11517</v>
      </c>
      <c r="D130" s="673">
        <f t="shared" si="3"/>
        <v>0.01</v>
      </c>
      <c r="E130" s="677">
        <f>VLOOKUP(B130,'Costos de Inversión_xLocalidad'!$B$7:$Q$160,'Costos de Inversión_xLocalidad'!$Q$3,FALSE)</f>
        <v>3339807.5019258251</v>
      </c>
      <c r="F130" s="677">
        <f t="shared" si="4"/>
        <v>33398.075019258249</v>
      </c>
      <c r="G130" s="677">
        <f t="shared" si="5"/>
        <v>166070.47501925824</v>
      </c>
    </row>
    <row r="131" spans="1:7">
      <c r="A131" s="950"/>
      <c r="B131" s="409" t="s">
        <v>449</v>
      </c>
      <c r="C131" s="400">
        <v>11258</v>
      </c>
      <c r="D131" s="673">
        <f t="shared" si="3"/>
        <v>0.01</v>
      </c>
      <c r="E131" s="677">
        <f>VLOOKUP(B131,'Costos de Inversión_xLocalidad'!$B$7:$Q$160,'Costos de Inversión_xLocalidad'!$Q$3,FALSE)</f>
        <v>3432090.3923258255</v>
      </c>
      <c r="F131" s="677">
        <f t="shared" si="4"/>
        <v>34320.903923258258</v>
      </c>
      <c r="G131" s="677">
        <f t="shared" si="5"/>
        <v>166993.30392325827</v>
      </c>
    </row>
    <row r="132" spans="1:7">
      <c r="A132" s="950"/>
      <c r="B132" s="409" t="s">
        <v>546</v>
      </c>
      <c r="C132" s="417">
        <v>10901</v>
      </c>
      <c r="D132" s="673">
        <f t="shared" si="3"/>
        <v>0.01</v>
      </c>
      <c r="E132" s="677">
        <f>VLOOKUP(B132,'Costos de Inversión_xLocalidad'!$B$7:$Q$160,'Costos de Inversión_xLocalidad'!$Q$3,FALSE)</f>
        <v>4447531.847925826</v>
      </c>
      <c r="F132" s="677">
        <f t="shared" si="4"/>
        <v>44475.318479258262</v>
      </c>
      <c r="G132" s="677">
        <f t="shared" si="5"/>
        <v>177147.71847925824</v>
      </c>
    </row>
    <row r="133" spans="1:7">
      <c r="A133" s="950"/>
      <c r="B133" s="409" t="s">
        <v>453</v>
      </c>
      <c r="C133" s="417">
        <v>10539</v>
      </c>
      <c r="D133" s="673">
        <f t="shared" ref="D133:D158" si="6">IF(C133&gt;=300000,1.5%,IF(C133&gt;=50000,1.25%,1%))</f>
        <v>0.01</v>
      </c>
      <c r="E133" s="677">
        <f>VLOOKUP(B133,'Costos de Inversión_xLocalidad'!$B$7:$Q$160,'Costos de Inversión_xLocalidad'!$Q$3,FALSE)</f>
        <v>3492800.8103358252</v>
      </c>
      <c r="F133" s="677">
        <f t="shared" ref="F133:F158" si="7">+D133*E133</f>
        <v>34928.008103358254</v>
      </c>
      <c r="G133" s="677">
        <f t="shared" ref="G133:G158" si="8">+F133+132672.4</f>
        <v>167600.40810335823</v>
      </c>
    </row>
    <row r="134" spans="1:7">
      <c r="A134" s="950"/>
      <c r="B134" s="409" t="s">
        <v>444</v>
      </c>
      <c r="C134" s="417">
        <v>10517</v>
      </c>
      <c r="D134" s="673">
        <f t="shared" si="6"/>
        <v>0.01</v>
      </c>
      <c r="E134" s="677">
        <f>VLOOKUP(B134,'Costos de Inversión_xLocalidad'!$B$7:$Q$160,'Costos de Inversión_xLocalidad'!$Q$3,FALSE)</f>
        <v>6850237.4685758259</v>
      </c>
      <c r="F134" s="677">
        <f t="shared" si="7"/>
        <v>68502.374685758259</v>
      </c>
      <c r="G134" s="677">
        <f t="shared" si="8"/>
        <v>201174.77468575825</v>
      </c>
    </row>
    <row r="135" spans="1:7">
      <c r="A135" s="950"/>
      <c r="B135" s="409" t="s">
        <v>114</v>
      </c>
      <c r="C135" s="400">
        <v>10160</v>
      </c>
      <c r="D135" s="673">
        <f t="shared" si="6"/>
        <v>0.01</v>
      </c>
      <c r="E135" s="677">
        <f>VLOOKUP(B135,'Costos de Inversión_xLocalidad'!$B$7:$Q$160,'Costos de Inversión_xLocalidad'!$Q$3,FALSE)</f>
        <v>6839545.5676538255</v>
      </c>
      <c r="F135" s="677">
        <f t="shared" si="7"/>
        <v>68395.455676538259</v>
      </c>
      <c r="G135" s="677">
        <f t="shared" si="8"/>
        <v>201067.85567653825</v>
      </c>
    </row>
    <row r="136" spans="1:7">
      <c r="A136" s="950"/>
      <c r="B136" s="409" t="s">
        <v>543</v>
      </c>
      <c r="C136" s="417">
        <v>9941</v>
      </c>
      <c r="D136" s="673">
        <f t="shared" si="6"/>
        <v>0.01</v>
      </c>
      <c r="E136" s="677">
        <f>VLOOKUP(B136,'Costos de Inversión_xLocalidad'!$B$7:$Q$160,'Costos de Inversión_xLocalidad'!$Q$3,FALSE)</f>
        <v>8472973.3660058249</v>
      </c>
      <c r="F136" s="677">
        <f t="shared" si="7"/>
        <v>84729.733660058249</v>
      </c>
      <c r="G136" s="677">
        <f t="shared" si="8"/>
        <v>217402.13366005826</v>
      </c>
    </row>
    <row r="137" spans="1:7">
      <c r="A137" s="950"/>
      <c r="B137" s="409" t="s">
        <v>439</v>
      </c>
      <c r="C137" s="417">
        <v>9785</v>
      </c>
      <c r="D137" s="673">
        <f t="shared" si="6"/>
        <v>0.01</v>
      </c>
      <c r="E137" s="677">
        <f>VLOOKUP(B137,'Costos de Inversión_xLocalidad'!$B$7:$Q$160,'Costos de Inversión_xLocalidad'!$Q$3,FALSE)</f>
        <v>6029813.8624696769</v>
      </c>
      <c r="F137" s="677">
        <f t="shared" si="7"/>
        <v>60298.138624696767</v>
      </c>
      <c r="G137" s="677">
        <f t="shared" si="8"/>
        <v>192970.53862469675</v>
      </c>
    </row>
    <row r="138" spans="1:7">
      <c r="A138" s="950"/>
      <c r="B138" s="409" t="s">
        <v>422</v>
      </c>
      <c r="C138" s="417">
        <v>9611</v>
      </c>
      <c r="D138" s="673">
        <f t="shared" si="6"/>
        <v>0.01</v>
      </c>
      <c r="E138" s="677">
        <f>VLOOKUP(B138,'Costos de Inversión_xLocalidad'!$B$7:$Q$160,'Costos de Inversión_xLocalidad'!$Q$3,FALSE)</f>
        <v>4318288.1707258252</v>
      </c>
      <c r="F138" s="677">
        <f t="shared" si="7"/>
        <v>43182.881707258253</v>
      </c>
      <c r="G138" s="677">
        <f t="shared" si="8"/>
        <v>175855.28170725825</v>
      </c>
    </row>
    <row r="139" spans="1:7">
      <c r="A139" s="950"/>
      <c r="B139" s="409" t="s">
        <v>434</v>
      </c>
      <c r="C139" s="417">
        <v>8825</v>
      </c>
      <c r="D139" s="673">
        <f t="shared" si="6"/>
        <v>0.01</v>
      </c>
      <c r="E139" s="677">
        <f>VLOOKUP(B139,'Costos de Inversión_xLocalidad'!$B$7:$Q$160,'Costos de Inversión_xLocalidad'!$Q$3,FALSE)</f>
        <v>6627765.2005658261</v>
      </c>
      <c r="F139" s="677">
        <f t="shared" si="7"/>
        <v>66277.652005658267</v>
      </c>
      <c r="G139" s="677">
        <f t="shared" si="8"/>
        <v>198950.05200565828</v>
      </c>
    </row>
    <row r="140" spans="1:7">
      <c r="A140" s="950"/>
      <c r="B140" s="423" t="s">
        <v>461</v>
      </c>
      <c r="C140" s="417">
        <v>8821</v>
      </c>
      <c r="D140" s="673">
        <f t="shared" si="6"/>
        <v>0.01</v>
      </c>
      <c r="E140" s="677">
        <f>VLOOKUP(B140,'Costos de Inversión_xLocalidad'!$B$7:$Q$160,'Costos de Inversión_xLocalidad'!$Q$3,FALSE)</f>
        <v>15703873.048328705</v>
      </c>
      <c r="F140" s="677">
        <f t="shared" si="7"/>
        <v>157038.73048328704</v>
      </c>
      <c r="G140" s="677">
        <f t="shared" si="8"/>
        <v>289711.13048328704</v>
      </c>
    </row>
    <row r="141" spans="1:7">
      <c r="A141" s="950"/>
      <c r="B141" s="423" t="s">
        <v>372</v>
      </c>
      <c r="C141" s="400">
        <v>7333</v>
      </c>
      <c r="D141" s="673">
        <f t="shared" si="6"/>
        <v>0.01</v>
      </c>
      <c r="E141" s="677">
        <f>VLOOKUP(B141,'Costos de Inversión_xLocalidad'!$B$7:$Q$160,'Costos de Inversión_xLocalidad'!$Q$3,FALSE)</f>
        <v>2847723.3437514976</v>
      </c>
      <c r="F141" s="677">
        <f t="shared" si="7"/>
        <v>28477.233437514977</v>
      </c>
      <c r="G141" s="677">
        <f t="shared" si="8"/>
        <v>161149.63343751497</v>
      </c>
    </row>
    <row r="142" spans="1:7">
      <c r="A142" s="950"/>
      <c r="B142" s="423" t="s">
        <v>435</v>
      </c>
      <c r="C142" s="417">
        <v>6948</v>
      </c>
      <c r="D142" s="673">
        <f t="shared" si="6"/>
        <v>0.01</v>
      </c>
      <c r="E142" s="677">
        <f>VLOOKUP(B142,'Costos de Inversión_xLocalidad'!$B$7:$Q$160,'Costos de Inversión_xLocalidad'!$Q$3,FALSE)</f>
        <v>4620834.6659658253</v>
      </c>
      <c r="F142" s="677">
        <f t="shared" si="7"/>
        <v>46208.346659658251</v>
      </c>
      <c r="G142" s="677">
        <f t="shared" si="8"/>
        <v>178880.74665965824</v>
      </c>
    </row>
    <row r="143" spans="1:7">
      <c r="A143" s="950"/>
      <c r="B143" s="423" t="s">
        <v>260</v>
      </c>
      <c r="C143" s="400">
        <v>6865</v>
      </c>
      <c r="D143" s="673">
        <f t="shared" si="6"/>
        <v>0.01</v>
      </c>
      <c r="E143" s="677">
        <f>VLOOKUP(B143,'Costos de Inversión_xLocalidad'!$B$7:$Q$160,'Costos de Inversión_xLocalidad'!$Q$3,FALSE)</f>
        <v>3208719.316309676</v>
      </c>
      <c r="F143" s="677">
        <f t="shared" si="7"/>
        <v>32087.193163096763</v>
      </c>
      <c r="G143" s="677">
        <f t="shared" si="8"/>
        <v>164759.59316309675</v>
      </c>
    </row>
    <row r="144" spans="1:7">
      <c r="A144" s="950"/>
      <c r="B144" s="423" t="s">
        <v>545</v>
      </c>
      <c r="C144" s="417">
        <v>6231</v>
      </c>
      <c r="D144" s="673">
        <f t="shared" si="6"/>
        <v>0.01</v>
      </c>
      <c r="E144" s="677" t="e">
        <f>VLOOKUP(B144,'Costos de Inversión_xLocalidad'!$B$7:$Q$160,'Costos de Inversión_xLocalidad'!$Q$3,FALSE)</f>
        <v>#N/A</v>
      </c>
      <c r="F144" s="677" t="e">
        <f t="shared" si="7"/>
        <v>#N/A</v>
      </c>
      <c r="G144" s="677" t="e">
        <f t="shared" si="8"/>
        <v>#N/A</v>
      </c>
    </row>
    <row r="145" spans="1:7">
      <c r="A145" s="950"/>
      <c r="B145" s="423" t="s">
        <v>550</v>
      </c>
      <c r="C145" s="400">
        <v>5716</v>
      </c>
      <c r="D145" s="673">
        <f t="shared" si="6"/>
        <v>0.01</v>
      </c>
      <c r="E145" s="677">
        <f>VLOOKUP(B145,'Costos de Inversión_xLocalidad'!$B$7:$Q$160,'Costos de Inversión_xLocalidad'!$Q$3,FALSE)</f>
        <v>3012751.7962296763</v>
      </c>
      <c r="F145" s="677">
        <f t="shared" si="7"/>
        <v>30127.517962296763</v>
      </c>
      <c r="G145" s="677">
        <f t="shared" si="8"/>
        <v>162799.91796229675</v>
      </c>
    </row>
    <row r="146" spans="1:7">
      <c r="A146" s="950"/>
      <c r="B146" s="423" t="s">
        <v>257</v>
      </c>
      <c r="C146" s="400">
        <v>5656</v>
      </c>
      <c r="D146" s="673">
        <f t="shared" si="6"/>
        <v>0.01</v>
      </c>
      <c r="E146" s="677">
        <f>VLOOKUP(B146,'Costos de Inversión_xLocalidad'!$B$7:$Q$160,'Costos de Inversión_xLocalidad'!$Q$3,FALSE)</f>
        <v>3119961.5068058255</v>
      </c>
      <c r="F146" s="677">
        <f t="shared" si="7"/>
        <v>31199.615068058254</v>
      </c>
      <c r="G146" s="677">
        <f t="shared" si="8"/>
        <v>163872.01506805824</v>
      </c>
    </row>
    <row r="147" spans="1:7">
      <c r="A147" s="950"/>
      <c r="B147" s="423" t="s">
        <v>134</v>
      </c>
      <c r="C147" s="400">
        <v>5466</v>
      </c>
      <c r="D147" s="673">
        <f t="shared" si="6"/>
        <v>0.01</v>
      </c>
      <c r="E147" s="677">
        <f>VLOOKUP(B147,'Costos de Inversión_xLocalidad'!$B$7:$Q$160,'Costos de Inversión_xLocalidad'!$Q$3,FALSE)</f>
        <v>4128301.2723098258</v>
      </c>
      <c r="F147" s="677">
        <f t="shared" si="7"/>
        <v>41283.012723098262</v>
      </c>
      <c r="G147" s="677">
        <f t="shared" si="8"/>
        <v>173955.41272309824</v>
      </c>
    </row>
    <row r="148" spans="1:7">
      <c r="A148" s="950"/>
      <c r="B148" s="423" t="s">
        <v>373</v>
      </c>
      <c r="C148" s="417">
        <v>4949</v>
      </c>
      <c r="D148" s="673">
        <f t="shared" si="6"/>
        <v>0.01</v>
      </c>
      <c r="E148" s="677">
        <f>VLOOKUP(B148,'Costos de Inversión_xLocalidad'!$B$7:$Q$160,'Costos de Inversión_xLocalidad'!$Q$3,FALSE)</f>
        <v>8766796.2155753281</v>
      </c>
      <c r="F148" s="677">
        <f t="shared" si="7"/>
        <v>87667.962155753281</v>
      </c>
      <c r="G148" s="677">
        <f t="shared" si="8"/>
        <v>220340.36215575328</v>
      </c>
    </row>
    <row r="149" spans="1:7">
      <c r="A149" s="950"/>
      <c r="B149" s="423" t="s">
        <v>251</v>
      </c>
      <c r="C149" s="417">
        <v>4949</v>
      </c>
      <c r="D149" s="673">
        <f t="shared" si="6"/>
        <v>0.01</v>
      </c>
      <c r="E149" s="677">
        <f>VLOOKUP(B149,'Costos de Inversión_xLocalidad'!$B$7:$Q$160,'Costos de Inversión_xLocalidad'!$Q$3,FALSE)</f>
        <v>948962.8488466643</v>
      </c>
      <c r="F149" s="677">
        <f t="shared" si="7"/>
        <v>9489.6284884666438</v>
      </c>
      <c r="G149" s="677">
        <f t="shared" si="8"/>
        <v>142162.02848846663</v>
      </c>
    </row>
    <row r="150" spans="1:7">
      <c r="A150" s="950"/>
      <c r="B150" s="423" t="s">
        <v>252</v>
      </c>
      <c r="C150" s="400">
        <v>4746</v>
      </c>
      <c r="D150" s="673">
        <f t="shared" si="6"/>
        <v>0.01</v>
      </c>
      <c r="E150" s="677">
        <f>VLOOKUP(B150,'Costos de Inversión_xLocalidad'!$B$7:$Q$160,'Costos de Inversión_xLocalidad'!$Q$3,FALSE)</f>
        <v>2992264.1137658255</v>
      </c>
      <c r="F150" s="677">
        <f t="shared" si="7"/>
        <v>29922.641137658255</v>
      </c>
      <c r="G150" s="677">
        <f t="shared" si="8"/>
        <v>162595.04113765823</v>
      </c>
    </row>
    <row r="151" spans="1:7">
      <c r="A151" s="950"/>
      <c r="B151" s="423" t="s">
        <v>445</v>
      </c>
      <c r="C151" s="417">
        <v>4609</v>
      </c>
      <c r="D151" s="673">
        <f t="shared" si="6"/>
        <v>0.01</v>
      </c>
      <c r="E151" s="677">
        <f>VLOOKUP(B151,'Costos de Inversión_xLocalidad'!$B$7:$Q$160,'Costos de Inversión_xLocalidad'!$Q$3,FALSE)</f>
        <v>1700754.1696835998</v>
      </c>
      <c r="F151" s="677">
        <f t="shared" si="7"/>
        <v>17007.541696836</v>
      </c>
      <c r="G151" s="677">
        <f t="shared" si="8"/>
        <v>149679.941696836</v>
      </c>
    </row>
    <row r="152" spans="1:7">
      <c r="A152" s="950"/>
      <c r="B152" s="423" t="s">
        <v>572</v>
      </c>
      <c r="C152" s="400">
        <v>4348</v>
      </c>
      <c r="D152" s="673">
        <f t="shared" si="6"/>
        <v>0.01</v>
      </c>
      <c r="E152" s="677">
        <f>VLOOKUP(B152,'Costos de Inversión_xLocalidad'!$B$7:$Q$160,'Costos de Inversión_xLocalidad'!$Q$3,FALSE)</f>
        <v>2176124.1758336001</v>
      </c>
      <c r="F152" s="677">
        <f t="shared" si="7"/>
        <v>21761.241758336</v>
      </c>
      <c r="G152" s="677">
        <f t="shared" si="8"/>
        <v>154433.64175833599</v>
      </c>
    </row>
    <row r="153" spans="1:7">
      <c r="A153" s="950"/>
      <c r="B153" s="423" t="s">
        <v>441</v>
      </c>
      <c r="C153" s="400">
        <v>3432</v>
      </c>
      <c r="D153" s="673">
        <f t="shared" si="6"/>
        <v>0.01</v>
      </c>
      <c r="E153" s="677">
        <f>VLOOKUP(B153,'Costos de Inversión_xLocalidad'!$B$7:$Q$160,'Costos de Inversión_xLocalidad'!$Q$3,FALSE)</f>
        <v>2115331.1647936003</v>
      </c>
      <c r="F153" s="677">
        <f t="shared" si="7"/>
        <v>21153.311647936003</v>
      </c>
      <c r="G153" s="677">
        <f t="shared" si="8"/>
        <v>153825.711647936</v>
      </c>
    </row>
    <row r="154" spans="1:7">
      <c r="A154" s="950"/>
      <c r="B154" s="423" t="s">
        <v>549</v>
      </c>
      <c r="C154" s="400">
        <v>3406</v>
      </c>
      <c r="D154" s="673">
        <f t="shared" si="6"/>
        <v>0.01</v>
      </c>
      <c r="E154" s="677">
        <f>VLOOKUP(B154,'Costos de Inversión_xLocalidad'!$B$7:$Q$160,'Costos de Inversión_xLocalidad'!$Q$3,FALSE)</f>
        <v>2083906.7047935999</v>
      </c>
      <c r="F154" s="677">
        <f t="shared" si="7"/>
        <v>20839.067047935998</v>
      </c>
      <c r="G154" s="677">
        <f t="shared" si="8"/>
        <v>153511.46704793599</v>
      </c>
    </row>
    <row r="155" spans="1:7">
      <c r="A155" s="950"/>
      <c r="B155" s="423" t="s">
        <v>473</v>
      </c>
      <c r="C155" s="400">
        <v>3288</v>
      </c>
      <c r="D155" s="673">
        <f t="shared" si="6"/>
        <v>0.01</v>
      </c>
      <c r="E155" s="677">
        <f>VLOOKUP(B155,'Costos de Inversión_xLocalidad'!$B$7:$Q$160,'Costos de Inversión_xLocalidad'!$Q$3,FALSE)</f>
        <v>1714195.0066943998</v>
      </c>
      <c r="F155" s="677">
        <f t="shared" si="7"/>
        <v>17141.950066943999</v>
      </c>
      <c r="G155" s="677">
        <f t="shared" si="8"/>
        <v>149814.350066944</v>
      </c>
    </row>
    <row r="156" spans="1:7">
      <c r="A156" s="950"/>
      <c r="B156" s="423" t="s">
        <v>447</v>
      </c>
      <c r="C156" s="417">
        <v>3226</v>
      </c>
      <c r="D156" s="673">
        <f t="shared" si="6"/>
        <v>0.01</v>
      </c>
      <c r="E156" s="677">
        <f>VLOOKUP(B156,'Costos de Inversión_xLocalidad'!$B$7:$Q$160,'Costos de Inversión_xLocalidad'!$Q$3,FALSE)</f>
        <v>2032116.2206144</v>
      </c>
      <c r="F156" s="677">
        <f t="shared" si="7"/>
        <v>20321.162206143999</v>
      </c>
      <c r="G156" s="677">
        <f t="shared" si="8"/>
        <v>152993.56220614398</v>
      </c>
    </row>
    <row r="157" spans="1:7">
      <c r="A157" s="950"/>
      <c r="B157" s="423" t="s">
        <v>470</v>
      </c>
      <c r="C157" s="417">
        <v>3226</v>
      </c>
      <c r="D157" s="673">
        <f t="shared" si="6"/>
        <v>0.01</v>
      </c>
      <c r="E157" s="677">
        <f>VLOOKUP(B157,'Costos de Inversión_xLocalidad'!$B$7:$Q$160,'Costos de Inversión_xLocalidad'!$Q$3,FALSE)</f>
        <v>1562314.4026943999</v>
      </c>
      <c r="F157" s="677">
        <f t="shared" si="7"/>
        <v>15623.144026943999</v>
      </c>
      <c r="G157" s="677">
        <f t="shared" si="8"/>
        <v>148295.544026944</v>
      </c>
    </row>
    <row r="158" spans="1:7">
      <c r="A158" s="950"/>
      <c r="B158" s="423" t="s">
        <v>446</v>
      </c>
      <c r="C158" s="417">
        <v>2672</v>
      </c>
      <c r="D158" s="673">
        <f t="shared" si="6"/>
        <v>0.01</v>
      </c>
      <c r="E158" s="677">
        <f>VLOOKUP(B158,'Costos de Inversión_xLocalidad'!$B$7:$Q$160,'Costos de Inversión_xLocalidad'!$Q$3,FALSE)</f>
        <v>2008995.9090435999</v>
      </c>
      <c r="F158" s="677">
        <f t="shared" si="7"/>
        <v>20089.959090435997</v>
      </c>
      <c r="G158" s="677">
        <f t="shared" si="8"/>
        <v>152762.35909043599</v>
      </c>
    </row>
    <row r="159" spans="1:7">
      <c r="B159" s="436"/>
      <c r="C159" s="437"/>
    </row>
    <row r="160" spans="1:7">
      <c r="B160" s="436"/>
      <c r="C160" s="437"/>
    </row>
    <row r="161" spans="1:5">
      <c r="B161" s="436"/>
    </row>
    <row r="162" spans="1:5">
      <c r="B162" s="436"/>
    </row>
    <row r="163" spans="1:5" s="442" customFormat="1">
      <c r="A163" s="670"/>
      <c r="B163" s="436"/>
      <c r="D163" s="670"/>
      <c r="E163" s="670"/>
    </row>
    <row r="164" spans="1:5" s="442" customFormat="1">
      <c r="A164" s="670"/>
      <c r="B164" s="436"/>
      <c r="D164" s="670"/>
      <c r="E164" s="670"/>
    </row>
    <row r="165" spans="1:5" s="442" customFormat="1">
      <c r="A165" s="670"/>
      <c r="B165" s="436"/>
      <c r="D165" s="670"/>
      <c r="E165" s="670"/>
    </row>
    <row r="166" spans="1:5" s="442" customFormat="1">
      <c r="A166" s="670"/>
      <c r="B166" s="436"/>
      <c r="D166" s="670"/>
      <c r="E166" s="670"/>
    </row>
    <row r="167" spans="1:5" s="442" customFormat="1">
      <c r="A167" s="670"/>
      <c r="B167" s="436"/>
      <c r="D167" s="670"/>
      <c r="E167" s="670"/>
    </row>
    <row r="168" spans="1:5" s="442" customFormat="1">
      <c r="A168" s="670"/>
      <c r="B168" s="436"/>
      <c r="D168" s="670"/>
      <c r="E168" s="670"/>
    </row>
    <row r="169" spans="1:5" s="442" customFormat="1">
      <c r="A169" s="670"/>
      <c r="B169" s="436"/>
      <c r="D169" s="670"/>
      <c r="E169" s="670"/>
    </row>
    <row r="170" spans="1:5" s="442" customFormat="1">
      <c r="A170" s="670"/>
      <c r="B170" s="436"/>
      <c r="D170" s="670"/>
      <c r="E170" s="670"/>
    </row>
    <row r="171" spans="1:5" s="442" customFormat="1">
      <c r="A171" s="670"/>
      <c r="B171" s="436"/>
      <c r="D171" s="670"/>
      <c r="E171" s="670"/>
    </row>
    <row r="172" spans="1:5" s="442" customFormat="1">
      <c r="A172" s="670"/>
      <c r="B172" s="436"/>
      <c r="D172" s="670"/>
      <c r="E172" s="670"/>
    </row>
    <row r="173" spans="1:5" s="442" customFormat="1">
      <c r="A173" s="670"/>
      <c r="B173" s="436"/>
      <c r="D173" s="670"/>
      <c r="E173" s="670"/>
    </row>
    <row r="174" spans="1:5" s="442" customFormat="1">
      <c r="A174" s="670"/>
      <c r="B174" s="436"/>
      <c r="D174" s="670"/>
      <c r="E174" s="670"/>
    </row>
    <row r="175" spans="1:5" s="442" customFormat="1">
      <c r="A175" s="670"/>
      <c r="B175" s="436"/>
      <c r="D175" s="670"/>
      <c r="E175" s="670"/>
    </row>
    <row r="176" spans="1:5" s="442" customFormat="1">
      <c r="A176" s="670"/>
      <c r="B176" s="436"/>
      <c r="D176" s="670"/>
      <c r="E176" s="670"/>
    </row>
    <row r="177" spans="1:5" s="442" customFormat="1">
      <c r="A177" s="670"/>
      <c r="B177" s="436"/>
      <c r="D177" s="670"/>
      <c r="E177" s="670"/>
    </row>
    <row r="178" spans="1:5" s="442" customFormat="1">
      <c r="A178" s="670"/>
      <c r="B178" s="436"/>
      <c r="D178" s="670"/>
      <c r="E178" s="670"/>
    </row>
    <row r="179" spans="1:5" s="442" customFormat="1">
      <c r="A179" s="670"/>
      <c r="B179" s="436"/>
      <c r="D179" s="670"/>
      <c r="E179" s="670"/>
    </row>
    <row r="180" spans="1:5" s="442" customFormat="1">
      <c r="A180" s="670"/>
      <c r="B180" s="436"/>
      <c r="D180" s="670"/>
      <c r="E180" s="670"/>
    </row>
    <row r="181" spans="1:5" s="442" customFormat="1">
      <c r="A181" s="670"/>
      <c r="B181" s="436"/>
      <c r="D181" s="670"/>
      <c r="E181" s="670"/>
    </row>
    <row r="182" spans="1:5" s="442" customFormat="1">
      <c r="A182" s="670"/>
      <c r="B182" s="436"/>
      <c r="D182" s="670"/>
      <c r="E182" s="670"/>
    </row>
    <row r="183" spans="1:5" s="442" customFormat="1">
      <c r="A183" s="670"/>
      <c r="B183" s="436"/>
      <c r="D183" s="670"/>
      <c r="E183" s="670"/>
    </row>
    <row r="184" spans="1:5" s="442" customFormat="1">
      <c r="A184" s="670"/>
      <c r="B184" s="436"/>
      <c r="D184" s="670"/>
      <c r="E184" s="670"/>
    </row>
    <row r="185" spans="1:5" s="442" customFormat="1">
      <c r="A185" s="670"/>
      <c r="B185" s="436"/>
      <c r="D185" s="670"/>
      <c r="E185" s="670"/>
    </row>
    <row r="186" spans="1:5" s="442" customFormat="1">
      <c r="A186" s="670"/>
      <c r="B186" s="436"/>
      <c r="D186" s="670"/>
      <c r="E186" s="670"/>
    </row>
    <row r="187" spans="1:5" s="442" customFormat="1">
      <c r="A187" s="670"/>
      <c r="B187" s="436"/>
      <c r="D187" s="670"/>
      <c r="E187" s="670"/>
    </row>
    <row r="188" spans="1:5" s="442" customFormat="1">
      <c r="A188" s="670"/>
      <c r="B188" s="436"/>
      <c r="D188" s="670"/>
      <c r="E188" s="670"/>
    </row>
    <row r="189" spans="1:5" s="442" customFormat="1">
      <c r="A189" s="670"/>
      <c r="B189" s="436"/>
      <c r="D189" s="670"/>
      <c r="E189" s="670"/>
    </row>
    <row r="190" spans="1:5" s="442" customFormat="1">
      <c r="A190" s="670"/>
      <c r="B190" s="436"/>
      <c r="D190" s="670"/>
      <c r="E190" s="670"/>
    </row>
    <row r="191" spans="1:5" s="442" customFormat="1">
      <c r="A191" s="670"/>
      <c r="B191" s="436"/>
      <c r="D191" s="670"/>
      <c r="E191" s="670"/>
    </row>
    <row r="192" spans="1:5" s="442" customFormat="1">
      <c r="A192" s="670"/>
      <c r="B192" s="436"/>
      <c r="D192" s="670"/>
      <c r="E192" s="670"/>
    </row>
    <row r="193" spans="1:5" s="442" customFormat="1">
      <c r="A193" s="670"/>
      <c r="B193" s="436"/>
      <c r="D193" s="670"/>
      <c r="E193" s="670"/>
    </row>
    <row r="194" spans="1:5" s="442" customFormat="1">
      <c r="A194" s="670"/>
      <c r="B194" s="436"/>
      <c r="D194" s="670"/>
      <c r="E194" s="670"/>
    </row>
    <row r="195" spans="1:5" s="442" customFormat="1">
      <c r="A195" s="670"/>
      <c r="B195" s="436"/>
      <c r="D195" s="670"/>
      <c r="E195" s="670"/>
    </row>
    <row r="196" spans="1:5" s="442" customFormat="1">
      <c r="A196" s="670"/>
      <c r="B196" s="436"/>
      <c r="D196" s="670"/>
      <c r="E196" s="670"/>
    </row>
    <row r="197" spans="1:5" s="442" customFormat="1">
      <c r="A197" s="670"/>
      <c r="B197" s="436"/>
      <c r="D197" s="670"/>
      <c r="E197" s="670"/>
    </row>
    <row r="198" spans="1:5" s="442" customFormat="1">
      <c r="A198" s="670"/>
      <c r="B198" s="436"/>
      <c r="D198" s="670"/>
      <c r="E198" s="670"/>
    </row>
    <row r="199" spans="1:5" s="442" customFormat="1">
      <c r="A199" s="670"/>
      <c r="B199" s="436"/>
      <c r="D199" s="670"/>
      <c r="E199" s="670"/>
    </row>
    <row r="200" spans="1:5" s="442" customFormat="1">
      <c r="A200" s="670"/>
      <c r="B200" s="436"/>
      <c r="D200" s="670"/>
      <c r="E200" s="670"/>
    </row>
    <row r="201" spans="1:5" s="442" customFormat="1">
      <c r="A201" s="670"/>
      <c r="B201" s="436"/>
      <c r="D201" s="670"/>
      <c r="E201" s="670"/>
    </row>
    <row r="202" spans="1:5" s="442" customFormat="1">
      <c r="A202" s="670"/>
      <c r="B202" s="436"/>
      <c r="D202" s="670"/>
      <c r="E202" s="670"/>
    </row>
    <row r="203" spans="1:5" s="442" customFormat="1">
      <c r="A203" s="670"/>
      <c r="B203" s="436"/>
      <c r="D203" s="670"/>
      <c r="E203" s="670"/>
    </row>
    <row r="204" spans="1:5" s="442" customFormat="1">
      <c r="A204" s="670"/>
      <c r="B204" s="436"/>
      <c r="D204" s="670"/>
      <c r="E204" s="670"/>
    </row>
    <row r="205" spans="1:5" s="442" customFormat="1">
      <c r="A205" s="670"/>
      <c r="B205" s="436"/>
      <c r="D205" s="670"/>
      <c r="E205" s="670"/>
    </row>
    <row r="206" spans="1:5" s="442" customFormat="1">
      <c r="A206" s="670"/>
      <c r="B206" s="436"/>
      <c r="D206" s="670"/>
      <c r="E206" s="670"/>
    </row>
    <row r="207" spans="1:5" s="442" customFormat="1">
      <c r="A207" s="670"/>
      <c r="B207" s="436"/>
      <c r="D207" s="670"/>
      <c r="E207" s="670"/>
    </row>
    <row r="208" spans="1:5" s="442" customFormat="1">
      <c r="A208" s="670"/>
      <c r="B208" s="436"/>
      <c r="D208" s="670"/>
      <c r="E208" s="670"/>
    </row>
    <row r="209" spans="1:5" s="442" customFormat="1">
      <c r="A209" s="670"/>
      <c r="B209" s="436"/>
      <c r="D209" s="670"/>
      <c r="E209" s="670"/>
    </row>
    <row r="210" spans="1:5" s="442" customFormat="1">
      <c r="A210" s="670"/>
      <c r="B210" s="436"/>
      <c r="D210" s="670"/>
      <c r="E210" s="670"/>
    </row>
    <row r="211" spans="1:5" s="442" customFormat="1">
      <c r="A211" s="670"/>
      <c r="B211" s="436"/>
      <c r="D211" s="670"/>
      <c r="E211" s="670"/>
    </row>
    <row r="212" spans="1:5" s="442" customFormat="1">
      <c r="A212" s="670"/>
      <c r="B212" s="436"/>
      <c r="D212" s="670"/>
      <c r="E212" s="670"/>
    </row>
    <row r="213" spans="1:5" s="442" customFormat="1">
      <c r="A213" s="670"/>
      <c r="B213" s="436"/>
      <c r="D213" s="670"/>
      <c r="E213" s="670"/>
    </row>
    <row r="214" spans="1:5" s="442" customFormat="1">
      <c r="A214" s="670"/>
      <c r="B214" s="436"/>
      <c r="D214" s="670"/>
      <c r="E214" s="670"/>
    </row>
    <row r="215" spans="1:5" s="442" customFormat="1">
      <c r="A215" s="670"/>
      <c r="B215" s="436"/>
      <c r="D215" s="670"/>
      <c r="E215" s="670"/>
    </row>
    <row r="216" spans="1:5" s="442" customFormat="1">
      <c r="A216" s="670"/>
      <c r="B216" s="436"/>
      <c r="D216" s="670"/>
      <c r="E216" s="670"/>
    </row>
    <row r="217" spans="1:5" s="442" customFormat="1">
      <c r="A217" s="670"/>
      <c r="B217" s="436"/>
      <c r="D217" s="670"/>
      <c r="E217" s="670"/>
    </row>
    <row r="218" spans="1:5" s="442" customFormat="1">
      <c r="A218" s="670"/>
      <c r="B218" s="436"/>
      <c r="D218" s="670"/>
      <c r="E218" s="670"/>
    </row>
    <row r="219" spans="1:5" s="442" customFormat="1">
      <c r="A219" s="670"/>
      <c r="B219" s="436"/>
      <c r="D219" s="670"/>
      <c r="E219" s="670"/>
    </row>
    <row r="220" spans="1:5" s="442" customFormat="1">
      <c r="A220" s="670"/>
      <c r="B220" s="436"/>
      <c r="D220" s="670"/>
      <c r="E220" s="670"/>
    </row>
    <row r="221" spans="1:5" s="442" customFormat="1">
      <c r="A221" s="670"/>
      <c r="B221" s="436"/>
      <c r="D221" s="670"/>
      <c r="E221" s="670"/>
    </row>
    <row r="222" spans="1:5" s="442" customFormat="1">
      <c r="A222" s="670"/>
      <c r="B222" s="436"/>
      <c r="D222" s="670"/>
      <c r="E222" s="670"/>
    </row>
    <row r="223" spans="1:5" s="442" customFormat="1">
      <c r="A223" s="670"/>
      <c r="B223" s="436"/>
      <c r="D223" s="670"/>
      <c r="E223" s="670"/>
    </row>
    <row r="224" spans="1:5" s="442" customFormat="1">
      <c r="A224" s="670"/>
      <c r="B224" s="436"/>
      <c r="D224" s="670"/>
      <c r="E224" s="670"/>
    </row>
    <row r="225" spans="1:5" s="442" customFormat="1">
      <c r="A225" s="670"/>
      <c r="B225" s="436"/>
      <c r="D225" s="670"/>
      <c r="E225" s="670"/>
    </row>
    <row r="226" spans="1:5" s="442" customFormat="1">
      <c r="A226" s="670"/>
      <c r="B226" s="436"/>
      <c r="D226" s="670"/>
      <c r="E226" s="670"/>
    </row>
    <row r="227" spans="1:5" s="442" customFormat="1">
      <c r="A227" s="670"/>
      <c r="B227" s="436"/>
      <c r="D227" s="670"/>
      <c r="E227" s="670"/>
    </row>
    <row r="228" spans="1:5" s="442" customFormat="1">
      <c r="A228" s="670"/>
      <c r="B228" s="436"/>
      <c r="D228" s="670"/>
      <c r="E228" s="670"/>
    </row>
    <row r="229" spans="1:5" s="442" customFormat="1">
      <c r="A229" s="670"/>
      <c r="B229" s="436"/>
      <c r="D229" s="670"/>
      <c r="E229" s="670"/>
    </row>
    <row r="230" spans="1:5" s="442" customFormat="1">
      <c r="A230" s="670"/>
      <c r="B230" s="436"/>
      <c r="D230" s="670"/>
      <c r="E230" s="670"/>
    </row>
    <row r="231" spans="1:5" s="442" customFormat="1">
      <c r="A231" s="670"/>
      <c r="B231" s="436"/>
      <c r="D231" s="670"/>
      <c r="E231" s="670"/>
    </row>
    <row r="232" spans="1:5" s="442" customFormat="1">
      <c r="A232" s="670"/>
      <c r="B232" s="436"/>
      <c r="D232" s="670"/>
      <c r="E232" s="670"/>
    </row>
    <row r="233" spans="1:5" s="442" customFormat="1">
      <c r="A233" s="670"/>
      <c r="B233" s="436"/>
      <c r="D233" s="670"/>
      <c r="E233" s="670"/>
    </row>
    <row r="234" spans="1:5" s="442" customFormat="1">
      <c r="A234" s="670"/>
      <c r="B234" s="436"/>
      <c r="D234" s="670"/>
      <c r="E234" s="670"/>
    </row>
    <row r="235" spans="1:5" s="442" customFormat="1">
      <c r="A235" s="670"/>
      <c r="B235" s="436"/>
      <c r="D235" s="670"/>
      <c r="E235" s="670"/>
    </row>
    <row r="236" spans="1:5" s="442" customFormat="1">
      <c r="A236" s="670"/>
      <c r="B236" s="436"/>
      <c r="D236" s="670"/>
      <c r="E236" s="670"/>
    </row>
    <row r="237" spans="1:5" s="442" customFormat="1">
      <c r="A237" s="670"/>
      <c r="B237" s="436"/>
      <c r="D237" s="670"/>
      <c r="E237" s="670"/>
    </row>
    <row r="238" spans="1:5" s="442" customFormat="1">
      <c r="A238" s="670"/>
      <c r="B238" s="436"/>
      <c r="D238" s="670"/>
      <c r="E238" s="670"/>
    </row>
    <row r="239" spans="1:5" s="442" customFormat="1">
      <c r="A239" s="670"/>
      <c r="B239" s="436"/>
      <c r="D239" s="670"/>
      <c r="E239" s="670"/>
    </row>
    <row r="240" spans="1:5" s="442" customFormat="1">
      <c r="A240" s="670"/>
      <c r="B240" s="436"/>
      <c r="D240" s="670"/>
      <c r="E240" s="670"/>
    </row>
    <row r="241" spans="1:5" s="442" customFormat="1">
      <c r="A241" s="670"/>
      <c r="B241" s="436"/>
      <c r="D241" s="670"/>
      <c r="E241" s="670"/>
    </row>
    <row r="242" spans="1:5" s="442" customFormat="1">
      <c r="A242" s="670"/>
      <c r="B242" s="436"/>
      <c r="D242" s="670"/>
      <c r="E242" s="670"/>
    </row>
    <row r="243" spans="1:5" s="442" customFormat="1">
      <c r="A243" s="670"/>
      <c r="B243" s="436"/>
      <c r="D243" s="670"/>
      <c r="E243" s="670"/>
    </row>
    <row r="244" spans="1:5" s="442" customFormat="1">
      <c r="A244" s="670"/>
      <c r="B244" s="436"/>
      <c r="D244" s="670"/>
      <c r="E244" s="670"/>
    </row>
    <row r="245" spans="1:5" s="442" customFormat="1">
      <c r="A245" s="670"/>
      <c r="B245" s="436"/>
      <c r="D245" s="670"/>
      <c r="E245" s="670"/>
    </row>
    <row r="246" spans="1:5" s="442" customFormat="1">
      <c r="A246" s="670"/>
      <c r="B246" s="436"/>
      <c r="D246" s="670"/>
      <c r="E246" s="670"/>
    </row>
    <row r="247" spans="1:5" s="442" customFormat="1">
      <c r="A247" s="670"/>
      <c r="B247" s="436"/>
      <c r="D247" s="670"/>
      <c r="E247" s="670"/>
    </row>
    <row r="248" spans="1:5" s="442" customFormat="1">
      <c r="A248" s="670"/>
      <c r="B248" s="436"/>
      <c r="D248" s="670"/>
      <c r="E248" s="670"/>
    </row>
    <row r="249" spans="1:5" s="442" customFormat="1">
      <c r="A249" s="670"/>
      <c r="B249" s="436"/>
      <c r="D249" s="670"/>
      <c r="E249" s="670"/>
    </row>
    <row r="250" spans="1:5" s="442" customFormat="1">
      <c r="A250" s="670"/>
      <c r="B250" s="436"/>
      <c r="D250" s="670"/>
      <c r="E250" s="670"/>
    </row>
    <row r="251" spans="1:5" s="442" customFormat="1">
      <c r="A251" s="670"/>
      <c r="B251" s="436"/>
      <c r="D251" s="670"/>
      <c r="E251" s="670"/>
    </row>
    <row r="252" spans="1:5" s="442" customFormat="1">
      <c r="A252" s="670"/>
      <c r="B252" s="436"/>
      <c r="D252" s="670"/>
      <c r="E252" s="670"/>
    </row>
    <row r="253" spans="1:5" s="442" customFormat="1">
      <c r="A253" s="670"/>
      <c r="B253" s="436"/>
      <c r="D253" s="670"/>
      <c r="E253" s="670"/>
    </row>
    <row r="254" spans="1:5" s="442" customFormat="1">
      <c r="A254" s="670"/>
      <c r="B254" s="436"/>
      <c r="D254" s="670"/>
      <c r="E254" s="670"/>
    </row>
    <row r="255" spans="1:5" s="442" customFormat="1">
      <c r="A255" s="670"/>
      <c r="B255" s="436"/>
      <c r="D255" s="670"/>
      <c r="E255" s="670"/>
    </row>
    <row r="256" spans="1:5" s="442" customFormat="1">
      <c r="A256" s="670"/>
      <c r="B256" s="436"/>
      <c r="D256" s="670"/>
      <c r="E256" s="670"/>
    </row>
    <row r="257" spans="1:5" s="442" customFormat="1">
      <c r="A257" s="670"/>
      <c r="B257" s="436"/>
      <c r="D257" s="670"/>
      <c r="E257" s="670"/>
    </row>
    <row r="258" spans="1:5" s="442" customFormat="1">
      <c r="A258" s="670"/>
      <c r="B258" s="436"/>
      <c r="D258" s="670"/>
      <c r="E258" s="670"/>
    </row>
    <row r="259" spans="1:5" s="442" customFormat="1">
      <c r="A259" s="670"/>
      <c r="B259" s="436"/>
      <c r="D259" s="670"/>
      <c r="E259" s="670"/>
    </row>
    <row r="260" spans="1:5" s="442" customFormat="1">
      <c r="A260" s="670"/>
      <c r="B260" s="436"/>
      <c r="D260" s="670"/>
      <c r="E260" s="670"/>
    </row>
    <row r="261" spans="1:5" s="442" customFormat="1">
      <c r="A261" s="670"/>
      <c r="B261" s="436"/>
      <c r="D261" s="670"/>
      <c r="E261" s="670"/>
    </row>
    <row r="262" spans="1:5" s="442" customFormat="1">
      <c r="A262" s="670"/>
      <c r="B262" s="436"/>
      <c r="D262" s="670"/>
      <c r="E262" s="670"/>
    </row>
    <row r="263" spans="1:5" s="442" customFormat="1">
      <c r="A263" s="670"/>
      <c r="B263" s="436"/>
      <c r="D263" s="670"/>
      <c r="E263" s="670"/>
    </row>
    <row r="264" spans="1:5" s="442" customFormat="1">
      <c r="A264" s="670"/>
      <c r="B264" s="436"/>
      <c r="D264" s="670"/>
      <c r="E264" s="670"/>
    </row>
    <row r="265" spans="1:5" s="442" customFormat="1">
      <c r="A265" s="670"/>
      <c r="B265" s="436"/>
      <c r="D265" s="670"/>
      <c r="E265" s="670"/>
    </row>
    <row r="266" spans="1:5" s="442" customFormat="1">
      <c r="A266" s="670"/>
      <c r="B266" s="436"/>
      <c r="D266" s="670"/>
      <c r="E266" s="670"/>
    </row>
    <row r="267" spans="1:5" s="442" customFormat="1">
      <c r="A267" s="670"/>
      <c r="B267" s="436"/>
      <c r="D267" s="670"/>
      <c r="E267" s="670"/>
    </row>
    <row r="268" spans="1:5" s="442" customFormat="1">
      <c r="A268" s="670"/>
      <c r="B268" s="436"/>
      <c r="D268" s="670"/>
      <c r="E268" s="670"/>
    </row>
    <row r="269" spans="1:5" s="442" customFormat="1">
      <c r="A269" s="670"/>
      <c r="B269" s="436"/>
      <c r="D269" s="670"/>
      <c r="E269" s="670"/>
    </row>
    <row r="270" spans="1:5" s="442" customFormat="1">
      <c r="A270" s="670"/>
      <c r="B270" s="436"/>
      <c r="D270" s="670"/>
      <c r="E270" s="670"/>
    </row>
    <row r="271" spans="1:5" s="442" customFormat="1">
      <c r="A271" s="670"/>
      <c r="B271" s="436"/>
      <c r="D271" s="670"/>
      <c r="E271" s="670"/>
    </row>
    <row r="272" spans="1:5" s="442" customFormat="1">
      <c r="A272" s="670"/>
      <c r="B272" s="436"/>
      <c r="D272" s="670"/>
      <c r="E272" s="670"/>
    </row>
    <row r="273" spans="1:5" s="442" customFormat="1">
      <c r="A273" s="670"/>
      <c r="B273" s="436"/>
      <c r="D273" s="670"/>
      <c r="E273" s="670"/>
    </row>
    <row r="274" spans="1:5" s="442" customFormat="1">
      <c r="A274" s="670"/>
      <c r="B274" s="436"/>
      <c r="D274" s="670"/>
      <c r="E274" s="670"/>
    </row>
    <row r="275" spans="1:5" s="442" customFormat="1">
      <c r="A275" s="670"/>
      <c r="B275" s="436"/>
      <c r="D275" s="670"/>
      <c r="E275" s="670"/>
    </row>
    <row r="276" spans="1:5" s="442" customFormat="1">
      <c r="A276" s="670"/>
      <c r="B276" s="436"/>
      <c r="D276" s="670"/>
      <c r="E276" s="670"/>
    </row>
    <row r="277" spans="1:5" s="442" customFormat="1">
      <c r="A277" s="670"/>
      <c r="B277" s="436"/>
      <c r="D277" s="670"/>
      <c r="E277" s="670"/>
    </row>
    <row r="278" spans="1:5" s="442" customFormat="1">
      <c r="A278" s="670"/>
      <c r="B278" s="436"/>
      <c r="D278" s="670"/>
      <c r="E278" s="670"/>
    </row>
    <row r="279" spans="1:5" s="442" customFormat="1">
      <c r="A279" s="670"/>
      <c r="B279" s="436"/>
      <c r="D279" s="670"/>
      <c r="E279" s="670"/>
    </row>
    <row r="280" spans="1:5" s="442" customFormat="1">
      <c r="A280" s="670"/>
      <c r="B280" s="436"/>
      <c r="D280" s="670"/>
      <c r="E280" s="670"/>
    </row>
    <row r="281" spans="1:5" s="442" customFormat="1">
      <c r="A281" s="670"/>
      <c r="B281" s="436"/>
      <c r="D281" s="670"/>
      <c r="E281" s="670"/>
    </row>
    <row r="282" spans="1:5" s="442" customFormat="1">
      <c r="A282" s="670"/>
      <c r="B282" s="436"/>
      <c r="D282" s="670"/>
      <c r="E282" s="670"/>
    </row>
    <row r="283" spans="1:5" s="442" customFormat="1">
      <c r="A283" s="670"/>
      <c r="B283" s="436"/>
      <c r="D283" s="670"/>
      <c r="E283" s="670"/>
    </row>
    <row r="284" spans="1:5" s="442" customFormat="1">
      <c r="A284" s="670"/>
      <c r="B284" s="436"/>
      <c r="D284" s="670"/>
      <c r="E284" s="670"/>
    </row>
    <row r="285" spans="1:5" s="442" customFormat="1">
      <c r="A285" s="670"/>
      <c r="B285" s="436"/>
      <c r="D285" s="670"/>
      <c r="E285" s="670"/>
    </row>
    <row r="286" spans="1:5" s="442" customFormat="1">
      <c r="A286" s="670"/>
      <c r="B286" s="436"/>
      <c r="D286" s="670"/>
      <c r="E286" s="670"/>
    </row>
    <row r="287" spans="1:5" s="442" customFormat="1">
      <c r="A287" s="670"/>
      <c r="B287" s="436"/>
      <c r="D287" s="670"/>
      <c r="E287" s="670"/>
    </row>
    <row r="288" spans="1:5" s="442" customFormat="1">
      <c r="A288" s="670"/>
      <c r="B288" s="436"/>
      <c r="D288" s="670"/>
      <c r="E288" s="670"/>
    </row>
    <row r="289" spans="1:5" s="442" customFormat="1">
      <c r="A289" s="670"/>
      <c r="B289" s="436"/>
      <c r="D289" s="670"/>
      <c r="E289" s="670"/>
    </row>
    <row r="290" spans="1:5" s="442" customFormat="1">
      <c r="A290" s="670"/>
      <c r="B290" s="436"/>
      <c r="D290" s="670"/>
      <c r="E290" s="670"/>
    </row>
    <row r="291" spans="1:5" s="442" customFormat="1">
      <c r="A291" s="670"/>
      <c r="B291" s="436"/>
      <c r="D291" s="670"/>
      <c r="E291" s="670"/>
    </row>
    <row r="292" spans="1:5" s="442" customFormat="1">
      <c r="A292" s="670"/>
      <c r="B292" s="436"/>
      <c r="D292" s="670"/>
      <c r="E292" s="670"/>
    </row>
    <row r="293" spans="1:5" s="442" customFormat="1">
      <c r="A293" s="670"/>
      <c r="B293" s="436"/>
      <c r="D293" s="670"/>
      <c r="E293" s="670"/>
    </row>
    <row r="294" spans="1:5" s="442" customFormat="1">
      <c r="A294" s="670"/>
      <c r="B294" s="436"/>
      <c r="D294" s="670"/>
      <c r="E294" s="670"/>
    </row>
    <row r="295" spans="1:5" s="442" customFormat="1">
      <c r="A295" s="670"/>
      <c r="B295" s="436"/>
      <c r="D295" s="670"/>
      <c r="E295" s="670"/>
    </row>
    <row r="296" spans="1:5" s="442" customFormat="1">
      <c r="A296" s="670"/>
      <c r="B296" s="436"/>
      <c r="D296" s="670"/>
      <c r="E296" s="670"/>
    </row>
    <row r="297" spans="1:5" s="442" customFormat="1">
      <c r="A297" s="670"/>
      <c r="B297" s="436"/>
      <c r="D297" s="670"/>
      <c r="E297" s="670"/>
    </row>
    <row r="298" spans="1:5" s="442" customFormat="1">
      <c r="A298" s="670"/>
      <c r="B298" s="436"/>
      <c r="D298" s="670"/>
      <c r="E298" s="670"/>
    </row>
    <row r="299" spans="1:5" s="442" customFormat="1">
      <c r="A299" s="670"/>
      <c r="B299" s="436"/>
      <c r="D299" s="670"/>
      <c r="E299" s="670"/>
    </row>
    <row r="300" spans="1:5" s="442" customFormat="1">
      <c r="A300" s="670"/>
      <c r="B300" s="436"/>
      <c r="D300" s="670"/>
      <c r="E300" s="670"/>
    </row>
    <row r="301" spans="1:5" s="442" customFormat="1">
      <c r="A301" s="670"/>
      <c r="B301" s="436"/>
      <c r="D301" s="670"/>
      <c r="E301" s="670"/>
    </row>
    <row r="302" spans="1:5" s="442" customFormat="1">
      <c r="A302" s="670"/>
      <c r="B302" s="436"/>
      <c r="D302" s="670"/>
      <c r="E302" s="670"/>
    </row>
    <row r="303" spans="1:5" s="442" customFormat="1">
      <c r="A303" s="670"/>
      <c r="B303" s="436"/>
      <c r="D303" s="670"/>
      <c r="E303" s="670"/>
    </row>
    <row r="304" spans="1:5" s="442" customFormat="1">
      <c r="A304" s="670"/>
      <c r="B304" s="436"/>
      <c r="D304" s="670"/>
      <c r="E304" s="670"/>
    </row>
    <row r="305" spans="1:5" s="442" customFormat="1">
      <c r="A305" s="670"/>
      <c r="B305" s="436"/>
      <c r="D305" s="670"/>
      <c r="E305" s="670"/>
    </row>
    <row r="306" spans="1:5" s="442" customFormat="1">
      <c r="A306" s="670"/>
      <c r="B306" s="436"/>
      <c r="D306" s="670"/>
      <c r="E306" s="670"/>
    </row>
    <row r="307" spans="1:5" s="442" customFormat="1">
      <c r="A307" s="670"/>
      <c r="B307" s="436"/>
      <c r="D307" s="670"/>
      <c r="E307" s="670"/>
    </row>
    <row r="308" spans="1:5" s="442" customFormat="1">
      <c r="A308" s="670"/>
      <c r="B308" s="436"/>
      <c r="D308" s="670"/>
      <c r="E308" s="670"/>
    </row>
    <row r="309" spans="1:5" s="442" customFormat="1">
      <c r="A309" s="670"/>
      <c r="B309" s="436"/>
      <c r="D309" s="670"/>
      <c r="E309" s="670"/>
    </row>
    <row r="310" spans="1:5" s="442" customFormat="1">
      <c r="A310" s="670"/>
      <c r="B310" s="436"/>
      <c r="D310" s="670"/>
      <c r="E310" s="670"/>
    </row>
    <row r="311" spans="1:5" s="442" customFormat="1">
      <c r="A311" s="670"/>
      <c r="B311" s="436"/>
      <c r="D311" s="670"/>
      <c r="E311" s="670"/>
    </row>
    <row r="312" spans="1:5" s="442" customFormat="1">
      <c r="A312" s="670"/>
      <c r="B312" s="436"/>
      <c r="D312" s="670"/>
      <c r="E312" s="670"/>
    </row>
    <row r="313" spans="1:5" s="442" customFormat="1">
      <c r="A313" s="670"/>
      <c r="B313" s="436"/>
      <c r="D313" s="670"/>
      <c r="E313" s="670"/>
    </row>
    <row r="314" spans="1:5" s="442" customFormat="1">
      <c r="A314" s="670"/>
      <c r="B314" s="436"/>
      <c r="D314" s="670"/>
      <c r="E314" s="670"/>
    </row>
    <row r="315" spans="1:5" s="442" customFormat="1">
      <c r="A315" s="670"/>
      <c r="B315" s="436"/>
      <c r="D315" s="670"/>
      <c r="E315" s="670"/>
    </row>
    <row r="316" spans="1:5" s="442" customFormat="1">
      <c r="A316" s="670"/>
      <c r="B316" s="436"/>
      <c r="D316" s="670"/>
      <c r="E316" s="670"/>
    </row>
    <row r="317" spans="1:5" s="442" customFormat="1">
      <c r="A317" s="670"/>
      <c r="B317" s="436"/>
      <c r="D317" s="670"/>
      <c r="E317" s="670"/>
    </row>
    <row r="318" spans="1:5" s="442" customFormat="1">
      <c r="A318" s="670"/>
      <c r="B318" s="436"/>
      <c r="D318" s="670"/>
      <c r="E318" s="670"/>
    </row>
    <row r="319" spans="1:5" s="442" customFormat="1">
      <c r="A319" s="670"/>
      <c r="B319" s="436"/>
      <c r="D319" s="670"/>
      <c r="E319" s="670"/>
    </row>
    <row r="320" spans="1:5" s="442" customFormat="1">
      <c r="A320" s="670"/>
      <c r="B320" s="436"/>
      <c r="D320" s="670"/>
      <c r="E320" s="670"/>
    </row>
    <row r="321" spans="1:5" s="442" customFormat="1">
      <c r="A321" s="670"/>
      <c r="B321" s="436"/>
      <c r="D321" s="670"/>
      <c r="E321" s="670"/>
    </row>
    <row r="322" spans="1:5" s="442" customFormat="1">
      <c r="A322" s="670"/>
      <c r="B322" s="436"/>
      <c r="D322" s="670"/>
      <c r="E322" s="670"/>
    </row>
    <row r="323" spans="1:5" s="442" customFormat="1">
      <c r="A323" s="670"/>
      <c r="B323" s="436"/>
      <c r="D323" s="670"/>
      <c r="E323" s="670"/>
    </row>
    <row r="324" spans="1:5" s="442" customFormat="1">
      <c r="A324" s="670"/>
      <c r="B324" s="436"/>
      <c r="D324" s="670"/>
      <c r="E324" s="670"/>
    </row>
    <row r="325" spans="1:5" s="442" customFormat="1">
      <c r="A325" s="670"/>
      <c r="B325" s="436"/>
      <c r="D325" s="670"/>
      <c r="E325" s="670"/>
    </row>
    <row r="326" spans="1:5" s="442" customFormat="1">
      <c r="A326" s="670"/>
      <c r="B326" s="436"/>
      <c r="D326" s="670"/>
      <c r="E326" s="670"/>
    </row>
    <row r="327" spans="1:5" s="442" customFormat="1">
      <c r="A327" s="670"/>
      <c r="B327" s="436"/>
      <c r="D327" s="670"/>
      <c r="E327" s="670"/>
    </row>
    <row r="328" spans="1:5" s="442" customFormat="1">
      <c r="A328" s="670"/>
      <c r="B328" s="436"/>
      <c r="D328" s="670"/>
      <c r="E328" s="670"/>
    </row>
    <row r="329" spans="1:5" s="442" customFormat="1">
      <c r="A329" s="670"/>
      <c r="B329" s="436"/>
      <c r="D329" s="670"/>
      <c r="E329" s="670"/>
    </row>
    <row r="330" spans="1:5" s="442" customFormat="1">
      <c r="A330" s="670"/>
      <c r="B330" s="436"/>
      <c r="D330" s="670"/>
      <c r="E330" s="670"/>
    </row>
    <row r="331" spans="1:5" s="442" customFormat="1">
      <c r="A331" s="670"/>
      <c r="B331" s="436"/>
      <c r="D331" s="670"/>
      <c r="E331" s="670"/>
    </row>
    <row r="332" spans="1:5" s="442" customFormat="1">
      <c r="A332" s="670"/>
      <c r="B332" s="436"/>
      <c r="D332" s="670"/>
      <c r="E332" s="670"/>
    </row>
    <row r="333" spans="1:5" s="442" customFormat="1">
      <c r="A333" s="670"/>
      <c r="B333" s="436"/>
      <c r="D333" s="670"/>
      <c r="E333" s="670"/>
    </row>
    <row r="334" spans="1:5" s="442" customFormat="1">
      <c r="A334" s="670"/>
      <c r="B334" s="436"/>
      <c r="D334" s="670"/>
      <c r="E334" s="670"/>
    </row>
    <row r="335" spans="1:5" s="442" customFormat="1">
      <c r="A335" s="670"/>
      <c r="B335" s="436"/>
      <c r="D335" s="670"/>
      <c r="E335" s="670"/>
    </row>
    <row r="336" spans="1:5" s="442" customFormat="1">
      <c r="A336" s="670"/>
      <c r="B336" s="436"/>
      <c r="D336" s="670"/>
      <c r="E336" s="670"/>
    </row>
    <row r="337" spans="1:5" s="442" customFormat="1">
      <c r="A337" s="670"/>
      <c r="B337" s="436"/>
      <c r="D337" s="670"/>
      <c r="E337" s="670"/>
    </row>
    <row r="338" spans="1:5" s="442" customFormat="1">
      <c r="A338" s="670"/>
      <c r="B338" s="436"/>
      <c r="D338" s="670"/>
      <c r="E338" s="670"/>
    </row>
    <row r="339" spans="1:5" s="442" customFormat="1">
      <c r="A339" s="670"/>
      <c r="B339" s="436"/>
      <c r="D339" s="670"/>
      <c r="E339" s="670"/>
    </row>
  </sheetData>
  <autoFilter ref="B3:D158" xr:uid="{00000000-0009-0000-0000-000004000000}"/>
  <mergeCells count="3">
    <mergeCell ref="A4:A26"/>
    <mergeCell ref="A27:A59"/>
    <mergeCell ref="A60:A15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L34"/>
  <sheetViews>
    <sheetView topLeftCell="B1" workbookViewId="0">
      <selection activeCell="K26" sqref="K26"/>
    </sheetView>
  </sheetViews>
  <sheetFormatPr baseColWidth="10" defaultColWidth="11.42578125" defaultRowHeight="12.75"/>
  <cols>
    <col min="1" max="1" width="20" style="246" bestFit="1" customWidth="1"/>
    <col min="2" max="6" width="11.42578125" style="246"/>
    <col min="7" max="7" width="17.28515625" style="246" customWidth="1"/>
    <col min="8" max="8" width="14.85546875" style="246" bestFit="1" customWidth="1"/>
    <col min="9" max="10" width="11.42578125" style="246"/>
    <col min="11" max="11" width="16.7109375" style="246" customWidth="1"/>
    <col min="12" max="12" width="14.85546875" style="246" bestFit="1" customWidth="1"/>
    <col min="13" max="16384" width="11.42578125" style="246"/>
  </cols>
  <sheetData>
    <row r="1" spans="1:12">
      <c r="A1" s="951" t="s">
        <v>270</v>
      </c>
      <c r="B1" s="951"/>
      <c r="F1" s="486" t="s">
        <v>584</v>
      </c>
      <c r="G1" s="487"/>
      <c r="H1" s="488"/>
      <c r="J1" s="493" t="s">
        <v>584</v>
      </c>
      <c r="K1" s="494"/>
      <c r="L1" s="494"/>
    </row>
    <row r="2" spans="1:12" ht="25.5">
      <c r="F2" s="489" t="s">
        <v>585</v>
      </c>
      <c r="G2" s="485" t="s">
        <v>586</v>
      </c>
      <c r="H2" s="485" t="s">
        <v>587</v>
      </c>
      <c r="J2" s="489" t="s">
        <v>585</v>
      </c>
      <c r="K2" s="495" t="s">
        <v>588</v>
      </c>
      <c r="L2" s="495" t="s">
        <v>587</v>
      </c>
    </row>
    <row r="3" spans="1:12">
      <c r="A3" s="246" t="s">
        <v>300</v>
      </c>
      <c r="B3" s="246">
        <v>0.92</v>
      </c>
      <c r="F3" s="490">
        <v>9</v>
      </c>
      <c r="G3" s="491">
        <v>146334.31228261493</v>
      </c>
      <c r="H3" s="492">
        <v>258426.39549109797</v>
      </c>
      <c r="J3" s="496">
        <v>6</v>
      </c>
      <c r="K3" s="492">
        <v>132650.28</v>
      </c>
      <c r="L3" s="492">
        <v>234260.39447999999</v>
      </c>
    </row>
    <row r="4" spans="1:12">
      <c r="A4" s="246" t="s">
        <v>301</v>
      </c>
      <c r="B4" s="246">
        <v>1.06</v>
      </c>
      <c r="F4" s="490">
        <v>12</v>
      </c>
      <c r="G4" s="491">
        <v>151762.46468843042</v>
      </c>
      <c r="H4" s="492">
        <v>268012.51263976813</v>
      </c>
      <c r="J4" s="490">
        <v>9</v>
      </c>
      <c r="K4" s="492">
        <v>138078.42000000001</v>
      </c>
      <c r="L4" s="492">
        <v>243846.48972000001</v>
      </c>
    </row>
    <row r="5" spans="1:12">
      <c r="A5" s="246" t="s">
        <v>302</v>
      </c>
      <c r="B5" s="246">
        <v>1.02</v>
      </c>
      <c r="F5" s="490">
        <v>15</v>
      </c>
      <c r="G5" s="491">
        <v>157190.61709424594</v>
      </c>
      <c r="H5" s="492">
        <v>277598.62978843832</v>
      </c>
      <c r="J5" s="490">
        <v>12</v>
      </c>
      <c r="K5" s="492">
        <v>143506.56</v>
      </c>
      <c r="L5" s="492">
        <v>253432.58496000001</v>
      </c>
    </row>
    <row r="6" spans="1:12">
      <c r="A6" s="246" t="s">
        <v>303</v>
      </c>
      <c r="B6" s="246">
        <v>1.41</v>
      </c>
      <c r="F6" s="490">
        <v>16</v>
      </c>
      <c r="G6" s="491">
        <v>159000.00122951777</v>
      </c>
      <c r="H6" s="492">
        <v>280794.00217132841</v>
      </c>
      <c r="J6" s="490">
        <v>15</v>
      </c>
      <c r="K6" s="492">
        <v>148934.70000000001</v>
      </c>
      <c r="L6" s="492">
        <v>263018.6802</v>
      </c>
    </row>
    <row r="7" spans="1:12">
      <c r="A7" s="246" t="s">
        <v>304</v>
      </c>
      <c r="B7" s="246">
        <v>1.41</v>
      </c>
      <c r="F7" s="490">
        <v>17</v>
      </c>
      <c r="G7" s="491">
        <v>160809.3853647896</v>
      </c>
      <c r="H7" s="492">
        <v>283989.37455421843</v>
      </c>
      <c r="J7" s="490">
        <v>16</v>
      </c>
      <c r="K7" s="492">
        <v>150744.08000000002</v>
      </c>
      <c r="L7" s="492">
        <v>266214.04528000002</v>
      </c>
    </row>
    <row r="8" spans="1:12">
      <c r="F8" s="490">
        <v>18</v>
      </c>
      <c r="G8" s="491">
        <v>162618.76950006143</v>
      </c>
      <c r="H8" s="492">
        <v>287184.74693710852</v>
      </c>
      <c r="J8" s="490">
        <v>17</v>
      </c>
      <c r="K8" s="492">
        <v>152553.46</v>
      </c>
      <c r="L8" s="492">
        <v>269409.41035999998</v>
      </c>
    </row>
    <row r="9" spans="1:12">
      <c r="F9" s="490">
        <v>19</v>
      </c>
      <c r="G9" s="491">
        <v>164428.15363533326</v>
      </c>
      <c r="H9" s="492">
        <v>290380.11931999854</v>
      </c>
      <c r="J9" s="490">
        <v>18</v>
      </c>
      <c r="K9" s="492">
        <v>154362.84</v>
      </c>
      <c r="L9" s="492">
        <v>272604.77544</v>
      </c>
    </row>
    <row r="10" spans="1:12">
      <c r="F10" s="490">
        <v>21</v>
      </c>
      <c r="G10" s="491">
        <v>168046.92190587695</v>
      </c>
      <c r="H10" s="492">
        <v>296770.86408577871</v>
      </c>
      <c r="J10" s="490">
        <v>19</v>
      </c>
      <c r="K10" s="492">
        <v>156172.22</v>
      </c>
      <c r="L10" s="492">
        <v>275800.14052000002</v>
      </c>
    </row>
    <row r="11" spans="1:12">
      <c r="F11" s="490">
        <v>24</v>
      </c>
      <c r="G11" s="491">
        <v>173475.07431169244</v>
      </c>
      <c r="H11" s="492">
        <v>306356.98123444885</v>
      </c>
      <c r="J11" s="490">
        <v>21</v>
      </c>
      <c r="K11" s="492">
        <v>159790.98000000001</v>
      </c>
      <c r="L11" s="492">
        <v>282190.87067999999</v>
      </c>
    </row>
    <row r="12" spans="1:12">
      <c r="J12" s="490">
        <v>24</v>
      </c>
      <c r="K12" s="492">
        <v>165219.12</v>
      </c>
      <c r="L12" s="492">
        <v>291776.96591999999</v>
      </c>
    </row>
    <row r="15" spans="1:12">
      <c r="F15" s="247" t="s">
        <v>687</v>
      </c>
      <c r="J15" s="247" t="s">
        <v>688</v>
      </c>
    </row>
    <row r="16" spans="1:12" ht="15">
      <c r="F16" s="660">
        <v>9</v>
      </c>
      <c r="G16" s="659">
        <v>9</v>
      </c>
      <c r="J16" s="661">
        <v>6</v>
      </c>
      <c r="K16" s="659">
        <v>6</v>
      </c>
    </row>
    <row r="17" spans="6:11">
      <c r="F17" s="659">
        <v>10</v>
      </c>
      <c r="G17" s="659">
        <v>12</v>
      </c>
      <c r="J17" s="659">
        <v>7</v>
      </c>
      <c r="K17" s="659">
        <v>9</v>
      </c>
    </row>
    <row r="18" spans="6:11">
      <c r="F18" s="659">
        <v>11</v>
      </c>
      <c r="G18" s="659">
        <v>12</v>
      </c>
      <c r="J18" s="659">
        <v>8</v>
      </c>
      <c r="K18" s="659">
        <v>9</v>
      </c>
    </row>
    <row r="19" spans="6:11" ht="15">
      <c r="F19" s="660">
        <v>12</v>
      </c>
      <c r="G19" s="659">
        <v>12</v>
      </c>
      <c r="J19" s="660">
        <v>9</v>
      </c>
      <c r="K19" s="659">
        <v>9</v>
      </c>
    </row>
    <row r="20" spans="6:11">
      <c r="F20" s="490">
        <v>13</v>
      </c>
      <c r="G20" s="659">
        <v>15</v>
      </c>
      <c r="J20" s="659">
        <v>10</v>
      </c>
      <c r="K20" s="659">
        <v>12</v>
      </c>
    </row>
    <row r="21" spans="6:11">
      <c r="F21" s="490">
        <v>14</v>
      </c>
      <c r="G21" s="659">
        <v>15</v>
      </c>
      <c r="J21" s="659">
        <v>11</v>
      </c>
      <c r="K21" s="659">
        <v>12</v>
      </c>
    </row>
    <row r="22" spans="6:11" ht="15">
      <c r="F22" s="660">
        <v>15</v>
      </c>
      <c r="G22" s="659">
        <v>15</v>
      </c>
      <c r="J22" s="660">
        <v>12</v>
      </c>
      <c r="K22" s="659">
        <v>12</v>
      </c>
    </row>
    <row r="23" spans="6:11" ht="15">
      <c r="F23" s="660">
        <v>16</v>
      </c>
      <c r="G23" s="659">
        <v>16</v>
      </c>
      <c r="J23" s="659">
        <v>13</v>
      </c>
      <c r="K23" s="659">
        <v>15</v>
      </c>
    </row>
    <row r="24" spans="6:11" ht="15">
      <c r="F24" s="660">
        <v>17</v>
      </c>
      <c r="G24" s="659">
        <v>17</v>
      </c>
      <c r="J24" s="659">
        <v>14</v>
      </c>
      <c r="K24" s="659">
        <v>15</v>
      </c>
    </row>
    <row r="25" spans="6:11" ht="15">
      <c r="F25" s="660">
        <v>18</v>
      </c>
      <c r="G25" s="659">
        <v>18</v>
      </c>
      <c r="J25" s="660">
        <v>15</v>
      </c>
      <c r="K25" s="659">
        <v>15</v>
      </c>
    </row>
    <row r="26" spans="6:11" ht="15">
      <c r="F26" s="660">
        <v>19</v>
      </c>
      <c r="G26" s="659">
        <v>19</v>
      </c>
      <c r="J26" s="660">
        <v>16</v>
      </c>
      <c r="K26" s="659">
        <v>16</v>
      </c>
    </row>
    <row r="27" spans="6:11" ht="15">
      <c r="F27" s="490">
        <v>20</v>
      </c>
      <c r="G27" s="659">
        <v>21</v>
      </c>
      <c r="J27" s="660">
        <v>17</v>
      </c>
      <c r="K27" s="659">
        <v>17</v>
      </c>
    </row>
    <row r="28" spans="6:11" ht="15">
      <c r="F28" s="660">
        <v>21</v>
      </c>
      <c r="G28" s="659">
        <v>21</v>
      </c>
      <c r="J28" s="660">
        <v>18</v>
      </c>
      <c r="K28" s="659">
        <v>18</v>
      </c>
    </row>
    <row r="29" spans="6:11" ht="15">
      <c r="F29" s="490">
        <v>22</v>
      </c>
      <c r="G29" s="659">
        <v>24</v>
      </c>
      <c r="J29" s="660">
        <v>19</v>
      </c>
      <c r="K29" s="659">
        <v>19</v>
      </c>
    </row>
    <row r="30" spans="6:11">
      <c r="F30" s="490">
        <v>23</v>
      </c>
      <c r="G30" s="659">
        <v>24</v>
      </c>
      <c r="J30" s="659">
        <v>20</v>
      </c>
      <c r="K30" s="659">
        <v>21</v>
      </c>
    </row>
    <row r="31" spans="6:11" ht="15">
      <c r="F31" s="660">
        <v>24</v>
      </c>
      <c r="G31" s="659">
        <v>24</v>
      </c>
      <c r="J31" s="660">
        <v>21</v>
      </c>
      <c r="K31" s="659">
        <v>21</v>
      </c>
    </row>
    <row r="32" spans="6:11">
      <c r="J32" s="659">
        <v>22</v>
      </c>
      <c r="K32" s="659">
        <v>24</v>
      </c>
    </row>
    <row r="33" spans="10:11">
      <c r="J33" s="659">
        <v>23</v>
      </c>
      <c r="K33" s="659">
        <v>24</v>
      </c>
    </row>
    <row r="34" spans="10:11" ht="15">
      <c r="J34" s="660">
        <v>24</v>
      </c>
      <c r="K34" s="659">
        <v>24</v>
      </c>
    </row>
  </sheetData>
  <mergeCells count="1">
    <mergeCell ref="A1:B1"/>
  </mergeCells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B1:Q160"/>
  <sheetViews>
    <sheetView topLeftCell="B1" workbookViewId="0">
      <pane xSplit="3" ySplit="2" topLeftCell="E3" activePane="bottomRight" state="frozen"/>
      <selection activeCell="B1" sqref="B1"/>
      <selection pane="topRight" activeCell="E1" sqref="E1"/>
      <selection pane="bottomLeft" activeCell="B3" sqref="B3"/>
      <selection pane="bottomRight" activeCell="E3" sqref="E3"/>
    </sheetView>
  </sheetViews>
  <sheetFormatPr baseColWidth="10" defaultColWidth="11.42578125" defaultRowHeight="14.25"/>
  <cols>
    <col min="1" max="2" width="11.42578125" style="375"/>
    <col min="3" max="3" width="28.7109375" style="375" bestFit="1" customWidth="1"/>
    <col min="4" max="4" width="37.42578125" style="375" bestFit="1" customWidth="1"/>
    <col min="5" max="5" width="17.140625" style="375" customWidth="1"/>
    <col min="6" max="6" width="20.140625" style="375" customWidth="1"/>
    <col min="7" max="9" width="19.7109375" style="375" customWidth="1"/>
    <col min="10" max="10" width="21.85546875" style="375" customWidth="1"/>
    <col min="11" max="11" width="32.42578125" style="375" bestFit="1" customWidth="1"/>
    <col min="12" max="12" width="24.42578125" style="375" customWidth="1"/>
    <col min="13" max="13" width="25" style="375" customWidth="1"/>
    <col min="14" max="15" width="21.42578125" style="375" customWidth="1"/>
    <col min="16" max="16" width="22.140625" style="375" customWidth="1"/>
    <col min="17" max="17" width="23.140625" style="375" customWidth="1"/>
    <col min="18" max="16384" width="11.42578125" style="375"/>
  </cols>
  <sheetData>
    <row r="1" spans="2:17" ht="15.75">
      <c r="B1" s="389">
        <v>1</v>
      </c>
      <c r="C1" s="389">
        <v>2</v>
      </c>
      <c r="D1" s="389">
        <v>3</v>
      </c>
      <c r="E1" s="389">
        <v>4</v>
      </c>
      <c r="F1" s="389">
        <v>5</v>
      </c>
      <c r="G1" s="389">
        <v>6</v>
      </c>
      <c r="H1" s="389">
        <v>7</v>
      </c>
      <c r="I1" s="389">
        <v>8</v>
      </c>
      <c r="J1" s="389">
        <v>9</v>
      </c>
      <c r="K1" s="389">
        <v>10</v>
      </c>
      <c r="L1" s="389">
        <v>11</v>
      </c>
      <c r="M1" s="389">
        <v>12</v>
      </c>
      <c r="N1" s="389">
        <v>13</v>
      </c>
      <c r="O1" s="389">
        <v>14</v>
      </c>
      <c r="P1" s="389">
        <v>15</v>
      </c>
      <c r="Q1" s="389">
        <v>16</v>
      </c>
    </row>
    <row r="2" spans="2:17" ht="75">
      <c r="B2" s="372" t="s">
        <v>314</v>
      </c>
      <c r="C2" s="372" t="s">
        <v>315</v>
      </c>
      <c r="D2" s="372" t="s">
        <v>22</v>
      </c>
      <c r="E2" s="373" t="s">
        <v>316</v>
      </c>
      <c r="F2" s="374" t="s">
        <v>317</v>
      </c>
      <c r="G2" s="770" t="s">
        <v>318</v>
      </c>
      <c r="H2" s="774" t="s">
        <v>319</v>
      </c>
      <c r="I2" s="770" t="s">
        <v>320</v>
      </c>
      <c r="J2" s="774" t="s">
        <v>321</v>
      </c>
      <c r="K2" s="374" t="s">
        <v>322</v>
      </c>
      <c r="L2" s="869" t="s">
        <v>323</v>
      </c>
      <c r="M2" s="870" t="s">
        <v>324</v>
      </c>
      <c r="N2" s="770" t="s">
        <v>325</v>
      </c>
      <c r="O2" s="774" t="s">
        <v>326</v>
      </c>
      <c r="P2" s="770" t="s">
        <v>327</v>
      </c>
      <c r="Q2" s="774" t="s">
        <v>328</v>
      </c>
    </row>
    <row r="3" spans="2:17" ht="15">
      <c r="B3" s="376">
        <v>136</v>
      </c>
      <c r="C3" s="377" t="s">
        <v>53</v>
      </c>
      <c r="D3" s="377" t="s">
        <v>53</v>
      </c>
      <c r="E3" s="378">
        <v>2993.4783977671232</v>
      </c>
      <c r="F3" s="378">
        <v>6489.553840549479</v>
      </c>
      <c r="G3" s="379">
        <f>IF(F3&lt;15,MROUND((24249*F3)+173236,100),IF(F3&lt;350,MROUND((63052*F3+1000000+449307*LN(F3)-482686+(4660.55*F3)+139342+815000),1000),MROUND((63052*F3+1000000+449307*LN(F3)-482686+(4660.55*F3)+139342+1345000),1000)))</f>
        <v>445370000</v>
      </c>
      <c r="H3" s="773">
        <f t="shared" ref="H3:H34" si="0">IF(F3&lt;15,MROUND((229.67*(F3^2))+(2781.9*F3)+17618,10),MROUND((2012.4*(F3)^-0.865*F3)*365-J3,10))</f>
        <v>753420</v>
      </c>
      <c r="I3" s="381">
        <f t="shared" ref="I3:I34" si="1">IF(E3&lt;=7,193620,MROUND((0.0065*E3+0.8472)*1000000,100))</f>
        <v>20304800</v>
      </c>
      <c r="J3" s="380">
        <f>IF(E3&lt;=7,14085.034,IF(E3&lt;=28,MROUND(21426*E3,10),MROUND((353.75*E3+590095),10)))</f>
        <v>1649040</v>
      </c>
      <c r="K3" s="377" t="s">
        <v>329</v>
      </c>
      <c r="L3" s="382">
        <f>IF(K3="Independiente",Tabla13[[#This Row],[Ingreso a Planta de separación en año 10 (con turismo) (T/día)]],SUMIFS(Tabla13[Ingreso a Planta de separación en año 10 (con turismo) (T/día)],$K$3:$K$156,K3))</f>
        <v>8280.2050877671209</v>
      </c>
      <c r="M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Propuesta],K3))</f>
        <v>17943.612414505478</v>
      </c>
      <c r="N3" s="379">
        <f>IF(M3&lt;15,MROUND((24249*M3)+173236,100),IF(M3&lt;350,MROUND((63052*M3+1000000+449307*LN(M3)-482686+(4660.55*M3)+139342+815000),1000),MROUND((63052*M3+1000000+449307*LN(M3)-482686+(4660.55*M3)+139342+1345000),1000)))</f>
        <v>1221410000</v>
      </c>
      <c r="O3" s="380">
        <f t="shared" ref="O3:O34" si="2">IF(M3&lt;15,MROUND((229.67*(M3^2))+(2781.9*M3)+17618,10),MROUND((2012.4*(M3)^-0.865*M3)*365-Q3,10))</f>
        <v>475480</v>
      </c>
      <c r="P3" s="381">
        <f>IF(L3&lt;=7,193620,MROUND((0.0065*L3+0.8472)*1000000,100))</f>
        <v>54668500</v>
      </c>
      <c r="Q3" s="868">
        <v>2280560</v>
      </c>
    </row>
    <row r="4" spans="2:17" ht="15">
      <c r="B4" s="376">
        <v>11</v>
      </c>
      <c r="C4" s="377" t="s">
        <v>96</v>
      </c>
      <c r="D4" s="377" t="s">
        <v>348</v>
      </c>
      <c r="E4" s="378">
        <v>1260.7952805</v>
      </c>
      <c r="F4" s="378">
        <v>2728.184220096</v>
      </c>
      <c r="G4" s="379">
        <f t="shared" ref="G4:G67" si="3">IF(F4&lt;15,MROUND((24249*F4)+173236,100),IF(F4&lt;350,MROUND((63052*F4+1000000+449307*LN(F4)-482686+(4660.55*F4)+139342+815000),1000),MROUND((63052*F4+1000000+449307*LN(F4)-482686+(4660.55*F4)+139342+1345000),1000)))</f>
        <v>190289000</v>
      </c>
      <c r="H4" s="773">
        <f t="shared" si="0"/>
        <v>1101120</v>
      </c>
      <c r="I4" s="381">
        <f t="shared" si="1"/>
        <v>9042400</v>
      </c>
      <c r="J4" s="380">
        <f t="shared" ref="J4:J67" si="4">IF(E4&lt;=7,14085.034,IF(E4&lt;=28,MROUND(21426*E4,10),MROUND((353.75*E4+590095),10)))</f>
        <v>1036100</v>
      </c>
      <c r="K4" s="377" t="s">
        <v>349</v>
      </c>
      <c r="L4" s="382">
        <f>IF(K4="Independiente",Tabla13[[#This Row],[Ingreso a Planta de separación en año 10 (con turismo) (T/día)]],SUMIFS(Tabla13[Ingreso a Planta de separación en año 10 (con turismo) (T/día)],$K$3:$K$156,K4))</f>
        <v>1260.7952805</v>
      </c>
      <c r="M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Propuesta],K4))</f>
        <v>2728.184220096</v>
      </c>
      <c r="N4" s="379">
        <f t="shared" ref="N4:N67" si="5">IF(M4&lt;15,MROUND((24249*M4)+173236,100),IF(M4&lt;350,MROUND((63052*M4+1000000+449307*LN(M4)-482686+(4660.55*M4)+139342+815000),1000),MROUND((63052*M4+1000000+449307*LN(M4)-482686+(4660.55*M4)+139342+1345000),1000)))</f>
        <v>190289000</v>
      </c>
      <c r="O4" s="380">
        <f t="shared" si="2"/>
        <v>1101120</v>
      </c>
      <c r="P4" s="381">
        <f t="shared" ref="P4:P67" si="6">IF(L4&lt;=7,193620,MROUND((0.0065*L4+0.8472)*1000000,100))</f>
        <v>9042400</v>
      </c>
      <c r="Q4" s="380">
        <f>IF(L4&lt;=10,14085.034,IF(L4&lt;=28,MROUND(21426*L4,10),MROUND((353.75*L4+590095),10)))</f>
        <v>1036100</v>
      </c>
    </row>
    <row r="5" spans="2:17" ht="15">
      <c r="B5" s="383">
        <v>82</v>
      </c>
      <c r="C5" s="384" t="s">
        <v>180</v>
      </c>
      <c r="D5" s="384" t="s">
        <v>350</v>
      </c>
      <c r="E5" s="385">
        <v>419.56876499999993</v>
      </c>
      <c r="F5" s="385">
        <v>909.68263082399994</v>
      </c>
      <c r="G5" s="379">
        <f t="shared" si="3"/>
        <v>66660000</v>
      </c>
      <c r="H5" s="773">
        <f t="shared" si="0"/>
        <v>1104190</v>
      </c>
      <c r="I5" s="381">
        <f t="shared" si="1"/>
        <v>3574400</v>
      </c>
      <c r="J5" s="380">
        <f t="shared" si="4"/>
        <v>738520</v>
      </c>
      <c r="K5" s="384" t="s">
        <v>351</v>
      </c>
      <c r="L5" s="382">
        <f>IF(K5="Independiente",Tabla13[[#This Row],[Ingreso a Planta de separación en año 10 (con turismo) (T/día)]],SUMIFS(Tabla13[Ingreso a Planta de separación en año 10 (con turismo) (T/día)],$K$3:$K$156,K5))</f>
        <v>489.52852199999995</v>
      </c>
      <c r="M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Propuesta],K5))</f>
        <v>1061.2251288319999</v>
      </c>
      <c r="N5" s="379">
        <f t="shared" si="5"/>
        <v>76990000</v>
      </c>
      <c r="O5" s="380">
        <f t="shared" si="2"/>
        <v>1118170</v>
      </c>
      <c r="P5" s="381">
        <f t="shared" si="6"/>
        <v>4029100</v>
      </c>
      <c r="Q5" s="380">
        <f>IF(L5&lt;=10,14085.034,IF(L5&lt;=28,MROUND(21426*L5,10),MROUND((353.75*L5+590095),10)))</f>
        <v>763270</v>
      </c>
    </row>
    <row r="6" spans="2:17" ht="15">
      <c r="B6" s="376">
        <v>73</v>
      </c>
      <c r="C6" s="377" t="s">
        <v>40</v>
      </c>
      <c r="D6" s="377" t="s">
        <v>355</v>
      </c>
      <c r="E6" s="378">
        <v>389.90492148904104</v>
      </c>
      <c r="F6" s="378">
        <v>844.1577249148603</v>
      </c>
      <c r="G6" s="379">
        <f t="shared" si="3"/>
        <v>62189000</v>
      </c>
      <c r="H6" s="773">
        <f t="shared" si="0"/>
        <v>1096190</v>
      </c>
      <c r="I6" s="381">
        <f t="shared" si="1"/>
        <v>3381600</v>
      </c>
      <c r="J6" s="380">
        <f t="shared" si="4"/>
        <v>728020</v>
      </c>
      <c r="K6" s="377" t="s">
        <v>356</v>
      </c>
      <c r="L6" s="382">
        <f>IF(K6="Independiente",Tabla13[[#This Row],[Ingreso a Planta de separación en año 10 (con turismo) (T/día)]],SUMIFS(Tabla13[Ingreso a Planta de separación en año 10 (con turismo) (T/día)],$K$3:$K$156,K6))</f>
        <v>413.98282689726022</v>
      </c>
      <c r="M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Propuesta],K6))</f>
        <v>896.25069932242195</v>
      </c>
      <c r="N6" s="379">
        <f t="shared" si="5"/>
        <v>65744000</v>
      </c>
      <c r="O6" s="380">
        <f t="shared" si="2"/>
        <v>1102470</v>
      </c>
      <c r="P6" s="381">
        <f t="shared" si="6"/>
        <v>3538100</v>
      </c>
      <c r="Q6" s="380">
        <f>IF(L6&lt;=10,14085.034,IF(L6&lt;=28,MROUND(21426*L6,10),MROUND((353.75*L6+590095),10)))</f>
        <v>736540</v>
      </c>
    </row>
    <row r="7" spans="2:17" ht="15">
      <c r="B7" s="383">
        <v>13</v>
      </c>
      <c r="C7" s="384" t="s">
        <v>98</v>
      </c>
      <c r="D7" s="384" t="s">
        <v>330</v>
      </c>
      <c r="E7" s="385">
        <v>367.94619749999993</v>
      </c>
      <c r="F7" s="385">
        <v>797.72263888800001</v>
      </c>
      <c r="G7" s="379">
        <f t="shared" si="3"/>
        <v>59020000</v>
      </c>
      <c r="H7" s="773">
        <f t="shared" si="0"/>
        <v>1090070</v>
      </c>
      <c r="I7" s="381">
        <f t="shared" si="1"/>
        <v>3238900</v>
      </c>
      <c r="J7" s="380">
        <f t="shared" si="4"/>
        <v>720260</v>
      </c>
      <c r="K7" s="384" t="s">
        <v>329</v>
      </c>
      <c r="L7" s="382">
        <f>IF(K7="Independiente",Tabla13[[#This Row],[Ingreso a Planta de separación en año 10 (con turismo) (T/día)]],SUMIFS(Tabla13[Ingreso a Planta de separación en año 10 (con turismo) (T/día)],$K$3:$K$156,K7))</f>
        <v>8280.2050877671209</v>
      </c>
      <c r="M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Propuesta],K7))</f>
        <v>17943.612414505478</v>
      </c>
      <c r="N7" s="379">
        <f t="shared" si="5"/>
        <v>1221410000</v>
      </c>
      <c r="O7" s="380">
        <f t="shared" si="2"/>
        <v>475480</v>
      </c>
      <c r="P7" s="381">
        <f t="shared" si="6"/>
        <v>54668500</v>
      </c>
      <c r="Q7" s="868">
        <v>2280560</v>
      </c>
    </row>
    <row r="8" spans="2:17" ht="15">
      <c r="B8" s="383">
        <v>16</v>
      </c>
      <c r="C8" s="384" t="s">
        <v>101</v>
      </c>
      <c r="D8" s="384" t="s">
        <v>331</v>
      </c>
      <c r="E8" s="385">
        <v>364.58694299999996</v>
      </c>
      <c r="F8" s="385">
        <v>794.70741536399998</v>
      </c>
      <c r="G8" s="379">
        <f t="shared" si="3"/>
        <v>58814000</v>
      </c>
      <c r="H8" s="773">
        <f t="shared" si="0"/>
        <v>1090330</v>
      </c>
      <c r="I8" s="381">
        <f t="shared" si="1"/>
        <v>3217000</v>
      </c>
      <c r="J8" s="380">
        <f t="shared" si="4"/>
        <v>719070</v>
      </c>
      <c r="K8" s="384" t="s">
        <v>329</v>
      </c>
      <c r="L8" s="382">
        <f>IF(K8="Independiente",Tabla13[[#This Row],[Ingreso a Planta de separación en año 10 (con turismo) (T/día)]],SUMIFS(Tabla13[Ingreso a Planta de separación en año 10 (con turismo) (T/día)],$K$3:$K$156,K8))</f>
        <v>8280.2050877671209</v>
      </c>
      <c r="M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Propuesta],K8))</f>
        <v>17943.612414505478</v>
      </c>
      <c r="N8" s="379">
        <f t="shared" si="5"/>
        <v>1221410000</v>
      </c>
      <c r="O8" s="380">
        <f t="shared" si="2"/>
        <v>475480</v>
      </c>
      <c r="P8" s="381">
        <f t="shared" si="6"/>
        <v>54668500</v>
      </c>
      <c r="Q8" s="868">
        <v>2280560</v>
      </c>
    </row>
    <row r="9" spans="2:17" ht="15">
      <c r="B9" s="383">
        <v>15</v>
      </c>
      <c r="C9" s="384" t="s">
        <v>100</v>
      </c>
      <c r="D9" s="384" t="s">
        <v>332</v>
      </c>
      <c r="E9" s="385">
        <v>351.85661699999997</v>
      </c>
      <c r="F9" s="385">
        <v>761.14471555199987</v>
      </c>
      <c r="G9" s="379">
        <f t="shared" si="3"/>
        <v>56522000</v>
      </c>
      <c r="H9" s="773">
        <f t="shared" si="0"/>
        <v>1084330</v>
      </c>
      <c r="I9" s="381">
        <f t="shared" si="1"/>
        <v>3134300</v>
      </c>
      <c r="J9" s="380">
        <f t="shared" si="4"/>
        <v>714560</v>
      </c>
      <c r="K9" s="384" t="s">
        <v>329</v>
      </c>
      <c r="L9" s="382">
        <f>IF(K9="Independiente",Tabla13[[#This Row],[Ingreso a Planta de separación en año 10 (con turismo) (T/día)]],SUMIFS(Tabla13[Ingreso a Planta de separación en año 10 (con turismo) (T/día)],$K$3:$K$156,K9))</f>
        <v>8280.2050877671209</v>
      </c>
      <c r="M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Propuesta],K9))</f>
        <v>17943.612414505478</v>
      </c>
      <c r="N9" s="379">
        <f t="shared" si="5"/>
        <v>1221410000</v>
      </c>
      <c r="O9" s="380">
        <f t="shared" si="2"/>
        <v>475480</v>
      </c>
      <c r="P9" s="381">
        <f t="shared" si="6"/>
        <v>54668500</v>
      </c>
      <c r="Q9" s="868">
        <v>2280560</v>
      </c>
    </row>
    <row r="10" spans="2:17" ht="15">
      <c r="B10" s="383">
        <v>18</v>
      </c>
      <c r="C10" s="384" t="s">
        <v>103</v>
      </c>
      <c r="D10" s="384" t="s">
        <v>333</v>
      </c>
      <c r="E10" s="385">
        <v>344.65398449999998</v>
      </c>
      <c r="F10" s="385">
        <v>746.03425653599993</v>
      </c>
      <c r="G10" s="379">
        <f t="shared" si="3"/>
        <v>55490000</v>
      </c>
      <c r="H10" s="773">
        <f t="shared" si="0"/>
        <v>1082010</v>
      </c>
      <c r="I10" s="381">
        <f t="shared" si="1"/>
        <v>3087500</v>
      </c>
      <c r="J10" s="380">
        <f t="shared" si="4"/>
        <v>712020</v>
      </c>
      <c r="K10" s="384" t="s">
        <v>329</v>
      </c>
      <c r="L10" s="382">
        <f>IF(K10="Independiente",Tabla13[[#This Row],[Ingreso a Planta de separación en año 10 (con turismo) (T/día)]],SUMIFS(Tabla13[Ingreso a Planta de separación en año 10 (con turismo) (T/día)],$K$3:$K$156,K10))</f>
        <v>8280.2050877671209</v>
      </c>
      <c r="M1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Propuesta],K10))</f>
        <v>17943.612414505478</v>
      </c>
      <c r="N10" s="379">
        <f t="shared" si="5"/>
        <v>1221410000</v>
      </c>
      <c r="O10" s="380">
        <f t="shared" si="2"/>
        <v>475480</v>
      </c>
      <c r="P10" s="381">
        <f t="shared" si="6"/>
        <v>54668500</v>
      </c>
      <c r="Q10" s="868">
        <v>2280560</v>
      </c>
    </row>
    <row r="11" spans="2:17" ht="15">
      <c r="B11" s="383">
        <v>1</v>
      </c>
      <c r="C11" s="384" t="s">
        <v>83</v>
      </c>
      <c r="D11" s="384" t="s">
        <v>334</v>
      </c>
      <c r="E11" s="385">
        <v>333.27091349999995</v>
      </c>
      <c r="F11" s="385">
        <v>721.59615176400007</v>
      </c>
      <c r="G11" s="379">
        <f t="shared" si="3"/>
        <v>53820000</v>
      </c>
      <c r="H11" s="773">
        <f t="shared" si="0"/>
        <v>1077990</v>
      </c>
      <c r="I11" s="381">
        <f t="shared" si="1"/>
        <v>3013500</v>
      </c>
      <c r="J11" s="380">
        <f t="shared" si="4"/>
        <v>707990</v>
      </c>
      <c r="K11" s="384" t="s">
        <v>329</v>
      </c>
      <c r="L11" s="382">
        <f>IF(K11="Independiente",Tabla13[[#This Row],[Ingreso a Planta de separación en año 10 (con turismo) (T/día)]],SUMIFS(Tabla13[Ingreso a Planta de separación en año 10 (con turismo) (T/día)],$K$3:$K$156,K11))</f>
        <v>8280.2050877671209</v>
      </c>
      <c r="M1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Propuesta],K11))</f>
        <v>17943.612414505478</v>
      </c>
      <c r="N11" s="379">
        <f t="shared" si="5"/>
        <v>1221410000</v>
      </c>
      <c r="O11" s="380">
        <f t="shared" si="2"/>
        <v>475480</v>
      </c>
      <c r="P11" s="381">
        <f t="shared" si="6"/>
        <v>54668500</v>
      </c>
      <c r="Q11" s="868">
        <v>2280560</v>
      </c>
    </row>
    <row r="12" spans="2:17" ht="15">
      <c r="B12" s="383">
        <v>6</v>
      </c>
      <c r="C12" s="384" t="s">
        <v>91</v>
      </c>
      <c r="D12" s="384" t="s">
        <v>335</v>
      </c>
      <c r="E12" s="385">
        <v>324.57840449999998</v>
      </c>
      <c r="F12" s="385">
        <v>702.3923471280001</v>
      </c>
      <c r="G12" s="379">
        <f t="shared" si="3"/>
        <v>52507000</v>
      </c>
      <c r="H12" s="773">
        <f t="shared" si="0"/>
        <v>1074580</v>
      </c>
      <c r="I12" s="381">
        <f t="shared" si="1"/>
        <v>2957000</v>
      </c>
      <c r="J12" s="380">
        <f t="shared" si="4"/>
        <v>704910</v>
      </c>
      <c r="K12" s="384" t="s">
        <v>329</v>
      </c>
      <c r="L12" s="382">
        <f>IF(K12="Independiente",Tabla13[[#This Row],[Ingreso a Planta de separación en año 10 (con turismo) (T/día)]],SUMIFS(Tabla13[Ingreso a Planta de separación en año 10 (con turismo) (T/día)],$K$3:$K$156,K12))</f>
        <v>8280.2050877671209</v>
      </c>
      <c r="M1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Propuesta],K12))</f>
        <v>17943.612414505478</v>
      </c>
      <c r="N12" s="379">
        <f t="shared" si="5"/>
        <v>1221410000</v>
      </c>
      <c r="O12" s="380">
        <f t="shared" si="2"/>
        <v>475480</v>
      </c>
      <c r="P12" s="381">
        <f t="shared" si="6"/>
        <v>54668500</v>
      </c>
      <c r="Q12" s="868">
        <v>2280560</v>
      </c>
    </row>
    <row r="13" spans="2:17" ht="15">
      <c r="B13" s="383">
        <v>22</v>
      </c>
      <c r="C13" s="384" t="s">
        <v>108</v>
      </c>
      <c r="D13" s="384" t="s">
        <v>336</v>
      </c>
      <c r="E13" s="385">
        <v>254.6385975</v>
      </c>
      <c r="F13" s="385">
        <v>550.92102499199996</v>
      </c>
      <c r="G13" s="379">
        <f t="shared" si="3"/>
        <v>42142000</v>
      </c>
      <c r="H13" s="773">
        <f t="shared" si="0"/>
        <v>1041910</v>
      </c>
      <c r="I13" s="381">
        <f t="shared" si="1"/>
        <v>2502400</v>
      </c>
      <c r="J13" s="380">
        <f t="shared" si="4"/>
        <v>680170</v>
      </c>
      <c r="K13" s="384" t="s">
        <v>329</v>
      </c>
      <c r="L13" s="382">
        <f>IF(K13="Independiente",Tabla13[[#This Row],[Ingreso a Planta de separación en año 10 (con turismo) (T/día)]],SUMIFS(Tabla13[Ingreso a Planta de separación en año 10 (con turismo) (T/día)],$K$3:$K$156,K13))</f>
        <v>8280.2050877671209</v>
      </c>
      <c r="M1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Propuesta],K13))</f>
        <v>17943.612414505478</v>
      </c>
      <c r="N13" s="379">
        <f t="shared" si="5"/>
        <v>1221410000</v>
      </c>
      <c r="O13" s="380">
        <f t="shared" si="2"/>
        <v>475480</v>
      </c>
      <c r="P13" s="381">
        <f t="shared" si="6"/>
        <v>54668500</v>
      </c>
      <c r="Q13" s="868">
        <v>2280560</v>
      </c>
    </row>
    <row r="14" spans="2:17" ht="15">
      <c r="B14" s="376">
        <v>105</v>
      </c>
      <c r="C14" s="377" t="s">
        <v>207</v>
      </c>
      <c r="D14" s="377" t="s">
        <v>337</v>
      </c>
      <c r="E14" s="378">
        <v>251.64206549999997</v>
      </c>
      <c r="F14" s="378">
        <v>544.68192670800011</v>
      </c>
      <c r="G14" s="379">
        <f t="shared" si="3"/>
        <v>41714000</v>
      </c>
      <c r="H14" s="773">
        <f t="shared" si="0"/>
        <v>1040330</v>
      </c>
      <c r="I14" s="381">
        <f t="shared" si="1"/>
        <v>2482900</v>
      </c>
      <c r="J14" s="380">
        <f t="shared" si="4"/>
        <v>679110</v>
      </c>
      <c r="K14" s="377" t="s">
        <v>329</v>
      </c>
      <c r="L14" s="382">
        <f>IF(K14="Independiente",Tabla13[[#This Row],[Ingreso a Planta de separación en año 10 (con turismo) (T/día)]],SUMIFS(Tabla13[Ingreso a Planta de separación en año 10 (con turismo) (T/día)],$K$3:$K$156,K14))</f>
        <v>8280.2050877671209</v>
      </c>
      <c r="M1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Propuesta],K14))</f>
        <v>17943.612414505478</v>
      </c>
      <c r="N14" s="379">
        <f t="shared" si="5"/>
        <v>1221410000</v>
      </c>
      <c r="O14" s="380">
        <f t="shared" si="2"/>
        <v>475480</v>
      </c>
      <c r="P14" s="381">
        <f t="shared" si="6"/>
        <v>54668500</v>
      </c>
      <c r="Q14" s="868">
        <v>2280560</v>
      </c>
    </row>
    <row r="15" spans="2:17" ht="15">
      <c r="B15" s="383">
        <v>7</v>
      </c>
      <c r="C15" s="384" t="s">
        <v>92</v>
      </c>
      <c r="D15" s="384" t="s">
        <v>491</v>
      </c>
      <c r="E15" s="385">
        <v>232.78543049999999</v>
      </c>
      <c r="F15" s="385">
        <v>504.211300752</v>
      </c>
      <c r="G15" s="379">
        <f t="shared" si="3"/>
        <v>38939000</v>
      </c>
      <c r="H15" s="773">
        <f t="shared" si="0"/>
        <v>1029170</v>
      </c>
      <c r="I15" s="381">
        <f t="shared" si="1"/>
        <v>2360300</v>
      </c>
      <c r="J15" s="380">
        <f t="shared" si="4"/>
        <v>672440</v>
      </c>
      <c r="K15" s="384" t="s">
        <v>329</v>
      </c>
      <c r="L15" s="382">
        <f>IF(K15="Independiente",Tabla13[[#This Row],[Ingreso a Planta de separación en año 10 (con turismo) (T/día)]],SUMIFS(Tabla13[Ingreso a Planta de separación en año 10 (con turismo) (T/día)],$K$3:$K$156,K15))</f>
        <v>8280.2050877671209</v>
      </c>
      <c r="M1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Propuesta],K15))</f>
        <v>17943.612414505478</v>
      </c>
      <c r="N15" s="379">
        <f t="shared" si="5"/>
        <v>1221410000</v>
      </c>
      <c r="O15" s="380">
        <f t="shared" si="2"/>
        <v>475480</v>
      </c>
      <c r="P15" s="381">
        <f t="shared" si="6"/>
        <v>54668500</v>
      </c>
      <c r="Q15" s="868">
        <v>2280560</v>
      </c>
    </row>
    <row r="16" spans="2:17" ht="15">
      <c r="B16" s="383">
        <v>12</v>
      </c>
      <c r="C16" s="384" t="s">
        <v>97</v>
      </c>
      <c r="D16" s="384" t="s">
        <v>493</v>
      </c>
      <c r="E16" s="385">
        <v>221.47095599999997</v>
      </c>
      <c r="F16" s="385">
        <v>478.59622555200002</v>
      </c>
      <c r="G16" s="379">
        <f t="shared" si="3"/>
        <v>37181000</v>
      </c>
      <c r="H16" s="773">
        <f t="shared" si="0"/>
        <v>1021230</v>
      </c>
      <c r="I16" s="381">
        <f t="shared" si="1"/>
        <v>2286800</v>
      </c>
      <c r="J16" s="380">
        <f t="shared" si="4"/>
        <v>668440</v>
      </c>
      <c r="K16" s="384" t="s">
        <v>329</v>
      </c>
      <c r="L16" s="382">
        <f>IF(K16="Independiente",Tabla13[[#This Row],[Ingreso a Planta de separación en año 10 (con turismo) (T/día)]],SUMIFS(Tabla13[Ingreso a Planta de separación en año 10 (con turismo) (T/día)],$K$3:$K$156,K16))</f>
        <v>8280.2050877671209</v>
      </c>
      <c r="M1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Propuesta],K16))</f>
        <v>17943.612414505478</v>
      </c>
      <c r="N16" s="379">
        <f t="shared" si="5"/>
        <v>1221410000</v>
      </c>
      <c r="O16" s="380">
        <f t="shared" si="2"/>
        <v>475480</v>
      </c>
      <c r="P16" s="381">
        <f t="shared" si="6"/>
        <v>54668500</v>
      </c>
      <c r="Q16" s="868">
        <v>2280560</v>
      </c>
    </row>
    <row r="17" spans="2:17" ht="15">
      <c r="B17" s="376">
        <v>4</v>
      </c>
      <c r="C17" s="377" t="s">
        <v>88</v>
      </c>
      <c r="D17" s="377" t="s">
        <v>556</v>
      </c>
      <c r="E17" s="378">
        <v>214.22884349999995</v>
      </c>
      <c r="F17" s="378">
        <v>463.52623409999995</v>
      </c>
      <c r="G17" s="379">
        <f t="shared" si="3"/>
        <v>36146000</v>
      </c>
      <c r="H17" s="773">
        <f t="shared" si="0"/>
        <v>1016510</v>
      </c>
      <c r="I17" s="381">
        <f t="shared" si="1"/>
        <v>2239700</v>
      </c>
      <c r="J17" s="380">
        <f t="shared" si="4"/>
        <v>665880</v>
      </c>
      <c r="K17" s="377" t="s">
        <v>329</v>
      </c>
      <c r="L17" s="382">
        <f>IF(K17="Independiente",Tabla13[[#This Row],[Ingreso a Planta de separación en año 10 (con turismo) (T/día)]],SUMIFS(Tabla13[Ingreso a Planta de separación en año 10 (con turismo) (T/día)],$K$3:$K$156,K17))</f>
        <v>8280.2050877671209</v>
      </c>
      <c r="M1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Propuesta],K17))</f>
        <v>17943.612414505478</v>
      </c>
      <c r="N17" s="379">
        <f t="shared" si="5"/>
        <v>1221410000</v>
      </c>
      <c r="O17" s="380">
        <f t="shared" si="2"/>
        <v>475480</v>
      </c>
      <c r="P17" s="381">
        <f t="shared" si="6"/>
        <v>54668500</v>
      </c>
      <c r="Q17" s="868">
        <v>2280560</v>
      </c>
    </row>
    <row r="18" spans="2:17" ht="15">
      <c r="B18" s="376">
        <v>14</v>
      </c>
      <c r="C18" s="377" t="s">
        <v>99</v>
      </c>
      <c r="D18" s="377" t="s">
        <v>338</v>
      </c>
      <c r="E18" s="378">
        <v>212.05744349999995</v>
      </c>
      <c r="F18" s="378">
        <v>459.8442712079999</v>
      </c>
      <c r="G18" s="379">
        <f t="shared" si="3"/>
        <v>35894000</v>
      </c>
      <c r="H18" s="773">
        <f t="shared" si="0"/>
        <v>1015470</v>
      </c>
      <c r="I18" s="381">
        <f t="shared" si="1"/>
        <v>2225600</v>
      </c>
      <c r="J18" s="380">
        <f t="shared" si="4"/>
        <v>665110</v>
      </c>
      <c r="K18" s="377" t="s">
        <v>329</v>
      </c>
      <c r="L18" s="382">
        <f>IF(K18="Independiente",Tabla13[[#This Row],[Ingreso a Planta de separación en año 10 (con turismo) (T/día)]],SUMIFS(Tabla13[Ingreso a Planta de separación en año 10 (con turismo) (T/día)],$K$3:$K$156,K18))</f>
        <v>8280.2050877671209</v>
      </c>
      <c r="M1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Propuesta],K18))</f>
        <v>17943.612414505478</v>
      </c>
      <c r="N18" s="379">
        <f t="shared" si="5"/>
        <v>1221410000</v>
      </c>
      <c r="O18" s="380">
        <f t="shared" si="2"/>
        <v>475480</v>
      </c>
      <c r="P18" s="381">
        <f t="shared" si="6"/>
        <v>54668500</v>
      </c>
      <c r="Q18" s="868">
        <v>2280560</v>
      </c>
    </row>
    <row r="19" spans="2:17" ht="15">
      <c r="B19" s="376">
        <v>3</v>
      </c>
      <c r="C19" s="377" t="s">
        <v>86</v>
      </c>
      <c r="D19" s="377" t="s">
        <v>339</v>
      </c>
      <c r="E19" s="378">
        <v>212.15663699999996</v>
      </c>
      <c r="F19" s="378">
        <v>458.92472842799987</v>
      </c>
      <c r="G19" s="379">
        <f t="shared" si="3"/>
        <v>35830000</v>
      </c>
      <c r="H19" s="773">
        <f t="shared" si="0"/>
        <v>1014980</v>
      </c>
      <c r="I19" s="381">
        <f t="shared" si="1"/>
        <v>2226200</v>
      </c>
      <c r="J19" s="380">
        <f t="shared" si="4"/>
        <v>665150</v>
      </c>
      <c r="K19" s="377" t="s">
        <v>329</v>
      </c>
      <c r="L19" s="382">
        <f>IF(K19="Independiente",Tabla13[[#This Row],[Ingreso a Planta de separación en año 10 (con turismo) (T/día)]],SUMIFS(Tabla13[Ingreso a Planta de separación en año 10 (con turismo) (T/día)],$K$3:$K$156,K19))</f>
        <v>8280.2050877671209</v>
      </c>
      <c r="M1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Propuesta],K19))</f>
        <v>17943.612414505478</v>
      </c>
      <c r="N19" s="379">
        <f t="shared" si="5"/>
        <v>1221410000</v>
      </c>
      <c r="O19" s="380">
        <f t="shared" si="2"/>
        <v>475480</v>
      </c>
      <c r="P19" s="381">
        <f t="shared" si="6"/>
        <v>54668500</v>
      </c>
      <c r="Q19" s="868">
        <v>2280560</v>
      </c>
    </row>
    <row r="20" spans="2:17" ht="15">
      <c r="B20" s="376">
        <v>2</v>
      </c>
      <c r="C20" s="377" t="s">
        <v>85</v>
      </c>
      <c r="D20" s="377" t="s">
        <v>340</v>
      </c>
      <c r="E20" s="378">
        <v>204.16539149999997</v>
      </c>
      <c r="F20" s="378">
        <v>442.624550328</v>
      </c>
      <c r="G20" s="379">
        <f t="shared" si="3"/>
        <v>34710000</v>
      </c>
      <c r="H20" s="773">
        <f t="shared" si="0"/>
        <v>1009620</v>
      </c>
      <c r="I20" s="381">
        <f t="shared" si="1"/>
        <v>2174300</v>
      </c>
      <c r="J20" s="380">
        <f t="shared" si="4"/>
        <v>662320</v>
      </c>
      <c r="K20" s="377" t="s">
        <v>329</v>
      </c>
      <c r="L20" s="382">
        <f>IF(K20="Independiente",Tabla13[[#This Row],[Ingreso a Planta de separación en año 10 (con turismo) (T/día)]],SUMIFS(Tabla13[Ingreso a Planta de separación en año 10 (con turismo) (T/día)],$K$3:$K$156,K20))</f>
        <v>8280.2050877671209</v>
      </c>
      <c r="M2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Propuesta],K20))</f>
        <v>17943.612414505478</v>
      </c>
      <c r="N20" s="379">
        <f t="shared" si="5"/>
        <v>1221410000</v>
      </c>
      <c r="O20" s="380">
        <f t="shared" si="2"/>
        <v>475480</v>
      </c>
      <c r="P20" s="381">
        <f t="shared" si="6"/>
        <v>54668500</v>
      </c>
      <c r="Q20" s="868">
        <v>2280560</v>
      </c>
    </row>
    <row r="21" spans="2:17" ht="15">
      <c r="B21" s="376">
        <v>10</v>
      </c>
      <c r="C21" s="377" t="s">
        <v>95</v>
      </c>
      <c r="D21" s="377" t="s">
        <v>557</v>
      </c>
      <c r="E21" s="378">
        <v>196.05965399999999</v>
      </c>
      <c r="F21" s="378">
        <v>426.27036697200003</v>
      </c>
      <c r="G21" s="379">
        <f t="shared" si="3"/>
        <v>33586000</v>
      </c>
      <c r="H21" s="773">
        <f t="shared" si="0"/>
        <v>1004020</v>
      </c>
      <c r="I21" s="381">
        <f t="shared" si="1"/>
        <v>2121600</v>
      </c>
      <c r="J21" s="380">
        <f t="shared" si="4"/>
        <v>659450</v>
      </c>
      <c r="K21" s="377" t="s">
        <v>329</v>
      </c>
      <c r="L21" s="382">
        <f>IF(K21="Independiente",Tabla13[[#This Row],[Ingreso a Planta de separación en año 10 (con turismo) (T/día)]],SUMIFS(Tabla13[Ingreso a Planta de separación en año 10 (con turismo) (T/día)],$K$3:$K$156,K21))</f>
        <v>8280.2050877671209</v>
      </c>
      <c r="M2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Propuesta],K21))</f>
        <v>17943.612414505478</v>
      </c>
      <c r="N21" s="379">
        <f t="shared" si="5"/>
        <v>1221410000</v>
      </c>
      <c r="O21" s="380">
        <f t="shared" si="2"/>
        <v>475480</v>
      </c>
      <c r="P21" s="381">
        <f t="shared" si="6"/>
        <v>54668500</v>
      </c>
      <c r="Q21" s="868">
        <v>2280560</v>
      </c>
    </row>
    <row r="22" spans="2:17" ht="15">
      <c r="B22" s="383">
        <v>21</v>
      </c>
      <c r="C22" s="384" t="s">
        <v>107</v>
      </c>
      <c r="D22" s="384" t="s">
        <v>341</v>
      </c>
      <c r="E22" s="385">
        <v>195.42896099999996</v>
      </c>
      <c r="F22" s="385">
        <v>424.70174817600002</v>
      </c>
      <c r="G22" s="379">
        <f t="shared" si="3"/>
        <v>33478000</v>
      </c>
      <c r="H22" s="773">
        <f t="shared" si="0"/>
        <v>1003410</v>
      </c>
      <c r="I22" s="381">
        <f t="shared" si="1"/>
        <v>2117500</v>
      </c>
      <c r="J22" s="380">
        <f t="shared" si="4"/>
        <v>659230</v>
      </c>
      <c r="K22" s="384" t="s">
        <v>329</v>
      </c>
      <c r="L22" s="382">
        <f>IF(K22="Independiente",Tabla13[[#This Row],[Ingreso a Planta de separación en año 10 (con turismo) (T/día)]],SUMIFS(Tabla13[Ingreso a Planta de separación en año 10 (con turismo) (T/día)],$K$3:$K$156,K22))</f>
        <v>8280.2050877671209</v>
      </c>
      <c r="M2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Propuesta],K22))</f>
        <v>17943.612414505478</v>
      </c>
      <c r="N22" s="379">
        <f t="shared" si="5"/>
        <v>1221410000</v>
      </c>
      <c r="O22" s="380">
        <f t="shared" si="2"/>
        <v>475480</v>
      </c>
      <c r="P22" s="381">
        <f t="shared" si="6"/>
        <v>54668500</v>
      </c>
      <c r="Q22" s="868">
        <v>2280560</v>
      </c>
    </row>
    <row r="23" spans="2:17" ht="15">
      <c r="B23" s="383">
        <v>17</v>
      </c>
      <c r="C23" s="384" t="s">
        <v>102</v>
      </c>
      <c r="D23" s="384" t="s">
        <v>558</v>
      </c>
      <c r="E23" s="385">
        <v>188.48492249999995</v>
      </c>
      <c r="F23" s="385">
        <v>408.53665145999992</v>
      </c>
      <c r="G23" s="379">
        <f t="shared" si="3"/>
        <v>32366000</v>
      </c>
      <c r="H23" s="773">
        <f t="shared" si="0"/>
        <v>997180</v>
      </c>
      <c r="I23" s="381">
        <f t="shared" si="1"/>
        <v>2072400</v>
      </c>
      <c r="J23" s="380">
        <f t="shared" si="4"/>
        <v>656770</v>
      </c>
      <c r="K23" s="384" t="s">
        <v>329</v>
      </c>
      <c r="L23" s="382">
        <f>IF(K23="Independiente",Tabla13[[#This Row],[Ingreso a Planta de separación en año 10 (con turismo) (T/día)]],SUMIFS(Tabla13[Ingreso a Planta de separación en año 10 (con turismo) (T/día)],$K$3:$K$156,K23))</f>
        <v>8280.2050877671209</v>
      </c>
      <c r="M2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Propuesta],K23))</f>
        <v>17943.612414505478</v>
      </c>
      <c r="N23" s="379">
        <f t="shared" si="5"/>
        <v>1221410000</v>
      </c>
      <c r="O23" s="380">
        <f t="shared" si="2"/>
        <v>475480</v>
      </c>
      <c r="P23" s="381">
        <f t="shared" si="6"/>
        <v>54668500</v>
      </c>
      <c r="Q23" s="868">
        <v>2280560</v>
      </c>
    </row>
    <row r="24" spans="2:17" ht="15">
      <c r="B24" s="383">
        <v>33</v>
      </c>
      <c r="C24" s="384" t="s">
        <v>13</v>
      </c>
      <c r="D24" s="384" t="s">
        <v>498</v>
      </c>
      <c r="E24" s="385">
        <v>186.0282795</v>
      </c>
      <c r="F24" s="385">
        <v>403.36101803999998</v>
      </c>
      <c r="G24" s="379">
        <f t="shared" si="3"/>
        <v>32010000</v>
      </c>
      <c r="H24" s="773">
        <f t="shared" si="0"/>
        <v>995210</v>
      </c>
      <c r="I24" s="381">
        <f t="shared" si="1"/>
        <v>2056400</v>
      </c>
      <c r="J24" s="380">
        <f t="shared" si="4"/>
        <v>655900</v>
      </c>
      <c r="K24" s="384" t="s">
        <v>359</v>
      </c>
      <c r="L24" s="382">
        <f>IF(K24="Independiente",Tabla13[[#This Row],[Ingreso a Planta de separación en año 10 (con turismo) (T/día)]],SUMIFS(Tabla13[Ingreso a Planta de separación en año 10 (con turismo) (T/día)],$K$3:$K$156,K24))</f>
        <v>213.48101250000002</v>
      </c>
      <c r="M2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Propuesta],K24))</f>
        <v>462.787425552</v>
      </c>
      <c r="N24" s="379">
        <f t="shared" si="5"/>
        <v>36096000</v>
      </c>
      <c r="O24" s="380">
        <f t="shared" si="2"/>
        <v>1016420</v>
      </c>
      <c r="P24" s="381">
        <f t="shared" si="6"/>
        <v>2234800</v>
      </c>
      <c r="Q24" s="380">
        <f>IF(L24&lt;=10,14085.034,IF(L24&lt;=28,MROUND(21426*L24,10),MROUND((353.75*L24+590095),10)))</f>
        <v>665610</v>
      </c>
    </row>
    <row r="25" spans="2:17" ht="15">
      <c r="B25" s="376">
        <v>23</v>
      </c>
      <c r="C25" s="377" t="s">
        <v>109</v>
      </c>
      <c r="D25" s="377" t="s">
        <v>342</v>
      </c>
      <c r="E25" s="378">
        <v>177.04855349999997</v>
      </c>
      <c r="F25" s="378">
        <v>382.99412752799992</v>
      </c>
      <c r="G25" s="379">
        <f t="shared" si="3"/>
        <v>30608000</v>
      </c>
      <c r="H25" s="773">
        <f t="shared" si="0"/>
        <v>986870</v>
      </c>
      <c r="I25" s="381">
        <f t="shared" si="1"/>
        <v>1998000</v>
      </c>
      <c r="J25" s="380">
        <f t="shared" si="4"/>
        <v>652730</v>
      </c>
      <c r="K25" s="377" t="s">
        <v>329</v>
      </c>
      <c r="L25" s="382">
        <f>IF(K25="Independiente",Tabla13[[#This Row],[Ingreso a Planta de separación en año 10 (con turismo) (T/día)]],SUMIFS(Tabla13[Ingreso a Planta de separación en año 10 (con turismo) (T/día)],$K$3:$K$156,K25))</f>
        <v>8280.2050877671209</v>
      </c>
      <c r="M2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Propuesta],K25))</f>
        <v>17943.612414505478</v>
      </c>
      <c r="N25" s="379">
        <f t="shared" si="5"/>
        <v>1221410000</v>
      </c>
      <c r="O25" s="380">
        <f t="shared" si="2"/>
        <v>475480</v>
      </c>
      <c r="P25" s="381">
        <f t="shared" si="6"/>
        <v>54668500</v>
      </c>
      <c r="Q25" s="868">
        <v>2280560</v>
      </c>
    </row>
    <row r="26" spans="2:17" ht="15">
      <c r="B26" s="376">
        <v>59</v>
      </c>
      <c r="C26" s="377" t="s">
        <v>148</v>
      </c>
      <c r="D26" s="377" t="s">
        <v>343</v>
      </c>
      <c r="E26" s="378">
        <v>118.74248399999998</v>
      </c>
      <c r="F26" s="378">
        <v>256.96579377600006</v>
      </c>
      <c r="G26" s="379">
        <f t="shared" si="3"/>
        <v>21365000</v>
      </c>
      <c r="H26" s="773">
        <f t="shared" si="0"/>
        <v>921500</v>
      </c>
      <c r="I26" s="381">
        <f t="shared" si="1"/>
        <v>1619000</v>
      </c>
      <c r="J26" s="380">
        <f t="shared" si="4"/>
        <v>632100</v>
      </c>
      <c r="K26" s="377" t="s">
        <v>329</v>
      </c>
      <c r="L26" s="382">
        <f>IF(K26="Independiente",Tabla13[[#This Row],[Ingreso a Planta de separación en año 10 (con turismo) (T/día)]],SUMIFS(Tabla13[Ingreso a Planta de separación en año 10 (con turismo) (T/día)],$K$3:$K$156,K26))</f>
        <v>8280.2050877671209</v>
      </c>
      <c r="M2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Propuesta],K26))</f>
        <v>17943.612414505478</v>
      </c>
      <c r="N26" s="379">
        <f t="shared" si="5"/>
        <v>1221410000</v>
      </c>
      <c r="O26" s="380">
        <f t="shared" si="2"/>
        <v>475480</v>
      </c>
      <c r="P26" s="381">
        <f t="shared" si="6"/>
        <v>54668500</v>
      </c>
      <c r="Q26" s="868">
        <v>2280560</v>
      </c>
    </row>
    <row r="27" spans="2:17" ht="15">
      <c r="B27" s="383">
        <v>20</v>
      </c>
      <c r="C27" s="384" t="s">
        <v>106</v>
      </c>
      <c r="D27" s="384" t="s">
        <v>344</v>
      </c>
      <c r="E27" s="385">
        <v>107.09928600000001</v>
      </c>
      <c r="F27" s="385">
        <v>231.55812009599995</v>
      </c>
      <c r="G27" s="379">
        <f t="shared" si="3"/>
        <v>19597000</v>
      </c>
      <c r="H27" s="773">
        <f t="shared" si="0"/>
        <v>903940</v>
      </c>
      <c r="I27" s="381">
        <f t="shared" si="1"/>
        <v>1543300</v>
      </c>
      <c r="J27" s="380">
        <f t="shared" si="4"/>
        <v>627980</v>
      </c>
      <c r="K27" s="384" t="s">
        <v>329</v>
      </c>
      <c r="L27" s="382">
        <f>IF(K27="Independiente",Tabla13[[#This Row],[Ingreso a Planta de separación en año 10 (con turismo) (T/día)]],SUMIFS(Tabla13[Ingreso a Planta de separación en año 10 (con turismo) (T/día)],$K$3:$K$156,K27))</f>
        <v>8280.2050877671209</v>
      </c>
      <c r="M2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Propuesta],K27))</f>
        <v>17943.612414505478</v>
      </c>
      <c r="N27" s="379">
        <f t="shared" si="5"/>
        <v>1221410000</v>
      </c>
      <c r="O27" s="380">
        <f t="shared" si="2"/>
        <v>475480</v>
      </c>
      <c r="P27" s="381">
        <f t="shared" si="6"/>
        <v>54668500</v>
      </c>
      <c r="Q27" s="868">
        <v>2280560</v>
      </c>
    </row>
    <row r="28" spans="2:17" ht="15">
      <c r="B28" s="376">
        <v>5</v>
      </c>
      <c r="C28" s="377" t="s">
        <v>90</v>
      </c>
      <c r="D28" s="377" t="s">
        <v>362</v>
      </c>
      <c r="E28" s="378">
        <v>100.07102700000002</v>
      </c>
      <c r="F28" s="378">
        <v>216.60987076800001</v>
      </c>
      <c r="G28" s="379">
        <f t="shared" si="3"/>
        <v>18555000</v>
      </c>
      <c r="H28" s="773">
        <f t="shared" si="0"/>
        <v>892680</v>
      </c>
      <c r="I28" s="381">
        <f t="shared" si="1"/>
        <v>1497700</v>
      </c>
      <c r="J28" s="380">
        <f t="shared" si="4"/>
        <v>625500</v>
      </c>
      <c r="K28" s="377" t="s">
        <v>363</v>
      </c>
      <c r="L28" s="382">
        <f>IF(K28="Independiente",Tabla13[[#This Row],[Ingreso a Planta de separación en año 10 (con turismo) (T/día)]],SUMIFS(Tabla13[Ingreso a Planta de separación en año 10 (con turismo) (T/día)],$K$3:$K$156,K28))</f>
        <v>204.50712799999999</v>
      </c>
      <c r="M2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Propuesta],K28))</f>
        <v>444.10043307200004</v>
      </c>
      <c r="N28" s="379">
        <f t="shared" si="5"/>
        <v>34812000</v>
      </c>
      <c r="O28" s="380">
        <f t="shared" si="2"/>
        <v>1010260</v>
      </c>
      <c r="P28" s="381">
        <f t="shared" si="6"/>
        <v>2176500</v>
      </c>
      <c r="Q28" s="380">
        <f>IF(L28&lt;=10,14085.034,IF(L28&lt;=28,MROUND(21426*L28,10),MROUND((353.75*L28+590095),10)))</f>
        <v>662440</v>
      </c>
    </row>
    <row r="29" spans="2:17" ht="15">
      <c r="B29" s="376">
        <v>24</v>
      </c>
      <c r="C29" s="377" t="s">
        <v>110</v>
      </c>
      <c r="D29" s="377" t="s">
        <v>501</v>
      </c>
      <c r="E29" s="378">
        <v>87.551750999999996</v>
      </c>
      <c r="F29" s="378">
        <v>188.86856764799998</v>
      </c>
      <c r="G29" s="379">
        <f t="shared" si="3"/>
        <v>16615000</v>
      </c>
      <c r="H29" s="773">
        <f t="shared" si="0"/>
        <v>869280</v>
      </c>
      <c r="I29" s="381">
        <f t="shared" si="1"/>
        <v>1416300</v>
      </c>
      <c r="J29" s="380">
        <f t="shared" si="4"/>
        <v>621070</v>
      </c>
      <c r="K29" s="377" t="s">
        <v>329</v>
      </c>
      <c r="L29" s="382">
        <f>IF(K29="Independiente",Tabla13[[#This Row],[Ingreso a Planta de separación en año 10 (con turismo) (T/día)]],SUMIFS(Tabla13[Ingreso a Planta de separación en año 10 (con turismo) (T/día)],$K$3:$K$156,K29))</f>
        <v>8280.2050877671209</v>
      </c>
      <c r="M2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Propuesta],K29))</f>
        <v>17943.612414505478</v>
      </c>
      <c r="N29" s="379">
        <f t="shared" si="5"/>
        <v>1221410000</v>
      </c>
      <c r="O29" s="380">
        <f t="shared" si="2"/>
        <v>475480</v>
      </c>
      <c r="P29" s="381">
        <f t="shared" si="6"/>
        <v>54668500</v>
      </c>
      <c r="Q29" s="868">
        <v>2280560</v>
      </c>
    </row>
    <row r="30" spans="2:17" ht="15">
      <c r="B30" s="376">
        <v>74</v>
      </c>
      <c r="C30" s="377" t="s">
        <v>168</v>
      </c>
      <c r="D30" s="377" t="s">
        <v>505</v>
      </c>
      <c r="E30" s="378">
        <v>71.184015000000002</v>
      </c>
      <c r="F30" s="378">
        <v>155.45886993599999</v>
      </c>
      <c r="G30" s="379">
        <f t="shared" si="3"/>
        <v>14266000</v>
      </c>
      <c r="H30" s="773">
        <f t="shared" si="0"/>
        <v>836410</v>
      </c>
      <c r="I30" s="381">
        <f t="shared" si="1"/>
        <v>1309900</v>
      </c>
      <c r="J30" s="380">
        <f t="shared" si="4"/>
        <v>615280</v>
      </c>
      <c r="K30" s="377" t="s">
        <v>329</v>
      </c>
      <c r="L30" s="382">
        <f>IF(K30="Independiente",Tabla13[[#This Row],[Ingreso a Planta de separación en año 10 (con turismo) (T/día)]],SUMIFS(Tabla13[Ingreso a Planta de separación en año 10 (con turismo) (T/día)],$K$3:$K$156,K30))</f>
        <v>8280.2050877671209</v>
      </c>
      <c r="M3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Propuesta],K30))</f>
        <v>17943.612414505478</v>
      </c>
      <c r="N30" s="379">
        <f t="shared" si="5"/>
        <v>1221410000</v>
      </c>
      <c r="O30" s="380">
        <f t="shared" si="2"/>
        <v>475480</v>
      </c>
      <c r="P30" s="381">
        <f t="shared" si="6"/>
        <v>54668500</v>
      </c>
      <c r="Q30" s="868">
        <v>2280560</v>
      </c>
    </row>
    <row r="31" spans="2:17" ht="15">
      <c r="B31" s="376">
        <v>8</v>
      </c>
      <c r="C31" s="377" t="s">
        <v>93</v>
      </c>
      <c r="D31" s="377" t="s">
        <v>345</v>
      </c>
      <c r="E31" s="378">
        <v>71.108687999999987</v>
      </c>
      <c r="F31" s="378">
        <v>153.73062640800001</v>
      </c>
      <c r="G31" s="379">
        <f t="shared" si="3"/>
        <v>14144000</v>
      </c>
      <c r="H31" s="773">
        <f t="shared" si="0"/>
        <v>834260</v>
      </c>
      <c r="I31" s="381">
        <f t="shared" si="1"/>
        <v>1309400</v>
      </c>
      <c r="J31" s="380">
        <f t="shared" si="4"/>
        <v>615250</v>
      </c>
      <c r="K31" s="377" t="s">
        <v>329</v>
      </c>
      <c r="L31" s="382">
        <f>IF(K31="Independiente",Tabla13[[#This Row],[Ingreso a Planta de separación en año 10 (con turismo) (T/día)]],SUMIFS(Tabla13[Ingreso a Planta de separación en año 10 (con turismo) (T/día)],$K$3:$K$156,K31))</f>
        <v>8280.2050877671209</v>
      </c>
      <c r="M3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Propuesta],K31))</f>
        <v>17943.612414505478</v>
      </c>
      <c r="N31" s="379">
        <f t="shared" si="5"/>
        <v>1221410000</v>
      </c>
      <c r="O31" s="380">
        <f t="shared" si="2"/>
        <v>475480</v>
      </c>
      <c r="P31" s="381">
        <f t="shared" si="6"/>
        <v>54668500</v>
      </c>
      <c r="Q31" s="868">
        <v>2280560</v>
      </c>
    </row>
    <row r="32" spans="2:17" ht="15">
      <c r="B32" s="376">
        <v>9</v>
      </c>
      <c r="C32" s="377" t="s">
        <v>94</v>
      </c>
      <c r="D32" s="377" t="s">
        <v>559</v>
      </c>
      <c r="E32" s="378">
        <v>70.691711999999995</v>
      </c>
      <c r="F32" s="378">
        <v>152.98707863999999</v>
      </c>
      <c r="G32" s="379">
        <f t="shared" si="3"/>
        <v>14091000</v>
      </c>
      <c r="H32" s="773">
        <f t="shared" si="0"/>
        <v>833460</v>
      </c>
      <c r="I32" s="381">
        <f t="shared" si="1"/>
        <v>1306700</v>
      </c>
      <c r="J32" s="380">
        <f t="shared" si="4"/>
        <v>615100</v>
      </c>
      <c r="K32" s="377" t="s">
        <v>329</v>
      </c>
      <c r="L32" s="382">
        <f>IF(K32="Independiente",Tabla13[[#This Row],[Ingreso a Planta de separación en año 10 (con turismo) (T/día)]],SUMIFS(Tabla13[Ingreso a Planta de separación en año 10 (con turismo) (T/día)],$K$3:$K$156,K32))</f>
        <v>8280.2050877671209</v>
      </c>
      <c r="M3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Propuesta],K32))</f>
        <v>17943.612414505478</v>
      </c>
      <c r="N32" s="379">
        <f t="shared" si="5"/>
        <v>1221410000</v>
      </c>
      <c r="O32" s="380">
        <f t="shared" si="2"/>
        <v>475480</v>
      </c>
      <c r="P32" s="381">
        <f t="shared" si="6"/>
        <v>54668500</v>
      </c>
      <c r="Q32" s="868">
        <v>2280560</v>
      </c>
    </row>
    <row r="33" spans="2:17" ht="15">
      <c r="B33" s="383">
        <v>19</v>
      </c>
      <c r="C33" s="384" t="s">
        <v>105</v>
      </c>
      <c r="D33" s="384" t="s">
        <v>346</v>
      </c>
      <c r="E33" s="385">
        <v>65.809022999999996</v>
      </c>
      <c r="F33" s="385">
        <v>142.29576014400001</v>
      </c>
      <c r="G33" s="379">
        <f t="shared" si="3"/>
        <v>13334000</v>
      </c>
      <c r="H33" s="773">
        <f t="shared" si="0"/>
        <v>821090</v>
      </c>
      <c r="I33" s="381">
        <f t="shared" si="1"/>
        <v>1275000</v>
      </c>
      <c r="J33" s="380">
        <f t="shared" si="4"/>
        <v>613370</v>
      </c>
      <c r="K33" s="384" t="s">
        <v>329</v>
      </c>
      <c r="L33" s="382">
        <f>IF(K33="Independiente",Tabla13[[#This Row],[Ingreso a Planta de separación en año 10 (con turismo) (T/día)]],SUMIFS(Tabla13[Ingreso a Planta de separación en año 10 (con turismo) (T/día)],$K$3:$K$156,K33))</f>
        <v>8280.2050877671209</v>
      </c>
      <c r="M3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Propuesta],K33))</f>
        <v>17943.612414505478</v>
      </c>
      <c r="N33" s="379">
        <f t="shared" si="5"/>
        <v>1221410000</v>
      </c>
      <c r="O33" s="380">
        <f t="shared" si="2"/>
        <v>475480</v>
      </c>
      <c r="P33" s="381">
        <f t="shared" si="6"/>
        <v>54668500</v>
      </c>
      <c r="Q33" s="868">
        <v>2280560</v>
      </c>
    </row>
    <row r="34" spans="2:17" ht="15">
      <c r="B34" s="383">
        <v>122</v>
      </c>
      <c r="C34" s="384" t="s">
        <v>228</v>
      </c>
      <c r="D34" s="384" t="s">
        <v>504</v>
      </c>
      <c r="E34" s="385">
        <v>62.866272000000002</v>
      </c>
      <c r="F34" s="385">
        <v>136.466160672</v>
      </c>
      <c r="G34" s="379">
        <f t="shared" si="3"/>
        <v>12921000</v>
      </c>
      <c r="H34" s="773">
        <f t="shared" si="0"/>
        <v>814050</v>
      </c>
      <c r="I34" s="381">
        <f t="shared" si="1"/>
        <v>1255800</v>
      </c>
      <c r="J34" s="380">
        <f t="shared" si="4"/>
        <v>612330</v>
      </c>
      <c r="K34" s="384" t="s">
        <v>381</v>
      </c>
      <c r="L34" s="382">
        <f>IF(K34="Independiente",Tabla13[[#This Row],[Ingreso a Planta de separación en año 10 (con turismo) (T/día)]],SUMIFS(Tabla13[Ingreso a Planta de separación en año 10 (con turismo) (T/día)],$K$3:$K$156,K34))</f>
        <v>74.245080000000002</v>
      </c>
      <c r="M3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Propuesta],K34))</f>
        <v>161.14455615199998</v>
      </c>
      <c r="N34" s="379">
        <f t="shared" si="5"/>
        <v>14667000</v>
      </c>
      <c r="O34" s="380">
        <f t="shared" si="2"/>
        <v>842390</v>
      </c>
      <c r="P34" s="381">
        <f t="shared" si="6"/>
        <v>1329800</v>
      </c>
      <c r="Q34" s="380">
        <f>IF(L34&lt;=10,14085.034,IF(L34&lt;=28,MROUND(21426*L34,10),MROUND((353.75*L34+590095),10)))</f>
        <v>616360</v>
      </c>
    </row>
    <row r="35" spans="2:17" ht="15">
      <c r="B35" s="376">
        <v>126</v>
      </c>
      <c r="C35" s="377" t="s">
        <v>232</v>
      </c>
      <c r="D35" s="377" t="s">
        <v>389</v>
      </c>
      <c r="E35" s="378">
        <v>58.189928999999999</v>
      </c>
      <c r="F35" s="378">
        <v>126.30427276799999</v>
      </c>
      <c r="G35" s="379">
        <f t="shared" si="3"/>
        <v>12198000</v>
      </c>
      <c r="H35" s="773">
        <f t="shared" ref="H35:H66" si="7">IF(F35&lt;15,MROUND((229.67*(F35^2))+(2781.9*F35)+17618,10),MROUND((2012.4*(F35)^-0.865*F35)*365-J35,10))</f>
        <v>800880</v>
      </c>
      <c r="I35" s="381">
        <f t="shared" ref="I35:I66" si="8">IF(E35&lt;=7,193620,MROUND((0.0065*E35+0.8472)*1000000,100))</f>
        <v>1225400</v>
      </c>
      <c r="J35" s="380">
        <f t="shared" si="4"/>
        <v>610680</v>
      </c>
      <c r="K35" s="377" t="s">
        <v>390</v>
      </c>
      <c r="L35" s="382">
        <f>IF(K35="Independiente",Tabla13[[#This Row],[Ingreso a Planta de separación en año 10 (con turismo) (T/día)]],SUMIFS(Tabla13[Ingreso a Planta de separación en año 10 (con turismo) (T/día)],$K$3:$K$156,K35))</f>
        <v>63.299424999999999</v>
      </c>
      <c r="M3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Propuesta],K35))</f>
        <v>137.355130976</v>
      </c>
      <c r="N35" s="379">
        <f t="shared" si="5"/>
        <v>12984000</v>
      </c>
      <c r="O35" s="380">
        <f t="shared" ref="O35:O66" si="9">IF(M35&lt;15,MROUND((229.67*(M35^2))+(2781.9*M35)+17618,10),MROUND((2012.4*(M35)^-0.865*M35)*365-Q35,10))</f>
        <v>815140</v>
      </c>
      <c r="P35" s="381">
        <f t="shared" si="6"/>
        <v>1258600</v>
      </c>
      <c r="Q35" s="380">
        <f>IF(L35&lt;=10,14085.034,IF(L35&lt;=28,MROUND(21426*L35,10),MROUND((353.75*L35+590095),10)))</f>
        <v>612490</v>
      </c>
    </row>
    <row r="36" spans="2:17" ht="15">
      <c r="B36" s="383">
        <v>124</v>
      </c>
      <c r="C36" s="384" t="s">
        <v>230</v>
      </c>
      <c r="D36" s="384" t="s">
        <v>364</v>
      </c>
      <c r="E36" s="385">
        <v>52.551470999999999</v>
      </c>
      <c r="F36" s="385">
        <v>114.83512634399999</v>
      </c>
      <c r="G36" s="379">
        <f t="shared" si="3"/>
        <v>11379000</v>
      </c>
      <c r="H36" s="773">
        <f t="shared" si="7"/>
        <v>784840</v>
      </c>
      <c r="I36" s="381">
        <f t="shared" si="8"/>
        <v>1188800</v>
      </c>
      <c r="J36" s="380">
        <f t="shared" si="4"/>
        <v>608690</v>
      </c>
      <c r="K36" s="384" t="s">
        <v>363</v>
      </c>
      <c r="L36" s="382">
        <f>IF(K36="Independiente",Tabla13[[#This Row],[Ingreso a Planta de separación en año 10 (con turismo) (T/día)]],SUMIFS(Tabla13[Ingreso a Planta de separación en año 10 (con turismo) (T/día)],$K$3:$K$156,K36))</f>
        <v>204.50712799999999</v>
      </c>
      <c r="M3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Propuesta],K36))</f>
        <v>444.10043307200004</v>
      </c>
      <c r="N36" s="379">
        <f t="shared" si="5"/>
        <v>34812000</v>
      </c>
      <c r="O36" s="380">
        <f t="shared" si="9"/>
        <v>1010260</v>
      </c>
      <c r="P36" s="381">
        <f t="shared" si="6"/>
        <v>2176500</v>
      </c>
      <c r="Q36" s="380">
        <f>IF(L36&lt;=10,14085.034,IF(L36&lt;=28,MROUND(21426*L36,10),MROUND((353.75*L36+590095),10)))</f>
        <v>662440</v>
      </c>
    </row>
    <row r="37" spans="2:17" ht="15">
      <c r="B37" s="383">
        <v>89</v>
      </c>
      <c r="C37" s="384" t="s">
        <v>188</v>
      </c>
      <c r="D37" s="384" t="s">
        <v>508</v>
      </c>
      <c r="E37" s="385">
        <v>51.466547999999996</v>
      </c>
      <c r="F37" s="385">
        <v>111.37455112800001</v>
      </c>
      <c r="G37" s="379">
        <f t="shared" si="3"/>
        <v>11131000</v>
      </c>
      <c r="H37" s="773">
        <f t="shared" si="7"/>
        <v>779490</v>
      </c>
      <c r="I37" s="381">
        <f t="shared" si="8"/>
        <v>1181700</v>
      </c>
      <c r="J37" s="380">
        <f t="shared" si="4"/>
        <v>608300</v>
      </c>
      <c r="K37" s="384" t="s">
        <v>398</v>
      </c>
      <c r="L37" s="382">
        <f>IF(K37="Independiente",Tabla13[[#This Row],[Ingreso a Planta de separación en año 10 (con turismo) (T/día)]],SUMIFS(Tabla13[Ingreso a Planta de separación en año 10 (con turismo) (T/día)],$K$3:$K$156,K37))</f>
        <v>51.466547999999996</v>
      </c>
      <c r="M3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Propuesta],K37))</f>
        <v>111.37455112800001</v>
      </c>
      <c r="N37" s="379">
        <f t="shared" si="5"/>
        <v>11131000</v>
      </c>
      <c r="O37" s="380">
        <f t="shared" si="9"/>
        <v>779490</v>
      </c>
      <c r="P37" s="381">
        <f t="shared" si="6"/>
        <v>1181700</v>
      </c>
      <c r="Q37" s="380">
        <f>IF(L37&lt;=10,14085.034,IF(L37&lt;=28,MROUND(21426*L37,10),MROUND((353.75*L37+590095),10)))</f>
        <v>608300</v>
      </c>
    </row>
    <row r="38" spans="2:17" ht="15">
      <c r="B38" s="376">
        <v>107</v>
      </c>
      <c r="C38" s="377" t="s">
        <v>209</v>
      </c>
      <c r="D38" s="377" t="s">
        <v>560</v>
      </c>
      <c r="E38" s="378">
        <v>47.479214999999996</v>
      </c>
      <c r="F38" s="378">
        <v>102.76307587200002</v>
      </c>
      <c r="G38" s="379">
        <f t="shared" si="3"/>
        <v>10511000</v>
      </c>
      <c r="H38" s="773">
        <f t="shared" si="7"/>
        <v>765900</v>
      </c>
      <c r="I38" s="381">
        <f t="shared" si="8"/>
        <v>1155800</v>
      </c>
      <c r="J38" s="380">
        <f t="shared" si="4"/>
        <v>606890</v>
      </c>
      <c r="K38" s="377" t="s">
        <v>329</v>
      </c>
      <c r="L38" s="382">
        <f>IF(K38="Independiente",Tabla13[[#This Row],[Ingreso a Planta de separación en año 10 (con turismo) (T/día)]],SUMIFS(Tabla13[Ingreso a Planta de separación en año 10 (con turismo) (T/día)],$K$3:$K$156,K38))</f>
        <v>8280.2050877671209</v>
      </c>
      <c r="M3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Propuesta],K38))</f>
        <v>17943.612414505478</v>
      </c>
      <c r="N38" s="379">
        <f t="shared" si="5"/>
        <v>1221410000</v>
      </c>
      <c r="O38" s="380">
        <f t="shared" si="9"/>
        <v>475480</v>
      </c>
      <c r="P38" s="381">
        <f t="shared" si="6"/>
        <v>54668500</v>
      </c>
      <c r="Q38" s="868">
        <v>2280560</v>
      </c>
    </row>
    <row r="39" spans="2:17" ht="15">
      <c r="B39" s="376">
        <v>135</v>
      </c>
      <c r="C39" s="377" t="s">
        <v>241</v>
      </c>
      <c r="D39" s="377" t="s">
        <v>506</v>
      </c>
      <c r="E39" s="378">
        <v>47.172195000000002</v>
      </c>
      <c r="F39" s="378">
        <v>102.30516849599999</v>
      </c>
      <c r="G39" s="379">
        <f t="shared" si="3"/>
        <v>10478000</v>
      </c>
      <c r="H39" s="773">
        <f t="shared" si="7"/>
        <v>765190</v>
      </c>
      <c r="I39" s="381">
        <f t="shared" si="8"/>
        <v>1153800</v>
      </c>
      <c r="J39" s="380">
        <f t="shared" si="4"/>
        <v>606780</v>
      </c>
      <c r="K39" s="377" t="s">
        <v>374</v>
      </c>
      <c r="L39" s="382">
        <f>IF(K39="Independiente",Tabla13[[#This Row],[Ingreso a Planta de separación en año 10 (con turismo) (T/día)]],SUMIFS(Tabla13[Ingreso a Planta de separación en año 10 (con turismo) (T/día)],$K$3:$K$156,K39))</f>
        <v>87.144413999999998</v>
      </c>
      <c r="M3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Propuesta],K39))</f>
        <v>188.76384383999999</v>
      </c>
      <c r="N39" s="379">
        <f t="shared" si="5"/>
        <v>16608000</v>
      </c>
      <c r="O39" s="380">
        <f t="shared" si="9"/>
        <v>869320</v>
      </c>
      <c r="P39" s="381">
        <f t="shared" si="6"/>
        <v>1413600</v>
      </c>
      <c r="Q39" s="380">
        <f t="shared" ref="Q39:Q67" si="10">IF(L39&lt;=10,14085.034,IF(L39&lt;=28,MROUND(21426*L39,10),MROUND((353.75*L39+590095),10)))</f>
        <v>620920</v>
      </c>
    </row>
    <row r="40" spans="2:17" ht="15">
      <c r="B40" s="383">
        <v>80</v>
      </c>
      <c r="C40" s="384" t="s">
        <v>42</v>
      </c>
      <c r="D40" s="384" t="s">
        <v>561</v>
      </c>
      <c r="E40" s="385">
        <v>46.491124246575339</v>
      </c>
      <c r="F40" s="385">
        <v>101.02792641757807</v>
      </c>
      <c r="G40" s="379">
        <f t="shared" si="3"/>
        <v>10386000</v>
      </c>
      <c r="H40" s="773">
        <f t="shared" si="7"/>
        <v>763100</v>
      </c>
      <c r="I40" s="381">
        <f t="shared" si="8"/>
        <v>1149400</v>
      </c>
      <c r="J40" s="380">
        <f t="shared" si="4"/>
        <v>606540</v>
      </c>
      <c r="K40" s="384" t="s">
        <v>367</v>
      </c>
      <c r="L40" s="382">
        <f>IF(K40="Independiente",Tabla13[[#This Row],[Ingreso a Planta de separación en año 10 (con turismo) (T/día)]],SUMIFS(Tabla13[Ingreso a Planta de separación en año 10 (con turismo) (T/día)],$K$3:$K$156,K40))</f>
        <v>172.80720828767122</v>
      </c>
      <c r="M4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Propuesta],K40))</f>
        <v>376.08119674991781</v>
      </c>
      <c r="N40" s="379">
        <f t="shared" si="5"/>
        <v>30131000</v>
      </c>
      <c r="O40" s="380">
        <f t="shared" si="9"/>
        <v>984340</v>
      </c>
      <c r="P40" s="381">
        <f t="shared" si="6"/>
        <v>1970400</v>
      </c>
      <c r="Q40" s="380">
        <f t="shared" si="10"/>
        <v>651230</v>
      </c>
    </row>
    <row r="41" spans="2:17" ht="15">
      <c r="B41" s="383">
        <v>98</v>
      </c>
      <c r="C41" s="384" t="s">
        <v>47</v>
      </c>
      <c r="D41" s="384" t="s">
        <v>565</v>
      </c>
      <c r="E41" s="385">
        <v>42.860145654794515</v>
      </c>
      <c r="F41" s="385">
        <v>93.013396116668503</v>
      </c>
      <c r="G41" s="379">
        <f t="shared" si="3"/>
        <v>9806000</v>
      </c>
      <c r="H41" s="773">
        <f t="shared" si="7"/>
        <v>749180</v>
      </c>
      <c r="I41" s="381">
        <f t="shared" si="8"/>
        <v>1125800</v>
      </c>
      <c r="J41" s="380">
        <f t="shared" si="4"/>
        <v>605260</v>
      </c>
      <c r="K41" s="384" t="s">
        <v>399</v>
      </c>
      <c r="L41" s="382">
        <f>IF(K41="Independiente",Tabla13[[#This Row],[Ingreso a Planta de separación en año 10 (con turismo) (T/día)]],SUMIFS(Tabla13[Ingreso a Planta de separación en año 10 (con turismo) (T/día)],$K$3:$K$156,K41))</f>
        <v>47.862093654794513</v>
      </c>
      <c r="M4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Propuesta],K41))</f>
        <v>103.84036459666851</v>
      </c>
      <c r="N41" s="379">
        <f t="shared" si="5"/>
        <v>10589000</v>
      </c>
      <c r="O41" s="380">
        <f t="shared" si="9"/>
        <v>767700</v>
      </c>
      <c r="P41" s="381">
        <f t="shared" si="6"/>
        <v>1158300</v>
      </c>
      <c r="Q41" s="380">
        <f t="shared" si="10"/>
        <v>607030</v>
      </c>
    </row>
    <row r="42" spans="2:17" ht="15">
      <c r="B42" s="383">
        <v>37</v>
      </c>
      <c r="C42" s="384" t="s">
        <v>124</v>
      </c>
      <c r="D42" s="384" t="s">
        <v>352</v>
      </c>
      <c r="E42" s="385">
        <v>39.932234999999999</v>
      </c>
      <c r="F42" s="385">
        <v>86.521944312000016</v>
      </c>
      <c r="G42" s="379">
        <f t="shared" si="3"/>
        <v>9334000</v>
      </c>
      <c r="H42" s="773">
        <f t="shared" si="7"/>
        <v>737060</v>
      </c>
      <c r="I42" s="381">
        <f t="shared" si="8"/>
        <v>1106800</v>
      </c>
      <c r="J42" s="380">
        <f t="shared" si="4"/>
        <v>604220</v>
      </c>
      <c r="K42" s="384" t="s">
        <v>351</v>
      </c>
      <c r="L42" s="382">
        <f>IF(K42="Independiente",Tabla13[[#This Row],[Ingreso a Planta de separación en año 10 (con turismo) (T/día)]],SUMIFS(Tabla13[Ingreso a Planta de separación en año 10 (con turismo) (T/día)],$K$3:$K$156,K42))</f>
        <v>489.52852199999995</v>
      </c>
      <c r="M4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Propuesta],K42))</f>
        <v>1061.2251288319999</v>
      </c>
      <c r="N42" s="379">
        <f t="shared" si="5"/>
        <v>76990000</v>
      </c>
      <c r="O42" s="380">
        <f t="shared" si="9"/>
        <v>1118170</v>
      </c>
      <c r="P42" s="381">
        <f t="shared" si="6"/>
        <v>4029100</v>
      </c>
      <c r="Q42" s="380">
        <f t="shared" si="10"/>
        <v>763270</v>
      </c>
    </row>
    <row r="43" spans="2:17" ht="15">
      <c r="B43" s="383">
        <v>41</v>
      </c>
      <c r="C43" s="384" t="s">
        <v>130</v>
      </c>
      <c r="D43" s="384" t="s">
        <v>375</v>
      </c>
      <c r="E43" s="385">
        <v>39.972218999999996</v>
      </c>
      <c r="F43" s="385">
        <v>86.458675344</v>
      </c>
      <c r="G43" s="379">
        <f t="shared" si="3"/>
        <v>9330000</v>
      </c>
      <c r="H43" s="773">
        <f t="shared" si="7"/>
        <v>736910</v>
      </c>
      <c r="I43" s="381">
        <f t="shared" si="8"/>
        <v>1107000</v>
      </c>
      <c r="J43" s="380">
        <f t="shared" si="4"/>
        <v>604240</v>
      </c>
      <c r="K43" s="384" t="s">
        <v>374</v>
      </c>
      <c r="L43" s="382">
        <f>IF(K43="Independiente",Tabla13[[#This Row],[Ingreso a Planta de separación en año 10 (con turismo) (T/día)]],SUMIFS(Tabla13[Ingreso a Planta de separación en año 10 (con turismo) (T/día)],$K$3:$K$156,K43))</f>
        <v>87.144413999999998</v>
      </c>
      <c r="M4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Propuesta],K43))</f>
        <v>188.76384383999999</v>
      </c>
      <c r="N43" s="379">
        <f t="shared" si="5"/>
        <v>16608000</v>
      </c>
      <c r="O43" s="380">
        <f t="shared" si="9"/>
        <v>869320</v>
      </c>
      <c r="P43" s="381">
        <f t="shared" si="6"/>
        <v>1413600</v>
      </c>
      <c r="Q43" s="380">
        <f t="shared" si="10"/>
        <v>620920</v>
      </c>
    </row>
    <row r="44" spans="2:17" ht="15">
      <c r="B44" s="376">
        <v>99</v>
      </c>
      <c r="C44" s="377" t="s">
        <v>200</v>
      </c>
      <c r="D44" s="377" t="s">
        <v>507</v>
      </c>
      <c r="E44" s="378">
        <v>38.798759999999994</v>
      </c>
      <c r="F44" s="378">
        <v>83.996342712000001</v>
      </c>
      <c r="G44" s="379">
        <f t="shared" si="3"/>
        <v>9150000</v>
      </c>
      <c r="H44" s="773">
        <f t="shared" si="7"/>
        <v>732110</v>
      </c>
      <c r="I44" s="381">
        <f t="shared" si="8"/>
        <v>1099400</v>
      </c>
      <c r="J44" s="380">
        <f t="shared" si="4"/>
        <v>603820</v>
      </c>
      <c r="K44" s="377" t="s">
        <v>398</v>
      </c>
      <c r="L44" s="382">
        <f>IF(K44="Independiente",Tabla13[[#This Row],[Ingreso a Planta de separación en año 10 (con turismo) (T/día)]],SUMIFS(Tabla13[Ingreso a Planta de separación en año 10 (con turismo) (T/día)],$K$3:$K$156,K44))</f>
        <v>38.798759999999994</v>
      </c>
      <c r="M4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Propuesta],K44))</f>
        <v>83.996342712000001</v>
      </c>
      <c r="N44" s="379">
        <f t="shared" si="5"/>
        <v>9150000</v>
      </c>
      <c r="O44" s="380">
        <f t="shared" si="9"/>
        <v>732110</v>
      </c>
      <c r="P44" s="381">
        <f t="shared" si="6"/>
        <v>1099400</v>
      </c>
      <c r="Q44" s="380">
        <f t="shared" si="10"/>
        <v>603820</v>
      </c>
    </row>
    <row r="45" spans="2:17" ht="15">
      <c r="B45" s="376">
        <v>103</v>
      </c>
      <c r="C45" s="377" t="s">
        <v>205</v>
      </c>
      <c r="D45" s="377" t="s">
        <v>376</v>
      </c>
      <c r="E45" s="378">
        <v>38.319309000000004</v>
      </c>
      <c r="F45" s="378">
        <v>82.860197759999991</v>
      </c>
      <c r="G45" s="379">
        <f t="shared" si="3"/>
        <v>9067000</v>
      </c>
      <c r="H45" s="773">
        <f t="shared" si="7"/>
        <v>729820</v>
      </c>
      <c r="I45" s="381">
        <f t="shared" si="8"/>
        <v>1096300</v>
      </c>
      <c r="J45" s="380">
        <f t="shared" si="4"/>
        <v>603650</v>
      </c>
      <c r="K45" s="377" t="s">
        <v>377</v>
      </c>
      <c r="L45" s="382">
        <f>IF(K45="Independiente",Tabla13[[#This Row],[Ingreso a Planta de separación en año 10 (con turismo) (T/día)]],SUMIFS(Tabla13[Ingreso a Planta de separación en año 10 (con turismo) (T/día)],$K$3:$K$156,K45))</f>
        <v>84.512889999999999</v>
      </c>
      <c r="M4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Propuesta],K45))</f>
        <v>182.98410853599998</v>
      </c>
      <c r="N45" s="379">
        <f t="shared" si="5"/>
        <v>16203000</v>
      </c>
      <c r="O45" s="380">
        <f t="shared" si="9"/>
        <v>864010</v>
      </c>
      <c r="P45" s="381">
        <f t="shared" si="6"/>
        <v>1396500</v>
      </c>
      <c r="Q45" s="380">
        <f t="shared" si="10"/>
        <v>619990</v>
      </c>
    </row>
    <row r="46" spans="2:17" ht="15">
      <c r="B46" s="383">
        <v>79</v>
      </c>
      <c r="C46" s="384" t="s">
        <v>175</v>
      </c>
      <c r="D46" s="384" t="s">
        <v>510</v>
      </c>
      <c r="E46" s="385">
        <v>37.237598999999996</v>
      </c>
      <c r="F46" s="385">
        <v>80.523946104000004</v>
      </c>
      <c r="G46" s="379">
        <f t="shared" si="3"/>
        <v>8896000</v>
      </c>
      <c r="H46" s="773">
        <f t="shared" si="7"/>
        <v>725060</v>
      </c>
      <c r="I46" s="381">
        <f t="shared" si="8"/>
        <v>1089200</v>
      </c>
      <c r="J46" s="380">
        <f t="shared" si="4"/>
        <v>603270</v>
      </c>
      <c r="K46" s="384" t="s">
        <v>384</v>
      </c>
      <c r="L46" s="382">
        <f>IF(K46="Independiente",Tabla13[[#This Row],[Ingreso a Planta de separación en año 10 (con turismo) (T/día)]],SUMIFS(Tabla13[Ingreso a Planta de separación en año 10 (con turismo) (T/día)],$K$3:$K$156,K46))</f>
        <v>66.501638</v>
      </c>
      <c r="M4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Propuesta],K46))</f>
        <v>143.81307650399998</v>
      </c>
      <c r="N46" s="379">
        <f t="shared" si="5"/>
        <v>13442000</v>
      </c>
      <c r="O46" s="380">
        <f t="shared" si="9"/>
        <v>822890</v>
      </c>
      <c r="P46" s="381">
        <f t="shared" si="6"/>
        <v>1279500</v>
      </c>
      <c r="Q46" s="380">
        <f t="shared" si="10"/>
        <v>613620</v>
      </c>
    </row>
    <row r="47" spans="2:17" ht="15">
      <c r="B47" s="383">
        <v>93</v>
      </c>
      <c r="C47" s="384" t="s">
        <v>192</v>
      </c>
      <c r="D47" s="384" t="s">
        <v>365</v>
      </c>
      <c r="E47" s="385">
        <v>30.001565999999993</v>
      </c>
      <c r="F47" s="385">
        <v>64.934796912000024</v>
      </c>
      <c r="G47" s="379">
        <f t="shared" si="3"/>
        <v>7744000</v>
      </c>
      <c r="H47" s="773">
        <f t="shared" si="7"/>
        <v>689590</v>
      </c>
      <c r="I47" s="381">
        <f t="shared" si="8"/>
        <v>1042200</v>
      </c>
      <c r="J47" s="380">
        <f t="shared" si="4"/>
        <v>600710</v>
      </c>
      <c r="K47" s="384" t="s">
        <v>363</v>
      </c>
      <c r="L47" s="382">
        <f>IF(K47="Independiente",Tabla13[[#This Row],[Ingreso a Planta de separación en año 10 (con turismo) (T/día)]],SUMIFS(Tabla13[Ingreso a Planta de separación en año 10 (con turismo) (T/día)],$K$3:$K$156,K47))</f>
        <v>204.50712799999999</v>
      </c>
      <c r="M4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Propuesta],K47))</f>
        <v>444.10043307200004</v>
      </c>
      <c r="N47" s="379">
        <f t="shared" si="5"/>
        <v>34812000</v>
      </c>
      <c r="O47" s="380">
        <f t="shared" si="9"/>
        <v>1010260</v>
      </c>
      <c r="P47" s="381">
        <f t="shared" si="6"/>
        <v>2176500</v>
      </c>
      <c r="Q47" s="380">
        <f t="shared" si="10"/>
        <v>662440</v>
      </c>
    </row>
    <row r="48" spans="2:17" ht="15">
      <c r="B48" s="383">
        <v>106</v>
      </c>
      <c r="C48" s="384" t="s">
        <v>49</v>
      </c>
      <c r="D48" s="384" t="s">
        <v>368</v>
      </c>
      <c r="E48" s="385">
        <v>29.713233334246574</v>
      </c>
      <c r="F48" s="385">
        <v>64.800278521643833</v>
      </c>
      <c r="G48" s="379">
        <f t="shared" si="3"/>
        <v>7734000</v>
      </c>
      <c r="H48" s="773">
        <f t="shared" si="7"/>
        <v>689330</v>
      </c>
      <c r="I48" s="381">
        <f t="shared" si="8"/>
        <v>1040300</v>
      </c>
      <c r="J48" s="380">
        <f t="shared" si="4"/>
        <v>600610</v>
      </c>
      <c r="K48" s="384" t="s">
        <v>367</v>
      </c>
      <c r="L48" s="382">
        <f>IF(K48="Independiente",Tabla13[[#This Row],[Ingreso a Planta de separación en año 10 (con turismo) (T/día)]],SUMIFS(Tabla13[Ingreso a Planta de separación en año 10 (con turismo) (T/día)],$K$3:$K$156,K48))</f>
        <v>172.80720828767122</v>
      </c>
      <c r="M4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Propuesta],K48))</f>
        <v>376.08119674991781</v>
      </c>
      <c r="N48" s="379">
        <f t="shared" si="5"/>
        <v>30131000</v>
      </c>
      <c r="O48" s="380">
        <f t="shared" si="9"/>
        <v>984340</v>
      </c>
      <c r="P48" s="381">
        <f t="shared" si="6"/>
        <v>1970400</v>
      </c>
      <c r="Q48" s="380">
        <f t="shared" si="10"/>
        <v>651230</v>
      </c>
    </row>
    <row r="49" spans="2:17" ht="15">
      <c r="B49" s="376">
        <v>133</v>
      </c>
      <c r="C49" s="377" t="s">
        <v>51</v>
      </c>
      <c r="D49" s="377" t="s">
        <v>369</v>
      </c>
      <c r="E49" s="378">
        <v>28.757298547945204</v>
      </c>
      <c r="F49" s="378">
        <v>62.238748501895898</v>
      </c>
      <c r="G49" s="379">
        <f t="shared" si="3"/>
        <v>7542000</v>
      </c>
      <c r="H49" s="773">
        <f t="shared" si="7"/>
        <v>682670</v>
      </c>
      <c r="I49" s="381">
        <f t="shared" si="8"/>
        <v>1034100</v>
      </c>
      <c r="J49" s="380">
        <f t="shared" si="4"/>
        <v>600270</v>
      </c>
      <c r="K49" s="377" t="s">
        <v>367</v>
      </c>
      <c r="L49" s="382">
        <f>IF(K49="Independiente",Tabla13[[#This Row],[Ingreso a Planta de separación en año 10 (con turismo) (T/día)]],SUMIFS(Tabla13[Ingreso a Planta de separación en año 10 (con turismo) (T/día)],$K$3:$K$156,K49))</f>
        <v>172.80720828767122</v>
      </c>
      <c r="M4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Propuesta],K49))</f>
        <v>376.08119674991781</v>
      </c>
      <c r="N49" s="379">
        <f t="shared" si="5"/>
        <v>30131000</v>
      </c>
      <c r="O49" s="380">
        <f t="shared" si="9"/>
        <v>984340</v>
      </c>
      <c r="P49" s="381">
        <f t="shared" si="6"/>
        <v>1970400</v>
      </c>
      <c r="Q49" s="380">
        <f t="shared" si="10"/>
        <v>651230</v>
      </c>
    </row>
    <row r="50" spans="2:17" ht="15">
      <c r="B50" s="376">
        <v>81</v>
      </c>
      <c r="C50" s="377" t="s">
        <v>42</v>
      </c>
      <c r="D50" s="377" t="s">
        <v>562</v>
      </c>
      <c r="E50" s="378">
        <v>26.921763534246573</v>
      </c>
      <c r="F50" s="378">
        <v>58.267480068076708</v>
      </c>
      <c r="G50" s="379">
        <f t="shared" si="3"/>
        <v>7244000</v>
      </c>
      <c r="H50" s="773">
        <f t="shared" si="7"/>
        <v>694740</v>
      </c>
      <c r="I50" s="381">
        <f t="shared" si="8"/>
        <v>1022200</v>
      </c>
      <c r="J50" s="380">
        <f t="shared" si="4"/>
        <v>576830</v>
      </c>
      <c r="K50" s="377" t="s">
        <v>367</v>
      </c>
      <c r="L50" s="382">
        <f>IF(K50="Independiente",Tabla13[[#This Row],[Ingreso a Planta de separación en año 10 (con turismo) (T/día)]],SUMIFS(Tabla13[Ingreso a Planta de separación en año 10 (con turismo) (T/día)],$K$3:$K$156,K50))</f>
        <v>172.80720828767122</v>
      </c>
      <c r="M5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Propuesta],K50))</f>
        <v>376.08119674991781</v>
      </c>
      <c r="N50" s="379">
        <f t="shared" si="5"/>
        <v>30131000</v>
      </c>
      <c r="O50" s="380">
        <f t="shared" si="9"/>
        <v>984340</v>
      </c>
      <c r="P50" s="381">
        <f t="shared" si="6"/>
        <v>1970400</v>
      </c>
      <c r="Q50" s="380">
        <f t="shared" si="10"/>
        <v>651230</v>
      </c>
    </row>
    <row r="51" spans="2:17" ht="15">
      <c r="B51" s="383">
        <v>32</v>
      </c>
      <c r="C51" s="384" t="s">
        <v>120</v>
      </c>
      <c r="D51" s="384" t="s">
        <v>426</v>
      </c>
      <c r="E51" s="385">
        <v>26.110979999999998</v>
      </c>
      <c r="F51" s="385">
        <v>56.620270584000004</v>
      </c>
      <c r="G51" s="379">
        <f t="shared" si="3"/>
        <v>7119000</v>
      </c>
      <c r="H51" s="773">
        <f t="shared" si="7"/>
        <v>707210</v>
      </c>
      <c r="I51" s="381">
        <f t="shared" si="8"/>
        <v>1016900</v>
      </c>
      <c r="J51" s="380">
        <f t="shared" si="4"/>
        <v>559450</v>
      </c>
      <c r="K51" s="384" t="s">
        <v>427</v>
      </c>
      <c r="L51" s="382">
        <f>IF(K51="Independiente",Tabla13[[#This Row],[Ingreso a Planta de separación en año 10 (con turismo) (T/día)]],SUMIFS(Tabla13[Ingreso a Planta de separación en año 10 (con turismo) (T/día)],$K$3:$K$156,K51))</f>
        <v>29.452373999999999</v>
      </c>
      <c r="M5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Propuesta],K51))</f>
        <v>63.872788088000007</v>
      </c>
      <c r="N51" s="379">
        <f t="shared" si="5"/>
        <v>7664000</v>
      </c>
      <c r="O51" s="380">
        <f t="shared" si="9"/>
        <v>686920</v>
      </c>
      <c r="P51" s="381">
        <f t="shared" si="6"/>
        <v>1038600</v>
      </c>
      <c r="Q51" s="380">
        <f t="shared" si="10"/>
        <v>600510</v>
      </c>
    </row>
    <row r="52" spans="2:17" ht="15">
      <c r="B52" s="383">
        <v>50</v>
      </c>
      <c r="C52" s="384" t="s">
        <v>139</v>
      </c>
      <c r="D52" s="384" t="s">
        <v>400</v>
      </c>
      <c r="E52" s="385">
        <v>25.648308000000004</v>
      </c>
      <c r="F52" s="385">
        <v>55.46962245600001</v>
      </c>
      <c r="G52" s="379">
        <f t="shared" si="3"/>
        <v>7032000</v>
      </c>
      <c r="H52" s="773">
        <f t="shared" si="7"/>
        <v>713610</v>
      </c>
      <c r="I52" s="381">
        <f t="shared" si="8"/>
        <v>1013900</v>
      </c>
      <c r="J52" s="380">
        <f t="shared" si="4"/>
        <v>549540</v>
      </c>
      <c r="K52" s="384" t="s">
        <v>401</v>
      </c>
      <c r="L52" s="382">
        <f>IF(K52="Independiente",Tabla13[[#This Row],[Ingreso a Planta de separación en año 10 (con turismo) (T/día)]],SUMIFS(Tabla13[Ingreso a Planta de separación en año 10 (con turismo) (T/día)],$K$3:$K$156,K52))</f>
        <v>42.825419000000004</v>
      </c>
      <c r="M5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Propuesta],K52))</f>
        <v>92.626796784000007</v>
      </c>
      <c r="N52" s="379">
        <f t="shared" si="5"/>
        <v>9778000</v>
      </c>
      <c r="O52" s="380">
        <f t="shared" si="9"/>
        <v>748440</v>
      </c>
      <c r="P52" s="381">
        <f t="shared" si="6"/>
        <v>1125600</v>
      </c>
      <c r="Q52" s="380">
        <f t="shared" si="10"/>
        <v>605240</v>
      </c>
    </row>
    <row r="53" spans="2:17" ht="15">
      <c r="B53" s="376">
        <v>58</v>
      </c>
      <c r="C53" s="377" t="s">
        <v>147</v>
      </c>
      <c r="D53" s="377" t="s">
        <v>353</v>
      </c>
      <c r="E53" s="378">
        <v>25.017845999999995</v>
      </c>
      <c r="F53" s="378">
        <v>54.182071968000002</v>
      </c>
      <c r="G53" s="379">
        <f t="shared" si="3"/>
        <v>6934000</v>
      </c>
      <c r="H53" s="773">
        <f t="shared" si="7"/>
        <v>723120</v>
      </c>
      <c r="I53" s="381">
        <f t="shared" si="8"/>
        <v>1009800</v>
      </c>
      <c r="J53" s="380">
        <f t="shared" si="4"/>
        <v>536030</v>
      </c>
      <c r="K53" s="377" t="s">
        <v>351</v>
      </c>
      <c r="L53" s="382">
        <f>IF(K53="Independiente",Tabla13[[#This Row],[Ingreso a Planta de separación en año 10 (con turismo) (T/día)]],SUMIFS(Tabla13[Ingreso a Planta de separación en año 10 (con turismo) (T/día)],$K$3:$K$156,K53))</f>
        <v>489.52852199999995</v>
      </c>
      <c r="M5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Propuesta],K53))</f>
        <v>1061.2251288319999</v>
      </c>
      <c r="N53" s="379">
        <f t="shared" si="5"/>
        <v>76990000</v>
      </c>
      <c r="O53" s="380">
        <f t="shared" si="9"/>
        <v>1118170</v>
      </c>
      <c r="P53" s="381">
        <f t="shared" si="6"/>
        <v>4029100</v>
      </c>
      <c r="Q53" s="380">
        <f t="shared" si="10"/>
        <v>763270</v>
      </c>
    </row>
    <row r="54" spans="2:17" ht="15">
      <c r="B54" s="376">
        <v>94</v>
      </c>
      <c r="C54" s="377" t="s">
        <v>193</v>
      </c>
      <c r="D54" s="377" t="s">
        <v>392</v>
      </c>
      <c r="E54" s="378">
        <v>24.745455</v>
      </c>
      <c r="F54" s="378">
        <v>53.587953792000008</v>
      </c>
      <c r="G54" s="379">
        <f t="shared" si="3"/>
        <v>6889000</v>
      </c>
      <c r="H54" s="773">
        <f t="shared" si="7"/>
        <v>727080</v>
      </c>
      <c r="I54" s="381">
        <f t="shared" si="8"/>
        <v>1008000</v>
      </c>
      <c r="J54" s="380">
        <f t="shared" si="4"/>
        <v>530200</v>
      </c>
      <c r="K54" s="377" t="s">
        <v>393</v>
      </c>
      <c r="L54" s="382">
        <f>IF(K54="Independiente",Tabla13[[#This Row],[Ingreso a Planta de separación en año 10 (con turismo) (T/día)]],SUMIFS(Tabla13[Ingreso a Planta de separación en año 10 (con turismo) (T/día)],$K$3:$K$156,K54))</f>
        <v>55.533099999999997</v>
      </c>
      <c r="M5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Propuesta],K54))</f>
        <v>120.33521836000001</v>
      </c>
      <c r="N54" s="379">
        <f t="shared" si="5"/>
        <v>11772000</v>
      </c>
      <c r="O54" s="380">
        <f t="shared" si="9"/>
        <v>792620</v>
      </c>
      <c r="P54" s="381">
        <f t="shared" si="6"/>
        <v>1208200</v>
      </c>
      <c r="Q54" s="380">
        <f t="shared" si="10"/>
        <v>609740</v>
      </c>
    </row>
    <row r="55" spans="2:17" ht="15">
      <c r="B55" s="376">
        <v>123</v>
      </c>
      <c r="C55" s="377" t="s">
        <v>229</v>
      </c>
      <c r="D55" s="377" t="s">
        <v>412</v>
      </c>
      <c r="E55" s="378">
        <v>23.541294000000001</v>
      </c>
      <c r="F55" s="378">
        <v>51.093830615999991</v>
      </c>
      <c r="G55" s="379">
        <f t="shared" si="3"/>
        <v>6699000</v>
      </c>
      <c r="H55" s="773">
        <f t="shared" si="7"/>
        <v>744810</v>
      </c>
      <c r="I55" s="381">
        <f t="shared" si="8"/>
        <v>1000200</v>
      </c>
      <c r="J55" s="380">
        <f t="shared" si="4"/>
        <v>504400</v>
      </c>
      <c r="K55" s="377" t="s">
        <v>413</v>
      </c>
      <c r="L55" s="382">
        <f>IF(K55="Independiente",Tabla13[[#This Row],[Ingreso a Planta de separación en año 10 (con turismo) (T/día)]],SUMIFS(Tabla13[Ingreso a Planta de separación en año 10 (con turismo) (T/día)],$K$3:$K$156,K55))</f>
        <v>37.161816999999999</v>
      </c>
      <c r="M5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Propuesta],K55))</f>
        <v>80.610348935999994</v>
      </c>
      <c r="N55" s="379">
        <f t="shared" si="5"/>
        <v>8902000</v>
      </c>
      <c r="O55" s="380">
        <f t="shared" si="9"/>
        <v>725290</v>
      </c>
      <c r="P55" s="381">
        <f t="shared" si="6"/>
        <v>1088800</v>
      </c>
      <c r="Q55" s="380">
        <f t="shared" si="10"/>
        <v>603240</v>
      </c>
    </row>
    <row r="56" spans="2:17" ht="15">
      <c r="B56" s="383">
        <v>52</v>
      </c>
      <c r="C56" s="384" t="s">
        <v>141</v>
      </c>
      <c r="D56" s="384" t="s">
        <v>360</v>
      </c>
      <c r="E56" s="385">
        <v>22.704843</v>
      </c>
      <c r="F56" s="385">
        <v>49.143891720000013</v>
      </c>
      <c r="G56" s="379">
        <f t="shared" si="3"/>
        <v>6549000</v>
      </c>
      <c r="H56" s="773">
        <f t="shared" si="7"/>
        <v>756200</v>
      </c>
      <c r="I56" s="381">
        <f t="shared" si="8"/>
        <v>994800</v>
      </c>
      <c r="J56" s="380">
        <f t="shared" si="4"/>
        <v>486470</v>
      </c>
      <c r="K56" s="384" t="s">
        <v>359</v>
      </c>
      <c r="L56" s="382">
        <f>IF(K56="Independiente",Tabla13[[#This Row],[Ingreso a Planta de separación en año 10 (con turismo) (T/día)]],SUMIFS(Tabla13[Ingreso a Planta de separación en año 10 (con turismo) (T/día)],$K$3:$K$156,K56))</f>
        <v>213.48101250000002</v>
      </c>
      <c r="M5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Propuesta],K56))</f>
        <v>462.787425552</v>
      </c>
      <c r="N56" s="379">
        <f t="shared" si="5"/>
        <v>36096000</v>
      </c>
      <c r="O56" s="380">
        <f t="shared" si="9"/>
        <v>1016420</v>
      </c>
      <c r="P56" s="381">
        <f t="shared" si="6"/>
        <v>2234800</v>
      </c>
      <c r="Q56" s="380">
        <f t="shared" si="10"/>
        <v>665610</v>
      </c>
    </row>
    <row r="57" spans="2:17" ht="15">
      <c r="B57" s="376">
        <v>42</v>
      </c>
      <c r="C57" s="377" t="s">
        <v>131</v>
      </c>
      <c r="D57" s="377" t="s">
        <v>366</v>
      </c>
      <c r="E57" s="378">
        <v>21.883064000000001</v>
      </c>
      <c r="F57" s="378">
        <v>47.72063904800001</v>
      </c>
      <c r="G57" s="379">
        <f t="shared" si="3"/>
        <v>6440000</v>
      </c>
      <c r="H57" s="773">
        <f t="shared" si="7"/>
        <v>768880</v>
      </c>
      <c r="I57" s="381">
        <f t="shared" si="8"/>
        <v>989400</v>
      </c>
      <c r="J57" s="380">
        <f t="shared" si="4"/>
        <v>468870</v>
      </c>
      <c r="K57" s="377" t="s">
        <v>363</v>
      </c>
      <c r="L57" s="382">
        <f>IF(K57="Independiente",Tabla13[[#This Row],[Ingreso a Planta de separación en año 10 (con turismo) (T/día)]],SUMIFS(Tabla13[Ingreso a Planta de separación en año 10 (con turismo) (T/día)],$K$3:$K$156,K57))</f>
        <v>204.50712799999999</v>
      </c>
      <c r="M5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Propuesta],K57))</f>
        <v>444.10043307200004</v>
      </c>
      <c r="N57" s="379">
        <f t="shared" si="5"/>
        <v>34812000</v>
      </c>
      <c r="O57" s="380">
        <f t="shared" si="9"/>
        <v>1010260</v>
      </c>
      <c r="P57" s="381">
        <f t="shared" si="6"/>
        <v>2176500</v>
      </c>
      <c r="Q57" s="380">
        <f t="shared" si="10"/>
        <v>662440</v>
      </c>
    </row>
    <row r="58" spans="2:17" ht="15">
      <c r="B58" s="376">
        <v>62</v>
      </c>
      <c r="C58" s="377" t="s">
        <v>37</v>
      </c>
      <c r="D58" s="377" t="s">
        <v>357</v>
      </c>
      <c r="E58" s="378">
        <v>21.540223408219177</v>
      </c>
      <c r="F58" s="378">
        <v>46.605262359561642</v>
      </c>
      <c r="G58" s="379">
        <f t="shared" si="3"/>
        <v>6354000</v>
      </c>
      <c r="H58" s="773">
        <f t="shared" si="7"/>
        <v>772280</v>
      </c>
      <c r="I58" s="381">
        <f t="shared" si="8"/>
        <v>987200</v>
      </c>
      <c r="J58" s="380">
        <f t="shared" si="4"/>
        <v>461520</v>
      </c>
      <c r="K58" s="377" t="s">
        <v>356</v>
      </c>
      <c r="L58" s="382">
        <f>IF(K58="Independiente",Tabla13[[#This Row],[Ingreso a Planta de separación en año 10 (con turismo) (T/día)]],SUMIFS(Tabla13[Ingreso a Planta de separación en año 10 (con turismo) (T/día)],$K$3:$K$156,K58))</f>
        <v>413.98282689726022</v>
      </c>
      <c r="M5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Propuesta],K58))</f>
        <v>896.25069932242195</v>
      </c>
      <c r="N58" s="379">
        <f t="shared" si="5"/>
        <v>65744000</v>
      </c>
      <c r="O58" s="380">
        <f t="shared" si="9"/>
        <v>1102470</v>
      </c>
      <c r="P58" s="381">
        <f t="shared" si="6"/>
        <v>3538100</v>
      </c>
      <c r="Q58" s="380">
        <f t="shared" si="10"/>
        <v>736540</v>
      </c>
    </row>
    <row r="59" spans="2:17" ht="15">
      <c r="B59" s="376">
        <v>34</v>
      </c>
      <c r="C59" s="377" t="s">
        <v>121</v>
      </c>
      <c r="D59" s="377" t="s">
        <v>436</v>
      </c>
      <c r="E59" s="378">
        <v>20.444326</v>
      </c>
      <c r="F59" s="378">
        <v>44.429850815999998</v>
      </c>
      <c r="G59" s="379">
        <f t="shared" si="3"/>
        <v>6185000</v>
      </c>
      <c r="H59" s="773">
        <f t="shared" si="7"/>
        <v>787830</v>
      </c>
      <c r="I59" s="381">
        <f t="shared" si="8"/>
        <v>980100</v>
      </c>
      <c r="J59" s="380">
        <f t="shared" si="4"/>
        <v>438040</v>
      </c>
      <c r="K59" s="377" t="s">
        <v>398</v>
      </c>
      <c r="L59" s="382">
        <f>IF(K59="Independiente",Tabla13[[#This Row],[Ingreso a Planta de separación en año 10 (con turismo) (T/día)]],SUMIFS(Tabla13[Ingreso a Planta de separación en año 10 (con turismo) (T/día)],$K$3:$K$156,K59))</f>
        <v>20.444326</v>
      </c>
      <c r="M5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Propuesta],K59))</f>
        <v>44.429850815999998</v>
      </c>
      <c r="N59" s="379">
        <f t="shared" si="5"/>
        <v>6185000</v>
      </c>
      <c r="O59" s="380">
        <f t="shared" si="9"/>
        <v>787830</v>
      </c>
      <c r="P59" s="381">
        <f t="shared" si="6"/>
        <v>980100</v>
      </c>
      <c r="Q59" s="380">
        <f t="shared" si="10"/>
        <v>438040</v>
      </c>
    </row>
    <row r="60" spans="2:17" ht="15">
      <c r="B60" s="376">
        <v>131</v>
      </c>
      <c r="C60" s="377" t="s">
        <v>237</v>
      </c>
      <c r="D60" s="377" t="s">
        <v>420</v>
      </c>
      <c r="E60" s="378">
        <v>19.082756</v>
      </c>
      <c r="F60" s="378">
        <v>41.307854863999999</v>
      </c>
      <c r="G60" s="379">
        <f t="shared" si="3"/>
        <v>5941000</v>
      </c>
      <c r="H60" s="773">
        <f t="shared" si="7"/>
        <v>805000</v>
      </c>
      <c r="I60" s="381">
        <f t="shared" si="8"/>
        <v>971200</v>
      </c>
      <c r="J60" s="380">
        <f t="shared" si="4"/>
        <v>408870</v>
      </c>
      <c r="K60" s="377" t="s">
        <v>421</v>
      </c>
      <c r="L60" s="382">
        <f>IF(K60="Independiente",Tabla13[[#This Row],[Ingreso a Planta de separación en año 10 (con turismo) (T/día)]],SUMIFS(Tabla13[Ingreso a Planta de separación en año 10 (con turismo) (T/día)],$K$3:$K$156,K60))</f>
        <v>31.576090000000001</v>
      </c>
      <c r="M6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Propuesta],K60))</f>
        <v>68.378832615999997</v>
      </c>
      <c r="N60" s="379">
        <f t="shared" si="5"/>
        <v>8000000</v>
      </c>
      <c r="O60" s="380">
        <f t="shared" si="9"/>
        <v>698070</v>
      </c>
      <c r="P60" s="381">
        <f t="shared" si="6"/>
        <v>1052400</v>
      </c>
      <c r="Q60" s="380">
        <f t="shared" si="10"/>
        <v>601270</v>
      </c>
    </row>
    <row r="61" spans="2:17" ht="15">
      <c r="B61" s="383">
        <v>48</v>
      </c>
      <c r="C61" s="384" t="s">
        <v>137</v>
      </c>
      <c r="D61" s="384" t="s">
        <v>385</v>
      </c>
      <c r="E61" s="385">
        <v>18.141528999999998</v>
      </c>
      <c r="F61" s="385">
        <v>39.237783407999999</v>
      </c>
      <c r="G61" s="379">
        <f t="shared" si="3"/>
        <v>5777000</v>
      </c>
      <c r="H61" s="773">
        <f t="shared" si="7"/>
        <v>816770</v>
      </c>
      <c r="I61" s="381">
        <f t="shared" si="8"/>
        <v>965100</v>
      </c>
      <c r="J61" s="380">
        <f t="shared" si="4"/>
        <v>388700</v>
      </c>
      <c r="K61" s="384" t="s">
        <v>384</v>
      </c>
      <c r="L61" s="382">
        <f>IF(K61="Independiente",Tabla13[[#This Row],[Ingreso a Planta de separación en año 10 (con turismo) (T/día)]],SUMIFS(Tabla13[Ingreso a Planta de separación en año 10 (con turismo) (T/día)],$K$3:$K$156,K61))</f>
        <v>66.501638</v>
      </c>
      <c r="M6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Propuesta],K61))</f>
        <v>143.81307650399998</v>
      </c>
      <c r="N61" s="379">
        <f t="shared" si="5"/>
        <v>13442000</v>
      </c>
      <c r="O61" s="380">
        <f t="shared" si="9"/>
        <v>822890</v>
      </c>
      <c r="P61" s="381">
        <f t="shared" si="6"/>
        <v>1279500</v>
      </c>
      <c r="Q61" s="380">
        <f t="shared" si="10"/>
        <v>613620</v>
      </c>
    </row>
    <row r="62" spans="2:17" ht="15">
      <c r="B62" s="383">
        <v>26</v>
      </c>
      <c r="C62" s="384" t="s">
        <v>113</v>
      </c>
      <c r="D62" s="384" t="s">
        <v>409</v>
      </c>
      <c r="E62" s="385">
        <v>16.647883</v>
      </c>
      <c r="F62" s="385">
        <v>36.003031864</v>
      </c>
      <c r="G62" s="379">
        <f t="shared" si="3"/>
        <v>5520000</v>
      </c>
      <c r="H62" s="773">
        <f t="shared" si="7"/>
        <v>834850</v>
      </c>
      <c r="I62" s="381">
        <f t="shared" si="8"/>
        <v>955400</v>
      </c>
      <c r="J62" s="380">
        <f t="shared" si="4"/>
        <v>356700</v>
      </c>
      <c r="K62" s="384" t="s">
        <v>410</v>
      </c>
      <c r="L62" s="382">
        <f>IF(K62="Independiente",Tabla13[[#This Row],[Ingreso a Planta de separación en año 10 (con turismo) (T/día)]],SUMIFS(Tabla13[Ingreso a Planta de separación en año 10 (con turismo) (T/día)],$K$3:$K$156,K62))</f>
        <v>38.417792000000006</v>
      </c>
      <c r="M6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Propuesta],K62))</f>
        <v>83.095595048000007</v>
      </c>
      <c r="N62" s="379">
        <f t="shared" si="5"/>
        <v>9084000</v>
      </c>
      <c r="O62" s="380">
        <f t="shared" si="9"/>
        <v>730290</v>
      </c>
      <c r="P62" s="381">
        <f t="shared" si="6"/>
        <v>1096900</v>
      </c>
      <c r="Q62" s="380">
        <f t="shared" si="10"/>
        <v>603690</v>
      </c>
    </row>
    <row r="63" spans="2:17" ht="15">
      <c r="B63" s="376">
        <v>49</v>
      </c>
      <c r="C63" s="377" t="s">
        <v>138</v>
      </c>
      <c r="D63" s="377" t="s">
        <v>516</v>
      </c>
      <c r="E63" s="378">
        <v>16.073945999999999</v>
      </c>
      <c r="F63" s="378">
        <v>34.834469631999994</v>
      </c>
      <c r="G63" s="379">
        <f t="shared" si="3"/>
        <v>5426000</v>
      </c>
      <c r="H63" s="773">
        <f t="shared" si="7"/>
        <v>841860</v>
      </c>
      <c r="I63" s="381">
        <f t="shared" si="8"/>
        <v>951700</v>
      </c>
      <c r="J63" s="380">
        <f t="shared" si="4"/>
        <v>344400</v>
      </c>
      <c r="K63" s="377" t="s">
        <v>398</v>
      </c>
      <c r="L63" s="382">
        <f>IF(K63="Independiente",Tabla13[[#This Row],[Ingreso a Planta de separación en año 10 (con turismo) (T/día)]],SUMIFS(Tabla13[Ingreso a Planta de separación en año 10 (con turismo) (T/día)],$K$3:$K$156,K63))</f>
        <v>16.073945999999999</v>
      </c>
      <c r="M6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Propuesta],K63))</f>
        <v>34.834469631999994</v>
      </c>
      <c r="N63" s="379">
        <f t="shared" si="5"/>
        <v>5426000</v>
      </c>
      <c r="O63" s="380">
        <f t="shared" si="9"/>
        <v>841860</v>
      </c>
      <c r="P63" s="381">
        <f t="shared" si="6"/>
        <v>951700</v>
      </c>
      <c r="Q63" s="380">
        <f t="shared" si="10"/>
        <v>344400</v>
      </c>
    </row>
    <row r="64" spans="2:17" ht="15">
      <c r="B64" s="383">
        <v>130</v>
      </c>
      <c r="C64" s="384" t="s">
        <v>236</v>
      </c>
      <c r="D64" s="384" t="s">
        <v>432</v>
      </c>
      <c r="E64" s="385">
        <v>15.644328</v>
      </c>
      <c r="F64" s="385">
        <v>33.8903094</v>
      </c>
      <c r="G64" s="379">
        <f t="shared" si="3"/>
        <v>5349000</v>
      </c>
      <c r="H64" s="773">
        <f t="shared" si="7"/>
        <v>846660</v>
      </c>
      <c r="I64" s="381">
        <f t="shared" si="8"/>
        <v>948900</v>
      </c>
      <c r="J64" s="380">
        <f t="shared" si="4"/>
        <v>335200</v>
      </c>
      <c r="K64" s="384" t="s">
        <v>433</v>
      </c>
      <c r="L64" s="382">
        <f>IF(K64="Independiente",Tabla13[[#This Row],[Ingreso a Planta de separación en año 10 (con turismo) (T/día)]],SUMIFS(Tabla13[Ingreso a Planta de separación en año 10 (con turismo) (T/día)],$K$3:$K$156,K64))</f>
        <v>20.759942000000002</v>
      </c>
      <c r="M6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Propuesta],K64))</f>
        <v>44.953306456</v>
      </c>
      <c r="N64" s="379">
        <f t="shared" si="5"/>
        <v>6225000</v>
      </c>
      <c r="O64" s="380">
        <f t="shared" si="9"/>
        <v>783010</v>
      </c>
      <c r="P64" s="381">
        <f t="shared" si="6"/>
        <v>982100</v>
      </c>
      <c r="Q64" s="380">
        <f t="shared" si="10"/>
        <v>444800</v>
      </c>
    </row>
    <row r="65" spans="2:17" ht="15">
      <c r="B65" s="383">
        <v>147</v>
      </c>
      <c r="C65" s="384" t="s">
        <v>42</v>
      </c>
      <c r="D65" s="384" t="s">
        <v>563</v>
      </c>
      <c r="E65" s="385">
        <v>15.334531819178082</v>
      </c>
      <c r="F65" s="385">
        <v>33.297201492076717</v>
      </c>
      <c r="G65" s="379">
        <f t="shared" si="3"/>
        <v>5301000</v>
      </c>
      <c r="H65" s="773">
        <f t="shared" si="7"/>
        <v>850490</v>
      </c>
      <c r="I65" s="381">
        <f t="shared" si="8"/>
        <v>946900</v>
      </c>
      <c r="J65" s="380">
        <f t="shared" si="4"/>
        <v>328560</v>
      </c>
      <c r="K65" s="384" t="s">
        <v>367</v>
      </c>
      <c r="L65" s="382">
        <f>IF(K65="Independiente",Tabla13[[#This Row],[Ingreso a Planta de separación en año 10 (con turismo) (T/día)]],SUMIFS(Tabla13[Ingreso a Planta de separación en año 10 (con turismo) (T/día)],$K$3:$K$156,K65))</f>
        <v>172.80720828767122</v>
      </c>
      <c r="M6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Propuesta],K65))</f>
        <v>376.08119674991781</v>
      </c>
      <c r="N65" s="379">
        <f t="shared" si="5"/>
        <v>30131000</v>
      </c>
      <c r="O65" s="380">
        <f t="shared" si="9"/>
        <v>984340</v>
      </c>
      <c r="P65" s="381">
        <f t="shared" si="6"/>
        <v>1970400</v>
      </c>
      <c r="Q65" s="380">
        <f t="shared" si="10"/>
        <v>651230</v>
      </c>
    </row>
    <row r="66" spans="2:17" ht="15">
      <c r="B66" s="376">
        <v>88</v>
      </c>
      <c r="C66" s="377" t="s">
        <v>187</v>
      </c>
      <c r="D66" s="377" t="s">
        <v>394</v>
      </c>
      <c r="E66" s="378">
        <v>14.763202999999999</v>
      </c>
      <c r="F66" s="378">
        <v>32.013558623999998</v>
      </c>
      <c r="G66" s="379">
        <f t="shared" si="3"/>
        <v>5197000</v>
      </c>
      <c r="H66" s="773">
        <f t="shared" si="7"/>
        <v>856490</v>
      </c>
      <c r="I66" s="381">
        <f t="shared" si="8"/>
        <v>943200</v>
      </c>
      <c r="J66" s="380">
        <f t="shared" si="4"/>
        <v>316320</v>
      </c>
      <c r="K66" s="377" t="s">
        <v>393</v>
      </c>
      <c r="L66" s="382">
        <f>IF(K66="Independiente",Tabla13[[#This Row],[Ingreso a Planta de separación en año 10 (con turismo) (T/día)]],SUMIFS(Tabla13[Ingreso a Planta de separación en año 10 (con turismo) (T/día)],$K$3:$K$156,K66))</f>
        <v>55.533099999999997</v>
      </c>
      <c r="M6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Propuesta],K66))</f>
        <v>120.33521836000001</v>
      </c>
      <c r="N66" s="379">
        <f t="shared" si="5"/>
        <v>11772000</v>
      </c>
      <c r="O66" s="380">
        <f t="shared" si="9"/>
        <v>792620</v>
      </c>
      <c r="P66" s="381">
        <f t="shared" si="6"/>
        <v>1208200</v>
      </c>
      <c r="Q66" s="380">
        <f t="shared" si="10"/>
        <v>609740</v>
      </c>
    </row>
    <row r="67" spans="2:17" ht="15">
      <c r="B67" s="376">
        <v>118</v>
      </c>
      <c r="C67" s="377" t="s">
        <v>223</v>
      </c>
      <c r="D67" s="377" t="s">
        <v>378</v>
      </c>
      <c r="E67" s="378">
        <v>14.582154999999998</v>
      </c>
      <c r="F67" s="378">
        <v>31.670421359999999</v>
      </c>
      <c r="G67" s="379">
        <f t="shared" si="3"/>
        <v>5169000</v>
      </c>
      <c r="H67" s="773">
        <f t="shared" ref="H67:H98" si="11">IF(F67&lt;15,MROUND((229.67*(F67^2))+(2781.9*F67)+17618,10),MROUND((2012.4*(F67)^-0.865*F67)*365-J67,10))</f>
        <v>858660</v>
      </c>
      <c r="I67" s="381">
        <f t="shared" ref="I67:I98" si="12">IF(E67&lt;=7,193620,MROUND((0.0065*E67+0.8472)*1000000,100))</f>
        <v>942000</v>
      </c>
      <c r="J67" s="380">
        <f t="shared" si="4"/>
        <v>312440</v>
      </c>
      <c r="K67" s="377" t="s">
        <v>377</v>
      </c>
      <c r="L67" s="382">
        <f>IF(K67="Independiente",Tabla13[[#This Row],[Ingreso a Planta de separación en año 10 (con turismo) (T/día)]],SUMIFS(Tabla13[Ingreso a Planta de separación en año 10 (con turismo) (T/día)],$K$3:$K$156,K67))</f>
        <v>84.512889999999999</v>
      </c>
      <c r="M6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Propuesta],K67))</f>
        <v>182.98410853599998</v>
      </c>
      <c r="N67" s="379">
        <f t="shared" si="5"/>
        <v>16203000</v>
      </c>
      <c r="O67" s="380">
        <f t="shared" ref="O67:O98" si="13">IF(M67&lt;15,MROUND((229.67*(M67^2))+(2781.9*M67)+17618,10),MROUND((2012.4*(M67)^-0.865*M67)*365-Q67,10))</f>
        <v>864010</v>
      </c>
      <c r="P67" s="381">
        <f t="shared" si="6"/>
        <v>1396500</v>
      </c>
      <c r="Q67" s="380">
        <f t="shared" si="10"/>
        <v>619990</v>
      </c>
    </row>
    <row r="68" spans="2:17" ht="15">
      <c r="B68" s="383">
        <v>116</v>
      </c>
      <c r="C68" s="384" t="s">
        <v>221</v>
      </c>
      <c r="D68" s="384" t="s">
        <v>404</v>
      </c>
      <c r="E68" s="385">
        <v>13.699546000000002</v>
      </c>
      <c r="F68" s="385">
        <v>29.637268855999999</v>
      </c>
      <c r="G68" s="379">
        <f t="shared" ref="G68:G131" si="14">IF(F68&lt;15,MROUND((24249*F68)+173236,100),IF(F68&lt;350,MROUND((63052*F68+1000000+449307*LN(F68)-482686+(4660.55*F68)+139342+815000),1000),MROUND((63052*F68+1000000+449307*LN(F68)-482686+(4660.55*F68)+139342+1345000),1000)))</f>
        <v>5001000</v>
      </c>
      <c r="H68" s="773">
        <f t="shared" si="11"/>
        <v>867130</v>
      </c>
      <c r="I68" s="381">
        <f t="shared" si="12"/>
        <v>936200</v>
      </c>
      <c r="J68" s="380">
        <f t="shared" ref="J68:J131" si="15">IF(E68&lt;=7,14085.034,IF(E68&lt;=28,MROUND(21426*E68,10),MROUND((353.75*E68+590095),10)))</f>
        <v>293530</v>
      </c>
      <c r="K68" s="384" t="s">
        <v>405</v>
      </c>
      <c r="L68" s="382">
        <f>IF(K68="Independiente",Tabla13[[#This Row],[Ingreso a Planta de separación en año 10 (con turismo) (T/día)]],SUMIFS(Tabla13[Ingreso a Planta de separación en año 10 (con turismo) (T/día)],$K$3:$K$156,K68))</f>
        <v>42.233722999999998</v>
      </c>
      <c r="M6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Propuesta],K68))</f>
        <v>91.412511776000002</v>
      </c>
      <c r="N68" s="379">
        <f t="shared" ref="N68:N131" si="16">IF(M68&lt;15,MROUND((24249*M68)+173236,100),IF(M68&lt;350,MROUND((63052*M68+1000000+449307*LN(M68)-482686+(4660.55*M68)+139342+815000),1000),MROUND((63052*M68+1000000+449307*LN(M68)-482686+(4660.55*M68)+139342+1345000),1000)))</f>
        <v>9690000</v>
      </c>
      <c r="O68" s="380">
        <f t="shared" si="13"/>
        <v>746230</v>
      </c>
      <c r="P68" s="381">
        <f t="shared" ref="P68:P131" si="17">IF(L68&lt;=7,193620,MROUND((0.0065*L68+0.8472)*1000000,100))</f>
        <v>1121700</v>
      </c>
      <c r="Q68" s="380">
        <f t="shared" ref="Q68:Q131" si="18">IF(L68&lt;=10,14085.034,IF(L68&lt;=28,MROUND(21426*L68,10),MROUND((353.75*L68+590095),10)))</f>
        <v>605040</v>
      </c>
    </row>
    <row r="69" spans="2:17" ht="15">
      <c r="B69" s="376">
        <v>35</v>
      </c>
      <c r="C69" s="377" t="s">
        <v>122</v>
      </c>
      <c r="D69" s="377" t="s">
        <v>414</v>
      </c>
      <c r="E69" s="378">
        <v>13.620522999999999</v>
      </c>
      <c r="F69" s="378">
        <v>29.516518319999999</v>
      </c>
      <c r="G69" s="379">
        <f t="shared" si="14"/>
        <v>4991000</v>
      </c>
      <c r="H69" s="773">
        <f t="shared" si="11"/>
        <v>868190</v>
      </c>
      <c r="I69" s="381">
        <f t="shared" si="12"/>
        <v>935700</v>
      </c>
      <c r="J69" s="380">
        <f t="shared" si="15"/>
        <v>291830</v>
      </c>
      <c r="K69" s="377" t="s">
        <v>413</v>
      </c>
      <c r="L69" s="382">
        <f>IF(K69="Independiente",Tabla13[[#This Row],[Ingreso a Planta de separación en año 10 (con turismo) (T/día)]],SUMIFS(Tabla13[Ingreso a Planta de separación en año 10 (con turismo) (T/día)],$K$3:$K$156,K69))</f>
        <v>37.161816999999999</v>
      </c>
      <c r="M6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Propuesta],K69))</f>
        <v>80.610348935999994</v>
      </c>
      <c r="N69" s="379">
        <f t="shared" si="16"/>
        <v>8902000</v>
      </c>
      <c r="O69" s="380">
        <f t="shared" si="13"/>
        <v>725290</v>
      </c>
      <c r="P69" s="381">
        <f t="shared" si="17"/>
        <v>1088800</v>
      </c>
      <c r="Q69" s="380">
        <f t="shared" si="18"/>
        <v>603240</v>
      </c>
    </row>
    <row r="70" spans="2:17" ht="15">
      <c r="B70" s="383">
        <v>101</v>
      </c>
      <c r="C70" s="384" t="s">
        <v>203</v>
      </c>
      <c r="D70" s="384" t="s">
        <v>521</v>
      </c>
      <c r="E70" s="385">
        <v>13.566728000000001</v>
      </c>
      <c r="F70" s="385">
        <v>29.334794888000005</v>
      </c>
      <c r="G70" s="379">
        <f t="shared" si="14"/>
        <v>4976000</v>
      </c>
      <c r="H70" s="773">
        <f t="shared" si="11"/>
        <v>868370</v>
      </c>
      <c r="I70" s="381">
        <f t="shared" si="12"/>
        <v>935400</v>
      </c>
      <c r="J70" s="380">
        <f t="shared" si="15"/>
        <v>290680</v>
      </c>
      <c r="K70" s="384" t="s">
        <v>410</v>
      </c>
      <c r="L70" s="382">
        <f>IF(K70="Independiente",Tabla13[[#This Row],[Ingreso a Planta de separación en año 10 (con turismo) (T/día)]],SUMIFS(Tabla13[Ingreso a Planta de separación en año 10 (con turismo) (T/día)],$K$3:$K$156,K70))</f>
        <v>38.417792000000006</v>
      </c>
      <c r="M7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Propuesta],K70))</f>
        <v>83.095595048000007</v>
      </c>
      <c r="N70" s="379">
        <f t="shared" si="16"/>
        <v>9084000</v>
      </c>
      <c r="O70" s="380">
        <f t="shared" si="13"/>
        <v>730290</v>
      </c>
      <c r="P70" s="381">
        <f t="shared" si="17"/>
        <v>1096900</v>
      </c>
      <c r="Q70" s="380">
        <f t="shared" si="18"/>
        <v>603690</v>
      </c>
    </row>
    <row r="71" spans="2:17" ht="15">
      <c r="B71" s="376">
        <v>57</v>
      </c>
      <c r="C71" s="377" t="s">
        <v>146</v>
      </c>
      <c r="D71" s="377" t="s">
        <v>442</v>
      </c>
      <c r="E71" s="378">
        <v>13.380856999999999</v>
      </c>
      <c r="F71" s="378">
        <v>29.016210616000006</v>
      </c>
      <c r="G71" s="379">
        <f t="shared" si="14"/>
        <v>4950000</v>
      </c>
      <c r="H71" s="773">
        <f t="shared" si="11"/>
        <v>870650</v>
      </c>
      <c r="I71" s="381">
        <f t="shared" si="12"/>
        <v>934200</v>
      </c>
      <c r="J71" s="380">
        <f t="shared" si="15"/>
        <v>286700</v>
      </c>
      <c r="K71" s="377" t="s">
        <v>443</v>
      </c>
      <c r="L71" s="382">
        <f>IF(K71="Independiente",Tabla13[[#This Row],[Ingreso a Planta de separación en año 10 (con turismo) (T/día)]],SUMIFS(Tabla13[Ingreso a Planta de separación en año 10 (con turismo) (T/día)],$K$3:$K$156,K71))</f>
        <v>19.698174999999996</v>
      </c>
      <c r="M7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Propuesta],K71))</f>
        <v>42.739354920000004</v>
      </c>
      <c r="N71" s="379">
        <f t="shared" si="16"/>
        <v>6053000</v>
      </c>
      <c r="O71" s="380">
        <f t="shared" si="13"/>
        <v>797410</v>
      </c>
      <c r="P71" s="381">
        <f t="shared" si="17"/>
        <v>975200</v>
      </c>
      <c r="Q71" s="380">
        <f t="shared" si="18"/>
        <v>422050</v>
      </c>
    </row>
    <row r="72" spans="2:17" ht="15">
      <c r="B72" s="383">
        <v>39</v>
      </c>
      <c r="C72" s="384" t="s">
        <v>127</v>
      </c>
      <c r="D72" s="384" t="s">
        <v>402</v>
      </c>
      <c r="E72" s="385">
        <v>13.382341</v>
      </c>
      <c r="F72" s="385">
        <v>28.929086247999997</v>
      </c>
      <c r="G72" s="379">
        <f t="shared" si="14"/>
        <v>4942000</v>
      </c>
      <c r="H72" s="773">
        <f t="shared" si="11"/>
        <v>870150</v>
      </c>
      <c r="I72" s="381">
        <f t="shared" si="12"/>
        <v>934200</v>
      </c>
      <c r="J72" s="380">
        <f t="shared" si="15"/>
        <v>286730</v>
      </c>
      <c r="K72" s="384" t="s">
        <v>401</v>
      </c>
      <c r="L72" s="382">
        <f>IF(K72="Independiente",Tabla13[[#This Row],[Ingreso a Planta de separación en año 10 (con turismo) (T/día)]],SUMIFS(Tabla13[Ingreso a Planta de separación en año 10 (con turismo) (T/día)],$K$3:$K$156,K72))</f>
        <v>42.825419000000004</v>
      </c>
      <c r="M7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Propuesta],K72))</f>
        <v>92.626796784000007</v>
      </c>
      <c r="N72" s="379">
        <f t="shared" si="16"/>
        <v>9778000</v>
      </c>
      <c r="O72" s="380">
        <f t="shared" si="13"/>
        <v>748440</v>
      </c>
      <c r="P72" s="381">
        <f t="shared" si="17"/>
        <v>1125600</v>
      </c>
      <c r="Q72" s="380">
        <f t="shared" si="18"/>
        <v>605240</v>
      </c>
    </row>
    <row r="73" spans="2:17" ht="15">
      <c r="B73" s="383">
        <v>149</v>
      </c>
      <c r="C73" s="384" t="s">
        <v>56</v>
      </c>
      <c r="D73" s="384" t="s">
        <v>370</v>
      </c>
      <c r="E73" s="385">
        <v>11.908064805479453</v>
      </c>
      <c r="F73" s="385">
        <v>26.71808944464658</v>
      </c>
      <c r="G73" s="379">
        <f t="shared" si="14"/>
        <v>4757000</v>
      </c>
      <c r="H73" s="773">
        <f t="shared" si="11"/>
        <v>889390</v>
      </c>
      <c r="I73" s="381">
        <f t="shared" si="12"/>
        <v>924600</v>
      </c>
      <c r="J73" s="380">
        <f t="shared" si="15"/>
        <v>255140</v>
      </c>
      <c r="K73" s="384" t="s">
        <v>367</v>
      </c>
      <c r="L73" s="382">
        <f>IF(K73="Independiente",Tabla13[[#This Row],[Ingreso a Planta de separación en año 10 (con turismo) (T/día)]],SUMIFS(Tabla13[Ingreso a Planta de separación en año 10 (con turismo) (T/día)],$K$3:$K$156,K73))</f>
        <v>172.80720828767122</v>
      </c>
      <c r="M7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Propuesta],K73))</f>
        <v>376.08119674991781</v>
      </c>
      <c r="N73" s="379">
        <f t="shared" si="16"/>
        <v>30131000</v>
      </c>
      <c r="O73" s="380">
        <f t="shared" si="13"/>
        <v>984340</v>
      </c>
      <c r="P73" s="381">
        <f t="shared" si="17"/>
        <v>1970400</v>
      </c>
      <c r="Q73" s="380">
        <f t="shared" si="18"/>
        <v>651230</v>
      </c>
    </row>
    <row r="74" spans="2:17" ht="15">
      <c r="B74" s="376">
        <v>30</v>
      </c>
      <c r="C74" s="377" t="s">
        <v>118</v>
      </c>
      <c r="D74" s="377" t="s">
        <v>379</v>
      </c>
      <c r="E74" s="378">
        <v>12.279729</v>
      </c>
      <c r="F74" s="378">
        <v>26.598669040000004</v>
      </c>
      <c r="G74" s="379">
        <f t="shared" si="14"/>
        <v>4747000</v>
      </c>
      <c r="H74" s="773">
        <f t="shared" si="11"/>
        <v>880720</v>
      </c>
      <c r="I74" s="381">
        <f t="shared" si="12"/>
        <v>927000</v>
      </c>
      <c r="J74" s="380">
        <f t="shared" si="15"/>
        <v>263110</v>
      </c>
      <c r="K74" s="377" t="s">
        <v>377</v>
      </c>
      <c r="L74" s="382">
        <f>IF(K74="Independiente",Tabla13[[#This Row],[Ingreso a Planta de separación en año 10 (con turismo) (T/día)]],SUMIFS(Tabla13[Ingreso a Planta de separación en año 10 (con turismo) (T/día)],$K$3:$K$156,K74))</f>
        <v>84.512889999999999</v>
      </c>
      <c r="M7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Propuesta],K74))</f>
        <v>182.98410853599998</v>
      </c>
      <c r="N74" s="379">
        <f t="shared" si="16"/>
        <v>16203000</v>
      </c>
      <c r="O74" s="380">
        <f t="shared" si="13"/>
        <v>864010</v>
      </c>
      <c r="P74" s="381">
        <f t="shared" si="17"/>
        <v>1396500</v>
      </c>
      <c r="Q74" s="380">
        <f t="shared" si="18"/>
        <v>619990</v>
      </c>
    </row>
    <row r="75" spans="2:17" ht="15">
      <c r="B75" s="376">
        <v>100</v>
      </c>
      <c r="C75" s="377" t="s">
        <v>202</v>
      </c>
      <c r="D75" s="377" t="s">
        <v>467</v>
      </c>
      <c r="E75" s="378">
        <v>12.127619000000001</v>
      </c>
      <c r="F75" s="378">
        <v>26.388763176000005</v>
      </c>
      <c r="G75" s="379">
        <f t="shared" si="14"/>
        <v>4729000</v>
      </c>
      <c r="H75" s="773">
        <f t="shared" si="11"/>
        <v>882760</v>
      </c>
      <c r="I75" s="381">
        <f t="shared" si="12"/>
        <v>926000</v>
      </c>
      <c r="J75" s="380">
        <f t="shared" si="15"/>
        <v>259850</v>
      </c>
      <c r="K75" s="377" t="s">
        <v>398</v>
      </c>
      <c r="L75" s="382">
        <f>IF(K75="Independiente",Tabla13[[#This Row],[Ingreso a Planta de separación en año 10 (con turismo) (T/día)]],SUMIFS(Tabla13[Ingreso a Planta de separación en año 10 (con turismo) (T/día)],$K$3:$K$156,K75))</f>
        <v>12.127619000000001</v>
      </c>
      <c r="M7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Propuesta],K75))</f>
        <v>26.388763176000005</v>
      </c>
      <c r="N75" s="379">
        <f t="shared" si="16"/>
        <v>4729000</v>
      </c>
      <c r="O75" s="380">
        <f t="shared" si="13"/>
        <v>882760</v>
      </c>
      <c r="P75" s="381">
        <f t="shared" si="17"/>
        <v>926000</v>
      </c>
      <c r="Q75" s="380">
        <f t="shared" si="18"/>
        <v>259850</v>
      </c>
    </row>
    <row r="76" spans="2:17" ht="15">
      <c r="B76" s="383">
        <v>40</v>
      </c>
      <c r="C76" s="384" t="s">
        <v>129</v>
      </c>
      <c r="D76" s="384" t="s">
        <v>415</v>
      </c>
      <c r="E76" s="385">
        <v>11.899083000000001</v>
      </c>
      <c r="F76" s="385">
        <v>25.927435487999997</v>
      </c>
      <c r="G76" s="379">
        <f t="shared" si="14"/>
        <v>4690000</v>
      </c>
      <c r="H76" s="773">
        <f t="shared" si="11"/>
        <v>884940</v>
      </c>
      <c r="I76" s="381">
        <f t="shared" si="12"/>
        <v>924500</v>
      </c>
      <c r="J76" s="380">
        <f t="shared" si="15"/>
        <v>254950</v>
      </c>
      <c r="K76" s="384" t="s">
        <v>416</v>
      </c>
      <c r="L76" s="382">
        <f>IF(K76="Independiente",Tabla13[[#This Row],[Ingreso a Planta de separación en año 10 (con turismo) (T/día)]],SUMIFS(Tabla13[Ingreso a Planta de separación en año 10 (con turismo) (T/día)],$K$3:$K$156,K76))</f>
        <v>33.289459000000001</v>
      </c>
      <c r="M7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Propuesta],K76))</f>
        <v>72.300043287999998</v>
      </c>
      <c r="N76" s="379">
        <f t="shared" si="16"/>
        <v>8291000</v>
      </c>
      <c r="O76" s="380">
        <f t="shared" si="13"/>
        <v>707280</v>
      </c>
      <c r="P76" s="381">
        <f t="shared" si="17"/>
        <v>1063600</v>
      </c>
      <c r="Q76" s="380">
        <f t="shared" si="18"/>
        <v>601870</v>
      </c>
    </row>
    <row r="77" spans="2:17" ht="15">
      <c r="B77" s="383">
        <v>86</v>
      </c>
      <c r="C77" s="384" t="s">
        <v>185</v>
      </c>
      <c r="D77" s="384" t="s">
        <v>458</v>
      </c>
      <c r="E77" s="385">
        <v>11.668321000000001</v>
      </c>
      <c r="F77" s="385">
        <v>25.237431880000006</v>
      </c>
      <c r="G77" s="379">
        <f t="shared" si="14"/>
        <v>4631000</v>
      </c>
      <c r="H77" s="773">
        <f t="shared" si="11"/>
        <v>885740</v>
      </c>
      <c r="I77" s="381">
        <f t="shared" si="12"/>
        <v>923000</v>
      </c>
      <c r="J77" s="380">
        <f t="shared" si="15"/>
        <v>250010</v>
      </c>
      <c r="K77" s="384" t="s">
        <v>459</v>
      </c>
      <c r="L77" s="382">
        <f>IF(K77="Independiente",Tabla13[[#This Row],[Ingreso a Planta de separación en año 10 (con turismo) (T/día)]],SUMIFS(Tabla13[Ingreso a Planta de separación en año 10 (con turismo) (T/día)],$K$3:$K$156,K77))</f>
        <v>14.136773</v>
      </c>
      <c r="M7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Propuesta],K77))</f>
        <v>30.575192760000007</v>
      </c>
      <c r="N77" s="379">
        <f t="shared" si="16"/>
        <v>5079000</v>
      </c>
      <c r="O77" s="380">
        <f t="shared" si="13"/>
        <v>862660</v>
      </c>
      <c r="P77" s="381">
        <f t="shared" si="17"/>
        <v>939100</v>
      </c>
      <c r="Q77" s="380">
        <f t="shared" si="18"/>
        <v>302890</v>
      </c>
    </row>
    <row r="78" spans="2:17" ht="15">
      <c r="B78" s="376">
        <v>38</v>
      </c>
      <c r="C78" s="377" t="s">
        <v>126</v>
      </c>
      <c r="D78" s="377" t="s">
        <v>570</v>
      </c>
      <c r="E78" s="378">
        <v>11.547374999999999</v>
      </c>
      <c r="F78" s="378">
        <v>24.992082584000002</v>
      </c>
      <c r="G78" s="379">
        <f t="shared" si="14"/>
        <v>4610000</v>
      </c>
      <c r="H78" s="773">
        <f t="shared" si="11"/>
        <v>886840</v>
      </c>
      <c r="I78" s="381">
        <f t="shared" si="12"/>
        <v>922300</v>
      </c>
      <c r="J78" s="380">
        <f t="shared" si="15"/>
        <v>247410</v>
      </c>
      <c r="K78" s="377" t="s">
        <v>451</v>
      </c>
      <c r="L78" s="382">
        <f>IF(K78="Independiente",Tabla13[[#This Row],[Ingreso a Planta de separación en año 10 (con turismo) (T/día)]],SUMIFS(Tabla13[Ingreso a Planta de separación en año 10 (con turismo) (T/día)],$K$3:$K$156,K78))</f>
        <v>19.622812999999997</v>
      </c>
      <c r="M7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Propuesta],K78))</f>
        <v>42.460377608000002</v>
      </c>
      <c r="N78" s="379">
        <f t="shared" si="16"/>
        <v>6031000</v>
      </c>
      <c r="O78" s="380">
        <f t="shared" si="13"/>
        <v>797950</v>
      </c>
      <c r="P78" s="381">
        <f t="shared" si="17"/>
        <v>974700</v>
      </c>
      <c r="Q78" s="380">
        <f t="shared" si="18"/>
        <v>420440</v>
      </c>
    </row>
    <row r="79" spans="2:17" ht="15">
      <c r="B79" s="383">
        <v>55</v>
      </c>
      <c r="C79" s="384" t="s">
        <v>144</v>
      </c>
      <c r="D79" s="384" t="s">
        <v>520</v>
      </c>
      <c r="E79" s="385">
        <v>11.407137000000001</v>
      </c>
      <c r="F79" s="385">
        <v>24.736482663999997</v>
      </c>
      <c r="G79" s="379">
        <f t="shared" si="14"/>
        <v>4588000</v>
      </c>
      <c r="H79" s="773">
        <f t="shared" si="11"/>
        <v>888270</v>
      </c>
      <c r="I79" s="381">
        <f t="shared" si="12"/>
        <v>921300</v>
      </c>
      <c r="J79" s="380">
        <f t="shared" si="15"/>
        <v>244410</v>
      </c>
      <c r="K79" s="384" t="s">
        <v>428</v>
      </c>
      <c r="L79" s="382">
        <f>IF(K79="Independiente",Tabla13[[#This Row],[Ingreso a Planta de separación en año 10 (con turismo) (T/día)]],SUMIFS(Tabla13[Ingreso a Planta de separación en año 10 (con turismo) (T/día)],$K$3:$K$156,K79))</f>
        <v>24.412884999999999</v>
      </c>
      <c r="M7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Propuesta],K79))</f>
        <v>52.892924216000004</v>
      </c>
      <c r="N79" s="379">
        <f t="shared" si="16"/>
        <v>6836000</v>
      </c>
      <c r="O79" s="380">
        <f t="shared" si="13"/>
        <v>731990</v>
      </c>
      <c r="P79" s="381">
        <f t="shared" si="17"/>
        <v>1005900</v>
      </c>
      <c r="Q79" s="380">
        <f t="shared" si="18"/>
        <v>523070</v>
      </c>
    </row>
    <row r="80" spans="2:17" ht="15">
      <c r="B80" s="376">
        <v>51</v>
      </c>
      <c r="C80" s="377" t="s">
        <v>140</v>
      </c>
      <c r="D80" s="377" t="s">
        <v>522</v>
      </c>
      <c r="E80" s="378">
        <v>10.787938</v>
      </c>
      <c r="F80" s="378">
        <v>23.367467224000002</v>
      </c>
      <c r="G80" s="379">
        <f t="shared" si="14"/>
        <v>4470000</v>
      </c>
      <c r="H80" s="773">
        <f t="shared" si="11"/>
        <v>892870</v>
      </c>
      <c r="I80" s="381">
        <f t="shared" si="12"/>
        <v>917300</v>
      </c>
      <c r="J80" s="380">
        <f t="shared" si="15"/>
        <v>231140</v>
      </c>
      <c r="K80" s="377" t="s">
        <v>377</v>
      </c>
      <c r="L80" s="382">
        <f>IF(K80="Independiente",Tabla13[[#This Row],[Ingreso a Planta de separación en año 10 (con turismo) (T/día)]],SUMIFS(Tabla13[Ingreso a Planta de separación en año 10 (con turismo) (T/día)],$K$3:$K$156,K80))</f>
        <v>84.512889999999999</v>
      </c>
      <c r="M8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Propuesta],K80))</f>
        <v>182.98410853599998</v>
      </c>
      <c r="N80" s="379">
        <f t="shared" si="16"/>
        <v>16203000</v>
      </c>
      <c r="O80" s="380">
        <f t="shared" si="13"/>
        <v>864010</v>
      </c>
      <c r="P80" s="381">
        <f t="shared" si="17"/>
        <v>1396500</v>
      </c>
      <c r="Q80" s="380">
        <f t="shared" si="18"/>
        <v>619990</v>
      </c>
    </row>
    <row r="81" spans="2:17" ht="15">
      <c r="B81" s="376">
        <v>84</v>
      </c>
      <c r="C81" s="377" t="s">
        <v>182</v>
      </c>
      <c r="D81" s="377" t="s">
        <v>406</v>
      </c>
      <c r="E81" s="378">
        <v>10.354239</v>
      </c>
      <c r="F81" s="378">
        <v>22.454112712000001</v>
      </c>
      <c r="G81" s="379">
        <f t="shared" si="14"/>
        <v>4390000</v>
      </c>
      <c r="H81" s="773">
        <f t="shared" si="11"/>
        <v>896130</v>
      </c>
      <c r="I81" s="381">
        <f t="shared" si="12"/>
        <v>914500</v>
      </c>
      <c r="J81" s="380">
        <f t="shared" si="15"/>
        <v>221850</v>
      </c>
      <c r="K81" s="377" t="s">
        <v>405</v>
      </c>
      <c r="L81" s="382">
        <f>IF(K81="Independiente",Tabla13[[#This Row],[Ingreso a Planta de separación en año 10 (con turismo) (T/día)]],SUMIFS(Tabla13[Ingreso a Planta de separación en año 10 (con turismo) (T/día)],$K$3:$K$156,K81))</f>
        <v>42.233722999999998</v>
      </c>
      <c r="M8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Propuesta],K81))</f>
        <v>91.412511776000002</v>
      </c>
      <c r="N81" s="379">
        <f t="shared" si="16"/>
        <v>9690000</v>
      </c>
      <c r="O81" s="380">
        <f t="shared" si="13"/>
        <v>746230</v>
      </c>
      <c r="P81" s="381">
        <f t="shared" si="17"/>
        <v>1121700</v>
      </c>
      <c r="Q81" s="380">
        <f t="shared" si="18"/>
        <v>605040</v>
      </c>
    </row>
    <row r="82" spans="2:17" ht="15">
      <c r="B82" s="383">
        <v>154</v>
      </c>
      <c r="C82" s="384" t="s">
        <v>240</v>
      </c>
      <c r="D82" s="384" t="s">
        <v>464</v>
      </c>
      <c r="E82" s="385">
        <v>9.5654929999999982</v>
      </c>
      <c r="F82" s="385">
        <v>21.336914688</v>
      </c>
      <c r="G82" s="379">
        <f t="shared" si="14"/>
        <v>4292000</v>
      </c>
      <c r="H82" s="773">
        <f t="shared" si="11"/>
        <v>905350</v>
      </c>
      <c r="I82" s="381">
        <f t="shared" si="12"/>
        <v>909400</v>
      </c>
      <c r="J82" s="380">
        <f t="shared" si="15"/>
        <v>204950</v>
      </c>
      <c r="K82" s="384" t="s">
        <v>465</v>
      </c>
      <c r="L82" s="382">
        <f>IF(K82="Independiente",Tabla13[[#This Row],[Ingreso a Planta de separación en año 10 (con turismo) (T/día)]],SUMIFS(Tabla13[Ingreso a Planta de separación en año 10 (con turismo) (T/día)],$K$3:$K$156,K82))</f>
        <v>12.448680999999999</v>
      </c>
      <c r="M8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Propuesta],K82))</f>
        <v>27.625853632000002</v>
      </c>
      <c r="N82" s="379">
        <f t="shared" si="16"/>
        <v>4833000</v>
      </c>
      <c r="O82" s="380">
        <f t="shared" si="13"/>
        <v>882970</v>
      </c>
      <c r="P82" s="381">
        <f t="shared" si="17"/>
        <v>928100</v>
      </c>
      <c r="Q82" s="380">
        <f t="shared" si="18"/>
        <v>266730</v>
      </c>
    </row>
    <row r="83" spans="2:17" ht="15">
      <c r="B83" s="376">
        <v>25</v>
      </c>
      <c r="C83" s="377" t="s">
        <v>112</v>
      </c>
      <c r="D83" s="377" t="s">
        <v>407</v>
      </c>
      <c r="E83" s="378">
        <v>9.5970279999999999</v>
      </c>
      <c r="F83" s="378">
        <v>20.753856175999999</v>
      </c>
      <c r="G83" s="379">
        <f t="shared" si="14"/>
        <v>4240000</v>
      </c>
      <c r="H83" s="773">
        <f t="shared" si="11"/>
        <v>900520</v>
      </c>
      <c r="I83" s="381">
        <f t="shared" si="12"/>
        <v>909600</v>
      </c>
      <c r="J83" s="380">
        <f t="shared" si="15"/>
        <v>205630</v>
      </c>
      <c r="K83" s="377" t="s">
        <v>405</v>
      </c>
      <c r="L83" s="382">
        <f>IF(K83="Independiente",Tabla13[[#This Row],[Ingreso a Planta de separación en año 10 (con turismo) (T/día)]],SUMIFS(Tabla13[Ingreso a Planta de separación en año 10 (con turismo) (T/día)],$K$3:$K$156,K83))</f>
        <v>42.233722999999998</v>
      </c>
      <c r="M8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Propuesta],K83))</f>
        <v>91.412511776000002</v>
      </c>
      <c r="N83" s="379">
        <f t="shared" si="16"/>
        <v>9690000</v>
      </c>
      <c r="O83" s="380">
        <f t="shared" si="13"/>
        <v>746230</v>
      </c>
      <c r="P83" s="381">
        <f t="shared" si="17"/>
        <v>1121700</v>
      </c>
      <c r="Q83" s="380">
        <f t="shared" si="18"/>
        <v>605040</v>
      </c>
    </row>
    <row r="84" spans="2:17" ht="15">
      <c r="B84" s="383">
        <v>120</v>
      </c>
      <c r="C84" s="384" t="s">
        <v>225</v>
      </c>
      <c r="D84" s="384" t="s">
        <v>423</v>
      </c>
      <c r="E84" s="385">
        <v>9.4779369999999989</v>
      </c>
      <c r="F84" s="385">
        <v>20.500698919999998</v>
      </c>
      <c r="G84" s="379">
        <f t="shared" si="14"/>
        <v>4217000</v>
      </c>
      <c r="H84" s="773">
        <f t="shared" si="11"/>
        <v>901250</v>
      </c>
      <c r="I84" s="381">
        <f t="shared" si="12"/>
        <v>908800</v>
      </c>
      <c r="J84" s="380">
        <f t="shared" si="15"/>
        <v>203070</v>
      </c>
      <c r="K84" s="384" t="s">
        <v>424</v>
      </c>
      <c r="L84" s="382">
        <f>IF(K84="Independiente",Tabla13[[#This Row],[Ingreso a Planta de separación en año 10 (con turismo) (T/día)]],SUMIFS(Tabla13[Ingreso a Planta de separación en año 10 (con turismo) (T/día)],$K$3:$K$156,K84))</f>
        <v>30.816744</v>
      </c>
      <c r="M8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Propuesta],K84))</f>
        <v>66.662959888000003</v>
      </c>
      <c r="N84" s="379">
        <f t="shared" si="16"/>
        <v>7873000</v>
      </c>
      <c r="O84" s="380">
        <f t="shared" si="13"/>
        <v>693890</v>
      </c>
      <c r="P84" s="381">
        <f t="shared" si="17"/>
        <v>1047500</v>
      </c>
      <c r="Q84" s="380">
        <f t="shared" si="18"/>
        <v>601000</v>
      </c>
    </row>
    <row r="85" spans="2:17" ht="15">
      <c r="B85" s="383">
        <v>76</v>
      </c>
      <c r="C85" s="384" t="s">
        <v>171</v>
      </c>
      <c r="D85" s="384" t="s">
        <v>437</v>
      </c>
      <c r="E85" s="385">
        <v>9.3632980000000003</v>
      </c>
      <c r="F85" s="385">
        <v>20.319073432</v>
      </c>
      <c r="G85" s="379">
        <f t="shared" si="14"/>
        <v>4201000</v>
      </c>
      <c r="H85" s="773">
        <f t="shared" si="11"/>
        <v>902380</v>
      </c>
      <c r="I85" s="381">
        <f t="shared" si="12"/>
        <v>908100</v>
      </c>
      <c r="J85" s="380">
        <f t="shared" si="15"/>
        <v>200620</v>
      </c>
      <c r="K85" s="384" t="s">
        <v>438</v>
      </c>
      <c r="L85" s="382">
        <f>IF(K85="Independiente",Tabla13[[#This Row],[Ingreso a Planta de separación en año 10 (con turismo) (T/día)]],SUMIFS(Tabla13[Ingreso a Planta de separación en año 10 (con turismo) (T/día)],$K$3:$K$156,K85))</f>
        <v>20.458130000000001</v>
      </c>
      <c r="M8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Propuesta],K85))</f>
        <v>44.31497232800001</v>
      </c>
      <c r="N85" s="379">
        <f t="shared" si="16"/>
        <v>6176000</v>
      </c>
      <c r="O85" s="380">
        <f t="shared" si="13"/>
        <v>787100</v>
      </c>
      <c r="P85" s="381">
        <f t="shared" si="17"/>
        <v>980200</v>
      </c>
      <c r="Q85" s="380">
        <f t="shared" si="18"/>
        <v>438340</v>
      </c>
    </row>
    <row r="86" spans="2:17" ht="15">
      <c r="B86" s="383">
        <v>140</v>
      </c>
      <c r="C86" s="384" t="s">
        <v>150</v>
      </c>
      <c r="D86" s="384" t="s">
        <v>569</v>
      </c>
      <c r="E86" s="385">
        <v>9.2182370000000002</v>
      </c>
      <c r="F86" s="385">
        <v>20.170216784000001</v>
      </c>
      <c r="G86" s="379">
        <f t="shared" si="14"/>
        <v>4187000</v>
      </c>
      <c r="H86" s="773">
        <f t="shared" si="11"/>
        <v>904390</v>
      </c>
      <c r="I86" s="381">
        <f t="shared" si="12"/>
        <v>907100</v>
      </c>
      <c r="J86" s="380">
        <f t="shared" si="15"/>
        <v>197510</v>
      </c>
      <c r="K86" s="384" t="s">
        <v>448</v>
      </c>
      <c r="L86" s="382">
        <f>IF(K86="Independiente",Tabla13[[#This Row],[Ingreso a Planta de separación en año 10 (con turismo) (T/día)]],SUMIFS(Tabla13[Ingreso a Planta de separación en año 10 (con turismo) (T/día)],$K$3:$K$156,K86))</f>
        <v>19.567961</v>
      </c>
      <c r="M8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Propuesta],K86))</f>
        <v>42.738592896</v>
      </c>
      <c r="N86" s="379">
        <f t="shared" si="16"/>
        <v>6053000</v>
      </c>
      <c r="O86" s="380">
        <f t="shared" si="13"/>
        <v>800200</v>
      </c>
      <c r="P86" s="381">
        <f t="shared" si="17"/>
        <v>974400</v>
      </c>
      <c r="Q86" s="380">
        <f t="shared" si="18"/>
        <v>419260</v>
      </c>
    </row>
    <row r="87" spans="2:17" ht="15">
      <c r="B87" s="376">
        <v>67</v>
      </c>
      <c r="C87" s="377" t="s">
        <v>159</v>
      </c>
      <c r="D87" s="377" t="s">
        <v>371</v>
      </c>
      <c r="E87" s="378">
        <v>9.2623860000000011</v>
      </c>
      <c r="F87" s="378">
        <v>20.118474368000001</v>
      </c>
      <c r="G87" s="379">
        <f t="shared" si="14"/>
        <v>4183000</v>
      </c>
      <c r="H87" s="773">
        <f t="shared" si="11"/>
        <v>903060</v>
      </c>
      <c r="I87" s="381">
        <f t="shared" si="12"/>
        <v>907400</v>
      </c>
      <c r="J87" s="380">
        <f t="shared" si="15"/>
        <v>198460</v>
      </c>
      <c r="K87" s="377" t="s">
        <v>367</v>
      </c>
      <c r="L87" s="382">
        <f>IF(K87="Independiente",Tabla13[[#This Row],[Ingreso a Planta de separación en año 10 (con turismo) (T/día)]],SUMIFS(Tabla13[Ingreso a Planta de separación en año 10 (con turismo) (T/día)],$K$3:$K$156,K87))</f>
        <v>172.80720828767122</v>
      </c>
      <c r="M8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Propuesta],K87))</f>
        <v>376.08119674991781</v>
      </c>
      <c r="N87" s="379">
        <f t="shared" si="16"/>
        <v>30131000</v>
      </c>
      <c r="O87" s="380">
        <f t="shared" si="13"/>
        <v>984340</v>
      </c>
      <c r="P87" s="381">
        <f t="shared" si="17"/>
        <v>1970400</v>
      </c>
      <c r="Q87" s="380">
        <f t="shared" si="18"/>
        <v>651230</v>
      </c>
    </row>
    <row r="88" spans="2:17" ht="15">
      <c r="B88" s="376">
        <v>95</v>
      </c>
      <c r="C88" s="377" t="s">
        <v>195</v>
      </c>
      <c r="D88" s="377" t="s">
        <v>417</v>
      </c>
      <c r="E88" s="378">
        <v>9.2505140000000008</v>
      </c>
      <c r="F88" s="378">
        <v>20.016029608000004</v>
      </c>
      <c r="G88" s="379">
        <f t="shared" si="14"/>
        <v>4173000</v>
      </c>
      <c r="H88" s="773">
        <f t="shared" si="11"/>
        <v>902560</v>
      </c>
      <c r="I88" s="381">
        <f t="shared" si="12"/>
        <v>907300</v>
      </c>
      <c r="J88" s="380">
        <f t="shared" si="15"/>
        <v>198200</v>
      </c>
      <c r="K88" s="377" t="s">
        <v>416</v>
      </c>
      <c r="L88" s="382">
        <f>IF(K88="Independiente",Tabla13[[#This Row],[Ingreso a Planta de separación en año 10 (con turismo) (T/día)]],SUMIFS(Tabla13[Ingreso a Planta de separación en año 10 (con turismo) (T/día)],$K$3:$K$156,K88))</f>
        <v>33.289459000000001</v>
      </c>
      <c r="M8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Propuesta],K88))</f>
        <v>72.300043287999998</v>
      </c>
      <c r="N88" s="379">
        <f t="shared" si="16"/>
        <v>8291000</v>
      </c>
      <c r="O88" s="380">
        <f t="shared" si="13"/>
        <v>707280</v>
      </c>
      <c r="P88" s="381">
        <f t="shared" si="17"/>
        <v>1063600</v>
      </c>
      <c r="Q88" s="380">
        <f t="shared" si="18"/>
        <v>601870</v>
      </c>
    </row>
    <row r="89" spans="2:17" ht="15">
      <c r="B89" s="383">
        <v>96</v>
      </c>
      <c r="C89" s="384" t="s">
        <v>45</v>
      </c>
      <c r="D89" s="384" t="s">
        <v>461</v>
      </c>
      <c r="E89" s="385">
        <v>9.0441666575342463</v>
      </c>
      <c r="F89" s="385">
        <v>19.703535789326029</v>
      </c>
      <c r="G89" s="379">
        <f t="shared" si="14"/>
        <v>4145000</v>
      </c>
      <c r="H89" s="773">
        <f t="shared" si="11"/>
        <v>904650</v>
      </c>
      <c r="I89" s="381">
        <f t="shared" si="12"/>
        <v>906000</v>
      </c>
      <c r="J89" s="380">
        <f t="shared" si="15"/>
        <v>193780</v>
      </c>
      <c r="K89" s="384" t="s">
        <v>462</v>
      </c>
      <c r="L89" s="382">
        <f>IF(K89="Independiente",Tabla13[[#This Row],[Ingreso a Planta de separación en año 10 (con turismo) (T/día)]],SUMIFS(Tabla13[Ingreso a Planta de separación en año 10 (con turismo) (T/día)],$K$3:$K$156,K89))</f>
        <v>12.811888657534245</v>
      </c>
      <c r="M8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Propuesta],K89))</f>
        <v>27.846779629326029</v>
      </c>
      <c r="N89" s="379">
        <f t="shared" si="16"/>
        <v>4852000</v>
      </c>
      <c r="O89" s="380">
        <f t="shared" si="13"/>
        <v>876430</v>
      </c>
      <c r="P89" s="381">
        <f t="shared" si="17"/>
        <v>930500</v>
      </c>
      <c r="Q89" s="380">
        <f t="shared" si="18"/>
        <v>274510</v>
      </c>
    </row>
    <row r="90" spans="2:17" ht="15">
      <c r="B90" s="376">
        <v>54</v>
      </c>
      <c r="C90" s="377" t="s">
        <v>143</v>
      </c>
      <c r="D90" s="377" t="s">
        <v>454</v>
      </c>
      <c r="E90" s="378">
        <v>8.9318249999999999</v>
      </c>
      <c r="F90" s="378">
        <v>19.371407568000002</v>
      </c>
      <c r="G90" s="379">
        <f t="shared" si="14"/>
        <v>4115000</v>
      </c>
      <c r="H90" s="773">
        <f t="shared" si="11"/>
        <v>904540</v>
      </c>
      <c r="I90" s="381">
        <f t="shared" si="12"/>
        <v>905300</v>
      </c>
      <c r="J90" s="380">
        <f t="shared" si="15"/>
        <v>191370</v>
      </c>
      <c r="K90" s="377" t="s">
        <v>455</v>
      </c>
      <c r="L90" s="382">
        <f>IF(K90="Independiente",Tabla13[[#This Row],[Ingreso a Planta de separación en año 10 (con turismo) (T/día)]],SUMIFS(Tabla13[Ingreso a Planta de separación en año 10 (con turismo) (T/día)],$K$3:$K$156,K90))</f>
        <v>14.348186999999999</v>
      </c>
      <c r="M9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Propuesta],K90))</f>
        <v>31.222409280000001</v>
      </c>
      <c r="N90" s="379">
        <f t="shared" si="16"/>
        <v>5132000</v>
      </c>
      <c r="O90" s="380">
        <f t="shared" si="13"/>
        <v>861430</v>
      </c>
      <c r="P90" s="381">
        <f t="shared" si="17"/>
        <v>940500</v>
      </c>
      <c r="Q90" s="380">
        <f t="shared" si="18"/>
        <v>307420</v>
      </c>
    </row>
    <row r="91" spans="2:17" ht="15">
      <c r="B91" s="376">
        <v>113</v>
      </c>
      <c r="C91" s="377" t="s">
        <v>217</v>
      </c>
      <c r="D91" s="377" t="s">
        <v>380</v>
      </c>
      <c r="E91" s="378">
        <v>8.5437589999999997</v>
      </c>
      <c r="F91" s="378">
        <v>18.487353152000004</v>
      </c>
      <c r="G91" s="379">
        <f t="shared" si="14"/>
        <v>4034000</v>
      </c>
      <c r="H91" s="773">
        <f t="shared" si="11"/>
        <v>905960</v>
      </c>
      <c r="I91" s="381">
        <f t="shared" si="12"/>
        <v>902700</v>
      </c>
      <c r="J91" s="380">
        <f t="shared" si="15"/>
        <v>183060</v>
      </c>
      <c r="K91" s="377" t="s">
        <v>377</v>
      </c>
      <c r="L91" s="382">
        <f>IF(K91="Independiente",Tabla13[[#This Row],[Ingreso a Planta de separación en año 10 (con turismo) (T/día)]],SUMIFS(Tabla13[Ingreso a Planta de separación en año 10 (con turismo) (T/día)],$K$3:$K$156,K91))</f>
        <v>84.512889999999999</v>
      </c>
      <c r="M9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Propuesta],K91))</f>
        <v>182.98410853599998</v>
      </c>
      <c r="N91" s="379">
        <f t="shared" si="16"/>
        <v>16203000</v>
      </c>
      <c r="O91" s="380">
        <f t="shared" si="13"/>
        <v>864010</v>
      </c>
      <c r="P91" s="381">
        <f t="shared" si="17"/>
        <v>1396500</v>
      </c>
      <c r="Q91" s="380">
        <f t="shared" si="18"/>
        <v>619990</v>
      </c>
    </row>
    <row r="92" spans="2:17" ht="15">
      <c r="B92" s="383">
        <v>119</v>
      </c>
      <c r="C92" s="384" t="s">
        <v>224</v>
      </c>
      <c r="D92" s="384" t="s">
        <v>523</v>
      </c>
      <c r="E92" s="385">
        <v>8.4198449999999987</v>
      </c>
      <c r="F92" s="385">
        <v>18.215898176</v>
      </c>
      <c r="G92" s="379">
        <f t="shared" si="14"/>
        <v>4009000</v>
      </c>
      <c r="H92" s="773">
        <f t="shared" si="11"/>
        <v>906450</v>
      </c>
      <c r="I92" s="381">
        <f t="shared" si="12"/>
        <v>901900</v>
      </c>
      <c r="J92" s="380">
        <f t="shared" si="15"/>
        <v>180400</v>
      </c>
      <c r="K92" s="384" t="s">
        <v>424</v>
      </c>
      <c r="L92" s="382">
        <f>IF(K92="Independiente",Tabla13[[#This Row],[Ingreso a Planta de separación en año 10 (con turismo) (T/día)]],SUMIFS(Tabla13[Ingreso a Planta de separación en año 10 (con turismo) (T/día)],$K$3:$K$156,K92))</f>
        <v>30.816744</v>
      </c>
      <c r="M9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Propuesta],K92))</f>
        <v>66.662959888000003</v>
      </c>
      <c r="N92" s="379">
        <f t="shared" si="16"/>
        <v>7873000</v>
      </c>
      <c r="O92" s="380">
        <f t="shared" si="13"/>
        <v>693890</v>
      </c>
      <c r="P92" s="381">
        <f t="shared" si="17"/>
        <v>1047500</v>
      </c>
      <c r="Q92" s="380">
        <f t="shared" si="18"/>
        <v>601000</v>
      </c>
    </row>
    <row r="93" spans="2:17" ht="15">
      <c r="B93" s="376">
        <v>65</v>
      </c>
      <c r="C93" s="377" t="s">
        <v>157</v>
      </c>
      <c r="D93" s="377" t="s">
        <v>418</v>
      </c>
      <c r="E93" s="378">
        <v>8.197616</v>
      </c>
      <c r="F93" s="378">
        <v>17.804965856000003</v>
      </c>
      <c r="G93" s="379">
        <f t="shared" si="14"/>
        <v>3971000</v>
      </c>
      <c r="H93" s="773">
        <f t="shared" si="11"/>
        <v>907860</v>
      </c>
      <c r="I93" s="381">
        <f t="shared" si="12"/>
        <v>900500</v>
      </c>
      <c r="J93" s="380">
        <f t="shared" si="15"/>
        <v>175640</v>
      </c>
      <c r="K93" s="377" t="s">
        <v>416</v>
      </c>
      <c r="L93" s="382">
        <f>IF(K93="Independiente",Tabla13[[#This Row],[Ingreso a Planta de separación en año 10 (con turismo) (T/día)]],SUMIFS(Tabla13[Ingreso a Planta de separación en año 10 (con turismo) (T/día)],$K$3:$K$156,K93))</f>
        <v>33.289459000000001</v>
      </c>
      <c r="M9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Propuesta],K93))</f>
        <v>72.300043287999998</v>
      </c>
      <c r="N93" s="379">
        <f t="shared" si="16"/>
        <v>8291000</v>
      </c>
      <c r="O93" s="380">
        <f t="shared" si="13"/>
        <v>707280</v>
      </c>
      <c r="P93" s="381">
        <f t="shared" si="17"/>
        <v>1063600</v>
      </c>
      <c r="Q93" s="380">
        <f t="shared" si="18"/>
        <v>601870</v>
      </c>
    </row>
    <row r="94" spans="2:17" ht="15">
      <c r="B94" s="383">
        <v>44</v>
      </c>
      <c r="C94" s="384" t="s">
        <v>133</v>
      </c>
      <c r="D94" s="384" t="s">
        <v>411</v>
      </c>
      <c r="E94" s="385">
        <v>8.2031810000000007</v>
      </c>
      <c r="F94" s="385">
        <v>17.757768296000002</v>
      </c>
      <c r="G94" s="379">
        <f t="shared" si="14"/>
        <v>3967000</v>
      </c>
      <c r="H94" s="773">
        <f t="shared" si="11"/>
        <v>907360</v>
      </c>
      <c r="I94" s="381">
        <f t="shared" si="12"/>
        <v>900500</v>
      </c>
      <c r="J94" s="380">
        <f t="shared" si="15"/>
        <v>175760</v>
      </c>
      <c r="K94" s="384" t="s">
        <v>410</v>
      </c>
      <c r="L94" s="382">
        <f>IF(K94="Independiente",Tabla13[[#This Row],[Ingreso a Planta de separación en año 10 (con turismo) (T/día)]],SUMIFS(Tabla13[Ingreso a Planta de separación en año 10 (con turismo) (T/día)],$K$3:$K$156,K94))</f>
        <v>38.417792000000006</v>
      </c>
      <c r="M9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Propuesta],K94))</f>
        <v>83.095595048000007</v>
      </c>
      <c r="N94" s="379">
        <f t="shared" si="16"/>
        <v>9084000</v>
      </c>
      <c r="O94" s="380">
        <f t="shared" si="13"/>
        <v>730290</v>
      </c>
      <c r="P94" s="381">
        <f t="shared" si="17"/>
        <v>1096900</v>
      </c>
      <c r="Q94" s="380">
        <f t="shared" si="18"/>
        <v>603690</v>
      </c>
    </row>
    <row r="95" spans="2:17" ht="15">
      <c r="B95" s="376">
        <v>31</v>
      </c>
      <c r="C95" s="377" t="s">
        <v>119</v>
      </c>
      <c r="D95" s="377" t="s">
        <v>468</v>
      </c>
      <c r="E95" s="378">
        <v>7.4938290000000007</v>
      </c>
      <c r="F95" s="378">
        <v>16.214581287999998</v>
      </c>
      <c r="G95" s="379">
        <f t="shared" si="14"/>
        <v>3821000</v>
      </c>
      <c r="H95" s="773">
        <f t="shared" si="11"/>
        <v>909340</v>
      </c>
      <c r="I95" s="381">
        <f t="shared" si="12"/>
        <v>895900</v>
      </c>
      <c r="J95" s="380">
        <f t="shared" si="15"/>
        <v>160560</v>
      </c>
      <c r="K95" s="377" t="s">
        <v>469</v>
      </c>
      <c r="L95" s="382">
        <f>IF(K95="Independiente",Tabla13[[#This Row],[Ingreso a Planta de separación en año 10 (con turismo) (T/día)]],SUMIFS(Tabla13[Ingreso a Planta de separación en año 10 (con turismo) (T/día)],$K$3:$K$156,K95))</f>
        <v>11.002019000000001</v>
      </c>
      <c r="M9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Propuesta],K95))</f>
        <v>23.799487431999996</v>
      </c>
      <c r="N95" s="379">
        <f t="shared" si="16"/>
        <v>4507000</v>
      </c>
      <c r="O95" s="380">
        <f t="shared" si="13"/>
        <v>891060</v>
      </c>
      <c r="P95" s="381">
        <f t="shared" si="17"/>
        <v>918700</v>
      </c>
      <c r="Q95" s="380">
        <f t="shared" si="18"/>
        <v>235730</v>
      </c>
    </row>
    <row r="96" spans="2:17" ht="15">
      <c r="B96" s="383">
        <v>97</v>
      </c>
      <c r="C96" s="384" t="s">
        <v>197</v>
      </c>
      <c r="D96" s="384" t="s">
        <v>395</v>
      </c>
      <c r="E96" s="385">
        <v>7.1246840000000002</v>
      </c>
      <c r="F96" s="385">
        <v>15.479222824000001</v>
      </c>
      <c r="G96" s="379">
        <f t="shared" si="14"/>
        <v>3751000</v>
      </c>
      <c r="H96" s="773">
        <f t="shared" si="11"/>
        <v>910570</v>
      </c>
      <c r="I96" s="381">
        <f t="shared" si="12"/>
        <v>893500</v>
      </c>
      <c r="J96" s="380">
        <f t="shared" si="15"/>
        <v>152650</v>
      </c>
      <c r="K96" s="384" t="s">
        <v>393</v>
      </c>
      <c r="L96" s="382">
        <f>IF(K96="Independiente",Tabla13[[#This Row],[Ingreso a Planta de separación en año 10 (con turismo) (T/día)]],SUMIFS(Tabla13[Ingreso a Planta de separación en año 10 (con turismo) (T/día)],$K$3:$K$156,K96))</f>
        <v>55.533099999999997</v>
      </c>
      <c r="M9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Propuesta],K96))</f>
        <v>120.33521836000001</v>
      </c>
      <c r="N96" s="379">
        <f t="shared" si="16"/>
        <v>11772000</v>
      </c>
      <c r="O96" s="380">
        <f t="shared" si="13"/>
        <v>792620</v>
      </c>
      <c r="P96" s="381">
        <f t="shared" si="17"/>
        <v>1208200</v>
      </c>
      <c r="Q96" s="380">
        <f t="shared" si="18"/>
        <v>609740</v>
      </c>
    </row>
    <row r="97" spans="2:17" ht="15">
      <c r="B97" s="383">
        <v>110</v>
      </c>
      <c r="C97" s="384" t="s">
        <v>213</v>
      </c>
      <c r="D97" s="384" t="s">
        <v>382</v>
      </c>
      <c r="E97" s="385">
        <v>6.9992860000000006</v>
      </c>
      <c r="F97" s="385">
        <v>15.19791324</v>
      </c>
      <c r="G97" s="379">
        <f t="shared" si="14"/>
        <v>3723000</v>
      </c>
      <c r="H97" s="773">
        <f t="shared" si="11"/>
        <v>1046510</v>
      </c>
      <c r="I97" s="381">
        <f t="shared" si="12"/>
        <v>193620</v>
      </c>
      <c r="J97" s="380">
        <f t="shared" si="15"/>
        <v>14085.034</v>
      </c>
      <c r="K97" s="384" t="s">
        <v>381</v>
      </c>
      <c r="L97" s="382">
        <f>IF(K97="Independiente",Tabla13[[#This Row],[Ingreso a Planta de separación en año 10 (con turismo) (T/día)]],SUMIFS(Tabla13[Ingreso a Planta de separación en año 10 (con turismo) (T/día)],$K$3:$K$156,K97))</f>
        <v>74.245080000000002</v>
      </c>
      <c r="M9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Propuesta],K97))</f>
        <v>161.14455615199998</v>
      </c>
      <c r="N97" s="379">
        <f t="shared" si="16"/>
        <v>14667000</v>
      </c>
      <c r="O97" s="380">
        <f t="shared" si="13"/>
        <v>842390</v>
      </c>
      <c r="P97" s="381">
        <f t="shared" si="17"/>
        <v>1329800</v>
      </c>
      <c r="Q97" s="380">
        <f t="shared" si="18"/>
        <v>616360</v>
      </c>
    </row>
    <row r="98" spans="2:17" ht="15">
      <c r="B98" s="376">
        <v>43</v>
      </c>
      <c r="C98" s="377" t="s">
        <v>132</v>
      </c>
      <c r="D98" s="377" t="s">
        <v>532</v>
      </c>
      <c r="E98" s="378">
        <v>6.5173570000000005</v>
      </c>
      <c r="F98" s="378">
        <v>14.098446896000002</v>
      </c>
      <c r="G98" s="379">
        <f t="shared" si="14"/>
        <v>515100</v>
      </c>
      <c r="H98" s="773">
        <f t="shared" si="11"/>
        <v>102490</v>
      </c>
      <c r="I98" s="381">
        <f t="shared" si="12"/>
        <v>193620</v>
      </c>
      <c r="J98" s="380">
        <f t="shared" si="15"/>
        <v>14085.034</v>
      </c>
      <c r="K98" s="377" t="s">
        <v>424</v>
      </c>
      <c r="L98" s="382">
        <f>IF(K98="Independiente",Tabla13[[#This Row],[Ingreso a Planta de separación en año 10 (con turismo) (T/día)]],SUMIFS(Tabla13[Ingreso a Planta de separación en año 10 (con turismo) (T/día)],$K$3:$K$156,K98))</f>
        <v>30.816744</v>
      </c>
      <c r="M9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Propuesta],K98))</f>
        <v>66.662959888000003</v>
      </c>
      <c r="N98" s="379">
        <f t="shared" si="16"/>
        <v>7873000</v>
      </c>
      <c r="O98" s="380">
        <f t="shared" si="13"/>
        <v>693890</v>
      </c>
      <c r="P98" s="381">
        <f t="shared" si="17"/>
        <v>1047500</v>
      </c>
      <c r="Q98" s="380">
        <f t="shared" si="18"/>
        <v>601000</v>
      </c>
    </row>
    <row r="99" spans="2:17" ht="15">
      <c r="B99" s="376">
        <v>75</v>
      </c>
      <c r="C99" s="377" t="s">
        <v>170</v>
      </c>
      <c r="D99" s="377" t="s">
        <v>386</v>
      </c>
      <c r="E99" s="378">
        <v>6.5117920000000007</v>
      </c>
      <c r="F99" s="378">
        <v>14.081941424000002</v>
      </c>
      <c r="G99" s="379">
        <f t="shared" si="14"/>
        <v>514700</v>
      </c>
      <c r="H99" s="773">
        <f t="shared" ref="H99:H130" si="19">IF(F99&lt;15,MROUND((229.67*(F99^2))+(2781.9*F99)+17618,10),MROUND((2012.4*(F99)^-0.865*F99)*365-J99,10))</f>
        <v>102340</v>
      </c>
      <c r="I99" s="381">
        <f t="shared" ref="I99:I130" si="20">IF(E99&lt;=7,193620,MROUND((0.0065*E99+0.8472)*1000000,100))</f>
        <v>193620</v>
      </c>
      <c r="J99" s="380">
        <f t="shared" si="15"/>
        <v>14085.034</v>
      </c>
      <c r="K99" s="377" t="s">
        <v>384</v>
      </c>
      <c r="L99" s="382">
        <f>IF(K99="Independiente",Tabla13[[#This Row],[Ingreso a Planta de separación en año 10 (con turismo) (T/día)]],SUMIFS(Tabla13[Ingreso a Planta de separación en año 10 (con turismo) (T/día)],$K$3:$K$156,K99))</f>
        <v>66.501638</v>
      </c>
      <c r="M9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Propuesta],K99))</f>
        <v>143.81307650399998</v>
      </c>
      <c r="N99" s="379">
        <f t="shared" si="16"/>
        <v>13442000</v>
      </c>
      <c r="O99" s="380">
        <f t="shared" ref="O99:O130" si="21">IF(M99&lt;15,MROUND((229.67*(M99^2))+(2781.9*M99)+17618,10),MROUND((2012.4*(M99)^-0.865*M99)*365-Q99,10))</f>
        <v>822890</v>
      </c>
      <c r="P99" s="381">
        <f t="shared" si="17"/>
        <v>1279500</v>
      </c>
      <c r="Q99" s="380">
        <f t="shared" si="18"/>
        <v>613620</v>
      </c>
    </row>
    <row r="100" spans="2:17" ht="15">
      <c r="B100" s="376">
        <v>46</v>
      </c>
      <c r="C100" s="377" t="s">
        <v>135</v>
      </c>
      <c r="D100" s="377" t="s">
        <v>425</v>
      </c>
      <c r="E100" s="378">
        <v>6.4016049999999991</v>
      </c>
      <c r="F100" s="378">
        <v>13.847915896</v>
      </c>
      <c r="G100" s="379">
        <f t="shared" si="14"/>
        <v>509000</v>
      </c>
      <c r="H100" s="773">
        <f t="shared" si="19"/>
        <v>100180</v>
      </c>
      <c r="I100" s="381">
        <f t="shared" si="20"/>
        <v>193620</v>
      </c>
      <c r="J100" s="380">
        <f t="shared" si="15"/>
        <v>14085.034</v>
      </c>
      <c r="K100" s="377" t="s">
        <v>424</v>
      </c>
      <c r="L100" s="382">
        <f>IF(K100="Independiente",Tabla13[[#This Row],[Ingreso a Planta de separación en año 10 (con turismo) (T/día)]],SUMIFS(Tabla13[Ingreso a Planta de separación en año 10 (con turismo) (T/día)],$K$3:$K$156,K100))</f>
        <v>30.816744</v>
      </c>
      <c r="M10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Propuesta],K100))</f>
        <v>66.662959888000003</v>
      </c>
      <c r="N100" s="379">
        <f t="shared" si="16"/>
        <v>7873000</v>
      </c>
      <c r="O100" s="380">
        <f t="shared" si="21"/>
        <v>693890</v>
      </c>
      <c r="P100" s="381">
        <f t="shared" si="17"/>
        <v>1047500</v>
      </c>
      <c r="Q100" s="380">
        <f t="shared" si="18"/>
        <v>601000</v>
      </c>
    </row>
    <row r="101" spans="2:17" ht="15">
      <c r="B101" s="383">
        <v>36</v>
      </c>
      <c r="C101" s="384" t="s">
        <v>123</v>
      </c>
      <c r="D101" s="384" t="s">
        <v>526</v>
      </c>
      <c r="E101" s="385">
        <v>6.0881099999999995</v>
      </c>
      <c r="F101" s="385">
        <v>13.189130136000003</v>
      </c>
      <c r="G101" s="379">
        <f t="shared" si="14"/>
        <v>493100</v>
      </c>
      <c r="H101" s="773">
        <f t="shared" si="19"/>
        <v>94260</v>
      </c>
      <c r="I101" s="381">
        <f t="shared" si="20"/>
        <v>193620</v>
      </c>
      <c r="J101" s="380">
        <f t="shared" si="15"/>
        <v>14085.034</v>
      </c>
      <c r="K101" s="384" t="s">
        <v>421</v>
      </c>
      <c r="L101" s="382">
        <f>IF(K101="Independiente",Tabla13[[#This Row],[Ingreso a Planta de separación en año 10 (con turismo) (T/día)]],SUMIFS(Tabla13[Ingreso a Planta de separación en año 10 (con turismo) (T/día)],$K$3:$K$156,K101))</f>
        <v>31.576090000000001</v>
      </c>
      <c r="M10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Propuesta],K101))</f>
        <v>68.378832615999997</v>
      </c>
      <c r="N101" s="379">
        <f t="shared" si="16"/>
        <v>8000000</v>
      </c>
      <c r="O101" s="380">
        <f t="shared" si="21"/>
        <v>698070</v>
      </c>
      <c r="P101" s="381">
        <f t="shared" si="17"/>
        <v>1052400</v>
      </c>
      <c r="Q101" s="380">
        <f t="shared" si="18"/>
        <v>601270</v>
      </c>
    </row>
    <row r="102" spans="2:17" ht="15">
      <c r="B102" s="383">
        <v>115</v>
      </c>
      <c r="C102" s="384" t="s">
        <v>220</v>
      </c>
      <c r="D102" s="384" t="s">
        <v>566</v>
      </c>
      <c r="E102" s="385">
        <v>5.9597439999999997</v>
      </c>
      <c r="F102" s="385">
        <v>12.889400720000001</v>
      </c>
      <c r="G102" s="379">
        <f t="shared" si="14"/>
        <v>485800</v>
      </c>
      <c r="H102" s="773">
        <f t="shared" si="19"/>
        <v>91630</v>
      </c>
      <c r="I102" s="381">
        <f t="shared" si="20"/>
        <v>193620</v>
      </c>
      <c r="J102" s="380">
        <f t="shared" si="15"/>
        <v>14085.034</v>
      </c>
      <c r="K102" s="384" t="s">
        <v>428</v>
      </c>
      <c r="L102" s="382">
        <f>IF(K102="Independiente",Tabla13[[#This Row],[Ingreso a Planta de separación en año 10 (con turismo) (T/día)]],SUMIFS(Tabla13[Ingreso a Planta de separación en año 10 (con turismo) (T/día)],$K$3:$K$156,K102))</f>
        <v>24.412884999999999</v>
      </c>
      <c r="M10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Propuesta],K102))</f>
        <v>52.892924216000004</v>
      </c>
      <c r="N102" s="379">
        <f t="shared" si="16"/>
        <v>6836000</v>
      </c>
      <c r="O102" s="380">
        <f t="shared" si="21"/>
        <v>731990</v>
      </c>
      <c r="P102" s="381">
        <f t="shared" si="17"/>
        <v>1005900</v>
      </c>
      <c r="Q102" s="380">
        <f t="shared" si="18"/>
        <v>523070</v>
      </c>
    </row>
    <row r="103" spans="2:17" ht="15">
      <c r="B103" s="376">
        <v>139</v>
      </c>
      <c r="C103" s="377" t="s">
        <v>150</v>
      </c>
      <c r="D103" s="377" t="s">
        <v>449</v>
      </c>
      <c r="E103" s="378">
        <v>5.3693499999999998</v>
      </c>
      <c r="F103" s="378">
        <v>11.725333392000001</v>
      </c>
      <c r="G103" s="379">
        <f t="shared" si="14"/>
        <v>457600</v>
      </c>
      <c r="H103" s="773">
        <f t="shared" si="19"/>
        <v>81810</v>
      </c>
      <c r="I103" s="381">
        <f t="shared" si="20"/>
        <v>193620</v>
      </c>
      <c r="J103" s="380">
        <f t="shared" si="15"/>
        <v>14085.034</v>
      </c>
      <c r="K103" s="377" t="s">
        <v>448</v>
      </c>
      <c r="L103" s="382">
        <f>IF(K103="Independiente",Tabla13[[#This Row],[Ingreso a Planta de separación en año 10 (con turismo) (T/día)]],SUMIFS(Tabla13[Ingreso a Planta de separación en año 10 (con turismo) (T/día)],$K$3:$K$156,K103))</f>
        <v>19.567961</v>
      </c>
      <c r="M10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Propuesta],K103))</f>
        <v>42.738592896</v>
      </c>
      <c r="N103" s="379">
        <f t="shared" si="16"/>
        <v>6053000</v>
      </c>
      <c r="O103" s="380">
        <f t="shared" si="21"/>
        <v>800200</v>
      </c>
      <c r="P103" s="381">
        <f t="shared" si="17"/>
        <v>974400</v>
      </c>
      <c r="Q103" s="380">
        <f t="shared" si="18"/>
        <v>419260</v>
      </c>
    </row>
    <row r="104" spans="2:17" ht="15">
      <c r="B104" s="383">
        <v>114</v>
      </c>
      <c r="C104" s="384" t="s">
        <v>218</v>
      </c>
      <c r="D104" s="384" t="s">
        <v>536</v>
      </c>
      <c r="E104" s="385">
        <v>5.1748620000000001</v>
      </c>
      <c r="F104" s="385">
        <v>11.198584448000004</v>
      </c>
      <c r="G104" s="379">
        <f t="shared" si="14"/>
        <v>444800</v>
      </c>
      <c r="H104" s="773">
        <f t="shared" si="19"/>
        <v>77570</v>
      </c>
      <c r="I104" s="381">
        <f t="shared" si="20"/>
        <v>193620</v>
      </c>
      <c r="J104" s="380">
        <f t="shared" si="15"/>
        <v>14085.034</v>
      </c>
      <c r="K104" s="384" t="s">
        <v>405</v>
      </c>
      <c r="L104" s="382">
        <f>IF(K104="Independiente",Tabla13[[#This Row],[Ingreso a Planta de separación en año 10 (con turismo) (T/día)]],SUMIFS(Tabla13[Ingreso a Planta de separación en año 10 (con turismo) (T/día)],$K$3:$K$156,K104))</f>
        <v>42.233722999999998</v>
      </c>
      <c r="M10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Propuesta],K104))</f>
        <v>91.412511776000002</v>
      </c>
      <c r="N104" s="379">
        <f t="shared" si="16"/>
        <v>9690000</v>
      </c>
      <c r="O104" s="380">
        <f t="shared" si="21"/>
        <v>746230</v>
      </c>
      <c r="P104" s="381">
        <f t="shared" si="17"/>
        <v>1121700</v>
      </c>
      <c r="Q104" s="380">
        <f t="shared" si="18"/>
        <v>605040</v>
      </c>
    </row>
    <row r="105" spans="2:17" ht="15">
      <c r="B105" s="383">
        <v>69</v>
      </c>
      <c r="C105" s="384" t="s">
        <v>161</v>
      </c>
      <c r="D105" s="384" t="s">
        <v>396</v>
      </c>
      <c r="E105" s="385">
        <v>5.1465259999999997</v>
      </c>
      <c r="F105" s="385">
        <v>11.134731296</v>
      </c>
      <c r="G105" s="379">
        <f t="shared" si="14"/>
        <v>443200</v>
      </c>
      <c r="H105" s="773">
        <f t="shared" si="19"/>
        <v>77070</v>
      </c>
      <c r="I105" s="381">
        <f t="shared" si="20"/>
        <v>193620</v>
      </c>
      <c r="J105" s="380">
        <f t="shared" si="15"/>
        <v>14085.034</v>
      </c>
      <c r="K105" s="384" t="s">
        <v>393</v>
      </c>
      <c r="L105" s="382">
        <f>IF(K105="Independiente",Tabla13[[#This Row],[Ingreso a Planta de separación en año 10 (con turismo) (T/día)]],SUMIFS(Tabla13[Ingreso a Planta de separación en año 10 (con turismo) (T/día)],$K$3:$K$156,K105))</f>
        <v>55.533099999999997</v>
      </c>
      <c r="M10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Propuesta],K105))</f>
        <v>120.33521836000001</v>
      </c>
      <c r="N105" s="379">
        <f t="shared" si="16"/>
        <v>11772000</v>
      </c>
      <c r="O105" s="380">
        <f t="shared" si="21"/>
        <v>792620</v>
      </c>
      <c r="P105" s="381">
        <f t="shared" si="17"/>
        <v>1208200</v>
      </c>
      <c r="Q105" s="380">
        <f t="shared" si="18"/>
        <v>609740</v>
      </c>
    </row>
    <row r="106" spans="2:17" ht="15">
      <c r="B106" s="376">
        <v>111</v>
      </c>
      <c r="C106" s="377" t="s">
        <v>214</v>
      </c>
      <c r="D106" s="377" t="s">
        <v>391</v>
      </c>
      <c r="E106" s="378">
        <v>5.109496</v>
      </c>
      <c r="F106" s="378">
        <v>11.050858207999999</v>
      </c>
      <c r="G106" s="379">
        <f t="shared" si="14"/>
        <v>441200</v>
      </c>
      <c r="H106" s="773">
        <f t="shared" si="19"/>
        <v>76410</v>
      </c>
      <c r="I106" s="381">
        <f t="shared" si="20"/>
        <v>193620</v>
      </c>
      <c r="J106" s="380">
        <f t="shared" si="15"/>
        <v>14085.034</v>
      </c>
      <c r="K106" s="377" t="s">
        <v>390</v>
      </c>
      <c r="L106" s="382">
        <f>IF(K106="Independiente",Tabla13[[#This Row],[Ingreso a Planta de separación en año 10 (con turismo) (T/día)]],SUMIFS(Tabla13[Ingreso a Planta de separación en año 10 (con turismo) (T/día)],$K$3:$K$156,K106))</f>
        <v>63.299424999999999</v>
      </c>
      <c r="M10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Propuesta],K106))</f>
        <v>137.355130976</v>
      </c>
      <c r="N106" s="379">
        <f t="shared" si="16"/>
        <v>12984000</v>
      </c>
      <c r="O106" s="380">
        <f t="shared" si="21"/>
        <v>815140</v>
      </c>
      <c r="P106" s="381">
        <f t="shared" si="17"/>
        <v>1258600</v>
      </c>
      <c r="Q106" s="380">
        <f t="shared" si="18"/>
        <v>612490</v>
      </c>
    </row>
    <row r="107" spans="2:17" ht="15">
      <c r="B107" s="383">
        <v>60</v>
      </c>
      <c r="C107" s="384" t="s">
        <v>150</v>
      </c>
      <c r="D107" s="384" t="s">
        <v>450</v>
      </c>
      <c r="E107" s="385">
        <v>4.9803740000000003</v>
      </c>
      <c r="F107" s="385">
        <v>10.843042720000001</v>
      </c>
      <c r="G107" s="379">
        <f t="shared" si="14"/>
        <v>436200</v>
      </c>
      <c r="H107" s="773">
        <f t="shared" si="19"/>
        <v>74780</v>
      </c>
      <c r="I107" s="381">
        <f t="shared" si="20"/>
        <v>193620</v>
      </c>
      <c r="J107" s="380">
        <f t="shared" si="15"/>
        <v>14085.034</v>
      </c>
      <c r="K107" s="384" t="s">
        <v>448</v>
      </c>
      <c r="L107" s="382">
        <f>IF(K107="Independiente",Tabla13[[#This Row],[Ingreso a Planta de separación en año 10 (con turismo) (T/día)]],SUMIFS(Tabla13[Ingreso a Planta de separación en año 10 (con turismo) (T/día)],$K$3:$K$156,K107))</f>
        <v>19.567961</v>
      </c>
      <c r="M10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Propuesta],K107))</f>
        <v>42.738592896</v>
      </c>
      <c r="N107" s="379">
        <f t="shared" si="16"/>
        <v>6053000</v>
      </c>
      <c r="O107" s="380">
        <f t="shared" si="21"/>
        <v>800200</v>
      </c>
      <c r="P107" s="381">
        <f t="shared" si="17"/>
        <v>974400</v>
      </c>
      <c r="Q107" s="380">
        <f t="shared" si="18"/>
        <v>419260</v>
      </c>
    </row>
    <row r="108" spans="2:17" ht="15">
      <c r="B108" s="376">
        <v>90</v>
      </c>
      <c r="C108" s="377" t="s">
        <v>189</v>
      </c>
      <c r="D108" s="377" t="s">
        <v>354</v>
      </c>
      <c r="E108" s="378">
        <v>5.0096759999999998</v>
      </c>
      <c r="F108" s="378">
        <v>10.838481728000001</v>
      </c>
      <c r="G108" s="379">
        <f t="shared" si="14"/>
        <v>436100</v>
      </c>
      <c r="H108" s="773">
        <f t="shared" si="19"/>
        <v>74750</v>
      </c>
      <c r="I108" s="381">
        <f t="shared" si="20"/>
        <v>193620</v>
      </c>
      <c r="J108" s="380">
        <f t="shared" si="15"/>
        <v>14085.034</v>
      </c>
      <c r="K108" s="377" t="s">
        <v>351</v>
      </c>
      <c r="L108" s="382">
        <f>IF(K108="Independiente",Tabla13[[#This Row],[Ingreso a Planta de separación en año 10 (con turismo) (T/día)]],SUMIFS(Tabla13[Ingreso a Planta de separación en año 10 (con turismo) (T/día)],$K$3:$K$156,K108))</f>
        <v>489.52852199999995</v>
      </c>
      <c r="M10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Propuesta],K108))</f>
        <v>1061.2251288319999</v>
      </c>
      <c r="N108" s="379">
        <f t="shared" si="16"/>
        <v>76990000</v>
      </c>
      <c r="O108" s="380">
        <f t="shared" si="21"/>
        <v>1118170</v>
      </c>
      <c r="P108" s="381">
        <f t="shared" si="17"/>
        <v>4029100</v>
      </c>
      <c r="Q108" s="380">
        <f t="shared" si="18"/>
        <v>763270</v>
      </c>
    </row>
    <row r="109" spans="2:17" ht="15">
      <c r="B109" s="383">
        <v>87</v>
      </c>
      <c r="C109" s="384" t="s">
        <v>186</v>
      </c>
      <c r="D109" s="384" t="s">
        <v>527</v>
      </c>
      <c r="E109" s="385">
        <v>5.0019479999999996</v>
      </c>
      <c r="F109" s="385">
        <v>10.826968480000001</v>
      </c>
      <c r="G109" s="379">
        <f t="shared" si="14"/>
        <v>435800</v>
      </c>
      <c r="H109" s="773">
        <f t="shared" si="19"/>
        <v>74660</v>
      </c>
      <c r="I109" s="381">
        <f t="shared" si="20"/>
        <v>193620</v>
      </c>
      <c r="J109" s="380">
        <f t="shared" si="15"/>
        <v>14085.034</v>
      </c>
      <c r="K109" s="384" t="s">
        <v>399</v>
      </c>
      <c r="L109" s="382">
        <f>IF(K109="Independiente",Tabla13[[#This Row],[Ingreso a Planta de separación en año 10 (con turismo) (T/día)]],SUMIFS(Tabla13[Ingreso a Planta de separación en año 10 (con turismo) (T/día)],$K$3:$K$156,K109))</f>
        <v>47.862093654794513</v>
      </c>
      <c r="M10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Propuesta],K109))</f>
        <v>103.84036459666851</v>
      </c>
      <c r="N109" s="379">
        <f t="shared" si="16"/>
        <v>10589000</v>
      </c>
      <c r="O109" s="380">
        <f t="shared" si="21"/>
        <v>767700</v>
      </c>
      <c r="P109" s="381">
        <f t="shared" si="17"/>
        <v>1158300</v>
      </c>
      <c r="Q109" s="380">
        <f t="shared" si="18"/>
        <v>607030</v>
      </c>
    </row>
    <row r="110" spans="2:17" ht="15">
      <c r="B110" s="376">
        <v>112</v>
      </c>
      <c r="C110" s="377" t="s">
        <v>216</v>
      </c>
      <c r="D110" s="377" t="s">
        <v>568</v>
      </c>
      <c r="E110" s="378">
        <v>4.8815200000000001</v>
      </c>
      <c r="F110" s="378">
        <v>10.558557008000003</v>
      </c>
      <c r="G110" s="379">
        <f t="shared" si="14"/>
        <v>429300</v>
      </c>
      <c r="H110" s="773">
        <f t="shared" si="19"/>
        <v>72600</v>
      </c>
      <c r="I110" s="381">
        <f t="shared" si="20"/>
        <v>193620</v>
      </c>
      <c r="J110" s="380">
        <f t="shared" si="15"/>
        <v>14085.034</v>
      </c>
      <c r="K110" s="377" t="s">
        <v>438</v>
      </c>
      <c r="L110" s="382">
        <f>IF(K110="Independiente",Tabla13[[#This Row],[Ingreso a Planta de separación en año 10 (con turismo) (T/día)]],SUMIFS(Tabla13[Ingreso a Planta de separación en año 10 (con turismo) (T/día)],$K$3:$K$156,K110))</f>
        <v>20.458130000000001</v>
      </c>
      <c r="M11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Propuesta],K110))</f>
        <v>44.31497232800001</v>
      </c>
      <c r="N110" s="379">
        <f t="shared" si="16"/>
        <v>6176000</v>
      </c>
      <c r="O110" s="380">
        <f t="shared" si="21"/>
        <v>787100</v>
      </c>
      <c r="P110" s="381">
        <f t="shared" si="17"/>
        <v>980200</v>
      </c>
      <c r="Q110" s="380">
        <f t="shared" si="18"/>
        <v>438340</v>
      </c>
    </row>
    <row r="111" spans="2:17" ht="15">
      <c r="B111" s="383">
        <v>56</v>
      </c>
      <c r="C111" s="384" t="s">
        <v>145</v>
      </c>
      <c r="D111" s="384" t="s">
        <v>452</v>
      </c>
      <c r="E111" s="385">
        <v>4.8609119999999999</v>
      </c>
      <c r="F111" s="385">
        <v>10.513273872000003</v>
      </c>
      <c r="G111" s="379">
        <f t="shared" si="14"/>
        <v>428200</v>
      </c>
      <c r="H111" s="773">
        <f t="shared" si="19"/>
        <v>72250</v>
      </c>
      <c r="I111" s="381">
        <f t="shared" si="20"/>
        <v>193620</v>
      </c>
      <c r="J111" s="380">
        <f t="shared" si="15"/>
        <v>14085.034</v>
      </c>
      <c r="K111" s="384" t="s">
        <v>451</v>
      </c>
      <c r="L111" s="382">
        <f>IF(K111="Independiente",Tabla13[[#This Row],[Ingreso a Planta de separación en año 10 (con turismo) (T/día)]],SUMIFS(Tabla13[Ingreso a Planta de separación en año 10 (con turismo) (T/día)],$K$3:$K$156,K111))</f>
        <v>19.622812999999997</v>
      </c>
      <c r="M11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Propuesta],K111))</f>
        <v>42.460377608000002</v>
      </c>
      <c r="N111" s="379">
        <f t="shared" si="16"/>
        <v>6031000</v>
      </c>
      <c r="O111" s="380">
        <f t="shared" si="21"/>
        <v>797950</v>
      </c>
      <c r="P111" s="381">
        <f t="shared" si="17"/>
        <v>974700</v>
      </c>
      <c r="Q111" s="380">
        <f t="shared" si="18"/>
        <v>420440</v>
      </c>
    </row>
    <row r="112" spans="2:17" ht="15">
      <c r="B112" s="376">
        <v>151</v>
      </c>
      <c r="C112" s="377" t="s">
        <v>213</v>
      </c>
      <c r="D112" s="377" t="s">
        <v>383</v>
      </c>
      <c r="E112" s="378">
        <v>4.3795219999999997</v>
      </c>
      <c r="F112" s="378">
        <v>9.4804822399999988</v>
      </c>
      <c r="G112" s="379">
        <f t="shared" si="14"/>
        <v>403100</v>
      </c>
      <c r="H112" s="773">
        <f t="shared" si="19"/>
        <v>64630</v>
      </c>
      <c r="I112" s="381">
        <f t="shared" si="20"/>
        <v>193620</v>
      </c>
      <c r="J112" s="380">
        <f t="shared" si="15"/>
        <v>14085.034</v>
      </c>
      <c r="K112" s="377" t="s">
        <v>381</v>
      </c>
      <c r="L112" s="382">
        <f>IF(K112="Independiente",Tabla13[[#This Row],[Ingreso a Planta de separación en año 10 (con turismo) (T/día)]],SUMIFS(Tabla13[Ingreso a Planta de separación en año 10 (con turismo) (T/día)],$K$3:$K$156,K112))</f>
        <v>74.245080000000002</v>
      </c>
      <c r="M11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Propuesta],K112))</f>
        <v>161.14455615199998</v>
      </c>
      <c r="N112" s="379">
        <f t="shared" si="16"/>
        <v>14667000</v>
      </c>
      <c r="O112" s="380">
        <f t="shared" si="21"/>
        <v>842390</v>
      </c>
      <c r="P112" s="381">
        <f t="shared" si="17"/>
        <v>1329800</v>
      </c>
      <c r="Q112" s="380">
        <f t="shared" si="18"/>
        <v>616360</v>
      </c>
    </row>
    <row r="113" spans="2:17" ht="15">
      <c r="B113" s="383">
        <v>71</v>
      </c>
      <c r="C113" s="384" t="s">
        <v>164</v>
      </c>
      <c r="D113" s="384" t="s">
        <v>419</v>
      </c>
      <c r="E113" s="385">
        <v>3.9422460000000004</v>
      </c>
      <c r="F113" s="385">
        <v>8.5516123360000016</v>
      </c>
      <c r="G113" s="379">
        <f t="shared" si="14"/>
        <v>380600</v>
      </c>
      <c r="H113" s="773">
        <f t="shared" si="19"/>
        <v>58200</v>
      </c>
      <c r="I113" s="381">
        <f t="shared" si="20"/>
        <v>193620</v>
      </c>
      <c r="J113" s="380">
        <f t="shared" si="15"/>
        <v>14085.034</v>
      </c>
      <c r="K113" s="384" t="s">
        <v>416</v>
      </c>
      <c r="L113" s="382">
        <f>IF(K113="Independiente",Tabla13[[#This Row],[Ingreso a Planta de separación en año 10 (con turismo) (T/día)]],SUMIFS(Tabla13[Ingreso a Planta de separación en año 10 (con turismo) (T/día)],$K$3:$K$156,K113))</f>
        <v>33.289459000000001</v>
      </c>
      <c r="M11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Propuesta],K113))</f>
        <v>72.300043287999998</v>
      </c>
      <c r="N113" s="379">
        <f t="shared" si="16"/>
        <v>8291000</v>
      </c>
      <c r="O113" s="380">
        <f t="shared" si="21"/>
        <v>707280</v>
      </c>
      <c r="P113" s="381">
        <f t="shared" si="17"/>
        <v>1063600</v>
      </c>
      <c r="Q113" s="380">
        <f t="shared" si="18"/>
        <v>601870</v>
      </c>
    </row>
    <row r="114" spans="2:17" ht="15">
      <c r="B114" s="383">
        <v>29</v>
      </c>
      <c r="C114" s="384" t="s">
        <v>117</v>
      </c>
      <c r="D114" s="384" t="s">
        <v>403</v>
      </c>
      <c r="E114" s="385">
        <v>3.7947699999999998</v>
      </c>
      <c r="F114" s="385">
        <v>8.2280880800000009</v>
      </c>
      <c r="G114" s="379">
        <f t="shared" si="14"/>
        <v>372800</v>
      </c>
      <c r="H114" s="773">
        <f t="shared" si="19"/>
        <v>56060</v>
      </c>
      <c r="I114" s="381">
        <f t="shared" si="20"/>
        <v>193620</v>
      </c>
      <c r="J114" s="380">
        <f t="shared" si="15"/>
        <v>14085.034</v>
      </c>
      <c r="K114" s="384" t="s">
        <v>401</v>
      </c>
      <c r="L114" s="382">
        <f>IF(K114="Independiente",Tabla13[[#This Row],[Ingreso a Planta de separación en año 10 (con turismo) (T/día)]],SUMIFS(Tabla13[Ingreso a Planta de separación en año 10 (con turismo) (T/día)],$K$3:$K$156,K114))</f>
        <v>42.825419000000004</v>
      </c>
      <c r="M11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Propuesta],K114))</f>
        <v>92.626796784000007</v>
      </c>
      <c r="N114" s="379">
        <f t="shared" si="16"/>
        <v>9778000</v>
      </c>
      <c r="O114" s="380">
        <f t="shared" si="21"/>
        <v>748440</v>
      </c>
      <c r="P114" s="381">
        <f t="shared" si="17"/>
        <v>1125600</v>
      </c>
      <c r="Q114" s="380">
        <f t="shared" si="18"/>
        <v>605240</v>
      </c>
    </row>
    <row r="115" spans="2:17" ht="15">
      <c r="B115" s="376">
        <v>53</v>
      </c>
      <c r="C115" s="377" t="s">
        <v>142</v>
      </c>
      <c r="D115" s="377" t="s">
        <v>463</v>
      </c>
      <c r="E115" s="378">
        <v>3.7677219999999996</v>
      </c>
      <c r="F115" s="378">
        <v>8.143243840000002</v>
      </c>
      <c r="G115" s="379">
        <f t="shared" si="14"/>
        <v>370700</v>
      </c>
      <c r="H115" s="773">
        <f t="shared" si="19"/>
        <v>55500</v>
      </c>
      <c r="I115" s="381">
        <f t="shared" si="20"/>
        <v>193620</v>
      </c>
      <c r="J115" s="380">
        <f t="shared" si="15"/>
        <v>14085.034</v>
      </c>
      <c r="K115" s="377" t="s">
        <v>462</v>
      </c>
      <c r="L115" s="382">
        <f>IF(K115="Independiente",Tabla13[[#This Row],[Ingreso a Planta de separación en año 10 (con turismo) (T/día)]],SUMIFS(Tabla13[Ingreso a Planta de separación en año 10 (con turismo) (T/día)],$K$3:$K$156,K115))</f>
        <v>12.811888657534245</v>
      </c>
      <c r="M11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Propuesta],K115))</f>
        <v>27.846779629326029</v>
      </c>
      <c r="N115" s="379">
        <f t="shared" si="16"/>
        <v>4852000</v>
      </c>
      <c r="O115" s="380">
        <f t="shared" si="21"/>
        <v>876430</v>
      </c>
      <c r="P115" s="381">
        <f t="shared" si="17"/>
        <v>930500</v>
      </c>
      <c r="Q115" s="380">
        <f t="shared" si="18"/>
        <v>274510</v>
      </c>
    </row>
    <row r="116" spans="2:17" ht="15">
      <c r="B116" s="376">
        <v>125</v>
      </c>
      <c r="C116" s="377" t="s">
        <v>231</v>
      </c>
      <c r="D116" s="377" t="s">
        <v>397</v>
      </c>
      <c r="E116" s="378">
        <v>3.7532320000000001</v>
      </c>
      <c r="F116" s="378">
        <v>8.1197518240000015</v>
      </c>
      <c r="G116" s="379">
        <f t="shared" si="14"/>
        <v>370100</v>
      </c>
      <c r="H116" s="773">
        <f t="shared" si="19"/>
        <v>55350</v>
      </c>
      <c r="I116" s="381">
        <f t="shared" si="20"/>
        <v>193620</v>
      </c>
      <c r="J116" s="380">
        <f t="shared" si="15"/>
        <v>14085.034</v>
      </c>
      <c r="K116" s="377" t="s">
        <v>393</v>
      </c>
      <c r="L116" s="382">
        <f>IF(K116="Independiente",Tabla13[[#This Row],[Ingreso a Planta de separación en año 10 (con turismo) (T/día)]],SUMIFS(Tabla13[Ingreso a Planta de separación en año 10 (con turismo) (T/día)],$K$3:$K$156,K116))</f>
        <v>55.533099999999997</v>
      </c>
      <c r="M11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Propuesta],K116))</f>
        <v>120.33521836000001</v>
      </c>
      <c r="N116" s="379">
        <f t="shared" si="16"/>
        <v>11772000</v>
      </c>
      <c r="O116" s="380">
        <f t="shared" si="21"/>
        <v>792620</v>
      </c>
      <c r="P116" s="381">
        <f t="shared" si="17"/>
        <v>1208200</v>
      </c>
      <c r="Q116" s="380">
        <f t="shared" si="18"/>
        <v>609740</v>
      </c>
    </row>
    <row r="117" spans="2:17" ht="15">
      <c r="B117" s="383">
        <v>47</v>
      </c>
      <c r="C117" s="384" t="s">
        <v>136</v>
      </c>
      <c r="D117" s="384" t="s">
        <v>444</v>
      </c>
      <c r="E117" s="385">
        <v>3.5403899999999995</v>
      </c>
      <c r="F117" s="385">
        <v>7.6809125600000003</v>
      </c>
      <c r="G117" s="379">
        <f t="shared" si="14"/>
        <v>359500</v>
      </c>
      <c r="H117" s="773">
        <f t="shared" si="19"/>
        <v>52540</v>
      </c>
      <c r="I117" s="381">
        <f t="shared" si="20"/>
        <v>193620</v>
      </c>
      <c r="J117" s="380">
        <f t="shared" si="15"/>
        <v>14085.034</v>
      </c>
      <c r="K117" s="384" t="s">
        <v>443</v>
      </c>
      <c r="L117" s="382">
        <f>IF(K117="Independiente",Tabla13[[#This Row],[Ingreso a Planta de separación en año 10 (con turismo) (T/día)]],SUMIFS(Tabla13[Ingreso a Planta de separación en año 10 (con turismo) (T/día)],$K$3:$K$156,K117))</f>
        <v>19.698174999999996</v>
      </c>
      <c r="M11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Propuesta],K117))</f>
        <v>42.739354920000004</v>
      </c>
      <c r="N117" s="379">
        <f t="shared" si="16"/>
        <v>6053000</v>
      </c>
      <c r="O117" s="380">
        <f t="shared" si="21"/>
        <v>797410</v>
      </c>
      <c r="P117" s="381">
        <f t="shared" si="17"/>
        <v>975200</v>
      </c>
      <c r="Q117" s="380">
        <f t="shared" si="18"/>
        <v>422050</v>
      </c>
    </row>
    <row r="118" spans="2:17" ht="15">
      <c r="B118" s="383">
        <v>83</v>
      </c>
      <c r="C118" s="384" t="s">
        <v>181</v>
      </c>
      <c r="D118" s="384" t="s">
        <v>456</v>
      </c>
      <c r="E118" s="385">
        <v>3.5336279999999998</v>
      </c>
      <c r="F118" s="385">
        <v>7.6527469440000004</v>
      </c>
      <c r="G118" s="379">
        <f t="shared" si="14"/>
        <v>358800</v>
      </c>
      <c r="H118" s="773">
        <f t="shared" si="19"/>
        <v>52360</v>
      </c>
      <c r="I118" s="381">
        <f t="shared" si="20"/>
        <v>193620</v>
      </c>
      <c r="J118" s="380">
        <f t="shared" si="15"/>
        <v>14085.034</v>
      </c>
      <c r="K118" s="384" t="s">
        <v>455</v>
      </c>
      <c r="L118" s="382">
        <f>IF(K118="Independiente",Tabla13[[#This Row],[Ingreso a Planta de separación en año 10 (con turismo) (T/día)]],SUMIFS(Tabla13[Ingreso a Planta de separación en año 10 (con turismo) (T/día)],$K$3:$K$156,K118))</f>
        <v>14.348186999999999</v>
      </c>
      <c r="M11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Propuesta],K118))</f>
        <v>31.222409280000001</v>
      </c>
      <c r="N118" s="379">
        <f t="shared" si="16"/>
        <v>5132000</v>
      </c>
      <c r="O118" s="380">
        <f t="shared" si="21"/>
        <v>861430</v>
      </c>
      <c r="P118" s="381">
        <f t="shared" si="17"/>
        <v>940500</v>
      </c>
      <c r="Q118" s="380">
        <f t="shared" si="18"/>
        <v>307420</v>
      </c>
    </row>
    <row r="119" spans="2:17" ht="15">
      <c r="B119" s="376">
        <v>85</v>
      </c>
      <c r="C119" s="377" t="s">
        <v>184</v>
      </c>
      <c r="D119" s="377" t="s">
        <v>387</v>
      </c>
      <c r="E119" s="378">
        <v>3.5155959999999999</v>
      </c>
      <c r="F119" s="378">
        <v>7.6028792639999994</v>
      </c>
      <c r="G119" s="379">
        <f t="shared" si="14"/>
        <v>357600</v>
      </c>
      <c r="H119" s="773">
        <f t="shared" si="19"/>
        <v>52040</v>
      </c>
      <c r="I119" s="381">
        <f t="shared" si="20"/>
        <v>193620</v>
      </c>
      <c r="J119" s="380">
        <f t="shared" si="15"/>
        <v>14085.034</v>
      </c>
      <c r="K119" s="377" t="s">
        <v>384</v>
      </c>
      <c r="L119" s="382">
        <f>IF(K119="Independiente",Tabla13[[#This Row],[Ingreso a Planta de separación en año 10 (con turismo) (T/día)]],SUMIFS(Tabla13[Ingreso a Planta de separación en año 10 (con turismo) (T/día)],$K$3:$K$156,K119))</f>
        <v>66.501638</v>
      </c>
      <c r="M11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Propuesta],K119))</f>
        <v>143.81307650399998</v>
      </c>
      <c r="N119" s="379">
        <f t="shared" si="16"/>
        <v>13442000</v>
      </c>
      <c r="O119" s="380">
        <f t="shared" si="21"/>
        <v>822890</v>
      </c>
      <c r="P119" s="381">
        <f t="shared" si="17"/>
        <v>1279500</v>
      </c>
      <c r="Q119" s="380">
        <f t="shared" si="18"/>
        <v>613620</v>
      </c>
    </row>
    <row r="120" spans="2:17" ht="15">
      <c r="B120" s="376">
        <v>27</v>
      </c>
      <c r="C120" s="377" t="s">
        <v>115</v>
      </c>
      <c r="D120" s="377" t="s">
        <v>571</v>
      </c>
      <c r="E120" s="378">
        <v>3.51302</v>
      </c>
      <c r="F120" s="378">
        <v>7.5957518400000001</v>
      </c>
      <c r="G120" s="379">
        <f t="shared" si="14"/>
        <v>357400</v>
      </c>
      <c r="H120" s="773">
        <f t="shared" si="19"/>
        <v>52000</v>
      </c>
      <c r="I120" s="381">
        <f t="shared" si="20"/>
        <v>193620</v>
      </c>
      <c r="J120" s="380">
        <f t="shared" si="15"/>
        <v>14085.034</v>
      </c>
      <c r="K120" s="377" t="s">
        <v>471</v>
      </c>
      <c r="L120" s="382">
        <f>IF(K120="Independiente",Tabla13[[#This Row],[Ingreso a Planta de separación en año 10 (con turismo) (T/día)]],SUMIFS(Tabla13[Ingreso a Planta de separación en año 10 (con turismo) (T/día)],$K$3:$K$156,K120))</f>
        <v>9.9420719999999996</v>
      </c>
      <c r="M12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Propuesta],K120))</f>
        <v>21.495644704</v>
      </c>
      <c r="N120" s="379">
        <f t="shared" si="16"/>
        <v>4306000</v>
      </c>
      <c r="O120" s="380">
        <f t="shared" si="21"/>
        <v>1097330</v>
      </c>
      <c r="P120" s="381">
        <f t="shared" si="17"/>
        <v>911800</v>
      </c>
      <c r="Q120" s="380">
        <f t="shared" si="18"/>
        <v>14085.034</v>
      </c>
    </row>
    <row r="121" spans="2:17" ht="15">
      <c r="B121" s="383">
        <v>109</v>
      </c>
      <c r="C121" s="384" t="s">
        <v>212</v>
      </c>
      <c r="D121" s="384" t="s">
        <v>573</v>
      </c>
      <c r="E121" s="385">
        <v>3.4003200000000002</v>
      </c>
      <c r="F121" s="385">
        <v>7.3999703200000013</v>
      </c>
      <c r="G121" s="379">
        <f t="shared" si="14"/>
        <v>352700</v>
      </c>
      <c r="H121" s="773">
        <f t="shared" si="19"/>
        <v>50780</v>
      </c>
      <c r="I121" s="381">
        <f t="shared" si="20"/>
        <v>193620</v>
      </c>
      <c r="J121" s="380">
        <f t="shared" si="15"/>
        <v>14085.034</v>
      </c>
      <c r="K121" s="384" t="s">
        <v>398</v>
      </c>
      <c r="L121" s="382">
        <f>IF(K121="Independiente",Tabla13[[#This Row],[Ingreso a Planta de separación en año 10 (con turismo) (T/día)]],SUMIFS(Tabla13[Ingreso a Planta de separación en año 10 (con turismo) (T/día)],$K$3:$K$156,K121))</f>
        <v>3.4003200000000002</v>
      </c>
      <c r="M12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Propuesta],K121))</f>
        <v>7.3999703200000013</v>
      </c>
      <c r="N121" s="379">
        <f t="shared" si="16"/>
        <v>352700</v>
      </c>
      <c r="O121" s="380">
        <f t="shared" si="21"/>
        <v>50780</v>
      </c>
      <c r="P121" s="381">
        <f t="shared" si="17"/>
        <v>193620</v>
      </c>
      <c r="Q121" s="380">
        <f t="shared" si="18"/>
        <v>14085.034</v>
      </c>
    </row>
    <row r="122" spans="2:17" ht="15">
      <c r="B122" s="376">
        <v>28</v>
      </c>
      <c r="C122" s="377" t="s">
        <v>116</v>
      </c>
      <c r="D122" s="377" t="s">
        <v>538</v>
      </c>
      <c r="E122" s="378">
        <v>3.4093360000000001</v>
      </c>
      <c r="F122" s="378">
        <v>7.3916159840000004</v>
      </c>
      <c r="G122" s="379">
        <f t="shared" si="14"/>
        <v>352500</v>
      </c>
      <c r="H122" s="773">
        <f t="shared" si="19"/>
        <v>50730</v>
      </c>
      <c r="I122" s="381">
        <f t="shared" si="20"/>
        <v>193620</v>
      </c>
      <c r="J122" s="380">
        <f t="shared" si="15"/>
        <v>14085.034</v>
      </c>
      <c r="K122" s="377" t="s">
        <v>421</v>
      </c>
      <c r="L122" s="382">
        <f>IF(K122="Independiente",Tabla13[[#This Row],[Ingreso a Planta de separación en año 10 (con turismo) (T/día)]],SUMIFS(Tabla13[Ingreso a Planta de separación en año 10 (con turismo) (T/día)],$K$3:$K$156,K122))</f>
        <v>31.576090000000001</v>
      </c>
      <c r="M12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Propuesta],K122))</f>
        <v>68.378832615999997</v>
      </c>
      <c r="N122" s="379">
        <f t="shared" si="16"/>
        <v>8000000</v>
      </c>
      <c r="O122" s="380">
        <f t="shared" si="21"/>
        <v>698070</v>
      </c>
      <c r="P122" s="381">
        <f t="shared" si="17"/>
        <v>1052400</v>
      </c>
      <c r="Q122" s="380">
        <f t="shared" si="18"/>
        <v>601270</v>
      </c>
    </row>
    <row r="123" spans="2:17" ht="15">
      <c r="B123" s="383">
        <v>63</v>
      </c>
      <c r="C123" s="384" t="s">
        <v>155</v>
      </c>
      <c r="D123" s="384" t="s">
        <v>408</v>
      </c>
      <c r="E123" s="385">
        <v>3.408048</v>
      </c>
      <c r="F123" s="385">
        <v>7.3686895840000002</v>
      </c>
      <c r="G123" s="379">
        <f t="shared" si="14"/>
        <v>351900</v>
      </c>
      <c r="H123" s="773">
        <f t="shared" si="19"/>
        <v>50590</v>
      </c>
      <c r="I123" s="381">
        <f t="shared" si="20"/>
        <v>193620</v>
      </c>
      <c r="J123" s="380">
        <f t="shared" si="15"/>
        <v>14085.034</v>
      </c>
      <c r="K123" s="384" t="s">
        <v>405</v>
      </c>
      <c r="L123" s="382">
        <f>IF(K123="Independiente",Tabla13[[#This Row],[Ingreso a Planta de separación en año 10 (con turismo) (T/día)]],SUMIFS(Tabla13[Ingreso a Planta de separación en año 10 (con turismo) (T/día)],$K$3:$K$156,K123))</f>
        <v>42.233722999999998</v>
      </c>
      <c r="M12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Propuesta],K123))</f>
        <v>91.412511776000002</v>
      </c>
      <c r="N123" s="379">
        <f t="shared" si="16"/>
        <v>9690000</v>
      </c>
      <c r="O123" s="380">
        <f t="shared" si="21"/>
        <v>746230</v>
      </c>
      <c r="P123" s="381">
        <f t="shared" si="17"/>
        <v>1121700</v>
      </c>
      <c r="Q123" s="380">
        <f t="shared" si="18"/>
        <v>605040</v>
      </c>
    </row>
    <row r="124" spans="2:17" ht="15">
      <c r="B124" s="376">
        <v>68</v>
      </c>
      <c r="C124" s="377" t="s">
        <v>160</v>
      </c>
      <c r="D124" s="377" t="s">
        <v>429</v>
      </c>
      <c r="E124" s="378">
        <v>3.3893719999999998</v>
      </c>
      <c r="F124" s="378">
        <v>7.3504662239999989</v>
      </c>
      <c r="G124" s="379">
        <f t="shared" si="14"/>
        <v>351500</v>
      </c>
      <c r="H124" s="773">
        <f t="shared" si="19"/>
        <v>50480</v>
      </c>
      <c r="I124" s="381">
        <f t="shared" si="20"/>
        <v>193620</v>
      </c>
      <c r="J124" s="380">
        <f t="shared" si="15"/>
        <v>14085.034</v>
      </c>
      <c r="K124" s="377" t="s">
        <v>428</v>
      </c>
      <c r="L124" s="382">
        <f>IF(K124="Independiente",Tabla13[[#This Row],[Ingreso a Planta de separación en año 10 (con turismo) (T/día)]],SUMIFS(Tabla13[Ingreso a Planta de separación en año 10 (con turismo) (T/día)],$K$3:$K$156,K124))</f>
        <v>24.412884999999999</v>
      </c>
      <c r="M12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Propuesta],K124))</f>
        <v>52.892924216000004</v>
      </c>
      <c r="N124" s="379">
        <f t="shared" si="16"/>
        <v>6836000</v>
      </c>
      <c r="O124" s="380">
        <f t="shared" si="21"/>
        <v>731990</v>
      </c>
      <c r="P124" s="381">
        <f t="shared" si="17"/>
        <v>1005900</v>
      </c>
      <c r="Q124" s="380">
        <f t="shared" si="18"/>
        <v>523070</v>
      </c>
    </row>
    <row r="125" spans="2:17" ht="15">
      <c r="B125" s="376">
        <v>127</v>
      </c>
      <c r="C125" s="377" t="s">
        <v>233</v>
      </c>
      <c r="D125" s="377" t="s">
        <v>546</v>
      </c>
      <c r="E125" s="378">
        <v>3.3413939999999998</v>
      </c>
      <c r="F125" s="378">
        <v>7.2525175040000018</v>
      </c>
      <c r="G125" s="379">
        <f t="shared" si="14"/>
        <v>349100</v>
      </c>
      <c r="H125" s="773">
        <f t="shared" si="19"/>
        <v>49870</v>
      </c>
      <c r="I125" s="381">
        <f t="shared" si="20"/>
        <v>193620</v>
      </c>
      <c r="J125" s="380">
        <f t="shared" si="15"/>
        <v>14085.034</v>
      </c>
      <c r="K125" s="377" t="s">
        <v>427</v>
      </c>
      <c r="L125" s="382">
        <f>IF(K125="Independiente",Tabla13[[#This Row],[Ingreso a Planta de separación en año 10 (con turismo) (T/día)]],SUMIFS(Tabla13[Ingreso a Planta de separación en año 10 (con turismo) (T/día)],$K$3:$K$156,K125))</f>
        <v>29.452373999999999</v>
      </c>
      <c r="M12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Propuesta],K125))</f>
        <v>63.872788088000007</v>
      </c>
      <c r="N125" s="379">
        <f t="shared" si="16"/>
        <v>7664000</v>
      </c>
      <c r="O125" s="380">
        <f t="shared" si="21"/>
        <v>686920</v>
      </c>
      <c r="P125" s="381">
        <f t="shared" si="17"/>
        <v>1038600</v>
      </c>
      <c r="Q125" s="380">
        <f t="shared" si="18"/>
        <v>600510</v>
      </c>
    </row>
    <row r="126" spans="2:17" ht="15">
      <c r="B126" s="376">
        <v>91</v>
      </c>
      <c r="C126" s="377" t="s">
        <v>190</v>
      </c>
      <c r="D126" s="377" t="s">
        <v>541</v>
      </c>
      <c r="E126" s="378">
        <v>3.2679779999999998</v>
      </c>
      <c r="F126" s="378">
        <v>7.0658160159999994</v>
      </c>
      <c r="G126" s="379">
        <f t="shared" si="14"/>
        <v>344600</v>
      </c>
      <c r="H126" s="773">
        <f t="shared" si="19"/>
        <v>48740</v>
      </c>
      <c r="I126" s="381">
        <f t="shared" si="20"/>
        <v>193620</v>
      </c>
      <c r="J126" s="380">
        <f t="shared" si="15"/>
        <v>14085.034</v>
      </c>
      <c r="K126" s="377" t="s">
        <v>469</v>
      </c>
      <c r="L126" s="382">
        <f>IF(K126="Independiente",Tabla13[[#This Row],[Ingreso a Planta de separación en año 10 (con turismo) (T/día)]],SUMIFS(Tabla13[Ingreso a Planta de separación en año 10 (con turismo) (T/día)],$K$3:$K$156,K126))</f>
        <v>11.002019000000001</v>
      </c>
      <c r="M12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Propuesta],K126))</f>
        <v>23.799487431999996</v>
      </c>
      <c r="N126" s="379">
        <f t="shared" si="16"/>
        <v>4507000</v>
      </c>
      <c r="O126" s="380">
        <f t="shared" si="21"/>
        <v>891060</v>
      </c>
      <c r="P126" s="381">
        <f t="shared" si="17"/>
        <v>918700</v>
      </c>
      <c r="Q126" s="380">
        <f t="shared" si="18"/>
        <v>235730</v>
      </c>
    </row>
    <row r="127" spans="2:17" ht="15">
      <c r="B127" s="383">
        <v>132</v>
      </c>
      <c r="C127" s="384" t="s">
        <v>238</v>
      </c>
      <c r="D127" s="384" t="s">
        <v>434</v>
      </c>
      <c r="E127" s="385">
        <v>3.2164579999999998</v>
      </c>
      <c r="F127" s="385">
        <v>6.9566502880000005</v>
      </c>
      <c r="G127" s="379">
        <f t="shared" si="14"/>
        <v>341900</v>
      </c>
      <c r="H127" s="773">
        <f t="shared" si="19"/>
        <v>48090</v>
      </c>
      <c r="I127" s="381">
        <f t="shared" si="20"/>
        <v>193620</v>
      </c>
      <c r="J127" s="380">
        <f t="shared" si="15"/>
        <v>14085.034</v>
      </c>
      <c r="K127" s="384" t="s">
        <v>433</v>
      </c>
      <c r="L127" s="382">
        <f>IF(K127="Independiente",Tabla13[[#This Row],[Ingreso a Planta de separación en año 10 (con turismo) (T/día)]],SUMIFS(Tabla13[Ingreso a Planta de separación en año 10 (con turismo) (T/día)],$K$3:$K$156,K127))</f>
        <v>20.759942000000002</v>
      </c>
      <c r="M12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Propuesta],K127))</f>
        <v>44.953306456</v>
      </c>
      <c r="N127" s="379">
        <f t="shared" si="16"/>
        <v>6225000</v>
      </c>
      <c r="O127" s="380">
        <f t="shared" si="21"/>
        <v>783010</v>
      </c>
      <c r="P127" s="381">
        <f t="shared" si="17"/>
        <v>982100</v>
      </c>
      <c r="Q127" s="380">
        <f t="shared" si="18"/>
        <v>444800</v>
      </c>
    </row>
    <row r="128" spans="2:17" ht="15">
      <c r="B128" s="383">
        <v>78</v>
      </c>
      <c r="C128" s="384" t="s">
        <v>174</v>
      </c>
      <c r="D128" s="384" t="s">
        <v>453</v>
      </c>
      <c r="E128" s="385">
        <v>3.2145259999999998</v>
      </c>
      <c r="F128" s="385">
        <v>6.9550211520000005</v>
      </c>
      <c r="G128" s="379">
        <f t="shared" si="14"/>
        <v>341900</v>
      </c>
      <c r="H128" s="773">
        <f t="shared" si="19"/>
        <v>48080</v>
      </c>
      <c r="I128" s="381">
        <f t="shared" si="20"/>
        <v>193620</v>
      </c>
      <c r="J128" s="380">
        <f t="shared" si="15"/>
        <v>14085.034</v>
      </c>
      <c r="K128" s="384" t="s">
        <v>451</v>
      </c>
      <c r="L128" s="382">
        <f>IF(K128="Independiente",Tabla13[[#This Row],[Ingreso a Planta de separación en año 10 (con turismo) (T/día)]],SUMIFS(Tabla13[Ingreso a Planta de separación en año 10 (con turismo) (T/día)],$K$3:$K$156,K128))</f>
        <v>19.622812999999997</v>
      </c>
      <c r="M12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Propuesta],K128))</f>
        <v>42.460377608000002</v>
      </c>
      <c r="N128" s="379">
        <f t="shared" si="16"/>
        <v>6031000</v>
      </c>
      <c r="O128" s="380">
        <f t="shared" si="21"/>
        <v>797950</v>
      </c>
      <c r="P128" s="381">
        <f t="shared" si="17"/>
        <v>974700</v>
      </c>
      <c r="Q128" s="380">
        <f t="shared" si="18"/>
        <v>420440</v>
      </c>
    </row>
    <row r="129" spans="2:17" ht="15">
      <c r="B129" s="376">
        <v>61</v>
      </c>
      <c r="C129" s="377" t="s">
        <v>151</v>
      </c>
      <c r="D129" s="377" t="s">
        <v>439</v>
      </c>
      <c r="E129" s="378">
        <v>3.1797500000000003</v>
      </c>
      <c r="F129" s="378">
        <v>6.8786180960000012</v>
      </c>
      <c r="G129" s="379">
        <f t="shared" si="14"/>
        <v>340000</v>
      </c>
      <c r="H129" s="773">
        <f t="shared" si="19"/>
        <v>47620</v>
      </c>
      <c r="I129" s="381">
        <f t="shared" si="20"/>
        <v>193620</v>
      </c>
      <c r="J129" s="380">
        <f t="shared" si="15"/>
        <v>14085.034</v>
      </c>
      <c r="K129" s="377" t="s">
        <v>438</v>
      </c>
      <c r="L129" s="382">
        <f>IF(K129="Independiente",Tabla13[[#This Row],[Ingreso a Planta de separación en año 10 (con turismo) (T/día)]],SUMIFS(Tabla13[Ingreso a Planta de separación en año 10 (con turismo) (T/día)],$K$3:$K$156,K129))</f>
        <v>20.458130000000001</v>
      </c>
      <c r="M12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Propuesta],K129))</f>
        <v>44.31497232800001</v>
      </c>
      <c r="N129" s="379">
        <f t="shared" si="16"/>
        <v>6176000</v>
      </c>
      <c r="O129" s="380">
        <f t="shared" si="21"/>
        <v>787100</v>
      </c>
      <c r="P129" s="381">
        <f t="shared" si="17"/>
        <v>980200</v>
      </c>
      <c r="Q129" s="380">
        <f t="shared" si="18"/>
        <v>438340</v>
      </c>
    </row>
    <row r="130" spans="2:17" ht="15">
      <c r="B130" s="383">
        <v>121</v>
      </c>
      <c r="C130" s="384" t="s">
        <v>226</v>
      </c>
      <c r="D130" s="384" t="s">
        <v>422</v>
      </c>
      <c r="E130" s="385">
        <v>2.9958879999999999</v>
      </c>
      <c r="F130" s="385">
        <v>6.4902316320000013</v>
      </c>
      <c r="G130" s="379">
        <f t="shared" si="14"/>
        <v>330600</v>
      </c>
      <c r="H130" s="773">
        <f t="shared" si="19"/>
        <v>45350</v>
      </c>
      <c r="I130" s="381">
        <f t="shared" si="20"/>
        <v>193620</v>
      </c>
      <c r="J130" s="380">
        <f t="shared" si="15"/>
        <v>14085.034</v>
      </c>
      <c r="K130" s="384" t="s">
        <v>421</v>
      </c>
      <c r="L130" s="382">
        <f>IF(K130="Independiente",Tabla13[[#This Row],[Ingreso a Planta de separación en año 10 (con turismo) (T/día)]],SUMIFS(Tabla13[Ingreso a Planta de separación en año 10 (con turismo) (T/día)],$K$3:$K$156,K130))</f>
        <v>31.576090000000001</v>
      </c>
      <c r="M13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Propuesta],K130))</f>
        <v>68.378832615999997</v>
      </c>
      <c r="N130" s="379">
        <f t="shared" si="16"/>
        <v>8000000</v>
      </c>
      <c r="O130" s="380">
        <f t="shared" si="21"/>
        <v>698070</v>
      </c>
      <c r="P130" s="381">
        <f t="shared" si="17"/>
        <v>1052400</v>
      </c>
      <c r="Q130" s="380">
        <f t="shared" si="18"/>
        <v>601270</v>
      </c>
    </row>
    <row r="131" spans="2:17" ht="15">
      <c r="B131" s="383">
        <v>153</v>
      </c>
      <c r="C131" s="384" t="s">
        <v>240</v>
      </c>
      <c r="D131" s="384" t="s">
        <v>466</v>
      </c>
      <c r="E131" s="385">
        <v>2.8831880000000001</v>
      </c>
      <c r="F131" s="385">
        <v>6.2889389440000008</v>
      </c>
      <c r="G131" s="379">
        <f t="shared" si="14"/>
        <v>325700</v>
      </c>
      <c r="H131" s="773">
        <f t="shared" ref="H131:H156" si="22">IF(F131&lt;15,MROUND((229.67*(F131^2))+(2781.9*F131)+17618,10),MROUND((2012.4*(F131)^-0.865*F131)*365-J131,10))</f>
        <v>44200</v>
      </c>
      <c r="I131" s="381">
        <f t="shared" ref="I131:I156" si="23">IF(E131&lt;=7,193620,MROUND((0.0065*E131+0.8472)*1000000,100))</f>
        <v>193620</v>
      </c>
      <c r="J131" s="380">
        <f t="shared" si="15"/>
        <v>14085.034</v>
      </c>
      <c r="K131" s="384" t="s">
        <v>465</v>
      </c>
      <c r="L131" s="382">
        <f>IF(K131="Independiente",Tabla13[[#This Row],[Ingreso a Planta de separación en año 10 (con turismo) (T/día)]],SUMIFS(Tabla13[Ingreso a Planta de separación en año 10 (con turismo) (T/día)],$K$3:$K$156,K131))</f>
        <v>12.448680999999999</v>
      </c>
      <c r="M13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Propuesta],K131))</f>
        <v>27.625853632000002</v>
      </c>
      <c r="N131" s="379">
        <f t="shared" si="16"/>
        <v>4833000</v>
      </c>
      <c r="O131" s="380">
        <f t="shared" ref="O131:O156" si="24">IF(M131&lt;15,MROUND((229.67*(M131^2))+(2781.9*M131)+17618,10),MROUND((2012.4*(M131)^-0.865*M131)*365-Q131,10))</f>
        <v>882970</v>
      </c>
      <c r="P131" s="381">
        <f t="shared" si="17"/>
        <v>928100</v>
      </c>
      <c r="Q131" s="380">
        <f t="shared" si="18"/>
        <v>266730</v>
      </c>
    </row>
    <row r="132" spans="2:17" ht="15">
      <c r="B132" s="383">
        <v>92</v>
      </c>
      <c r="C132" s="384" t="s">
        <v>56</v>
      </c>
      <c r="D132" s="384" t="s">
        <v>372</v>
      </c>
      <c r="E132" s="385">
        <v>2.7997899999999998</v>
      </c>
      <c r="F132" s="385">
        <v>6.0716117600000006</v>
      </c>
      <c r="G132" s="379">
        <f t="shared" ref="G132:G156" si="25">IF(F132&lt;15,MROUND((24249*F132)+173236,100),IF(F132&lt;350,MROUND((63052*F132+1000000+449307*LN(F132)-482686+(4660.55*F132)+139342+815000),1000),MROUND((63052*F132+1000000+449307*LN(F132)-482686+(4660.55*F132)+139342+1345000),1000)))</f>
        <v>320500</v>
      </c>
      <c r="H132" s="773">
        <f t="shared" si="22"/>
        <v>42980</v>
      </c>
      <c r="I132" s="381">
        <f t="shared" si="23"/>
        <v>193620</v>
      </c>
      <c r="J132" s="380">
        <f t="shared" ref="J132:J156" si="26">IF(E132&lt;=7,14085.034,IF(E132&lt;=28,MROUND(21426*E132,10),MROUND((353.75*E132+590095),10)))</f>
        <v>14085.034</v>
      </c>
      <c r="K132" s="384" t="s">
        <v>367</v>
      </c>
      <c r="L132" s="382">
        <f>IF(K132="Independiente",Tabla13[[#This Row],[Ingreso a Planta de separación en año 10 (con turismo) (T/día)]],SUMIFS(Tabla13[Ingreso a Planta de separación en año 10 (con turismo) (T/día)],$K$3:$K$156,K132))</f>
        <v>172.80720828767122</v>
      </c>
      <c r="M13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Propuesta],K132))</f>
        <v>376.08119674991781</v>
      </c>
      <c r="N132" s="379">
        <f t="shared" ref="N132:N156" si="27">IF(M132&lt;15,MROUND((24249*M132)+173236,100),IF(M132&lt;350,MROUND((63052*M132+1000000+449307*LN(M132)-482686+(4660.55*M132)+139342+815000),1000),MROUND((63052*M132+1000000+449307*LN(M132)-482686+(4660.55*M132)+139342+1345000),1000)))</f>
        <v>30131000</v>
      </c>
      <c r="O132" s="380">
        <f t="shared" si="24"/>
        <v>984340</v>
      </c>
      <c r="P132" s="381">
        <f t="shared" ref="P132:P156" si="28">IF(L132&lt;=7,193620,MROUND((0.0065*L132+0.8472)*1000000,100))</f>
        <v>1970400</v>
      </c>
      <c r="Q132" s="380">
        <f t="shared" ref="Q132:Q156" si="29">IF(L132&lt;=10,14085.034,IF(L132&lt;=28,MROUND(21426*L132,10),MROUND((353.75*L132+590095),10)))</f>
        <v>651230</v>
      </c>
    </row>
    <row r="133" spans="2:17" ht="15">
      <c r="B133" s="376">
        <v>129</v>
      </c>
      <c r="C133" s="377" t="s">
        <v>16</v>
      </c>
      <c r="D133" s="377" t="s">
        <v>361</v>
      </c>
      <c r="E133" s="378">
        <v>2.7959260000000001</v>
      </c>
      <c r="F133" s="378">
        <v>6.0623304320000013</v>
      </c>
      <c r="G133" s="379">
        <f t="shared" si="25"/>
        <v>320200</v>
      </c>
      <c r="H133" s="773">
        <f t="shared" si="22"/>
        <v>42920</v>
      </c>
      <c r="I133" s="381">
        <f t="shared" si="23"/>
        <v>193620</v>
      </c>
      <c r="J133" s="380">
        <f t="shared" si="26"/>
        <v>14085.034</v>
      </c>
      <c r="K133" s="377" t="s">
        <v>359</v>
      </c>
      <c r="L133" s="382">
        <f>IF(K133="Independiente",Tabla13[[#This Row],[Ingreso a Planta de separación en año 10 (con turismo) (T/día)]],SUMIFS(Tabla13[Ingreso a Planta de separación en año 10 (con turismo) (T/día)],$K$3:$K$156,K133))</f>
        <v>213.48101250000002</v>
      </c>
      <c r="M13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Propuesta],K133))</f>
        <v>462.787425552</v>
      </c>
      <c r="N133" s="379">
        <f t="shared" si="27"/>
        <v>36096000</v>
      </c>
      <c r="O133" s="380">
        <f t="shared" si="24"/>
        <v>1016420</v>
      </c>
      <c r="P133" s="381">
        <f t="shared" si="28"/>
        <v>2234800</v>
      </c>
      <c r="Q133" s="380">
        <f t="shared" si="29"/>
        <v>665610</v>
      </c>
    </row>
    <row r="134" spans="2:17" ht="15">
      <c r="B134" s="383">
        <v>117</v>
      </c>
      <c r="C134" s="384" t="s">
        <v>222</v>
      </c>
      <c r="D134" s="384" t="s">
        <v>543</v>
      </c>
      <c r="E134" s="385">
        <v>2.7363560000000002</v>
      </c>
      <c r="F134" s="385">
        <v>5.9158414080000004</v>
      </c>
      <c r="G134" s="379">
        <f t="shared" si="25"/>
        <v>316700</v>
      </c>
      <c r="H134" s="773">
        <f t="shared" si="22"/>
        <v>42110</v>
      </c>
      <c r="I134" s="381">
        <f t="shared" si="23"/>
        <v>193620</v>
      </c>
      <c r="J134" s="380">
        <f t="shared" si="26"/>
        <v>14085.034</v>
      </c>
      <c r="K134" s="384" t="s">
        <v>471</v>
      </c>
      <c r="L134" s="382">
        <f>IF(K134="Independiente",Tabla13[[#This Row],[Ingreso a Planta de separación en año 10 (con turismo) (T/día)]],SUMIFS(Tabla13[Ingreso a Planta de separación en año 10 (con turismo) (T/día)],$K$3:$K$156,K134))</f>
        <v>9.9420719999999996</v>
      </c>
      <c r="M13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Propuesta],K134))</f>
        <v>21.495644704</v>
      </c>
      <c r="N134" s="379">
        <f t="shared" si="27"/>
        <v>4306000</v>
      </c>
      <c r="O134" s="380">
        <f t="shared" si="24"/>
        <v>1097330</v>
      </c>
      <c r="P134" s="381">
        <f t="shared" si="28"/>
        <v>911800</v>
      </c>
      <c r="Q134" s="380">
        <f t="shared" si="29"/>
        <v>14085.034</v>
      </c>
    </row>
    <row r="135" spans="2:17" ht="15">
      <c r="B135" s="376">
        <v>141</v>
      </c>
      <c r="C135" s="377" t="s">
        <v>37</v>
      </c>
      <c r="D135" s="377" t="s">
        <v>358</v>
      </c>
      <c r="E135" s="378">
        <v>2.5376820000000002</v>
      </c>
      <c r="F135" s="378">
        <v>5.4877120479999997</v>
      </c>
      <c r="G135" s="379">
        <f t="shared" si="25"/>
        <v>306300</v>
      </c>
      <c r="H135" s="773">
        <f t="shared" si="22"/>
        <v>39800</v>
      </c>
      <c r="I135" s="381">
        <f t="shared" si="23"/>
        <v>193620</v>
      </c>
      <c r="J135" s="380">
        <f t="shared" si="26"/>
        <v>14085.034</v>
      </c>
      <c r="K135" s="377" t="s">
        <v>356</v>
      </c>
      <c r="L135" s="382">
        <f>IF(K135="Independiente",Tabla13[[#This Row],[Ingreso a Planta de separación en año 10 (con turismo) (T/día)]],SUMIFS(Tabla13[Ingreso a Planta de separación en año 10 (con turismo) (T/día)],$K$3:$K$156,K135))</f>
        <v>413.98282689726022</v>
      </c>
      <c r="M13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Propuesta],K135))</f>
        <v>896.25069932242195</v>
      </c>
      <c r="N135" s="379">
        <f t="shared" si="27"/>
        <v>65744000</v>
      </c>
      <c r="O135" s="380">
        <f t="shared" si="24"/>
        <v>1102470</v>
      </c>
      <c r="P135" s="381">
        <f t="shared" si="28"/>
        <v>3538100</v>
      </c>
      <c r="Q135" s="380">
        <f t="shared" si="29"/>
        <v>736540</v>
      </c>
    </row>
    <row r="136" spans="2:17" ht="15">
      <c r="B136" s="383">
        <v>72</v>
      </c>
      <c r="C136" s="384" t="s">
        <v>165</v>
      </c>
      <c r="D136" s="384" t="s">
        <v>460</v>
      </c>
      <c r="E136" s="385">
        <v>2.4684519999999996</v>
      </c>
      <c r="F136" s="385">
        <v>5.3377608799999994</v>
      </c>
      <c r="G136" s="379">
        <f t="shared" si="25"/>
        <v>302700</v>
      </c>
      <c r="H136" s="773">
        <f t="shared" si="22"/>
        <v>39010</v>
      </c>
      <c r="I136" s="381">
        <f t="shared" si="23"/>
        <v>193620</v>
      </c>
      <c r="J136" s="380">
        <f t="shared" si="26"/>
        <v>14085.034</v>
      </c>
      <c r="K136" s="384" t="s">
        <v>459</v>
      </c>
      <c r="L136" s="382">
        <f>IF(K136="Independiente",Tabla13[[#This Row],[Ingreso a Planta de separación en año 10 (con turismo) (T/día)]],SUMIFS(Tabla13[Ingreso a Planta de separación en año 10 (con turismo) (T/día)],$K$3:$K$156,K136))</f>
        <v>14.136773</v>
      </c>
      <c r="M13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Propuesta],K136))</f>
        <v>30.575192760000007</v>
      </c>
      <c r="N136" s="379">
        <f t="shared" si="27"/>
        <v>5079000</v>
      </c>
      <c r="O136" s="380">
        <f t="shared" si="24"/>
        <v>862660</v>
      </c>
      <c r="P136" s="381">
        <f t="shared" si="28"/>
        <v>939100</v>
      </c>
      <c r="Q136" s="380">
        <f t="shared" si="29"/>
        <v>302890</v>
      </c>
    </row>
    <row r="137" spans="2:17" ht="15">
      <c r="B137" s="376">
        <v>134</v>
      </c>
      <c r="C137" s="377" t="s">
        <v>240</v>
      </c>
      <c r="D137" s="377" t="s">
        <v>550</v>
      </c>
      <c r="E137" s="378">
        <v>1.951964</v>
      </c>
      <c r="F137" s="378">
        <v>4.2201853600000003</v>
      </c>
      <c r="G137" s="379">
        <f t="shared" si="25"/>
        <v>275600</v>
      </c>
      <c r="H137" s="773">
        <f t="shared" si="22"/>
        <v>33450</v>
      </c>
      <c r="I137" s="381">
        <f t="shared" si="23"/>
        <v>193620</v>
      </c>
      <c r="J137" s="380">
        <f t="shared" si="26"/>
        <v>14085.034</v>
      </c>
      <c r="K137" s="377" t="s">
        <v>359</v>
      </c>
      <c r="L137" s="382">
        <f>IF(K137="Independiente",Tabla13[[#This Row],[Ingreso a Planta de separación en año 10 (con turismo) (T/día)]],SUMIFS(Tabla13[Ingreso a Planta de separación en año 10 (con turismo) (T/día)],$K$3:$K$156,K137))</f>
        <v>213.48101250000002</v>
      </c>
      <c r="M13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Propuesta],K137))</f>
        <v>462.787425552</v>
      </c>
      <c r="N137" s="379">
        <f t="shared" si="27"/>
        <v>36096000</v>
      </c>
      <c r="O137" s="380">
        <f t="shared" si="24"/>
        <v>1016420</v>
      </c>
      <c r="P137" s="381">
        <f t="shared" si="28"/>
        <v>2234800</v>
      </c>
      <c r="Q137" s="380">
        <f t="shared" si="29"/>
        <v>665610</v>
      </c>
    </row>
    <row r="138" spans="2:17" ht="15">
      <c r="B138" s="376">
        <v>152</v>
      </c>
      <c r="C138" s="377" t="s">
        <v>16</v>
      </c>
      <c r="D138" s="377" t="s">
        <v>457</v>
      </c>
      <c r="E138" s="378">
        <v>1.8827339999999997</v>
      </c>
      <c r="F138" s="378">
        <v>4.198254768</v>
      </c>
      <c r="G138" s="379">
        <f t="shared" si="25"/>
        <v>275000</v>
      </c>
      <c r="H138" s="773">
        <f t="shared" si="22"/>
        <v>33350</v>
      </c>
      <c r="I138" s="381">
        <f t="shared" si="23"/>
        <v>193620</v>
      </c>
      <c r="J138" s="380">
        <f t="shared" si="26"/>
        <v>14085.034</v>
      </c>
      <c r="K138" s="377" t="s">
        <v>455</v>
      </c>
      <c r="L138" s="382">
        <f>IF(K138="Independiente",Tabla13[[#This Row],[Ingreso a Planta de separación en año 10 (con turismo) (T/día)]],SUMIFS(Tabla13[Ingreso a Planta de separación en año 10 (con turismo) (T/día)],$K$3:$K$156,K138))</f>
        <v>14.348186999999999</v>
      </c>
      <c r="M13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Propuesta],K138))</f>
        <v>31.222409280000001</v>
      </c>
      <c r="N138" s="379">
        <f t="shared" si="27"/>
        <v>5132000</v>
      </c>
      <c r="O138" s="380">
        <f t="shared" si="24"/>
        <v>861430</v>
      </c>
      <c r="P138" s="381">
        <f t="shared" si="28"/>
        <v>940500</v>
      </c>
      <c r="Q138" s="380">
        <f t="shared" si="29"/>
        <v>307420</v>
      </c>
    </row>
    <row r="139" spans="2:17" ht="15">
      <c r="B139" s="383">
        <v>102</v>
      </c>
      <c r="C139" s="384" t="s">
        <v>204</v>
      </c>
      <c r="D139" s="384" t="s">
        <v>435</v>
      </c>
      <c r="E139" s="385">
        <v>1.8991559999999996</v>
      </c>
      <c r="F139" s="385">
        <v>4.1063467679999999</v>
      </c>
      <c r="G139" s="379">
        <f t="shared" si="25"/>
        <v>272800</v>
      </c>
      <c r="H139" s="773">
        <f t="shared" si="22"/>
        <v>32910</v>
      </c>
      <c r="I139" s="381">
        <f t="shared" si="23"/>
        <v>193620</v>
      </c>
      <c r="J139" s="380">
        <f t="shared" si="26"/>
        <v>14085.034</v>
      </c>
      <c r="K139" s="384" t="s">
        <v>433</v>
      </c>
      <c r="L139" s="382">
        <f>IF(K139="Independiente",Tabla13[[#This Row],[Ingreso a Planta de separación en año 10 (con turismo) (T/día)]],SUMIFS(Tabla13[Ingreso a Planta de separación en año 10 (con turismo) (T/día)],$K$3:$K$156,K139))</f>
        <v>20.759942000000002</v>
      </c>
      <c r="M13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Propuesta],K139))</f>
        <v>44.953306456</v>
      </c>
      <c r="N139" s="379">
        <f t="shared" si="27"/>
        <v>6225000</v>
      </c>
      <c r="O139" s="380">
        <f t="shared" si="24"/>
        <v>783010</v>
      </c>
      <c r="P139" s="381">
        <f t="shared" si="28"/>
        <v>982100</v>
      </c>
      <c r="Q139" s="380">
        <f t="shared" si="29"/>
        <v>444800</v>
      </c>
    </row>
    <row r="140" spans="2:17" ht="15">
      <c r="B140" s="383">
        <v>150</v>
      </c>
      <c r="C140" s="384" t="s">
        <v>210</v>
      </c>
      <c r="D140" s="384" t="s">
        <v>430</v>
      </c>
      <c r="E140" s="385">
        <v>1.859872</v>
      </c>
      <c r="F140" s="385">
        <v>4.0199823200000004</v>
      </c>
      <c r="G140" s="379">
        <f t="shared" si="25"/>
        <v>270700</v>
      </c>
      <c r="H140" s="773">
        <f t="shared" si="22"/>
        <v>32510</v>
      </c>
      <c r="I140" s="381">
        <f t="shared" si="23"/>
        <v>193620</v>
      </c>
      <c r="J140" s="380">
        <f t="shared" si="26"/>
        <v>14085.034</v>
      </c>
      <c r="K140" s="384" t="s">
        <v>428</v>
      </c>
      <c r="L140" s="382">
        <f>IF(K140="Independiente",Tabla13[[#This Row],[Ingreso a Planta de separación en año 10 (con turismo) (T/día)]],SUMIFS(Tabla13[Ingreso a Planta de separación en año 10 (con turismo) (T/día)],$K$3:$K$156,K140))</f>
        <v>24.412884999999999</v>
      </c>
      <c r="M14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Propuesta],K140))</f>
        <v>52.892924216000004</v>
      </c>
      <c r="N140" s="379">
        <f t="shared" si="27"/>
        <v>6836000</v>
      </c>
      <c r="O140" s="380">
        <f t="shared" si="24"/>
        <v>731990</v>
      </c>
      <c r="P140" s="381">
        <f t="shared" si="28"/>
        <v>1005900</v>
      </c>
      <c r="Q140" s="380">
        <f t="shared" si="29"/>
        <v>523070</v>
      </c>
    </row>
    <row r="141" spans="2:17" ht="15">
      <c r="B141" s="376">
        <v>45</v>
      </c>
      <c r="C141" s="377" t="s">
        <v>134</v>
      </c>
      <c r="D141" s="377" t="s">
        <v>440</v>
      </c>
      <c r="E141" s="378">
        <v>1.844738</v>
      </c>
      <c r="F141" s="378">
        <v>3.9881952159999989</v>
      </c>
      <c r="G141" s="379">
        <f t="shared" si="25"/>
        <v>269900</v>
      </c>
      <c r="H141" s="773">
        <f t="shared" si="22"/>
        <v>32370</v>
      </c>
      <c r="I141" s="381">
        <f t="shared" si="23"/>
        <v>193620</v>
      </c>
      <c r="J141" s="380">
        <f t="shared" si="26"/>
        <v>14085.034</v>
      </c>
      <c r="K141" s="377" t="s">
        <v>438</v>
      </c>
      <c r="L141" s="382">
        <f>IF(K141="Independiente",Tabla13[[#This Row],[Ingreso a Planta de separación en año 10 (con turismo) (T/día)]],SUMIFS(Tabla13[Ingreso a Planta de separación en año 10 (con turismo) (T/día)],$K$3:$K$156,K141))</f>
        <v>20.458130000000001</v>
      </c>
      <c r="M14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Propuesta],K141))</f>
        <v>44.31497232800001</v>
      </c>
      <c r="N141" s="379">
        <f t="shared" si="27"/>
        <v>6176000</v>
      </c>
      <c r="O141" s="380">
        <f t="shared" si="24"/>
        <v>787100</v>
      </c>
      <c r="P141" s="381">
        <f t="shared" si="28"/>
        <v>980200</v>
      </c>
      <c r="Q141" s="380">
        <f t="shared" si="29"/>
        <v>438340</v>
      </c>
    </row>
    <row r="142" spans="2:17" ht="15">
      <c r="B142" s="376">
        <v>108</v>
      </c>
      <c r="C142" s="377" t="s">
        <v>210</v>
      </c>
      <c r="D142" s="377" t="s">
        <v>567</v>
      </c>
      <c r="E142" s="378">
        <v>1.7967599999999999</v>
      </c>
      <c r="F142" s="378">
        <v>3.8965922879999999</v>
      </c>
      <c r="G142" s="379">
        <f t="shared" si="25"/>
        <v>267700</v>
      </c>
      <c r="H142" s="773">
        <f t="shared" si="22"/>
        <v>31950</v>
      </c>
      <c r="I142" s="381">
        <f t="shared" si="23"/>
        <v>193620</v>
      </c>
      <c r="J142" s="380">
        <f t="shared" si="26"/>
        <v>14085.034</v>
      </c>
      <c r="K142" s="377" t="s">
        <v>428</v>
      </c>
      <c r="L142" s="382">
        <f>IF(K142="Independiente",Tabla13[[#This Row],[Ingreso a Planta de separación en año 10 (con turismo) (T/día)]],SUMIFS(Tabla13[Ingreso a Planta de separación en año 10 (con turismo) (T/día)],$K$3:$K$156,K142))</f>
        <v>24.412884999999999</v>
      </c>
      <c r="M14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Propuesta],K142))</f>
        <v>52.892924216000004</v>
      </c>
      <c r="N142" s="379">
        <f t="shared" si="27"/>
        <v>6836000</v>
      </c>
      <c r="O142" s="380">
        <f t="shared" si="24"/>
        <v>731990</v>
      </c>
      <c r="P142" s="381">
        <f t="shared" si="28"/>
        <v>1005900</v>
      </c>
      <c r="Q142" s="380">
        <f t="shared" si="29"/>
        <v>523070</v>
      </c>
    </row>
    <row r="143" spans="2:17" ht="15">
      <c r="B143" s="383">
        <v>64</v>
      </c>
      <c r="C143" s="384" t="s">
        <v>156</v>
      </c>
      <c r="D143" s="384" t="s">
        <v>474</v>
      </c>
      <c r="E143" s="385">
        <v>1.7255980000000002</v>
      </c>
      <c r="F143" s="385">
        <v>3.7318199200000008</v>
      </c>
      <c r="G143" s="379">
        <f t="shared" si="25"/>
        <v>263700</v>
      </c>
      <c r="H143" s="773">
        <f t="shared" si="22"/>
        <v>31200</v>
      </c>
      <c r="I143" s="381">
        <f t="shared" si="23"/>
        <v>193620</v>
      </c>
      <c r="J143" s="380">
        <f t="shared" si="26"/>
        <v>14085.034</v>
      </c>
      <c r="K143" s="384" t="s">
        <v>475</v>
      </c>
      <c r="L143" s="382">
        <f>IF(K143="Independiente",Tabla13[[#This Row],[Ingreso a Planta de separación en año 10 (con turismo) (T/día)]],SUMIFS(Tabla13[Ingreso a Planta de separación en año 10 (con turismo) (T/día)],$K$3:$K$156,K143))</f>
        <v>4.1624940000000006</v>
      </c>
      <c r="M14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Propuesta],K143))</f>
        <v>8.9999747040000013</v>
      </c>
      <c r="N143" s="379">
        <f t="shared" si="27"/>
        <v>391500</v>
      </c>
      <c r="O143" s="380">
        <f t="shared" si="24"/>
        <v>61260</v>
      </c>
      <c r="P143" s="381">
        <f t="shared" si="28"/>
        <v>193620</v>
      </c>
      <c r="Q143" s="380">
        <f t="shared" si="29"/>
        <v>14085.034</v>
      </c>
    </row>
    <row r="144" spans="2:17" ht="15">
      <c r="B144" s="383">
        <v>146</v>
      </c>
      <c r="C144" s="384" t="s">
        <v>172</v>
      </c>
      <c r="D144" s="384" t="s">
        <v>472</v>
      </c>
      <c r="E144" s="385">
        <v>1.6428439999999997</v>
      </c>
      <c r="F144" s="385">
        <v>3.5523904799999997</v>
      </c>
      <c r="G144" s="379">
        <f t="shared" si="25"/>
        <v>259400</v>
      </c>
      <c r="H144" s="773">
        <f t="shared" si="22"/>
        <v>30400</v>
      </c>
      <c r="I144" s="381">
        <f t="shared" si="23"/>
        <v>193620</v>
      </c>
      <c r="J144" s="380">
        <f t="shared" si="26"/>
        <v>14085.034</v>
      </c>
      <c r="K144" s="384" t="s">
        <v>471</v>
      </c>
      <c r="L144" s="382">
        <f>IF(K144="Independiente",Tabla13[[#This Row],[Ingreso a Planta de separación en año 10 (con turismo) (T/día)]],SUMIFS(Tabla13[Ingreso a Planta de separación en año 10 (con turismo) (T/día)],$K$3:$K$156,K144))</f>
        <v>9.9420719999999996</v>
      </c>
      <c r="M14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Propuesta],K144))</f>
        <v>21.495644704</v>
      </c>
      <c r="N144" s="379">
        <f t="shared" si="27"/>
        <v>4306000</v>
      </c>
      <c r="O144" s="380">
        <f t="shared" si="24"/>
        <v>1097330</v>
      </c>
      <c r="P144" s="381">
        <f t="shared" si="28"/>
        <v>911800</v>
      </c>
      <c r="Q144" s="380">
        <f t="shared" si="29"/>
        <v>14085.034</v>
      </c>
    </row>
    <row r="145" spans="2:17" ht="15">
      <c r="B145" s="376">
        <v>143</v>
      </c>
      <c r="C145" s="377" t="s">
        <v>156</v>
      </c>
      <c r="D145" s="377" t="s">
        <v>572</v>
      </c>
      <c r="E145" s="378">
        <v>1.45383</v>
      </c>
      <c r="F145" s="378">
        <v>3.142841808</v>
      </c>
      <c r="G145" s="379">
        <f t="shared" si="25"/>
        <v>249400</v>
      </c>
      <c r="H145" s="773">
        <f t="shared" si="22"/>
        <v>28630</v>
      </c>
      <c r="I145" s="381">
        <f t="shared" si="23"/>
        <v>193620</v>
      </c>
      <c r="J145" s="380">
        <f t="shared" si="26"/>
        <v>14085.034</v>
      </c>
      <c r="K145" s="377" t="s">
        <v>475</v>
      </c>
      <c r="L145" s="382">
        <f>IF(K145="Independiente",Tabla13[[#This Row],[Ingreso a Planta de separación en año 10 (con turismo) (T/día)]],SUMIFS(Tabla13[Ingreso a Planta de separación en año 10 (con turismo) (T/día)],$K$3:$K$156,K145))</f>
        <v>4.1624940000000006</v>
      </c>
      <c r="M14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Propuesta],K145))</f>
        <v>8.9999747040000013</v>
      </c>
      <c r="N145" s="379">
        <f t="shared" si="27"/>
        <v>391500</v>
      </c>
      <c r="O145" s="380">
        <f t="shared" si="24"/>
        <v>61260</v>
      </c>
      <c r="P145" s="381">
        <f t="shared" si="28"/>
        <v>193620</v>
      </c>
      <c r="Q145" s="380">
        <f t="shared" si="29"/>
        <v>14085.034</v>
      </c>
    </row>
    <row r="146" spans="2:17" ht="15">
      <c r="B146" s="376">
        <v>104</v>
      </c>
      <c r="C146" s="377" t="s">
        <v>206</v>
      </c>
      <c r="D146" s="377" t="s">
        <v>445</v>
      </c>
      <c r="E146" s="378">
        <v>1.3369439999999999</v>
      </c>
      <c r="F146" s="378">
        <v>2.915574576</v>
      </c>
      <c r="G146" s="379">
        <f t="shared" si="25"/>
        <v>243900</v>
      </c>
      <c r="H146" s="773">
        <f t="shared" si="22"/>
        <v>27680</v>
      </c>
      <c r="I146" s="381">
        <f t="shared" si="23"/>
        <v>193620</v>
      </c>
      <c r="J146" s="380">
        <f t="shared" si="26"/>
        <v>14085.034</v>
      </c>
      <c r="K146" s="377" t="s">
        <v>443</v>
      </c>
      <c r="L146" s="382">
        <f>IF(K146="Independiente",Tabla13[[#This Row],[Ingreso a Planta de separación en año 10 (con turismo) (T/día)]],SUMIFS(Tabla13[Ingreso a Planta de separación en año 10 (con turismo) (T/día)],$K$3:$K$156,K146))</f>
        <v>19.698174999999996</v>
      </c>
      <c r="M14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Propuesta],K146))</f>
        <v>42.739354920000004</v>
      </c>
      <c r="N146" s="379">
        <f t="shared" si="27"/>
        <v>6053000</v>
      </c>
      <c r="O146" s="380">
        <f t="shared" si="24"/>
        <v>797410</v>
      </c>
      <c r="P146" s="381">
        <f t="shared" si="28"/>
        <v>975200</v>
      </c>
      <c r="Q146" s="380">
        <f t="shared" si="29"/>
        <v>422050</v>
      </c>
    </row>
    <row r="147" spans="2:17" ht="15">
      <c r="B147" s="383">
        <v>138</v>
      </c>
      <c r="C147" s="384" t="s">
        <v>134</v>
      </c>
      <c r="D147" s="384" t="s">
        <v>441</v>
      </c>
      <c r="E147" s="385">
        <v>1.1888240000000001</v>
      </c>
      <c r="F147" s="385">
        <v>2.5705285760000001</v>
      </c>
      <c r="G147" s="379">
        <f t="shared" si="25"/>
        <v>235600</v>
      </c>
      <c r="H147" s="773">
        <f t="shared" si="22"/>
        <v>26290</v>
      </c>
      <c r="I147" s="381">
        <f t="shared" si="23"/>
        <v>193620</v>
      </c>
      <c r="J147" s="380">
        <f t="shared" si="26"/>
        <v>14085.034</v>
      </c>
      <c r="K147" s="384" t="s">
        <v>438</v>
      </c>
      <c r="L147" s="382">
        <f>IF(K147="Independiente",Tabla13[[#This Row],[Ingreso a Planta de separación en año 10 (con turismo) (T/día)]],SUMIFS(Tabla13[Ingreso a Planta de separación en año 10 (con turismo) (T/día)],$K$3:$K$156,K147))</f>
        <v>20.458130000000001</v>
      </c>
      <c r="M147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Propuesta],K147))</f>
        <v>44.31497232800001</v>
      </c>
      <c r="N147" s="379">
        <f t="shared" si="27"/>
        <v>6176000</v>
      </c>
      <c r="O147" s="380">
        <f t="shared" si="24"/>
        <v>787100</v>
      </c>
      <c r="P147" s="381">
        <f t="shared" si="28"/>
        <v>980200</v>
      </c>
      <c r="Q147" s="380">
        <f t="shared" si="29"/>
        <v>438340</v>
      </c>
    </row>
    <row r="148" spans="2:17" ht="15">
      <c r="B148" s="383">
        <v>137</v>
      </c>
      <c r="C148" s="384" t="s">
        <v>115</v>
      </c>
      <c r="D148" s="384" t="s">
        <v>473</v>
      </c>
      <c r="E148" s="385">
        <v>1.0976980000000001</v>
      </c>
      <c r="F148" s="385">
        <v>2.3732058719999998</v>
      </c>
      <c r="G148" s="379">
        <f t="shared" si="25"/>
        <v>230800</v>
      </c>
      <c r="H148" s="773">
        <f t="shared" si="22"/>
        <v>25510</v>
      </c>
      <c r="I148" s="381">
        <f t="shared" si="23"/>
        <v>193620</v>
      </c>
      <c r="J148" s="380">
        <f t="shared" si="26"/>
        <v>14085.034</v>
      </c>
      <c r="K148" s="384" t="s">
        <v>471</v>
      </c>
      <c r="L148" s="382">
        <f>IF(K148="Independiente",Tabla13[[#This Row],[Ingreso a Planta de separación en año 10 (con turismo) (T/día)]],SUMIFS(Tabla13[Ingreso a Planta de separación en año 10 (con turismo) (T/día)],$K$3:$K$156,K148))</f>
        <v>9.9420719999999996</v>
      </c>
      <c r="M148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Propuesta],K148))</f>
        <v>21.495644704</v>
      </c>
      <c r="N148" s="379">
        <f t="shared" si="27"/>
        <v>4306000</v>
      </c>
      <c r="O148" s="380">
        <f t="shared" si="24"/>
        <v>1097330</v>
      </c>
      <c r="P148" s="381">
        <f t="shared" si="28"/>
        <v>911800</v>
      </c>
      <c r="Q148" s="380">
        <f t="shared" si="29"/>
        <v>14085.034</v>
      </c>
    </row>
    <row r="149" spans="2:17" ht="15">
      <c r="B149" s="383">
        <v>148</v>
      </c>
      <c r="C149" s="384" t="s">
        <v>184</v>
      </c>
      <c r="D149" s="384" t="s">
        <v>388</v>
      </c>
      <c r="E149" s="385">
        <v>1.0951219999999999</v>
      </c>
      <c r="F149" s="385">
        <v>2.3665263039999997</v>
      </c>
      <c r="G149" s="379">
        <f t="shared" si="25"/>
        <v>230600</v>
      </c>
      <c r="H149" s="773">
        <f t="shared" si="22"/>
        <v>25490</v>
      </c>
      <c r="I149" s="381">
        <f t="shared" si="23"/>
        <v>193620</v>
      </c>
      <c r="J149" s="380">
        <f t="shared" si="26"/>
        <v>14085.034</v>
      </c>
      <c r="K149" s="384" t="s">
        <v>384</v>
      </c>
      <c r="L149" s="382">
        <f>IF(K149="Independiente",Tabla13[[#This Row],[Ingreso a Planta de separación en año 10 (con turismo) (T/día)]],SUMIFS(Tabla13[Ingreso a Planta de separación en año 10 (con turismo) (T/día)],$K$3:$K$156,K149))</f>
        <v>66.501638</v>
      </c>
      <c r="M149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Propuesta],K149))</f>
        <v>143.81307650399998</v>
      </c>
      <c r="N149" s="379">
        <f t="shared" si="27"/>
        <v>13442000</v>
      </c>
      <c r="O149" s="380">
        <f t="shared" si="24"/>
        <v>822890</v>
      </c>
      <c r="P149" s="381">
        <f t="shared" si="28"/>
        <v>1279500</v>
      </c>
      <c r="Q149" s="380">
        <f t="shared" si="29"/>
        <v>613620</v>
      </c>
    </row>
    <row r="150" spans="2:17" ht="15">
      <c r="B150" s="376">
        <v>70</v>
      </c>
      <c r="C150" s="377" t="s">
        <v>162</v>
      </c>
      <c r="D150" s="377" t="s">
        <v>373</v>
      </c>
      <c r="E150" s="378">
        <v>1.07226</v>
      </c>
      <c r="F150" s="378">
        <v>2.3457122240000001</v>
      </c>
      <c r="G150" s="379">
        <f t="shared" si="25"/>
        <v>230100</v>
      </c>
      <c r="H150" s="773">
        <f t="shared" si="22"/>
        <v>25410</v>
      </c>
      <c r="I150" s="381">
        <f t="shared" si="23"/>
        <v>193620</v>
      </c>
      <c r="J150" s="380">
        <f t="shared" si="26"/>
        <v>14085.034</v>
      </c>
      <c r="K150" s="377" t="s">
        <v>367</v>
      </c>
      <c r="L150" s="382">
        <f>IF(K150="Independiente",Tabla13[[#This Row],[Ingreso a Planta de separación en año 10 (con turismo) (T/día)]],SUMIFS(Tabla13[Ingreso a Planta de separación en año 10 (con turismo) (T/día)],$K$3:$K$156,K150))</f>
        <v>172.80720828767122</v>
      </c>
      <c r="M150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Propuesta],K150))</f>
        <v>376.08119674991781</v>
      </c>
      <c r="N150" s="379">
        <f t="shared" si="27"/>
        <v>30131000</v>
      </c>
      <c r="O150" s="380">
        <f t="shared" si="24"/>
        <v>984340</v>
      </c>
      <c r="P150" s="381">
        <f t="shared" si="28"/>
        <v>1970400</v>
      </c>
      <c r="Q150" s="380">
        <f t="shared" si="29"/>
        <v>651230</v>
      </c>
    </row>
    <row r="151" spans="2:17" ht="15">
      <c r="B151" s="376">
        <v>142</v>
      </c>
      <c r="C151" s="377" t="s">
        <v>156</v>
      </c>
      <c r="D151" s="377" t="s">
        <v>476</v>
      </c>
      <c r="E151" s="378">
        <v>0.98306600000000011</v>
      </c>
      <c r="F151" s="378">
        <v>2.1253129760000005</v>
      </c>
      <c r="G151" s="379">
        <f t="shared" si="25"/>
        <v>224800</v>
      </c>
      <c r="H151" s="773">
        <f t="shared" si="22"/>
        <v>24570</v>
      </c>
      <c r="I151" s="381">
        <f t="shared" si="23"/>
        <v>193620</v>
      </c>
      <c r="J151" s="380">
        <f t="shared" si="26"/>
        <v>14085.034</v>
      </c>
      <c r="K151" s="377" t="s">
        <v>475</v>
      </c>
      <c r="L151" s="382">
        <f>IF(K151="Independiente",Tabla13[[#This Row],[Ingreso a Planta de separación en año 10 (con turismo) (T/día)]],SUMIFS(Tabla13[Ingreso a Planta de separación en año 10 (con turismo) (T/día)],$K$3:$K$156,K151))</f>
        <v>4.1624940000000006</v>
      </c>
      <c r="M151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Propuesta],K151))</f>
        <v>8.9999747040000013</v>
      </c>
      <c r="N151" s="379">
        <f t="shared" si="27"/>
        <v>391500</v>
      </c>
      <c r="O151" s="380">
        <f t="shared" si="24"/>
        <v>61260</v>
      </c>
      <c r="P151" s="381">
        <f t="shared" si="28"/>
        <v>193620</v>
      </c>
      <c r="Q151" s="380">
        <f t="shared" si="29"/>
        <v>14085.034</v>
      </c>
    </row>
    <row r="152" spans="2:17" ht="15">
      <c r="B152" s="383">
        <v>77</v>
      </c>
      <c r="C152" s="384" t="s">
        <v>172</v>
      </c>
      <c r="D152" s="384" t="s">
        <v>544</v>
      </c>
      <c r="E152" s="385">
        <v>0.95215399999999994</v>
      </c>
      <c r="F152" s="385">
        <v>2.0584551040000005</v>
      </c>
      <c r="G152" s="379">
        <f t="shared" si="25"/>
        <v>223200</v>
      </c>
      <c r="H152" s="773">
        <f t="shared" si="22"/>
        <v>24320</v>
      </c>
      <c r="I152" s="381">
        <f t="shared" si="23"/>
        <v>193620</v>
      </c>
      <c r="J152" s="380">
        <f t="shared" si="26"/>
        <v>14085.034</v>
      </c>
      <c r="K152" s="384" t="s">
        <v>471</v>
      </c>
      <c r="L152" s="382">
        <f>IF(K152="Independiente",Tabla13[[#This Row],[Ingreso a Planta de separación en año 10 (con turismo) (T/día)]],SUMIFS(Tabla13[Ingreso a Planta de separación en año 10 (con turismo) (T/día)],$K$3:$K$156,K152))</f>
        <v>9.9420719999999996</v>
      </c>
      <c r="M152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Propuesta],K152))</f>
        <v>21.495644704</v>
      </c>
      <c r="N152" s="379">
        <f t="shared" si="27"/>
        <v>4306000</v>
      </c>
      <c r="O152" s="380">
        <f t="shared" si="24"/>
        <v>1097330</v>
      </c>
      <c r="P152" s="381">
        <f t="shared" si="28"/>
        <v>911800</v>
      </c>
      <c r="Q152" s="380">
        <f t="shared" si="29"/>
        <v>14085.034</v>
      </c>
    </row>
    <row r="153" spans="2:17" ht="15">
      <c r="B153" s="376">
        <v>128</v>
      </c>
      <c r="C153" s="377" t="s">
        <v>235</v>
      </c>
      <c r="D153" s="377" t="s">
        <v>446</v>
      </c>
      <c r="E153" s="378">
        <v>0.88904199999999989</v>
      </c>
      <c r="F153" s="378">
        <v>1.9320769119999999</v>
      </c>
      <c r="G153" s="379">
        <f t="shared" si="25"/>
        <v>220100</v>
      </c>
      <c r="H153" s="773">
        <f t="shared" si="22"/>
        <v>23850</v>
      </c>
      <c r="I153" s="381">
        <f t="shared" si="23"/>
        <v>193620</v>
      </c>
      <c r="J153" s="380">
        <f t="shared" si="26"/>
        <v>14085.034</v>
      </c>
      <c r="K153" s="377" t="s">
        <v>443</v>
      </c>
      <c r="L153" s="382">
        <f>IF(K153="Independiente",Tabla13[[#This Row],[Ingreso a Planta de separación en año 10 (con turismo) (T/día)]],SUMIFS(Tabla13[Ingreso a Planta de separación en año 10 (con turismo) (T/día)],$K$3:$K$156,K153))</f>
        <v>19.698174999999996</v>
      </c>
      <c r="M153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Propuesta],K153))</f>
        <v>42.739354920000004</v>
      </c>
      <c r="N153" s="379">
        <f t="shared" si="27"/>
        <v>6053000</v>
      </c>
      <c r="O153" s="380">
        <f t="shared" si="24"/>
        <v>797410</v>
      </c>
      <c r="P153" s="381">
        <f t="shared" si="28"/>
        <v>975200</v>
      </c>
      <c r="Q153" s="380">
        <f t="shared" si="29"/>
        <v>422050</v>
      </c>
    </row>
    <row r="154" spans="2:17" ht="15">
      <c r="B154" s="383">
        <v>145</v>
      </c>
      <c r="C154" s="384" t="s">
        <v>162</v>
      </c>
      <c r="D154" s="384" t="s">
        <v>564</v>
      </c>
      <c r="E154" s="385">
        <v>0.54675599999999991</v>
      </c>
      <c r="F154" s="385">
        <v>1.1956739520000002</v>
      </c>
      <c r="G154" s="379">
        <f t="shared" si="25"/>
        <v>202200</v>
      </c>
      <c r="H154" s="773">
        <f t="shared" si="22"/>
        <v>21270</v>
      </c>
      <c r="I154" s="381">
        <f t="shared" si="23"/>
        <v>193620</v>
      </c>
      <c r="J154" s="380">
        <f t="shared" si="26"/>
        <v>14085.034</v>
      </c>
      <c r="K154" s="384" t="s">
        <v>367</v>
      </c>
      <c r="L154" s="382">
        <f>IF(K154="Independiente",Tabla13[[#This Row],[Ingreso a Planta de separación en año 10 (con turismo) (T/día)]],SUMIFS(Tabla13[Ingreso a Planta de separación en año 10 (con turismo) (T/día)],$K$3:$K$156,K154))</f>
        <v>172.80720828767122</v>
      </c>
      <c r="M154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Propuesta],K154))</f>
        <v>376.08119674991781</v>
      </c>
      <c r="N154" s="379">
        <f t="shared" si="27"/>
        <v>30131000</v>
      </c>
      <c r="O154" s="380">
        <f t="shared" si="24"/>
        <v>984340</v>
      </c>
      <c r="P154" s="381">
        <f t="shared" si="28"/>
        <v>1970400</v>
      </c>
      <c r="Q154" s="380">
        <f t="shared" si="29"/>
        <v>651230</v>
      </c>
    </row>
    <row r="155" spans="2:17" ht="15">
      <c r="B155" s="376">
        <v>66</v>
      </c>
      <c r="C155" s="377" t="s">
        <v>158</v>
      </c>
      <c r="D155" s="377" t="s">
        <v>447</v>
      </c>
      <c r="E155" s="378">
        <v>0.55094200000000004</v>
      </c>
      <c r="F155" s="378">
        <v>1.1945802559999998</v>
      </c>
      <c r="G155" s="379">
        <f t="shared" si="25"/>
        <v>202200</v>
      </c>
      <c r="H155" s="773">
        <f t="shared" si="22"/>
        <v>21270</v>
      </c>
      <c r="I155" s="381">
        <f t="shared" si="23"/>
        <v>193620</v>
      </c>
      <c r="J155" s="380">
        <f t="shared" si="26"/>
        <v>14085.034</v>
      </c>
      <c r="K155" s="377" t="s">
        <v>443</v>
      </c>
      <c r="L155" s="382">
        <f>IF(K155="Independiente",Tabla13[[#This Row],[Ingreso a Planta de separación en año 10 (con turismo) (T/día)]],SUMIFS(Tabla13[Ingreso a Planta de separación en año 10 (con turismo) (T/día)],$K$3:$K$156,K155))</f>
        <v>19.698174999999996</v>
      </c>
      <c r="M155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Propuesta],K155))</f>
        <v>42.739354920000004</v>
      </c>
      <c r="N155" s="379">
        <f t="shared" si="27"/>
        <v>6053000</v>
      </c>
      <c r="O155" s="380">
        <f t="shared" si="24"/>
        <v>797410</v>
      </c>
      <c r="P155" s="381">
        <f t="shared" si="28"/>
        <v>975200</v>
      </c>
      <c r="Q155" s="380">
        <f t="shared" si="29"/>
        <v>422050</v>
      </c>
    </row>
    <row r="156" spans="2:17" ht="15">
      <c r="B156" s="386">
        <v>144</v>
      </c>
      <c r="C156" s="387" t="s">
        <v>158</v>
      </c>
      <c r="D156" s="387" t="s">
        <v>470</v>
      </c>
      <c r="E156" s="388">
        <v>0.24021200000000001</v>
      </c>
      <c r="F156" s="388">
        <v>0.51909012799999998</v>
      </c>
      <c r="G156" s="379">
        <f t="shared" si="25"/>
        <v>185800</v>
      </c>
      <c r="H156" s="773">
        <f t="shared" si="22"/>
        <v>19120</v>
      </c>
      <c r="I156" s="381">
        <f t="shared" si="23"/>
        <v>193620</v>
      </c>
      <c r="J156" s="380">
        <f t="shared" si="26"/>
        <v>14085.034</v>
      </c>
      <c r="K156" s="387" t="s">
        <v>469</v>
      </c>
      <c r="L156" s="382">
        <f>IF(K156="Independiente",Tabla13[[#This Row],[Ingreso a Planta de separación en año 10 (con turismo) (T/día)]],SUMIFS(Tabla13[Ingreso a Planta de separación en año 10 (con turismo) (T/día)],$K$3:$K$156,K156))</f>
        <v>11.002019000000001</v>
      </c>
      <c r="M156" s="382">
        <f>IF(Tabla13[[#This Row],[Reg. Propuesta]]="Independiente",Tabla13[[#This Row],[Ingreso a Relleno Sanitario promedio de 20 años (con turismo) (T/día)]],SUMIFS(Tabla13[Ingreso a Relleno Sanitario promedio de 20 años (con turismo) (T/día)],Tabla13[Reg. Propuesta],K156))</f>
        <v>23.799487431999996</v>
      </c>
      <c r="N156" s="379">
        <f t="shared" si="27"/>
        <v>4507000</v>
      </c>
      <c r="O156" s="380">
        <f t="shared" si="24"/>
        <v>891060</v>
      </c>
      <c r="P156" s="381">
        <f t="shared" si="28"/>
        <v>918700</v>
      </c>
      <c r="Q156" s="380">
        <f t="shared" si="29"/>
        <v>235730</v>
      </c>
    </row>
    <row r="160" spans="2:17">
      <c r="E160" s="858">
        <f>ROUND(E97,2)</f>
        <v>7</v>
      </c>
    </row>
  </sheetData>
  <pageMargins left="0.7" right="0.7" top="0.75" bottom="0.75" header="0.3" footer="0.3"/>
  <pageSetup paperSize="9" orientation="portrait" horizontalDpi="360" verticalDpi="360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B1:AK158"/>
  <sheetViews>
    <sheetView zoomScale="70" zoomScaleNormal="70" workbookViewId="0">
      <pane xSplit="9" ySplit="3" topLeftCell="J4" activePane="bottomRight" state="frozen"/>
      <selection pane="topRight" activeCell="J1" sqref="J1"/>
      <selection pane="bottomLeft" activeCell="A4" sqref="A4"/>
      <selection pane="bottomRight" activeCell="D158" sqref="D158"/>
    </sheetView>
  </sheetViews>
  <sheetFormatPr baseColWidth="10" defaultColWidth="11.42578125" defaultRowHeight="14.25"/>
  <cols>
    <col min="1" max="1" width="12.140625" style="593" customWidth="1"/>
    <col min="2" max="2" width="17.28515625" style="593" customWidth="1"/>
    <col min="3" max="3" width="32.42578125" style="593" customWidth="1"/>
    <col min="4" max="4" width="29.42578125" style="593" customWidth="1"/>
    <col min="5" max="5" width="27.5703125" style="593" customWidth="1"/>
    <col min="6" max="6" width="25.42578125" style="593" customWidth="1"/>
    <col min="7" max="7" width="24.5703125" style="593" customWidth="1"/>
    <col min="8" max="9" width="32.5703125" style="593" customWidth="1"/>
    <col min="10" max="12" width="12.5703125" style="593" customWidth="1"/>
    <col min="13" max="17" width="12.5703125" style="375" customWidth="1"/>
    <col min="18" max="34" width="12.5703125" style="593" customWidth="1"/>
    <col min="35" max="36" width="13.42578125" style="593" customWidth="1"/>
    <col min="37" max="39" width="15.140625" style="593" customWidth="1"/>
    <col min="40" max="41" width="11.42578125" style="593"/>
    <col min="42" max="42" width="16.140625" style="593" bestFit="1" customWidth="1"/>
    <col min="43" max="16384" width="11.42578125" style="593"/>
  </cols>
  <sheetData>
    <row r="1" spans="2:37" ht="18">
      <c r="B1" s="952" t="s">
        <v>652</v>
      </c>
      <c r="C1" s="952"/>
      <c r="D1" s="952"/>
      <c r="E1" s="952"/>
      <c r="F1" s="952"/>
      <c r="G1" s="952"/>
      <c r="H1" s="952"/>
      <c r="I1" s="594" t="s">
        <v>653</v>
      </c>
      <c r="M1" s="593"/>
      <c r="N1" s="593"/>
      <c r="O1" s="593"/>
      <c r="P1" s="593"/>
      <c r="Q1" s="593"/>
    </row>
    <row r="2" spans="2:37" s="596" customFormat="1" ht="15" customHeight="1">
      <c r="B2" s="611"/>
      <c r="C2" s="612"/>
      <c r="D2" s="612">
        <v>1</v>
      </c>
      <c r="E2" s="612">
        <v>2</v>
      </c>
      <c r="F2" s="612">
        <v>3</v>
      </c>
      <c r="G2" s="612">
        <v>4</v>
      </c>
      <c r="H2" s="612">
        <v>5</v>
      </c>
      <c r="I2" s="612">
        <v>6</v>
      </c>
      <c r="J2" s="595">
        <v>33960</v>
      </c>
      <c r="K2" s="595">
        <v>46800</v>
      </c>
      <c r="L2" s="595">
        <v>109295</v>
      </c>
      <c r="M2" s="595">
        <v>193.75</v>
      </c>
      <c r="N2" s="595">
        <v>40223.14</v>
      </c>
      <c r="O2" s="595">
        <v>539933.88</v>
      </c>
      <c r="P2" s="595">
        <v>43099.17</v>
      </c>
      <c r="Q2" s="595">
        <v>20611.57</v>
      </c>
      <c r="R2" s="595">
        <v>17975.21</v>
      </c>
      <c r="S2" s="595">
        <v>8793.39</v>
      </c>
      <c r="T2" s="595">
        <v>12041.32</v>
      </c>
      <c r="U2" s="595">
        <v>18570.25</v>
      </c>
      <c r="V2" s="595">
        <v>643983.47</v>
      </c>
      <c r="W2" s="595">
        <v>1429537.19</v>
      </c>
      <c r="X2" s="595">
        <v>714768.59499999997</v>
      </c>
      <c r="Y2" s="595">
        <v>620830</v>
      </c>
      <c r="Z2" s="595">
        <v>411600</v>
      </c>
      <c r="AA2" s="595">
        <v>362910</v>
      </c>
      <c r="AB2" s="595">
        <v>279400</v>
      </c>
      <c r="AC2" s="595">
        <v>217250.62034739455</v>
      </c>
      <c r="AD2" s="595">
        <v>39700</v>
      </c>
      <c r="AE2" s="595">
        <v>264000</v>
      </c>
      <c r="AF2" s="595">
        <v>180000</v>
      </c>
      <c r="AG2" s="595">
        <v>91900</v>
      </c>
      <c r="AH2" s="595">
        <v>46800</v>
      </c>
      <c r="AI2" s="595">
        <v>48500</v>
      </c>
      <c r="AJ2" s="595">
        <v>230000</v>
      </c>
    </row>
    <row r="3" spans="2:37" ht="81.75" customHeight="1">
      <c r="B3" s="597" t="s">
        <v>314</v>
      </c>
      <c r="C3" s="597" t="s">
        <v>315</v>
      </c>
      <c r="D3" s="597" t="s">
        <v>22</v>
      </c>
      <c r="E3" s="598" t="s">
        <v>654</v>
      </c>
      <c r="F3" s="598" t="s">
        <v>655</v>
      </c>
      <c r="G3" s="598" t="s">
        <v>322</v>
      </c>
      <c r="H3" s="598" t="s">
        <v>656</v>
      </c>
      <c r="I3" s="598" t="s">
        <v>657</v>
      </c>
      <c r="J3" s="599" t="s">
        <v>658</v>
      </c>
      <c r="K3" s="599" t="s">
        <v>659</v>
      </c>
      <c r="L3" s="599" t="s">
        <v>660</v>
      </c>
      <c r="M3" s="599" t="s">
        <v>661</v>
      </c>
      <c r="N3" s="599" t="s">
        <v>662</v>
      </c>
      <c r="O3" s="599" t="s">
        <v>663</v>
      </c>
      <c r="P3" s="599" t="s">
        <v>664</v>
      </c>
      <c r="Q3" s="599" t="s">
        <v>665</v>
      </c>
      <c r="R3" s="599" t="s">
        <v>666</v>
      </c>
      <c r="S3" s="599" t="s">
        <v>667</v>
      </c>
      <c r="T3" s="599" t="s">
        <v>668</v>
      </c>
      <c r="U3" s="599" t="s">
        <v>669</v>
      </c>
      <c r="V3" s="599" t="s">
        <v>670</v>
      </c>
      <c r="W3" s="599" t="s">
        <v>671</v>
      </c>
      <c r="X3" s="599" t="s">
        <v>672</v>
      </c>
      <c r="Y3" s="599" t="s">
        <v>673</v>
      </c>
      <c r="Z3" s="599" t="s">
        <v>674</v>
      </c>
      <c r="AA3" s="599" t="s">
        <v>675</v>
      </c>
      <c r="AB3" s="599" t="s">
        <v>676</v>
      </c>
      <c r="AC3" s="599" t="s">
        <v>677</v>
      </c>
      <c r="AD3" s="600" t="s">
        <v>678</v>
      </c>
      <c r="AE3" s="601" t="s">
        <v>679</v>
      </c>
      <c r="AF3" s="601" t="s">
        <v>680</v>
      </c>
      <c r="AG3" s="601" t="s">
        <v>681</v>
      </c>
      <c r="AH3" s="601" t="s">
        <v>682</v>
      </c>
      <c r="AI3" s="601" t="s">
        <v>683</v>
      </c>
      <c r="AJ3" s="600" t="s">
        <v>684</v>
      </c>
    </row>
    <row r="4" spans="2:37" ht="15">
      <c r="B4" s="632">
        <v>25</v>
      </c>
      <c r="C4" s="633" t="s">
        <v>112</v>
      </c>
      <c r="D4" s="633" t="s">
        <v>407</v>
      </c>
      <c r="E4" s="634">
        <v>214261.87917369726</v>
      </c>
      <c r="F4" s="634">
        <v>91900</v>
      </c>
      <c r="G4" s="633" t="s">
        <v>405</v>
      </c>
      <c r="H4" s="628">
        <v>977542.4706253102</v>
      </c>
      <c r="I4" s="628">
        <v>382490</v>
      </c>
      <c r="J4" s="635"/>
      <c r="K4" s="635"/>
      <c r="L4" s="635"/>
      <c r="M4" s="636">
        <v>300</v>
      </c>
      <c r="N4" s="635"/>
      <c r="O4" s="635"/>
      <c r="P4" s="635">
        <v>0.6</v>
      </c>
      <c r="Q4" s="635">
        <v>0.6</v>
      </c>
      <c r="R4" s="635"/>
      <c r="S4" s="635"/>
      <c r="T4" s="635"/>
      <c r="U4" s="635">
        <v>0.5</v>
      </c>
      <c r="V4" s="635"/>
      <c r="W4" s="635"/>
      <c r="X4" s="635"/>
      <c r="Y4" s="635"/>
      <c r="Z4" s="635"/>
      <c r="AA4" s="635"/>
      <c r="AB4" s="635"/>
      <c r="AC4" s="635">
        <v>0.5</v>
      </c>
      <c r="AD4" s="635"/>
      <c r="AE4" s="635"/>
      <c r="AF4" s="635"/>
      <c r="AG4" s="635">
        <v>1</v>
      </c>
      <c r="AH4" s="635"/>
      <c r="AI4" s="635"/>
      <c r="AJ4" s="637"/>
    </row>
    <row r="5" spans="2:37" ht="15">
      <c r="B5" s="638">
        <v>26</v>
      </c>
      <c r="C5" s="639" t="s">
        <v>113</v>
      </c>
      <c r="D5" s="639" t="s">
        <v>409</v>
      </c>
      <c r="E5" s="640">
        <v>294732.94199999998</v>
      </c>
      <c r="F5" s="640">
        <v>55140</v>
      </c>
      <c r="G5" s="639" t="s">
        <v>410</v>
      </c>
      <c r="H5" s="629">
        <v>966277.84827791562</v>
      </c>
      <c r="I5" s="629">
        <v>429080</v>
      </c>
      <c r="J5" s="641">
        <v>0.6</v>
      </c>
      <c r="K5" s="641"/>
      <c r="L5" s="641"/>
      <c r="M5" s="642">
        <v>456</v>
      </c>
      <c r="N5" s="641"/>
      <c r="O5" s="641"/>
      <c r="P5" s="641"/>
      <c r="Q5" s="641"/>
      <c r="R5" s="641"/>
      <c r="S5" s="641"/>
      <c r="T5" s="641">
        <v>0.6</v>
      </c>
      <c r="U5" s="641">
        <v>0.6</v>
      </c>
      <c r="V5" s="641"/>
      <c r="W5" s="641"/>
      <c r="X5" s="641"/>
      <c r="Y5" s="641"/>
      <c r="Z5" s="641"/>
      <c r="AA5" s="641"/>
      <c r="AB5" s="641">
        <v>0.6</v>
      </c>
      <c r="AC5" s="641"/>
      <c r="AD5" s="641"/>
      <c r="AE5" s="641"/>
      <c r="AF5" s="641"/>
      <c r="AG5" s="641">
        <v>0.6</v>
      </c>
      <c r="AH5" s="641"/>
      <c r="AI5" s="641"/>
      <c r="AJ5" s="643"/>
    </row>
    <row r="6" spans="2:37" ht="15">
      <c r="B6" s="632">
        <v>28</v>
      </c>
      <c r="C6" s="633" t="s">
        <v>116</v>
      </c>
      <c r="D6" s="633" t="s">
        <v>538</v>
      </c>
      <c r="E6" s="634">
        <v>0</v>
      </c>
      <c r="F6" s="634">
        <v>0</v>
      </c>
      <c r="G6" s="633" t="s">
        <v>421</v>
      </c>
      <c r="H6" s="628">
        <v>1471314.0275000001</v>
      </c>
      <c r="I6" s="628">
        <v>354940</v>
      </c>
      <c r="J6" s="635"/>
      <c r="K6" s="635"/>
      <c r="L6" s="635"/>
      <c r="M6" s="636"/>
      <c r="N6" s="635"/>
      <c r="O6" s="635"/>
      <c r="P6" s="635"/>
      <c r="Q6" s="635"/>
      <c r="R6" s="635"/>
      <c r="S6" s="635"/>
      <c r="T6" s="635"/>
      <c r="U6" s="635"/>
      <c r="V6" s="635"/>
      <c r="W6" s="635"/>
      <c r="X6" s="635"/>
      <c r="Y6" s="635"/>
      <c r="Z6" s="635"/>
      <c r="AA6" s="635"/>
      <c r="AB6" s="635"/>
      <c r="AC6" s="635"/>
      <c r="AD6" s="635"/>
      <c r="AE6" s="635"/>
      <c r="AF6" s="635"/>
      <c r="AG6" s="635"/>
      <c r="AH6" s="635"/>
      <c r="AI6" s="635"/>
      <c r="AJ6" s="637"/>
    </row>
    <row r="7" spans="2:37" ht="15">
      <c r="B7" s="632">
        <v>29</v>
      </c>
      <c r="C7" s="633" t="s">
        <v>117</v>
      </c>
      <c r="D7" s="633" t="s">
        <v>403</v>
      </c>
      <c r="E7" s="634">
        <v>710635.04034739453</v>
      </c>
      <c r="F7" s="634">
        <v>0</v>
      </c>
      <c r="G7" s="633" t="s">
        <v>401</v>
      </c>
      <c r="H7" s="629">
        <v>1467506.6153473945</v>
      </c>
      <c r="I7" s="629">
        <v>222000</v>
      </c>
      <c r="J7" s="641"/>
      <c r="K7" s="641"/>
      <c r="L7" s="641">
        <v>2</v>
      </c>
      <c r="M7" s="642">
        <v>1100</v>
      </c>
      <c r="N7" s="641"/>
      <c r="O7" s="641"/>
      <c r="P7" s="641">
        <v>1</v>
      </c>
      <c r="Q7" s="641"/>
      <c r="R7" s="641"/>
      <c r="S7" s="641"/>
      <c r="T7" s="641"/>
      <c r="U7" s="641">
        <v>1</v>
      </c>
      <c r="V7" s="641"/>
      <c r="W7" s="641"/>
      <c r="X7" s="641"/>
      <c r="Y7" s="641"/>
      <c r="Z7" s="641"/>
      <c r="AA7" s="641"/>
      <c r="AB7" s="641"/>
      <c r="AC7" s="641">
        <v>1</v>
      </c>
      <c r="AD7" s="641"/>
      <c r="AE7" s="641"/>
      <c r="AF7" s="641"/>
      <c r="AG7" s="641"/>
      <c r="AH7" s="641"/>
      <c r="AI7" s="641"/>
      <c r="AJ7" s="643"/>
      <c r="AK7" s="610"/>
    </row>
    <row r="8" spans="2:37" ht="15">
      <c r="B8" s="632">
        <v>1</v>
      </c>
      <c r="C8" s="633" t="s">
        <v>83</v>
      </c>
      <c r="D8" s="633" t="s">
        <v>334</v>
      </c>
      <c r="E8" s="634">
        <v>99330.25</v>
      </c>
      <c r="F8" s="634">
        <v>39700</v>
      </c>
      <c r="G8" s="633" t="s">
        <v>329</v>
      </c>
      <c r="H8" s="628">
        <v>279420.5</v>
      </c>
      <c r="I8" s="628">
        <v>79400</v>
      </c>
      <c r="J8" s="635">
        <v>1</v>
      </c>
      <c r="K8" s="635">
        <v>1</v>
      </c>
      <c r="L8" s="635"/>
      <c r="M8" s="636"/>
      <c r="N8" s="635"/>
      <c r="O8" s="635"/>
      <c r="P8" s="635"/>
      <c r="Q8" s="635"/>
      <c r="R8" s="635"/>
      <c r="S8" s="635"/>
      <c r="T8" s="635"/>
      <c r="U8" s="635">
        <v>1</v>
      </c>
      <c r="V8" s="635"/>
      <c r="W8" s="635"/>
      <c r="X8" s="635"/>
      <c r="Y8" s="635"/>
      <c r="Z8" s="635"/>
      <c r="AA8" s="635"/>
      <c r="AB8" s="635"/>
      <c r="AC8" s="635"/>
      <c r="AD8" s="635">
        <v>1</v>
      </c>
      <c r="AE8" s="635"/>
      <c r="AF8" s="635"/>
      <c r="AG8" s="635"/>
      <c r="AH8" s="635"/>
      <c r="AI8" s="635"/>
      <c r="AJ8" s="637"/>
      <c r="AK8" s="610"/>
    </row>
    <row r="9" spans="2:37" ht="15">
      <c r="B9" s="638">
        <v>112</v>
      </c>
      <c r="C9" s="639" t="s">
        <v>216</v>
      </c>
      <c r="D9" s="639" t="s">
        <v>568</v>
      </c>
      <c r="E9" s="640">
        <v>0</v>
      </c>
      <c r="F9" s="640">
        <v>0</v>
      </c>
      <c r="G9" s="639" t="s">
        <v>438</v>
      </c>
      <c r="H9" s="629">
        <v>281158.82500000001</v>
      </c>
      <c r="I9" s="629">
        <v>0</v>
      </c>
      <c r="J9" s="641"/>
      <c r="K9" s="641"/>
      <c r="L9" s="641"/>
      <c r="M9" s="642"/>
      <c r="N9" s="641"/>
      <c r="O9" s="641"/>
      <c r="P9" s="641"/>
      <c r="Q9" s="641"/>
      <c r="R9" s="641"/>
      <c r="S9" s="641"/>
      <c r="T9" s="641"/>
      <c r="U9" s="641"/>
      <c r="V9" s="641"/>
      <c r="W9" s="641"/>
      <c r="X9" s="641"/>
      <c r="Y9" s="641"/>
      <c r="Z9" s="641"/>
      <c r="AA9" s="641"/>
      <c r="AB9" s="641"/>
      <c r="AC9" s="641"/>
      <c r="AD9" s="641"/>
      <c r="AE9" s="641"/>
      <c r="AF9" s="641"/>
      <c r="AG9" s="641"/>
      <c r="AH9" s="641"/>
      <c r="AI9" s="641"/>
      <c r="AJ9" s="643"/>
      <c r="AK9" s="610"/>
    </row>
    <row r="10" spans="2:37" ht="15">
      <c r="B10" s="632">
        <v>30</v>
      </c>
      <c r="C10" s="633" t="s">
        <v>118</v>
      </c>
      <c r="D10" s="633" t="s">
        <v>379</v>
      </c>
      <c r="E10" s="634">
        <v>0</v>
      </c>
      <c r="F10" s="634">
        <v>0</v>
      </c>
      <c r="G10" s="633" t="s">
        <v>377</v>
      </c>
      <c r="H10" s="628">
        <v>513269.83500000002</v>
      </c>
      <c r="I10" s="628">
        <v>238750</v>
      </c>
      <c r="J10" s="635"/>
      <c r="K10" s="635"/>
      <c r="L10" s="635"/>
      <c r="M10" s="636"/>
      <c r="N10" s="635"/>
      <c r="O10" s="635"/>
      <c r="P10" s="635"/>
      <c r="Q10" s="635"/>
      <c r="R10" s="635"/>
      <c r="S10" s="635"/>
      <c r="T10" s="635"/>
      <c r="U10" s="635"/>
      <c r="V10" s="635"/>
      <c r="W10" s="635"/>
      <c r="X10" s="635"/>
      <c r="Y10" s="635"/>
      <c r="Z10" s="635"/>
      <c r="AA10" s="635"/>
      <c r="AB10" s="635"/>
      <c r="AC10" s="635"/>
      <c r="AD10" s="635"/>
      <c r="AE10" s="635"/>
      <c r="AF10" s="635"/>
      <c r="AG10" s="635"/>
      <c r="AH10" s="635"/>
      <c r="AI10" s="635"/>
      <c r="AJ10" s="637"/>
      <c r="AK10" s="610"/>
    </row>
    <row r="11" spans="2:37" ht="15">
      <c r="B11" s="638">
        <v>142</v>
      </c>
      <c r="C11" s="639" t="s">
        <v>156</v>
      </c>
      <c r="D11" s="639" t="s">
        <v>476</v>
      </c>
      <c r="E11" s="640">
        <v>0</v>
      </c>
      <c r="F11" s="640">
        <v>0</v>
      </c>
      <c r="G11" s="639" t="s">
        <v>475</v>
      </c>
      <c r="H11" s="629">
        <v>0</v>
      </c>
      <c r="I11" s="629">
        <v>0</v>
      </c>
      <c r="J11" s="641"/>
      <c r="K11" s="641"/>
      <c r="L11" s="641"/>
      <c r="M11" s="642"/>
      <c r="N11" s="641"/>
      <c r="O11" s="641"/>
      <c r="P11" s="641"/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641"/>
      <c r="AH11" s="641"/>
      <c r="AI11" s="641"/>
      <c r="AJ11" s="643"/>
      <c r="AK11" s="610"/>
    </row>
    <row r="12" spans="2:37" ht="15">
      <c r="B12" s="632">
        <v>143</v>
      </c>
      <c r="C12" s="633" t="s">
        <v>156</v>
      </c>
      <c r="D12" s="633" t="s">
        <v>572</v>
      </c>
      <c r="E12" s="634">
        <v>0</v>
      </c>
      <c r="F12" s="634">
        <v>0</v>
      </c>
      <c r="G12" s="633" t="s">
        <v>475</v>
      </c>
      <c r="H12" s="628">
        <v>0</v>
      </c>
      <c r="I12" s="628">
        <v>0</v>
      </c>
      <c r="J12" s="635"/>
      <c r="K12" s="635"/>
      <c r="L12" s="635"/>
      <c r="M12" s="636"/>
      <c r="N12" s="635"/>
      <c r="O12" s="635"/>
      <c r="P12" s="635"/>
      <c r="Q12" s="635"/>
      <c r="R12" s="635"/>
      <c r="S12" s="635"/>
      <c r="T12" s="635"/>
      <c r="U12" s="635"/>
      <c r="V12" s="635"/>
      <c r="W12" s="635"/>
      <c r="X12" s="635"/>
      <c r="Y12" s="635"/>
      <c r="Z12" s="635"/>
      <c r="AA12" s="635"/>
      <c r="AB12" s="635"/>
      <c r="AC12" s="635"/>
      <c r="AD12" s="635"/>
      <c r="AE12" s="635"/>
      <c r="AF12" s="635"/>
      <c r="AG12" s="635"/>
      <c r="AH12" s="635"/>
      <c r="AI12" s="635"/>
      <c r="AJ12" s="637"/>
      <c r="AK12" s="596"/>
    </row>
    <row r="13" spans="2:37" ht="15">
      <c r="B13" s="638">
        <v>2</v>
      </c>
      <c r="C13" s="639" t="s">
        <v>85</v>
      </c>
      <c r="D13" s="639" t="s">
        <v>340</v>
      </c>
      <c r="E13" s="640">
        <v>0</v>
      </c>
      <c r="F13" s="640">
        <v>0</v>
      </c>
      <c r="G13" s="639" t="s">
        <v>329</v>
      </c>
      <c r="H13" s="629">
        <v>279420.5</v>
      </c>
      <c r="I13" s="629">
        <v>79400</v>
      </c>
      <c r="J13" s="641"/>
      <c r="K13" s="641"/>
      <c r="L13" s="641"/>
      <c r="M13" s="642"/>
      <c r="N13" s="641"/>
      <c r="O13" s="641"/>
      <c r="P13" s="641"/>
      <c r="Q13" s="641"/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641"/>
      <c r="AH13" s="641"/>
      <c r="AI13" s="641"/>
      <c r="AJ13" s="643"/>
      <c r="AK13" s="596"/>
    </row>
    <row r="14" spans="2:37" ht="15">
      <c r="B14" s="632">
        <v>31</v>
      </c>
      <c r="C14" s="633" t="s">
        <v>119</v>
      </c>
      <c r="D14" s="633" t="s">
        <v>468</v>
      </c>
      <c r="E14" s="634">
        <v>432717.51799999998</v>
      </c>
      <c r="F14" s="634">
        <v>33950</v>
      </c>
      <c r="G14" s="633" t="s">
        <v>469</v>
      </c>
      <c r="H14" s="628">
        <v>432717.51799999998</v>
      </c>
      <c r="I14" s="628">
        <v>33950</v>
      </c>
      <c r="J14" s="635"/>
      <c r="K14" s="635"/>
      <c r="L14" s="635"/>
      <c r="M14" s="636">
        <v>480</v>
      </c>
      <c r="N14" s="635"/>
      <c r="O14" s="635"/>
      <c r="P14" s="635">
        <v>0.7</v>
      </c>
      <c r="Q14" s="635"/>
      <c r="R14" s="635"/>
      <c r="S14" s="635"/>
      <c r="T14" s="635">
        <v>0.7</v>
      </c>
      <c r="U14" s="635">
        <v>0.7</v>
      </c>
      <c r="V14" s="635"/>
      <c r="W14" s="635"/>
      <c r="X14" s="635"/>
      <c r="Y14" s="635"/>
      <c r="Z14" s="635">
        <v>0.7</v>
      </c>
      <c r="AA14" s="635"/>
      <c r="AB14" s="635"/>
      <c r="AC14" s="635"/>
      <c r="AD14" s="635"/>
      <c r="AE14" s="635"/>
      <c r="AF14" s="635"/>
      <c r="AG14" s="635"/>
      <c r="AH14" s="635"/>
      <c r="AI14" s="635">
        <v>0.7</v>
      </c>
      <c r="AJ14" s="637"/>
    </row>
    <row r="15" spans="2:37" ht="15">
      <c r="B15" s="638">
        <v>32</v>
      </c>
      <c r="C15" s="639" t="s">
        <v>120</v>
      </c>
      <c r="D15" s="639" t="s">
        <v>426</v>
      </c>
      <c r="E15" s="640">
        <v>53335</v>
      </c>
      <c r="F15" s="640">
        <v>79200</v>
      </c>
      <c r="G15" s="639" t="s">
        <v>427</v>
      </c>
      <c r="H15" s="629">
        <v>53335</v>
      </c>
      <c r="I15" s="629">
        <v>134340</v>
      </c>
      <c r="J15" s="641">
        <v>1</v>
      </c>
      <c r="K15" s="641"/>
      <c r="L15" s="641"/>
      <c r="M15" s="642">
        <v>100</v>
      </c>
      <c r="N15" s="641"/>
      <c r="O15" s="641"/>
      <c r="P15" s="641"/>
      <c r="Q15" s="641"/>
      <c r="R15" s="641"/>
      <c r="S15" s="641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>
        <v>0.3</v>
      </c>
      <c r="AF15" s="641"/>
      <c r="AG15" s="641"/>
      <c r="AH15" s="641"/>
      <c r="AI15" s="641"/>
      <c r="AJ15" s="643"/>
    </row>
    <row r="16" spans="2:37" ht="15">
      <c r="B16" s="632">
        <v>33</v>
      </c>
      <c r="C16" s="633" t="s">
        <v>13</v>
      </c>
      <c r="D16" s="633" t="s">
        <v>498</v>
      </c>
      <c r="E16" s="634">
        <v>1541819.19</v>
      </c>
      <c r="F16" s="634">
        <v>292200</v>
      </c>
      <c r="G16" s="633" t="s">
        <v>359</v>
      </c>
      <c r="H16" s="628">
        <v>1541819.19</v>
      </c>
      <c r="I16" s="628">
        <v>292200</v>
      </c>
      <c r="J16" s="635"/>
      <c r="K16" s="635">
        <v>0.75</v>
      </c>
      <c r="L16" s="635"/>
      <c r="M16" s="636">
        <v>672</v>
      </c>
      <c r="N16" s="635"/>
      <c r="O16" s="635">
        <v>0.75</v>
      </c>
      <c r="P16" s="635"/>
      <c r="Q16" s="635"/>
      <c r="R16" s="635"/>
      <c r="S16" s="635"/>
      <c r="T16" s="635">
        <v>0.75</v>
      </c>
      <c r="U16" s="635">
        <v>0.75</v>
      </c>
      <c r="V16" s="635">
        <v>0.75</v>
      </c>
      <c r="W16" s="635"/>
      <c r="X16" s="635"/>
      <c r="Y16" s="635">
        <v>0.75</v>
      </c>
      <c r="Z16" s="635"/>
      <c r="AA16" s="635"/>
      <c r="AB16" s="635"/>
      <c r="AC16" s="635"/>
      <c r="AD16" s="635"/>
      <c r="AE16" s="635">
        <v>0.5</v>
      </c>
      <c r="AF16" s="635">
        <v>0.5</v>
      </c>
      <c r="AG16" s="635">
        <v>0.5</v>
      </c>
      <c r="AH16" s="635"/>
      <c r="AI16" s="635">
        <v>0.5</v>
      </c>
      <c r="AJ16" s="637"/>
    </row>
    <row r="17" spans="2:36" ht="15">
      <c r="B17" s="638">
        <v>34</v>
      </c>
      <c r="C17" s="639" t="s">
        <v>121</v>
      </c>
      <c r="D17" s="639" t="s">
        <v>436</v>
      </c>
      <c r="E17" s="640">
        <v>372610.66249999998</v>
      </c>
      <c r="F17" s="640">
        <v>203125</v>
      </c>
      <c r="G17" s="639" t="s">
        <v>398</v>
      </c>
      <c r="H17" s="629">
        <v>372610.66249999998</v>
      </c>
      <c r="I17" s="629">
        <v>535850</v>
      </c>
      <c r="J17" s="641"/>
      <c r="K17" s="641"/>
      <c r="L17" s="641"/>
      <c r="M17" s="642">
        <v>480</v>
      </c>
      <c r="N17" s="641"/>
      <c r="O17" s="641"/>
      <c r="P17" s="641"/>
      <c r="Q17" s="641"/>
      <c r="R17" s="641"/>
      <c r="S17" s="641"/>
      <c r="T17" s="641"/>
      <c r="U17" s="641">
        <v>0.65</v>
      </c>
      <c r="V17" s="641"/>
      <c r="W17" s="641"/>
      <c r="X17" s="641"/>
      <c r="Y17" s="641"/>
      <c r="Z17" s="641">
        <v>0.65</v>
      </c>
      <c r="AA17" s="641"/>
      <c r="AB17" s="641"/>
      <c r="AC17" s="641"/>
      <c r="AD17" s="641"/>
      <c r="AE17" s="641">
        <v>0.65</v>
      </c>
      <c r="AF17" s="641"/>
      <c r="AG17" s="641"/>
      <c r="AH17" s="641"/>
      <c r="AI17" s="641">
        <v>0.65</v>
      </c>
      <c r="AJ17" s="643"/>
    </row>
    <row r="18" spans="2:36" ht="15">
      <c r="B18" s="632">
        <v>35</v>
      </c>
      <c r="C18" s="633" t="s">
        <v>122</v>
      </c>
      <c r="D18" s="633" t="s">
        <v>414</v>
      </c>
      <c r="E18" s="634">
        <v>158243.57199999999</v>
      </c>
      <c r="F18" s="634">
        <v>55140</v>
      </c>
      <c r="G18" s="633" t="s">
        <v>413</v>
      </c>
      <c r="H18" s="628">
        <v>668921.32199999993</v>
      </c>
      <c r="I18" s="628">
        <v>94840</v>
      </c>
      <c r="J18" s="635">
        <v>1</v>
      </c>
      <c r="K18" s="635"/>
      <c r="L18" s="635"/>
      <c r="M18" s="636">
        <v>350</v>
      </c>
      <c r="N18" s="635"/>
      <c r="O18" s="635"/>
      <c r="P18" s="635">
        <v>0.6</v>
      </c>
      <c r="Q18" s="635"/>
      <c r="R18" s="635"/>
      <c r="S18" s="635"/>
      <c r="T18" s="635">
        <v>1</v>
      </c>
      <c r="U18" s="635">
        <v>1</v>
      </c>
      <c r="V18" s="635"/>
      <c r="W18" s="635"/>
      <c r="X18" s="635"/>
      <c r="Y18" s="635"/>
      <c r="Z18" s="635"/>
      <c r="AA18" s="635"/>
      <c r="AB18" s="635"/>
      <c r="AC18" s="635"/>
      <c r="AD18" s="635"/>
      <c r="AE18" s="635"/>
      <c r="AF18" s="635"/>
      <c r="AG18" s="635">
        <v>0.6</v>
      </c>
      <c r="AH18" s="635"/>
      <c r="AI18" s="635"/>
      <c r="AJ18" s="637"/>
    </row>
    <row r="19" spans="2:36" ht="15">
      <c r="B19" s="638">
        <v>36</v>
      </c>
      <c r="C19" s="639" t="s">
        <v>123</v>
      </c>
      <c r="D19" s="639" t="s">
        <v>526</v>
      </c>
      <c r="E19" s="640">
        <v>305391.652</v>
      </c>
      <c r="F19" s="640">
        <v>55140</v>
      </c>
      <c r="G19" s="639" t="s">
        <v>421</v>
      </c>
      <c r="H19" s="629">
        <v>1471314.0275000001</v>
      </c>
      <c r="I19" s="629">
        <v>354940</v>
      </c>
      <c r="J19" s="641"/>
      <c r="K19" s="641"/>
      <c r="L19" s="641"/>
      <c r="M19" s="642">
        <v>520</v>
      </c>
      <c r="N19" s="641"/>
      <c r="O19" s="641"/>
      <c r="P19" s="641">
        <v>0.6</v>
      </c>
      <c r="Q19" s="641"/>
      <c r="R19" s="641"/>
      <c r="S19" s="641"/>
      <c r="T19" s="641"/>
      <c r="U19" s="641">
        <v>0.6</v>
      </c>
      <c r="V19" s="641"/>
      <c r="W19" s="641"/>
      <c r="X19" s="641"/>
      <c r="Y19" s="641"/>
      <c r="Z19" s="641"/>
      <c r="AA19" s="641"/>
      <c r="AB19" s="641">
        <v>0.6</v>
      </c>
      <c r="AC19" s="641"/>
      <c r="AD19" s="641"/>
      <c r="AE19" s="641"/>
      <c r="AF19" s="641"/>
      <c r="AG19" s="641">
        <v>0.6</v>
      </c>
      <c r="AH19" s="641"/>
      <c r="AI19" s="641"/>
      <c r="AJ19" s="643"/>
    </row>
    <row r="20" spans="2:36" ht="15">
      <c r="B20" s="632">
        <v>3</v>
      </c>
      <c r="C20" s="633" t="s">
        <v>86</v>
      </c>
      <c r="D20" s="633" t="s">
        <v>339</v>
      </c>
      <c r="E20" s="634">
        <v>0</v>
      </c>
      <c r="F20" s="634">
        <v>0</v>
      </c>
      <c r="G20" s="633" t="s">
        <v>329</v>
      </c>
      <c r="H20" s="628">
        <v>279420.5</v>
      </c>
      <c r="I20" s="628">
        <v>79400</v>
      </c>
      <c r="J20" s="635"/>
      <c r="K20" s="635"/>
      <c r="L20" s="635"/>
      <c r="M20" s="636"/>
      <c r="N20" s="635"/>
      <c r="O20" s="635"/>
      <c r="P20" s="635"/>
      <c r="Q20" s="635"/>
      <c r="R20" s="635"/>
      <c r="S20" s="635"/>
      <c r="T20" s="635"/>
      <c r="U20" s="635"/>
      <c r="V20" s="635"/>
      <c r="W20" s="635"/>
      <c r="X20" s="635"/>
      <c r="Y20" s="635"/>
      <c r="Z20" s="635"/>
      <c r="AA20" s="635"/>
      <c r="AB20" s="635"/>
      <c r="AC20" s="635"/>
      <c r="AD20" s="635"/>
      <c r="AE20" s="635"/>
      <c r="AF20" s="635"/>
      <c r="AG20" s="635"/>
      <c r="AH20" s="635"/>
      <c r="AI20" s="635"/>
      <c r="AJ20" s="637"/>
    </row>
    <row r="21" spans="2:36" ht="15">
      <c r="B21" s="632">
        <v>37</v>
      </c>
      <c r="C21" s="633" t="s">
        <v>124</v>
      </c>
      <c r="D21" s="633" t="s">
        <v>352</v>
      </c>
      <c r="E21" s="634">
        <v>0</v>
      </c>
      <c r="F21" s="634">
        <v>0</v>
      </c>
      <c r="G21" s="633" t="s">
        <v>351</v>
      </c>
      <c r="H21" s="629">
        <v>0</v>
      </c>
      <c r="I21" s="629">
        <v>0</v>
      </c>
      <c r="J21" s="641"/>
      <c r="K21" s="641"/>
      <c r="L21" s="641"/>
      <c r="M21" s="642"/>
      <c r="N21" s="641"/>
      <c r="O21" s="641"/>
      <c r="P21" s="641"/>
      <c r="Q21" s="641"/>
      <c r="R21" s="641"/>
      <c r="S21" s="641"/>
      <c r="T21" s="641"/>
      <c r="U21" s="641"/>
      <c r="V21" s="641"/>
      <c r="W21" s="641"/>
      <c r="X21" s="641"/>
      <c r="Y21" s="641"/>
      <c r="Z21" s="641"/>
      <c r="AA21" s="641"/>
      <c r="AB21" s="641"/>
      <c r="AC21" s="641"/>
      <c r="AD21" s="641"/>
      <c r="AE21" s="641"/>
      <c r="AF21" s="641"/>
      <c r="AG21" s="641"/>
      <c r="AH21" s="641"/>
      <c r="AI21" s="641"/>
      <c r="AJ21" s="643"/>
    </row>
    <row r="22" spans="2:36" ht="15">
      <c r="B22" s="632">
        <v>39</v>
      </c>
      <c r="C22" s="633" t="s">
        <v>127</v>
      </c>
      <c r="D22" s="633" t="s">
        <v>402</v>
      </c>
      <c r="E22" s="634">
        <v>386185.375</v>
      </c>
      <c r="F22" s="634">
        <v>0</v>
      </c>
      <c r="G22" s="633" t="s">
        <v>401</v>
      </c>
      <c r="H22" s="628">
        <v>1467506.6153473945</v>
      </c>
      <c r="I22" s="628">
        <v>222000</v>
      </c>
      <c r="J22" s="635"/>
      <c r="K22" s="635"/>
      <c r="L22" s="635"/>
      <c r="M22" s="636">
        <v>840</v>
      </c>
      <c r="N22" s="635"/>
      <c r="O22" s="635"/>
      <c r="P22" s="635"/>
      <c r="Q22" s="635"/>
      <c r="R22" s="635"/>
      <c r="S22" s="635"/>
      <c r="T22" s="635"/>
      <c r="U22" s="635">
        <v>1.5</v>
      </c>
      <c r="V22" s="635"/>
      <c r="W22" s="635"/>
      <c r="X22" s="635"/>
      <c r="Y22" s="635"/>
      <c r="Z22" s="635"/>
      <c r="AA22" s="635"/>
      <c r="AB22" s="635">
        <v>0.7</v>
      </c>
      <c r="AC22" s="635"/>
      <c r="AD22" s="635"/>
      <c r="AE22" s="635"/>
      <c r="AF22" s="635"/>
      <c r="AG22" s="635"/>
      <c r="AH22" s="635"/>
      <c r="AI22" s="635"/>
      <c r="AJ22" s="637"/>
    </row>
    <row r="23" spans="2:36" ht="15">
      <c r="B23" s="638">
        <v>136</v>
      </c>
      <c r="C23" s="639" t="s">
        <v>53</v>
      </c>
      <c r="D23" s="639" t="s">
        <v>53</v>
      </c>
      <c r="E23" s="640">
        <v>0</v>
      </c>
      <c r="F23" s="640">
        <v>0</v>
      </c>
      <c r="G23" s="639" t="s">
        <v>329</v>
      </c>
      <c r="H23" s="629">
        <v>279420.5</v>
      </c>
      <c r="I23" s="629">
        <v>79400</v>
      </c>
      <c r="J23" s="641"/>
      <c r="K23" s="641"/>
      <c r="L23" s="641"/>
      <c r="M23" s="642"/>
      <c r="N23" s="641"/>
      <c r="O23" s="641"/>
      <c r="P23" s="641"/>
      <c r="Q23" s="641"/>
      <c r="R23" s="641"/>
      <c r="S23" s="641"/>
      <c r="T23" s="641"/>
      <c r="U23" s="641"/>
      <c r="V23" s="641"/>
      <c r="W23" s="641"/>
      <c r="X23" s="641"/>
      <c r="Y23" s="641"/>
      <c r="Z23" s="641"/>
      <c r="AA23" s="641"/>
      <c r="AB23" s="641"/>
      <c r="AC23" s="641"/>
      <c r="AD23" s="641"/>
      <c r="AE23" s="641"/>
      <c r="AF23" s="641"/>
      <c r="AG23" s="641"/>
      <c r="AH23" s="641"/>
      <c r="AI23" s="641"/>
      <c r="AJ23" s="643"/>
    </row>
    <row r="24" spans="2:36" ht="15">
      <c r="B24" s="632">
        <v>41</v>
      </c>
      <c r="C24" s="633" t="s">
        <v>130</v>
      </c>
      <c r="D24" s="633" t="s">
        <v>375</v>
      </c>
      <c r="E24" s="634">
        <v>0</v>
      </c>
      <c r="F24" s="634">
        <v>0</v>
      </c>
      <c r="G24" s="633" t="s">
        <v>374</v>
      </c>
      <c r="H24" s="628">
        <v>0</v>
      </c>
      <c r="I24" s="628">
        <v>159790</v>
      </c>
      <c r="J24" s="635"/>
      <c r="K24" s="635"/>
      <c r="L24" s="635"/>
      <c r="M24" s="636"/>
      <c r="N24" s="635"/>
      <c r="O24" s="635"/>
      <c r="P24" s="635"/>
      <c r="Q24" s="635"/>
      <c r="R24" s="635"/>
      <c r="S24" s="635"/>
      <c r="T24" s="635"/>
      <c r="U24" s="635"/>
      <c r="V24" s="635"/>
      <c r="W24" s="635"/>
      <c r="X24" s="635"/>
      <c r="Y24" s="635"/>
      <c r="Z24" s="635"/>
      <c r="AA24" s="635"/>
      <c r="AB24" s="635"/>
      <c r="AC24" s="635"/>
      <c r="AD24" s="635"/>
      <c r="AE24" s="635"/>
      <c r="AF24" s="635"/>
      <c r="AG24" s="635"/>
      <c r="AH24" s="635"/>
      <c r="AI24" s="635"/>
      <c r="AJ24" s="637"/>
    </row>
    <row r="25" spans="2:36" ht="15">
      <c r="B25" s="638">
        <v>42</v>
      </c>
      <c r="C25" s="639" t="s">
        <v>131</v>
      </c>
      <c r="D25" s="639" t="s">
        <v>366</v>
      </c>
      <c r="E25" s="640">
        <v>0</v>
      </c>
      <c r="F25" s="640">
        <v>0</v>
      </c>
      <c r="G25" s="639" t="s">
        <v>363</v>
      </c>
      <c r="H25" s="629">
        <v>0</v>
      </c>
      <c r="I25" s="629">
        <v>0</v>
      </c>
      <c r="J25" s="641"/>
      <c r="K25" s="641"/>
      <c r="L25" s="641"/>
      <c r="M25" s="642"/>
      <c r="N25" s="641"/>
      <c r="O25" s="641"/>
      <c r="P25" s="641"/>
      <c r="Q25" s="641"/>
      <c r="R25" s="641"/>
      <c r="S25" s="641"/>
      <c r="T25" s="641"/>
      <c r="U25" s="641"/>
      <c r="V25" s="641"/>
      <c r="W25" s="641"/>
      <c r="X25" s="641"/>
      <c r="Y25" s="641"/>
      <c r="Z25" s="641"/>
      <c r="AA25" s="641"/>
      <c r="AB25" s="641"/>
      <c r="AC25" s="641"/>
      <c r="AD25" s="641"/>
      <c r="AE25" s="641"/>
      <c r="AF25" s="641"/>
      <c r="AG25" s="641"/>
      <c r="AH25" s="641"/>
      <c r="AI25" s="641"/>
      <c r="AJ25" s="643"/>
    </row>
    <row r="26" spans="2:36" ht="15">
      <c r="B26" s="632">
        <v>60</v>
      </c>
      <c r="C26" s="633" t="s">
        <v>150</v>
      </c>
      <c r="D26" s="633" t="s">
        <v>450</v>
      </c>
      <c r="E26" s="634">
        <v>784126.16599999997</v>
      </c>
      <c r="F26" s="634">
        <v>24250</v>
      </c>
      <c r="G26" s="633" t="s">
        <v>448</v>
      </c>
      <c r="H26" s="628">
        <v>784126.16599999997</v>
      </c>
      <c r="I26" s="628">
        <v>24250</v>
      </c>
      <c r="J26" s="635"/>
      <c r="K26" s="635"/>
      <c r="L26" s="635"/>
      <c r="M26" s="636">
        <v>800</v>
      </c>
      <c r="N26" s="635"/>
      <c r="O26" s="635">
        <v>0.7</v>
      </c>
      <c r="P26" s="635"/>
      <c r="Q26" s="635"/>
      <c r="R26" s="635"/>
      <c r="S26" s="635"/>
      <c r="T26" s="635"/>
      <c r="U26" s="635">
        <v>1.8</v>
      </c>
      <c r="V26" s="635"/>
      <c r="W26" s="635"/>
      <c r="X26" s="635"/>
      <c r="Y26" s="635"/>
      <c r="Z26" s="635"/>
      <c r="AA26" s="635">
        <v>0.6</v>
      </c>
      <c r="AB26" s="635"/>
      <c r="AC26" s="635"/>
      <c r="AD26" s="635"/>
      <c r="AE26" s="635"/>
      <c r="AF26" s="635"/>
      <c r="AG26" s="635"/>
      <c r="AH26" s="635"/>
      <c r="AI26" s="635">
        <v>0.5</v>
      </c>
      <c r="AJ26" s="637"/>
    </row>
    <row r="27" spans="2:36" ht="15">
      <c r="B27" s="632">
        <v>43</v>
      </c>
      <c r="C27" s="633" t="s">
        <v>132</v>
      </c>
      <c r="D27" s="633" t="s">
        <v>532</v>
      </c>
      <c r="E27" s="634">
        <v>0</v>
      </c>
      <c r="F27" s="634">
        <v>0</v>
      </c>
      <c r="G27" s="633" t="s">
        <v>424</v>
      </c>
      <c r="H27" s="629">
        <v>771654.83100000001</v>
      </c>
      <c r="I27" s="629">
        <v>55140</v>
      </c>
      <c r="J27" s="641"/>
      <c r="K27" s="641"/>
      <c r="L27" s="641"/>
      <c r="M27" s="642"/>
      <c r="N27" s="641"/>
      <c r="O27" s="641"/>
      <c r="P27" s="641"/>
      <c r="Q27" s="641"/>
      <c r="R27" s="641"/>
      <c r="S27" s="641"/>
      <c r="T27" s="641"/>
      <c r="U27" s="641"/>
      <c r="V27" s="641"/>
      <c r="W27" s="641"/>
      <c r="X27" s="641"/>
      <c r="Y27" s="641"/>
      <c r="Z27" s="641"/>
      <c r="AA27" s="641"/>
      <c r="AB27" s="641"/>
      <c r="AC27" s="641"/>
      <c r="AD27" s="641"/>
      <c r="AE27" s="641"/>
      <c r="AF27" s="641"/>
      <c r="AG27" s="641"/>
      <c r="AH27" s="641"/>
      <c r="AI27" s="641"/>
      <c r="AJ27" s="643"/>
    </row>
    <row r="28" spans="2:36" ht="15">
      <c r="B28" s="632">
        <v>27</v>
      </c>
      <c r="C28" s="633" t="s">
        <v>115</v>
      </c>
      <c r="D28" s="633" t="s">
        <v>571</v>
      </c>
      <c r="E28" s="634">
        <v>0</v>
      </c>
      <c r="F28" s="634">
        <v>0</v>
      </c>
      <c r="G28" s="633" t="s">
        <v>471</v>
      </c>
      <c r="H28" s="628">
        <v>0</v>
      </c>
      <c r="I28" s="628">
        <v>0</v>
      </c>
      <c r="J28" s="635"/>
      <c r="K28" s="635"/>
      <c r="L28" s="635"/>
      <c r="M28" s="636"/>
      <c r="N28" s="635"/>
      <c r="O28" s="635"/>
      <c r="P28" s="635"/>
      <c r="Q28" s="635"/>
      <c r="R28" s="635"/>
      <c r="S28" s="635"/>
      <c r="T28" s="635"/>
      <c r="U28" s="635"/>
      <c r="V28" s="635"/>
      <c r="W28" s="635"/>
      <c r="X28" s="635"/>
      <c r="Y28" s="635"/>
      <c r="Z28" s="635"/>
      <c r="AA28" s="635"/>
      <c r="AB28" s="635"/>
      <c r="AC28" s="635"/>
      <c r="AD28" s="635"/>
      <c r="AE28" s="635"/>
      <c r="AF28" s="635"/>
      <c r="AG28" s="635"/>
      <c r="AH28" s="635"/>
      <c r="AI28" s="635"/>
      <c r="AJ28" s="637"/>
    </row>
    <row r="29" spans="2:36" ht="15">
      <c r="B29" s="638">
        <v>44</v>
      </c>
      <c r="C29" s="639" t="s">
        <v>133</v>
      </c>
      <c r="D29" s="639" t="s">
        <v>411</v>
      </c>
      <c r="E29" s="640">
        <v>502124.25627791567</v>
      </c>
      <c r="F29" s="640">
        <v>305140</v>
      </c>
      <c r="G29" s="639" t="s">
        <v>410</v>
      </c>
      <c r="H29" s="629">
        <v>966277.84827791562</v>
      </c>
      <c r="I29" s="629">
        <v>429080</v>
      </c>
      <c r="J29" s="641"/>
      <c r="K29" s="641"/>
      <c r="L29" s="641"/>
      <c r="M29" s="642">
        <v>1316</v>
      </c>
      <c r="N29" s="641"/>
      <c r="O29" s="641"/>
      <c r="P29" s="641">
        <v>0.8</v>
      </c>
      <c r="Q29" s="641"/>
      <c r="R29" s="641">
        <v>0.8</v>
      </c>
      <c r="S29" s="641"/>
      <c r="T29" s="641">
        <v>0.8</v>
      </c>
      <c r="U29" s="641">
        <v>0.8</v>
      </c>
      <c r="V29" s="641"/>
      <c r="W29" s="641"/>
      <c r="X29" s="641"/>
      <c r="Y29" s="641"/>
      <c r="Z29" s="641"/>
      <c r="AA29" s="641"/>
      <c r="AB29" s="641"/>
      <c r="AC29" s="641">
        <v>0.8</v>
      </c>
      <c r="AD29" s="641"/>
      <c r="AE29" s="641">
        <v>0.8</v>
      </c>
      <c r="AF29" s="641"/>
      <c r="AG29" s="641">
        <v>0.6</v>
      </c>
      <c r="AH29" s="641"/>
      <c r="AI29" s="641">
        <v>0.8</v>
      </c>
      <c r="AJ29" s="643"/>
    </row>
    <row r="30" spans="2:36" ht="15">
      <c r="B30" s="632">
        <v>45</v>
      </c>
      <c r="C30" s="633" t="s">
        <v>134</v>
      </c>
      <c r="D30" s="633" t="s">
        <v>440</v>
      </c>
      <c r="E30" s="634">
        <v>225615.125</v>
      </c>
      <c r="F30" s="634">
        <v>0</v>
      </c>
      <c r="G30" s="633" t="s">
        <v>438</v>
      </c>
      <c r="H30" s="628">
        <v>281158.82500000001</v>
      </c>
      <c r="I30" s="628">
        <v>0</v>
      </c>
      <c r="J30" s="635"/>
      <c r="K30" s="635"/>
      <c r="L30" s="635"/>
      <c r="M30" s="636">
        <v>180</v>
      </c>
      <c r="N30" s="635"/>
      <c r="O30" s="635"/>
      <c r="P30" s="635"/>
      <c r="Q30" s="635"/>
      <c r="R30" s="635"/>
      <c r="S30" s="635"/>
      <c r="T30" s="635"/>
      <c r="U30" s="635">
        <v>0.5</v>
      </c>
      <c r="V30" s="635"/>
      <c r="W30" s="635"/>
      <c r="X30" s="635"/>
      <c r="Y30" s="635"/>
      <c r="Z30" s="635"/>
      <c r="AA30" s="635">
        <v>0.5</v>
      </c>
      <c r="AB30" s="635"/>
      <c r="AC30" s="635"/>
      <c r="AD30" s="635"/>
      <c r="AE30" s="635"/>
      <c r="AF30" s="635"/>
      <c r="AG30" s="635"/>
      <c r="AH30" s="635"/>
      <c r="AI30" s="635"/>
      <c r="AJ30" s="637"/>
    </row>
    <row r="31" spans="2:36" ht="15">
      <c r="B31" s="638">
        <v>46</v>
      </c>
      <c r="C31" s="639" t="s">
        <v>135</v>
      </c>
      <c r="D31" s="639" t="s">
        <v>425</v>
      </c>
      <c r="E31" s="640">
        <v>0</v>
      </c>
      <c r="F31" s="640">
        <v>55140</v>
      </c>
      <c r="G31" s="639" t="s">
        <v>424</v>
      </c>
      <c r="H31" s="629">
        <v>771654.83100000001</v>
      </c>
      <c r="I31" s="629">
        <v>55140</v>
      </c>
      <c r="J31" s="641"/>
      <c r="K31" s="641"/>
      <c r="L31" s="641"/>
      <c r="M31" s="642"/>
      <c r="N31" s="641"/>
      <c r="O31" s="641"/>
      <c r="P31" s="641"/>
      <c r="Q31" s="641"/>
      <c r="R31" s="641"/>
      <c r="S31" s="641"/>
      <c r="T31" s="641"/>
      <c r="U31" s="641"/>
      <c r="V31" s="641"/>
      <c r="W31" s="641"/>
      <c r="X31" s="641"/>
      <c r="Y31" s="641"/>
      <c r="Z31" s="641"/>
      <c r="AA31" s="641"/>
      <c r="AB31" s="641"/>
      <c r="AC31" s="641"/>
      <c r="AD31" s="641"/>
      <c r="AE31" s="641"/>
      <c r="AF31" s="641"/>
      <c r="AG31" s="641">
        <v>0.6</v>
      </c>
      <c r="AH31" s="641"/>
      <c r="AI31" s="641"/>
      <c r="AJ31" s="643"/>
    </row>
    <row r="32" spans="2:36" ht="15">
      <c r="B32" s="632">
        <v>100</v>
      </c>
      <c r="C32" s="633" t="s">
        <v>202</v>
      </c>
      <c r="D32" s="633" t="s">
        <v>467</v>
      </c>
      <c r="E32" s="634">
        <v>88156.249999999985</v>
      </c>
      <c r="F32" s="634">
        <v>0</v>
      </c>
      <c r="G32" s="633" t="s">
        <v>398</v>
      </c>
      <c r="H32" s="628">
        <v>88156.249999999985</v>
      </c>
      <c r="I32" s="628">
        <v>535850</v>
      </c>
      <c r="J32" s="635"/>
      <c r="K32" s="635"/>
      <c r="L32" s="635"/>
      <c r="M32" s="636">
        <v>454.99999999999994</v>
      </c>
      <c r="N32" s="635"/>
      <c r="O32" s="635"/>
      <c r="P32" s="635"/>
      <c r="Q32" s="635"/>
      <c r="R32" s="635"/>
      <c r="S32" s="635"/>
      <c r="T32" s="635"/>
      <c r="U32" s="635"/>
      <c r="V32" s="635"/>
      <c r="W32" s="635"/>
      <c r="X32" s="635"/>
      <c r="Y32" s="635"/>
      <c r="Z32" s="635"/>
      <c r="AA32" s="635"/>
      <c r="AB32" s="635"/>
      <c r="AC32" s="635"/>
      <c r="AD32" s="635"/>
      <c r="AE32" s="635"/>
      <c r="AF32" s="635"/>
      <c r="AG32" s="635"/>
      <c r="AH32" s="635"/>
      <c r="AI32" s="635"/>
      <c r="AJ32" s="637"/>
    </row>
    <row r="33" spans="2:36" ht="15">
      <c r="B33" s="638">
        <v>146</v>
      </c>
      <c r="C33" s="639" t="s">
        <v>172</v>
      </c>
      <c r="D33" s="639" t="s">
        <v>472</v>
      </c>
      <c r="E33" s="640">
        <v>0</v>
      </c>
      <c r="F33" s="640">
        <v>0</v>
      </c>
      <c r="G33" s="639" t="s">
        <v>471</v>
      </c>
      <c r="H33" s="629">
        <v>0</v>
      </c>
      <c r="I33" s="629">
        <v>0</v>
      </c>
      <c r="J33" s="641"/>
      <c r="K33" s="641"/>
      <c r="L33" s="641"/>
      <c r="M33" s="642"/>
      <c r="N33" s="641"/>
      <c r="O33" s="641"/>
      <c r="P33" s="641"/>
      <c r="Q33" s="641"/>
      <c r="R33" s="641"/>
      <c r="S33" s="641"/>
      <c r="T33" s="641"/>
      <c r="U33" s="641"/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641"/>
      <c r="AH33" s="641"/>
      <c r="AI33" s="641"/>
      <c r="AJ33" s="643"/>
    </row>
    <row r="34" spans="2:36" ht="15">
      <c r="B34" s="632">
        <v>47</v>
      </c>
      <c r="C34" s="633" t="s">
        <v>136</v>
      </c>
      <c r="D34" s="633" t="s">
        <v>444</v>
      </c>
      <c r="E34" s="634">
        <v>178047.625</v>
      </c>
      <c r="F34" s="634">
        <v>0</v>
      </c>
      <c r="G34" s="633" t="s">
        <v>443</v>
      </c>
      <c r="H34" s="628">
        <v>768103.66</v>
      </c>
      <c r="I34" s="628">
        <v>110280</v>
      </c>
      <c r="J34" s="635"/>
      <c r="K34" s="635"/>
      <c r="L34" s="635"/>
      <c r="M34" s="636">
        <v>150</v>
      </c>
      <c r="N34" s="635"/>
      <c r="O34" s="635"/>
      <c r="P34" s="635"/>
      <c r="Q34" s="635"/>
      <c r="R34" s="635"/>
      <c r="S34" s="635"/>
      <c r="T34" s="635"/>
      <c r="U34" s="635">
        <v>0.5</v>
      </c>
      <c r="V34" s="635"/>
      <c r="W34" s="635"/>
      <c r="X34" s="635"/>
      <c r="Y34" s="635"/>
      <c r="Z34" s="635"/>
      <c r="AA34" s="635"/>
      <c r="AB34" s="635">
        <v>0.5</v>
      </c>
      <c r="AC34" s="635"/>
      <c r="AD34" s="635"/>
      <c r="AE34" s="635"/>
      <c r="AF34" s="635"/>
      <c r="AG34" s="635"/>
      <c r="AH34" s="635"/>
      <c r="AI34" s="635"/>
      <c r="AJ34" s="637"/>
    </row>
    <row r="35" spans="2:36" ht="15">
      <c r="B35" s="638">
        <v>48</v>
      </c>
      <c r="C35" s="639" t="s">
        <v>137</v>
      </c>
      <c r="D35" s="639" t="s">
        <v>385</v>
      </c>
      <c r="E35" s="640">
        <v>108500</v>
      </c>
      <c r="F35" s="640">
        <v>24250</v>
      </c>
      <c r="G35" s="639" t="s">
        <v>384</v>
      </c>
      <c r="H35" s="629">
        <v>663653.33499999996</v>
      </c>
      <c r="I35" s="629">
        <v>228450</v>
      </c>
      <c r="J35" s="641"/>
      <c r="K35" s="641"/>
      <c r="L35" s="641"/>
      <c r="M35" s="642">
        <v>560</v>
      </c>
      <c r="N35" s="641"/>
      <c r="O35" s="641"/>
      <c r="P35" s="641"/>
      <c r="Q35" s="641"/>
      <c r="R35" s="641"/>
      <c r="S35" s="641"/>
      <c r="T35" s="641"/>
      <c r="U35" s="641"/>
      <c r="V35" s="641"/>
      <c r="W35" s="641"/>
      <c r="X35" s="641"/>
      <c r="Y35" s="641"/>
      <c r="Z35" s="641"/>
      <c r="AA35" s="641"/>
      <c r="AB35" s="641"/>
      <c r="AC35" s="641"/>
      <c r="AD35" s="641"/>
      <c r="AE35" s="641"/>
      <c r="AF35" s="641"/>
      <c r="AG35" s="641"/>
      <c r="AH35" s="641"/>
      <c r="AI35" s="641">
        <v>0.5</v>
      </c>
      <c r="AJ35" s="643"/>
    </row>
    <row r="36" spans="2:36" ht="15">
      <c r="B36" s="632">
        <v>49</v>
      </c>
      <c r="C36" s="633" t="s">
        <v>138</v>
      </c>
      <c r="D36" s="633" t="s">
        <v>516</v>
      </c>
      <c r="E36" s="634">
        <v>40687.5</v>
      </c>
      <c r="F36" s="634">
        <v>110725</v>
      </c>
      <c r="G36" s="633" t="s">
        <v>398</v>
      </c>
      <c r="H36" s="628">
        <v>40687.5</v>
      </c>
      <c r="I36" s="628">
        <v>535850</v>
      </c>
      <c r="J36" s="635"/>
      <c r="K36" s="635"/>
      <c r="L36" s="635"/>
      <c r="M36" s="636">
        <v>210</v>
      </c>
      <c r="N36" s="635"/>
      <c r="O36" s="635"/>
      <c r="P36" s="635"/>
      <c r="Q36" s="635"/>
      <c r="R36" s="635"/>
      <c r="S36" s="635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>
        <v>0.3</v>
      </c>
      <c r="AF36" s="635"/>
      <c r="AG36" s="635"/>
      <c r="AH36" s="635"/>
      <c r="AI36" s="635">
        <v>0.65</v>
      </c>
      <c r="AJ36" s="637"/>
    </row>
    <row r="37" spans="2:36" ht="15">
      <c r="B37" s="638">
        <v>50</v>
      </c>
      <c r="C37" s="639" t="s">
        <v>139</v>
      </c>
      <c r="D37" s="639" t="s">
        <v>400</v>
      </c>
      <c r="E37" s="640">
        <v>370686.2</v>
      </c>
      <c r="F37" s="640">
        <v>222000</v>
      </c>
      <c r="G37" s="639" t="s">
        <v>401</v>
      </c>
      <c r="H37" s="629">
        <v>1467506.6153473945</v>
      </c>
      <c r="I37" s="629">
        <v>222000</v>
      </c>
      <c r="J37" s="641"/>
      <c r="K37" s="641"/>
      <c r="L37" s="641"/>
      <c r="M37" s="642">
        <v>900</v>
      </c>
      <c r="N37" s="641"/>
      <c r="O37" s="641"/>
      <c r="P37" s="641"/>
      <c r="Q37" s="641"/>
      <c r="R37" s="641"/>
      <c r="S37" s="641"/>
      <c r="T37" s="641"/>
      <c r="U37" s="641">
        <v>0.8</v>
      </c>
      <c r="V37" s="641"/>
      <c r="W37" s="641"/>
      <c r="X37" s="641"/>
      <c r="Y37" s="641"/>
      <c r="Z37" s="641"/>
      <c r="AA37" s="641">
        <v>0.5</v>
      </c>
      <c r="AB37" s="641"/>
      <c r="AC37" s="641"/>
      <c r="AD37" s="641"/>
      <c r="AE37" s="641">
        <v>0.5</v>
      </c>
      <c r="AF37" s="641">
        <v>0.5</v>
      </c>
      <c r="AG37" s="641"/>
      <c r="AH37" s="641"/>
      <c r="AI37" s="641"/>
      <c r="AJ37" s="643"/>
    </row>
    <row r="38" spans="2:36" ht="15">
      <c r="B38" s="632">
        <v>51</v>
      </c>
      <c r="C38" s="633" t="s">
        <v>140</v>
      </c>
      <c r="D38" s="633" t="s">
        <v>522</v>
      </c>
      <c r="E38" s="634">
        <v>0</v>
      </c>
      <c r="F38" s="634">
        <v>0</v>
      </c>
      <c r="G38" s="633" t="s">
        <v>377</v>
      </c>
      <c r="H38" s="628">
        <v>513269.83500000002</v>
      </c>
      <c r="I38" s="628">
        <v>238750</v>
      </c>
      <c r="J38" s="635"/>
      <c r="K38" s="635"/>
      <c r="L38" s="635"/>
      <c r="M38" s="636"/>
      <c r="N38" s="635"/>
      <c r="O38" s="635"/>
      <c r="P38" s="635"/>
      <c r="Q38" s="635"/>
      <c r="R38" s="635"/>
      <c r="S38" s="635"/>
      <c r="T38" s="635"/>
      <c r="U38" s="635"/>
      <c r="V38" s="635"/>
      <c r="W38" s="635"/>
      <c r="X38" s="635"/>
      <c r="Y38" s="635"/>
      <c r="Z38" s="635"/>
      <c r="AA38" s="635"/>
      <c r="AB38" s="635"/>
      <c r="AC38" s="635"/>
      <c r="AD38" s="635"/>
      <c r="AE38" s="635"/>
      <c r="AF38" s="635"/>
      <c r="AG38" s="635"/>
      <c r="AH38" s="635"/>
      <c r="AI38" s="635"/>
      <c r="AJ38" s="637"/>
    </row>
    <row r="39" spans="2:36" ht="15">
      <c r="B39" s="632">
        <v>141</v>
      </c>
      <c r="C39" s="633" t="s">
        <v>37</v>
      </c>
      <c r="D39" s="633" t="s">
        <v>358</v>
      </c>
      <c r="E39" s="634">
        <v>0</v>
      </c>
      <c r="F39" s="634">
        <v>0</v>
      </c>
      <c r="G39" s="633" t="s">
        <v>356</v>
      </c>
      <c r="H39" s="629">
        <v>0</v>
      </c>
      <c r="I39" s="629">
        <v>0</v>
      </c>
      <c r="J39" s="641"/>
      <c r="K39" s="641"/>
      <c r="L39" s="641"/>
      <c r="M39" s="642"/>
      <c r="N39" s="641"/>
      <c r="O39" s="641"/>
      <c r="P39" s="641"/>
      <c r="Q39" s="641"/>
      <c r="R39" s="641"/>
      <c r="S39" s="641"/>
      <c r="T39" s="641"/>
      <c r="U39" s="641"/>
      <c r="V39" s="641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3"/>
    </row>
    <row r="40" spans="2:36" ht="15">
      <c r="B40" s="632">
        <v>40</v>
      </c>
      <c r="C40" s="633" t="s">
        <v>129</v>
      </c>
      <c r="D40" s="633" t="s">
        <v>415</v>
      </c>
      <c r="E40" s="634">
        <v>0</v>
      </c>
      <c r="F40" s="634">
        <v>0</v>
      </c>
      <c r="G40" s="633" t="s">
        <v>416</v>
      </c>
      <c r="H40" s="628">
        <v>0</v>
      </c>
      <c r="I40" s="628">
        <v>0</v>
      </c>
      <c r="J40" s="635"/>
      <c r="K40" s="635"/>
      <c r="L40" s="635"/>
      <c r="M40" s="636"/>
      <c r="N40" s="635"/>
      <c r="O40" s="635"/>
      <c r="P40" s="635"/>
      <c r="Q40" s="635"/>
      <c r="R40" s="635"/>
      <c r="S40" s="635"/>
      <c r="T40" s="635"/>
      <c r="U40" s="635"/>
      <c r="V40" s="635"/>
      <c r="W40" s="635"/>
      <c r="X40" s="635"/>
      <c r="Y40" s="635"/>
      <c r="Z40" s="635"/>
      <c r="AA40" s="635"/>
      <c r="AB40" s="635"/>
      <c r="AC40" s="635"/>
      <c r="AD40" s="635"/>
      <c r="AE40" s="635"/>
      <c r="AF40" s="635"/>
      <c r="AG40" s="635"/>
      <c r="AH40" s="635"/>
      <c r="AI40" s="635"/>
      <c r="AJ40" s="637"/>
    </row>
    <row r="41" spans="2:36" ht="15">
      <c r="B41" s="632">
        <v>53</v>
      </c>
      <c r="C41" s="633" t="s">
        <v>142</v>
      </c>
      <c r="D41" s="633" t="s">
        <v>463</v>
      </c>
      <c r="E41" s="634">
        <v>183860.125</v>
      </c>
      <c r="F41" s="634">
        <v>0</v>
      </c>
      <c r="G41" s="633" t="s">
        <v>462</v>
      </c>
      <c r="H41" s="629">
        <v>663506.88300000003</v>
      </c>
      <c r="I41" s="629">
        <v>355200</v>
      </c>
      <c r="J41" s="641"/>
      <c r="K41" s="641"/>
      <c r="L41" s="641"/>
      <c r="M41" s="642">
        <v>180</v>
      </c>
      <c r="N41" s="641"/>
      <c r="O41" s="641"/>
      <c r="P41" s="641"/>
      <c r="Q41" s="641"/>
      <c r="R41" s="641"/>
      <c r="S41" s="641"/>
      <c r="T41" s="641"/>
      <c r="U41" s="641">
        <v>0.5</v>
      </c>
      <c r="V41" s="641"/>
      <c r="W41" s="641"/>
      <c r="X41" s="641"/>
      <c r="Y41" s="641"/>
      <c r="Z41" s="641"/>
      <c r="AA41" s="641"/>
      <c r="AB41" s="641">
        <v>0.5</v>
      </c>
      <c r="AC41" s="641"/>
      <c r="AD41" s="641"/>
      <c r="AE41" s="641"/>
      <c r="AF41" s="641"/>
      <c r="AG41" s="641"/>
      <c r="AH41" s="641"/>
      <c r="AI41" s="641"/>
      <c r="AJ41" s="643"/>
    </row>
    <row r="42" spans="2:36" ht="15">
      <c r="B42" s="632">
        <v>54</v>
      </c>
      <c r="C42" s="633" t="s">
        <v>143</v>
      </c>
      <c r="D42" s="633" t="s">
        <v>454</v>
      </c>
      <c r="E42" s="634">
        <v>374578.15</v>
      </c>
      <c r="F42" s="634">
        <v>29100</v>
      </c>
      <c r="G42" s="633" t="s">
        <v>455</v>
      </c>
      <c r="H42" s="628">
        <v>543340.65</v>
      </c>
      <c r="I42" s="628">
        <v>29100</v>
      </c>
      <c r="J42" s="635">
        <v>0.6</v>
      </c>
      <c r="K42" s="635"/>
      <c r="L42" s="635"/>
      <c r="M42" s="636">
        <v>496</v>
      </c>
      <c r="N42" s="635"/>
      <c r="O42" s="635"/>
      <c r="P42" s="635"/>
      <c r="Q42" s="635"/>
      <c r="R42" s="635"/>
      <c r="S42" s="635"/>
      <c r="T42" s="635"/>
      <c r="U42" s="635">
        <v>0.6</v>
      </c>
      <c r="V42" s="635"/>
      <c r="W42" s="635"/>
      <c r="X42" s="635"/>
      <c r="Y42" s="635"/>
      <c r="Z42" s="635">
        <v>0.6</v>
      </c>
      <c r="AA42" s="635"/>
      <c r="AB42" s="635"/>
      <c r="AC42" s="635"/>
      <c r="AD42" s="635"/>
      <c r="AE42" s="635"/>
      <c r="AF42" s="635"/>
      <c r="AG42" s="635"/>
      <c r="AH42" s="635"/>
      <c r="AI42" s="635">
        <v>0.6</v>
      </c>
      <c r="AJ42" s="637"/>
    </row>
    <row r="43" spans="2:36" ht="15">
      <c r="B43" s="632">
        <v>55</v>
      </c>
      <c r="C43" s="633" t="s">
        <v>144</v>
      </c>
      <c r="D43" s="633" t="s">
        <v>520</v>
      </c>
      <c r="E43" s="634">
        <v>574282.95600000001</v>
      </c>
      <c r="F43" s="634">
        <v>0</v>
      </c>
      <c r="G43" s="633" t="s">
        <v>428</v>
      </c>
      <c r="H43" s="629">
        <v>1257661.3560000001</v>
      </c>
      <c r="I43" s="629">
        <v>0</v>
      </c>
      <c r="J43" s="641">
        <v>0.75</v>
      </c>
      <c r="K43" s="641"/>
      <c r="L43" s="641"/>
      <c r="M43" s="642">
        <v>930</v>
      </c>
      <c r="N43" s="641"/>
      <c r="O43" s="641"/>
      <c r="P43" s="641"/>
      <c r="Q43" s="641"/>
      <c r="R43" s="641"/>
      <c r="S43" s="641"/>
      <c r="T43" s="641">
        <v>0.8</v>
      </c>
      <c r="U43" s="641">
        <v>1.6</v>
      </c>
      <c r="V43" s="641"/>
      <c r="W43" s="641"/>
      <c r="X43" s="641"/>
      <c r="Y43" s="641"/>
      <c r="Z43" s="641">
        <v>0.8</v>
      </c>
      <c r="AA43" s="641"/>
      <c r="AB43" s="641"/>
      <c r="AC43" s="641"/>
      <c r="AD43" s="641"/>
      <c r="AE43" s="641"/>
      <c r="AF43" s="641"/>
      <c r="AG43" s="641"/>
      <c r="AH43" s="641"/>
      <c r="AI43" s="641"/>
      <c r="AJ43" s="643"/>
    </row>
    <row r="44" spans="2:36" ht="15">
      <c r="B44" s="632">
        <v>92</v>
      </c>
      <c r="C44" s="633" t="s">
        <v>56</v>
      </c>
      <c r="D44" s="633" t="s">
        <v>372</v>
      </c>
      <c r="E44" s="634">
        <v>0</v>
      </c>
      <c r="F44" s="634">
        <v>0</v>
      </c>
      <c r="G44" s="633" t="s">
        <v>367</v>
      </c>
      <c r="H44" s="628">
        <v>464130.25</v>
      </c>
      <c r="I44" s="628">
        <v>115940</v>
      </c>
      <c r="J44" s="635"/>
      <c r="K44" s="635"/>
      <c r="L44" s="635"/>
      <c r="M44" s="636"/>
      <c r="N44" s="635"/>
      <c r="O44" s="635"/>
      <c r="P44" s="635"/>
      <c r="Q44" s="635"/>
      <c r="R44" s="635"/>
      <c r="S44" s="635"/>
      <c r="T44" s="635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7"/>
    </row>
    <row r="45" spans="2:36" ht="15">
      <c r="B45" s="638">
        <v>56</v>
      </c>
      <c r="C45" s="639" t="s">
        <v>145</v>
      </c>
      <c r="D45" s="639" t="s">
        <v>452</v>
      </c>
      <c r="E45" s="640">
        <v>178047.625</v>
      </c>
      <c r="F45" s="640">
        <v>55140</v>
      </c>
      <c r="G45" s="639" t="s">
        <v>451</v>
      </c>
      <c r="H45" s="629">
        <v>1143082.6400000001</v>
      </c>
      <c r="I45" s="629">
        <v>275980</v>
      </c>
      <c r="J45" s="641"/>
      <c r="K45" s="641"/>
      <c r="L45" s="641"/>
      <c r="M45" s="642">
        <v>150</v>
      </c>
      <c r="N45" s="641"/>
      <c r="O45" s="641"/>
      <c r="P45" s="641"/>
      <c r="Q45" s="641"/>
      <c r="R45" s="641"/>
      <c r="S45" s="641"/>
      <c r="T45" s="641"/>
      <c r="U45" s="641">
        <v>0.5</v>
      </c>
      <c r="V45" s="641"/>
      <c r="W45" s="641"/>
      <c r="X45" s="641"/>
      <c r="Y45" s="641"/>
      <c r="Z45" s="641"/>
      <c r="AA45" s="641"/>
      <c r="AB45" s="641">
        <v>0.5</v>
      </c>
      <c r="AC45" s="641"/>
      <c r="AD45" s="641"/>
      <c r="AE45" s="641"/>
      <c r="AF45" s="641"/>
      <c r="AG45" s="641">
        <v>0.6</v>
      </c>
      <c r="AH45" s="641"/>
      <c r="AI45" s="641"/>
      <c r="AJ45" s="643"/>
    </row>
    <row r="46" spans="2:36" ht="15">
      <c r="B46" s="632">
        <v>150</v>
      </c>
      <c r="C46" s="633" t="s">
        <v>210</v>
      </c>
      <c r="D46" s="633" t="s">
        <v>430</v>
      </c>
      <c r="E46" s="634">
        <v>0</v>
      </c>
      <c r="F46" s="634">
        <v>0</v>
      </c>
      <c r="G46" s="633" t="s">
        <v>428</v>
      </c>
      <c r="H46" s="628">
        <v>1257661.3560000001</v>
      </c>
      <c r="I46" s="628">
        <v>0</v>
      </c>
      <c r="J46" s="635"/>
      <c r="K46" s="635"/>
      <c r="L46" s="635"/>
      <c r="M46" s="636"/>
      <c r="N46" s="635"/>
      <c r="O46" s="635"/>
      <c r="P46" s="635"/>
      <c r="Q46" s="635"/>
      <c r="R46" s="635"/>
      <c r="S46" s="635"/>
      <c r="T46" s="635"/>
      <c r="U46" s="635"/>
      <c r="V46" s="635"/>
      <c r="W46" s="635"/>
      <c r="X46" s="635"/>
      <c r="Y46" s="635"/>
      <c r="Z46" s="635"/>
      <c r="AA46" s="635"/>
      <c r="AB46" s="635"/>
      <c r="AC46" s="635"/>
      <c r="AD46" s="635"/>
      <c r="AE46" s="635"/>
      <c r="AF46" s="635"/>
      <c r="AG46" s="635"/>
      <c r="AH46" s="635"/>
      <c r="AI46" s="635"/>
      <c r="AJ46" s="637"/>
    </row>
    <row r="47" spans="2:36" ht="15">
      <c r="B47" s="632">
        <v>57</v>
      </c>
      <c r="C47" s="633" t="s">
        <v>146</v>
      </c>
      <c r="D47" s="633" t="s">
        <v>442</v>
      </c>
      <c r="E47" s="634">
        <v>233960.785</v>
      </c>
      <c r="F47" s="634">
        <v>55140</v>
      </c>
      <c r="G47" s="633" t="s">
        <v>443</v>
      </c>
      <c r="H47" s="629">
        <v>768103.66</v>
      </c>
      <c r="I47" s="629">
        <v>110280</v>
      </c>
      <c r="J47" s="641"/>
      <c r="K47" s="641"/>
      <c r="L47" s="641"/>
      <c r="M47" s="642">
        <v>192</v>
      </c>
      <c r="N47" s="641"/>
      <c r="O47" s="641"/>
      <c r="P47" s="641"/>
      <c r="Q47" s="641"/>
      <c r="R47" s="641"/>
      <c r="S47" s="641"/>
      <c r="T47" s="641">
        <v>0.5</v>
      </c>
      <c r="U47" s="641">
        <v>0.5</v>
      </c>
      <c r="V47" s="641"/>
      <c r="W47" s="641"/>
      <c r="X47" s="641"/>
      <c r="Y47" s="641"/>
      <c r="Z47" s="641"/>
      <c r="AA47" s="641">
        <v>0.5</v>
      </c>
      <c r="AB47" s="641"/>
      <c r="AC47" s="641"/>
      <c r="AD47" s="641"/>
      <c r="AE47" s="641"/>
      <c r="AF47" s="641"/>
      <c r="AG47" s="641">
        <v>0.6</v>
      </c>
      <c r="AH47" s="641"/>
      <c r="AI47" s="641"/>
      <c r="AJ47" s="643"/>
    </row>
    <row r="48" spans="2:36" ht="15">
      <c r="B48" s="632">
        <v>58</v>
      </c>
      <c r="C48" s="633" t="s">
        <v>147</v>
      </c>
      <c r="D48" s="633" t="s">
        <v>353</v>
      </c>
      <c r="E48" s="634">
        <v>0</v>
      </c>
      <c r="F48" s="634">
        <v>0</v>
      </c>
      <c r="G48" s="633" t="s">
        <v>351</v>
      </c>
      <c r="H48" s="628">
        <v>0</v>
      </c>
      <c r="I48" s="628">
        <v>0</v>
      </c>
      <c r="J48" s="635"/>
      <c r="K48" s="635"/>
      <c r="L48" s="635"/>
      <c r="M48" s="636"/>
      <c r="N48" s="635"/>
      <c r="O48" s="635"/>
      <c r="P48" s="635"/>
      <c r="Q48" s="635"/>
      <c r="R48" s="635"/>
      <c r="S48" s="635"/>
      <c r="T48" s="635"/>
      <c r="U48" s="635"/>
      <c r="V48" s="635"/>
      <c r="W48" s="635"/>
      <c r="X48" s="635"/>
      <c r="Y48" s="635"/>
      <c r="Z48" s="635"/>
      <c r="AA48" s="635"/>
      <c r="AB48" s="635"/>
      <c r="AC48" s="635"/>
      <c r="AD48" s="635"/>
      <c r="AE48" s="635"/>
      <c r="AF48" s="635"/>
      <c r="AG48" s="635"/>
      <c r="AH48" s="635"/>
      <c r="AI48" s="635"/>
      <c r="AJ48" s="637"/>
    </row>
    <row r="49" spans="2:36" ht="15">
      <c r="B49" s="632">
        <v>59</v>
      </c>
      <c r="C49" s="633" t="s">
        <v>148</v>
      </c>
      <c r="D49" s="633" t="s">
        <v>343</v>
      </c>
      <c r="E49" s="634">
        <v>0</v>
      </c>
      <c r="F49" s="634">
        <v>0</v>
      </c>
      <c r="G49" s="633" t="s">
        <v>329</v>
      </c>
      <c r="H49" s="629">
        <v>279420.5</v>
      </c>
      <c r="I49" s="629">
        <v>79400</v>
      </c>
      <c r="J49" s="641"/>
      <c r="K49" s="641"/>
      <c r="L49" s="641"/>
      <c r="M49" s="642"/>
      <c r="N49" s="641"/>
      <c r="O49" s="641"/>
      <c r="P49" s="641"/>
      <c r="Q49" s="641"/>
      <c r="R49" s="641"/>
      <c r="S49" s="641"/>
      <c r="T49" s="641"/>
      <c r="U49" s="641"/>
      <c r="V49" s="641"/>
      <c r="W49" s="641"/>
      <c r="X49" s="641"/>
      <c r="Y49" s="641"/>
      <c r="Z49" s="641"/>
      <c r="AA49" s="641"/>
      <c r="AB49" s="641"/>
      <c r="AC49" s="641"/>
      <c r="AD49" s="641"/>
      <c r="AE49" s="641"/>
      <c r="AF49" s="641"/>
      <c r="AG49" s="641"/>
      <c r="AH49" s="641"/>
      <c r="AI49" s="641"/>
      <c r="AJ49" s="643"/>
    </row>
    <row r="50" spans="2:36" ht="15">
      <c r="B50" s="632">
        <v>4</v>
      </c>
      <c r="C50" s="633" t="s">
        <v>88</v>
      </c>
      <c r="D50" s="633" t="s">
        <v>556</v>
      </c>
      <c r="E50" s="634">
        <v>0</v>
      </c>
      <c r="F50" s="634">
        <v>0</v>
      </c>
      <c r="G50" s="633" t="s">
        <v>329</v>
      </c>
      <c r="H50" s="628">
        <v>279420.5</v>
      </c>
      <c r="I50" s="628">
        <v>79400</v>
      </c>
      <c r="J50" s="635"/>
      <c r="K50" s="635"/>
      <c r="L50" s="635"/>
      <c r="M50" s="636"/>
      <c r="N50" s="635"/>
      <c r="O50" s="635"/>
      <c r="P50" s="635"/>
      <c r="Q50" s="635"/>
      <c r="R50" s="635"/>
      <c r="S50" s="635"/>
      <c r="T50" s="635"/>
      <c r="U50" s="635"/>
      <c r="V50" s="635"/>
      <c r="W50" s="635"/>
      <c r="X50" s="635"/>
      <c r="Y50" s="635"/>
      <c r="Z50" s="635"/>
      <c r="AA50" s="635"/>
      <c r="AB50" s="635"/>
      <c r="AC50" s="635"/>
      <c r="AD50" s="635"/>
      <c r="AE50" s="635"/>
      <c r="AF50" s="635"/>
      <c r="AG50" s="635"/>
      <c r="AH50" s="635"/>
      <c r="AI50" s="635"/>
      <c r="AJ50" s="637"/>
    </row>
    <row r="51" spans="2:36" ht="15">
      <c r="B51" s="632">
        <v>5</v>
      </c>
      <c r="C51" s="633" t="s">
        <v>90</v>
      </c>
      <c r="D51" s="633" t="s">
        <v>362</v>
      </c>
      <c r="E51" s="634">
        <v>0</v>
      </c>
      <c r="F51" s="634">
        <v>0</v>
      </c>
      <c r="G51" s="633" t="s">
        <v>363</v>
      </c>
      <c r="H51" s="629">
        <v>0</v>
      </c>
      <c r="I51" s="629">
        <v>0</v>
      </c>
      <c r="J51" s="641"/>
      <c r="K51" s="641"/>
      <c r="L51" s="641"/>
      <c r="M51" s="642"/>
      <c r="N51" s="641"/>
      <c r="O51" s="641"/>
      <c r="P51" s="641"/>
      <c r="Q51" s="641"/>
      <c r="R51" s="641"/>
      <c r="S51" s="641"/>
      <c r="T51" s="641"/>
      <c r="U51" s="641"/>
      <c r="V51" s="641"/>
      <c r="W51" s="641"/>
      <c r="X51" s="641"/>
      <c r="Y51" s="641"/>
      <c r="Z51" s="641"/>
      <c r="AA51" s="641"/>
      <c r="AB51" s="641"/>
      <c r="AC51" s="641"/>
      <c r="AD51" s="641"/>
      <c r="AE51" s="641"/>
      <c r="AF51" s="641"/>
      <c r="AG51" s="641"/>
      <c r="AH51" s="641"/>
      <c r="AI51" s="641"/>
      <c r="AJ51" s="643"/>
    </row>
    <row r="52" spans="2:36" ht="15">
      <c r="B52" s="632">
        <v>6</v>
      </c>
      <c r="C52" s="633" t="s">
        <v>91</v>
      </c>
      <c r="D52" s="633" t="s">
        <v>335</v>
      </c>
      <c r="E52" s="634">
        <v>18570.25</v>
      </c>
      <c r="F52" s="634">
        <v>0</v>
      </c>
      <c r="G52" s="633" t="s">
        <v>329</v>
      </c>
      <c r="H52" s="628">
        <v>279420.5</v>
      </c>
      <c r="I52" s="628">
        <v>79400</v>
      </c>
      <c r="J52" s="635"/>
      <c r="K52" s="635"/>
      <c r="L52" s="635"/>
      <c r="M52" s="636"/>
      <c r="N52" s="635"/>
      <c r="O52" s="635"/>
      <c r="P52" s="635"/>
      <c r="Q52" s="635"/>
      <c r="R52" s="635"/>
      <c r="S52" s="635"/>
      <c r="T52" s="635"/>
      <c r="U52" s="635">
        <v>1</v>
      </c>
      <c r="V52" s="635"/>
      <c r="W52" s="635"/>
      <c r="X52" s="635"/>
      <c r="Y52" s="635"/>
      <c r="Z52" s="635"/>
      <c r="AA52" s="635"/>
      <c r="AB52" s="635"/>
      <c r="AC52" s="635"/>
      <c r="AD52" s="635"/>
      <c r="AE52" s="635"/>
      <c r="AF52" s="635"/>
      <c r="AG52" s="635"/>
      <c r="AH52" s="635"/>
      <c r="AI52" s="635"/>
      <c r="AJ52" s="637"/>
    </row>
    <row r="53" spans="2:36" ht="15">
      <c r="B53" s="632">
        <v>61</v>
      </c>
      <c r="C53" s="633" t="s">
        <v>151</v>
      </c>
      <c r="D53" s="633" t="s">
        <v>439</v>
      </c>
      <c r="E53" s="634">
        <v>0</v>
      </c>
      <c r="F53" s="634">
        <v>0</v>
      </c>
      <c r="G53" s="633" t="s">
        <v>438</v>
      </c>
      <c r="H53" s="629">
        <v>281158.82500000001</v>
      </c>
      <c r="I53" s="629">
        <v>0</v>
      </c>
      <c r="J53" s="641"/>
      <c r="K53" s="641"/>
      <c r="L53" s="641"/>
      <c r="M53" s="642"/>
      <c r="N53" s="641"/>
      <c r="O53" s="641"/>
      <c r="P53" s="641"/>
      <c r="Q53" s="641"/>
      <c r="R53" s="641"/>
      <c r="S53" s="641"/>
      <c r="T53" s="641"/>
      <c r="U53" s="641"/>
      <c r="V53" s="641"/>
      <c r="W53" s="641"/>
      <c r="X53" s="641"/>
      <c r="Y53" s="641"/>
      <c r="Z53" s="641"/>
      <c r="AA53" s="641"/>
      <c r="AB53" s="641"/>
      <c r="AC53" s="641"/>
      <c r="AD53" s="641"/>
      <c r="AE53" s="641"/>
      <c r="AF53" s="641"/>
      <c r="AG53" s="641"/>
      <c r="AH53" s="641"/>
      <c r="AI53" s="641"/>
      <c r="AJ53" s="643"/>
    </row>
    <row r="54" spans="2:36" ht="15">
      <c r="B54" s="632">
        <v>63</v>
      </c>
      <c r="C54" s="633" t="s">
        <v>155</v>
      </c>
      <c r="D54" s="633" t="s">
        <v>408</v>
      </c>
      <c r="E54" s="634">
        <v>166347.93517369727</v>
      </c>
      <c r="F54" s="634">
        <v>0</v>
      </c>
      <c r="G54" s="633" t="s">
        <v>405</v>
      </c>
      <c r="H54" s="628">
        <v>977542.4706253102</v>
      </c>
      <c r="I54" s="628">
        <v>382490</v>
      </c>
      <c r="J54" s="635"/>
      <c r="K54" s="635"/>
      <c r="L54" s="635"/>
      <c r="M54" s="636">
        <v>250</v>
      </c>
      <c r="N54" s="635"/>
      <c r="O54" s="635"/>
      <c r="P54" s="635"/>
      <c r="Q54" s="635"/>
      <c r="R54" s="635"/>
      <c r="S54" s="635"/>
      <c r="T54" s="635"/>
      <c r="U54" s="635">
        <v>0.5</v>
      </c>
      <c r="V54" s="635"/>
      <c r="W54" s="635"/>
      <c r="X54" s="635"/>
      <c r="Y54" s="635"/>
      <c r="Z54" s="635"/>
      <c r="AA54" s="635"/>
      <c r="AB54" s="635"/>
      <c r="AC54" s="635">
        <v>0.5</v>
      </c>
      <c r="AD54" s="635"/>
      <c r="AE54" s="635"/>
      <c r="AF54" s="635"/>
      <c r="AG54" s="635"/>
      <c r="AH54" s="635"/>
      <c r="AI54" s="635"/>
      <c r="AJ54" s="637"/>
    </row>
    <row r="55" spans="2:36" ht="15">
      <c r="B55" s="638">
        <v>64</v>
      </c>
      <c r="C55" s="639" t="s">
        <v>156</v>
      </c>
      <c r="D55" s="639" t="s">
        <v>474</v>
      </c>
      <c r="E55" s="640">
        <v>0</v>
      </c>
      <c r="F55" s="640">
        <v>0</v>
      </c>
      <c r="G55" s="639" t="s">
        <v>475</v>
      </c>
      <c r="H55" s="629">
        <v>0</v>
      </c>
      <c r="I55" s="629">
        <v>0</v>
      </c>
      <c r="J55" s="641"/>
      <c r="K55" s="641"/>
      <c r="L55" s="641"/>
      <c r="M55" s="642"/>
      <c r="N55" s="641"/>
      <c r="O55" s="641"/>
      <c r="P55" s="641"/>
      <c r="Q55" s="641"/>
      <c r="R55" s="641"/>
      <c r="S55" s="641"/>
      <c r="T55" s="641"/>
      <c r="U55" s="641"/>
      <c r="V55" s="641"/>
      <c r="W55" s="641"/>
      <c r="X55" s="641"/>
      <c r="Y55" s="641"/>
      <c r="Z55" s="641"/>
      <c r="AA55" s="641"/>
      <c r="AB55" s="641"/>
      <c r="AC55" s="641"/>
      <c r="AD55" s="641"/>
      <c r="AE55" s="641"/>
      <c r="AF55" s="641"/>
      <c r="AG55" s="641"/>
      <c r="AH55" s="641"/>
      <c r="AI55" s="641"/>
      <c r="AJ55" s="643"/>
    </row>
    <row r="56" spans="2:36" ht="15">
      <c r="B56" s="632">
        <v>65</v>
      </c>
      <c r="C56" s="633" t="s">
        <v>157</v>
      </c>
      <c r="D56" s="633" t="s">
        <v>418</v>
      </c>
      <c r="E56" s="634">
        <v>0</v>
      </c>
      <c r="F56" s="634">
        <v>0</v>
      </c>
      <c r="G56" s="633" t="s">
        <v>416</v>
      </c>
      <c r="H56" s="628">
        <v>0</v>
      </c>
      <c r="I56" s="628">
        <v>0</v>
      </c>
      <c r="J56" s="635"/>
      <c r="K56" s="635"/>
      <c r="L56" s="635"/>
      <c r="M56" s="636"/>
      <c r="N56" s="635"/>
      <c r="O56" s="635"/>
      <c r="P56" s="635"/>
      <c r="Q56" s="635"/>
      <c r="R56" s="635"/>
      <c r="S56" s="635"/>
      <c r="T56" s="635"/>
      <c r="U56" s="635"/>
      <c r="V56" s="635"/>
      <c r="W56" s="635"/>
      <c r="X56" s="635"/>
      <c r="Y56" s="635"/>
      <c r="Z56" s="635"/>
      <c r="AA56" s="635"/>
      <c r="AB56" s="635"/>
      <c r="AC56" s="635"/>
      <c r="AD56" s="635"/>
      <c r="AE56" s="635"/>
      <c r="AF56" s="635"/>
      <c r="AG56" s="635"/>
      <c r="AH56" s="635"/>
      <c r="AI56" s="635"/>
      <c r="AJ56" s="637"/>
    </row>
    <row r="57" spans="2:36" ht="15">
      <c r="B57" s="638">
        <v>128</v>
      </c>
      <c r="C57" s="639" t="s">
        <v>235</v>
      </c>
      <c r="D57" s="639" t="s">
        <v>446</v>
      </c>
      <c r="E57" s="640">
        <v>178047.625</v>
      </c>
      <c r="F57" s="640">
        <v>0</v>
      </c>
      <c r="G57" s="639" t="s">
        <v>443</v>
      </c>
      <c r="H57" s="629">
        <v>768103.66</v>
      </c>
      <c r="I57" s="629">
        <v>110280</v>
      </c>
      <c r="J57" s="641"/>
      <c r="K57" s="641"/>
      <c r="L57" s="641"/>
      <c r="M57" s="642">
        <v>150</v>
      </c>
      <c r="N57" s="641"/>
      <c r="O57" s="641"/>
      <c r="P57" s="641"/>
      <c r="Q57" s="641"/>
      <c r="R57" s="641"/>
      <c r="S57" s="641"/>
      <c r="T57" s="641"/>
      <c r="U57" s="641">
        <v>0.5</v>
      </c>
      <c r="V57" s="641"/>
      <c r="W57" s="641"/>
      <c r="X57" s="641"/>
      <c r="Y57" s="641"/>
      <c r="Z57" s="641"/>
      <c r="AA57" s="641"/>
      <c r="AB57" s="641">
        <v>0.5</v>
      </c>
      <c r="AC57" s="641"/>
      <c r="AD57" s="641"/>
      <c r="AE57" s="641"/>
      <c r="AF57" s="641"/>
      <c r="AG57" s="641"/>
      <c r="AH57" s="641"/>
      <c r="AI57" s="641"/>
      <c r="AJ57" s="643"/>
    </row>
    <row r="58" spans="2:36" ht="15">
      <c r="B58" s="632">
        <v>66</v>
      </c>
      <c r="C58" s="633" t="s">
        <v>158</v>
      </c>
      <c r="D58" s="633" t="s">
        <v>447</v>
      </c>
      <c r="E58" s="634">
        <v>0</v>
      </c>
      <c r="F58" s="634">
        <v>0</v>
      </c>
      <c r="G58" s="633" t="s">
        <v>443</v>
      </c>
      <c r="H58" s="628">
        <v>768103.66</v>
      </c>
      <c r="I58" s="628">
        <v>110280</v>
      </c>
      <c r="J58" s="635"/>
      <c r="K58" s="635"/>
      <c r="L58" s="635"/>
      <c r="M58" s="636"/>
      <c r="N58" s="635"/>
      <c r="O58" s="635"/>
      <c r="P58" s="635"/>
      <c r="Q58" s="635"/>
      <c r="R58" s="635"/>
      <c r="S58" s="635"/>
      <c r="T58" s="635"/>
      <c r="U58" s="635"/>
      <c r="V58" s="635"/>
      <c r="W58" s="635"/>
      <c r="X58" s="635"/>
      <c r="Y58" s="635"/>
      <c r="Z58" s="635"/>
      <c r="AA58" s="635"/>
      <c r="AB58" s="635"/>
      <c r="AC58" s="635"/>
      <c r="AD58" s="635"/>
      <c r="AE58" s="635"/>
      <c r="AF58" s="635"/>
      <c r="AG58" s="635"/>
      <c r="AH58" s="635"/>
      <c r="AI58" s="635"/>
      <c r="AJ58" s="637"/>
    </row>
    <row r="59" spans="2:36" ht="15">
      <c r="B59" s="632">
        <v>67</v>
      </c>
      <c r="C59" s="633" t="s">
        <v>159</v>
      </c>
      <c r="D59" s="633" t="s">
        <v>371</v>
      </c>
      <c r="E59" s="634">
        <v>0</v>
      </c>
      <c r="F59" s="634">
        <v>76240</v>
      </c>
      <c r="G59" s="633" t="s">
        <v>367</v>
      </c>
      <c r="H59" s="629">
        <v>464130.25</v>
      </c>
      <c r="I59" s="629">
        <v>115940</v>
      </c>
      <c r="J59" s="641"/>
      <c r="K59" s="641"/>
      <c r="L59" s="641"/>
      <c r="M59" s="642"/>
      <c r="N59" s="641"/>
      <c r="O59" s="641"/>
      <c r="P59" s="641"/>
      <c r="Q59" s="641"/>
      <c r="R59" s="641"/>
      <c r="S59" s="641"/>
      <c r="T59" s="641"/>
      <c r="U59" s="641"/>
      <c r="V59" s="641"/>
      <c r="W59" s="641"/>
      <c r="X59" s="641"/>
      <c r="Y59" s="641"/>
      <c r="Z59" s="641"/>
      <c r="AA59" s="641"/>
      <c r="AB59" s="641"/>
      <c r="AC59" s="641"/>
      <c r="AD59" s="641"/>
      <c r="AE59" s="641"/>
      <c r="AF59" s="641"/>
      <c r="AG59" s="641"/>
      <c r="AH59" s="641">
        <v>0.8</v>
      </c>
      <c r="AI59" s="641">
        <v>0.8</v>
      </c>
      <c r="AJ59" s="643"/>
    </row>
    <row r="60" spans="2:36" ht="15">
      <c r="B60" s="632">
        <v>68</v>
      </c>
      <c r="C60" s="633" t="s">
        <v>160</v>
      </c>
      <c r="D60" s="633" t="s">
        <v>429</v>
      </c>
      <c r="E60" s="634">
        <v>0</v>
      </c>
      <c r="F60" s="634">
        <v>0</v>
      </c>
      <c r="G60" s="633" t="s">
        <v>428</v>
      </c>
      <c r="H60" s="628">
        <v>1257661.3560000001</v>
      </c>
      <c r="I60" s="628">
        <v>0</v>
      </c>
      <c r="J60" s="635"/>
      <c r="K60" s="635"/>
      <c r="L60" s="635"/>
      <c r="M60" s="636"/>
      <c r="N60" s="635"/>
      <c r="O60" s="635"/>
      <c r="P60" s="635"/>
      <c r="Q60" s="635"/>
      <c r="R60" s="635"/>
      <c r="S60" s="635"/>
      <c r="T60" s="635"/>
      <c r="U60" s="635"/>
      <c r="V60" s="635"/>
      <c r="W60" s="635"/>
      <c r="X60" s="635"/>
      <c r="Y60" s="635"/>
      <c r="Z60" s="635"/>
      <c r="AA60" s="635"/>
      <c r="AB60" s="635"/>
      <c r="AC60" s="635"/>
      <c r="AD60" s="635"/>
      <c r="AE60" s="635"/>
      <c r="AF60" s="635"/>
      <c r="AG60" s="635"/>
      <c r="AH60" s="635"/>
      <c r="AI60" s="635"/>
      <c r="AJ60" s="637"/>
    </row>
    <row r="61" spans="2:36" ht="15">
      <c r="B61" s="632">
        <v>69</v>
      </c>
      <c r="C61" s="633" t="s">
        <v>161</v>
      </c>
      <c r="D61" s="633" t="s">
        <v>396</v>
      </c>
      <c r="E61" s="634">
        <v>0</v>
      </c>
      <c r="F61" s="634">
        <v>0</v>
      </c>
      <c r="G61" s="633" t="s">
        <v>393</v>
      </c>
      <c r="H61" s="629">
        <v>833301.16999999993</v>
      </c>
      <c r="I61" s="629">
        <v>458390</v>
      </c>
      <c r="J61" s="641"/>
      <c r="K61" s="641"/>
      <c r="L61" s="641"/>
      <c r="M61" s="642"/>
      <c r="N61" s="641"/>
      <c r="O61" s="641"/>
      <c r="P61" s="641"/>
      <c r="Q61" s="641"/>
      <c r="R61" s="641"/>
      <c r="S61" s="641"/>
      <c r="T61" s="641"/>
      <c r="U61" s="641"/>
      <c r="V61" s="641"/>
      <c r="W61" s="641"/>
      <c r="X61" s="641"/>
      <c r="Y61" s="641"/>
      <c r="Z61" s="641"/>
      <c r="AA61" s="641"/>
      <c r="AB61" s="641"/>
      <c r="AC61" s="641"/>
      <c r="AD61" s="641"/>
      <c r="AE61" s="641"/>
      <c r="AF61" s="641"/>
      <c r="AG61" s="641"/>
      <c r="AH61" s="641"/>
      <c r="AI61" s="641"/>
      <c r="AJ61" s="643"/>
    </row>
    <row r="62" spans="2:36" ht="15">
      <c r="B62" s="632">
        <v>70</v>
      </c>
      <c r="C62" s="633" t="s">
        <v>162</v>
      </c>
      <c r="D62" s="633" t="s">
        <v>373</v>
      </c>
      <c r="E62" s="634">
        <v>0</v>
      </c>
      <c r="F62" s="634">
        <v>0</v>
      </c>
      <c r="G62" s="633" t="s">
        <v>367</v>
      </c>
      <c r="H62" s="628">
        <v>464130.25</v>
      </c>
      <c r="I62" s="628">
        <v>115940</v>
      </c>
      <c r="J62" s="635"/>
      <c r="K62" s="635"/>
      <c r="L62" s="635"/>
      <c r="M62" s="636"/>
      <c r="N62" s="635"/>
      <c r="O62" s="635"/>
      <c r="P62" s="635"/>
      <c r="Q62" s="635"/>
      <c r="R62" s="635"/>
      <c r="S62" s="635"/>
      <c r="T62" s="635"/>
      <c r="U62" s="635"/>
      <c r="V62" s="635"/>
      <c r="W62" s="635"/>
      <c r="X62" s="635"/>
      <c r="Y62" s="635"/>
      <c r="Z62" s="635"/>
      <c r="AA62" s="635"/>
      <c r="AB62" s="635"/>
      <c r="AC62" s="635"/>
      <c r="AD62" s="635"/>
      <c r="AE62" s="635"/>
      <c r="AF62" s="635"/>
      <c r="AG62" s="635"/>
      <c r="AH62" s="635"/>
      <c r="AI62" s="635"/>
      <c r="AJ62" s="637"/>
    </row>
    <row r="63" spans="2:36" ht="15">
      <c r="B63" s="638">
        <v>72</v>
      </c>
      <c r="C63" s="639" t="s">
        <v>165</v>
      </c>
      <c r="D63" s="639" t="s">
        <v>460</v>
      </c>
      <c r="E63" s="640">
        <v>0</v>
      </c>
      <c r="F63" s="640">
        <v>55140</v>
      </c>
      <c r="G63" s="639" t="s">
        <v>459</v>
      </c>
      <c r="H63" s="629">
        <v>239923.27600000001</v>
      </c>
      <c r="I63" s="629">
        <v>55140</v>
      </c>
      <c r="J63" s="641"/>
      <c r="K63" s="641"/>
      <c r="L63" s="641"/>
      <c r="M63" s="642"/>
      <c r="N63" s="641"/>
      <c r="O63" s="641"/>
      <c r="P63" s="641"/>
      <c r="Q63" s="641"/>
      <c r="R63" s="641"/>
      <c r="S63" s="641"/>
      <c r="T63" s="641"/>
      <c r="U63" s="641"/>
      <c r="V63" s="641"/>
      <c r="W63" s="641"/>
      <c r="X63" s="641"/>
      <c r="Y63" s="641"/>
      <c r="Z63" s="641"/>
      <c r="AA63" s="641"/>
      <c r="AB63" s="641"/>
      <c r="AC63" s="641"/>
      <c r="AD63" s="641"/>
      <c r="AE63" s="641"/>
      <c r="AF63" s="641"/>
      <c r="AG63" s="641">
        <v>0.6</v>
      </c>
      <c r="AH63" s="641"/>
      <c r="AI63" s="641"/>
      <c r="AJ63" s="643"/>
    </row>
    <row r="64" spans="2:36" ht="15">
      <c r="B64" s="632">
        <v>74</v>
      </c>
      <c r="C64" s="633" t="s">
        <v>168</v>
      </c>
      <c r="D64" s="633" t="s">
        <v>505</v>
      </c>
      <c r="E64" s="634">
        <v>0</v>
      </c>
      <c r="F64" s="634">
        <v>0</v>
      </c>
      <c r="G64" s="633" t="s">
        <v>329</v>
      </c>
      <c r="H64" s="628">
        <v>279420.5</v>
      </c>
      <c r="I64" s="628">
        <v>79400</v>
      </c>
      <c r="J64" s="635"/>
      <c r="K64" s="635"/>
      <c r="L64" s="635"/>
      <c r="M64" s="636"/>
      <c r="N64" s="635"/>
      <c r="O64" s="635"/>
      <c r="P64" s="635"/>
      <c r="Q64" s="635"/>
      <c r="R64" s="635"/>
      <c r="S64" s="635"/>
      <c r="T64" s="635"/>
      <c r="U64" s="635"/>
      <c r="V64" s="635"/>
      <c r="W64" s="635"/>
      <c r="X64" s="635"/>
      <c r="Y64" s="635"/>
      <c r="Z64" s="635"/>
      <c r="AA64" s="635"/>
      <c r="AB64" s="635"/>
      <c r="AC64" s="635"/>
      <c r="AD64" s="635"/>
      <c r="AE64" s="635"/>
      <c r="AF64" s="635"/>
      <c r="AG64" s="635"/>
      <c r="AH64" s="635"/>
      <c r="AI64" s="635"/>
      <c r="AJ64" s="637"/>
    </row>
    <row r="65" spans="2:36" ht="15">
      <c r="B65" s="632">
        <v>7</v>
      </c>
      <c r="C65" s="633" t="s">
        <v>92</v>
      </c>
      <c r="D65" s="633" t="s">
        <v>491</v>
      </c>
      <c r="E65" s="634">
        <v>0</v>
      </c>
      <c r="F65" s="634">
        <v>0</v>
      </c>
      <c r="G65" s="633" t="s">
        <v>329</v>
      </c>
      <c r="H65" s="629">
        <v>279420.5</v>
      </c>
      <c r="I65" s="629">
        <v>79400</v>
      </c>
      <c r="J65" s="641"/>
      <c r="K65" s="641"/>
      <c r="L65" s="641"/>
      <c r="M65" s="642"/>
      <c r="N65" s="641"/>
      <c r="O65" s="641"/>
      <c r="P65" s="641"/>
      <c r="Q65" s="641"/>
      <c r="R65" s="641"/>
      <c r="S65" s="641"/>
      <c r="T65" s="641"/>
      <c r="U65" s="641"/>
      <c r="V65" s="641"/>
      <c r="W65" s="641"/>
      <c r="X65" s="641"/>
      <c r="Y65" s="641"/>
      <c r="Z65" s="641"/>
      <c r="AA65" s="641"/>
      <c r="AB65" s="641"/>
      <c r="AC65" s="641"/>
      <c r="AD65" s="641"/>
      <c r="AE65" s="641"/>
      <c r="AF65" s="641"/>
      <c r="AG65" s="641"/>
      <c r="AH65" s="641"/>
      <c r="AI65" s="641"/>
      <c r="AJ65" s="643"/>
    </row>
    <row r="66" spans="2:36" ht="15">
      <c r="B66" s="632">
        <v>76</v>
      </c>
      <c r="C66" s="633" t="s">
        <v>171</v>
      </c>
      <c r="D66" s="633" t="s">
        <v>437</v>
      </c>
      <c r="E66" s="634">
        <v>55543.7</v>
      </c>
      <c r="F66" s="634">
        <v>0</v>
      </c>
      <c r="G66" s="633" t="s">
        <v>438</v>
      </c>
      <c r="H66" s="628">
        <v>281158.82500000001</v>
      </c>
      <c r="I66" s="628">
        <v>0</v>
      </c>
      <c r="J66" s="635"/>
      <c r="K66" s="635"/>
      <c r="L66" s="635"/>
      <c r="M66" s="636">
        <v>210</v>
      </c>
      <c r="N66" s="635"/>
      <c r="O66" s="635"/>
      <c r="P66" s="635"/>
      <c r="Q66" s="635"/>
      <c r="R66" s="635"/>
      <c r="S66" s="635"/>
      <c r="T66" s="635"/>
      <c r="U66" s="635">
        <v>0.8</v>
      </c>
      <c r="V66" s="635"/>
      <c r="W66" s="635"/>
      <c r="X66" s="635"/>
      <c r="Y66" s="635"/>
      <c r="Z66" s="635"/>
      <c r="AA66" s="635"/>
      <c r="AB66" s="635"/>
      <c r="AC66" s="635"/>
      <c r="AD66" s="635"/>
      <c r="AE66" s="635"/>
      <c r="AF66" s="635"/>
      <c r="AG66" s="635"/>
      <c r="AH66" s="635"/>
      <c r="AI66" s="635"/>
      <c r="AJ66" s="637"/>
    </row>
    <row r="67" spans="2:36" ht="15">
      <c r="B67" s="632">
        <v>77</v>
      </c>
      <c r="C67" s="633" t="s">
        <v>172</v>
      </c>
      <c r="D67" s="633" t="s">
        <v>544</v>
      </c>
      <c r="E67" s="634">
        <v>0</v>
      </c>
      <c r="F67" s="634">
        <v>0</v>
      </c>
      <c r="G67" s="633" t="s">
        <v>471</v>
      </c>
      <c r="H67" s="629">
        <v>0</v>
      </c>
      <c r="I67" s="629">
        <v>0</v>
      </c>
      <c r="J67" s="641"/>
      <c r="K67" s="641"/>
      <c r="L67" s="641"/>
      <c r="M67" s="642"/>
      <c r="N67" s="641"/>
      <c r="O67" s="641"/>
      <c r="P67" s="641"/>
      <c r="Q67" s="641"/>
      <c r="R67" s="641"/>
      <c r="S67" s="641"/>
      <c r="T67" s="641"/>
      <c r="U67" s="641"/>
      <c r="V67" s="641"/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41"/>
      <c r="AH67" s="641"/>
      <c r="AI67" s="641"/>
      <c r="AJ67" s="643"/>
    </row>
    <row r="68" spans="2:36" ht="15">
      <c r="B68" s="632">
        <v>78</v>
      </c>
      <c r="C68" s="633" t="s">
        <v>174</v>
      </c>
      <c r="D68" s="633" t="s">
        <v>453</v>
      </c>
      <c r="E68" s="634">
        <v>178047.625</v>
      </c>
      <c r="F68" s="634">
        <v>55140</v>
      </c>
      <c r="G68" s="633" t="s">
        <v>451</v>
      </c>
      <c r="H68" s="628">
        <v>1143082.6400000001</v>
      </c>
      <c r="I68" s="628">
        <v>275980</v>
      </c>
      <c r="J68" s="635"/>
      <c r="K68" s="635"/>
      <c r="L68" s="635"/>
      <c r="M68" s="636">
        <v>150</v>
      </c>
      <c r="N68" s="635"/>
      <c r="O68" s="635"/>
      <c r="P68" s="635"/>
      <c r="Q68" s="635"/>
      <c r="R68" s="635"/>
      <c r="S68" s="635"/>
      <c r="T68" s="635"/>
      <c r="U68" s="635">
        <v>0.5</v>
      </c>
      <c r="V68" s="635"/>
      <c r="W68" s="635"/>
      <c r="X68" s="635"/>
      <c r="Y68" s="635"/>
      <c r="Z68" s="635"/>
      <c r="AA68" s="635"/>
      <c r="AB68" s="635">
        <v>0.5</v>
      </c>
      <c r="AC68" s="635"/>
      <c r="AD68" s="635"/>
      <c r="AE68" s="635"/>
      <c r="AF68" s="635"/>
      <c r="AG68" s="635">
        <v>0.6</v>
      </c>
      <c r="AH68" s="635"/>
      <c r="AI68" s="635"/>
      <c r="AJ68" s="637"/>
    </row>
    <row r="69" spans="2:36" ht="15">
      <c r="B69" s="638">
        <v>8</v>
      </c>
      <c r="C69" s="639" t="s">
        <v>93</v>
      </c>
      <c r="D69" s="639" t="s">
        <v>345</v>
      </c>
      <c r="E69" s="640">
        <v>0</v>
      </c>
      <c r="F69" s="640">
        <v>0</v>
      </c>
      <c r="G69" s="639" t="s">
        <v>329</v>
      </c>
      <c r="H69" s="629">
        <v>279420.5</v>
      </c>
      <c r="I69" s="629">
        <v>79400</v>
      </c>
      <c r="J69" s="641"/>
      <c r="K69" s="641"/>
      <c r="L69" s="641"/>
      <c r="M69" s="642"/>
      <c r="N69" s="641"/>
      <c r="O69" s="641"/>
      <c r="P69" s="641"/>
      <c r="Q69" s="641"/>
      <c r="R69" s="641"/>
      <c r="S69" s="641"/>
      <c r="T69" s="641"/>
      <c r="U69" s="641"/>
      <c r="V69" s="641"/>
      <c r="W69" s="641"/>
      <c r="X69" s="641"/>
      <c r="Y69" s="641"/>
      <c r="Z69" s="641"/>
      <c r="AA69" s="641"/>
      <c r="AB69" s="641"/>
      <c r="AC69" s="641"/>
      <c r="AD69" s="641"/>
      <c r="AE69" s="641"/>
      <c r="AF69" s="641"/>
      <c r="AG69" s="641"/>
      <c r="AH69" s="641"/>
      <c r="AI69" s="641"/>
      <c r="AJ69" s="643"/>
    </row>
    <row r="70" spans="2:36" ht="15">
      <c r="B70" s="632">
        <v>9</v>
      </c>
      <c r="C70" s="633" t="s">
        <v>94</v>
      </c>
      <c r="D70" s="633" t="s">
        <v>559</v>
      </c>
      <c r="E70" s="634">
        <v>0</v>
      </c>
      <c r="F70" s="634">
        <v>0</v>
      </c>
      <c r="G70" s="633" t="s">
        <v>329</v>
      </c>
      <c r="H70" s="628">
        <v>279420.5</v>
      </c>
      <c r="I70" s="628">
        <v>79400</v>
      </c>
      <c r="J70" s="635"/>
      <c r="K70" s="635"/>
      <c r="L70" s="635"/>
      <c r="M70" s="636"/>
      <c r="N70" s="635"/>
      <c r="O70" s="635"/>
      <c r="P70" s="635"/>
      <c r="Q70" s="635"/>
      <c r="R70" s="635"/>
      <c r="S70" s="635"/>
      <c r="T70" s="635"/>
      <c r="U70" s="635"/>
      <c r="V70" s="635"/>
      <c r="W70" s="635"/>
      <c r="X70" s="635"/>
      <c r="Y70" s="635"/>
      <c r="Z70" s="635"/>
      <c r="AA70" s="635"/>
      <c r="AB70" s="635"/>
      <c r="AC70" s="635"/>
      <c r="AD70" s="635"/>
      <c r="AE70" s="635"/>
      <c r="AF70" s="635"/>
      <c r="AG70" s="635"/>
      <c r="AH70" s="635"/>
      <c r="AI70" s="635"/>
      <c r="AJ70" s="637"/>
    </row>
    <row r="71" spans="2:36" ht="15">
      <c r="B71" s="638">
        <v>10</v>
      </c>
      <c r="C71" s="639" t="s">
        <v>95</v>
      </c>
      <c r="D71" s="639" t="s">
        <v>557</v>
      </c>
      <c r="E71" s="640">
        <v>0</v>
      </c>
      <c r="F71" s="640">
        <v>0</v>
      </c>
      <c r="G71" s="639" t="s">
        <v>329</v>
      </c>
      <c r="H71" s="629">
        <v>279420.5</v>
      </c>
      <c r="I71" s="629">
        <v>79400</v>
      </c>
      <c r="J71" s="641"/>
      <c r="K71" s="641"/>
      <c r="L71" s="641"/>
      <c r="M71" s="642"/>
      <c r="N71" s="641"/>
      <c r="O71" s="641"/>
      <c r="P71" s="641"/>
      <c r="Q71" s="641"/>
      <c r="R71" s="641"/>
      <c r="S71" s="641"/>
      <c r="T71" s="641"/>
      <c r="U71" s="641"/>
      <c r="V71" s="641"/>
      <c r="W71" s="641"/>
      <c r="X71" s="641"/>
      <c r="Y71" s="641"/>
      <c r="Z71" s="641"/>
      <c r="AA71" s="641"/>
      <c r="AB71" s="641"/>
      <c r="AC71" s="641"/>
      <c r="AD71" s="641"/>
      <c r="AE71" s="641"/>
      <c r="AF71" s="641"/>
      <c r="AG71" s="641"/>
      <c r="AH71" s="641"/>
      <c r="AI71" s="641"/>
      <c r="AJ71" s="643"/>
    </row>
    <row r="72" spans="2:36" ht="15">
      <c r="B72" s="632">
        <v>148</v>
      </c>
      <c r="C72" s="633" t="s">
        <v>184</v>
      </c>
      <c r="D72" s="633" t="s">
        <v>388</v>
      </c>
      <c r="E72" s="634">
        <v>0</v>
      </c>
      <c r="F72" s="634">
        <v>0</v>
      </c>
      <c r="G72" s="633" t="s">
        <v>384</v>
      </c>
      <c r="H72" s="628">
        <v>663653.33499999996</v>
      </c>
      <c r="I72" s="628">
        <v>228450</v>
      </c>
      <c r="J72" s="635"/>
      <c r="K72" s="635"/>
      <c r="L72" s="635"/>
      <c r="M72" s="636"/>
      <c r="N72" s="635"/>
      <c r="O72" s="635"/>
      <c r="P72" s="635"/>
      <c r="Q72" s="635"/>
      <c r="R72" s="635"/>
      <c r="S72" s="635"/>
      <c r="T72" s="635"/>
      <c r="U72" s="635"/>
      <c r="V72" s="635"/>
      <c r="W72" s="635"/>
      <c r="X72" s="635"/>
      <c r="Y72" s="635"/>
      <c r="Z72" s="635"/>
      <c r="AA72" s="635"/>
      <c r="AB72" s="635"/>
      <c r="AC72" s="635"/>
      <c r="AD72" s="635"/>
      <c r="AE72" s="635"/>
      <c r="AF72" s="635"/>
      <c r="AG72" s="635"/>
      <c r="AH72" s="635"/>
      <c r="AI72" s="635"/>
      <c r="AJ72" s="637"/>
    </row>
    <row r="73" spans="2:36" ht="15">
      <c r="B73" s="632">
        <v>79</v>
      </c>
      <c r="C73" s="633" t="s">
        <v>175</v>
      </c>
      <c r="D73" s="633" t="s">
        <v>510</v>
      </c>
      <c r="E73" s="634">
        <v>96143.334999999992</v>
      </c>
      <c r="F73" s="634">
        <v>204200</v>
      </c>
      <c r="G73" s="633" t="s">
        <v>384</v>
      </c>
      <c r="H73" s="629">
        <v>663653.33499999996</v>
      </c>
      <c r="I73" s="629">
        <v>228450</v>
      </c>
      <c r="J73" s="641"/>
      <c r="K73" s="641"/>
      <c r="L73" s="641"/>
      <c r="M73" s="642">
        <v>385</v>
      </c>
      <c r="N73" s="641"/>
      <c r="O73" s="641"/>
      <c r="P73" s="641">
        <v>0.5</v>
      </c>
      <c r="Q73" s="641"/>
      <c r="R73" s="641"/>
      <c r="S73" s="641"/>
      <c r="T73" s="641"/>
      <c r="U73" s="641"/>
      <c r="V73" s="641"/>
      <c r="W73" s="641"/>
      <c r="X73" s="641"/>
      <c r="Y73" s="641"/>
      <c r="Z73" s="641"/>
      <c r="AA73" s="641"/>
      <c r="AB73" s="641"/>
      <c r="AC73" s="641"/>
      <c r="AD73" s="641">
        <v>0.5</v>
      </c>
      <c r="AE73" s="641"/>
      <c r="AF73" s="641"/>
      <c r="AG73" s="641">
        <v>0.5</v>
      </c>
      <c r="AH73" s="641">
        <v>0.5</v>
      </c>
      <c r="AI73" s="641"/>
      <c r="AJ73" s="643">
        <v>0.5</v>
      </c>
    </row>
    <row r="74" spans="2:36" ht="15">
      <c r="B74" s="632">
        <v>11</v>
      </c>
      <c r="C74" s="633" t="s">
        <v>96</v>
      </c>
      <c r="D74" s="633" t="s">
        <v>348</v>
      </c>
      <c r="E74" s="634">
        <v>0</v>
      </c>
      <c r="F74" s="634">
        <v>0</v>
      </c>
      <c r="G74" s="633" t="s">
        <v>349</v>
      </c>
      <c r="H74" s="628">
        <v>0</v>
      </c>
      <c r="I74" s="628">
        <v>0</v>
      </c>
      <c r="J74" s="635"/>
      <c r="K74" s="635"/>
      <c r="L74" s="635"/>
      <c r="M74" s="636"/>
      <c r="N74" s="635"/>
      <c r="O74" s="635"/>
      <c r="P74" s="635"/>
      <c r="Q74" s="635"/>
      <c r="R74" s="635"/>
      <c r="S74" s="635"/>
      <c r="T74" s="635"/>
      <c r="U74" s="635"/>
      <c r="V74" s="635"/>
      <c r="W74" s="635"/>
      <c r="X74" s="635"/>
      <c r="Y74" s="635"/>
      <c r="Z74" s="635"/>
      <c r="AA74" s="635"/>
      <c r="AB74" s="635"/>
      <c r="AC74" s="635"/>
      <c r="AD74" s="635"/>
      <c r="AE74" s="635"/>
      <c r="AF74" s="635"/>
      <c r="AG74" s="635"/>
      <c r="AH74" s="635"/>
      <c r="AI74" s="635"/>
      <c r="AJ74" s="637"/>
    </row>
    <row r="75" spans="2:36" ht="15">
      <c r="B75" s="638">
        <v>82</v>
      </c>
      <c r="C75" s="639" t="s">
        <v>180</v>
      </c>
      <c r="D75" s="639" t="s">
        <v>350</v>
      </c>
      <c r="E75" s="640">
        <v>0</v>
      </c>
      <c r="F75" s="640">
        <v>0</v>
      </c>
      <c r="G75" s="639" t="s">
        <v>351</v>
      </c>
      <c r="H75" s="629">
        <v>0</v>
      </c>
      <c r="I75" s="629">
        <v>0</v>
      </c>
      <c r="J75" s="641"/>
      <c r="K75" s="641"/>
      <c r="L75" s="641"/>
      <c r="M75" s="642"/>
      <c r="N75" s="641"/>
      <c r="O75" s="641"/>
      <c r="P75" s="641"/>
      <c r="Q75" s="641"/>
      <c r="R75" s="641"/>
      <c r="S75" s="641"/>
      <c r="T75" s="641"/>
      <c r="U75" s="641"/>
      <c r="V75" s="641"/>
      <c r="W75" s="641"/>
      <c r="X75" s="641"/>
      <c r="Y75" s="641"/>
      <c r="Z75" s="641"/>
      <c r="AA75" s="641"/>
      <c r="AB75" s="641"/>
      <c r="AC75" s="641"/>
      <c r="AD75" s="641"/>
      <c r="AE75" s="641"/>
      <c r="AF75" s="641"/>
      <c r="AG75" s="641"/>
      <c r="AH75" s="641"/>
      <c r="AI75" s="641"/>
      <c r="AJ75" s="643"/>
    </row>
    <row r="76" spans="2:36" ht="15">
      <c r="B76" s="632">
        <v>144</v>
      </c>
      <c r="C76" s="633" t="s">
        <v>158</v>
      </c>
      <c r="D76" s="633" t="s">
        <v>470</v>
      </c>
      <c r="E76" s="634">
        <v>0</v>
      </c>
      <c r="F76" s="634">
        <v>0</v>
      </c>
      <c r="G76" s="633" t="s">
        <v>469</v>
      </c>
      <c r="H76" s="628">
        <v>432717.51799999998</v>
      </c>
      <c r="I76" s="628">
        <v>33950</v>
      </c>
      <c r="J76" s="635"/>
      <c r="K76" s="635"/>
      <c r="L76" s="635"/>
      <c r="M76" s="636"/>
      <c r="N76" s="635"/>
      <c r="O76" s="635"/>
      <c r="P76" s="635"/>
      <c r="Q76" s="635"/>
      <c r="R76" s="635"/>
      <c r="S76" s="635"/>
      <c r="T76" s="635"/>
      <c r="U76" s="635"/>
      <c r="V76" s="635"/>
      <c r="W76" s="635"/>
      <c r="X76" s="635"/>
      <c r="Y76" s="635"/>
      <c r="Z76" s="635"/>
      <c r="AA76" s="635"/>
      <c r="AB76" s="635"/>
      <c r="AC76" s="635"/>
      <c r="AD76" s="635"/>
      <c r="AE76" s="635"/>
      <c r="AF76" s="635"/>
      <c r="AG76" s="635"/>
      <c r="AH76" s="635"/>
      <c r="AI76" s="635"/>
      <c r="AJ76" s="637"/>
    </row>
    <row r="77" spans="2:36" ht="15">
      <c r="B77" s="638">
        <v>12</v>
      </c>
      <c r="C77" s="639" t="s">
        <v>97</v>
      </c>
      <c r="D77" s="639" t="s">
        <v>493</v>
      </c>
      <c r="E77" s="640">
        <v>0</v>
      </c>
      <c r="F77" s="640">
        <v>0</v>
      </c>
      <c r="G77" s="639" t="s">
        <v>329</v>
      </c>
      <c r="H77" s="629">
        <v>279420.5</v>
      </c>
      <c r="I77" s="629">
        <v>79400</v>
      </c>
      <c r="J77" s="641"/>
      <c r="K77" s="641"/>
      <c r="L77" s="641"/>
      <c r="M77" s="642"/>
      <c r="N77" s="641"/>
      <c r="O77" s="641"/>
      <c r="P77" s="641"/>
      <c r="Q77" s="641"/>
      <c r="R77" s="641"/>
      <c r="S77" s="641"/>
      <c r="T77" s="641"/>
      <c r="U77" s="641"/>
      <c r="V77" s="641"/>
      <c r="W77" s="641"/>
      <c r="X77" s="641"/>
      <c r="Y77" s="641"/>
      <c r="Z77" s="641"/>
      <c r="AA77" s="641"/>
      <c r="AB77" s="641"/>
      <c r="AC77" s="641"/>
      <c r="AD77" s="641"/>
      <c r="AE77" s="641"/>
      <c r="AF77" s="641"/>
      <c r="AG77" s="641"/>
      <c r="AH77" s="641"/>
      <c r="AI77" s="641"/>
      <c r="AJ77" s="643"/>
    </row>
    <row r="78" spans="2:36" ht="15">
      <c r="B78" s="632">
        <v>83</v>
      </c>
      <c r="C78" s="633" t="s">
        <v>181</v>
      </c>
      <c r="D78" s="633" t="s">
        <v>456</v>
      </c>
      <c r="E78" s="634">
        <v>168762.5</v>
      </c>
      <c r="F78" s="634">
        <v>0</v>
      </c>
      <c r="G78" s="633" t="s">
        <v>455</v>
      </c>
      <c r="H78" s="628">
        <v>543340.65</v>
      </c>
      <c r="I78" s="628">
        <v>29100</v>
      </c>
      <c r="J78" s="635"/>
      <c r="K78" s="635"/>
      <c r="L78" s="635"/>
      <c r="M78" s="636">
        <v>150</v>
      </c>
      <c r="N78" s="635"/>
      <c r="O78" s="635"/>
      <c r="P78" s="635"/>
      <c r="Q78" s="635"/>
      <c r="R78" s="635"/>
      <c r="S78" s="635"/>
      <c r="T78" s="635"/>
      <c r="U78" s="635"/>
      <c r="V78" s="635"/>
      <c r="W78" s="635"/>
      <c r="X78" s="635"/>
      <c r="Y78" s="635"/>
      <c r="Z78" s="635"/>
      <c r="AA78" s="635"/>
      <c r="AB78" s="635">
        <v>0.5</v>
      </c>
      <c r="AC78" s="635"/>
      <c r="AD78" s="635"/>
      <c r="AE78" s="635"/>
      <c r="AF78" s="635"/>
      <c r="AG78" s="635"/>
      <c r="AH78" s="635"/>
      <c r="AI78" s="635"/>
      <c r="AJ78" s="637"/>
    </row>
    <row r="79" spans="2:36" ht="15">
      <c r="B79" s="638">
        <v>84</v>
      </c>
      <c r="C79" s="639" t="s">
        <v>182</v>
      </c>
      <c r="D79" s="639" t="s">
        <v>406</v>
      </c>
      <c r="E79" s="640">
        <v>283307.20999999996</v>
      </c>
      <c r="F79" s="640">
        <v>24250</v>
      </c>
      <c r="G79" s="639" t="s">
        <v>405</v>
      </c>
      <c r="H79" s="629">
        <v>977542.4706253102</v>
      </c>
      <c r="I79" s="629">
        <v>382490</v>
      </c>
      <c r="J79" s="641"/>
      <c r="K79" s="641"/>
      <c r="L79" s="641">
        <v>0.5</v>
      </c>
      <c r="M79" s="642">
        <v>300</v>
      </c>
      <c r="N79" s="641"/>
      <c r="O79" s="641"/>
      <c r="P79" s="641">
        <v>0.5</v>
      </c>
      <c r="Q79" s="641"/>
      <c r="R79" s="641"/>
      <c r="S79" s="641"/>
      <c r="T79" s="641"/>
      <c r="U79" s="641">
        <v>0.5</v>
      </c>
      <c r="V79" s="641"/>
      <c r="W79" s="641"/>
      <c r="X79" s="641"/>
      <c r="Y79" s="641"/>
      <c r="Z79" s="641"/>
      <c r="AA79" s="641"/>
      <c r="AB79" s="641">
        <v>0.5</v>
      </c>
      <c r="AC79" s="641"/>
      <c r="AD79" s="641"/>
      <c r="AE79" s="641"/>
      <c r="AF79" s="641"/>
      <c r="AG79" s="641"/>
      <c r="AH79" s="641"/>
      <c r="AI79" s="641">
        <v>0.5</v>
      </c>
      <c r="AJ79" s="643"/>
    </row>
    <row r="80" spans="2:36" ht="15">
      <c r="B80" s="632">
        <v>86</v>
      </c>
      <c r="C80" s="633" t="s">
        <v>185</v>
      </c>
      <c r="D80" s="633" t="s">
        <v>458</v>
      </c>
      <c r="E80" s="634">
        <v>239923.27600000001</v>
      </c>
      <c r="F80" s="634">
        <v>0</v>
      </c>
      <c r="G80" s="633" t="s">
        <v>459</v>
      </c>
      <c r="H80" s="628">
        <v>239923.27600000001</v>
      </c>
      <c r="I80" s="628">
        <v>55140</v>
      </c>
      <c r="J80" s="635"/>
      <c r="K80" s="635"/>
      <c r="L80" s="635"/>
      <c r="M80" s="636">
        <v>400</v>
      </c>
      <c r="N80" s="635"/>
      <c r="O80" s="635">
        <v>0.2</v>
      </c>
      <c r="P80" s="635"/>
      <c r="Q80" s="635"/>
      <c r="R80" s="635"/>
      <c r="S80" s="635"/>
      <c r="T80" s="635"/>
      <c r="U80" s="635"/>
      <c r="V80" s="635"/>
      <c r="W80" s="635"/>
      <c r="X80" s="635"/>
      <c r="Y80" s="635"/>
      <c r="Z80" s="635"/>
      <c r="AA80" s="635">
        <v>0.15</v>
      </c>
      <c r="AB80" s="635"/>
      <c r="AC80" s="635"/>
      <c r="AD80" s="635"/>
      <c r="AE80" s="635"/>
      <c r="AF80" s="635"/>
      <c r="AG80" s="635"/>
      <c r="AH80" s="635"/>
      <c r="AI80" s="635"/>
      <c r="AJ80" s="637"/>
    </row>
    <row r="81" spans="2:36" ht="15">
      <c r="B81" s="632">
        <v>87</v>
      </c>
      <c r="C81" s="633" t="s">
        <v>186</v>
      </c>
      <c r="D81" s="633" t="s">
        <v>527</v>
      </c>
      <c r="E81" s="634">
        <v>0</v>
      </c>
      <c r="F81" s="634">
        <v>0</v>
      </c>
      <c r="G81" s="633" t="s">
        <v>399</v>
      </c>
      <c r="H81" s="629">
        <v>0</v>
      </c>
      <c r="I81" s="629">
        <v>132000</v>
      </c>
      <c r="J81" s="641"/>
      <c r="K81" s="641"/>
      <c r="L81" s="641"/>
      <c r="M81" s="642"/>
      <c r="N81" s="641"/>
      <c r="O81" s="641"/>
      <c r="P81" s="641"/>
      <c r="Q81" s="641"/>
      <c r="R81" s="641"/>
      <c r="S81" s="641"/>
      <c r="T81" s="641"/>
      <c r="U81" s="641"/>
      <c r="V81" s="641"/>
      <c r="W81" s="641"/>
      <c r="X81" s="641"/>
      <c r="Y81" s="641"/>
      <c r="Z81" s="641"/>
      <c r="AA81" s="641"/>
      <c r="AB81" s="641"/>
      <c r="AC81" s="641"/>
      <c r="AD81" s="641"/>
      <c r="AE81" s="641"/>
      <c r="AF81" s="641"/>
      <c r="AG81" s="641"/>
      <c r="AH81" s="641"/>
      <c r="AI81" s="641"/>
      <c r="AJ81" s="643"/>
    </row>
    <row r="82" spans="2:36" ht="15">
      <c r="B82" s="632">
        <v>88</v>
      </c>
      <c r="C82" s="633" t="s">
        <v>187</v>
      </c>
      <c r="D82" s="633" t="s">
        <v>394</v>
      </c>
      <c r="E82" s="634">
        <v>268943.09999999998</v>
      </c>
      <c r="F82" s="634">
        <v>0</v>
      </c>
      <c r="G82" s="633" t="s">
        <v>393</v>
      </c>
      <c r="H82" s="628">
        <v>833301.16999999993</v>
      </c>
      <c r="I82" s="628">
        <v>458390</v>
      </c>
      <c r="J82" s="635"/>
      <c r="K82" s="635"/>
      <c r="L82" s="635"/>
      <c r="M82" s="636">
        <v>500</v>
      </c>
      <c r="N82" s="635"/>
      <c r="O82" s="635"/>
      <c r="P82" s="635"/>
      <c r="Q82" s="635"/>
      <c r="R82" s="635"/>
      <c r="S82" s="635"/>
      <c r="T82" s="635"/>
      <c r="U82" s="635">
        <v>0.4</v>
      </c>
      <c r="V82" s="635"/>
      <c r="W82" s="635"/>
      <c r="X82" s="635"/>
      <c r="Y82" s="635"/>
      <c r="Z82" s="635">
        <v>0.4</v>
      </c>
      <c r="AA82" s="635"/>
      <c r="AB82" s="635"/>
      <c r="AC82" s="635"/>
      <c r="AD82" s="635"/>
      <c r="AE82" s="635"/>
      <c r="AF82" s="635"/>
      <c r="AG82" s="635"/>
      <c r="AH82" s="635"/>
      <c r="AI82" s="635"/>
      <c r="AJ82" s="637"/>
    </row>
    <row r="83" spans="2:36" ht="15">
      <c r="B83" s="632">
        <v>13</v>
      </c>
      <c r="C83" s="633" t="s">
        <v>98</v>
      </c>
      <c r="D83" s="633" t="s">
        <v>330</v>
      </c>
      <c r="E83" s="634">
        <v>161520</v>
      </c>
      <c r="F83" s="634">
        <v>39700</v>
      </c>
      <c r="G83" s="633" t="s">
        <v>329</v>
      </c>
      <c r="H83" s="629">
        <v>279420.5</v>
      </c>
      <c r="I83" s="629">
        <v>79400</v>
      </c>
      <c r="J83" s="641">
        <v>2</v>
      </c>
      <c r="K83" s="641">
        <v>2</v>
      </c>
      <c r="L83" s="641"/>
      <c r="M83" s="642"/>
      <c r="N83" s="641"/>
      <c r="O83" s="641"/>
      <c r="P83" s="641"/>
      <c r="Q83" s="641"/>
      <c r="R83" s="641"/>
      <c r="S83" s="641"/>
      <c r="T83" s="641"/>
      <c r="U83" s="641"/>
      <c r="V83" s="641"/>
      <c r="W83" s="641"/>
      <c r="X83" s="641"/>
      <c r="Y83" s="641"/>
      <c r="Z83" s="641"/>
      <c r="AA83" s="641"/>
      <c r="AB83" s="641"/>
      <c r="AC83" s="641"/>
      <c r="AD83" s="641">
        <v>1</v>
      </c>
      <c r="AE83" s="641"/>
      <c r="AF83" s="641"/>
      <c r="AG83" s="641"/>
      <c r="AH83" s="641"/>
      <c r="AI83" s="641"/>
      <c r="AJ83" s="643"/>
    </row>
    <row r="84" spans="2:36" ht="15">
      <c r="B84" s="632">
        <v>139</v>
      </c>
      <c r="C84" s="633" t="s">
        <v>150</v>
      </c>
      <c r="D84" s="633" t="s">
        <v>449</v>
      </c>
      <c r="E84" s="634">
        <v>0</v>
      </c>
      <c r="F84" s="634">
        <v>0</v>
      </c>
      <c r="G84" s="633" t="s">
        <v>448</v>
      </c>
      <c r="H84" s="628">
        <v>784126.16599999997</v>
      </c>
      <c r="I84" s="628">
        <v>24250</v>
      </c>
      <c r="J84" s="635"/>
      <c r="K84" s="635"/>
      <c r="L84" s="635"/>
      <c r="M84" s="636"/>
      <c r="N84" s="635"/>
      <c r="O84" s="635"/>
      <c r="P84" s="635"/>
      <c r="Q84" s="635"/>
      <c r="R84" s="635"/>
      <c r="S84" s="635"/>
      <c r="T84" s="635"/>
      <c r="U84" s="635"/>
      <c r="V84" s="635"/>
      <c r="W84" s="635"/>
      <c r="X84" s="635"/>
      <c r="Y84" s="635"/>
      <c r="Z84" s="635"/>
      <c r="AA84" s="635"/>
      <c r="AB84" s="635"/>
      <c r="AC84" s="635"/>
      <c r="AD84" s="635"/>
      <c r="AE84" s="635"/>
      <c r="AF84" s="635"/>
      <c r="AG84" s="635"/>
      <c r="AH84" s="635"/>
      <c r="AI84" s="635"/>
      <c r="AJ84" s="637"/>
    </row>
    <row r="85" spans="2:36" ht="15">
      <c r="B85" s="632">
        <v>75</v>
      </c>
      <c r="C85" s="633" t="s">
        <v>170</v>
      </c>
      <c r="D85" s="633" t="s">
        <v>386</v>
      </c>
      <c r="E85" s="634">
        <v>0</v>
      </c>
      <c r="F85" s="634">
        <v>0</v>
      </c>
      <c r="G85" s="633" t="s">
        <v>384</v>
      </c>
      <c r="H85" s="629">
        <v>663653.33499999996</v>
      </c>
      <c r="I85" s="629">
        <v>228450</v>
      </c>
      <c r="J85" s="641"/>
      <c r="K85" s="641"/>
      <c r="L85" s="641"/>
      <c r="M85" s="642"/>
      <c r="N85" s="641"/>
      <c r="O85" s="641"/>
      <c r="P85" s="641"/>
      <c r="Q85" s="641"/>
      <c r="R85" s="641"/>
      <c r="S85" s="641"/>
      <c r="T85" s="641"/>
      <c r="U85" s="641"/>
      <c r="V85" s="641"/>
      <c r="W85" s="641"/>
      <c r="X85" s="641"/>
      <c r="Y85" s="641"/>
      <c r="Z85" s="641"/>
      <c r="AA85" s="641"/>
      <c r="AB85" s="641"/>
      <c r="AC85" s="641"/>
      <c r="AD85" s="641"/>
      <c r="AE85" s="641"/>
      <c r="AF85" s="641"/>
      <c r="AG85" s="641"/>
      <c r="AH85" s="641"/>
      <c r="AI85" s="641"/>
      <c r="AJ85" s="643"/>
    </row>
    <row r="86" spans="2:36" ht="15">
      <c r="B86" s="632">
        <v>89</v>
      </c>
      <c r="C86" s="633" t="s">
        <v>188</v>
      </c>
      <c r="D86" s="633" t="s">
        <v>508</v>
      </c>
      <c r="E86" s="634">
        <v>189437.06420843673</v>
      </c>
      <c r="F86" s="634">
        <v>222000</v>
      </c>
      <c r="G86" s="633" t="s">
        <v>398</v>
      </c>
      <c r="H86" s="628">
        <v>189437.06420843673</v>
      </c>
      <c r="I86" s="628">
        <v>535850</v>
      </c>
      <c r="J86" s="635">
        <v>0.6</v>
      </c>
      <c r="K86" s="635"/>
      <c r="L86" s="635"/>
      <c r="M86" s="636">
        <v>105</v>
      </c>
      <c r="N86" s="635"/>
      <c r="O86" s="635"/>
      <c r="P86" s="635"/>
      <c r="Q86" s="635"/>
      <c r="R86" s="635"/>
      <c r="S86" s="635"/>
      <c r="T86" s="635">
        <v>0.6</v>
      </c>
      <c r="U86" s="635">
        <v>0.6</v>
      </c>
      <c r="V86" s="635"/>
      <c r="W86" s="635"/>
      <c r="X86" s="635"/>
      <c r="Y86" s="635"/>
      <c r="Z86" s="635"/>
      <c r="AA86" s="635"/>
      <c r="AB86" s="635"/>
      <c r="AC86" s="635">
        <v>0.6</v>
      </c>
      <c r="AD86" s="635"/>
      <c r="AE86" s="635">
        <v>0.5</v>
      </c>
      <c r="AF86" s="635">
        <v>0.5</v>
      </c>
      <c r="AG86" s="635"/>
      <c r="AH86" s="635"/>
      <c r="AI86" s="635"/>
      <c r="AJ86" s="637"/>
    </row>
    <row r="87" spans="2:36" ht="15">
      <c r="B87" s="638">
        <v>90</v>
      </c>
      <c r="C87" s="639" t="s">
        <v>189</v>
      </c>
      <c r="D87" s="639" t="s">
        <v>354</v>
      </c>
      <c r="E87" s="640">
        <v>0</v>
      </c>
      <c r="F87" s="640">
        <v>0</v>
      </c>
      <c r="G87" s="639" t="s">
        <v>351</v>
      </c>
      <c r="H87" s="629">
        <v>0</v>
      </c>
      <c r="I87" s="629">
        <v>0</v>
      </c>
      <c r="J87" s="641"/>
      <c r="K87" s="641"/>
      <c r="L87" s="641"/>
      <c r="M87" s="642"/>
      <c r="N87" s="641"/>
      <c r="O87" s="641"/>
      <c r="P87" s="641"/>
      <c r="Q87" s="641"/>
      <c r="R87" s="641"/>
      <c r="S87" s="641"/>
      <c r="T87" s="641"/>
      <c r="U87" s="641"/>
      <c r="V87" s="641"/>
      <c r="W87" s="641"/>
      <c r="X87" s="641"/>
      <c r="Y87" s="641"/>
      <c r="Z87" s="641"/>
      <c r="AA87" s="641"/>
      <c r="AB87" s="641"/>
      <c r="AC87" s="641"/>
      <c r="AD87" s="641"/>
      <c r="AE87" s="641"/>
      <c r="AF87" s="641"/>
      <c r="AG87" s="641"/>
      <c r="AH87" s="641"/>
      <c r="AI87" s="641"/>
      <c r="AJ87" s="643"/>
    </row>
    <row r="88" spans="2:36" ht="15">
      <c r="B88" s="632">
        <v>91</v>
      </c>
      <c r="C88" s="633" t="s">
        <v>190</v>
      </c>
      <c r="D88" s="633" t="s">
        <v>541</v>
      </c>
      <c r="E88" s="634">
        <v>0</v>
      </c>
      <c r="F88" s="634">
        <v>0</v>
      </c>
      <c r="G88" s="633" t="s">
        <v>469</v>
      </c>
      <c r="H88" s="628">
        <v>432717.51799999998</v>
      </c>
      <c r="I88" s="628">
        <v>33950</v>
      </c>
      <c r="J88" s="635"/>
      <c r="K88" s="635"/>
      <c r="L88" s="635"/>
      <c r="M88" s="636"/>
      <c r="N88" s="635"/>
      <c r="O88" s="635"/>
      <c r="P88" s="635"/>
      <c r="Q88" s="635"/>
      <c r="R88" s="635"/>
      <c r="S88" s="635"/>
      <c r="T88" s="635"/>
      <c r="U88" s="635"/>
      <c r="V88" s="635"/>
      <c r="W88" s="635"/>
      <c r="X88" s="635"/>
      <c r="Y88" s="635"/>
      <c r="Z88" s="635"/>
      <c r="AA88" s="635"/>
      <c r="AB88" s="635"/>
      <c r="AC88" s="635"/>
      <c r="AD88" s="635"/>
      <c r="AE88" s="635"/>
      <c r="AF88" s="635"/>
      <c r="AG88" s="635"/>
      <c r="AH88" s="635"/>
      <c r="AI88" s="635"/>
      <c r="AJ88" s="637"/>
    </row>
    <row r="89" spans="2:36" ht="15">
      <c r="B89" s="638">
        <v>14</v>
      </c>
      <c r="C89" s="639" t="s">
        <v>99</v>
      </c>
      <c r="D89" s="639" t="s">
        <v>338</v>
      </c>
      <c r="E89" s="640">
        <v>0</v>
      </c>
      <c r="F89" s="640">
        <v>0</v>
      </c>
      <c r="G89" s="639" t="s">
        <v>329</v>
      </c>
      <c r="H89" s="629">
        <v>279420.5</v>
      </c>
      <c r="I89" s="629">
        <v>79400</v>
      </c>
      <c r="J89" s="641"/>
      <c r="K89" s="641"/>
      <c r="L89" s="641"/>
      <c r="M89" s="642"/>
      <c r="N89" s="641"/>
      <c r="O89" s="641"/>
      <c r="P89" s="641"/>
      <c r="Q89" s="641"/>
      <c r="R89" s="641"/>
      <c r="S89" s="641"/>
      <c r="T89" s="641"/>
      <c r="U89" s="641"/>
      <c r="V89" s="641"/>
      <c r="W89" s="641"/>
      <c r="X89" s="641"/>
      <c r="Y89" s="641"/>
      <c r="Z89" s="641"/>
      <c r="AA89" s="641"/>
      <c r="AB89" s="641"/>
      <c r="AC89" s="641"/>
      <c r="AD89" s="641"/>
      <c r="AE89" s="641"/>
      <c r="AF89" s="641"/>
      <c r="AG89" s="641"/>
      <c r="AH89" s="641"/>
      <c r="AI89" s="641"/>
      <c r="AJ89" s="643"/>
    </row>
    <row r="90" spans="2:36" ht="15">
      <c r="B90" s="632">
        <v>80</v>
      </c>
      <c r="C90" s="633" t="s">
        <v>42</v>
      </c>
      <c r="D90" s="633" t="s">
        <v>561</v>
      </c>
      <c r="E90" s="634">
        <v>0</v>
      </c>
      <c r="F90" s="634">
        <v>0</v>
      </c>
      <c r="G90" s="633" t="s">
        <v>367</v>
      </c>
      <c r="H90" s="628">
        <v>464130.25</v>
      </c>
      <c r="I90" s="628">
        <v>115940</v>
      </c>
      <c r="J90" s="635"/>
      <c r="K90" s="635"/>
      <c r="L90" s="635"/>
      <c r="M90" s="636"/>
      <c r="N90" s="635"/>
      <c r="O90" s="635"/>
      <c r="P90" s="635"/>
      <c r="Q90" s="635"/>
      <c r="R90" s="635"/>
      <c r="S90" s="635"/>
      <c r="T90" s="635"/>
      <c r="U90" s="635"/>
      <c r="V90" s="635"/>
      <c r="W90" s="635"/>
      <c r="X90" s="635"/>
      <c r="Y90" s="635"/>
      <c r="Z90" s="635"/>
      <c r="AA90" s="635"/>
      <c r="AB90" s="635"/>
      <c r="AC90" s="635"/>
      <c r="AD90" s="635"/>
      <c r="AE90" s="635"/>
      <c r="AF90" s="635"/>
      <c r="AG90" s="635"/>
      <c r="AH90" s="635"/>
      <c r="AI90" s="635"/>
      <c r="AJ90" s="637"/>
    </row>
    <row r="91" spans="2:36" ht="15">
      <c r="B91" s="632">
        <v>73</v>
      </c>
      <c r="C91" s="633" t="s">
        <v>40</v>
      </c>
      <c r="D91" s="633" t="s">
        <v>355</v>
      </c>
      <c r="E91" s="634">
        <v>0</v>
      </c>
      <c r="F91" s="634">
        <v>0</v>
      </c>
      <c r="G91" s="633" t="s">
        <v>356</v>
      </c>
      <c r="H91" s="629">
        <v>0</v>
      </c>
      <c r="I91" s="629">
        <v>0</v>
      </c>
      <c r="J91" s="641"/>
      <c r="K91" s="641"/>
      <c r="L91" s="641"/>
      <c r="M91" s="642"/>
      <c r="N91" s="641"/>
      <c r="O91" s="641"/>
      <c r="P91" s="641"/>
      <c r="Q91" s="641"/>
      <c r="R91" s="641"/>
      <c r="S91" s="641"/>
      <c r="T91" s="641"/>
      <c r="U91" s="641"/>
      <c r="V91" s="641"/>
      <c r="W91" s="641"/>
      <c r="X91" s="641"/>
      <c r="Y91" s="641"/>
      <c r="Z91" s="641"/>
      <c r="AA91" s="641"/>
      <c r="AB91" s="641"/>
      <c r="AC91" s="641"/>
      <c r="AD91" s="641"/>
      <c r="AE91" s="641"/>
      <c r="AF91" s="641"/>
      <c r="AG91" s="641"/>
      <c r="AH91" s="641"/>
      <c r="AI91" s="641"/>
      <c r="AJ91" s="643"/>
    </row>
    <row r="92" spans="2:36" ht="15">
      <c r="B92" s="632">
        <v>93</v>
      </c>
      <c r="C92" s="633" t="s">
        <v>192</v>
      </c>
      <c r="D92" s="633" t="s">
        <v>365</v>
      </c>
      <c r="E92" s="634">
        <v>0</v>
      </c>
      <c r="F92" s="634">
        <v>0</v>
      </c>
      <c r="G92" s="633" t="s">
        <v>363</v>
      </c>
      <c r="H92" s="628">
        <v>0</v>
      </c>
      <c r="I92" s="628">
        <v>0</v>
      </c>
      <c r="J92" s="635"/>
      <c r="K92" s="635"/>
      <c r="L92" s="635"/>
      <c r="M92" s="636"/>
      <c r="N92" s="635"/>
      <c r="O92" s="635"/>
      <c r="P92" s="635"/>
      <c r="Q92" s="635"/>
      <c r="R92" s="635"/>
      <c r="S92" s="635"/>
      <c r="T92" s="635"/>
      <c r="U92" s="635"/>
      <c r="V92" s="635"/>
      <c r="W92" s="635"/>
      <c r="X92" s="635"/>
      <c r="Y92" s="635"/>
      <c r="Z92" s="635"/>
      <c r="AA92" s="635"/>
      <c r="AB92" s="635"/>
      <c r="AC92" s="635"/>
      <c r="AD92" s="635"/>
      <c r="AE92" s="635"/>
      <c r="AF92" s="635"/>
      <c r="AG92" s="635"/>
      <c r="AH92" s="635"/>
      <c r="AI92" s="635"/>
      <c r="AJ92" s="637"/>
    </row>
    <row r="93" spans="2:36" ht="15">
      <c r="B93" s="632">
        <v>153</v>
      </c>
      <c r="C93" s="633" t="s">
        <v>240</v>
      </c>
      <c r="D93" s="633" t="s">
        <v>466</v>
      </c>
      <c r="E93" s="634">
        <v>0</v>
      </c>
      <c r="F93" s="634">
        <v>0</v>
      </c>
      <c r="G93" s="633" t="s">
        <v>465</v>
      </c>
      <c r="H93" s="629">
        <v>471954.413</v>
      </c>
      <c r="I93" s="629">
        <v>79380</v>
      </c>
      <c r="J93" s="641"/>
      <c r="K93" s="641"/>
      <c r="L93" s="641"/>
      <c r="M93" s="642"/>
      <c r="N93" s="641"/>
      <c r="O93" s="641"/>
      <c r="P93" s="641"/>
      <c r="Q93" s="641"/>
      <c r="R93" s="641"/>
      <c r="S93" s="641"/>
      <c r="T93" s="641"/>
      <c r="U93" s="641"/>
      <c r="V93" s="641"/>
      <c r="W93" s="641"/>
      <c r="X93" s="641"/>
      <c r="Y93" s="641"/>
      <c r="Z93" s="641"/>
      <c r="AA93" s="641"/>
      <c r="AB93" s="641"/>
      <c r="AC93" s="641"/>
      <c r="AD93" s="641"/>
      <c r="AE93" s="641"/>
      <c r="AF93" s="641"/>
      <c r="AG93" s="641"/>
      <c r="AH93" s="641"/>
      <c r="AI93" s="641"/>
      <c r="AJ93" s="643"/>
    </row>
    <row r="94" spans="2:36" ht="15">
      <c r="B94" s="632">
        <v>134</v>
      </c>
      <c r="C94" s="633" t="s">
        <v>240</v>
      </c>
      <c r="D94" s="633" t="s">
        <v>550</v>
      </c>
      <c r="E94" s="634">
        <v>0</v>
      </c>
      <c r="F94" s="634">
        <v>0</v>
      </c>
      <c r="G94" s="633" t="s">
        <v>359</v>
      </c>
      <c r="H94" s="628">
        <v>1541819.19</v>
      </c>
      <c r="I94" s="628">
        <v>292200</v>
      </c>
      <c r="J94" s="635"/>
      <c r="K94" s="635"/>
      <c r="L94" s="635"/>
      <c r="M94" s="636"/>
      <c r="N94" s="635"/>
      <c r="O94" s="635"/>
      <c r="P94" s="635"/>
      <c r="Q94" s="635"/>
      <c r="R94" s="635"/>
      <c r="S94" s="635"/>
      <c r="T94" s="635"/>
      <c r="U94" s="635"/>
      <c r="V94" s="635"/>
      <c r="W94" s="635"/>
      <c r="X94" s="635"/>
      <c r="Y94" s="635"/>
      <c r="Z94" s="635"/>
      <c r="AA94" s="635"/>
      <c r="AB94" s="635"/>
      <c r="AC94" s="635"/>
      <c r="AD94" s="635"/>
      <c r="AE94" s="635"/>
      <c r="AF94" s="635"/>
      <c r="AG94" s="635"/>
      <c r="AH94" s="635"/>
      <c r="AI94" s="635"/>
      <c r="AJ94" s="637"/>
    </row>
    <row r="95" spans="2:36" ht="15">
      <c r="B95" s="638">
        <v>94</v>
      </c>
      <c r="C95" s="639" t="s">
        <v>193</v>
      </c>
      <c r="D95" s="639" t="s">
        <v>392</v>
      </c>
      <c r="E95" s="640">
        <v>67812.5</v>
      </c>
      <c r="F95" s="640">
        <v>0</v>
      </c>
      <c r="G95" s="639" t="s">
        <v>393</v>
      </c>
      <c r="H95" s="629">
        <v>833301.16999999993</v>
      </c>
      <c r="I95" s="629">
        <v>458390</v>
      </c>
      <c r="J95" s="641"/>
      <c r="K95" s="641"/>
      <c r="L95" s="641"/>
      <c r="M95" s="642">
        <v>350</v>
      </c>
      <c r="N95" s="641"/>
      <c r="O95" s="641"/>
      <c r="P95" s="641"/>
      <c r="Q95" s="641"/>
      <c r="R95" s="641"/>
      <c r="S95" s="641"/>
      <c r="T95" s="641"/>
      <c r="U95" s="641"/>
      <c r="V95" s="641"/>
      <c r="W95" s="641"/>
      <c r="X95" s="641"/>
      <c r="Y95" s="641"/>
      <c r="Z95" s="641"/>
      <c r="AA95" s="641"/>
      <c r="AB95" s="641"/>
      <c r="AC95" s="641"/>
      <c r="AD95" s="641"/>
      <c r="AE95" s="641"/>
      <c r="AF95" s="641"/>
      <c r="AG95" s="641"/>
      <c r="AH95" s="641"/>
      <c r="AI95" s="641"/>
      <c r="AJ95" s="643"/>
    </row>
    <row r="96" spans="2:36" ht="15">
      <c r="B96" s="632">
        <v>15</v>
      </c>
      <c r="C96" s="633" t="s">
        <v>100</v>
      </c>
      <c r="D96" s="633" t="s">
        <v>332</v>
      </c>
      <c r="E96" s="634">
        <v>0</v>
      </c>
      <c r="F96" s="634">
        <v>0</v>
      </c>
      <c r="G96" s="633" t="s">
        <v>329</v>
      </c>
      <c r="H96" s="628">
        <v>279420.5</v>
      </c>
      <c r="I96" s="628">
        <v>79400</v>
      </c>
      <c r="J96" s="635"/>
      <c r="K96" s="635"/>
      <c r="L96" s="635"/>
      <c r="M96" s="636"/>
      <c r="N96" s="635"/>
      <c r="O96" s="635"/>
      <c r="P96" s="635"/>
      <c r="Q96" s="635"/>
      <c r="R96" s="635"/>
      <c r="S96" s="635"/>
      <c r="T96" s="635"/>
      <c r="U96" s="635"/>
      <c r="V96" s="635"/>
      <c r="W96" s="635"/>
      <c r="X96" s="635"/>
      <c r="Y96" s="635"/>
      <c r="Z96" s="635"/>
      <c r="AA96" s="635"/>
      <c r="AB96" s="635"/>
      <c r="AC96" s="635"/>
      <c r="AD96" s="635"/>
      <c r="AE96" s="635"/>
      <c r="AF96" s="635"/>
      <c r="AG96" s="635"/>
      <c r="AH96" s="635"/>
      <c r="AI96" s="635"/>
      <c r="AJ96" s="637"/>
    </row>
    <row r="97" spans="2:36" ht="15">
      <c r="B97" s="638">
        <v>62</v>
      </c>
      <c r="C97" s="639" t="s">
        <v>37</v>
      </c>
      <c r="D97" s="639" t="s">
        <v>357</v>
      </c>
      <c r="E97" s="640">
        <v>0</v>
      </c>
      <c r="F97" s="640">
        <v>0</v>
      </c>
      <c r="G97" s="639" t="s">
        <v>356</v>
      </c>
      <c r="H97" s="629">
        <v>0</v>
      </c>
      <c r="I97" s="629">
        <v>0</v>
      </c>
      <c r="J97" s="641"/>
      <c r="K97" s="641"/>
      <c r="L97" s="641"/>
      <c r="M97" s="642"/>
      <c r="N97" s="641"/>
      <c r="O97" s="641"/>
      <c r="P97" s="641"/>
      <c r="Q97" s="641"/>
      <c r="R97" s="641"/>
      <c r="S97" s="641"/>
      <c r="T97" s="641"/>
      <c r="U97" s="641"/>
      <c r="V97" s="641"/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1"/>
      <c r="AJ97" s="643"/>
    </row>
    <row r="98" spans="2:36" ht="15">
      <c r="B98" s="632">
        <v>96</v>
      </c>
      <c r="C98" s="633" t="s">
        <v>45</v>
      </c>
      <c r="D98" s="633" t="s">
        <v>461</v>
      </c>
      <c r="E98" s="634">
        <v>479646.75800000003</v>
      </c>
      <c r="F98" s="634">
        <v>355200</v>
      </c>
      <c r="G98" s="633" t="s">
        <v>462</v>
      </c>
      <c r="H98" s="628">
        <v>663506.88300000003</v>
      </c>
      <c r="I98" s="628">
        <v>355200</v>
      </c>
      <c r="J98" s="635">
        <v>0.8</v>
      </c>
      <c r="K98" s="635"/>
      <c r="L98" s="635"/>
      <c r="M98" s="636">
        <v>376</v>
      </c>
      <c r="N98" s="635"/>
      <c r="O98" s="635"/>
      <c r="P98" s="635">
        <v>0.6</v>
      </c>
      <c r="Q98" s="635"/>
      <c r="R98" s="635"/>
      <c r="S98" s="635"/>
      <c r="T98" s="635">
        <v>0.8</v>
      </c>
      <c r="U98" s="635">
        <v>0.8</v>
      </c>
      <c r="V98" s="635"/>
      <c r="W98" s="635"/>
      <c r="X98" s="635"/>
      <c r="Y98" s="635"/>
      <c r="Z98" s="635">
        <v>0.8</v>
      </c>
      <c r="AA98" s="635"/>
      <c r="AB98" s="635"/>
      <c r="AC98" s="635"/>
      <c r="AD98" s="635"/>
      <c r="AE98" s="635">
        <v>0.8</v>
      </c>
      <c r="AF98" s="635">
        <v>0.8</v>
      </c>
      <c r="AG98" s="635"/>
      <c r="AH98" s="635"/>
      <c r="AI98" s="635"/>
      <c r="AJ98" s="637"/>
    </row>
    <row r="99" spans="2:36" ht="15">
      <c r="B99" s="638">
        <v>16</v>
      </c>
      <c r="C99" s="639" t="s">
        <v>101</v>
      </c>
      <c r="D99" s="639" t="s">
        <v>331</v>
      </c>
      <c r="E99" s="640">
        <v>0</v>
      </c>
      <c r="F99" s="640">
        <v>0</v>
      </c>
      <c r="G99" s="639" t="s">
        <v>329</v>
      </c>
      <c r="H99" s="629">
        <v>279420.5</v>
      </c>
      <c r="I99" s="629">
        <v>79400</v>
      </c>
      <c r="J99" s="641"/>
      <c r="K99" s="641"/>
      <c r="L99" s="641"/>
      <c r="M99" s="642"/>
      <c r="N99" s="641"/>
      <c r="O99" s="641"/>
      <c r="P99" s="641"/>
      <c r="Q99" s="641"/>
      <c r="R99" s="641"/>
      <c r="S99" s="641"/>
      <c r="T99" s="641"/>
      <c r="U99" s="641"/>
      <c r="V99" s="641"/>
      <c r="W99" s="641"/>
      <c r="X99" s="641"/>
      <c r="Y99" s="641"/>
      <c r="Z99" s="641"/>
      <c r="AA99" s="641"/>
      <c r="AB99" s="641"/>
      <c r="AC99" s="641"/>
      <c r="AD99" s="641"/>
      <c r="AE99" s="641"/>
      <c r="AF99" s="641"/>
      <c r="AG99" s="641"/>
      <c r="AH99" s="641"/>
      <c r="AI99" s="641"/>
      <c r="AJ99" s="643"/>
    </row>
    <row r="100" spans="2:36" ht="15">
      <c r="B100" s="632">
        <v>17</v>
      </c>
      <c r="C100" s="633" t="s">
        <v>102</v>
      </c>
      <c r="D100" s="633" t="s">
        <v>558</v>
      </c>
      <c r="E100" s="634">
        <v>0</v>
      </c>
      <c r="F100" s="634">
        <v>0</v>
      </c>
      <c r="G100" s="633" t="s">
        <v>329</v>
      </c>
      <c r="H100" s="628">
        <v>279420.5</v>
      </c>
      <c r="I100" s="628">
        <v>79400</v>
      </c>
      <c r="J100" s="635"/>
      <c r="K100" s="635"/>
      <c r="L100" s="635"/>
      <c r="M100" s="636"/>
      <c r="N100" s="635"/>
      <c r="O100" s="635"/>
      <c r="P100" s="635"/>
      <c r="Q100" s="635"/>
      <c r="R100" s="635"/>
      <c r="S100" s="635"/>
      <c r="T100" s="635"/>
      <c r="U100" s="635"/>
      <c r="V100" s="635"/>
      <c r="W100" s="635"/>
      <c r="X100" s="635"/>
      <c r="Y100" s="635"/>
      <c r="Z100" s="635"/>
      <c r="AA100" s="635"/>
      <c r="AB100" s="635"/>
      <c r="AC100" s="635"/>
      <c r="AD100" s="635"/>
      <c r="AE100" s="635"/>
      <c r="AF100" s="635"/>
      <c r="AG100" s="635"/>
      <c r="AH100" s="635"/>
      <c r="AI100" s="635"/>
      <c r="AJ100" s="637"/>
    </row>
    <row r="101" spans="2:36" ht="15">
      <c r="B101" s="632">
        <v>97</v>
      </c>
      <c r="C101" s="633" t="s">
        <v>197</v>
      </c>
      <c r="D101" s="633" t="s">
        <v>395</v>
      </c>
      <c r="E101" s="634">
        <v>496545.57</v>
      </c>
      <c r="F101" s="634">
        <v>458390</v>
      </c>
      <c r="G101" s="633" t="s">
        <v>393</v>
      </c>
      <c r="H101" s="629">
        <v>833301.16999999993</v>
      </c>
      <c r="I101" s="629">
        <v>458390</v>
      </c>
      <c r="J101" s="641">
        <v>0.9</v>
      </c>
      <c r="K101" s="641"/>
      <c r="L101" s="641"/>
      <c r="M101" s="642">
        <v>760</v>
      </c>
      <c r="N101" s="641"/>
      <c r="O101" s="641"/>
      <c r="P101" s="641"/>
      <c r="Q101" s="641"/>
      <c r="R101" s="641"/>
      <c r="S101" s="641"/>
      <c r="T101" s="641">
        <v>1</v>
      </c>
      <c r="U101" s="641">
        <v>1</v>
      </c>
      <c r="V101" s="641"/>
      <c r="W101" s="641"/>
      <c r="X101" s="641"/>
      <c r="Y101" s="641"/>
      <c r="Z101" s="641">
        <v>0.7</v>
      </c>
      <c r="AA101" s="641"/>
      <c r="AB101" s="641"/>
      <c r="AC101" s="641"/>
      <c r="AD101" s="641">
        <v>0.7</v>
      </c>
      <c r="AE101" s="641">
        <v>0.5</v>
      </c>
      <c r="AF101" s="641">
        <v>0.5</v>
      </c>
      <c r="AG101" s="641">
        <v>0.5</v>
      </c>
      <c r="AH101" s="641">
        <v>0.5</v>
      </c>
      <c r="AI101" s="641">
        <v>0.5</v>
      </c>
      <c r="AJ101" s="643">
        <v>0.5</v>
      </c>
    </row>
    <row r="102" spans="2:36" ht="15">
      <c r="B102" s="632">
        <v>98</v>
      </c>
      <c r="C102" s="633" t="s">
        <v>47</v>
      </c>
      <c r="D102" s="633" t="s">
        <v>565</v>
      </c>
      <c r="E102" s="634">
        <v>0</v>
      </c>
      <c r="F102" s="634">
        <v>132000</v>
      </c>
      <c r="G102" s="633" t="s">
        <v>399</v>
      </c>
      <c r="H102" s="628">
        <v>0</v>
      </c>
      <c r="I102" s="628">
        <v>132000</v>
      </c>
      <c r="J102" s="635"/>
      <c r="K102" s="635"/>
      <c r="L102" s="635"/>
      <c r="M102" s="636"/>
      <c r="N102" s="635"/>
      <c r="O102" s="635"/>
      <c r="P102" s="635"/>
      <c r="Q102" s="635"/>
      <c r="R102" s="635"/>
      <c r="S102" s="635"/>
      <c r="T102" s="635"/>
      <c r="U102" s="635"/>
      <c r="V102" s="635"/>
      <c r="W102" s="635"/>
      <c r="X102" s="635"/>
      <c r="Y102" s="635"/>
      <c r="Z102" s="635"/>
      <c r="AA102" s="635"/>
      <c r="AB102" s="635"/>
      <c r="AC102" s="635"/>
      <c r="AD102" s="635"/>
      <c r="AE102" s="635">
        <v>0.5</v>
      </c>
      <c r="AF102" s="635"/>
      <c r="AG102" s="635"/>
      <c r="AH102" s="635"/>
      <c r="AI102" s="635"/>
      <c r="AJ102" s="637"/>
    </row>
    <row r="103" spans="2:36" ht="15">
      <c r="B103" s="632">
        <v>99</v>
      </c>
      <c r="C103" s="633" t="s">
        <v>200</v>
      </c>
      <c r="D103" s="633" t="s">
        <v>507</v>
      </c>
      <c r="E103" s="634">
        <v>186000</v>
      </c>
      <c r="F103" s="634">
        <v>0</v>
      </c>
      <c r="G103" s="633" t="s">
        <v>398</v>
      </c>
      <c r="H103" s="629">
        <v>186000</v>
      </c>
      <c r="I103" s="629">
        <v>535850</v>
      </c>
      <c r="J103" s="641"/>
      <c r="K103" s="641"/>
      <c r="L103" s="641"/>
      <c r="M103" s="642">
        <v>960</v>
      </c>
      <c r="N103" s="641"/>
      <c r="O103" s="641"/>
      <c r="P103" s="641"/>
      <c r="Q103" s="641"/>
      <c r="R103" s="641"/>
      <c r="S103" s="641"/>
      <c r="T103" s="641"/>
      <c r="U103" s="641"/>
      <c r="V103" s="641"/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3"/>
    </row>
    <row r="104" spans="2:36" ht="15">
      <c r="B104" s="632">
        <v>140</v>
      </c>
      <c r="C104" s="633" t="s">
        <v>150</v>
      </c>
      <c r="D104" s="633" t="s">
        <v>569</v>
      </c>
      <c r="E104" s="634">
        <v>0</v>
      </c>
      <c r="F104" s="634">
        <v>0</v>
      </c>
      <c r="G104" s="633" t="s">
        <v>448</v>
      </c>
      <c r="H104" s="628">
        <v>784126.16599999997</v>
      </c>
      <c r="I104" s="628">
        <v>24250</v>
      </c>
      <c r="J104" s="635"/>
      <c r="K104" s="635"/>
      <c r="L104" s="635"/>
      <c r="M104" s="636"/>
      <c r="N104" s="635"/>
      <c r="O104" s="635"/>
      <c r="P104" s="635"/>
      <c r="Q104" s="635"/>
      <c r="R104" s="635"/>
      <c r="S104" s="635"/>
      <c r="T104" s="635"/>
      <c r="U104" s="635"/>
      <c r="V104" s="635"/>
      <c r="W104" s="635"/>
      <c r="X104" s="635"/>
      <c r="Y104" s="635"/>
      <c r="Z104" s="635"/>
      <c r="AA104" s="635"/>
      <c r="AB104" s="635"/>
      <c r="AC104" s="635"/>
      <c r="AD104" s="635"/>
      <c r="AE104" s="635"/>
      <c r="AF104" s="635"/>
      <c r="AG104" s="635"/>
      <c r="AH104" s="635"/>
      <c r="AI104" s="635"/>
      <c r="AJ104" s="637"/>
    </row>
    <row r="105" spans="2:36" ht="15">
      <c r="B105" s="632">
        <v>145</v>
      </c>
      <c r="C105" s="633" t="s">
        <v>162</v>
      </c>
      <c r="D105" s="633" t="s">
        <v>564</v>
      </c>
      <c r="E105" s="634">
        <v>0</v>
      </c>
      <c r="F105" s="634">
        <v>0</v>
      </c>
      <c r="G105" s="633" t="s">
        <v>367</v>
      </c>
      <c r="H105" s="629">
        <v>464130.25</v>
      </c>
      <c r="I105" s="629">
        <v>115940</v>
      </c>
      <c r="J105" s="641"/>
      <c r="K105" s="641"/>
      <c r="L105" s="641"/>
      <c r="M105" s="642"/>
      <c r="N105" s="641"/>
      <c r="O105" s="641"/>
      <c r="P105" s="641"/>
      <c r="Q105" s="641"/>
      <c r="R105" s="641"/>
      <c r="S105" s="641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3"/>
    </row>
    <row r="106" spans="2:36" ht="15">
      <c r="B106" s="632">
        <v>154</v>
      </c>
      <c r="C106" s="633" t="s">
        <v>240</v>
      </c>
      <c r="D106" s="633" t="s">
        <v>464</v>
      </c>
      <c r="E106" s="634">
        <v>471954.413</v>
      </c>
      <c r="F106" s="634">
        <v>79380</v>
      </c>
      <c r="G106" s="633" t="s">
        <v>465</v>
      </c>
      <c r="H106" s="628">
        <v>471954.413</v>
      </c>
      <c r="I106" s="628">
        <v>79380</v>
      </c>
      <c r="J106" s="635">
        <v>0.9</v>
      </c>
      <c r="K106" s="635"/>
      <c r="L106" s="635"/>
      <c r="M106" s="636">
        <v>224</v>
      </c>
      <c r="N106" s="635"/>
      <c r="O106" s="635"/>
      <c r="P106" s="635"/>
      <c r="Q106" s="635"/>
      <c r="R106" s="635"/>
      <c r="S106" s="635"/>
      <c r="T106" s="635">
        <v>0.9</v>
      </c>
      <c r="U106" s="635">
        <v>0.9</v>
      </c>
      <c r="V106" s="635"/>
      <c r="W106" s="635"/>
      <c r="X106" s="635"/>
      <c r="Y106" s="635"/>
      <c r="Z106" s="635">
        <v>0.9</v>
      </c>
      <c r="AA106" s="635"/>
      <c r="AB106" s="635"/>
      <c r="AC106" s="635"/>
      <c r="AD106" s="635">
        <v>0.9</v>
      </c>
      <c r="AE106" s="635"/>
      <c r="AF106" s="635"/>
      <c r="AG106" s="635"/>
      <c r="AH106" s="635"/>
      <c r="AI106" s="635">
        <v>0.9</v>
      </c>
      <c r="AJ106" s="637"/>
    </row>
    <row r="107" spans="2:36" ht="15">
      <c r="B107" s="632">
        <v>101</v>
      </c>
      <c r="C107" s="633" t="s">
        <v>203</v>
      </c>
      <c r="D107" s="633" t="s">
        <v>521</v>
      </c>
      <c r="E107" s="634">
        <v>169420.65</v>
      </c>
      <c r="F107" s="634">
        <v>68800</v>
      </c>
      <c r="G107" s="633" t="s">
        <v>410</v>
      </c>
      <c r="H107" s="629">
        <v>966277.84827791562</v>
      </c>
      <c r="I107" s="629">
        <v>429080</v>
      </c>
      <c r="J107" s="641">
        <v>1.6</v>
      </c>
      <c r="K107" s="641">
        <v>1.6</v>
      </c>
      <c r="L107" s="641"/>
      <c r="M107" s="642">
        <v>150</v>
      </c>
      <c r="N107" s="641"/>
      <c r="O107" s="641"/>
      <c r="P107" s="641"/>
      <c r="Q107" s="641"/>
      <c r="R107" s="641"/>
      <c r="S107" s="641"/>
      <c r="T107" s="641"/>
      <c r="U107" s="641">
        <v>0.6</v>
      </c>
      <c r="V107" s="641"/>
      <c r="W107" s="641"/>
      <c r="X107" s="641"/>
      <c r="Y107" s="641"/>
      <c r="Z107" s="641"/>
      <c r="AA107" s="641"/>
      <c r="AB107" s="641"/>
      <c r="AC107" s="641"/>
      <c r="AD107" s="641">
        <v>1</v>
      </c>
      <c r="AE107" s="641"/>
      <c r="AF107" s="641"/>
      <c r="AG107" s="641"/>
      <c r="AH107" s="641"/>
      <c r="AI107" s="641">
        <v>0.6</v>
      </c>
      <c r="AJ107" s="643"/>
    </row>
    <row r="108" spans="2:36" ht="15">
      <c r="B108" s="632">
        <v>102</v>
      </c>
      <c r="C108" s="633" t="s">
        <v>204</v>
      </c>
      <c r="D108" s="633" t="s">
        <v>435</v>
      </c>
      <c r="E108" s="634">
        <v>168762.5</v>
      </c>
      <c r="F108" s="634">
        <v>0</v>
      </c>
      <c r="G108" s="633" t="s">
        <v>433</v>
      </c>
      <c r="H108" s="628">
        <v>324274.33810421836</v>
      </c>
      <c r="I108" s="628">
        <v>94840</v>
      </c>
      <c r="J108" s="635"/>
      <c r="K108" s="635"/>
      <c r="L108" s="635"/>
      <c r="M108" s="636">
        <v>150</v>
      </c>
      <c r="N108" s="635"/>
      <c r="O108" s="635"/>
      <c r="P108" s="635"/>
      <c r="Q108" s="635"/>
      <c r="R108" s="635"/>
      <c r="S108" s="635"/>
      <c r="T108" s="635"/>
      <c r="U108" s="635"/>
      <c r="V108" s="635"/>
      <c r="W108" s="635"/>
      <c r="X108" s="635"/>
      <c r="Y108" s="635"/>
      <c r="Z108" s="635"/>
      <c r="AA108" s="635"/>
      <c r="AB108" s="635">
        <v>0.5</v>
      </c>
      <c r="AC108" s="635"/>
      <c r="AD108" s="635"/>
      <c r="AE108" s="635"/>
      <c r="AF108" s="635"/>
      <c r="AG108" s="635"/>
      <c r="AH108" s="635"/>
      <c r="AI108" s="635"/>
      <c r="AJ108" s="637"/>
    </row>
    <row r="109" spans="2:36" ht="15">
      <c r="B109" s="632">
        <v>103</v>
      </c>
      <c r="C109" s="633" t="s">
        <v>205</v>
      </c>
      <c r="D109" s="633" t="s">
        <v>376</v>
      </c>
      <c r="E109" s="634">
        <v>491720.25</v>
      </c>
      <c r="F109" s="634">
        <v>31760</v>
      </c>
      <c r="G109" s="633" t="s">
        <v>377</v>
      </c>
      <c r="H109" s="629">
        <v>513269.83500000002</v>
      </c>
      <c r="I109" s="629">
        <v>238750</v>
      </c>
      <c r="J109" s="641"/>
      <c r="K109" s="641"/>
      <c r="L109" s="641"/>
      <c r="M109" s="642">
        <v>1000</v>
      </c>
      <c r="N109" s="641"/>
      <c r="O109" s="641"/>
      <c r="P109" s="641"/>
      <c r="Q109" s="641"/>
      <c r="R109" s="641"/>
      <c r="S109" s="641"/>
      <c r="T109" s="641"/>
      <c r="U109" s="641">
        <v>1</v>
      </c>
      <c r="V109" s="641"/>
      <c r="W109" s="641"/>
      <c r="X109" s="641"/>
      <c r="Y109" s="641"/>
      <c r="Z109" s="641"/>
      <c r="AA109" s="641"/>
      <c r="AB109" s="641">
        <v>1</v>
      </c>
      <c r="AC109" s="641"/>
      <c r="AD109" s="641">
        <v>0.8</v>
      </c>
      <c r="AE109" s="641"/>
      <c r="AF109" s="641"/>
      <c r="AG109" s="641"/>
      <c r="AH109" s="641"/>
      <c r="AI109" s="641"/>
      <c r="AJ109" s="643"/>
    </row>
    <row r="110" spans="2:36" ht="15">
      <c r="B110" s="632">
        <v>115</v>
      </c>
      <c r="C110" s="633" t="s">
        <v>220</v>
      </c>
      <c r="D110" s="633" t="s">
        <v>566</v>
      </c>
      <c r="E110" s="634">
        <v>683378.4</v>
      </c>
      <c r="F110" s="634">
        <v>0</v>
      </c>
      <c r="G110" s="633" t="s">
        <v>428</v>
      </c>
      <c r="H110" s="628">
        <v>1257661.3560000001</v>
      </c>
      <c r="I110" s="628">
        <v>0</v>
      </c>
      <c r="J110" s="635">
        <v>1.2</v>
      </c>
      <c r="K110" s="635"/>
      <c r="L110" s="635"/>
      <c r="M110" s="636">
        <v>600</v>
      </c>
      <c r="N110" s="635"/>
      <c r="O110" s="635"/>
      <c r="P110" s="635"/>
      <c r="Q110" s="635"/>
      <c r="R110" s="635"/>
      <c r="S110" s="635"/>
      <c r="T110" s="635"/>
      <c r="U110" s="635">
        <v>1.6</v>
      </c>
      <c r="V110" s="635"/>
      <c r="W110" s="635"/>
      <c r="X110" s="635"/>
      <c r="Y110" s="635">
        <v>0.8</v>
      </c>
      <c r="Z110" s="635"/>
      <c r="AA110" s="635"/>
      <c r="AB110" s="635"/>
      <c r="AC110" s="635"/>
      <c r="AD110" s="635"/>
      <c r="AE110" s="635"/>
      <c r="AF110" s="635"/>
      <c r="AG110" s="635"/>
      <c r="AH110" s="635"/>
      <c r="AI110" s="635"/>
      <c r="AJ110" s="637"/>
    </row>
    <row r="111" spans="2:36" ht="15">
      <c r="B111" s="638">
        <v>104</v>
      </c>
      <c r="C111" s="639" t="s">
        <v>206</v>
      </c>
      <c r="D111" s="639" t="s">
        <v>445</v>
      </c>
      <c r="E111" s="640">
        <v>178047.625</v>
      </c>
      <c r="F111" s="640">
        <v>55140</v>
      </c>
      <c r="G111" s="639" t="s">
        <v>443</v>
      </c>
      <c r="H111" s="629">
        <v>768103.66</v>
      </c>
      <c r="I111" s="629">
        <v>110280</v>
      </c>
      <c r="J111" s="641"/>
      <c r="K111" s="641"/>
      <c r="L111" s="641"/>
      <c r="M111" s="642">
        <v>150</v>
      </c>
      <c r="N111" s="641"/>
      <c r="O111" s="641"/>
      <c r="P111" s="641"/>
      <c r="Q111" s="641"/>
      <c r="R111" s="641"/>
      <c r="S111" s="641"/>
      <c r="T111" s="641"/>
      <c r="U111" s="641">
        <v>0.5</v>
      </c>
      <c r="V111" s="641"/>
      <c r="W111" s="641"/>
      <c r="X111" s="641"/>
      <c r="Y111" s="641"/>
      <c r="Z111" s="641"/>
      <c r="AA111" s="641"/>
      <c r="AB111" s="641">
        <v>0.5</v>
      </c>
      <c r="AC111" s="641"/>
      <c r="AD111" s="641"/>
      <c r="AE111" s="641"/>
      <c r="AF111" s="641"/>
      <c r="AG111" s="641">
        <v>0.6</v>
      </c>
      <c r="AH111" s="641"/>
      <c r="AI111" s="641"/>
      <c r="AJ111" s="643"/>
    </row>
    <row r="112" spans="2:36" ht="15">
      <c r="B112" s="632">
        <v>105</v>
      </c>
      <c r="C112" s="633" t="s">
        <v>207</v>
      </c>
      <c r="D112" s="633" t="s">
        <v>337</v>
      </c>
      <c r="E112" s="634">
        <v>0</v>
      </c>
      <c r="F112" s="634">
        <v>0</v>
      </c>
      <c r="G112" s="633" t="s">
        <v>329</v>
      </c>
      <c r="H112" s="628">
        <v>279420.5</v>
      </c>
      <c r="I112" s="628">
        <v>79400</v>
      </c>
      <c r="J112" s="635"/>
      <c r="K112" s="635"/>
      <c r="L112" s="635"/>
      <c r="M112" s="636"/>
      <c r="N112" s="635"/>
      <c r="O112" s="635"/>
      <c r="P112" s="635"/>
      <c r="Q112" s="635"/>
      <c r="R112" s="635"/>
      <c r="S112" s="635"/>
      <c r="T112" s="635"/>
      <c r="U112" s="635"/>
      <c r="V112" s="635"/>
      <c r="W112" s="635"/>
      <c r="X112" s="635"/>
      <c r="Y112" s="635"/>
      <c r="Z112" s="635"/>
      <c r="AA112" s="635"/>
      <c r="AB112" s="635"/>
      <c r="AC112" s="635"/>
      <c r="AD112" s="635"/>
      <c r="AE112" s="635"/>
      <c r="AF112" s="635"/>
      <c r="AG112" s="635"/>
      <c r="AH112" s="635"/>
      <c r="AI112" s="635"/>
      <c r="AJ112" s="637"/>
    </row>
    <row r="113" spans="2:36" ht="15">
      <c r="B113" s="638">
        <v>106</v>
      </c>
      <c r="C113" s="639" t="s">
        <v>49</v>
      </c>
      <c r="D113" s="639" t="s">
        <v>368</v>
      </c>
      <c r="E113" s="640">
        <v>0</v>
      </c>
      <c r="F113" s="640">
        <v>0</v>
      </c>
      <c r="G113" s="639" t="s">
        <v>367</v>
      </c>
      <c r="H113" s="629">
        <v>464130.25</v>
      </c>
      <c r="I113" s="629">
        <v>115940</v>
      </c>
      <c r="J113" s="641"/>
      <c r="K113" s="641"/>
      <c r="L113" s="641"/>
      <c r="M113" s="642"/>
      <c r="N113" s="641"/>
      <c r="O113" s="641"/>
      <c r="P113" s="641"/>
      <c r="Q113" s="641"/>
      <c r="R113" s="641"/>
      <c r="S113" s="641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3"/>
    </row>
    <row r="114" spans="2:36" ht="15">
      <c r="B114" s="632">
        <v>107</v>
      </c>
      <c r="C114" s="633" t="s">
        <v>209</v>
      </c>
      <c r="D114" s="633" t="s">
        <v>560</v>
      </c>
      <c r="E114" s="634">
        <v>0</v>
      </c>
      <c r="F114" s="634">
        <v>0</v>
      </c>
      <c r="G114" s="633" t="s">
        <v>329</v>
      </c>
      <c r="H114" s="628">
        <v>279420.5</v>
      </c>
      <c r="I114" s="628">
        <v>79400</v>
      </c>
      <c r="J114" s="635"/>
      <c r="K114" s="635"/>
      <c r="L114" s="635"/>
      <c r="M114" s="636"/>
      <c r="N114" s="635"/>
      <c r="O114" s="635"/>
      <c r="P114" s="635"/>
      <c r="Q114" s="635"/>
      <c r="R114" s="635"/>
      <c r="S114" s="635"/>
      <c r="T114" s="635"/>
      <c r="U114" s="635"/>
      <c r="V114" s="635"/>
      <c r="W114" s="635"/>
      <c r="X114" s="635"/>
      <c r="Y114" s="635"/>
      <c r="Z114" s="635"/>
      <c r="AA114" s="635"/>
      <c r="AB114" s="635"/>
      <c r="AC114" s="635"/>
      <c r="AD114" s="635"/>
      <c r="AE114" s="635"/>
      <c r="AF114" s="635"/>
      <c r="AG114" s="635"/>
      <c r="AH114" s="635"/>
      <c r="AI114" s="635"/>
      <c r="AJ114" s="637"/>
    </row>
    <row r="115" spans="2:36" ht="15">
      <c r="B115" s="638">
        <v>108</v>
      </c>
      <c r="C115" s="639" t="s">
        <v>210</v>
      </c>
      <c r="D115" s="639" t="s">
        <v>567</v>
      </c>
      <c r="E115" s="640">
        <v>0</v>
      </c>
      <c r="F115" s="640">
        <v>0</v>
      </c>
      <c r="G115" s="639" t="s">
        <v>428</v>
      </c>
      <c r="H115" s="629">
        <v>1257661.3560000001</v>
      </c>
      <c r="I115" s="629">
        <v>0</v>
      </c>
      <c r="J115" s="641"/>
      <c r="K115" s="641"/>
      <c r="L115" s="641"/>
      <c r="M115" s="642"/>
      <c r="N115" s="641"/>
      <c r="O115" s="641"/>
      <c r="P115" s="641"/>
      <c r="Q115" s="641"/>
      <c r="R115" s="641"/>
      <c r="S115" s="641"/>
      <c r="T115" s="641"/>
      <c r="U115" s="641"/>
      <c r="V115" s="641"/>
      <c r="W115" s="641"/>
      <c r="X115" s="641"/>
      <c r="Y115" s="641"/>
      <c r="Z115" s="641"/>
      <c r="AA115" s="641"/>
      <c r="AB115" s="641"/>
      <c r="AC115" s="641"/>
      <c r="AD115" s="641"/>
      <c r="AE115" s="641"/>
      <c r="AF115" s="641"/>
      <c r="AG115" s="641"/>
      <c r="AH115" s="641"/>
      <c r="AI115" s="641"/>
      <c r="AJ115" s="643"/>
    </row>
    <row r="116" spans="2:36" ht="15">
      <c r="B116" s="632">
        <v>52</v>
      </c>
      <c r="C116" s="633" t="s">
        <v>141</v>
      </c>
      <c r="D116" s="633" t="s">
        <v>360</v>
      </c>
      <c r="E116" s="634">
        <v>0</v>
      </c>
      <c r="F116" s="634">
        <v>0</v>
      </c>
      <c r="G116" s="633" t="s">
        <v>359</v>
      </c>
      <c r="H116" s="628">
        <v>1541819.19</v>
      </c>
      <c r="I116" s="628">
        <v>292200</v>
      </c>
      <c r="J116" s="635"/>
      <c r="K116" s="635"/>
      <c r="L116" s="635"/>
      <c r="M116" s="636"/>
      <c r="N116" s="635"/>
      <c r="O116" s="635"/>
      <c r="P116" s="635"/>
      <c r="Q116" s="635"/>
      <c r="R116" s="635"/>
      <c r="S116" s="635"/>
      <c r="T116" s="635"/>
      <c r="U116" s="635"/>
      <c r="V116" s="635"/>
      <c r="W116" s="635"/>
      <c r="X116" s="635"/>
      <c r="Y116" s="635"/>
      <c r="Z116" s="635"/>
      <c r="AA116" s="635"/>
      <c r="AB116" s="635"/>
      <c r="AC116" s="635"/>
      <c r="AD116" s="635"/>
      <c r="AE116" s="635"/>
      <c r="AF116" s="635"/>
      <c r="AG116" s="635"/>
      <c r="AH116" s="635"/>
      <c r="AI116" s="635"/>
      <c r="AJ116" s="637"/>
    </row>
    <row r="117" spans="2:36" ht="15">
      <c r="B117" s="638">
        <v>18</v>
      </c>
      <c r="C117" s="639" t="s">
        <v>103</v>
      </c>
      <c r="D117" s="639" t="s">
        <v>333</v>
      </c>
      <c r="E117" s="640">
        <v>0</v>
      </c>
      <c r="F117" s="640">
        <v>0</v>
      </c>
      <c r="G117" s="639" t="s">
        <v>329</v>
      </c>
      <c r="H117" s="629">
        <v>279420.5</v>
      </c>
      <c r="I117" s="629">
        <v>79400</v>
      </c>
      <c r="J117" s="641"/>
      <c r="K117" s="641"/>
      <c r="L117" s="641"/>
      <c r="M117" s="642"/>
      <c r="N117" s="641"/>
      <c r="O117" s="641"/>
      <c r="P117" s="641"/>
      <c r="Q117" s="641"/>
      <c r="R117" s="641"/>
      <c r="S117" s="641"/>
      <c r="T117" s="641"/>
      <c r="U117" s="641"/>
      <c r="V117" s="641"/>
      <c r="W117" s="641"/>
      <c r="X117" s="641"/>
      <c r="Y117" s="641"/>
      <c r="Z117" s="641"/>
      <c r="AA117" s="641"/>
      <c r="AB117" s="641"/>
      <c r="AC117" s="641"/>
      <c r="AD117" s="641"/>
      <c r="AE117" s="641"/>
      <c r="AF117" s="641"/>
      <c r="AG117" s="641"/>
      <c r="AH117" s="641"/>
      <c r="AI117" s="641"/>
      <c r="AJ117" s="643"/>
    </row>
    <row r="118" spans="2:36" ht="15">
      <c r="B118" s="632">
        <v>110</v>
      </c>
      <c r="C118" s="633" t="s">
        <v>213</v>
      </c>
      <c r="D118" s="633" t="s">
        <v>382</v>
      </c>
      <c r="E118" s="634">
        <v>0</v>
      </c>
      <c r="F118" s="634">
        <v>0</v>
      </c>
      <c r="G118" s="633" t="s">
        <v>381</v>
      </c>
      <c r="H118" s="628">
        <v>884043.53600000008</v>
      </c>
      <c r="I118" s="628">
        <v>280400</v>
      </c>
      <c r="J118" s="635"/>
      <c r="K118" s="635"/>
      <c r="L118" s="635"/>
      <c r="M118" s="636"/>
      <c r="N118" s="635"/>
      <c r="O118" s="635"/>
      <c r="P118" s="635"/>
      <c r="Q118" s="635"/>
      <c r="R118" s="635"/>
      <c r="S118" s="635"/>
      <c r="T118" s="635"/>
      <c r="U118" s="635"/>
      <c r="V118" s="635"/>
      <c r="W118" s="635"/>
      <c r="X118" s="635"/>
      <c r="Y118" s="635"/>
      <c r="Z118" s="635"/>
      <c r="AA118" s="635"/>
      <c r="AB118" s="635"/>
      <c r="AC118" s="635"/>
      <c r="AD118" s="635"/>
      <c r="AE118" s="635"/>
      <c r="AF118" s="635"/>
      <c r="AG118" s="635"/>
      <c r="AH118" s="635"/>
      <c r="AI118" s="635"/>
      <c r="AJ118" s="637"/>
    </row>
    <row r="119" spans="2:36" ht="15">
      <c r="B119" s="632">
        <v>71</v>
      </c>
      <c r="C119" s="633" t="s">
        <v>164</v>
      </c>
      <c r="D119" s="633" t="s">
        <v>419</v>
      </c>
      <c r="E119" s="634">
        <v>0</v>
      </c>
      <c r="F119" s="634">
        <v>0</v>
      </c>
      <c r="G119" s="633" t="s">
        <v>416</v>
      </c>
      <c r="H119" s="629">
        <v>0</v>
      </c>
      <c r="I119" s="629">
        <v>0</v>
      </c>
      <c r="J119" s="641"/>
      <c r="K119" s="641"/>
      <c r="L119" s="641"/>
      <c r="M119" s="642"/>
      <c r="N119" s="641"/>
      <c r="O119" s="641"/>
      <c r="P119" s="641"/>
      <c r="Q119" s="641"/>
      <c r="R119" s="641"/>
      <c r="S119" s="641"/>
      <c r="T119" s="641"/>
      <c r="U119" s="641"/>
      <c r="V119" s="641"/>
      <c r="W119" s="641"/>
      <c r="X119" s="641"/>
      <c r="Y119" s="641"/>
      <c r="Z119" s="641"/>
      <c r="AA119" s="641"/>
      <c r="AB119" s="641"/>
      <c r="AC119" s="641"/>
      <c r="AD119" s="641"/>
      <c r="AE119" s="641"/>
      <c r="AF119" s="641"/>
      <c r="AG119" s="641"/>
      <c r="AH119" s="641"/>
      <c r="AI119" s="641"/>
      <c r="AJ119" s="643"/>
    </row>
    <row r="120" spans="2:36" ht="15">
      <c r="B120" s="632">
        <v>111</v>
      </c>
      <c r="C120" s="633" t="s">
        <v>214</v>
      </c>
      <c r="D120" s="633" t="s">
        <v>391</v>
      </c>
      <c r="E120" s="634">
        <v>0</v>
      </c>
      <c r="F120" s="634">
        <v>55140</v>
      </c>
      <c r="G120" s="633" t="s">
        <v>390</v>
      </c>
      <c r="H120" s="628">
        <v>0</v>
      </c>
      <c r="I120" s="628">
        <v>187140</v>
      </c>
      <c r="J120" s="635"/>
      <c r="K120" s="635"/>
      <c r="L120" s="635"/>
      <c r="M120" s="636"/>
      <c r="N120" s="635"/>
      <c r="O120" s="635"/>
      <c r="P120" s="635"/>
      <c r="Q120" s="635"/>
      <c r="R120" s="635"/>
      <c r="S120" s="635"/>
      <c r="T120" s="635"/>
      <c r="U120" s="635"/>
      <c r="V120" s="635"/>
      <c r="W120" s="635"/>
      <c r="X120" s="635"/>
      <c r="Y120" s="635"/>
      <c r="Z120" s="635"/>
      <c r="AA120" s="635"/>
      <c r="AB120" s="635"/>
      <c r="AC120" s="635"/>
      <c r="AD120" s="635"/>
      <c r="AE120" s="635"/>
      <c r="AF120" s="635"/>
      <c r="AG120" s="635">
        <v>0.6</v>
      </c>
      <c r="AH120" s="635"/>
      <c r="AI120" s="635"/>
      <c r="AJ120" s="637"/>
    </row>
    <row r="121" spans="2:36" ht="15">
      <c r="B121" s="632">
        <v>137</v>
      </c>
      <c r="C121" s="633" t="s">
        <v>115</v>
      </c>
      <c r="D121" s="633" t="s">
        <v>473</v>
      </c>
      <c r="E121" s="634">
        <v>0</v>
      </c>
      <c r="F121" s="634">
        <v>0</v>
      </c>
      <c r="G121" s="633" t="s">
        <v>471</v>
      </c>
      <c r="H121" s="629">
        <v>0</v>
      </c>
      <c r="I121" s="629">
        <v>0</v>
      </c>
      <c r="J121" s="641"/>
      <c r="K121" s="641"/>
      <c r="L121" s="641"/>
      <c r="M121" s="642"/>
      <c r="N121" s="641"/>
      <c r="O121" s="641"/>
      <c r="P121" s="641"/>
      <c r="Q121" s="641"/>
      <c r="R121" s="641"/>
      <c r="S121" s="641"/>
      <c r="T121" s="641"/>
      <c r="U121" s="641"/>
      <c r="V121" s="641"/>
      <c r="W121" s="641"/>
      <c r="X121" s="641"/>
      <c r="Y121" s="641"/>
      <c r="Z121" s="641"/>
      <c r="AA121" s="641"/>
      <c r="AB121" s="641"/>
      <c r="AC121" s="641"/>
      <c r="AD121" s="641"/>
      <c r="AE121" s="641"/>
      <c r="AF121" s="641"/>
      <c r="AG121" s="641"/>
      <c r="AH121" s="641"/>
      <c r="AI121" s="641"/>
      <c r="AJ121" s="643"/>
    </row>
    <row r="122" spans="2:36" ht="15">
      <c r="B122" s="632">
        <v>113</v>
      </c>
      <c r="C122" s="633" t="s">
        <v>217</v>
      </c>
      <c r="D122" s="633" t="s">
        <v>380</v>
      </c>
      <c r="E122" s="634">
        <v>0</v>
      </c>
      <c r="F122" s="634">
        <v>0</v>
      </c>
      <c r="G122" s="633" t="s">
        <v>377</v>
      </c>
      <c r="H122" s="628">
        <v>513269.83500000002</v>
      </c>
      <c r="I122" s="628">
        <v>238750</v>
      </c>
      <c r="J122" s="635"/>
      <c r="K122" s="635"/>
      <c r="L122" s="635"/>
      <c r="M122" s="636"/>
      <c r="N122" s="635"/>
      <c r="O122" s="635"/>
      <c r="P122" s="635"/>
      <c r="Q122" s="635"/>
      <c r="R122" s="635"/>
      <c r="S122" s="635"/>
      <c r="T122" s="635"/>
      <c r="U122" s="635"/>
      <c r="V122" s="635"/>
      <c r="W122" s="635"/>
      <c r="X122" s="635"/>
      <c r="Y122" s="635"/>
      <c r="Z122" s="635"/>
      <c r="AA122" s="635"/>
      <c r="AB122" s="635"/>
      <c r="AC122" s="635"/>
      <c r="AD122" s="635"/>
      <c r="AE122" s="635"/>
      <c r="AF122" s="635"/>
      <c r="AG122" s="635"/>
      <c r="AH122" s="635"/>
      <c r="AI122" s="635"/>
      <c r="AJ122" s="637"/>
    </row>
    <row r="123" spans="2:36" ht="15">
      <c r="B123" s="638">
        <v>114</v>
      </c>
      <c r="C123" s="639" t="s">
        <v>218</v>
      </c>
      <c r="D123" s="639" t="s">
        <v>536</v>
      </c>
      <c r="E123" s="640">
        <v>161504.18517369727</v>
      </c>
      <c r="F123" s="640">
        <v>187140</v>
      </c>
      <c r="G123" s="639" t="s">
        <v>405</v>
      </c>
      <c r="H123" s="629">
        <v>977542.4706253102</v>
      </c>
      <c r="I123" s="629">
        <v>382490</v>
      </c>
      <c r="J123" s="641"/>
      <c r="K123" s="641"/>
      <c r="L123" s="641"/>
      <c r="M123" s="642">
        <v>225</v>
      </c>
      <c r="N123" s="641"/>
      <c r="O123" s="641"/>
      <c r="P123" s="641"/>
      <c r="Q123" s="641"/>
      <c r="R123" s="641"/>
      <c r="S123" s="641"/>
      <c r="T123" s="641"/>
      <c r="U123" s="641">
        <v>0.5</v>
      </c>
      <c r="V123" s="641"/>
      <c r="W123" s="641"/>
      <c r="X123" s="641"/>
      <c r="Y123" s="641"/>
      <c r="Z123" s="641"/>
      <c r="AA123" s="641"/>
      <c r="AB123" s="641"/>
      <c r="AC123" s="641">
        <v>0.5</v>
      </c>
      <c r="AD123" s="641"/>
      <c r="AE123" s="641">
        <v>0.5</v>
      </c>
      <c r="AF123" s="641"/>
      <c r="AG123" s="641">
        <v>0.6</v>
      </c>
      <c r="AH123" s="641"/>
      <c r="AI123" s="641"/>
      <c r="AJ123" s="643"/>
    </row>
    <row r="124" spans="2:36" ht="15">
      <c r="B124" s="632">
        <v>116</v>
      </c>
      <c r="C124" s="633" t="s">
        <v>221</v>
      </c>
      <c r="D124" s="633" t="s">
        <v>404</v>
      </c>
      <c r="E124" s="634">
        <v>152121.26110421837</v>
      </c>
      <c r="F124" s="634">
        <v>79200</v>
      </c>
      <c r="G124" s="633" t="s">
        <v>405</v>
      </c>
      <c r="H124" s="628">
        <v>977542.4706253102</v>
      </c>
      <c r="I124" s="628">
        <v>382490</v>
      </c>
      <c r="J124" s="635"/>
      <c r="K124" s="635"/>
      <c r="L124" s="635"/>
      <c r="M124" s="636">
        <v>420</v>
      </c>
      <c r="N124" s="635"/>
      <c r="O124" s="635"/>
      <c r="P124" s="635"/>
      <c r="Q124" s="635"/>
      <c r="R124" s="635"/>
      <c r="S124" s="635"/>
      <c r="T124" s="635"/>
      <c r="U124" s="635">
        <v>0.3</v>
      </c>
      <c r="V124" s="635"/>
      <c r="W124" s="635"/>
      <c r="X124" s="635"/>
      <c r="Y124" s="635"/>
      <c r="Z124" s="635"/>
      <c r="AA124" s="635"/>
      <c r="AB124" s="635"/>
      <c r="AC124" s="635">
        <v>0.3</v>
      </c>
      <c r="AD124" s="635"/>
      <c r="AE124" s="635">
        <v>0.3</v>
      </c>
      <c r="AF124" s="635"/>
      <c r="AG124" s="635"/>
      <c r="AH124" s="635"/>
      <c r="AI124" s="635"/>
      <c r="AJ124" s="637"/>
    </row>
    <row r="125" spans="2:36" ht="15">
      <c r="B125" s="632">
        <v>117</v>
      </c>
      <c r="C125" s="633" t="s">
        <v>222</v>
      </c>
      <c r="D125" s="633" t="s">
        <v>543</v>
      </c>
      <c r="E125" s="634">
        <v>0</v>
      </c>
      <c r="F125" s="634">
        <v>0</v>
      </c>
      <c r="G125" s="633" t="s">
        <v>471</v>
      </c>
      <c r="H125" s="629">
        <v>0</v>
      </c>
      <c r="I125" s="629">
        <v>0</v>
      </c>
      <c r="J125" s="641"/>
      <c r="K125" s="641"/>
      <c r="L125" s="641"/>
      <c r="M125" s="642"/>
      <c r="N125" s="641"/>
      <c r="O125" s="641"/>
      <c r="P125" s="641"/>
      <c r="Q125" s="641"/>
      <c r="R125" s="641"/>
      <c r="S125" s="641"/>
      <c r="T125" s="641"/>
      <c r="U125" s="641"/>
      <c r="V125" s="641"/>
      <c r="W125" s="641"/>
      <c r="X125" s="641"/>
      <c r="Y125" s="641"/>
      <c r="Z125" s="641"/>
      <c r="AA125" s="641"/>
      <c r="AB125" s="641"/>
      <c r="AC125" s="641"/>
      <c r="AD125" s="641"/>
      <c r="AE125" s="641"/>
      <c r="AF125" s="641"/>
      <c r="AG125" s="641"/>
      <c r="AH125" s="641"/>
      <c r="AI125" s="641"/>
      <c r="AJ125" s="643"/>
    </row>
    <row r="126" spans="2:36" ht="15">
      <c r="B126" s="632">
        <v>118</v>
      </c>
      <c r="C126" s="633" t="s">
        <v>223</v>
      </c>
      <c r="D126" s="633" t="s">
        <v>378</v>
      </c>
      <c r="E126" s="634">
        <v>21549.584999999999</v>
      </c>
      <c r="F126" s="634">
        <v>206990</v>
      </c>
      <c r="G126" s="633" t="s">
        <v>377</v>
      </c>
      <c r="H126" s="628">
        <v>513269.83500000002</v>
      </c>
      <c r="I126" s="628">
        <v>238750</v>
      </c>
      <c r="J126" s="635"/>
      <c r="K126" s="635"/>
      <c r="L126" s="635"/>
      <c r="M126" s="636"/>
      <c r="N126" s="635"/>
      <c r="O126" s="635"/>
      <c r="P126" s="635">
        <v>0.5</v>
      </c>
      <c r="Q126" s="635"/>
      <c r="R126" s="635"/>
      <c r="S126" s="635"/>
      <c r="T126" s="635"/>
      <c r="U126" s="635"/>
      <c r="V126" s="635"/>
      <c r="W126" s="635"/>
      <c r="X126" s="635"/>
      <c r="Y126" s="635"/>
      <c r="Z126" s="635"/>
      <c r="AA126" s="635"/>
      <c r="AB126" s="635"/>
      <c r="AC126" s="635"/>
      <c r="AD126" s="635">
        <v>0.5</v>
      </c>
      <c r="AE126" s="635">
        <v>0.5</v>
      </c>
      <c r="AF126" s="635"/>
      <c r="AG126" s="635">
        <v>0.6</v>
      </c>
      <c r="AH126" s="635"/>
      <c r="AI126" s="635"/>
      <c r="AJ126" s="637"/>
    </row>
    <row r="127" spans="2:36" ht="15">
      <c r="B127" s="632">
        <v>119</v>
      </c>
      <c r="C127" s="633" t="s">
        <v>224</v>
      </c>
      <c r="D127" s="633" t="s">
        <v>523</v>
      </c>
      <c r="E127" s="634">
        <v>453120.57500000001</v>
      </c>
      <c r="F127" s="634">
        <v>0</v>
      </c>
      <c r="G127" s="633" t="s">
        <v>424</v>
      </c>
      <c r="H127" s="629">
        <v>771654.83100000001</v>
      </c>
      <c r="I127" s="629">
        <v>55140</v>
      </c>
      <c r="J127" s="641"/>
      <c r="K127" s="641"/>
      <c r="L127" s="641"/>
      <c r="M127" s="642">
        <v>562.5</v>
      </c>
      <c r="N127" s="641"/>
      <c r="O127" s="641"/>
      <c r="P127" s="641"/>
      <c r="Q127" s="641"/>
      <c r="R127" s="641"/>
      <c r="S127" s="641"/>
      <c r="T127" s="641"/>
      <c r="U127" s="641">
        <v>0.8</v>
      </c>
      <c r="V127" s="641"/>
      <c r="W127" s="641"/>
      <c r="X127" s="641"/>
      <c r="Y127" s="641"/>
      <c r="Z127" s="641">
        <v>0.8</v>
      </c>
      <c r="AA127" s="641"/>
      <c r="AB127" s="641"/>
      <c r="AC127" s="641"/>
      <c r="AD127" s="641"/>
      <c r="AE127" s="641"/>
      <c r="AF127" s="641"/>
      <c r="AG127" s="641"/>
      <c r="AH127" s="641"/>
      <c r="AI127" s="641"/>
      <c r="AJ127" s="643"/>
    </row>
    <row r="128" spans="2:36" ht="15">
      <c r="B128" s="632">
        <v>120</v>
      </c>
      <c r="C128" s="633" t="s">
        <v>225</v>
      </c>
      <c r="D128" s="633" t="s">
        <v>423</v>
      </c>
      <c r="E128" s="634">
        <v>318534.25599999999</v>
      </c>
      <c r="F128" s="634">
        <v>0</v>
      </c>
      <c r="G128" s="633" t="s">
        <v>424</v>
      </c>
      <c r="H128" s="628">
        <v>771654.83100000001</v>
      </c>
      <c r="I128" s="628">
        <v>55140</v>
      </c>
      <c r="J128" s="635"/>
      <c r="K128" s="635"/>
      <c r="L128" s="635"/>
      <c r="M128" s="636">
        <v>364</v>
      </c>
      <c r="N128" s="635"/>
      <c r="O128" s="635"/>
      <c r="P128" s="635"/>
      <c r="Q128" s="635"/>
      <c r="R128" s="635"/>
      <c r="S128" s="635"/>
      <c r="T128" s="635">
        <v>0.8</v>
      </c>
      <c r="U128" s="635">
        <v>0.8</v>
      </c>
      <c r="V128" s="635"/>
      <c r="W128" s="635"/>
      <c r="X128" s="635"/>
      <c r="Y128" s="635"/>
      <c r="Z128" s="635"/>
      <c r="AA128" s="635"/>
      <c r="AB128" s="635">
        <v>0.8</v>
      </c>
      <c r="AC128" s="635"/>
      <c r="AD128" s="635"/>
      <c r="AE128" s="635"/>
      <c r="AF128" s="635"/>
      <c r="AG128" s="635"/>
      <c r="AH128" s="635"/>
      <c r="AI128" s="635"/>
      <c r="AJ128" s="637"/>
    </row>
    <row r="129" spans="2:36" ht="15">
      <c r="B129" s="638">
        <v>38</v>
      </c>
      <c r="C129" s="639" t="s">
        <v>126</v>
      </c>
      <c r="D129" s="639" t="s">
        <v>570</v>
      </c>
      <c r="E129" s="640">
        <v>786987.39</v>
      </c>
      <c r="F129" s="640">
        <v>165700</v>
      </c>
      <c r="G129" s="639" t="s">
        <v>451</v>
      </c>
      <c r="H129" s="629">
        <v>1143082.6400000001</v>
      </c>
      <c r="I129" s="629">
        <v>275980</v>
      </c>
      <c r="J129" s="641">
        <v>1</v>
      </c>
      <c r="K129" s="641">
        <v>1</v>
      </c>
      <c r="L129" s="641"/>
      <c r="M129" s="642">
        <v>489.99999999999994</v>
      </c>
      <c r="N129" s="641"/>
      <c r="O129" s="641">
        <v>0.5</v>
      </c>
      <c r="P129" s="641">
        <v>0.6</v>
      </c>
      <c r="Q129" s="641"/>
      <c r="R129" s="641"/>
      <c r="S129" s="641"/>
      <c r="T129" s="641">
        <v>1.4</v>
      </c>
      <c r="U129" s="641">
        <v>2.4</v>
      </c>
      <c r="V129" s="641"/>
      <c r="W129" s="641"/>
      <c r="X129" s="641"/>
      <c r="Y129" s="641"/>
      <c r="Z129" s="641"/>
      <c r="AA129" s="641">
        <v>0.7</v>
      </c>
      <c r="AB129" s="641"/>
      <c r="AC129" s="641"/>
      <c r="AD129" s="641">
        <v>1</v>
      </c>
      <c r="AE129" s="641"/>
      <c r="AF129" s="641">
        <v>0.7</v>
      </c>
      <c r="AG129" s="641"/>
      <c r="AH129" s="641"/>
      <c r="AI129" s="641"/>
      <c r="AJ129" s="643"/>
    </row>
    <row r="130" spans="2:36" ht="15">
      <c r="B130" s="632">
        <v>121</v>
      </c>
      <c r="C130" s="633" t="s">
        <v>226</v>
      </c>
      <c r="D130" s="633" t="s">
        <v>422</v>
      </c>
      <c r="E130" s="634">
        <v>0</v>
      </c>
      <c r="F130" s="634">
        <v>0</v>
      </c>
      <c r="G130" s="633" t="s">
        <v>421</v>
      </c>
      <c r="H130" s="628">
        <v>1471314.0275000001</v>
      </c>
      <c r="I130" s="628">
        <v>354940</v>
      </c>
      <c r="J130" s="635"/>
      <c r="K130" s="635"/>
      <c r="L130" s="635"/>
      <c r="M130" s="636"/>
      <c r="N130" s="635"/>
      <c r="O130" s="635"/>
      <c r="P130" s="635"/>
      <c r="Q130" s="635"/>
      <c r="R130" s="635"/>
      <c r="S130" s="635"/>
      <c r="T130" s="635"/>
      <c r="U130" s="635"/>
      <c r="V130" s="635"/>
      <c r="W130" s="635"/>
      <c r="X130" s="635"/>
      <c r="Y130" s="635"/>
      <c r="Z130" s="635"/>
      <c r="AA130" s="635"/>
      <c r="AB130" s="635"/>
      <c r="AC130" s="635"/>
      <c r="AD130" s="635"/>
      <c r="AE130" s="635"/>
      <c r="AF130" s="635"/>
      <c r="AG130" s="635"/>
      <c r="AH130" s="635"/>
      <c r="AI130" s="635"/>
      <c r="AJ130" s="637"/>
    </row>
    <row r="131" spans="2:36" ht="15">
      <c r="B131" s="632">
        <v>147</v>
      </c>
      <c r="C131" s="633" t="s">
        <v>42</v>
      </c>
      <c r="D131" s="633" t="s">
        <v>563</v>
      </c>
      <c r="E131" s="634">
        <v>0</v>
      </c>
      <c r="F131" s="634">
        <v>0</v>
      </c>
      <c r="G131" s="633" t="s">
        <v>367</v>
      </c>
      <c r="H131" s="629">
        <v>464130.25</v>
      </c>
      <c r="I131" s="629">
        <v>115940</v>
      </c>
      <c r="J131" s="641"/>
      <c r="K131" s="641"/>
      <c r="L131" s="641"/>
      <c r="M131" s="642"/>
      <c r="N131" s="641"/>
      <c r="O131" s="641"/>
      <c r="P131" s="641"/>
      <c r="Q131" s="641"/>
      <c r="R131" s="641"/>
      <c r="S131" s="641"/>
      <c r="T131" s="641"/>
      <c r="U131" s="641"/>
      <c r="V131" s="641"/>
      <c r="W131" s="641"/>
      <c r="X131" s="641"/>
      <c r="Y131" s="641"/>
      <c r="Z131" s="641"/>
      <c r="AA131" s="641"/>
      <c r="AB131" s="641"/>
      <c r="AC131" s="641"/>
      <c r="AD131" s="641"/>
      <c r="AE131" s="641"/>
      <c r="AF131" s="641"/>
      <c r="AG131" s="641"/>
      <c r="AH131" s="641"/>
      <c r="AI131" s="641"/>
      <c r="AJ131" s="643"/>
    </row>
    <row r="132" spans="2:36" ht="15">
      <c r="B132" s="632">
        <v>19</v>
      </c>
      <c r="C132" s="633" t="s">
        <v>105</v>
      </c>
      <c r="D132" s="633" t="s">
        <v>346</v>
      </c>
      <c r="E132" s="634">
        <v>0</v>
      </c>
      <c r="F132" s="634">
        <v>0</v>
      </c>
      <c r="G132" s="633" t="s">
        <v>329</v>
      </c>
      <c r="H132" s="628">
        <v>279420.5</v>
      </c>
      <c r="I132" s="628">
        <v>79400</v>
      </c>
      <c r="J132" s="635"/>
      <c r="K132" s="635"/>
      <c r="L132" s="635"/>
      <c r="M132" s="636"/>
      <c r="N132" s="635"/>
      <c r="O132" s="635"/>
      <c r="P132" s="635"/>
      <c r="Q132" s="635"/>
      <c r="R132" s="635"/>
      <c r="S132" s="635"/>
      <c r="T132" s="635"/>
      <c r="U132" s="635"/>
      <c r="V132" s="635"/>
      <c r="W132" s="635"/>
      <c r="X132" s="635"/>
      <c r="Y132" s="635"/>
      <c r="Z132" s="635"/>
      <c r="AA132" s="635"/>
      <c r="AB132" s="635"/>
      <c r="AC132" s="635"/>
      <c r="AD132" s="635"/>
      <c r="AE132" s="635"/>
      <c r="AF132" s="635"/>
      <c r="AG132" s="635"/>
      <c r="AH132" s="635"/>
      <c r="AI132" s="635"/>
      <c r="AJ132" s="637"/>
    </row>
    <row r="133" spans="2:36" ht="15">
      <c r="B133" s="638">
        <v>20</v>
      </c>
      <c r="C133" s="639" t="s">
        <v>106</v>
      </c>
      <c r="D133" s="639" t="s">
        <v>344</v>
      </c>
      <c r="E133" s="640">
        <v>0</v>
      </c>
      <c r="F133" s="640">
        <v>0</v>
      </c>
      <c r="G133" s="639" t="s">
        <v>329</v>
      </c>
      <c r="H133" s="629">
        <v>279420.5</v>
      </c>
      <c r="I133" s="629">
        <v>79400</v>
      </c>
      <c r="J133" s="641"/>
      <c r="K133" s="641"/>
      <c r="L133" s="641"/>
      <c r="M133" s="642"/>
      <c r="N133" s="641"/>
      <c r="O133" s="641"/>
      <c r="P133" s="641"/>
      <c r="Q133" s="641"/>
      <c r="R133" s="641"/>
      <c r="S133" s="641"/>
      <c r="T133" s="641"/>
      <c r="U133" s="641"/>
      <c r="V133" s="641"/>
      <c r="W133" s="641"/>
      <c r="X133" s="641"/>
      <c r="Y133" s="641"/>
      <c r="Z133" s="641"/>
      <c r="AA133" s="641"/>
      <c r="AB133" s="641"/>
      <c r="AC133" s="641"/>
      <c r="AD133" s="641"/>
      <c r="AE133" s="641"/>
      <c r="AF133" s="641"/>
      <c r="AG133" s="641"/>
      <c r="AH133" s="641"/>
      <c r="AI133" s="641"/>
      <c r="AJ133" s="643"/>
    </row>
    <row r="134" spans="2:36" ht="15">
      <c r="B134" s="632">
        <v>21</v>
      </c>
      <c r="C134" s="633" t="s">
        <v>107</v>
      </c>
      <c r="D134" s="633" t="s">
        <v>341</v>
      </c>
      <c r="E134" s="634">
        <v>0</v>
      </c>
      <c r="F134" s="634">
        <v>0</v>
      </c>
      <c r="G134" s="633" t="s">
        <v>329</v>
      </c>
      <c r="H134" s="628">
        <v>279420.5</v>
      </c>
      <c r="I134" s="628">
        <v>79400</v>
      </c>
      <c r="J134" s="635"/>
      <c r="K134" s="635"/>
      <c r="L134" s="635"/>
      <c r="M134" s="636"/>
      <c r="N134" s="635"/>
      <c r="O134" s="635"/>
      <c r="P134" s="635"/>
      <c r="Q134" s="635"/>
      <c r="R134" s="635"/>
      <c r="S134" s="635"/>
      <c r="T134" s="635"/>
      <c r="U134" s="635"/>
      <c r="V134" s="635"/>
      <c r="W134" s="635"/>
      <c r="X134" s="635"/>
      <c r="Y134" s="635"/>
      <c r="Z134" s="635"/>
      <c r="AA134" s="635"/>
      <c r="AB134" s="635"/>
      <c r="AC134" s="635"/>
      <c r="AD134" s="635"/>
      <c r="AE134" s="635"/>
      <c r="AF134" s="635"/>
      <c r="AG134" s="635"/>
      <c r="AH134" s="635"/>
      <c r="AI134" s="635"/>
      <c r="AJ134" s="637"/>
    </row>
    <row r="135" spans="2:36" ht="15">
      <c r="B135" s="632">
        <v>95</v>
      </c>
      <c r="C135" s="633" t="s">
        <v>195</v>
      </c>
      <c r="D135" s="633" t="s">
        <v>417</v>
      </c>
      <c r="E135" s="634">
        <v>0</v>
      </c>
      <c r="F135" s="634">
        <v>0</v>
      </c>
      <c r="G135" s="633" t="s">
        <v>416</v>
      </c>
      <c r="H135" s="629">
        <v>0</v>
      </c>
      <c r="I135" s="629">
        <v>0</v>
      </c>
      <c r="J135" s="641"/>
      <c r="K135" s="641"/>
      <c r="L135" s="641"/>
      <c r="M135" s="642"/>
      <c r="N135" s="641"/>
      <c r="O135" s="641"/>
      <c r="P135" s="641"/>
      <c r="Q135" s="641"/>
      <c r="R135" s="641"/>
      <c r="S135" s="641"/>
      <c r="T135" s="641"/>
      <c r="U135" s="641"/>
      <c r="V135" s="641"/>
      <c r="W135" s="641"/>
      <c r="X135" s="641"/>
      <c r="Y135" s="641"/>
      <c r="Z135" s="641"/>
      <c r="AA135" s="641"/>
      <c r="AB135" s="641"/>
      <c r="AC135" s="641"/>
      <c r="AD135" s="641"/>
      <c r="AE135" s="641"/>
      <c r="AF135" s="641"/>
      <c r="AG135" s="641"/>
      <c r="AH135" s="641"/>
      <c r="AI135" s="641"/>
      <c r="AJ135" s="643"/>
    </row>
    <row r="136" spans="2:36" ht="15">
      <c r="B136" s="632">
        <v>122</v>
      </c>
      <c r="C136" s="633" t="s">
        <v>228</v>
      </c>
      <c r="D136" s="633" t="s">
        <v>504</v>
      </c>
      <c r="E136" s="634">
        <v>884043.53600000008</v>
      </c>
      <c r="F136" s="634">
        <v>280400</v>
      </c>
      <c r="G136" s="633" t="s">
        <v>381</v>
      </c>
      <c r="H136" s="628">
        <v>884043.53600000008</v>
      </c>
      <c r="I136" s="628">
        <v>280400</v>
      </c>
      <c r="J136" s="635">
        <v>0.8</v>
      </c>
      <c r="K136" s="635">
        <v>0.8</v>
      </c>
      <c r="L136" s="635">
        <v>0.8</v>
      </c>
      <c r="M136" s="636">
        <v>960</v>
      </c>
      <c r="N136" s="635"/>
      <c r="O136" s="635"/>
      <c r="P136" s="635">
        <v>0.8</v>
      </c>
      <c r="Q136" s="635"/>
      <c r="R136" s="635"/>
      <c r="S136" s="635"/>
      <c r="T136" s="635"/>
      <c r="U136" s="635">
        <v>0.8</v>
      </c>
      <c r="V136" s="635"/>
      <c r="W136" s="635"/>
      <c r="X136" s="635"/>
      <c r="Y136" s="635">
        <v>0.8</v>
      </c>
      <c r="Z136" s="635"/>
      <c r="AA136" s="635"/>
      <c r="AB136" s="635"/>
      <c r="AC136" s="635"/>
      <c r="AD136" s="635">
        <v>0.8</v>
      </c>
      <c r="AE136" s="635">
        <v>0.8</v>
      </c>
      <c r="AF136" s="635"/>
      <c r="AG136" s="635"/>
      <c r="AH136" s="635">
        <v>0.8</v>
      </c>
      <c r="AI136" s="635"/>
      <c r="AJ136" s="637"/>
    </row>
    <row r="137" spans="2:36" ht="15">
      <c r="B137" s="632">
        <v>123</v>
      </c>
      <c r="C137" s="633" t="s">
        <v>229</v>
      </c>
      <c r="D137" s="633" t="s">
        <v>412</v>
      </c>
      <c r="E137" s="634">
        <v>510677.75</v>
      </c>
      <c r="F137" s="634">
        <v>39700</v>
      </c>
      <c r="G137" s="633" t="s">
        <v>413</v>
      </c>
      <c r="H137" s="629">
        <v>668921.32199999993</v>
      </c>
      <c r="I137" s="629">
        <v>94840</v>
      </c>
      <c r="J137" s="641">
        <v>1</v>
      </c>
      <c r="K137" s="641">
        <v>1</v>
      </c>
      <c r="L137" s="641"/>
      <c r="M137" s="642">
        <v>250</v>
      </c>
      <c r="N137" s="641"/>
      <c r="O137" s="641"/>
      <c r="P137" s="641"/>
      <c r="Q137" s="641"/>
      <c r="R137" s="641"/>
      <c r="S137" s="641"/>
      <c r="T137" s="641"/>
      <c r="U137" s="641">
        <v>1</v>
      </c>
      <c r="V137" s="641"/>
      <c r="W137" s="641"/>
      <c r="X137" s="641"/>
      <c r="Y137" s="641"/>
      <c r="Z137" s="641"/>
      <c r="AA137" s="641">
        <v>1</v>
      </c>
      <c r="AB137" s="641"/>
      <c r="AC137" s="641"/>
      <c r="AD137" s="641">
        <v>1</v>
      </c>
      <c r="AE137" s="641"/>
      <c r="AF137" s="641"/>
      <c r="AG137" s="641"/>
      <c r="AH137" s="641"/>
      <c r="AI137" s="641"/>
      <c r="AJ137" s="643"/>
    </row>
    <row r="138" spans="2:36" ht="15">
      <c r="B138" s="632">
        <v>124</v>
      </c>
      <c r="C138" s="633" t="s">
        <v>230</v>
      </c>
      <c r="D138" s="633" t="s">
        <v>364</v>
      </c>
      <c r="E138" s="634">
        <v>0</v>
      </c>
      <c r="F138" s="634">
        <v>0</v>
      </c>
      <c r="G138" s="633" t="s">
        <v>363</v>
      </c>
      <c r="H138" s="628">
        <v>0</v>
      </c>
      <c r="I138" s="628">
        <v>0</v>
      </c>
      <c r="J138" s="635"/>
      <c r="K138" s="635"/>
      <c r="L138" s="635"/>
      <c r="M138" s="636"/>
      <c r="N138" s="635"/>
      <c r="O138" s="635"/>
      <c r="P138" s="635"/>
      <c r="Q138" s="635"/>
      <c r="R138" s="635"/>
      <c r="S138" s="635"/>
      <c r="T138" s="635"/>
      <c r="U138" s="635"/>
      <c r="V138" s="635"/>
      <c r="W138" s="635"/>
      <c r="X138" s="635"/>
      <c r="Y138" s="635"/>
      <c r="Z138" s="635"/>
      <c r="AA138" s="635"/>
      <c r="AB138" s="635"/>
      <c r="AC138" s="635"/>
      <c r="AD138" s="635"/>
      <c r="AE138" s="635"/>
      <c r="AF138" s="635"/>
      <c r="AG138" s="635"/>
      <c r="AH138" s="635"/>
      <c r="AI138" s="635"/>
      <c r="AJ138" s="637"/>
    </row>
    <row r="139" spans="2:36" ht="15">
      <c r="B139" s="632">
        <v>149</v>
      </c>
      <c r="C139" s="633" t="s">
        <v>56</v>
      </c>
      <c r="D139" s="633" t="s">
        <v>370</v>
      </c>
      <c r="E139" s="634">
        <v>0</v>
      </c>
      <c r="F139" s="634">
        <v>0</v>
      </c>
      <c r="G139" s="633" t="s">
        <v>367</v>
      </c>
      <c r="H139" s="629">
        <v>464130.25</v>
      </c>
      <c r="I139" s="629">
        <v>115940</v>
      </c>
      <c r="J139" s="641"/>
      <c r="K139" s="641"/>
      <c r="L139" s="641"/>
      <c r="M139" s="642"/>
      <c r="N139" s="641"/>
      <c r="O139" s="641"/>
      <c r="P139" s="641"/>
      <c r="Q139" s="641"/>
      <c r="R139" s="641"/>
      <c r="S139" s="641"/>
      <c r="T139" s="641"/>
      <c r="U139" s="641"/>
      <c r="V139" s="641"/>
      <c r="W139" s="641"/>
      <c r="X139" s="641"/>
      <c r="Y139" s="641"/>
      <c r="Z139" s="641"/>
      <c r="AA139" s="641"/>
      <c r="AB139" s="641"/>
      <c r="AC139" s="641"/>
      <c r="AD139" s="641"/>
      <c r="AE139" s="641"/>
      <c r="AF139" s="641"/>
      <c r="AG139" s="641"/>
      <c r="AH139" s="641"/>
      <c r="AI139" s="641"/>
      <c r="AJ139" s="643"/>
    </row>
    <row r="140" spans="2:36" ht="15">
      <c r="B140" s="632">
        <v>81</v>
      </c>
      <c r="C140" s="633" t="s">
        <v>42</v>
      </c>
      <c r="D140" s="633" t="s">
        <v>562</v>
      </c>
      <c r="E140" s="634">
        <v>464130.25</v>
      </c>
      <c r="F140" s="634">
        <v>39700</v>
      </c>
      <c r="G140" s="633" t="s">
        <v>367</v>
      </c>
      <c r="H140" s="628">
        <v>464130.25</v>
      </c>
      <c r="I140" s="628">
        <v>115940</v>
      </c>
      <c r="J140" s="635">
        <v>1</v>
      </c>
      <c r="K140" s="635"/>
      <c r="L140" s="635"/>
      <c r="M140" s="636"/>
      <c r="N140" s="635"/>
      <c r="O140" s="635"/>
      <c r="P140" s="635"/>
      <c r="Q140" s="635"/>
      <c r="R140" s="635"/>
      <c r="S140" s="635"/>
      <c r="T140" s="635"/>
      <c r="U140" s="635">
        <v>1</v>
      </c>
      <c r="V140" s="635"/>
      <c r="W140" s="635"/>
      <c r="X140" s="635"/>
      <c r="Y140" s="635"/>
      <c r="Z140" s="635">
        <v>1</v>
      </c>
      <c r="AA140" s="635"/>
      <c r="AB140" s="635"/>
      <c r="AC140" s="635"/>
      <c r="AD140" s="635">
        <v>1</v>
      </c>
      <c r="AE140" s="635"/>
      <c r="AF140" s="635"/>
      <c r="AG140" s="635"/>
      <c r="AH140" s="635"/>
      <c r="AI140" s="635"/>
      <c r="AJ140" s="637"/>
    </row>
    <row r="141" spans="2:36" ht="15">
      <c r="B141" s="638">
        <v>152</v>
      </c>
      <c r="C141" s="639" t="s">
        <v>16</v>
      </c>
      <c r="D141" s="639" t="s">
        <v>457</v>
      </c>
      <c r="E141" s="640">
        <v>0</v>
      </c>
      <c r="F141" s="640">
        <v>0</v>
      </c>
      <c r="G141" s="639" t="s">
        <v>455</v>
      </c>
      <c r="H141" s="629">
        <v>543340.65</v>
      </c>
      <c r="I141" s="629">
        <v>29100</v>
      </c>
      <c r="J141" s="641"/>
      <c r="K141" s="641"/>
      <c r="L141" s="641"/>
      <c r="M141" s="642"/>
      <c r="N141" s="641"/>
      <c r="O141" s="641"/>
      <c r="P141" s="641"/>
      <c r="Q141" s="641"/>
      <c r="R141" s="641"/>
      <c r="S141" s="641"/>
      <c r="T141" s="641"/>
      <c r="U141" s="641"/>
      <c r="V141" s="641"/>
      <c r="W141" s="641"/>
      <c r="X141" s="641"/>
      <c r="Y141" s="641"/>
      <c r="Z141" s="641"/>
      <c r="AA141" s="641"/>
      <c r="AB141" s="641"/>
      <c r="AC141" s="641"/>
      <c r="AD141" s="641"/>
      <c r="AE141" s="641"/>
      <c r="AF141" s="641"/>
      <c r="AG141" s="641"/>
      <c r="AH141" s="641"/>
      <c r="AI141" s="641"/>
      <c r="AJ141" s="643"/>
    </row>
    <row r="142" spans="2:36" ht="15">
      <c r="B142" s="632">
        <v>125</v>
      </c>
      <c r="C142" s="633" t="s">
        <v>231</v>
      </c>
      <c r="D142" s="633" t="s">
        <v>397</v>
      </c>
      <c r="E142" s="634">
        <v>0</v>
      </c>
      <c r="F142" s="634">
        <v>0</v>
      </c>
      <c r="G142" s="633" t="s">
        <v>393</v>
      </c>
      <c r="H142" s="628">
        <v>833301.16999999993</v>
      </c>
      <c r="I142" s="628">
        <v>458390</v>
      </c>
      <c r="J142" s="635"/>
      <c r="K142" s="635"/>
      <c r="L142" s="635"/>
      <c r="M142" s="636"/>
      <c r="N142" s="635"/>
      <c r="O142" s="635"/>
      <c r="P142" s="635"/>
      <c r="Q142" s="635"/>
      <c r="R142" s="635"/>
      <c r="S142" s="635"/>
      <c r="T142" s="635"/>
      <c r="U142" s="635"/>
      <c r="V142" s="635"/>
      <c r="W142" s="635"/>
      <c r="X142" s="635"/>
      <c r="Y142" s="635"/>
      <c r="Z142" s="635"/>
      <c r="AA142" s="635"/>
      <c r="AB142" s="635"/>
      <c r="AC142" s="635"/>
      <c r="AD142" s="635"/>
      <c r="AE142" s="635"/>
      <c r="AF142" s="635"/>
      <c r="AG142" s="635"/>
      <c r="AH142" s="635"/>
      <c r="AI142" s="635"/>
      <c r="AJ142" s="637"/>
    </row>
    <row r="143" spans="2:36" ht="15">
      <c r="B143" s="638">
        <v>126</v>
      </c>
      <c r="C143" s="639" t="s">
        <v>232</v>
      </c>
      <c r="D143" s="639" t="s">
        <v>389</v>
      </c>
      <c r="E143" s="640">
        <v>0</v>
      </c>
      <c r="F143" s="640">
        <v>132000</v>
      </c>
      <c r="G143" s="639" t="s">
        <v>390</v>
      </c>
      <c r="H143" s="629">
        <v>0</v>
      </c>
      <c r="I143" s="629">
        <v>187140</v>
      </c>
      <c r="J143" s="641"/>
      <c r="K143" s="641"/>
      <c r="L143" s="641"/>
      <c r="M143" s="642"/>
      <c r="N143" s="641"/>
      <c r="O143" s="641"/>
      <c r="P143" s="641"/>
      <c r="Q143" s="641"/>
      <c r="R143" s="641"/>
      <c r="S143" s="641"/>
      <c r="T143" s="641"/>
      <c r="U143" s="641"/>
      <c r="V143" s="641"/>
      <c r="W143" s="641"/>
      <c r="X143" s="641"/>
      <c r="Y143" s="641"/>
      <c r="Z143" s="641"/>
      <c r="AA143" s="641"/>
      <c r="AB143" s="641"/>
      <c r="AC143" s="641"/>
      <c r="AD143" s="641"/>
      <c r="AE143" s="641">
        <v>0.5</v>
      </c>
      <c r="AF143" s="641"/>
      <c r="AG143" s="641"/>
      <c r="AH143" s="641"/>
      <c r="AI143" s="641"/>
      <c r="AJ143" s="643"/>
    </row>
    <row r="144" spans="2:36" ht="15">
      <c r="B144" s="632">
        <v>127</v>
      </c>
      <c r="C144" s="633" t="s">
        <v>233</v>
      </c>
      <c r="D144" s="633" t="s">
        <v>546</v>
      </c>
      <c r="E144" s="634">
        <v>0</v>
      </c>
      <c r="F144" s="634">
        <v>55140</v>
      </c>
      <c r="G144" s="633" t="s">
        <v>427</v>
      </c>
      <c r="H144" s="628">
        <v>53335</v>
      </c>
      <c r="I144" s="628">
        <v>134340</v>
      </c>
      <c r="J144" s="635"/>
      <c r="K144" s="635"/>
      <c r="L144" s="635"/>
      <c r="M144" s="636"/>
      <c r="N144" s="635"/>
      <c r="O144" s="635"/>
      <c r="P144" s="635"/>
      <c r="Q144" s="635"/>
      <c r="R144" s="635"/>
      <c r="S144" s="635"/>
      <c r="T144" s="635"/>
      <c r="U144" s="635"/>
      <c r="V144" s="635"/>
      <c r="W144" s="635"/>
      <c r="X144" s="635"/>
      <c r="Y144" s="635"/>
      <c r="Z144" s="635"/>
      <c r="AA144" s="635"/>
      <c r="AB144" s="635"/>
      <c r="AC144" s="635"/>
      <c r="AD144" s="635"/>
      <c r="AE144" s="635"/>
      <c r="AF144" s="635"/>
      <c r="AG144" s="635">
        <v>0.6</v>
      </c>
      <c r="AH144" s="635"/>
      <c r="AI144" s="635"/>
      <c r="AJ144" s="637"/>
    </row>
    <row r="145" spans="2:36" ht="15">
      <c r="B145" s="638">
        <v>22</v>
      </c>
      <c r="C145" s="639" t="s">
        <v>108</v>
      </c>
      <c r="D145" s="639" t="s">
        <v>336</v>
      </c>
      <c r="E145" s="640">
        <v>0</v>
      </c>
      <c r="F145" s="640">
        <v>0</v>
      </c>
      <c r="G145" s="639" t="s">
        <v>329</v>
      </c>
      <c r="H145" s="629">
        <v>279420.5</v>
      </c>
      <c r="I145" s="629">
        <v>79400</v>
      </c>
      <c r="J145" s="641"/>
      <c r="K145" s="641"/>
      <c r="L145" s="641"/>
      <c r="M145" s="642"/>
      <c r="N145" s="641"/>
      <c r="O145" s="641"/>
      <c r="P145" s="641"/>
      <c r="Q145" s="641"/>
      <c r="R145" s="641"/>
      <c r="S145" s="641"/>
      <c r="T145" s="641"/>
      <c r="U145" s="641"/>
      <c r="V145" s="641"/>
      <c r="W145" s="641"/>
      <c r="X145" s="641"/>
      <c r="Y145" s="641"/>
      <c r="Z145" s="641"/>
      <c r="AA145" s="641"/>
      <c r="AB145" s="641"/>
      <c r="AC145" s="641"/>
      <c r="AD145" s="641"/>
      <c r="AE145" s="641"/>
      <c r="AF145" s="641"/>
      <c r="AG145" s="641"/>
      <c r="AH145" s="641"/>
      <c r="AI145" s="641"/>
      <c r="AJ145" s="643"/>
    </row>
    <row r="146" spans="2:36" ht="15">
      <c r="B146" s="632">
        <v>129</v>
      </c>
      <c r="C146" s="633" t="s">
        <v>16</v>
      </c>
      <c r="D146" s="633" t="s">
        <v>361</v>
      </c>
      <c r="E146" s="634">
        <v>0</v>
      </c>
      <c r="F146" s="634">
        <v>0</v>
      </c>
      <c r="G146" s="633" t="s">
        <v>359</v>
      </c>
      <c r="H146" s="628">
        <v>1541819.19</v>
      </c>
      <c r="I146" s="628">
        <v>292200</v>
      </c>
      <c r="J146" s="635"/>
      <c r="K146" s="635"/>
      <c r="L146" s="635"/>
      <c r="M146" s="636"/>
      <c r="N146" s="635"/>
      <c r="O146" s="635"/>
      <c r="P146" s="635"/>
      <c r="Q146" s="635"/>
      <c r="R146" s="635"/>
      <c r="S146" s="635"/>
      <c r="T146" s="635"/>
      <c r="U146" s="635"/>
      <c r="V146" s="635"/>
      <c r="W146" s="635"/>
      <c r="X146" s="635"/>
      <c r="Y146" s="635"/>
      <c r="Z146" s="635"/>
      <c r="AA146" s="635"/>
      <c r="AB146" s="635"/>
      <c r="AC146" s="635"/>
      <c r="AD146" s="635"/>
      <c r="AE146" s="635"/>
      <c r="AF146" s="635"/>
      <c r="AG146" s="635"/>
      <c r="AH146" s="635"/>
      <c r="AI146" s="635"/>
      <c r="AJ146" s="637"/>
    </row>
    <row r="147" spans="2:36" ht="15">
      <c r="B147" s="638">
        <v>130</v>
      </c>
      <c r="C147" s="639" t="s">
        <v>236</v>
      </c>
      <c r="D147" s="639" t="s">
        <v>432</v>
      </c>
      <c r="E147" s="640">
        <v>121551.83810421836</v>
      </c>
      <c r="F147" s="640">
        <v>55140</v>
      </c>
      <c r="G147" s="639" t="s">
        <v>433</v>
      </c>
      <c r="H147" s="629">
        <v>324274.33810421836</v>
      </c>
      <c r="I147" s="629">
        <v>94840</v>
      </c>
      <c r="J147" s="641"/>
      <c r="K147" s="641"/>
      <c r="L147" s="641"/>
      <c r="M147" s="642">
        <v>100</v>
      </c>
      <c r="N147" s="641"/>
      <c r="O147" s="641"/>
      <c r="P147" s="641">
        <v>0.6</v>
      </c>
      <c r="Q147" s="641"/>
      <c r="R147" s="641"/>
      <c r="S147" s="641"/>
      <c r="T147" s="641"/>
      <c r="U147" s="641">
        <v>0.6</v>
      </c>
      <c r="V147" s="641"/>
      <c r="W147" s="641"/>
      <c r="X147" s="641"/>
      <c r="Y147" s="641"/>
      <c r="Z147" s="641"/>
      <c r="AA147" s="641"/>
      <c r="AB147" s="641"/>
      <c r="AC147" s="641">
        <v>0.3</v>
      </c>
      <c r="AD147" s="641"/>
      <c r="AE147" s="641"/>
      <c r="AF147" s="641"/>
      <c r="AG147" s="641">
        <v>0.6</v>
      </c>
      <c r="AH147" s="641"/>
      <c r="AI147" s="641"/>
      <c r="AJ147" s="643"/>
    </row>
    <row r="148" spans="2:36" ht="15">
      <c r="B148" s="632">
        <v>138</v>
      </c>
      <c r="C148" s="633" t="s">
        <v>134</v>
      </c>
      <c r="D148" s="633" t="s">
        <v>441</v>
      </c>
      <c r="E148" s="634">
        <v>0</v>
      </c>
      <c r="F148" s="634">
        <v>0</v>
      </c>
      <c r="G148" s="633" t="s">
        <v>438</v>
      </c>
      <c r="H148" s="628">
        <v>281158.82500000001</v>
      </c>
      <c r="I148" s="628">
        <v>0</v>
      </c>
      <c r="J148" s="635"/>
      <c r="K148" s="635"/>
      <c r="L148" s="635"/>
      <c r="M148" s="636"/>
      <c r="N148" s="635"/>
      <c r="O148" s="635"/>
      <c r="P148" s="635"/>
      <c r="Q148" s="635"/>
      <c r="R148" s="635"/>
      <c r="S148" s="635"/>
      <c r="T148" s="635"/>
      <c r="U148" s="635"/>
      <c r="V148" s="635"/>
      <c r="W148" s="635"/>
      <c r="X148" s="635"/>
      <c r="Y148" s="635"/>
      <c r="Z148" s="635"/>
      <c r="AA148" s="635"/>
      <c r="AB148" s="635"/>
      <c r="AC148" s="635"/>
      <c r="AD148" s="635"/>
      <c r="AE148" s="635"/>
      <c r="AF148" s="635"/>
      <c r="AG148" s="635"/>
      <c r="AH148" s="635"/>
      <c r="AI148" s="635"/>
      <c r="AJ148" s="637"/>
    </row>
    <row r="149" spans="2:36" ht="15">
      <c r="B149" s="632">
        <v>131</v>
      </c>
      <c r="C149" s="633" t="s">
        <v>237</v>
      </c>
      <c r="D149" s="633" t="s">
        <v>420</v>
      </c>
      <c r="E149" s="634">
        <v>1165922.3755000001</v>
      </c>
      <c r="F149" s="634">
        <v>299800</v>
      </c>
      <c r="G149" s="633" t="s">
        <v>421</v>
      </c>
      <c r="H149" s="629">
        <v>1471314.0275000001</v>
      </c>
      <c r="I149" s="629">
        <v>354940</v>
      </c>
      <c r="J149" s="641">
        <v>0.75</v>
      </c>
      <c r="K149" s="641"/>
      <c r="L149" s="641"/>
      <c r="M149" s="642">
        <v>2250</v>
      </c>
      <c r="N149" s="641"/>
      <c r="O149" s="641"/>
      <c r="P149" s="641"/>
      <c r="Q149" s="641"/>
      <c r="R149" s="641"/>
      <c r="S149" s="641"/>
      <c r="T149" s="641">
        <v>2</v>
      </c>
      <c r="U149" s="641">
        <v>2</v>
      </c>
      <c r="V149" s="641"/>
      <c r="W149" s="641"/>
      <c r="X149" s="641">
        <v>0.9</v>
      </c>
      <c r="Y149" s="641"/>
      <c r="Z149" s="641"/>
      <c r="AA149" s="641"/>
      <c r="AB149" s="641"/>
      <c r="AC149" s="641"/>
      <c r="AD149" s="641"/>
      <c r="AE149" s="641">
        <v>0.7</v>
      </c>
      <c r="AF149" s="641"/>
      <c r="AG149" s="641"/>
      <c r="AH149" s="641"/>
      <c r="AI149" s="641"/>
      <c r="AJ149" s="643">
        <v>0.5</v>
      </c>
    </row>
    <row r="150" spans="2:36" ht="15">
      <c r="B150" s="632">
        <v>23</v>
      </c>
      <c r="C150" s="633" t="s">
        <v>109</v>
      </c>
      <c r="D150" s="633" t="s">
        <v>342</v>
      </c>
      <c r="E150" s="634">
        <v>0</v>
      </c>
      <c r="F150" s="634">
        <v>0</v>
      </c>
      <c r="G150" s="633" t="s">
        <v>329</v>
      </c>
      <c r="H150" s="628">
        <v>279420.5</v>
      </c>
      <c r="I150" s="628">
        <v>79400</v>
      </c>
      <c r="J150" s="635"/>
      <c r="K150" s="635"/>
      <c r="L150" s="635"/>
      <c r="M150" s="636"/>
      <c r="N150" s="635"/>
      <c r="O150" s="635"/>
      <c r="P150" s="635"/>
      <c r="Q150" s="635"/>
      <c r="R150" s="635"/>
      <c r="S150" s="635"/>
      <c r="T150" s="635"/>
      <c r="U150" s="635"/>
      <c r="V150" s="635"/>
      <c r="W150" s="635"/>
      <c r="X150" s="635"/>
      <c r="Y150" s="635"/>
      <c r="Z150" s="635"/>
      <c r="AA150" s="635"/>
      <c r="AB150" s="635"/>
      <c r="AC150" s="635"/>
      <c r="AD150" s="635"/>
      <c r="AE150" s="635"/>
      <c r="AF150" s="635"/>
      <c r="AG150" s="635"/>
      <c r="AH150" s="635"/>
      <c r="AI150" s="635"/>
      <c r="AJ150" s="637"/>
    </row>
    <row r="151" spans="2:36" ht="15">
      <c r="B151" s="638">
        <v>132</v>
      </c>
      <c r="C151" s="639" t="s">
        <v>238</v>
      </c>
      <c r="D151" s="639" t="s">
        <v>434</v>
      </c>
      <c r="E151" s="640">
        <v>33960</v>
      </c>
      <c r="F151" s="640">
        <v>39700</v>
      </c>
      <c r="G151" s="639" t="s">
        <v>433</v>
      </c>
      <c r="H151" s="629">
        <v>324274.33810421836</v>
      </c>
      <c r="I151" s="629">
        <v>94840</v>
      </c>
      <c r="J151" s="641">
        <v>1</v>
      </c>
      <c r="K151" s="641"/>
      <c r="L151" s="641"/>
      <c r="M151" s="642"/>
      <c r="N151" s="641"/>
      <c r="O151" s="641"/>
      <c r="P151" s="641"/>
      <c r="Q151" s="641"/>
      <c r="R151" s="641"/>
      <c r="S151" s="641"/>
      <c r="T151" s="641"/>
      <c r="U151" s="641"/>
      <c r="V151" s="641"/>
      <c r="W151" s="641"/>
      <c r="X151" s="641"/>
      <c r="Y151" s="641"/>
      <c r="Z151" s="641"/>
      <c r="AA151" s="641"/>
      <c r="AB151" s="641"/>
      <c r="AC151" s="641"/>
      <c r="AD151" s="641">
        <v>1</v>
      </c>
      <c r="AE151" s="641"/>
      <c r="AF151" s="641"/>
      <c r="AG151" s="641"/>
      <c r="AH151" s="641"/>
      <c r="AI151" s="641"/>
      <c r="AJ151" s="643"/>
    </row>
    <row r="152" spans="2:36" ht="15">
      <c r="B152" s="632">
        <v>85</v>
      </c>
      <c r="C152" s="633" t="s">
        <v>184</v>
      </c>
      <c r="D152" s="633" t="s">
        <v>387</v>
      </c>
      <c r="E152" s="634">
        <v>459010</v>
      </c>
      <c r="F152" s="634">
        <v>0</v>
      </c>
      <c r="G152" s="633" t="s">
        <v>384</v>
      </c>
      <c r="H152" s="628">
        <v>663653.33499999996</v>
      </c>
      <c r="I152" s="628">
        <v>228450</v>
      </c>
      <c r="J152" s="635"/>
      <c r="K152" s="635"/>
      <c r="L152" s="635"/>
      <c r="M152" s="636">
        <v>496</v>
      </c>
      <c r="N152" s="635"/>
      <c r="O152" s="635"/>
      <c r="P152" s="635"/>
      <c r="Q152" s="635"/>
      <c r="R152" s="635"/>
      <c r="S152" s="635"/>
      <c r="T152" s="635"/>
      <c r="U152" s="635"/>
      <c r="V152" s="635"/>
      <c r="W152" s="635"/>
      <c r="X152" s="635"/>
      <c r="Y152" s="635"/>
      <c r="Z152" s="635"/>
      <c r="AA152" s="635">
        <v>1</v>
      </c>
      <c r="AB152" s="635"/>
      <c r="AC152" s="635"/>
      <c r="AD152" s="635"/>
      <c r="AE152" s="635"/>
      <c r="AF152" s="635"/>
      <c r="AG152" s="635"/>
      <c r="AH152" s="635"/>
      <c r="AI152" s="635"/>
      <c r="AJ152" s="637"/>
    </row>
    <row r="153" spans="2:36" ht="15">
      <c r="B153" s="632">
        <v>109</v>
      </c>
      <c r="C153" s="633" t="s">
        <v>212</v>
      </c>
      <c r="D153" s="633" t="s">
        <v>573</v>
      </c>
      <c r="E153" s="634">
        <v>269575.65000000002</v>
      </c>
      <c r="F153" s="634">
        <v>0</v>
      </c>
      <c r="G153" s="633" t="s">
        <v>398</v>
      </c>
      <c r="H153" s="629">
        <v>269575.65000000002</v>
      </c>
      <c r="I153" s="629">
        <v>535850</v>
      </c>
      <c r="J153" s="641"/>
      <c r="K153" s="641"/>
      <c r="L153" s="641"/>
      <c r="M153" s="642">
        <v>210</v>
      </c>
      <c r="N153" s="641"/>
      <c r="O153" s="641"/>
      <c r="P153" s="641"/>
      <c r="Q153" s="641"/>
      <c r="R153" s="641"/>
      <c r="S153" s="641"/>
      <c r="T153" s="641"/>
      <c r="U153" s="641">
        <v>0.6</v>
      </c>
      <c r="V153" s="641"/>
      <c r="W153" s="641"/>
      <c r="X153" s="641"/>
      <c r="Y153" s="641"/>
      <c r="Z153" s="641"/>
      <c r="AA153" s="641">
        <v>0.6</v>
      </c>
      <c r="AB153" s="641"/>
      <c r="AC153" s="641"/>
      <c r="AD153" s="641"/>
      <c r="AE153" s="641"/>
      <c r="AF153" s="641"/>
      <c r="AG153" s="641"/>
      <c r="AH153" s="641"/>
      <c r="AI153" s="641"/>
      <c r="AJ153" s="643"/>
    </row>
    <row r="154" spans="2:36" ht="15">
      <c r="B154" s="632">
        <v>24</v>
      </c>
      <c r="C154" s="633" t="s">
        <v>110</v>
      </c>
      <c r="D154" s="633" t="s">
        <v>501</v>
      </c>
      <c r="E154" s="634">
        <v>0</v>
      </c>
      <c r="F154" s="634">
        <v>0</v>
      </c>
      <c r="G154" s="633" t="s">
        <v>329</v>
      </c>
      <c r="H154" s="628">
        <v>279420.5</v>
      </c>
      <c r="I154" s="628">
        <v>79400</v>
      </c>
      <c r="J154" s="635"/>
      <c r="K154" s="635"/>
      <c r="L154" s="635"/>
      <c r="M154" s="636"/>
      <c r="N154" s="635"/>
      <c r="O154" s="635"/>
      <c r="P154" s="635"/>
      <c r="Q154" s="635"/>
      <c r="R154" s="635"/>
      <c r="S154" s="635"/>
      <c r="T154" s="635"/>
      <c r="U154" s="635"/>
      <c r="V154" s="635"/>
      <c r="W154" s="635"/>
      <c r="X154" s="635"/>
      <c r="Y154" s="635"/>
      <c r="Z154" s="635"/>
      <c r="AA154" s="635"/>
      <c r="AB154" s="635"/>
      <c r="AC154" s="635"/>
      <c r="AD154" s="635"/>
      <c r="AE154" s="635"/>
      <c r="AF154" s="635"/>
      <c r="AG154" s="635"/>
      <c r="AH154" s="635"/>
      <c r="AI154" s="635"/>
      <c r="AJ154" s="637"/>
    </row>
    <row r="155" spans="2:36" ht="15">
      <c r="B155" s="632">
        <v>133</v>
      </c>
      <c r="C155" s="633" t="s">
        <v>51</v>
      </c>
      <c r="D155" s="633" t="s">
        <v>369</v>
      </c>
      <c r="E155" s="634">
        <v>0</v>
      </c>
      <c r="F155" s="634">
        <v>0</v>
      </c>
      <c r="G155" s="633" t="s">
        <v>367</v>
      </c>
      <c r="H155" s="629">
        <v>464130.25</v>
      </c>
      <c r="I155" s="629">
        <v>115940</v>
      </c>
      <c r="J155" s="641"/>
      <c r="K155" s="641"/>
      <c r="L155" s="641"/>
      <c r="M155" s="642"/>
      <c r="N155" s="641"/>
      <c r="O155" s="641"/>
      <c r="P155" s="641"/>
      <c r="Q155" s="641"/>
      <c r="R155" s="641"/>
      <c r="S155" s="641"/>
      <c r="T155" s="641"/>
      <c r="U155" s="641"/>
      <c r="V155" s="641"/>
      <c r="W155" s="641"/>
      <c r="X155" s="641"/>
      <c r="Y155" s="641"/>
      <c r="Z155" s="641"/>
      <c r="AA155" s="641"/>
      <c r="AB155" s="641"/>
      <c r="AC155" s="641"/>
      <c r="AD155" s="641"/>
      <c r="AE155" s="641"/>
      <c r="AF155" s="641"/>
      <c r="AG155" s="641"/>
      <c r="AH155" s="641"/>
      <c r="AI155" s="641"/>
      <c r="AJ155" s="643"/>
    </row>
    <row r="156" spans="2:36" ht="15">
      <c r="B156" s="632">
        <v>151</v>
      </c>
      <c r="C156" s="633" t="s">
        <v>213</v>
      </c>
      <c r="D156" s="633" t="s">
        <v>383</v>
      </c>
      <c r="E156" s="634">
        <v>0</v>
      </c>
      <c r="F156" s="634">
        <v>0</v>
      </c>
      <c r="G156" s="633" t="s">
        <v>381</v>
      </c>
      <c r="H156" s="628">
        <v>884043.53600000008</v>
      </c>
      <c r="I156" s="628">
        <v>280400</v>
      </c>
      <c r="J156" s="635"/>
      <c r="K156" s="635"/>
      <c r="L156" s="635"/>
      <c r="M156" s="636"/>
      <c r="N156" s="635"/>
      <c r="O156" s="635"/>
      <c r="P156" s="635"/>
      <c r="Q156" s="635"/>
      <c r="R156" s="635"/>
      <c r="S156" s="635"/>
      <c r="T156" s="635"/>
      <c r="U156" s="635"/>
      <c r="V156" s="635"/>
      <c r="W156" s="635"/>
      <c r="X156" s="635"/>
      <c r="Y156" s="635"/>
      <c r="Z156" s="635"/>
      <c r="AA156" s="635"/>
      <c r="AB156" s="635"/>
      <c r="AC156" s="635"/>
      <c r="AD156" s="635"/>
      <c r="AE156" s="635"/>
      <c r="AF156" s="635"/>
      <c r="AG156" s="635"/>
      <c r="AH156" s="635"/>
      <c r="AI156" s="635"/>
      <c r="AJ156" s="637"/>
    </row>
    <row r="157" spans="2:36" ht="15">
      <c r="B157" s="632">
        <v>135</v>
      </c>
      <c r="C157" s="633" t="s">
        <v>241</v>
      </c>
      <c r="D157" s="633" t="s">
        <v>506</v>
      </c>
      <c r="E157" s="634">
        <v>0</v>
      </c>
      <c r="F157" s="634">
        <v>159790</v>
      </c>
      <c r="G157" s="633" t="s">
        <v>374</v>
      </c>
      <c r="H157" s="629">
        <v>0</v>
      </c>
      <c r="I157" s="629">
        <v>159790</v>
      </c>
      <c r="J157" s="641"/>
      <c r="K157" s="641"/>
      <c r="L157" s="641"/>
      <c r="M157" s="642"/>
      <c r="N157" s="641"/>
      <c r="O157" s="641"/>
      <c r="P157" s="641"/>
      <c r="Q157" s="641"/>
      <c r="R157" s="641"/>
      <c r="S157" s="641"/>
      <c r="T157" s="641"/>
      <c r="U157" s="641"/>
      <c r="V157" s="641"/>
      <c r="W157" s="641"/>
      <c r="X157" s="641"/>
      <c r="Y157" s="641"/>
      <c r="Z157" s="641"/>
      <c r="AA157" s="641"/>
      <c r="AB157" s="641"/>
      <c r="AC157" s="641"/>
      <c r="AD157" s="641">
        <v>0.7</v>
      </c>
      <c r="AE157" s="641">
        <v>0.5</v>
      </c>
      <c r="AF157" s="641"/>
      <c r="AG157" s="641"/>
      <c r="AH157" s="641"/>
      <c r="AI157" s="641"/>
      <c r="AJ157" s="643"/>
    </row>
    <row r="158" spans="2:36" ht="15">
      <c r="B158" s="632"/>
      <c r="C158" s="633"/>
      <c r="D158" s="633"/>
      <c r="E158" s="634">
        <v>21774600</v>
      </c>
      <c r="F158" s="634">
        <v>0</v>
      </c>
      <c r="G158" s="633"/>
      <c r="H158" s="628">
        <v>0</v>
      </c>
      <c r="I158" s="628">
        <v>0</v>
      </c>
      <c r="J158" s="635"/>
      <c r="K158" s="635"/>
      <c r="L158" s="635"/>
      <c r="M158" s="636"/>
      <c r="N158" s="635"/>
      <c r="O158" s="635"/>
      <c r="P158" s="635"/>
      <c r="Q158" s="635"/>
      <c r="R158" s="635"/>
      <c r="S158" s="635"/>
      <c r="T158" s="635"/>
      <c r="U158" s="635"/>
      <c r="V158" s="635"/>
      <c r="W158" s="635"/>
      <c r="X158" s="635"/>
      <c r="Y158" s="635"/>
      <c r="Z158" s="635"/>
      <c r="AA158" s="635">
        <v>60</v>
      </c>
      <c r="AB158" s="635"/>
      <c r="AC158" s="635"/>
      <c r="AD158" s="635"/>
      <c r="AE158" s="635"/>
      <c r="AF158" s="635"/>
      <c r="AG158" s="635"/>
      <c r="AH158" s="635"/>
      <c r="AI158" s="635"/>
      <c r="AJ158" s="637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B1:AK158"/>
  <sheetViews>
    <sheetView zoomScale="70" zoomScaleNormal="70" workbookViewId="0">
      <pane xSplit="9" ySplit="3" topLeftCell="J4" activePane="bottomRight" state="frozen"/>
      <selection pane="topRight" activeCell="J1" sqref="J1"/>
      <selection pane="bottomLeft" activeCell="A4" sqref="A4"/>
      <selection pane="bottomRight" activeCell="F2" sqref="F1:F1048576"/>
    </sheetView>
  </sheetViews>
  <sheetFormatPr baseColWidth="10" defaultColWidth="11.42578125" defaultRowHeight="14.25"/>
  <cols>
    <col min="1" max="1" width="10.140625" style="593" customWidth="1"/>
    <col min="2" max="2" width="5.42578125" style="593" customWidth="1"/>
    <col min="3" max="3" width="25.85546875" style="593" customWidth="1"/>
    <col min="4" max="4" width="29.42578125" style="593" customWidth="1"/>
    <col min="5" max="5" width="27.5703125" style="593" customWidth="1"/>
    <col min="6" max="6" width="25.42578125" style="593" customWidth="1"/>
    <col min="7" max="7" width="24.5703125" style="593" customWidth="1"/>
    <col min="8" max="9" width="32.5703125" style="593" customWidth="1"/>
    <col min="10" max="12" width="12.5703125" style="593" customWidth="1"/>
    <col min="13" max="17" width="12.5703125" style="375" customWidth="1"/>
    <col min="18" max="34" width="12.5703125" style="593" customWidth="1"/>
    <col min="35" max="36" width="13.42578125" style="593" customWidth="1"/>
    <col min="37" max="39" width="15.140625" style="593" customWidth="1"/>
    <col min="40" max="41" width="11.42578125" style="593"/>
    <col min="42" max="42" width="16.140625" style="593" bestFit="1" customWidth="1"/>
    <col min="43" max="16384" width="11.42578125" style="593"/>
  </cols>
  <sheetData>
    <row r="1" spans="2:37" ht="18">
      <c r="B1" s="952" t="s">
        <v>652</v>
      </c>
      <c r="C1" s="952"/>
      <c r="D1" s="952"/>
      <c r="E1" s="952"/>
      <c r="F1" s="952"/>
      <c r="G1" s="952"/>
      <c r="H1" s="952"/>
      <c r="I1" s="594" t="s">
        <v>653</v>
      </c>
      <c r="M1" s="593"/>
      <c r="N1" s="593"/>
      <c r="O1" s="593"/>
      <c r="P1" s="593"/>
      <c r="Q1" s="593"/>
    </row>
    <row r="2" spans="2:37" s="596" customFormat="1" ht="15" customHeight="1">
      <c r="D2" s="619">
        <v>1</v>
      </c>
      <c r="E2" s="619">
        <v>2</v>
      </c>
      <c r="F2" s="619">
        <v>3</v>
      </c>
      <c r="G2" s="619">
        <v>4</v>
      </c>
      <c r="H2" s="619">
        <v>5</v>
      </c>
      <c r="I2" s="619">
        <v>6</v>
      </c>
      <c r="J2" s="595">
        <v>33960</v>
      </c>
      <c r="K2" s="595">
        <v>46800</v>
      </c>
      <c r="L2" s="595">
        <v>109295</v>
      </c>
      <c r="M2" s="595">
        <v>193.75</v>
      </c>
      <c r="N2" s="595">
        <v>40223.14</v>
      </c>
      <c r="O2" s="595">
        <v>539933.88</v>
      </c>
      <c r="P2" s="595">
        <v>43099.17</v>
      </c>
      <c r="Q2" s="595">
        <v>20611.57</v>
      </c>
      <c r="R2" s="595">
        <v>17975.21</v>
      </c>
      <c r="S2" s="595">
        <v>8793.39</v>
      </c>
      <c r="T2" s="595">
        <v>12041.32</v>
      </c>
      <c r="U2" s="595">
        <v>18570.25</v>
      </c>
      <c r="V2" s="595">
        <v>643983.47</v>
      </c>
      <c r="W2" s="595">
        <v>1429537.19</v>
      </c>
      <c r="X2" s="595">
        <v>714768.59499999997</v>
      </c>
      <c r="Y2" s="595">
        <v>620830</v>
      </c>
      <c r="Z2" s="595">
        <v>411600</v>
      </c>
      <c r="AA2" s="595">
        <v>362910</v>
      </c>
      <c r="AB2" s="595">
        <v>279400</v>
      </c>
      <c r="AC2" s="595">
        <v>217250.62034739455</v>
      </c>
      <c r="AD2" s="595">
        <v>39700</v>
      </c>
      <c r="AE2" s="595">
        <v>264000</v>
      </c>
      <c r="AF2" s="595">
        <v>180000</v>
      </c>
      <c r="AG2" s="595">
        <v>91900</v>
      </c>
      <c r="AH2" s="595">
        <v>46800</v>
      </c>
      <c r="AI2" s="595">
        <v>48500</v>
      </c>
      <c r="AJ2" s="595">
        <v>230000</v>
      </c>
    </row>
    <row r="3" spans="2:37" ht="81.75" customHeight="1">
      <c r="B3" s="597" t="s">
        <v>314</v>
      </c>
      <c r="C3" s="597" t="s">
        <v>315</v>
      </c>
      <c r="D3" s="597" t="s">
        <v>22</v>
      </c>
      <c r="E3" s="598" t="s">
        <v>654</v>
      </c>
      <c r="F3" s="598" t="s">
        <v>655</v>
      </c>
      <c r="G3" s="598" t="s">
        <v>322</v>
      </c>
      <c r="H3" s="598" t="s">
        <v>656</v>
      </c>
      <c r="I3" s="598" t="s">
        <v>657</v>
      </c>
      <c r="J3" s="599" t="s">
        <v>658</v>
      </c>
      <c r="K3" s="599" t="s">
        <v>659</v>
      </c>
      <c r="L3" s="599" t="s">
        <v>660</v>
      </c>
      <c r="M3" s="599" t="s">
        <v>661</v>
      </c>
      <c r="N3" s="599" t="s">
        <v>662</v>
      </c>
      <c r="O3" s="599" t="s">
        <v>663</v>
      </c>
      <c r="P3" s="599" t="s">
        <v>664</v>
      </c>
      <c r="Q3" s="599" t="s">
        <v>665</v>
      </c>
      <c r="R3" s="599" t="s">
        <v>666</v>
      </c>
      <c r="S3" s="599" t="s">
        <v>667</v>
      </c>
      <c r="T3" s="599" t="s">
        <v>668</v>
      </c>
      <c r="U3" s="599" t="s">
        <v>669</v>
      </c>
      <c r="V3" s="599" t="s">
        <v>670</v>
      </c>
      <c r="W3" s="599" t="s">
        <v>671</v>
      </c>
      <c r="X3" s="599" t="s">
        <v>672</v>
      </c>
      <c r="Y3" s="599" t="s">
        <v>673</v>
      </c>
      <c r="Z3" s="599" t="s">
        <v>674</v>
      </c>
      <c r="AA3" s="599" t="s">
        <v>675</v>
      </c>
      <c r="AB3" s="599" t="s">
        <v>676</v>
      </c>
      <c r="AC3" s="599" t="s">
        <v>677</v>
      </c>
      <c r="AD3" s="600" t="s">
        <v>678</v>
      </c>
      <c r="AE3" s="601" t="s">
        <v>679</v>
      </c>
      <c r="AF3" s="601" t="s">
        <v>680</v>
      </c>
      <c r="AG3" s="601" t="s">
        <v>681</v>
      </c>
      <c r="AH3" s="601" t="s">
        <v>682</v>
      </c>
      <c r="AI3" s="601" t="s">
        <v>683</v>
      </c>
      <c r="AJ3" s="600" t="s">
        <v>684</v>
      </c>
    </row>
    <row r="4" spans="2:37" ht="15">
      <c r="B4" s="602">
        <v>37</v>
      </c>
      <c r="C4" s="603" t="s">
        <v>124</v>
      </c>
      <c r="D4" s="603" t="s">
        <v>352</v>
      </c>
      <c r="E4" s="604">
        <v>0</v>
      </c>
      <c r="F4" s="604">
        <v>0</v>
      </c>
      <c r="G4" s="603" t="s">
        <v>351</v>
      </c>
      <c r="H4" s="596">
        <v>0</v>
      </c>
      <c r="I4" s="596">
        <v>0</v>
      </c>
      <c r="J4" s="605"/>
      <c r="K4" s="605"/>
      <c r="L4" s="605"/>
      <c r="M4" s="606"/>
      <c r="N4" s="605"/>
      <c r="O4" s="605"/>
      <c r="P4" s="605"/>
      <c r="Q4" s="605"/>
      <c r="R4" s="605"/>
      <c r="S4" s="605"/>
      <c r="T4" s="605"/>
      <c r="U4" s="605"/>
      <c r="V4" s="605"/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</row>
    <row r="5" spans="2:37" ht="15">
      <c r="B5" s="607">
        <v>58</v>
      </c>
      <c r="C5" s="608" t="s">
        <v>147</v>
      </c>
      <c r="D5" s="608" t="s">
        <v>353</v>
      </c>
      <c r="E5" s="609">
        <v>0</v>
      </c>
      <c r="F5" s="609">
        <v>0</v>
      </c>
      <c r="G5" s="608" t="s">
        <v>351</v>
      </c>
      <c r="H5" s="596">
        <v>0</v>
      </c>
      <c r="I5" s="596">
        <v>0</v>
      </c>
      <c r="J5" s="605"/>
      <c r="K5" s="605"/>
      <c r="L5" s="605"/>
      <c r="M5" s="606"/>
      <c r="N5" s="605"/>
      <c r="O5" s="605"/>
      <c r="P5" s="605"/>
      <c r="Q5" s="605"/>
      <c r="R5" s="605"/>
      <c r="S5" s="605"/>
      <c r="T5" s="605"/>
      <c r="U5" s="605"/>
      <c r="V5" s="605"/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</row>
    <row r="6" spans="2:37" ht="15">
      <c r="B6" s="607">
        <v>82</v>
      </c>
      <c r="C6" s="608" t="s">
        <v>180</v>
      </c>
      <c r="D6" s="608" t="s">
        <v>350</v>
      </c>
      <c r="E6" s="609">
        <v>0</v>
      </c>
      <c r="F6" s="609">
        <v>0</v>
      </c>
      <c r="G6" s="608" t="s">
        <v>351</v>
      </c>
      <c r="H6" s="596">
        <v>0</v>
      </c>
      <c r="I6" s="596">
        <v>0</v>
      </c>
      <c r="J6" s="605"/>
      <c r="K6" s="605"/>
      <c r="L6" s="605"/>
      <c r="M6" s="606"/>
      <c r="N6" s="605"/>
      <c r="O6" s="605"/>
      <c r="P6" s="605"/>
      <c r="Q6" s="605"/>
      <c r="R6" s="605"/>
      <c r="S6" s="605"/>
      <c r="T6" s="605"/>
      <c r="U6" s="605"/>
      <c r="V6" s="605"/>
      <c r="W6" s="605"/>
      <c r="X6" s="605"/>
      <c r="Y6" s="605"/>
      <c r="Z6" s="605"/>
      <c r="AA6" s="605"/>
      <c r="AB6" s="605"/>
      <c r="AC6" s="605"/>
      <c r="AD6" s="605"/>
      <c r="AE6" s="605"/>
      <c r="AF6" s="605"/>
      <c r="AG6" s="605"/>
      <c r="AH6" s="605"/>
      <c r="AI6" s="605"/>
      <c r="AJ6" s="605"/>
    </row>
    <row r="7" spans="2:37" ht="15">
      <c r="B7" s="607">
        <v>90</v>
      </c>
      <c r="C7" s="608" t="s">
        <v>189</v>
      </c>
      <c r="D7" s="608" t="s">
        <v>354</v>
      </c>
      <c r="E7" s="609">
        <v>0</v>
      </c>
      <c r="F7" s="609">
        <v>0</v>
      </c>
      <c r="G7" s="608" t="s">
        <v>351</v>
      </c>
      <c r="H7" s="596">
        <v>0</v>
      </c>
      <c r="I7" s="596">
        <v>0</v>
      </c>
      <c r="J7" s="605"/>
      <c r="K7" s="605"/>
      <c r="L7" s="605"/>
      <c r="M7" s="606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5"/>
      <c r="AA7" s="605"/>
      <c r="AB7" s="605"/>
      <c r="AC7" s="605"/>
      <c r="AD7" s="605"/>
      <c r="AE7" s="605"/>
      <c r="AF7" s="605"/>
      <c r="AG7" s="605"/>
      <c r="AH7" s="605"/>
      <c r="AI7" s="605"/>
      <c r="AJ7" s="605"/>
      <c r="AK7" s="610"/>
    </row>
    <row r="8" spans="2:37" ht="15">
      <c r="B8" s="607">
        <v>42</v>
      </c>
      <c r="C8" s="608" t="s">
        <v>131</v>
      </c>
      <c r="D8" s="608" t="s">
        <v>366</v>
      </c>
      <c r="E8" s="609">
        <v>0</v>
      </c>
      <c r="F8" s="609">
        <v>0</v>
      </c>
      <c r="G8" s="608" t="s">
        <v>363</v>
      </c>
      <c r="H8" s="596">
        <v>0</v>
      </c>
      <c r="I8" s="596">
        <v>0</v>
      </c>
      <c r="J8" s="605"/>
      <c r="K8" s="605"/>
      <c r="L8" s="605"/>
      <c r="M8" s="606"/>
      <c r="N8" s="605"/>
      <c r="O8" s="605"/>
      <c r="P8" s="605"/>
      <c r="Q8" s="605"/>
      <c r="R8" s="605"/>
      <c r="S8" s="605"/>
      <c r="T8" s="605"/>
      <c r="U8" s="605"/>
      <c r="V8" s="605"/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610"/>
    </row>
    <row r="9" spans="2:37" ht="15">
      <c r="B9" s="602">
        <v>5</v>
      </c>
      <c r="C9" s="603" t="s">
        <v>90</v>
      </c>
      <c r="D9" s="603" t="s">
        <v>362</v>
      </c>
      <c r="E9" s="604">
        <v>0</v>
      </c>
      <c r="F9" s="604">
        <v>0</v>
      </c>
      <c r="G9" s="603" t="s">
        <v>363</v>
      </c>
      <c r="H9" s="596">
        <v>0</v>
      </c>
      <c r="I9" s="596">
        <v>0</v>
      </c>
      <c r="J9" s="605"/>
      <c r="K9" s="605"/>
      <c r="L9" s="605"/>
      <c r="M9" s="606"/>
      <c r="N9" s="605"/>
      <c r="O9" s="605"/>
      <c r="P9" s="605"/>
      <c r="Q9" s="605"/>
      <c r="R9" s="605"/>
      <c r="S9" s="605"/>
      <c r="T9" s="605"/>
      <c r="U9" s="605"/>
      <c r="V9" s="605"/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610"/>
    </row>
    <row r="10" spans="2:37" ht="15">
      <c r="B10" s="602">
        <v>93</v>
      </c>
      <c r="C10" s="603" t="s">
        <v>192</v>
      </c>
      <c r="D10" s="603" t="s">
        <v>365</v>
      </c>
      <c r="E10" s="604">
        <v>0</v>
      </c>
      <c r="F10" s="604">
        <v>0</v>
      </c>
      <c r="G10" s="603" t="s">
        <v>363</v>
      </c>
      <c r="H10" s="596">
        <v>0</v>
      </c>
      <c r="I10" s="596">
        <v>0</v>
      </c>
      <c r="J10" s="605"/>
      <c r="K10" s="605"/>
      <c r="L10" s="605"/>
      <c r="M10" s="606"/>
      <c r="N10" s="605"/>
      <c r="O10" s="605"/>
      <c r="P10" s="605"/>
      <c r="Q10" s="605"/>
      <c r="R10" s="605"/>
      <c r="S10" s="605"/>
      <c r="T10" s="605"/>
      <c r="U10" s="605"/>
      <c r="V10" s="605"/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610"/>
    </row>
    <row r="11" spans="2:37" ht="15">
      <c r="B11" s="607">
        <v>124</v>
      </c>
      <c r="C11" s="608" t="s">
        <v>230</v>
      </c>
      <c r="D11" s="608" t="s">
        <v>364</v>
      </c>
      <c r="E11" s="609">
        <v>0</v>
      </c>
      <c r="F11" s="609">
        <v>0</v>
      </c>
      <c r="G11" s="608" t="s">
        <v>363</v>
      </c>
      <c r="H11" s="596">
        <v>0</v>
      </c>
      <c r="I11" s="596">
        <v>0</v>
      </c>
      <c r="J11" s="605"/>
      <c r="K11" s="605"/>
      <c r="L11" s="605"/>
      <c r="M11" s="606"/>
      <c r="N11" s="605"/>
      <c r="O11" s="605"/>
      <c r="P11" s="605"/>
      <c r="Q11" s="605"/>
      <c r="R11" s="605"/>
      <c r="S11" s="605"/>
      <c r="T11" s="605"/>
      <c r="U11" s="605"/>
      <c r="V11" s="605"/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610"/>
    </row>
    <row r="12" spans="2:37" ht="15">
      <c r="B12" s="602">
        <v>11</v>
      </c>
      <c r="C12" s="603" t="s">
        <v>96</v>
      </c>
      <c r="D12" s="603" t="s">
        <v>348</v>
      </c>
      <c r="E12" s="604">
        <v>0</v>
      </c>
      <c r="F12" s="604">
        <v>0</v>
      </c>
      <c r="G12" s="603" t="s">
        <v>349</v>
      </c>
      <c r="H12" s="596">
        <v>0</v>
      </c>
      <c r="I12" s="596">
        <v>0</v>
      </c>
      <c r="J12" s="605"/>
      <c r="K12" s="605"/>
      <c r="L12" s="605"/>
      <c r="M12" s="606"/>
      <c r="N12" s="605"/>
      <c r="O12" s="605"/>
      <c r="P12" s="605"/>
      <c r="Q12" s="605"/>
      <c r="R12" s="605"/>
      <c r="S12" s="605"/>
      <c r="T12" s="605"/>
      <c r="U12" s="605"/>
      <c r="V12" s="605"/>
      <c r="W12" s="605"/>
      <c r="X12" s="605"/>
      <c r="Y12" s="605"/>
      <c r="Z12" s="605"/>
      <c r="AA12" s="605"/>
      <c r="AB12" s="605"/>
      <c r="AC12" s="605"/>
      <c r="AD12" s="605"/>
      <c r="AE12" s="605"/>
      <c r="AF12" s="605"/>
      <c r="AG12" s="605"/>
      <c r="AH12" s="605"/>
      <c r="AI12" s="605"/>
      <c r="AJ12" s="605"/>
      <c r="AK12" s="596"/>
    </row>
    <row r="13" spans="2:37" ht="15">
      <c r="B13" s="602">
        <v>1</v>
      </c>
      <c r="C13" s="603" t="s">
        <v>83</v>
      </c>
      <c r="D13" s="603" t="s">
        <v>334</v>
      </c>
      <c r="E13" s="604">
        <v>99330.25</v>
      </c>
      <c r="F13" s="604">
        <v>39700</v>
      </c>
      <c r="G13" s="603" t="s">
        <v>329</v>
      </c>
      <c r="H13" s="596">
        <v>279420.5</v>
      </c>
      <c r="I13" s="596">
        <v>79400</v>
      </c>
      <c r="J13" s="605">
        <v>1</v>
      </c>
      <c r="K13" s="605">
        <v>1</v>
      </c>
      <c r="L13" s="605"/>
      <c r="M13" s="606"/>
      <c r="N13" s="605"/>
      <c r="O13" s="605"/>
      <c r="P13" s="605"/>
      <c r="Q13" s="605"/>
      <c r="R13" s="605"/>
      <c r="S13" s="605"/>
      <c r="T13" s="605"/>
      <c r="U13" s="605">
        <v>1</v>
      </c>
      <c r="V13" s="605"/>
      <c r="W13" s="605"/>
      <c r="X13" s="605"/>
      <c r="Y13" s="605"/>
      <c r="Z13" s="605"/>
      <c r="AA13" s="605"/>
      <c r="AB13" s="605"/>
      <c r="AC13" s="605"/>
      <c r="AD13" s="605">
        <v>1</v>
      </c>
      <c r="AE13" s="605"/>
      <c r="AF13" s="605"/>
      <c r="AG13" s="605"/>
      <c r="AH13" s="605"/>
      <c r="AI13" s="605"/>
      <c r="AJ13" s="605"/>
      <c r="AK13" s="596"/>
    </row>
    <row r="14" spans="2:37" ht="15">
      <c r="B14" s="607">
        <v>2</v>
      </c>
      <c r="C14" s="608" t="s">
        <v>85</v>
      </c>
      <c r="D14" s="608" t="s">
        <v>340</v>
      </c>
      <c r="E14" s="609">
        <v>0</v>
      </c>
      <c r="F14" s="609">
        <v>0</v>
      </c>
      <c r="G14" s="608" t="s">
        <v>329</v>
      </c>
      <c r="H14" s="596">
        <v>279420.5</v>
      </c>
      <c r="I14" s="596">
        <v>79400</v>
      </c>
      <c r="J14" s="605"/>
      <c r="K14" s="605"/>
      <c r="L14" s="605"/>
      <c r="M14" s="606"/>
      <c r="N14" s="605"/>
      <c r="O14" s="605"/>
      <c r="P14" s="605"/>
      <c r="Q14" s="605"/>
      <c r="R14" s="605"/>
      <c r="S14" s="605"/>
      <c r="T14" s="605"/>
      <c r="U14" s="605"/>
      <c r="V14" s="605"/>
      <c r="W14" s="605"/>
      <c r="X14" s="605"/>
      <c r="Y14" s="605"/>
      <c r="Z14" s="605"/>
      <c r="AA14" s="605"/>
      <c r="AB14" s="605"/>
      <c r="AC14" s="605"/>
      <c r="AD14" s="605"/>
      <c r="AE14" s="605"/>
      <c r="AF14" s="605"/>
      <c r="AG14" s="605"/>
      <c r="AH14" s="605"/>
      <c r="AI14" s="605"/>
      <c r="AJ14" s="605"/>
    </row>
    <row r="15" spans="2:37" ht="15">
      <c r="B15" s="602">
        <v>3</v>
      </c>
      <c r="C15" s="603" t="s">
        <v>86</v>
      </c>
      <c r="D15" s="603" t="s">
        <v>339</v>
      </c>
      <c r="E15" s="604">
        <v>0</v>
      </c>
      <c r="F15" s="604">
        <v>0</v>
      </c>
      <c r="G15" s="603" t="s">
        <v>329</v>
      </c>
      <c r="H15" s="596">
        <v>279420.5</v>
      </c>
      <c r="I15" s="596">
        <v>79400</v>
      </c>
      <c r="J15" s="605"/>
      <c r="K15" s="605"/>
      <c r="L15" s="605"/>
      <c r="M15" s="606"/>
      <c r="N15" s="605"/>
      <c r="O15" s="605"/>
      <c r="P15" s="605"/>
      <c r="Q15" s="605"/>
      <c r="R15" s="605"/>
      <c r="S15" s="605"/>
      <c r="T15" s="605"/>
      <c r="U15" s="605"/>
      <c r="V15" s="605"/>
      <c r="W15" s="605"/>
      <c r="X15" s="605"/>
      <c r="Y15" s="605"/>
      <c r="Z15" s="605"/>
      <c r="AA15" s="605"/>
      <c r="AB15" s="605"/>
      <c r="AC15" s="605"/>
      <c r="AD15" s="605"/>
      <c r="AE15" s="605"/>
      <c r="AF15" s="605"/>
      <c r="AG15" s="605"/>
      <c r="AH15" s="605"/>
      <c r="AI15" s="605"/>
      <c r="AJ15" s="605"/>
    </row>
    <row r="16" spans="2:37" ht="15">
      <c r="B16" s="607">
        <v>136</v>
      </c>
      <c r="C16" s="608" t="s">
        <v>53</v>
      </c>
      <c r="D16" s="608" t="s">
        <v>53</v>
      </c>
      <c r="E16" s="609">
        <v>0</v>
      </c>
      <c r="F16" s="609">
        <v>0</v>
      </c>
      <c r="G16" s="608" t="s">
        <v>329</v>
      </c>
      <c r="H16" s="596">
        <v>279420.5</v>
      </c>
      <c r="I16" s="596">
        <v>79400</v>
      </c>
      <c r="J16" s="605"/>
      <c r="K16" s="605"/>
      <c r="L16" s="605"/>
      <c r="M16" s="606"/>
      <c r="N16" s="605"/>
      <c r="O16" s="605"/>
      <c r="P16" s="605"/>
      <c r="Q16" s="605"/>
      <c r="R16" s="605"/>
      <c r="S16" s="605"/>
      <c r="T16" s="605"/>
      <c r="U16" s="605"/>
      <c r="V16" s="605"/>
      <c r="W16" s="605"/>
      <c r="X16" s="605"/>
      <c r="Y16" s="605"/>
      <c r="Z16" s="605"/>
      <c r="AA16" s="605"/>
      <c r="AB16" s="605"/>
      <c r="AC16" s="605"/>
      <c r="AD16" s="605"/>
      <c r="AE16" s="605"/>
      <c r="AF16" s="605"/>
      <c r="AG16" s="605"/>
      <c r="AH16" s="605"/>
      <c r="AI16" s="605"/>
      <c r="AJ16" s="605"/>
    </row>
    <row r="17" spans="2:36" ht="15">
      <c r="B17" s="602">
        <v>59</v>
      </c>
      <c r="C17" s="603" t="s">
        <v>148</v>
      </c>
      <c r="D17" s="603" t="s">
        <v>343</v>
      </c>
      <c r="E17" s="604">
        <v>0</v>
      </c>
      <c r="F17" s="604">
        <v>0</v>
      </c>
      <c r="G17" s="603" t="s">
        <v>329</v>
      </c>
      <c r="H17" s="596">
        <v>279420.5</v>
      </c>
      <c r="I17" s="596">
        <v>79400</v>
      </c>
      <c r="J17" s="605"/>
      <c r="K17" s="605"/>
      <c r="L17" s="605"/>
      <c r="M17" s="606"/>
      <c r="N17" s="605"/>
      <c r="O17" s="605"/>
      <c r="P17" s="605"/>
      <c r="Q17" s="605"/>
      <c r="R17" s="605"/>
      <c r="S17" s="605"/>
      <c r="T17" s="605"/>
      <c r="U17" s="605"/>
      <c r="V17" s="605"/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</row>
    <row r="18" spans="2:36" ht="15">
      <c r="B18" s="607">
        <v>4</v>
      </c>
      <c r="C18" s="608" t="s">
        <v>88</v>
      </c>
      <c r="D18" s="608" t="s">
        <v>556</v>
      </c>
      <c r="E18" s="609">
        <v>0</v>
      </c>
      <c r="F18" s="609">
        <v>0</v>
      </c>
      <c r="G18" s="608" t="s">
        <v>329</v>
      </c>
      <c r="H18" s="596">
        <v>279420.5</v>
      </c>
      <c r="I18" s="596">
        <v>79400</v>
      </c>
      <c r="J18" s="605"/>
      <c r="K18" s="605"/>
      <c r="L18" s="605"/>
      <c r="M18" s="606"/>
      <c r="N18" s="605"/>
      <c r="O18" s="605"/>
      <c r="P18" s="605"/>
      <c r="Q18" s="605"/>
      <c r="R18" s="605"/>
      <c r="S18" s="605"/>
      <c r="T18" s="605"/>
      <c r="U18" s="605"/>
      <c r="V18" s="605"/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</row>
    <row r="19" spans="2:36" ht="15">
      <c r="B19" s="607">
        <v>6</v>
      </c>
      <c r="C19" s="608" t="s">
        <v>91</v>
      </c>
      <c r="D19" s="608" t="s">
        <v>335</v>
      </c>
      <c r="E19" s="609">
        <v>18570.25</v>
      </c>
      <c r="F19" s="609">
        <v>0</v>
      </c>
      <c r="G19" s="608" t="s">
        <v>329</v>
      </c>
      <c r="H19" s="596">
        <v>279420.5</v>
      </c>
      <c r="I19" s="596">
        <v>79400</v>
      </c>
      <c r="J19" s="605"/>
      <c r="K19" s="605"/>
      <c r="L19" s="605"/>
      <c r="M19" s="606"/>
      <c r="N19" s="605"/>
      <c r="O19" s="605"/>
      <c r="P19" s="605"/>
      <c r="Q19" s="605"/>
      <c r="R19" s="605"/>
      <c r="S19" s="605"/>
      <c r="T19" s="605"/>
      <c r="U19" s="605">
        <v>1</v>
      </c>
      <c r="V19" s="605"/>
      <c r="W19" s="605"/>
      <c r="X19" s="605"/>
      <c r="Y19" s="605"/>
      <c r="Z19" s="605"/>
      <c r="AA19" s="605"/>
      <c r="AB19" s="605"/>
      <c r="AC19" s="605"/>
      <c r="AD19" s="605"/>
      <c r="AE19" s="605"/>
      <c r="AF19" s="605"/>
      <c r="AG19" s="605"/>
      <c r="AH19" s="605"/>
      <c r="AI19" s="605"/>
      <c r="AJ19" s="605"/>
    </row>
    <row r="20" spans="2:36" ht="15">
      <c r="B20" s="607">
        <v>74</v>
      </c>
      <c r="C20" s="608" t="s">
        <v>168</v>
      </c>
      <c r="D20" s="608" t="s">
        <v>505</v>
      </c>
      <c r="E20" s="609">
        <v>0</v>
      </c>
      <c r="F20" s="609">
        <v>0</v>
      </c>
      <c r="G20" s="608" t="s">
        <v>329</v>
      </c>
      <c r="H20" s="596">
        <v>279420.5</v>
      </c>
      <c r="I20" s="596">
        <v>79400</v>
      </c>
      <c r="J20" s="605"/>
      <c r="K20" s="605"/>
      <c r="L20" s="605"/>
      <c r="M20" s="606"/>
      <c r="N20" s="605"/>
      <c r="O20" s="605"/>
      <c r="P20" s="605"/>
      <c r="Q20" s="605"/>
      <c r="R20" s="605"/>
      <c r="S20" s="605"/>
      <c r="T20" s="605"/>
      <c r="U20" s="605"/>
      <c r="V20" s="605"/>
      <c r="W20" s="605"/>
      <c r="X20" s="605"/>
      <c r="Y20" s="605"/>
      <c r="Z20" s="605"/>
      <c r="AA20" s="605"/>
      <c r="AB20" s="605"/>
      <c r="AC20" s="605"/>
      <c r="AD20" s="605"/>
      <c r="AE20" s="605"/>
      <c r="AF20" s="605"/>
      <c r="AG20" s="605"/>
      <c r="AH20" s="605"/>
      <c r="AI20" s="605"/>
      <c r="AJ20" s="605"/>
    </row>
    <row r="21" spans="2:36" ht="15">
      <c r="B21" s="602">
        <v>7</v>
      </c>
      <c r="C21" s="603" t="s">
        <v>92</v>
      </c>
      <c r="D21" s="603" t="s">
        <v>491</v>
      </c>
      <c r="E21" s="604">
        <v>0</v>
      </c>
      <c r="F21" s="604">
        <v>0</v>
      </c>
      <c r="G21" s="603" t="s">
        <v>329</v>
      </c>
      <c r="H21" s="596">
        <v>279420.5</v>
      </c>
      <c r="I21" s="596">
        <v>79400</v>
      </c>
      <c r="J21" s="605"/>
      <c r="K21" s="605"/>
      <c r="L21" s="605"/>
      <c r="M21" s="606"/>
      <c r="N21" s="605"/>
      <c r="O21" s="605"/>
      <c r="P21" s="605"/>
      <c r="Q21" s="605"/>
      <c r="R21" s="605"/>
      <c r="S21" s="605"/>
      <c r="T21" s="605"/>
      <c r="U21" s="605"/>
      <c r="V21" s="605"/>
      <c r="W21" s="605"/>
      <c r="X21" s="605"/>
      <c r="Y21" s="605"/>
      <c r="Z21" s="605"/>
      <c r="AA21" s="605"/>
      <c r="AB21" s="605"/>
      <c r="AC21" s="605"/>
      <c r="AD21" s="605"/>
      <c r="AE21" s="605"/>
      <c r="AF21" s="605"/>
      <c r="AG21" s="605"/>
      <c r="AH21" s="605"/>
      <c r="AI21" s="605"/>
      <c r="AJ21" s="605"/>
    </row>
    <row r="22" spans="2:36" ht="15">
      <c r="B22" s="607">
        <v>8</v>
      </c>
      <c r="C22" s="608" t="s">
        <v>93</v>
      </c>
      <c r="D22" s="608" t="s">
        <v>345</v>
      </c>
      <c r="E22" s="609">
        <v>0</v>
      </c>
      <c r="F22" s="609">
        <v>0</v>
      </c>
      <c r="G22" s="608" t="s">
        <v>329</v>
      </c>
      <c r="H22" s="596">
        <v>279420.5</v>
      </c>
      <c r="I22" s="596">
        <v>79400</v>
      </c>
      <c r="J22" s="605"/>
      <c r="K22" s="605"/>
      <c r="L22" s="605"/>
      <c r="M22" s="606"/>
      <c r="N22" s="605"/>
      <c r="O22" s="605"/>
      <c r="P22" s="605"/>
      <c r="Q22" s="605"/>
      <c r="R22" s="605"/>
      <c r="S22" s="605"/>
      <c r="T22" s="605"/>
      <c r="U22" s="605"/>
      <c r="V22" s="605"/>
      <c r="W22" s="605"/>
      <c r="X22" s="605"/>
      <c r="Y22" s="605"/>
      <c r="Z22" s="605"/>
      <c r="AA22" s="605"/>
      <c r="AB22" s="605"/>
      <c r="AC22" s="605"/>
      <c r="AD22" s="605"/>
      <c r="AE22" s="605"/>
      <c r="AF22" s="605"/>
      <c r="AG22" s="605"/>
      <c r="AH22" s="605"/>
      <c r="AI22" s="605"/>
      <c r="AJ22" s="605"/>
    </row>
    <row r="23" spans="2:36" ht="15">
      <c r="B23" s="602">
        <v>9</v>
      </c>
      <c r="C23" s="603" t="s">
        <v>94</v>
      </c>
      <c r="D23" s="603" t="s">
        <v>559</v>
      </c>
      <c r="E23" s="604">
        <v>0</v>
      </c>
      <c r="F23" s="604">
        <v>0</v>
      </c>
      <c r="G23" s="603" t="s">
        <v>329</v>
      </c>
      <c r="H23" s="596">
        <v>279420.5</v>
      </c>
      <c r="I23" s="596">
        <v>79400</v>
      </c>
      <c r="J23" s="605"/>
      <c r="K23" s="605"/>
      <c r="L23" s="605"/>
      <c r="M23" s="606"/>
      <c r="N23" s="605"/>
      <c r="O23" s="605"/>
      <c r="P23" s="605"/>
      <c r="Q23" s="605"/>
      <c r="R23" s="605"/>
      <c r="S23" s="605"/>
      <c r="T23" s="605"/>
      <c r="U23" s="605"/>
      <c r="V23" s="605"/>
      <c r="W23" s="605"/>
      <c r="X23" s="605"/>
      <c r="Y23" s="605"/>
      <c r="Z23" s="605"/>
      <c r="AA23" s="605"/>
      <c r="AB23" s="605"/>
      <c r="AC23" s="605"/>
      <c r="AD23" s="605"/>
      <c r="AE23" s="605"/>
      <c r="AF23" s="605"/>
      <c r="AG23" s="605"/>
      <c r="AH23" s="605"/>
      <c r="AI23" s="605"/>
      <c r="AJ23" s="605"/>
    </row>
    <row r="24" spans="2:36" ht="15">
      <c r="B24" s="607">
        <v>10</v>
      </c>
      <c r="C24" s="608" t="s">
        <v>95</v>
      </c>
      <c r="D24" s="608" t="s">
        <v>557</v>
      </c>
      <c r="E24" s="609">
        <v>0</v>
      </c>
      <c r="F24" s="609">
        <v>0</v>
      </c>
      <c r="G24" s="608" t="s">
        <v>329</v>
      </c>
      <c r="H24" s="596">
        <v>279420.5</v>
      </c>
      <c r="I24" s="596">
        <v>79400</v>
      </c>
      <c r="J24" s="605"/>
      <c r="K24" s="605"/>
      <c r="L24" s="605"/>
      <c r="M24" s="606"/>
      <c r="N24" s="605"/>
      <c r="O24" s="605"/>
      <c r="P24" s="605"/>
      <c r="Q24" s="605"/>
      <c r="R24" s="605"/>
      <c r="S24" s="605"/>
      <c r="T24" s="605"/>
      <c r="U24" s="605"/>
      <c r="V24" s="605"/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</row>
    <row r="25" spans="2:36" ht="15">
      <c r="B25" s="607">
        <v>12</v>
      </c>
      <c r="C25" s="608" t="s">
        <v>97</v>
      </c>
      <c r="D25" s="608" t="s">
        <v>493</v>
      </c>
      <c r="E25" s="609">
        <v>0</v>
      </c>
      <c r="F25" s="609">
        <v>0</v>
      </c>
      <c r="G25" s="608" t="s">
        <v>329</v>
      </c>
      <c r="H25" s="596">
        <v>279420.5</v>
      </c>
      <c r="I25" s="596">
        <v>79400</v>
      </c>
      <c r="J25" s="605"/>
      <c r="K25" s="605"/>
      <c r="L25" s="605"/>
      <c r="M25" s="606"/>
      <c r="N25" s="605"/>
      <c r="O25" s="605"/>
      <c r="P25" s="605"/>
      <c r="Q25" s="605"/>
      <c r="R25" s="605"/>
      <c r="S25" s="605"/>
      <c r="T25" s="605"/>
      <c r="U25" s="605"/>
      <c r="V25" s="605"/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/>
      <c r="AJ25" s="605"/>
    </row>
    <row r="26" spans="2:36" ht="15">
      <c r="B26" s="602">
        <v>13</v>
      </c>
      <c r="C26" s="603" t="s">
        <v>98</v>
      </c>
      <c r="D26" s="603" t="s">
        <v>330</v>
      </c>
      <c r="E26" s="604">
        <v>161520</v>
      </c>
      <c r="F26" s="604">
        <v>39700</v>
      </c>
      <c r="G26" s="603" t="s">
        <v>329</v>
      </c>
      <c r="H26" s="596">
        <v>279420.5</v>
      </c>
      <c r="I26" s="596">
        <v>79400</v>
      </c>
      <c r="J26" s="605">
        <v>2</v>
      </c>
      <c r="K26" s="605">
        <v>2</v>
      </c>
      <c r="L26" s="605"/>
      <c r="M26" s="606"/>
      <c r="N26" s="605"/>
      <c r="O26" s="605"/>
      <c r="P26" s="605"/>
      <c r="Q26" s="605"/>
      <c r="R26" s="605"/>
      <c r="S26" s="605"/>
      <c r="T26" s="605"/>
      <c r="U26" s="605"/>
      <c r="V26" s="605"/>
      <c r="W26" s="605"/>
      <c r="X26" s="605"/>
      <c r="Y26" s="605"/>
      <c r="Z26" s="605"/>
      <c r="AA26" s="605"/>
      <c r="AB26" s="605"/>
      <c r="AC26" s="605"/>
      <c r="AD26" s="605">
        <v>1</v>
      </c>
      <c r="AE26" s="605"/>
      <c r="AF26" s="605"/>
      <c r="AG26" s="605"/>
      <c r="AH26" s="605"/>
      <c r="AI26" s="605"/>
      <c r="AJ26" s="605"/>
    </row>
    <row r="27" spans="2:36" ht="15">
      <c r="B27" s="607">
        <v>14</v>
      </c>
      <c r="C27" s="608" t="s">
        <v>99</v>
      </c>
      <c r="D27" s="608" t="s">
        <v>338</v>
      </c>
      <c r="E27" s="609">
        <v>0</v>
      </c>
      <c r="F27" s="609">
        <v>0</v>
      </c>
      <c r="G27" s="608" t="s">
        <v>329</v>
      </c>
      <c r="H27" s="596">
        <v>279420.5</v>
      </c>
      <c r="I27" s="596">
        <v>79400</v>
      </c>
      <c r="J27" s="605"/>
      <c r="K27" s="605"/>
      <c r="L27" s="605"/>
      <c r="M27" s="606"/>
      <c r="N27" s="605"/>
      <c r="O27" s="605"/>
      <c r="P27" s="605"/>
      <c r="Q27" s="605"/>
      <c r="R27" s="605"/>
      <c r="S27" s="605"/>
      <c r="T27" s="605"/>
      <c r="U27" s="605"/>
      <c r="V27" s="605"/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</row>
    <row r="28" spans="2:36" ht="15">
      <c r="B28" s="602">
        <v>15</v>
      </c>
      <c r="C28" s="603" t="s">
        <v>100</v>
      </c>
      <c r="D28" s="603" t="s">
        <v>332</v>
      </c>
      <c r="E28" s="604">
        <v>0</v>
      </c>
      <c r="F28" s="604">
        <v>0</v>
      </c>
      <c r="G28" s="603" t="s">
        <v>329</v>
      </c>
      <c r="H28" s="596">
        <v>279420.5</v>
      </c>
      <c r="I28" s="596">
        <v>79400</v>
      </c>
      <c r="J28" s="605"/>
      <c r="K28" s="605"/>
      <c r="L28" s="605"/>
      <c r="M28" s="606"/>
      <c r="N28" s="605"/>
      <c r="O28" s="605"/>
      <c r="P28" s="605"/>
      <c r="Q28" s="605"/>
      <c r="R28" s="605"/>
      <c r="S28" s="605"/>
      <c r="T28" s="605"/>
      <c r="U28" s="605"/>
      <c r="V28" s="605"/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</row>
    <row r="29" spans="2:36" ht="15">
      <c r="B29" s="607">
        <v>16</v>
      </c>
      <c r="C29" s="608" t="s">
        <v>101</v>
      </c>
      <c r="D29" s="608" t="s">
        <v>331</v>
      </c>
      <c r="E29" s="609">
        <v>0</v>
      </c>
      <c r="F29" s="609">
        <v>0</v>
      </c>
      <c r="G29" s="608" t="s">
        <v>329</v>
      </c>
      <c r="H29" s="596">
        <v>279420.5</v>
      </c>
      <c r="I29" s="596">
        <v>79400</v>
      </c>
      <c r="J29" s="605"/>
      <c r="K29" s="605"/>
      <c r="L29" s="605"/>
      <c r="M29" s="606"/>
      <c r="N29" s="605"/>
      <c r="O29" s="605"/>
      <c r="P29" s="605"/>
      <c r="Q29" s="605"/>
      <c r="R29" s="605"/>
      <c r="S29" s="605"/>
      <c r="T29" s="605"/>
      <c r="U29" s="605"/>
      <c r="V29" s="605"/>
      <c r="W29" s="605"/>
      <c r="X29" s="605"/>
      <c r="Y29" s="605"/>
      <c r="Z29" s="605"/>
      <c r="AA29" s="605"/>
      <c r="AB29" s="605"/>
      <c r="AC29" s="605"/>
      <c r="AD29" s="605"/>
      <c r="AE29" s="605"/>
      <c r="AF29" s="605"/>
      <c r="AG29" s="605"/>
      <c r="AH29" s="605"/>
      <c r="AI29" s="605"/>
      <c r="AJ29" s="605"/>
    </row>
    <row r="30" spans="2:36" ht="15">
      <c r="B30" s="602">
        <v>17</v>
      </c>
      <c r="C30" s="603" t="s">
        <v>102</v>
      </c>
      <c r="D30" s="603" t="s">
        <v>558</v>
      </c>
      <c r="E30" s="604">
        <v>0</v>
      </c>
      <c r="F30" s="604">
        <v>0</v>
      </c>
      <c r="G30" s="603" t="s">
        <v>329</v>
      </c>
      <c r="H30" s="596">
        <v>279420.5</v>
      </c>
      <c r="I30" s="596">
        <v>79400</v>
      </c>
      <c r="J30" s="605"/>
      <c r="K30" s="605"/>
      <c r="L30" s="605"/>
      <c r="M30" s="606"/>
      <c r="N30" s="605"/>
      <c r="O30" s="605"/>
      <c r="P30" s="605"/>
      <c r="Q30" s="605"/>
      <c r="R30" s="605"/>
      <c r="S30" s="605"/>
      <c r="T30" s="605"/>
      <c r="U30" s="605"/>
      <c r="V30" s="605"/>
      <c r="W30" s="605"/>
      <c r="X30" s="605"/>
      <c r="Y30" s="605"/>
      <c r="Z30" s="605"/>
      <c r="AA30" s="605"/>
      <c r="AB30" s="605"/>
      <c r="AC30" s="605"/>
      <c r="AD30" s="605"/>
      <c r="AE30" s="605"/>
      <c r="AF30" s="605"/>
      <c r="AG30" s="605"/>
      <c r="AH30" s="605"/>
      <c r="AI30" s="605"/>
      <c r="AJ30" s="605"/>
    </row>
    <row r="31" spans="2:36" ht="15">
      <c r="B31" s="602">
        <v>105</v>
      </c>
      <c r="C31" s="603" t="s">
        <v>207</v>
      </c>
      <c r="D31" s="603" t="s">
        <v>337</v>
      </c>
      <c r="E31" s="604">
        <v>0</v>
      </c>
      <c r="F31" s="604">
        <v>0</v>
      </c>
      <c r="G31" s="603" t="s">
        <v>329</v>
      </c>
      <c r="H31" s="596">
        <v>279420.5</v>
      </c>
      <c r="I31" s="596">
        <v>79400</v>
      </c>
      <c r="J31" s="605"/>
      <c r="K31" s="605"/>
      <c r="L31" s="605"/>
      <c r="M31" s="606"/>
      <c r="N31" s="605"/>
      <c r="O31" s="605"/>
      <c r="P31" s="605"/>
      <c r="Q31" s="605"/>
      <c r="R31" s="605"/>
      <c r="S31" s="605"/>
      <c r="T31" s="605"/>
      <c r="U31" s="605"/>
      <c r="V31" s="605"/>
      <c r="W31" s="605"/>
      <c r="X31" s="605"/>
      <c r="Y31" s="605"/>
      <c r="Z31" s="605"/>
      <c r="AA31" s="605"/>
      <c r="AB31" s="605"/>
      <c r="AC31" s="605"/>
      <c r="AD31" s="605"/>
      <c r="AE31" s="605"/>
      <c r="AF31" s="605"/>
      <c r="AG31" s="605"/>
      <c r="AH31" s="605"/>
      <c r="AI31" s="605"/>
      <c r="AJ31" s="605"/>
    </row>
    <row r="32" spans="2:36" ht="15">
      <c r="B32" s="602">
        <v>107</v>
      </c>
      <c r="C32" s="603" t="s">
        <v>209</v>
      </c>
      <c r="D32" s="603" t="s">
        <v>560</v>
      </c>
      <c r="E32" s="604">
        <v>0</v>
      </c>
      <c r="F32" s="604">
        <v>0</v>
      </c>
      <c r="G32" s="603" t="s">
        <v>329</v>
      </c>
      <c r="H32" s="596">
        <v>279420.5</v>
      </c>
      <c r="I32" s="596">
        <v>79400</v>
      </c>
      <c r="J32" s="605"/>
      <c r="K32" s="605"/>
      <c r="L32" s="605"/>
      <c r="M32" s="606"/>
      <c r="N32" s="605"/>
      <c r="O32" s="605"/>
      <c r="P32" s="605"/>
      <c r="Q32" s="605"/>
      <c r="R32" s="605"/>
      <c r="S32" s="605"/>
      <c r="T32" s="605"/>
      <c r="U32" s="605"/>
      <c r="V32" s="605"/>
      <c r="W32" s="605"/>
      <c r="X32" s="605"/>
      <c r="Y32" s="605"/>
      <c r="Z32" s="605"/>
      <c r="AA32" s="605"/>
      <c r="AB32" s="605"/>
      <c r="AC32" s="605"/>
      <c r="AD32" s="605"/>
      <c r="AE32" s="605"/>
      <c r="AF32" s="605"/>
      <c r="AG32" s="605"/>
      <c r="AH32" s="605"/>
      <c r="AI32" s="605"/>
      <c r="AJ32" s="605"/>
    </row>
    <row r="33" spans="2:36" ht="15">
      <c r="B33" s="607">
        <v>18</v>
      </c>
      <c r="C33" s="608" t="s">
        <v>103</v>
      </c>
      <c r="D33" s="608" t="s">
        <v>333</v>
      </c>
      <c r="E33" s="609">
        <v>0</v>
      </c>
      <c r="F33" s="609">
        <v>0</v>
      </c>
      <c r="G33" s="608" t="s">
        <v>329</v>
      </c>
      <c r="H33" s="596">
        <v>279420.5</v>
      </c>
      <c r="I33" s="596">
        <v>79400</v>
      </c>
      <c r="J33" s="605"/>
      <c r="K33" s="605"/>
      <c r="L33" s="605"/>
      <c r="M33" s="606"/>
      <c r="N33" s="605"/>
      <c r="O33" s="605"/>
      <c r="P33" s="605"/>
      <c r="Q33" s="605"/>
      <c r="R33" s="605"/>
      <c r="S33" s="605"/>
      <c r="T33" s="605"/>
      <c r="U33" s="605"/>
      <c r="V33" s="605"/>
      <c r="W33" s="605"/>
      <c r="X33" s="605"/>
      <c r="Y33" s="605"/>
      <c r="Z33" s="605"/>
      <c r="AA33" s="605"/>
      <c r="AB33" s="605"/>
      <c r="AC33" s="605"/>
      <c r="AD33" s="605"/>
      <c r="AE33" s="605"/>
      <c r="AF33" s="605"/>
      <c r="AG33" s="605"/>
      <c r="AH33" s="605"/>
      <c r="AI33" s="605"/>
      <c r="AJ33" s="605"/>
    </row>
    <row r="34" spans="2:36" ht="15">
      <c r="B34" s="602">
        <v>19</v>
      </c>
      <c r="C34" s="603" t="s">
        <v>105</v>
      </c>
      <c r="D34" s="603" t="s">
        <v>346</v>
      </c>
      <c r="E34" s="604">
        <v>0</v>
      </c>
      <c r="F34" s="604">
        <v>0</v>
      </c>
      <c r="G34" s="603" t="s">
        <v>329</v>
      </c>
      <c r="H34" s="596">
        <v>279420.5</v>
      </c>
      <c r="I34" s="596">
        <v>79400</v>
      </c>
      <c r="J34" s="605"/>
      <c r="K34" s="605"/>
      <c r="L34" s="605"/>
      <c r="M34" s="606"/>
      <c r="N34" s="605"/>
      <c r="O34" s="605"/>
      <c r="P34" s="605"/>
      <c r="Q34" s="605"/>
      <c r="R34" s="605"/>
      <c r="S34" s="605"/>
      <c r="T34" s="605"/>
      <c r="U34" s="605"/>
      <c r="V34" s="605"/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</row>
    <row r="35" spans="2:36" ht="15">
      <c r="B35" s="607">
        <v>20</v>
      </c>
      <c r="C35" s="608" t="s">
        <v>106</v>
      </c>
      <c r="D35" s="608" t="s">
        <v>344</v>
      </c>
      <c r="E35" s="609">
        <v>0</v>
      </c>
      <c r="F35" s="609">
        <v>0</v>
      </c>
      <c r="G35" s="608" t="s">
        <v>329</v>
      </c>
      <c r="H35" s="596">
        <v>279420.5</v>
      </c>
      <c r="I35" s="596">
        <v>79400</v>
      </c>
      <c r="J35" s="605"/>
      <c r="K35" s="605"/>
      <c r="L35" s="605"/>
      <c r="M35" s="606"/>
      <c r="N35" s="605"/>
      <c r="O35" s="605"/>
      <c r="P35" s="605"/>
      <c r="Q35" s="605"/>
      <c r="R35" s="605"/>
      <c r="S35" s="605"/>
      <c r="T35" s="605"/>
      <c r="U35" s="605"/>
      <c r="V35" s="605"/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</row>
    <row r="36" spans="2:36" ht="15">
      <c r="B36" s="602">
        <v>21</v>
      </c>
      <c r="C36" s="603" t="s">
        <v>107</v>
      </c>
      <c r="D36" s="603" t="s">
        <v>341</v>
      </c>
      <c r="E36" s="604">
        <v>0</v>
      </c>
      <c r="F36" s="604">
        <v>0</v>
      </c>
      <c r="G36" s="603" t="s">
        <v>329</v>
      </c>
      <c r="H36" s="596">
        <v>279420.5</v>
      </c>
      <c r="I36" s="596">
        <v>79400</v>
      </c>
      <c r="J36" s="605"/>
      <c r="K36" s="605"/>
      <c r="L36" s="605"/>
      <c r="M36" s="606"/>
      <c r="N36" s="605"/>
      <c r="O36" s="605"/>
      <c r="P36" s="605"/>
      <c r="Q36" s="605"/>
      <c r="R36" s="605"/>
      <c r="S36" s="605"/>
      <c r="T36" s="605"/>
      <c r="U36" s="605"/>
      <c r="V36" s="605"/>
      <c r="W36" s="605"/>
      <c r="X36" s="605"/>
      <c r="Y36" s="605"/>
      <c r="Z36" s="605"/>
      <c r="AA36" s="605"/>
      <c r="AB36" s="605"/>
      <c r="AC36" s="605"/>
      <c r="AD36" s="605"/>
      <c r="AE36" s="605"/>
      <c r="AF36" s="605"/>
      <c r="AG36" s="605"/>
      <c r="AH36" s="605"/>
      <c r="AI36" s="605"/>
      <c r="AJ36" s="605"/>
    </row>
    <row r="37" spans="2:36" ht="15">
      <c r="B37" s="607">
        <v>22</v>
      </c>
      <c r="C37" s="608" t="s">
        <v>108</v>
      </c>
      <c r="D37" s="608" t="s">
        <v>336</v>
      </c>
      <c r="E37" s="609">
        <v>0</v>
      </c>
      <c r="F37" s="609">
        <v>0</v>
      </c>
      <c r="G37" s="608" t="s">
        <v>329</v>
      </c>
      <c r="H37" s="596">
        <v>279420.5</v>
      </c>
      <c r="I37" s="596">
        <v>79400</v>
      </c>
      <c r="J37" s="605"/>
      <c r="K37" s="605"/>
      <c r="L37" s="605"/>
      <c r="M37" s="606"/>
      <c r="N37" s="605"/>
      <c r="O37" s="605"/>
      <c r="P37" s="605"/>
      <c r="Q37" s="605"/>
      <c r="R37" s="605"/>
      <c r="S37" s="605"/>
      <c r="T37" s="605"/>
      <c r="U37" s="605"/>
      <c r="V37" s="605"/>
      <c r="W37" s="605"/>
      <c r="X37" s="605"/>
      <c r="Y37" s="605"/>
      <c r="Z37" s="605"/>
      <c r="AA37" s="605"/>
      <c r="AB37" s="605"/>
      <c r="AC37" s="605"/>
      <c r="AD37" s="605"/>
      <c r="AE37" s="605"/>
      <c r="AF37" s="605"/>
      <c r="AG37" s="605"/>
      <c r="AH37" s="605"/>
      <c r="AI37" s="605"/>
      <c r="AJ37" s="605"/>
    </row>
    <row r="38" spans="2:36" ht="15">
      <c r="B38" s="602">
        <v>23</v>
      </c>
      <c r="C38" s="603" t="s">
        <v>109</v>
      </c>
      <c r="D38" s="603" t="s">
        <v>342</v>
      </c>
      <c r="E38" s="604">
        <v>0</v>
      </c>
      <c r="F38" s="604">
        <v>0</v>
      </c>
      <c r="G38" s="603" t="s">
        <v>329</v>
      </c>
      <c r="H38" s="596">
        <v>279420.5</v>
      </c>
      <c r="I38" s="596">
        <v>79400</v>
      </c>
      <c r="J38" s="605"/>
      <c r="K38" s="605"/>
      <c r="L38" s="605"/>
      <c r="M38" s="606"/>
      <c r="N38" s="605"/>
      <c r="O38" s="605"/>
      <c r="P38" s="605"/>
      <c r="Q38" s="605"/>
      <c r="R38" s="605"/>
      <c r="S38" s="605"/>
      <c r="T38" s="605"/>
      <c r="U38" s="605"/>
      <c r="V38" s="605"/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</row>
    <row r="39" spans="2:36" ht="15">
      <c r="B39" s="607">
        <v>24</v>
      </c>
      <c r="C39" s="608" t="s">
        <v>110</v>
      </c>
      <c r="D39" s="608" t="s">
        <v>501</v>
      </c>
      <c r="E39" s="609">
        <v>0</v>
      </c>
      <c r="F39" s="609">
        <v>0</v>
      </c>
      <c r="G39" s="608" t="s">
        <v>329</v>
      </c>
      <c r="H39" s="596">
        <v>279420.5</v>
      </c>
      <c r="I39" s="596">
        <v>79400</v>
      </c>
      <c r="J39" s="605"/>
      <c r="K39" s="605"/>
      <c r="L39" s="605"/>
      <c r="M39" s="606"/>
      <c r="N39" s="605"/>
      <c r="O39" s="605"/>
      <c r="P39" s="605"/>
      <c r="Q39" s="605"/>
      <c r="R39" s="605"/>
      <c r="S39" s="605"/>
      <c r="T39" s="605"/>
      <c r="U39" s="605"/>
      <c r="V39" s="605"/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</row>
    <row r="40" spans="2:36" ht="15">
      <c r="B40" s="607">
        <v>34</v>
      </c>
      <c r="C40" s="608" t="s">
        <v>121</v>
      </c>
      <c r="D40" s="608" t="s">
        <v>436</v>
      </c>
      <c r="E40" s="609">
        <v>372610.66249999998</v>
      </c>
      <c r="F40" s="609">
        <v>203125</v>
      </c>
      <c r="G40" s="608" t="s">
        <v>398</v>
      </c>
      <c r="H40" s="596">
        <v>372610.66249999998</v>
      </c>
      <c r="I40" s="596">
        <v>535850</v>
      </c>
      <c r="J40" s="605"/>
      <c r="K40" s="605"/>
      <c r="L40" s="605"/>
      <c r="M40" s="606">
        <v>480</v>
      </c>
      <c r="N40" s="605"/>
      <c r="O40" s="605"/>
      <c r="P40" s="605"/>
      <c r="Q40" s="605"/>
      <c r="R40" s="605"/>
      <c r="S40" s="605"/>
      <c r="T40" s="605"/>
      <c r="U40" s="605">
        <v>0.65</v>
      </c>
      <c r="V40" s="605"/>
      <c r="W40" s="605"/>
      <c r="X40" s="605"/>
      <c r="Y40" s="605"/>
      <c r="Z40" s="605">
        <v>0.65</v>
      </c>
      <c r="AA40" s="605"/>
      <c r="AB40" s="605"/>
      <c r="AC40" s="605"/>
      <c r="AD40" s="605"/>
      <c r="AE40" s="605">
        <v>0.65</v>
      </c>
      <c r="AF40" s="605"/>
      <c r="AG40" s="605"/>
      <c r="AH40" s="605"/>
      <c r="AI40" s="605">
        <v>0.65</v>
      </c>
      <c r="AJ40" s="605"/>
    </row>
    <row r="41" spans="2:36" ht="15">
      <c r="B41" s="607">
        <v>100</v>
      </c>
      <c r="C41" s="608" t="s">
        <v>202</v>
      </c>
      <c r="D41" s="608" t="s">
        <v>467</v>
      </c>
      <c r="E41" s="609">
        <v>88156.249999999985</v>
      </c>
      <c r="F41" s="609">
        <v>0</v>
      </c>
      <c r="G41" s="608" t="s">
        <v>398</v>
      </c>
      <c r="H41" s="596">
        <v>88156.249999999985</v>
      </c>
      <c r="I41" s="596">
        <v>535850</v>
      </c>
      <c r="J41" s="605"/>
      <c r="K41" s="605"/>
      <c r="L41" s="605"/>
      <c r="M41" s="606">
        <v>454.99999999999994</v>
      </c>
      <c r="N41" s="605"/>
      <c r="O41" s="605"/>
      <c r="P41" s="605"/>
      <c r="Q41" s="605"/>
      <c r="R41" s="605"/>
      <c r="S41" s="605"/>
      <c r="T41" s="605"/>
      <c r="U41" s="605"/>
      <c r="V41" s="605"/>
      <c r="W41" s="605"/>
      <c r="X41" s="605"/>
      <c r="Y41" s="605"/>
      <c r="Z41" s="605"/>
      <c r="AA41" s="605"/>
      <c r="AB41" s="605"/>
      <c r="AC41" s="605"/>
      <c r="AD41" s="605"/>
      <c r="AE41" s="605"/>
      <c r="AF41" s="605"/>
      <c r="AG41" s="605"/>
      <c r="AH41" s="605"/>
      <c r="AI41" s="605"/>
      <c r="AJ41" s="605"/>
    </row>
    <row r="42" spans="2:36" ht="15">
      <c r="B42" s="602">
        <v>49</v>
      </c>
      <c r="C42" s="603" t="s">
        <v>138</v>
      </c>
      <c r="D42" s="603" t="s">
        <v>516</v>
      </c>
      <c r="E42" s="604">
        <v>40687.5</v>
      </c>
      <c r="F42" s="604">
        <v>110725</v>
      </c>
      <c r="G42" s="603" t="s">
        <v>398</v>
      </c>
      <c r="H42" s="596">
        <v>40687.5</v>
      </c>
      <c r="I42" s="596">
        <v>535850</v>
      </c>
      <c r="J42" s="605"/>
      <c r="K42" s="605"/>
      <c r="L42" s="605"/>
      <c r="M42" s="606">
        <v>210</v>
      </c>
      <c r="N42" s="605"/>
      <c r="O42" s="605"/>
      <c r="P42" s="605"/>
      <c r="Q42" s="605"/>
      <c r="R42" s="605"/>
      <c r="S42" s="605"/>
      <c r="T42" s="605"/>
      <c r="U42" s="605"/>
      <c r="V42" s="605"/>
      <c r="W42" s="605"/>
      <c r="X42" s="605"/>
      <c r="Y42" s="605"/>
      <c r="Z42" s="605"/>
      <c r="AA42" s="605"/>
      <c r="AB42" s="605"/>
      <c r="AC42" s="605"/>
      <c r="AD42" s="605"/>
      <c r="AE42" s="605">
        <v>0.3</v>
      </c>
      <c r="AF42" s="605"/>
      <c r="AG42" s="605"/>
      <c r="AH42" s="605"/>
      <c r="AI42" s="605">
        <v>0.65</v>
      </c>
      <c r="AJ42" s="605"/>
    </row>
    <row r="43" spans="2:36" ht="15">
      <c r="B43" s="602">
        <v>89</v>
      </c>
      <c r="C43" s="603" t="s">
        <v>188</v>
      </c>
      <c r="D43" s="603" t="s">
        <v>508</v>
      </c>
      <c r="E43" s="604">
        <v>189437.06420843673</v>
      </c>
      <c r="F43" s="604">
        <v>222000</v>
      </c>
      <c r="G43" s="603" t="s">
        <v>398</v>
      </c>
      <c r="H43" s="596">
        <v>189437.06420843673</v>
      </c>
      <c r="I43" s="596">
        <v>535850</v>
      </c>
      <c r="J43" s="605">
        <v>0.6</v>
      </c>
      <c r="K43" s="605"/>
      <c r="L43" s="605"/>
      <c r="M43" s="606">
        <v>105</v>
      </c>
      <c r="N43" s="605"/>
      <c r="O43" s="605"/>
      <c r="P43" s="605"/>
      <c r="Q43" s="605"/>
      <c r="R43" s="605"/>
      <c r="S43" s="605"/>
      <c r="T43" s="605">
        <v>0.6</v>
      </c>
      <c r="U43" s="605">
        <v>0.6</v>
      </c>
      <c r="V43" s="605"/>
      <c r="W43" s="605"/>
      <c r="X43" s="605"/>
      <c r="Y43" s="605"/>
      <c r="Z43" s="605"/>
      <c r="AA43" s="605"/>
      <c r="AB43" s="605"/>
      <c r="AC43" s="605">
        <v>0.6</v>
      </c>
      <c r="AD43" s="605"/>
      <c r="AE43" s="605">
        <v>0.5</v>
      </c>
      <c r="AF43" s="605">
        <v>0.5</v>
      </c>
      <c r="AG43" s="605"/>
      <c r="AH43" s="605"/>
      <c r="AI43" s="605"/>
      <c r="AJ43" s="605"/>
    </row>
    <row r="44" spans="2:36" ht="15">
      <c r="B44" s="602">
        <v>99</v>
      </c>
      <c r="C44" s="603" t="s">
        <v>200</v>
      </c>
      <c r="D44" s="603" t="s">
        <v>507</v>
      </c>
      <c r="E44" s="604">
        <v>186000</v>
      </c>
      <c r="F44" s="604">
        <v>0</v>
      </c>
      <c r="G44" s="603" t="s">
        <v>398</v>
      </c>
      <c r="H44" s="596">
        <v>186000</v>
      </c>
      <c r="I44" s="596">
        <v>535850</v>
      </c>
      <c r="J44" s="605"/>
      <c r="K44" s="605"/>
      <c r="L44" s="605"/>
      <c r="M44" s="606">
        <v>960</v>
      </c>
      <c r="N44" s="605"/>
      <c r="O44" s="605"/>
      <c r="P44" s="605"/>
      <c r="Q44" s="605"/>
      <c r="R44" s="605"/>
      <c r="S44" s="605"/>
      <c r="T44" s="605"/>
      <c r="U44" s="605"/>
      <c r="V44" s="605"/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</row>
    <row r="45" spans="2:36" ht="15">
      <c r="B45" s="602">
        <v>109</v>
      </c>
      <c r="C45" s="603" t="s">
        <v>212</v>
      </c>
      <c r="D45" s="603" t="s">
        <v>573</v>
      </c>
      <c r="E45" s="604">
        <v>269575.65000000002</v>
      </c>
      <c r="F45" s="604">
        <v>0</v>
      </c>
      <c r="G45" s="603" t="s">
        <v>398</v>
      </c>
      <c r="H45" s="596">
        <v>269575.65000000002</v>
      </c>
      <c r="I45" s="596">
        <v>535850</v>
      </c>
      <c r="J45" s="605"/>
      <c r="K45" s="605"/>
      <c r="L45" s="605"/>
      <c r="M45" s="606">
        <v>210</v>
      </c>
      <c r="N45" s="605"/>
      <c r="O45" s="605"/>
      <c r="P45" s="605"/>
      <c r="Q45" s="605"/>
      <c r="R45" s="605"/>
      <c r="S45" s="605"/>
      <c r="T45" s="605"/>
      <c r="U45" s="605">
        <v>0.6</v>
      </c>
      <c r="V45" s="605"/>
      <c r="W45" s="605"/>
      <c r="X45" s="605"/>
      <c r="Y45" s="605"/>
      <c r="Z45" s="605"/>
      <c r="AA45" s="605">
        <v>0.6</v>
      </c>
      <c r="AB45" s="605"/>
      <c r="AC45" s="605"/>
      <c r="AD45" s="605"/>
      <c r="AE45" s="605"/>
      <c r="AF45" s="605"/>
      <c r="AG45" s="605"/>
      <c r="AH45" s="605"/>
      <c r="AI45" s="605"/>
      <c r="AJ45" s="605"/>
    </row>
    <row r="46" spans="2:36" ht="15">
      <c r="B46" s="602">
        <v>43</v>
      </c>
      <c r="C46" s="603" t="s">
        <v>132</v>
      </c>
      <c r="D46" s="603" t="s">
        <v>532</v>
      </c>
      <c r="E46" s="604">
        <v>0</v>
      </c>
      <c r="F46" s="604">
        <v>0</v>
      </c>
      <c r="G46" s="603" t="s">
        <v>424</v>
      </c>
      <c r="H46" s="596">
        <v>662670.45600000001</v>
      </c>
      <c r="I46" s="596">
        <v>55140</v>
      </c>
      <c r="J46" s="605"/>
      <c r="K46" s="605"/>
      <c r="L46" s="605"/>
      <c r="M46" s="606"/>
      <c r="N46" s="605"/>
      <c r="O46" s="605"/>
      <c r="P46" s="605"/>
      <c r="Q46" s="605"/>
      <c r="R46" s="605"/>
      <c r="S46" s="605"/>
      <c r="T46" s="605"/>
      <c r="U46" s="605"/>
      <c r="V46" s="605"/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</row>
    <row r="47" spans="2:36" ht="15">
      <c r="B47" s="607">
        <v>46</v>
      </c>
      <c r="C47" s="608" t="s">
        <v>135</v>
      </c>
      <c r="D47" s="608" t="s">
        <v>425</v>
      </c>
      <c r="E47" s="609">
        <v>0</v>
      </c>
      <c r="F47" s="609">
        <v>55140</v>
      </c>
      <c r="G47" s="608" t="s">
        <v>424</v>
      </c>
      <c r="H47" s="596">
        <v>662670.45600000001</v>
      </c>
      <c r="I47" s="596">
        <v>55140</v>
      </c>
      <c r="J47" s="605"/>
      <c r="K47" s="605"/>
      <c r="L47" s="605"/>
      <c r="M47" s="606"/>
      <c r="N47" s="605"/>
      <c r="O47" s="605"/>
      <c r="P47" s="605"/>
      <c r="Q47" s="605"/>
      <c r="R47" s="605"/>
      <c r="S47" s="605"/>
      <c r="T47" s="605"/>
      <c r="U47" s="605"/>
      <c r="V47" s="605"/>
      <c r="W47" s="605"/>
      <c r="X47" s="605"/>
      <c r="Y47" s="605"/>
      <c r="Z47" s="605"/>
      <c r="AA47" s="605"/>
      <c r="AB47" s="605"/>
      <c r="AC47" s="605"/>
      <c r="AD47" s="605"/>
      <c r="AE47" s="605"/>
      <c r="AF47" s="605"/>
      <c r="AG47" s="605">
        <v>0.6</v>
      </c>
      <c r="AH47" s="605"/>
      <c r="AI47" s="605"/>
      <c r="AJ47" s="605"/>
    </row>
    <row r="48" spans="2:36" ht="15">
      <c r="B48" s="602">
        <v>119</v>
      </c>
      <c r="C48" s="603" t="s">
        <v>224</v>
      </c>
      <c r="D48" s="603" t="s">
        <v>523</v>
      </c>
      <c r="E48" s="604">
        <v>344136.2</v>
      </c>
      <c r="F48" s="604">
        <v>0</v>
      </c>
      <c r="G48" s="603" t="s">
        <v>424</v>
      </c>
      <c r="H48" s="596">
        <v>662670.45600000001</v>
      </c>
      <c r="I48" s="596">
        <v>55140</v>
      </c>
      <c r="J48" s="605"/>
      <c r="K48" s="605"/>
      <c r="L48" s="605"/>
      <c r="M48" s="606"/>
      <c r="N48" s="605"/>
      <c r="O48" s="605"/>
      <c r="P48" s="605"/>
      <c r="Q48" s="605"/>
      <c r="R48" s="605"/>
      <c r="S48" s="605"/>
      <c r="T48" s="605"/>
      <c r="U48" s="605">
        <v>0.8</v>
      </c>
      <c r="V48" s="605"/>
      <c r="W48" s="605"/>
      <c r="X48" s="605"/>
      <c r="Y48" s="605"/>
      <c r="Z48" s="605">
        <v>0.8</v>
      </c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</row>
    <row r="49" spans="2:36" ht="15">
      <c r="B49" s="607">
        <v>120</v>
      </c>
      <c r="C49" s="608" t="s">
        <v>225</v>
      </c>
      <c r="D49" s="608" t="s">
        <v>423</v>
      </c>
      <c r="E49" s="609">
        <v>318534.25599999999</v>
      </c>
      <c r="F49" s="609">
        <v>0</v>
      </c>
      <c r="G49" s="608" t="s">
        <v>424</v>
      </c>
      <c r="H49" s="596">
        <v>662670.45600000001</v>
      </c>
      <c r="I49" s="596">
        <v>55140</v>
      </c>
      <c r="J49" s="605"/>
      <c r="K49" s="605"/>
      <c r="L49" s="605"/>
      <c r="M49" s="606">
        <v>364</v>
      </c>
      <c r="N49" s="605"/>
      <c r="O49" s="605"/>
      <c r="P49" s="605"/>
      <c r="Q49" s="605"/>
      <c r="R49" s="605"/>
      <c r="S49" s="605"/>
      <c r="T49" s="605">
        <v>0.8</v>
      </c>
      <c r="U49" s="605">
        <v>0.8</v>
      </c>
      <c r="V49" s="605"/>
      <c r="W49" s="605"/>
      <c r="X49" s="605"/>
      <c r="Y49" s="605"/>
      <c r="Z49" s="605"/>
      <c r="AA49" s="605"/>
      <c r="AB49" s="605">
        <v>0.8</v>
      </c>
      <c r="AC49" s="605"/>
      <c r="AD49" s="605"/>
      <c r="AE49" s="605"/>
      <c r="AF49" s="605"/>
      <c r="AG49" s="605"/>
      <c r="AH49" s="605"/>
      <c r="AI49" s="605"/>
      <c r="AJ49" s="605"/>
    </row>
    <row r="50" spans="2:36" ht="15">
      <c r="B50" s="602">
        <v>29</v>
      </c>
      <c r="C50" s="603" t="s">
        <v>117</v>
      </c>
      <c r="D50" s="603" t="s">
        <v>403</v>
      </c>
      <c r="E50" s="604">
        <v>710635.04034739453</v>
      </c>
      <c r="F50" s="604">
        <v>0</v>
      </c>
      <c r="G50" s="603" t="s">
        <v>401</v>
      </c>
      <c r="H50" s="596">
        <v>1130381.6153473945</v>
      </c>
      <c r="I50" s="596">
        <v>222000</v>
      </c>
      <c r="J50" s="605"/>
      <c r="K50" s="605"/>
      <c r="L50" s="605">
        <v>2</v>
      </c>
      <c r="M50" s="606">
        <v>1100</v>
      </c>
      <c r="N50" s="605"/>
      <c r="O50" s="605"/>
      <c r="P50" s="605">
        <v>1</v>
      </c>
      <c r="Q50" s="605"/>
      <c r="R50" s="605"/>
      <c r="S50" s="605"/>
      <c r="T50" s="605"/>
      <c r="U50" s="605">
        <v>1</v>
      </c>
      <c r="V50" s="605"/>
      <c r="W50" s="605"/>
      <c r="X50" s="605"/>
      <c r="Y50" s="605"/>
      <c r="Z50" s="605"/>
      <c r="AA50" s="605"/>
      <c r="AB50" s="605"/>
      <c r="AC50" s="605">
        <v>1</v>
      </c>
      <c r="AD50" s="605"/>
      <c r="AE50" s="605"/>
      <c r="AF50" s="605"/>
      <c r="AG50" s="605"/>
      <c r="AH50" s="605"/>
      <c r="AI50" s="605"/>
      <c r="AJ50" s="605"/>
    </row>
    <row r="51" spans="2:36" ht="15">
      <c r="B51" s="602">
        <v>39</v>
      </c>
      <c r="C51" s="603" t="s">
        <v>127</v>
      </c>
      <c r="D51" s="603" t="s">
        <v>402</v>
      </c>
      <c r="E51" s="604">
        <v>223435.375</v>
      </c>
      <c r="F51" s="604">
        <v>0</v>
      </c>
      <c r="G51" s="603" t="s">
        <v>401</v>
      </c>
      <c r="H51" s="596">
        <v>1130381.6153473945</v>
      </c>
      <c r="I51" s="596">
        <v>222000</v>
      </c>
      <c r="J51" s="605"/>
      <c r="K51" s="605"/>
      <c r="L51" s="605"/>
      <c r="M51" s="606"/>
      <c r="N51" s="605"/>
      <c r="O51" s="605"/>
      <c r="P51" s="605"/>
      <c r="Q51" s="605"/>
      <c r="R51" s="605"/>
      <c r="S51" s="605"/>
      <c r="T51" s="605"/>
      <c r="U51" s="605">
        <v>1.5</v>
      </c>
      <c r="V51" s="605"/>
      <c r="W51" s="605"/>
      <c r="X51" s="605"/>
      <c r="Y51" s="605"/>
      <c r="Z51" s="605"/>
      <c r="AA51" s="605"/>
      <c r="AB51" s="605">
        <v>0.7</v>
      </c>
      <c r="AC51" s="605"/>
      <c r="AD51" s="605"/>
      <c r="AE51" s="605"/>
      <c r="AF51" s="605"/>
      <c r="AG51" s="605"/>
      <c r="AH51" s="605"/>
      <c r="AI51" s="605"/>
      <c r="AJ51" s="605"/>
    </row>
    <row r="52" spans="2:36" ht="15">
      <c r="B52" s="607">
        <v>50</v>
      </c>
      <c r="C52" s="608" t="s">
        <v>139</v>
      </c>
      <c r="D52" s="608" t="s">
        <v>400</v>
      </c>
      <c r="E52" s="609">
        <v>196311.2</v>
      </c>
      <c r="F52" s="609">
        <v>222000</v>
      </c>
      <c r="G52" s="608" t="s">
        <v>401</v>
      </c>
      <c r="H52" s="596">
        <v>1130381.6153473945</v>
      </c>
      <c r="I52" s="596">
        <v>222000</v>
      </c>
      <c r="J52" s="605"/>
      <c r="K52" s="605"/>
      <c r="L52" s="605"/>
      <c r="M52" s="606"/>
      <c r="N52" s="605"/>
      <c r="O52" s="605"/>
      <c r="P52" s="605"/>
      <c r="Q52" s="605"/>
      <c r="R52" s="605"/>
      <c r="S52" s="605"/>
      <c r="T52" s="605"/>
      <c r="U52" s="605">
        <v>0.8</v>
      </c>
      <c r="V52" s="605"/>
      <c r="W52" s="605"/>
      <c r="X52" s="605"/>
      <c r="Y52" s="605"/>
      <c r="Z52" s="605"/>
      <c r="AA52" s="605">
        <v>0.5</v>
      </c>
      <c r="AB52" s="605"/>
      <c r="AC52" s="605"/>
      <c r="AD52" s="605"/>
      <c r="AE52" s="605">
        <v>0.5</v>
      </c>
      <c r="AF52" s="605">
        <v>0.5</v>
      </c>
      <c r="AG52" s="605"/>
      <c r="AH52" s="605"/>
      <c r="AI52" s="605"/>
      <c r="AJ52" s="605"/>
    </row>
    <row r="53" spans="2:36" ht="15">
      <c r="B53" s="602">
        <v>31</v>
      </c>
      <c r="C53" s="603" t="s">
        <v>119</v>
      </c>
      <c r="D53" s="603" t="s">
        <v>468</v>
      </c>
      <c r="E53" s="604">
        <v>432717.51799999998</v>
      </c>
      <c r="F53" s="604">
        <v>33950</v>
      </c>
      <c r="G53" s="603" t="s">
        <v>469</v>
      </c>
      <c r="H53" s="596">
        <v>432717.51799999998</v>
      </c>
      <c r="I53" s="596">
        <v>33950</v>
      </c>
      <c r="J53" s="605"/>
      <c r="K53" s="605"/>
      <c r="L53" s="605"/>
      <c r="M53" s="606">
        <v>480</v>
      </c>
      <c r="N53" s="605"/>
      <c r="O53" s="605"/>
      <c r="P53" s="605">
        <v>0.7</v>
      </c>
      <c r="Q53" s="605"/>
      <c r="R53" s="605"/>
      <c r="S53" s="605"/>
      <c r="T53" s="605">
        <v>0.7</v>
      </c>
      <c r="U53" s="605">
        <v>0.7</v>
      </c>
      <c r="V53" s="605"/>
      <c r="W53" s="605"/>
      <c r="X53" s="605"/>
      <c r="Y53" s="605"/>
      <c r="Z53" s="605">
        <v>0.7</v>
      </c>
      <c r="AA53" s="605"/>
      <c r="AB53" s="605"/>
      <c r="AC53" s="605"/>
      <c r="AD53" s="605"/>
      <c r="AE53" s="605"/>
      <c r="AF53" s="605"/>
      <c r="AG53" s="605"/>
      <c r="AH53" s="605"/>
      <c r="AI53" s="605">
        <v>0.7</v>
      </c>
      <c r="AJ53" s="605"/>
    </row>
    <row r="54" spans="2:36" ht="15">
      <c r="B54" s="607">
        <v>144</v>
      </c>
      <c r="C54" s="608" t="s">
        <v>158</v>
      </c>
      <c r="D54" s="608" t="s">
        <v>470</v>
      </c>
      <c r="E54" s="609">
        <v>0</v>
      </c>
      <c r="F54" s="609">
        <v>0</v>
      </c>
      <c r="G54" s="608" t="s">
        <v>469</v>
      </c>
      <c r="H54" s="596">
        <v>432717.51799999998</v>
      </c>
      <c r="I54" s="596">
        <v>33950</v>
      </c>
      <c r="J54" s="605"/>
      <c r="K54" s="605"/>
      <c r="L54" s="605"/>
      <c r="M54" s="606"/>
      <c r="N54" s="605"/>
      <c r="O54" s="605"/>
      <c r="P54" s="605"/>
      <c r="Q54" s="605"/>
      <c r="R54" s="605"/>
      <c r="S54" s="605"/>
      <c r="T54" s="605"/>
      <c r="U54" s="605"/>
      <c r="V54" s="605"/>
      <c r="W54" s="605"/>
      <c r="X54" s="605"/>
      <c r="Y54" s="605"/>
      <c r="Z54" s="605"/>
      <c r="AA54" s="605"/>
      <c r="AB54" s="605"/>
      <c r="AC54" s="605"/>
      <c r="AD54" s="605"/>
      <c r="AE54" s="605"/>
      <c r="AF54" s="605"/>
      <c r="AG54" s="605"/>
      <c r="AH54" s="605"/>
      <c r="AI54" s="605"/>
      <c r="AJ54" s="605"/>
    </row>
    <row r="55" spans="2:36" ht="15">
      <c r="B55" s="602">
        <v>91</v>
      </c>
      <c r="C55" s="603" t="s">
        <v>190</v>
      </c>
      <c r="D55" s="603" t="s">
        <v>541</v>
      </c>
      <c r="E55" s="604">
        <v>0</v>
      </c>
      <c r="F55" s="604">
        <v>0</v>
      </c>
      <c r="G55" s="603" t="s">
        <v>469</v>
      </c>
      <c r="H55" s="596">
        <v>432717.51799999998</v>
      </c>
      <c r="I55" s="596">
        <v>33950</v>
      </c>
      <c r="J55" s="605"/>
      <c r="K55" s="605"/>
      <c r="L55" s="605"/>
      <c r="M55" s="606"/>
      <c r="N55" s="605"/>
      <c r="O55" s="605"/>
      <c r="P55" s="605"/>
      <c r="Q55" s="605"/>
      <c r="R55" s="605"/>
      <c r="S55" s="605"/>
      <c r="T55" s="605"/>
      <c r="U55" s="605"/>
      <c r="V55" s="605"/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</row>
    <row r="56" spans="2:36" ht="15">
      <c r="B56" s="607">
        <v>32</v>
      </c>
      <c r="C56" s="608" t="s">
        <v>120</v>
      </c>
      <c r="D56" s="608" t="s">
        <v>426</v>
      </c>
      <c r="E56" s="609">
        <v>53335</v>
      </c>
      <c r="F56" s="609">
        <v>79200</v>
      </c>
      <c r="G56" s="608" t="s">
        <v>427</v>
      </c>
      <c r="H56" s="596">
        <v>53335</v>
      </c>
      <c r="I56" s="596">
        <v>134340</v>
      </c>
      <c r="J56" s="605">
        <v>1</v>
      </c>
      <c r="K56" s="605"/>
      <c r="L56" s="605"/>
      <c r="M56" s="606">
        <v>100</v>
      </c>
      <c r="N56" s="605"/>
      <c r="O56" s="605"/>
      <c r="P56" s="605"/>
      <c r="Q56" s="605"/>
      <c r="R56" s="605"/>
      <c r="S56" s="605"/>
      <c r="T56" s="605"/>
      <c r="U56" s="605"/>
      <c r="V56" s="605"/>
      <c r="W56" s="605"/>
      <c r="X56" s="605"/>
      <c r="Y56" s="605"/>
      <c r="Z56" s="605"/>
      <c r="AA56" s="605"/>
      <c r="AB56" s="605"/>
      <c r="AC56" s="605"/>
      <c r="AD56" s="605"/>
      <c r="AE56" s="605">
        <v>0.3</v>
      </c>
      <c r="AF56" s="605"/>
      <c r="AG56" s="605"/>
      <c r="AH56" s="605"/>
      <c r="AI56" s="605"/>
      <c r="AJ56" s="605"/>
    </row>
    <row r="57" spans="2:36" ht="15">
      <c r="B57" s="602">
        <v>127</v>
      </c>
      <c r="C57" s="603" t="s">
        <v>233</v>
      </c>
      <c r="D57" s="603" t="s">
        <v>546</v>
      </c>
      <c r="E57" s="604">
        <v>0</v>
      </c>
      <c r="F57" s="604">
        <v>55140</v>
      </c>
      <c r="G57" s="603" t="s">
        <v>427</v>
      </c>
      <c r="H57" s="596">
        <v>53335</v>
      </c>
      <c r="I57" s="596">
        <v>134340</v>
      </c>
      <c r="J57" s="605"/>
      <c r="K57" s="605"/>
      <c r="L57" s="605"/>
      <c r="M57" s="606"/>
      <c r="N57" s="605"/>
      <c r="O57" s="605"/>
      <c r="P57" s="605"/>
      <c r="Q57" s="605"/>
      <c r="R57" s="605"/>
      <c r="S57" s="605"/>
      <c r="T57" s="605"/>
      <c r="U57" s="605"/>
      <c r="V57" s="605"/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>
        <v>0.6</v>
      </c>
      <c r="AH57" s="605"/>
      <c r="AI57" s="605"/>
      <c r="AJ57" s="605"/>
    </row>
    <row r="58" spans="2:36" ht="15">
      <c r="B58" s="602">
        <v>33</v>
      </c>
      <c r="C58" s="603" t="s">
        <v>13</v>
      </c>
      <c r="D58" s="603" t="s">
        <v>498</v>
      </c>
      <c r="E58" s="604">
        <v>1541819.19</v>
      </c>
      <c r="F58" s="604">
        <v>292200</v>
      </c>
      <c r="G58" s="603" t="s">
        <v>359</v>
      </c>
      <c r="H58" s="596">
        <v>1541819.19</v>
      </c>
      <c r="I58" s="596">
        <v>292200</v>
      </c>
      <c r="J58" s="605"/>
      <c r="K58" s="605">
        <v>0.75</v>
      </c>
      <c r="L58" s="605"/>
      <c r="M58" s="606">
        <v>672</v>
      </c>
      <c r="N58" s="605"/>
      <c r="O58" s="605">
        <v>0.75</v>
      </c>
      <c r="P58" s="605"/>
      <c r="Q58" s="605"/>
      <c r="R58" s="605"/>
      <c r="S58" s="605"/>
      <c r="T58" s="605">
        <v>0.75</v>
      </c>
      <c r="U58" s="605">
        <v>0.75</v>
      </c>
      <c r="V58" s="605">
        <v>0.75</v>
      </c>
      <c r="W58" s="605"/>
      <c r="X58" s="605"/>
      <c r="Y58" s="605">
        <v>0.75</v>
      </c>
      <c r="Z58" s="605"/>
      <c r="AA58" s="605"/>
      <c r="AB58" s="605"/>
      <c r="AC58" s="605"/>
      <c r="AD58" s="605"/>
      <c r="AE58" s="605">
        <v>0.5</v>
      </c>
      <c r="AF58" s="605">
        <v>0.5</v>
      </c>
      <c r="AG58" s="605">
        <v>0.5</v>
      </c>
      <c r="AH58" s="605"/>
      <c r="AI58" s="605">
        <v>0.5</v>
      </c>
      <c r="AJ58" s="605"/>
    </row>
    <row r="59" spans="2:36" ht="15">
      <c r="B59" s="607">
        <v>134</v>
      </c>
      <c r="C59" s="608" t="s">
        <v>240</v>
      </c>
      <c r="D59" s="608" t="s">
        <v>550</v>
      </c>
      <c r="E59" s="609">
        <v>0</v>
      </c>
      <c r="F59" s="609">
        <v>0</v>
      </c>
      <c r="G59" s="608" t="s">
        <v>359</v>
      </c>
      <c r="H59" s="596">
        <v>1541819.19</v>
      </c>
      <c r="I59" s="596">
        <v>292200</v>
      </c>
      <c r="J59" s="605"/>
      <c r="K59" s="605"/>
      <c r="L59" s="605"/>
      <c r="M59" s="606"/>
      <c r="N59" s="605"/>
      <c r="O59" s="605"/>
      <c r="P59" s="605"/>
      <c r="Q59" s="605"/>
      <c r="R59" s="605"/>
      <c r="S59" s="605"/>
      <c r="T59" s="605"/>
      <c r="U59" s="605"/>
      <c r="V59" s="605"/>
      <c r="W59" s="605"/>
      <c r="X59" s="605"/>
      <c r="Y59" s="605"/>
      <c r="Z59" s="605"/>
      <c r="AA59" s="605"/>
      <c r="AB59" s="605"/>
      <c r="AC59" s="605"/>
      <c r="AD59" s="605"/>
      <c r="AE59" s="605"/>
      <c r="AF59" s="605"/>
      <c r="AG59" s="605"/>
      <c r="AH59" s="605"/>
      <c r="AI59" s="605"/>
      <c r="AJ59" s="605"/>
    </row>
    <row r="60" spans="2:36" ht="15">
      <c r="B60" s="607">
        <v>52</v>
      </c>
      <c r="C60" s="608" t="s">
        <v>141</v>
      </c>
      <c r="D60" s="608" t="s">
        <v>360</v>
      </c>
      <c r="E60" s="609">
        <v>0</v>
      </c>
      <c r="F60" s="609">
        <v>0</v>
      </c>
      <c r="G60" s="608" t="s">
        <v>359</v>
      </c>
      <c r="H60" s="596">
        <v>1541819.19</v>
      </c>
      <c r="I60" s="596">
        <v>292200</v>
      </c>
      <c r="J60" s="605"/>
      <c r="K60" s="605"/>
      <c r="L60" s="605"/>
      <c r="M60" s="606"/>
      <c r="N60" s="605"/>
      <c r="O60" s="605"/>
      <c r="P60" s="605"/>
      <c r="Q60" s="605"/>
      <c r="R60" s="605"/>
      <c r="S60" s="605"/>
      <c r="T60" s="605"/>
      <c r="U60" s="605"/>
      <c r="V60" s="605"/>
      <c r="W60" s="605"/>
      <c r="X60" s="605"/>
      <c r="Y60" s="605"/>
      <c r="Z60" s="605"/>
      <c r="AA60" s="605"/>
      <c r="AB60" s="605"/>
      <c r="AC60" s="605"/>
      <c r="AD60" s="605"/>
      <c r="AE60" s="605"/>
      <c r="AF60" s="605"/>
      <c r="AG60" s="605"/>
      <c r="AH60" s="605"/>
      <c r="AI60" s="605"/>
      <c r="AJ60" s="605"/>
    </row>
    <row r="61" spans="2:36" ht="15">
      <c r="B61" s="602">
        <v>129</v>
      </c>
      <c r="C61" s="603" t="s">
        <v>16</v>
      </c>
      <c r="D61" s="603" t="s">
        <v>361</v>
      </c>
      <c r="E61" s="604">
        <v>0</v>
      </c>
      <c r="F61" s="604">
        <v>0</v>
      </c>
      <c r="G61" s="603" t="s">
        <v>359</v>
      </c>
      <c r="H61" s="596">
        <v>1541819.19</v>
      </c>
      <c r="I61" s="596">
        <v>292200</v>
      </c>
      <c r="J61" s="605"/>
      <c r="K61" s="605"/>
      <c r="L61" s="605"/>
      <c r="M61" s="606"/>
      <c r="N61" s="605"/>
      <c r="O61" s="605"/>
      <c r="P61" s="605"/>
      <c r="Q61" s="605"/>
      <c r="R61" s="605"/>
      <c r="S61" s="605"/>
      <c r="T61" s="605"/>
      <c r="U61" s="605"/>
      <c r="V61" s="605"/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</row>
    <row r="62" spans="2:36" ht="15">
      <c r="B62" s="607">
        <v>56</v>
      </c>
      <c r="C62" s="608" t="s">
        <v>145</v>
      </c>
      <c r="D62" s="608" t="s">
        <v>452</v>
      </c>
      <c r="E62" s="609">
        <v>148985.125</v>
      </c>
      <c r="F62" s="609">
        <v>55140</v>
      </c>
      <c r="G62" s="608" t="s">
        <v>451</v>
      </c>
      <c r="H62" s="596">
        <v>1084957.6400000001</v>
      </c>
      <c r="I62" s="596">
        <v>275980</v>
      </c>
      <c r="J62" s="605"/>
      <c r="K62" s="605"/>
      <c r="L62" s="605"/>
      <c r="M62" s="606"/>
      <c r="N62" s="605"/>
      <c r="O62" s="605"/>
      <c r="P62" s="605"/>
      <c r="Q62" s="605"/>
      <c r="R62" s="605"/>
      <c r="S62" s="605"/>
      <c r="T62" s="605"/>
      <c r="U62" s="605">
        <v>0.5</v>
      </c>
      <c r="V62" s="605"/>
      <c r="W62" s="605"/>
      <c r="X62" s="605"/>
      <c r="Y62" s="605"/>
      <c r="Z62" s="605"/>
      <c r="AA62" s="605"/>
      <c r="AB62" s="605">
        <v>0.5</v>
      </c>
      <c r="AC62" s="605"/>
      <c r="AD62" s="605"/>
      <c r="AE62" s="605"/>
      <c r="AF62" s="605"/>
      <c r="AG62" s="605">
        <v>0.6</v>
      </c>
      <c r="AH62" s="605"/>
      <c r="AI62" s="605"/>
      <c r="AJ62" s="605"/>
    </row>
    <row r="63" spans="2:36" ht="15">
      <c r="B63" s="607">
        <v>78</v>
      </c>
      <c r="C63" s="608" t="s">
        <v>174</v>
      </c>
      <c r="D63" s="608" t="s">
        <v>453</v>
      </c>
      <c r="E63" s="609">
        <v>148985.125</v>
      </c>
      <c r="F63" s="609">
        <v>55140</v>
      </c>
      <c r="G63" s="608" t="s">
        <v>451</v>
      </c>
      <c r="H63" s="596">
        <v>1084957.6400000001</v>
      </c>
      <c r="I63" s="596">
        <v>275980</v>
      </c>
      <c r="J63" s="605"/>
      <c r="K63" s="605"/>
      <c r="L63" s="605"/>
      <c r="M63" s="606"/>
      <c r="N63" s="605"/>
      <c r="O63" s="605"/>
      <c r="P63" s="605"/>
      <c r="Q63" s="605"/>
      <c r="R63" s="605"/>
      <c r="S63" s="605"/>
      <c r="T63" s="605"/>
      <c r="U63" s="605">
        <v>0.5</v>
      </c>
      <c r="V63" s="605"/>
      <c r="W63" s="605"/>
      <c r="X63" s="605"/>
      <c r="Y63" s="605"/>
      <c r="Z63" s="605"/>
      <c r="AA63" s="605"/>
      <c r="AB63" s="605">
        <v>0.5</v>
      </c>
      <c r="AC63" s="605"/>
      <c r="AD63" s="605"/>
      <c r="AE63" s="605"/>
      <c r="AF63" s="605"/>
      <c r="AG63" s="605">
        <v>0.6</v>
      </c>
      <c r="AH63" s="605"/>
      <c r="AI63" s="605"/>
      <c r="AJ63" s="605"/>
    </row>
    <row r="64" spans="2:36" ht="15">
      <c r="B64" s="607">
        <v>38</v>
      </c>
      <c r="C64" s="608" t="s">
        <v>126</v>
      </c>
      <c r="D64" s="608" t="s">
        <v>570</v>
      </c>
      <c r="E64" s="609">
        <v>786987.39</v>
      </c>
      <c r="F64" s="609">
        <v>165700</v>
      </c>
      <c r="G64" s="608" t="s">
        <v>451</v>
      </c>
      <c r="H64" s="596">
        <v>1084957.6400000001</v>
      </c>
      <c r="I64" s="596">
        <v>275980</v>
      </c>
      <c r="J64" s="605">
        <v>1</v>
      </c>
      <c r="K64" s="605">
        <v>1</v>
      </c>
      <c r="L64" s="605"/>
      <c r="M64" s="606">
        <v>489.99999999999994</v>
      </c>
      <c r="N64" s="605"/>
      <c r="O64" s="605">
        <v>0.5</v>
      </c>
      <c r="P64" s="605">
        <v>0.6</v>
      </c>
      <c r="Q64" s="605"/>
      <c r="R64" s="605"/>
      <c r="S64" s="605"/>
      <c r="T64" s="605">
        <v>1.4</v>
      </c>
      <c r="U64" s="605">
        <v>2.4</v>
      </c>
      <c r="V64" s="605"/>
      <c r="W64" s="605"/>
      <c r="X64" s="605"/>
      <c r="Y64" s="605"/>
      <c r="Z64" s="605"/>
      <c r="AA64" s="605">
        <v>0.7</v>
      </c>
      <c r="AB64" s="605"/>
      <c r="AC64" s="605"/>
      <c r="AD64" s="605">
        <v>1</v>
      </c>
      <c r="AE64" s="605"/>
      <c r="AF64" s="605">
        <v>0.7</v>
      </c>
      <c r="AG64" s="605"/>
      <c r="AH64" s="605"/>
      <c r="AI64" s="605"/>
      <c r="AJ64" s="605"/>
    </row>
    <row r="65" spans="2:36" ht="15">
      <c r="B65" s="607">
        <v>60</v>
      </c>
      <c r="C65" s="608" t="s">
        <v>150</v>
      </c>
      <c r="D65" s="608" t="s">
        <v>450</v>
      </c>
      <c r="E65" s="609">
        <v>784126.16599999997</v>
      </c>
      <c r="F65" s="609">
        <v>24250</v>
      </c>
      <c r="G65" s="608" t="s">
        <v>448</v>
      </c>
      <c r="H65" s="596">
        <v>784126.16599999997</v>
      </c>
      <c r="I65" s="596">
        <v>24250</v>
      </c>
      <c r="J65" s="605"/>
      <c r="K65" s="605"/>
      <c r="L65" s="605"/>
      <c r="M65" s="606">
        <v>800</v>
      </c>
      <c r="N65" s="605"/>
      <c r="O65" s="605">
        <v>0.7</v>
      </c>
      <c r="P65" s="605"/>
      <c r="Q65" s="605"/>
      <c r="R65" s="605"/>
      <c r="S65" s="605"/>
      <c r="T65" s="605"/>
      <c r="U65" s="605">
        <v>1.8</v>
      </c>
      <c r="V65" s="605"/>
      <c r="W65" s="605"/>
      <c r="X65" s="605"/>
      <c r="Y65" s="605"/>
      <c r="Z65" s="605"/>
      <c r="AA65" s="605">
        <v>0.6</v>
      </c>
      <c r="AB65" s="605"/>
      <c r="AC65" s="605"/>
      <c r="AD65" s="605"/>
      <c r="AE65" s="605"/>
      <c r="AF65" s="605"/>
      <c r="AG65" s="605"/>
      <c r="AH65" s="605"/>
      <c r="AI65" s="605">
        <v>0.5</v>
      </c>
      <c r="AJ65" s="605"/>
    </row>
    <row r="66" spans="2:36" ht="15">
      <c r="B66" s="602">
        <v>139</v>
      </c>
      <c r="C66" s="603" t="s">
        <v>150</v>
      </c>
      <c r="D66" s="603" t="s">
        <v>449</v>
      </c>
      <c r="E66" s="604">
        <v>0</v>
      </c>
      <c r="F66" s="604">
        <v>0</v>
      </c>
      <c r="G66" s="603" t="s">
        <v>448</v>
      </c>
      <c r="H66" s="596">
        <v>784126.16599999997</v>
      </c>
      <c r="I66" s="596">
        <v>24250</v>
      </c>
      <c r="J66" s="605"/>
      <c r="K66" s="605"/>
      <c r="L66" s="605"/>
      <c r="M66" s="606"/>
      <c r="N66" s="605"/>
      <c r="O66" s="605"/>
      <c r="P66" s="605"/>
      <c r="Q66" s="605"/>
      <c r="R66" s="605"/>
      <c r="S66" s="605"/>
      <c r="T66" s="605"/>
      <c r="U66" s="605"/>
      <c r="V66" s="605"/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</row>
    <row r="67" spans="2:36" ht="15">
      <c r="B67" s="607">
        <v>140</v>
      </c>
      <c r="C67" s="608" t="s">
        <v>150</v>
      </c>
      <c r="D67" s="608" t="s">
        <v>569</v>
      </c>
      <c r="E67" s="609">
        <v>0</v>
      </c>
      <c r="F67" s="609">
        <v>0</v>
      </c>
      <c r="G67" s="608" t="s">
        <v>448</v>
      </c>
      <c r="H67" s="596">
        <v>784126.16599999997</v>
      </c>
      <c r="I67" s="596">
        <v>24250</v>
      </c>
      <c r="J67" s="605"/>
      <c r="K67" s="605"/>
      <c r="L67" s="605"/>
      <c r="M67" s="606"/>
      <c r="N67" s="605"/>
      <c r="O67" s="605"/>
      <c r="P67" s="605"/>
      <c r="Q67" s="605"/>
      <c r="R67" s="605"/>
      <c r="S67" s="605"/>
      <c r="T67" s="605"/>
      <c r="U67" s="605"/>
      <c r="V67" s="605"/>
      <c r="W67" s="605"/>
      <c r="X67" s="605"/>
      <c r="Y67" s="605"/>
      <c r="Z67" s="605"/>
      <c r="AA67" s="605"/>
      <c r="AB67" s="605"/>
      <c r="AC67" s="605"/>
      <c r="AD67" s="605"/>
      <c r="AE67" s="605"/>
      <c r="AF67" s="605"/>
      <c r="AG67" s="605"/>
      <c r="AH67" s="605"/>
      <c r="AI67" s="605"/>
      <c r="AJ67" s="605"/>
    </row>
    <row r="68" spans="2:36" ht="15">
      <c r="B68" s="602">
        <v>27</v>
      </c>
      <c r="C68" s="603" t="s">
        <v>115</v>
      </c>
      <c r="D68" s="603" t="s">
        <v>571</v>
      </c>
      <c r="E68" s="604">
        <v>0</v>
      </c>
      <c r="F68" s="604">
        <v>0</v>
      </c>
      <c r="G68" s="603" t="s">
        <v>471</v>
      </c>
      <c r="H68" s="596">
        <v>0</v>
      </c>
      <c r="I68" s="596">
        <v>0</v>
      </c>
      <c r="J68" s="605"/>
      <c r="K68" s="605"/>
      <c r="L68" s="605"/>
      <c r="M68" s="606"/>
      <c r="N68" s="605"/>
      <c r="O68" s="605"/>
      <c r="P68" s="605"/>
      <c r="Q68" s="605"/>
      <c r="R68" s="605"/>
      <c r="S68" s="605"/>
      <c r="T68" s="605"/>
      <c r="U68" s="605"/>
      <c r="V68" s="605"/>
      <c r="W68" s="605"/>
      <c r="X68" s="605"/>
      <c r="Y68" s="605"/>
      <c r="Z68" s="605"/>
      <c r="AA68" s="605"/>
      <c r="AB68" s="605"/>
      <c r="AC68" s="605"/>
      <c r="AD68" s="605"/>
      <c r="AE68" s="605"/>
      <c r="AF68" s="605"/>
      <c r="AG68" s="605"/>
      <c r="AH68" s="605"/>
      <c r="AI68" s="605"/>
      <c r="AJ68" s="605"/>
    </row>
    <row r="69" spans="2:36" ht="15">
      <c r="B69" s="607">
        <v>146</v>
      </c>
      <c r="C69" s="608" t="s">
        <v>172</v>
      </c>
      <c r="D69" s="608" t="s">
        <v>472</v>
      </c>
      <c r="E69" s="609">
        <v>0</v>
      </c>
      <c r="F69" s="609">
        <v>0</v>
      </c>
      <c r="G69" s="608" t="s">
        <v>471</v>
      </c>
      <c r="H69" s="596">
        <v>0</v>
      </c>
      <c r="I69" s="596">
        <v>0</v>
      </c>
      <c r="J69" s="605"/>
      <c r="K69" s="605"/>
      <c r="L69" s="605"/>
      <c r="M69" s="606"/>
      <c r="N69" s="605"/>
      <c r="O69" s="605"/>
      <c r="P69" s="605"/>
      <c r="Q69" s="605"/>
      <c r="R69" s="605"/>
      <c r="S69" s="605"/>
      <c r="T69" s="605"/>
      <c r="U69" s="605"/>
      <c r="V69" s="605"/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</row>
    <row r="70" spans="2:36" ht="15">
      <c r="B70" s="602">
        <v>77</v>
      </c>
      <c r="C70" s="603" t="s">
        <v>172</v>
      </c>
      <c r="D70" s="603" t="s">
        <v>544</v>
      </c>
      <c r="E70" s="604">
        <v>0</v>
      </c>
      <c r="F70" s="604">
        <v>0</v>
      </c>
      <c r="G70" s="603" t="s">
        <v>471</v>
      </c>
      <c r="H70" s="596">
        <v>0</v>
      </c>
      <c r="I70" s="596">
        <v>0</v>
      </c>
      <c r="J70" s="605"/>
      <c r="K70" s="605"/>
      <c r="L70" s="605"/>
      <c r="M70" s="606"/>
      <c r="N70" s="605"/>
      <c r="O70" s="605"/>
      <c r="P70" s="605"/>
      <c r="Q70" s="605"/>
      <c r="R70" s="605"/>
      <c r="S70" s="605"/>
      <c r="T70" s="605"/>
      <c r="U70" s="605"/>
      <c r="V70" s="605"/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</row>
    <row r="71" spans="2:36" ht="15">
      <c r="B71" s="602">
        <v>137</v>
      </c>
      <c r="C71" s="603" t="s">
        <v>115</v>
      </c>
      <c r="D71" s="603" t="s">
        <v>473</v>
      </c>
      <c r="E71" s="604">
        <v>0</v>
      </c>
      <c r="F71" s="604">
        <v>0</v>
      </c>
      <c r="G71" s="603" t="s">
        <v>471</v>
      </c>
      <c r="H71" s="596">
        <v>0</v>
      </c>
      <c r="I71" s="596">
        <v>0</v>
      </c>
      <c r="J71" s="605"/>
      <c r="K71" s="605"/>
      <c r="L71" s="605"/>
      <c r="M71" s="606"/>
      <c r="N71" s="605"/>
      <c r="O71" s="605"/>
      <c r="P71" s="605"/>
      <c r="Q71" s="605"/>
      <c r="R71" s="605"/>
      <c r="S71" s="605"/>
      <c r="T71" s="605"/>
      <c r="U71" s="605"/>
      <c r="V71" s="605"/>
      <c r="W71" s="605"/>
      <c r="X71" s="605"/>
      <c r="Y71" s="605"/>
      <c r="Z71" s="605"/>
      <c r="AA71" s="605"/>
      <c r="AB71" s="605"/>
      <c r="AC71" s="605"/>
      <c r="AD71" s="605"/>
      <c r="AE71" s="605"/>
      <c r="AF71" s="605"/>
      <c r="AG71" s="605"/>
      <c r="AH71" s="605"/>
      <c r="AI71" s="605"/>
      <c r="AJ71" s="605"/>
    </row>
    <row r="72" spans="2:36" ht="15">
      <c r="B72" s="602">
        <v>117</v>
      </c>
      <c r="C72" s="603" t="s">
        <v>222</v>
      </c>
      <c r="D72" s="603" t="s">
        <v>543</v>
      </c>
      <c r="E72" s="604">
        <v>0</v>
      </c>
      <c r="F72" s="604">
        <v>0</v>
      </c>
      <c r="G72" s="603" t="s">
        <v>471</v>
      </c>
      <c r="H72" s="596">
        <v>0</v>
      </c>
      <c r="I72" s="596">
        <v>0</v>
      </c>
      <c r="J72" s="605"/>
      <c r="K72" s="605"/>
      <c r="L72" s="605"/>
      <c r="M72" s="606"/>
      <c r="N72" s="605"/>
      <c r="O72" s="605"/>
      <c r="P72" s="605"/>
      <c r="Q72" s="605"/>
      <c r="R72" s="605"/>
      <c r="S72" s="605"/>
      <c r="T72" s="605"/>
      <c r="U72" s="605"/>
      <c r="V72" s="605"/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</row>
    <row r="73" spans="2:36" ht="15">
      <c r="B73" s="607">
        <v>26</v>
      </c>
      <c r="C73" s="608" t="s">
        <v>113</v>
      </c>
      <c r="D73" s="608" t="s">
        <v>409</v>
      </c>
      <c r="E73" s="609">
        <v>206382.94200000001</v>
      </c>
      <c r="F73" s="609">
        <v>55140</v>
      </c>
      <c r="G73" s="608" t="s">
        <v>410</v>
      </c>
      <c r="H73" s="596">
        <v>848865.34827791573</v>
      </c>
      <c r="I73" s="596">
        <v>429080</v>
      </c>
      <c r="J73" s="605">
        <v>0.6</v>
      </c>
      <c r="K73" s="605"/>
      <c r="L73" s="605"/>
      <c r="M73" s="606"/>
      <c r="N73" s="605"/>
      <c r="O73" s="605"/>
      <c r="P73" s="605"/>
      <c r="Q73" s="605"/>
      <c r="R73" s="605"/>
      <c r="S73" s="605"/>
      <c r="T73" s="605">
        <v>0.6</v>
      </c>
      <c r="U73" s="605">
        <v>0.6</v>
      </c>
      <c r="V73" s="605"/>
      <c r="W73" s="605"/>
      <c r="X73" s="605"/>
      <c r="Y73" s="605"/>
      <c r="Z73" s="605"/>
      <c r="AA73" s="605"/>
      <c r="AB73" s="605">
        <v>0.6</v>
      </c>
      <c r="AC73" s="605"/>
      <c r="AD73" s="605"/>
      <c r="AE73" s="605"/>
      <c r="AF73" s="605"/>
      <c r="AG73" s="605">
        <v>0.6</v>
      </c>
      <c r="AH73" s="605"/>
      <c r="AI73" s="605"/>
      <c r="AJ73" s="605"/>
    </row>
    <row r="74" spans="2:36" ht="15">
      <c r="B74" s="607">
        <v>44</v>
      </c>
      <c r="C74" s="608" t="s">
        <v>133</v>
      </c>
      <c r="D74" s="608" t="s">
        <v>411</v>
      </c>
      <c r="E74" s="609">
        <v>502124.25627791567</v>
      </c>
      <c r="F74" s="609">
        <v>305140</v>
      </c>
      <c r="G74" s="608" t="s">
        <v>410</v>
      </c>
      <c r="H74" s="596">
        <v>848865.34827791573</v>
      </c>
      <c r="I74" s="596">
        <v>429080</v>
      </c>
      <c r="J74" s="605"/>
      <c r="K74" s="605"/>
      <c r="L74" s="605"/>
      <c r="M74" s="606">
        <v>1316</v>
      </c>
      <c r="N74" s="605"/>
      <c r="O74" s="605"/>
      <c r="P74" s="605">
        <v>0.8</v>
      </c>
      <c r="Q74" s="605"/>
      <c r="R74" s="605">
        <v>0.8</v>
      </c>
      <c r="S74" s="605"/>
      <c r="T74" s="605">
        <v>0.8</v>
      </c>
      <c r="U74" s="605">
        <v>0.8</v>
      </c>
      <c r="V74" s="605"/>
      <c r="W74" s="605"/>
      <c r="X74" s="605"/>
      <c r="Y74" s="605"/>
      <c r="Z74" s="605"/>
      <c r="AA74" s="605"/>
      <c r="AB74" s="605"/>
      <c r="AC74" s="605">
        <v>0.8</v>
      </c>
      <c r="AD74" s="605"/>
      <c r="AE74" s="605">
        <v>0.8</v>
      </c>
      <c r="AF74" s="605"/>
      <c r="AG74" s="605">
        <v>0.6</v>
      </c>
      <c r="AH74" s="605"/>
      <c r="AI74" s="605">
        <v>0.8</v>
      </c>
      <c r="AJ74" s="605"/>
    </row>
    <row r="75" spans="2:36" ht="15">
      <c r="B75" s="602">
        <v>101</v>
      </c>
      <c r="C75" s="603" t="s">
        <v>203</v>
      </c>
      <c r="D75" s="603" t="s">
        <v>521</v>
      </c>
      <c r="E75" s="604">
        <v>140358.15</v>
      </c>
      <c r="F75" s="604">
        <v>68800</v>
      </c>
      <c r="G75" s="603" t="s">
        <v>410</v>
      </c>
      <c r="H75" s="596">
        <v>848865.34827791573</v>
      </c>
      <c r="I75" s="596">
        <v>429080</v>
      </c>
      <c r="J75" s="605">
        <v>1.6</v>
      </c>
      <c r="K75" s="605">
        <v>1.6</v>
      </c>
      <c r="L75" s="605"/>
      <c r="M75" s="606"/>
      <c r="N75" s="605"/>
      <c r="O75" s="605"/>
      <c r="P75" s="605"/>
      <c r="Q75" s="605"/>
      <c r="R75" s="605"/>
      <c r="S75" s="605"/>
      <c r="T75" s="605"/>
      <c r="U75" s="605">
        <v>0.6</v>
      </c>
      <c r="V75" s="605"/>
      <c r="W75" s="605"/>
      <c r="X75" s="605"/>
      <c r="Y75" s="605"/>
      <c r="Z75" s="605"/>
      <c r="AA75" s="605"/>
      <c r="AB75" s="605"/>
      <c r="AC75" s="605"/>
      <c r="AD75" s="605">
        <v>1</v>
      </c>
      <c r="AE75" s="605"/>
      <c r="AF75" s="605"/>
      <c r="AG75" s="605"/>
      <c r="AH75" s="605"/>
      <c r="AI75" s="605">
        <v>0.6</v>
      </c>
      <c r="AJ75" s="605"/>
    </row>
    <row r="76" spans="2:36" ht="15">
      <c r="B76" s="607">
        <v>54</v>
      </c>
      <c r="C76" s="608" t="s">
        <v>143</v>
      </c>
      <c r="D76" s="608" t="s">
        <v>454</v>
      </c>
      <c r="E76" s="609">
        <v>374578.15</v>
      </c>
      <c r="F76" s="609">
        <v>29100</v>
      </c>
      <c r="G76" s="608" t="s">
        <v>455</v>
      </c>
      <c r="H76" s="596">
        <v>514278.15</v>
      </c>
      <c r="I76" s="596">
        <v>29100</v>
      </c>
      <c r="J76" s="605">
        <v>0.6</v>
      </c>
      <c r="K76" s="605"/>
      <c r="L76" s="605"/>
      <c r="M76" s="606">
        <v>496</v>
      </c>
      <c r="N76" s="605"/>
      <c r="O76" s="605"/>
      <c r="P76" s="605"/>
      <c r="Q76" s="605"/>
      <c r="R76" s="605"/>
      <c r="S76" s="605"/>
      <c r="T76" s="605"/>
      <c r="U76" s="605">
        <v>0.6</v>
      </c>
      <c r="V76" s="605"/>
      <c r="W76" s="605"/>
      <c r="X76" s="605"/>
      <c r="Y76" s="605"/>
      <c r="Z76" s="605">
        <v>0.6</v>
      </c>
      <c r="AA76" s="605"/>
      <c r="AB76" s="605"/>
      <c r="AC76" s="605"/>
      <c r="AD76" s="605"/>
      <c r="AE76" s="605"/>
      <c r="AF76" s="605"/>
      <c r="AG76" s="605"/>
      <c r="AH76" s="605"/>
      <c r="AI76" s="605">
        <v>0.6</v>
      </c>
      <c r="AJ76" s="605"/>
    </row>
    <row r="77" spans="2:36" ht="15">
      <c r="B77" s="602">
        <v>83</v>
      </c>
      <c r="C77" s="603" t="s">
        <v>181</v>
      </c>
      <c r="D77" s="603" t="s">
        <v>456</v>
      </c>
      <c r="E77" s="604">
        <v>139700</v>
      </c>
      <c r="F77" s="604">
        <v>0</v>
      </c>
      <c r="G77" s="603" t="s">
        <v>455</v>
      </c>
      <c r="H77" s="596">
        <v>514278.15</v>
      </c>
      <c r="I77" s="596">
        <v>29100</v>
      </c>
      <c r="J77" s="605"/>
      <c r="K77" s="605"/>
      <c r="L77" s="605"/>
      <c r="M77" s="606"/>
      <c r="N77" s="605"/>
      <c r="O77" s="605"/>
      <c r="P77" s="605"/>
      <c r="Q77" s="605"/>
      <c r="R77" s="605"/>
      <c r="S77" s="605"/>
      <c r="T77" s="605"/>
      <c r="U77" s="605"/>
      <c r="V77" s="605"/>
      <c r="W77" s="605"/>
      <c r="X77" s="605"/>
      <c r="Y77" s="605"/>
      <c r="Z77" s="605"/>
      <c r="AA77" s="605"/>
      <c r="AB77" s="605">
        <v>0.5</v>
      </c>
      <c r="AC77" s="605"/>
      <c r="AD77" s="605"/>
      <c r="AE77" s="605"/>
      <c r="AF77" s="605"/>
      <c r="AG77" s="605"/>
      <c r="AH77" s="605"/>
      <c r="AI77" s="605"/>
      <c r="AJ77" s="605"/>
    </row>
    <row r="78" spans="2:36" ht="15">
      <c r="B78" s="607">
        <v>152</v>
      </c>
      <c r="C78" s="608" t="s">
        <v>16</v>
      </c>
      <c r="D78" s="608" t="s">
        <v>457</v>
      </c>
      <c r="E78" s="609">
        <v>0</v>
      </c>
      <c r="F78" s="609">
        <v>0</v>
      </c>
      <c r="G78" s="608" t="s">
        <v>455</v>
      </c>
      <c r="H78" s="596">
        <v>514278.15</v>
      </c>
      <c r="I78" s="596">
        <v>29100</v>
      </c>
      <c r="J78" s="605"/>
      <c r="K78" s="605"/>
      <c r="L78" s="605"/>
      <c r="M78" s="606"/>
      <c r="N78" s="605"/>
      <c r="O78" s="605"/>
      <c r="P78" s="605"/>
      <c r="Q78" s="605"/>
      <c r="R78" s="605"/>
      <c r="S78" s="605"/>
      <c r="T78" s="605"/>
      <c r="U78" s="605"/>
      <c r="V78" s="605"/>
      <c r="W78" s="605"/>
      <c r="X78" s="605"/>
      <c r="Y78" s="605"/>
      <c r="Z78" s="605"/>
      <c r="AA78" s="605"/>
      <c r="AB78" s="605"/>
      <c r="AC78" s="605"/>
      <c r="AD78" s="605"/>
      <c r="AE78" s="605"/>
      <c r="AF78" s="605"/>
      <c r="AG78" s="605"/>
      <c r="AH78" s="605"/>
      <c r="AI78" s="605"/>
      <c r="AJ78" s="605"/>
    </row>
    <row r="79" spans="2:36" ht="15">
      <c r="B79" s="602">
        <v>55</v>
      </c>
      <c r="C79" s="603" t="s">
        <v>144</v>
      </c>
      <c r="D79" s="603" t="s">
        <v>520</v>
      </c>
      <c r="E79" s="604">
        <v>574282.95600000001</v>
      </c>
      <c r="F79" s="604">
        <v>0</v>
      </c>
      <c r="G79" s="603" t="s">
        <v>428</v>
      </c>
      <c r="H79" s="596">
        <v>1141411.3560000001</v>
      </c>
      <c r="I79" s="596">
        <v>0</v>
      </c>
      <c r="J79" s="605">
        <v>0.75</v>
      </c>
      <c r="K79" s="605"/>
      <c r="L79" s="605"/>
      <c r="M79" s="606">
        <v>930</v>
      </c>
      <c r="N79" s="605"/>
      <c r="O79" s="605"/>
      <c r="P79" s="605"/>
      <c r="Q79" s="605"/>
      <c r="R79" s="605"/>
      <c r="S79" s="605"/>
      <c r="T79" s="605">
        <v>0.8</v>
      </c>
      <c r="U79" s="605">
        <v>1.6</v>
      </c>
      <c r="V79" s="605"/>
      <c r="W79" s="605"/>
      <c r="X79" s="605"/>
      <c r="Y79" s="605"/>
      <c r="Z79" s="605">
        <v>0.8</v>
      </c>
      <c r="AA79" s="605"/>
      <c r="AB79" s="605"/>
      <c r="AC79" s="605"/>
      <c r="AD79" s="605"/>
      <c r="AE79" s="605"/>
      <c r="AF79" s="605"/>
      <c r="AG79" s="605"/>
      <c r="AH79" s="605"/>
      <c r="AI79" s="605"/>
      <c r="AJ79" s="605"/>
    </row>
    <row r="80" spans="2:36" ht="15">
      <c r="B80" s="607">
        <v>150</v>
      </c>
      <c r="C80" s="608" t="s">
        <v>210</v>
      </c>
      <c r="D80" s="608" t="s">
        <v>430</v>
      </c>
      <c r="E80" s="609">
        <v>0</v>
      </c>
      <c r="F80" s="609">
        <v>0</v>
      </c>
      <c r="G80" s="608" t="s">
        <v>428</v>
      </c>
      <c r="H80" s="596">
        <v>1141411.3560000001</v>
      </c>
      <c r="I80" s="596">
        <v>0</v>
      </c>
      <c r="J80" s="605"/>
      <c r="K80" s="605"/>
      <c r="L80" s="605"/>
      <c r="M80" s="606"/>
      <c r="N80" s="605"/>
      <c r="O80" s="605"/>
      <c r="P80" s="605"/>
      <c r="Q80" s="605"/>
      <c r="R80" s="605"/>
      <c r="S80" s="605"/>
      <c r="T80" s="605"/>
      <c r="U80" s="605"/>
      <c r="V80" s="605"/>
      <c r="W80" s="605"/>
      <c r="X80" s="605"/>
      <c r="Y80" s="605"/>
      <c r="Z80" s="605"/>
      <c r="AA80" s="605"/>
      <c r="AB80" s="605"/>
      <c r="AC80" s="605"/>
      <c r="AD80" s="605"/>
      <c r="AE80" s="605"/>
      <c r="AF80" s="605"/>
      <c r="AG80" s="605"/>
      <c r="AH80" s="605"/>
      <c r="AI80" s="605"/>
      <c r="AJ80" s="605"/>
    </row>
    <row r="81" spans="2:36" ht="15">
      <c r="B81" s="607">
        <v>68</v>
      </c>
      <c r="C81" s="608" t="s">
        <v>160</v>
      </c>
      <c r="D81" s="608" t="s">
        <v>429</v>
      </c>
      <c r="E81" s="609">
        <v>0</v>
      </c>
      <c r="F81" s="609">
        <v>0</v>
      </c>
      <c r="G81" s="608" t="s">
        <v>428</v>
      </c>
      <c r="H81" s="596">
        <v>1141411.3560000001</v>
      </c>
      <c r="I81" s="596">
        <v>0</v>
      </c>
      <c r="J81" s="605"/>
      <c r="K81" s="605"/>
      <c r="L81" s="605"/>
      <c r="M81" s="606"/>
      <c r="N81" s="605"/>
      <c r="O81" s="605"/>
      <c r="P81" s="605"/>
      <c r="Q81" s="605"/>
      <c r="R81" s="605"/>
      <c r="S81" s="605"/>
      <c r="T81" s="605"/>
      <c r="U81" s="605"/>
      <c r="V81" s="605"/>
      <c r="W81" s="605"/>
      <c r="X81" s="605"/>
      <c r="Y81" s="605"/>
      <c r="Z81" s="605"/>
      <c r="AA81" s="605"/>
      <c r="AB81" s="605"/>
      <c r="AC81" s="605"/>
      <c r="AD81" s="605"/>
      <c r="AE81" s="605"/>
      <c r="AF81" s="605"/>
      <c r="AG81" s="605"/>
      <c r="AH81" s="605"/>
      <c r="AI81" s="605"/>
      <c r="AJ81" s="605"/>
    </row>
    <row r="82" spans="2:36" ht="15">
      <c r="B82" s="602">
        <v>115</v>
      </c>
      <c r="C82" s="603" t="s">
        <v>220</v>
      </c>
      <c r="D82" s="603" t="s">
        <v>566</v>
      </c>
      <c r="E82" s="604">
        <v>567128.4</v>
      </c>
      <c r="F82" s="604">
        <v>0</v>
      </c>
      <c r="G82" s="603" t="s">
        <v>428</v>
      </c>
      <c r="H82" s="596">
        <v>1141411.3560000001</v>
      </c>
      <c r="I82" s="596">
        <v>0</v>
      </c>
      <c r="J82" s="605">
        <v>1.2</v>
      </c>
      <c r="K82" s="605"/>
      <c r="L82" s="605"/>
      <c r="M82" s="606"/>
      <c r="N82" s="605"/>
      <c r="O82" s="605"/>
      <c r="P82" s="605"/>
      <c r="Q82" s="605"/>
      <c r="R82" s="605"/>
      <c r="S82" s="605"/>
      <c r="T82" s="605"/>
      <c r="U82" s="605">
        <v>1.6</v>
      </c>
      <c r="V82" s="605"/>
      <c r="W82" s="605"/>
      <c r="X82" s="605"/>
      <c r="Y82" s="605">
        <v>0.8</v>
      </c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</row>
    <row r="83" spans="2:36" ht="15">
      <c r="B83" s="607">
        <v>108</v>
      </c>
      <c r="C83" s="608" t="s">
        <v>210</v>
      </c>
      <c r="D83" s="608" t="s">
        <v>567</v>
      </c>
      <c r="E83" s="609">
        <v>0</v>
      </c>
      <c r="F83" s="609">
        <v>0</v>
      </c>
      <c r="G83" s="608" t="s">
        <v>428</v>
      </c>
      <c r="H83" s="596">
        <v>1141411.3560000001</v>
      </c>
      <c r="I83" s="596">
        <v>0</v>
      </c>
      <c r="J83" s="605"/>
      <c r="K83" s="605"/>
      <c r="L83" s="605"/>
      <c r="M83" s="606"/>
      <c r="N83" s="605"/>
      <c r="O83" s="605"/>
      <c r="P83" s="605"/>
      <c r="Q83" s="605"/>
      <c r="R83" s="605"/>
      <c r="S83" s="605"/>
      <c r="T83" s="605"/>
      <c r="U83" s="605"/>
      <c r="V83" s="605"/>
      <c r="W83" s="605"/>
      <c r="X83" s="605"/>
      <c r="Y83" s="605"/>
      <c r="Z83" s="605"/>
      <c r="AA83" s="605"/>
      <c r="AB83" s="605"/>
      <c r="AC83" s="605"/>
      <c r="AD83" s="605"/>
      <c r="AE83" s="605"/>
      <c r="AF83" s="605"/>
      <c r="AG83" s="605"/>
      <c r="AH83" s="605"/>
      <c r="AI83" s="605"/>
      <c r="AJ83" s="605"/>
    </row>
    <row r="84" spans="2:36" ht="15">
      <c r="B84" s="602">
        <v>47</v>
      </c>
      <c r="C84" s="603" t="s">
        <v>136</v>
      </c>
      <c r="D84" s="603" t="s">
        <v>444</v>
      </c>
      <c r="E84" s="604">
        <v>148985.125</v>
      </c>
      <c r="F84" s="604">
        <v>0</v>
      </c>
      <c r="G84" s="603" t="s">
        <v>443</v>
      </c>
      <c r="H84" s="596">
        <v>680916.16</v>
      </c>
      <c r="I84" s="596">
        <v>110280</v>
      </c>
      <c r="J84" s="605"/>
      <c r="K84" s="605"/>
      <c r="L84" s="605"/>
      <c r="M84" s="606"/>
      <c r="N84" s="605"/>
      <c r="O84" s="605"/>
      <c r="P84" s="605"/>
      <c r="Q84" s="605"/>
      <c r="R84" s="605"/>
      <c r="S84" s="605"/>
      <c r="T84" s="605"/>
      <c r="U84" s="605">
        <v>0.5</v>
      </c>
      <c r="V84" s="605"/>
      <c r="W84" s="605"/>
      <c r="X84" s="605"/>
      <c r="Y84" s="605"/>
      <c r="Z84" s="605"/>
      <c r="AA84" s="605"/>
      <c r="AB84" s="605">
        <v>0.5</v>
      </c>
      <c r="AC84" s="605"/>
      <c r="AD84" s="605"/>
      <c r="AE84" s="605"/>
      <c r="AF84" s="605"/>
      <c r="AG84" s="605"/>
      <c r="AH84" s="605"/>
      <c r="AI84" s="605"/>
      <c r="AJ84" s="605"/>
    </row>
    <row r="85" spans="2:36" ht="15">
      <c r="B85" s="602">
        <v>57</v>
      </c>
      <c r="C85" s="603" t="s">
        <v>146</v>
      </c>
      <c r="D85" s="603" t="s">
        <v>442</v>
      </c>
      <c r="E85" s="604">
        <v>233960.785</v>
      </c>
      <c r="F85" s="604">
        <v>55140</v>
      </c>
      <c r="G85" s="603" t="s">
        <v>443</v>
      </c>
      <c r="H85" s="596">
        <v>680916.16</v>
      </c>
      <c r="I85" s="596">
        <v>110280</v>
      </c>
      <c r="J85" s="605"/>
      <c r="K85" s="605"/>
      <c r="L85" s="605"/>
      <c r="M85" s="606">
        <v>192</v>
      </c>
      <c r="N85" s="605"/>
      <c r="O85" s="605"/>
      <c r="P85" s="605"/>
      <c r="Q85" s="605"/>
      <c r="R85" s="605"/>
      <c r="S85" s="605"/>
      <c r="T85" s="605">
        <v>0.5</v>
      </c>
      <c r="U85" s="605">
        <v>0.5</v>
      </c>
      <c r="V85" s="605"/>
      <c r="W85" s="605"/>
      <c r="X85" s="605"/>
      <c r="Y85" s="605"/>
      <c r="Z85" s="605"/>
      <c r="AA85" s="605">
        <v>0.5</v>
      </c>
      <c r="AB85" s="605"/>
      <c r="AC85" s="605"/>
      <c r="AD85" s="605"/>
      <c r="AE85" s="605"/>
      <c r="AF85" s="605"/>
      <c r="AG85" s="605">
        <v>0.6</v>
      </c>
      <c r="AH85" s="605"/>
      <c r="AI85" s="605"/>
      <c r="AJ85" s="605"/>
    </row>
    <row r="86" spans="2:36" ht="15">
      <c r="B86" s="607">
        <v>128</v>
      </c>
      <c r="C86" s="608" t="s">
        <v>235</v>
      </c>
      <c r="D86" s="608" t="s">
        <v>446</v>
      </c>
      <c r="E86" s="609">
        <v>148985.125</v>
      </c>
      <c r="F86" s="609">
        <v>0</v>
      </c>
      <c r="G86" s="608" t="s">
        <v>443</v>
      </c>
      <c r="H86" s="596">
        <v>680916.16</v>
      </c>
      <c r="I86" s="596">
        <v>110280</v>
      </c>
      <c r="J86" s="605"/>
      <c r="K86" s="605"/>
      <c r="L86" s="605"/>
      <c r="M86" s="606"/>
      <c r="N86" s="605"/>
      <c r="O86" s="605"/>
      <c r="P86" s="605"/>
      <c r="Q86" s="605"/>
      <c r="R86" s="605"/>
      <c r="S86" s="605"/>
      <c r="T86" s="605"/>
      <c r="U86" s="605">
        <v>0.5</v>
      </c>
      <c r="V86" s="605"/>
      <c r="W86" s="605"/>
      <c r="X86" s="605"/>
      <c r="Y86" s="605"/>
      <c r="Z86" s="605"/>
      <c r="AA86" s="605"/>
      <c r="AB86" s="605">
        <v>0.5</v>
      </c>
      <c r="AC86" s="605"/>
      <c r="AD86" s="605"/>
      <c r="AE86" s="605"/>
      <c r="AF86" s="605"/>
      <c r="AG86" s="605"/>
      <c r="AH86" s="605"/>
      <c r="AI86" s="605"/>
      <c r="AJ86" s="605"/>
    </row>
    <row r="87" spans="2:36" ht="15">
      <c r="B87" s="607">
        <v>66</v>
      </c>
      <c r="C87" s="608" t="s">
        <v>158</v>
      </c>
      <c r="D87" s="608" t="s">
        <v>447</v>
      </c>
      <c r="E87" s="609">
        <v>0</v>
      </c>
      <c r="F87" s="609">
        <v>0</v>
      </c>
      <c r="G87" s="608" t="s">
        <v>443</v>
      </c>
      <c r="H87" s="596">
        <v>680916.16</v>
      </c>
      <c r="I87" s="596">
        <v>110280</v>
      </c>
      <c r="J87" s="605"/>
      <c r="K87" s="605"/>
      <c r="L87" s="605"/>
      <c r="M87" s="606"/>
      <c r="N87" s="605"/>
      <c r="O87" s="605"/>
      <c r="P87" s="605"/>
      <c r="Q87" s="605"/>
      <c r="R87" s="605"/>
      <c r="S87" s="605"/>
      <c r="T87" s="605"/>
      <c r="U87" s="605"/>
      <c r="V87" s="605"/>
      <c r="W87" s="605"/>
      <c r="X87" s="605"/>
      <c r="Y87" s="605"/>
      <c r="Z87" s="605"/>
      <c r="AA87" s="605"/>
      <c r="AB87" s="605"/>
      <c r="AC87" s="605"/>
      <c r="AD87" s="605"/>
      <c r="AE87" s="605"/>
      <c r="AF87" s="605"/>
      <c r="AG87" s="605"/>
      <c r="AH87" s="605"/>
      <c r="AI87" s="605"/>
      <c r="AJ87" s="605"/>
    </row>
    <row r="88" spans="2:36" ht="15">
      <c r="B88" s="607">
        <v>104</v>
      </c>
      <c r="C88" s="608" t="s">
        <v>206</v>
      </c>
      <c r="D88" s="608" t="s">
        <v>445</v>
      </c>
      <c r="E88" s="609">
        <v>148985.125</v>
      </c>
      <c r="F88" s="609">
        <v>55140</v>
      </c>
      <c r="G88" s="608" t="s">
        <v>443</v>
      </c>
      <c r="H88" s="596">
        <v>680916.16</v>
      </c>
      <c r="I88" s="596">
        <v>110280</v>
      </c>
      <c r="J88" s="605"/>
      <c r="K88" s="605"/>
      <c r="L88" s="605"/>
      <c r="M88" s="606"/>
      <c r="N88" s="605"/>
      <c r="O88" s="605"/>
      <c r="P88" s="605"/>
      <c r="Q88" s="605"/>
      <c r="R88" s="605"/>
      <c r="S88" s="605"/>
      <c r="T88" s="605"/>
      <c r="U88" s="605">
        <v>0.5</v>
      </c>
      <c r="V88" s="605"/>
      <c r="W88" s="605"/>
      <c r="X88" s="605"/>
      <c r="Y88" s="605"/>
      <c r="Z88" s="605"/>
      <c r="AA88" s="605"/>
      <c r="AB88" s="605">
        <v>0.5</v>
      </c>
      <c r="AC88" s="605"/>
      <c r="AD88" s="605"/>
      <c r="AE88" s="605"/>
      <c r="AF88" s="605"/>
      <c r="AG88" s="605">
        <v>0.6</v>
      </c>
      <c r="AH88" s="605"/>
      <c r="AI88" s="605"/>
      <c r="AJ88" s="605"/>
    </row>
    <row r="89" spans="2:36" ht="15">
      <c r="B89" s="607">
        <v>40</v>
      </c>
      <c r="C89" s="608" t="s">
        <v>129</v>
      </c>
      <c r="D89" s="608" t="s">
        <v>415</v>
      </c>
      <c r="E89" s="609">
        <v>0</v>
      </c>
      <c r="F89" s="609">
        <v>0</v>
      </c>
      <c r="G89" s="608" t="s">
        <v>416</v>
      </c>
      <c r="H89" s="596">
        <v>0</v>
      </c>
      <c r="I89" s="596">
        <v>0</v>
      </c>
      <c r="J89" s="605"/>
      <c r="K89" s="605"/>
      <c r="L89" s="605"/>
      <c r="M89" s="606"/>
      <c r="N89" s="605"/>
      <c r="O89" s="605"/>
      <c r="P89" s="605"/>
      <c r="Q89" s="605"/>
      <c r="R89" s="605"/>
      <c r="S89" s="605"/>
      <c r="T89" s="605"/>
      <c r="U89" s="605"/>
      <c r="V89" s="605"/>
      <c r="W89" s="605"/>
      <c r="X89" s="605"/>
      <c r="Y89" s="605"/>
      <c r="Z89" s="605"/>
      <c r="AA89" s="605"/>
      <c r="AB89" s="605"/>
      <c r="AC89" s="605"/>
      <c r="AD89" s="605"/>
      <c r="AE89" s="605"/>
      <c r="AF89" s="605"/>
      <c r="AG89" s="605"/>
      <c r="AH89" s="605"/>
      <c r="AI89" s="605"/>
      <c r="AJ89" s="605"/>
    </row>
    <row r="90" spans="2:36" ht="15">
      <c r="B90" s="602">
        <v>65</v>
      </c>
      <c r="C90" s="603" t="s">
        <v>157</v>
      </c>
      <c r="D90" s="603" t="s">
        <v>418</v>
      </c>
      <c r="E90" s="604">
        <v>0</v>
      </c>
      <c r="F90" s="604">
        <v>0</v>
      </c>
      <c r="G90" s="603" t="s">
        <v>416</v>
      </c>
      <c r="H90" s="596">
        <v>0</v>
      </c>
      <c r="I90" s="596">
        <v>0</v>
      </c>
      <c r="J90" s="605"/>
      <c r="K90" s="605"/>
      <c r="L90" s="605"/>
      <c r="M90" s="606"/>
      <c r="N90" s="605"/>
      <c r="O90" s="605"/>
      <c r="P90" s="605"/>
      <c r="Q90" s="605"/>
      <c r="R90" s="605"/>
      <c r="S90" s="605"/>
      <c r="T90" s="605"/>
      <c r="U90" s="605"/>
      <c r="V90" s="605"/>
      <c r="W90" s="605"/>
      <c r="X90" s="605"/>
      <c r="Y90" s="605"/>
      <c r="Z90" s="605"/>
      <c r="AA90" s="605"/>
      <c r="AB90" s="605"/>
      <c r="AC90" s="605"/>
      <c r="AD90" s="605"/>
      <c r="AE90" s="605"/>
      <c r="AF90" s="605"/>
      <c r="AG90" s="605"/>
      <c r="AH90" s="605"/>
      <c r="AI90" s="605"/>
      <c r="AJ90" s="605"/>
    </row>
    <row r="91" spans="2:36" ht="15">
      <c r="B91" s="602">
        <v>71</v>
      </c>
      <c r="C91" s="603" t="s">
        <v>164</v>
      </c>
      <c r="D91" s="603" t="s">
        <v>419</v>
      </c>
      <c r="E91" s="604">
        <v>0</v>
      </c>
      <c r="F91" s="604">
        <v>0</v>
      </c>
      <c r="G91" s="603" t="s">
        <v>416</v>
      </c>
      <c r="H91" s="596">
        <v>0</v>
      </c>
      <c r="I91" s="596">
        <v>0</v>
      </c>
      <c r="J91" s="605"/>
      <c r="K91" s="605"/>
      <c r="L91" s="605"/>
      <c r="M91" s="606"/>
      <c r="N91" s="605"/>
      <c r="O91" s="605"/>
      <c r="P91" s="605"/>
      <c r="Q91" s="605"/>
      <c r="R91" s="605"/>
      <c r="S91" s="605"/>
      <c r="T91" s="605"/>
      <c r="U91" s="605"/>
      <c r="V91" s="605"/>
      <c r="W91" s="605"/>
      <c r="X91" s="605"/>
      <c r="Y91" s="605"/>
      <c r="Z91" s="605"/>
      <c r="AA91" s="605"/>
      <c r="AB91" s="605"/>
      <c r="AC91" s="605"/>
      <c r="AD91" s="605"/>
      <c r="AE91" s="605"/>
      <c r="AF91" s="605"/>
      <c r="AG91" s="605"/>
      <c r="AH91" s="605"/>
      <c r="AI91" s="605"/>
      <c r="AJ91" s="605"/>
    </row>
    <row r="92" spans="2:36" ht="15">
      <c r="B92" s="602">
        <v>95</v>
      </c>
      <c r="C92" s="603" t="s">
        <v>195</v>
      </c>
      <c r="D92" s="603" t="s">
        <v>417</v>
      </c>
      <c r="E92" s="604">
        <v>0</v>
      </c>
      <c r="F92" s="604">
        <v>0</v>
      </c>
      <c r="G92" s="603" t="s">
        <v>416</v>
      </c>
      <c r="H92" s="596">
        <v>0</v>
      </c>
      <c r="I92" s="596">
        <v>0</v>
      </c>
      <c r="J92" s="605"/>
      <c r="K92" s="605"/>
      <c r="L92" s="605"/>
      <c r="M92" s="606"/>
      <c r="N92" s="605"/>
      <c r="O92" s="605"/>
      <c r="P92" s="605"/>
      <c r="Q92" s="605"/>
      <c r="R92" s="605"/>
      <c r="S92" s="605"/>
      <c r="T92" s="605"/>
      <c r="U92" s="605"/>
      <c r="V92" s="605"/>
      <c r="W92" s="605"/>
      <c r="X92" s="605"/>
      <c r="Y92" s="605"/>
      <c r="Z92" s="605"/>
      <c r="AA92" s="605"/>
      <c r="AB92" s="605"/>
      <c r="AC92" s="605"/>
      <c r="AD92" s="605"/>
      <c r="AE92" s="605"/>
      <c r="AF92" s="605"/>
      <c r="AG92" s="605"/>
      <c r="AH92" s="605"/>
      <c r="AI92" s="605"/>
      <c r="AJ92" s="605"/>
    </row>
    <row r="93" spans="2:36" ht="15">
      <c r="B93" s="607">
        <v>112</v>
      </c>
      <c r="C93" s="608" t="s">
        <v>216</v>
      </c>
      <c r="D93" s="608" t="s">
        <v>568</v>
      </c>
      <c r="E93" s="609">
        <v>0</v>
      </c>
      <c r="F93" s="609">
        <v>0</v>
      </c>
      <c r="G93" s="608" t="s">
        <v>438</v>
      </c>
      <c r="H93" s="596">
        <v>246283.82500000001</v>
      </c>
      <c r="I93" s="596">
        <v>0</v>
      </c>
      <c r="J93" s="605"/>
      <c r="K93" s="605"/>
      <c r="L93" s="605"/>
      <c r="M93" s="606"/>
      <c r="N93" s="605"/>
      <c r="O93" s="605"/>
      <c r="P93" s="605"/>
      <c r="Q93" s="605"/>
      <c r="R93" s="605"/>
      <c r="S93" s="605"/>
      <c r="T93" s="605"/>
      <c r="U93" s="605"/>
      <c r="V93" s="605"/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</row>
    <row r="94" spans="2:36" ht="15">
      <c r="B94" s="602">
        <v>45</v>
      </c>
      <c r="C94" s="603" t="s">
        <v>134</v>
      </c>
      <c r="D94" s="603" t="s">
        <v>440</v>
      </c>
      <c r="E94" s="604">
        <v>190740.125</v>
      </c>
      <c r="F94" s="604">
        <v>0</v>
      </c>
      <c r="G94" s="603" t="s">
        <v>438</v>
      </c>
      <c r="H94" s="596">
        <v>246283.82500000001</v>
      </c>
      <c r="I94" s="596">
        <v>0</v>
      </c>
      <c r="J94" s="605"/>
      <c r="K94" s="605"/>
      <c r="L94" s="605"/>
      <c r="M94" s="606"/>
      <c r="N94" s="605"/>
      <c r="O94" s="605"/>
      <c r="P94" s="605"/>
      <c r="Q94" s="605"/>
      <c r="R94" s="605"/>
      <c r="S94" s="605"/>
      <c r="T94" s="605"/>
      <c r="U94" s="605">
        <v>0.5</v>
      </c>
      <c r="V94" s="605"/>
      <c r="W94" s="605"/>
      <c r="X94" s="605"/>
      <c r="Y94" s="605"/>
      <c r="Z94" s="605"/>
      <c r="AA94" s="605">
        <v>0.5</v>
      </c>
      <c r="AB94" s="605"/>
      <c r="AC94" s="605"/>
      <c r="AD94" s="605"/>
      <c r="AE94" s="605"/>
      <c r="AF94" s="605"/>
      <c r="AG94" s="605"/>
      <c r="AH94" s="605"/>
      <c r="AI94" s="605"/>
      <c r="AJ94" s="605"/>
    </row>
    <row r="95" spans="2:36" ht="15">
      <c r="B95" s="602">
        <v>61</v>
      </c>
      <c r="C95" s="603" t="s">
        <v>151</v>
      </c>
      <c r="D95" s="603" t="s">
        <v>439</v>
      </c>
      <c r="E95" s="604">
        <v>0</v>
      </c>
      <c r="F95" s="604">
        <v>0</v>
      </c>
      <c r="G95" s="603" t="s">
        <v>438</v>
      </c>
      <c r="H95" s="596">
        <v>246283.82500000001</v>
      </c>
      <c r="I95" s="596">
        <v>0</v>
      </c>
      <c r="J95" s="605"/>
      <c r="K95" s="605"/>
      <c r="L95" s="605"/>
      <c r="M95" s="606"/>
      <c r="N95" s="605"/>
      <c r="O95" s="605"/>
      <c r="P95" s="605"/>
      <c r="Q95" s="605"/>
      <c r="R95" s="605"/>
      <c r="S95" s="605"/>
      <c r="T95" s="605"/>
      <c r="U95" s="605"/>
      <c r="V95" s="605"/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</row>
    <row r="96" spans="2:36" ht="15">
      <c r="B96" s="607">
        <v>76</v>
      </c>
      <c r="C96" s="608" t="s">
        <v>171</v>
      </c>
      <c r="D96" s="608" t="s">
        <v>437</v>
      </c>
      <c r="E96" s="609">
        <v>55543.7</v>
      </c>
      <c r="F96" s="609">
        <v>0</v>
      </c>
      <c r="G96" s="608" t="s">
        <v>438</v>
      </c>
      <c r="H96" s="596">
        <v>246283.82500000001</v>
      </c>
      <c r="I96" s="596">
        <v>0</v>
      </c>
      <c r="J96" s="605"/>
      <c r="K96" s="605"/>
      <c r="L96" s="605"/>
      <c r="M96" s="606">
        <v>210</v>
      </c>
      <c r="N96" s="605"/>
      <c r="O96" s="605"/>
      <c r="P96" s="605"/>
      <c r="Q96" s="605"/>
      <c r="R96" s="605"/>
      <c r="S96" s="605"/>
      <c r="T96" s="605"/>
      <c r="U96" s="605">
        <v>0.8</v>
      </c>
      <c r="V96" s="605"/>
      <c r="W96" s="605"/>
      <c r="X96" s="605"/>
      <c r="Y96" s="605"/>
      <c r="Z96" s="605"/>
      <c r="AA96" s="605"/>
      <c r="AB96" s="605"/>
      <c r="AC96" s="605"/>
      <c r="AD96" s="605"/>
      <c r="AE96" s="605"/>
      <c r="AF96" s="605"/>
      <c r="AG96" s="605"/>
      <c r="AH96" s="605"/>
      <c r="AI96" s="605"/>
      <c r="AJ96" s="605"/>
    </row>
    <row r="97" spans="2:36" ht="15">
      <c r="B97" s="607">
        <v>138</v>
      </c>
      <c r="C97" s="608" t="s">
        <v>134</v>
      </c>
      <c r="D97" s="608" t="s">
        <v>441</v>
      </c>
      <c r="E97" s="609">
        <v>0</v>
      </c>
      <c r="F97" s="609">
        <v>0</v>
      </c>
      <c r="G97" s="608" t="s">
        <v>438</v>
      </c>
      <c r="H97" s="596">
        <v>246283.82500000001</v>
      </c>
      <c r="I97" s="596">
        <v>0</v>
      </c>
      <c r="J97" s="605"/>
      <c r="K97" s="605"/>
      <c r="L97" s="605"/>
      <c r="M97" s="606"/>
      <c r="N97" s="605"/>
      <c r="O97" s="605"/>
      <c r="P97" s="605"/>
      <c r="Q97" s="605"/>
      <c r="R97" s="605"/>
      <c r="S97" s="605"/>
      <c r="T97" s="605"/>
      <c r="U97" s="605"/>
      <c r="V97" s="605"/>
      <c r="W97" s="605"/>
      <c r="X97" s="605"/>
      <c r="Y97" s="605"/>
      <c r="Z97" s="605"/>
      <c r="AA97" s="605"/>
      <c r="AB97" s="605"/>
      <c r="AC97" s="605"/>
      <c r="AD97" s="605"/>
      <c r="AE97" s="605"/>
      <c r="AF97" s="605"/>
      <c r="AG97" s="605"/>
      <c r="AH97" s="605"/>
      <c r="AI97" s="605"/>
      <c r="AJ97" s="605"/>
    </row>
    <row r="98" spans="2:36" ht="15">
      <c r="B98" s="607">
        <v>142</v>
      </c>
      <c r="C98" s="608" t="s">
        <v>156</v>
      </c>
      <c r="D98" s="608" t="s">
        <v>476</v>
      </c>
      <c r="E98" s="609">
        <v>0</v>
      </c>
      <c r="F98" s="609">
        <v>0</v>
      </c>
      <c r="G98" s="608" t="s">
        <v>475</v>
      </c>
      <c r="H98" s="596">
        <v>0</v>
      </c>
      <c r="I98" s="596">
        <v>0</v>
      </c>
      <c r="J98" s="605"/>
      <c r="K98" s="605"/>
      <c r="L98" s="605"/>
      <c r="M98" s="606"/>
      <c r="N98" s="605"/>
      <c r="O98" s="605"/>
      <c r="P98" s="605"/>
      <c r="Q98" s="605"/>
      <c r="R98" s="605"/>
      <c r="S98" s="605"/>
      <c r="T98" s="605"/>
      <c r="U98" s="605"/>
      <c r="V98" s="605"/>
      <c r="W98" s="605"/>
      <c r="X98" s="605"/>
      <c r="Y98" s="605"/>
      <c r="Z98" s="605"/>
      <c r="AA98" s="605"/>
      <c r="AB98" s="605"/>
      <c r="AC98" s="605"/>
      <c r="AD98" s="605"/>
      <c r="AE98" s="605"/>
      <c r="AF98" s="605"/>
      <c r="AG98" s="605"/>
      <c r="AH98" s="605"/>
      <c r="AI98" s="605"/>
      <c r="AJ98" s="605"/>
    </row>
    <row r="99" spans="2:36" ht="15">
      <c r="B99" s="602">
        <v>143</v>
      </c>
      <c r="C99" s="603" t="s">
        <v>156</v>
      </c>
      <c r="D99" s="603" t="s">
        <v>572</v>
      </c>
      <c r="E99" s="604">
        <v>0</v>
      </c>
      <c r="F99" s="604">
        <v>0</v>
      </c>
      <c r="G99" s="603" t="s">
        <v>475</v>
      </c>
      <c r="H99" s="596">
        <v>0</v>
      </c>
      <c r="I99" s="596">
        <v>0</v>
      </c>
      <c r="J99" s="605"/>
      <c r="K99" s="605"/>
      <c r="L99" s="605"/>
      <c r="M99" s="606"/>
      <c r="N99" s="605"/>
      <c r="O99" s="605"/>
      <c r="P99" s="605"/>
      <c r="Q99" s="605"/>
      <c r="R99" s="605"/>
      <c r="S99" s="605"/>
      <c r="T99" s="605"/>
      <c r="U99" s="605"/>
      <c r="V99" s="605"/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</row>
    <row r="100" spans="2:36" ht="15">
      <c r="B100" s="607">
        <v>64</v>
      </c>
      <c r="C100" s="608" t="s">
        <v>156</v>
      </c>
      <c r="D100" s="608" t="s">
        <v>474</v>
      </c>
      <c r="E100" s="609">
        <v>0</v>
      </c>
      <c r="F100" s="609">
        <v>0</v>
      </c>
      <c r="G100" s="608" t="s">
        <v>475</v>
      </c>
      <c r="H100" s="596">
        <v>0</v>
      </c>
      <c r="I100" s="596">
        <v>0</v>
      </c>
      <c r="J100" s="605"/>
      <c r="K100" s="605"/>
      <c r="L100" s="605"/>
      <c r="M100" s="606"/>
      <c r="N100" s="605"/>
      <c r="O100" s="605"/>
      <c r="P100" s="605"/>
      <c r="Q100" s="605"/>
      <c r="R100" s="605"/>
      <c r="S100" s="605"/>
      <c r="T100" s="605"/>
      <c r="U100" s="605"/>
      <c r="V100" s="605"/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</row>
    <row r="101" spans="2:36" ht="15">
      <c r="B101" s="602">
        <v>141</v>
      </c>
      <c r="C101" s="603" t="s">
        <v>37</v>
      </c>
      <c r="D101" s="603" t="s">
        <v>358</v>
      </c>
      <c r="E101" s="604">
        <v>0</v>
      </c>
      <c r="F101" s="604">
        <v>0</v>
      </c>
      <c r="G101" s="603" t="s">
        <v>356</v>
      </c>
      <c r="H101" s="596">
        <v>0</v>
      </c>
      <c r="I101" s="596">
        <v>0</v>
      </c>
      <c r="J101" s="605"/>
      <c r="K101" s="605"/>
      <c r="L101" s="605"/>
      <c r="M101" s="606"/>
      <c r="N101" s="605"/>
      <c r="O101" s="605"/>
      <c r="P101" s="605"/>
      <c r="Q101" s="605"/>
      <c r="R101" s="605"/>
      <c r="S101" s="605"/>
      <c r="T101" s="605"/>
      <c r="U101" s="605"/>
      <c r="V101" s="605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05"/>
      <c r="AH101" s="605"/>
      <c r="AI101" s="605"/>
      <c r="AJ101" s="605"/>
    </row>
    <row r="102" spans="2:36" ht="15">
      <c r="B102" s="602">
        <v>73</v>
      </c>
      <c r="C102" s="603" t="s">
        <v>40</v>
      </c>
      <c r="D102" s="603" t="s">
        <v>355</v>
      </c>
      <c r="E102" s="604">
        <v>0</v>
      </c>
      <c r="F102" s="604">
        <v>0</v>
      </c>
      <c r="G102" s="603" t="s">
        <v>356</v>
      </c>
      <c r="H102" s="596">
        <v>0</v>
      </c>
      <c r="I102" s="596">
        <v>0</v>
      </c>
      <c r="J102" s="605"/>
      <c r="K102" s="605"/>
      <c r="L102" s="605"/>
      <c r="M102" s="606"/>
      <c r="N102" s="605"/>
      <c r="O102" s="605"/>
      <c r="P102" s="605"/>
      <c r="Q102" s="605"/>
      <c r="R102" s="605"/>
      <c r="S102" s="605"/>
      <c r="T102" s="605"/>
      <c r="U102" s="605"/>
      <c r="V102" s="605"/>
      <c r="W102" s="605"/>
      <c r="X102" s="605"/>
      <c r="Y102" s="605"/>
      <c r="Z102" s="605"/>
      <c r="AA102" s="605"/>
      <c r="AB102" s="605"/>
      <c r="AC102" s="605"/>
      <c r="AD102" s="605"/>
      <c r="AE102" s="605"/>
      <c r="AF102" s="605"/>
      <c r="AG102" s="605"/>
      <c r="AH102" s="605"/>
      <c r="AI102" s="605"/>
      <c r="AJ102" s="605"/>
    </row>
    <row r="103" spans="2:36" ht="15">
      <c r="B103" s="607">
        <v>62</v>
      </c>
      <c r="C103" s="608" t="s">
        <v>37</v>
      </c>
      <c r="D103" s="608" t="s">
        <v>357</v>
      </c>
      <c r="E103" s="609">
        <v>0</v>
      </c>
      <c r="F103" s="609">
        <v>0</v>
      </c>
      <c r="G103" s="608" t="s">
        <v>356</v>
      </c>
      <c r="H103" s="596">
        <v>0</v>
      </c>
      <c r="I103" s="596">
        <v>0</v>
      </c>
      <c r="J103" s="605"/>
      <c r="K103" s="605"/>
      <c r="L103" s="605"/>
      <c r="M103" s="606"/>
      <c r="N103" s="605"/>
      <c r="O103" s="605"/>
      <c r="P103" s="605"/>
      <c r="Q103" s="605"/>
      <c r="R103" s="605"/>
      <c r="S103" s="605"/>
      <c r="T103" s="605"/>
      <c r="U103" s="605"/>
      <c r="V103" s="605"/>
      <c r="W103" s="605"/>
      <c r="X103" s="605"/>
      <c r="Y103" s="605"/>
      <c r="Z103" s="605"/>
      <c r="AA103" s="605"/>
      <c r="AB103" s="605"/>
      <c r="AC103" s="605"/>
      <c r="AD103" s="605"/>
      <c r="AE103" s="605"/>
      <c r="AF103" s="605"/>
      <c r="AG103" s="605"/>
      <c r="AH103" s="605"/>
      <c r="AI103" s="605"/>
      <c r="AJ103" s="605"/>
    </row>
    <row r="104" spans="2:36" ht="15">
      <c r="B104" s="607">
        <v>48</v>
      </c>
      <c r="C104" s="608" t="s">
        <v>137</v>
      </c>
      <c r="D104" s="608" t="s">
        <v>385</v>
      </c>
      <c r="E104" s="609">
        <v>0</v>
      </c>
      <c r="F104" s="609">
        <v>24250</v>
      </c>
      <c r="G104" s="608" t="s">
        <v>384</v>
      </c>
      <c r="H104" s="596">
        <v>459053.33499999996</v>
      </c>
      <c r="I104" s="596">
        <v>228450</v>
      </c>
      <c r="J104" s="605"/>
      <c r="K104" s="605"/>
      <c r="L104" s="605"/>
      <c r="M104" s="606"/>
      <c r="N104" s="605"/>
      <c r="O104" s="605"/>
      <c r="P104" s="605"/>
      <c r="Q104" s="605"/>
      <c r="R104" s="605"/>
      <c r="S104" s="605"/>
      <c r="T104" s="605"/>
      <c r="U104" s="605"/>
      <c r="V104" s="605"/>
      <c r="W104" s="605"/>
      <c r="X104" s="605"/>
      <c r="Y104" s="605"/>
      <c r="Z104" s="605"/>
      <c r="AA104" s="605"/>
      <c r="AB104" s="605"/>
      <c r="AC104" s="605"/>
      <c r="AD104" s="605"/>
      <c r="AE104" s="605"/>
      <c r="AF104" s="605"/>
      <c r="AG104" s="605"/>
      <c r="AH104" s="605"/>
      <c r="AI104" s="605">
        <v>0.5</v>
      </c>
      <c r="AJ104" s="605"/>
    </row>
    <row r="105" spans="2:36" ht="15">
      <c r="B105" s="607">
        <v>148</v>
      </c>
      <c r="C105" s="608" t="s">
        <v>184</v>
      </c>
      <c r="D105" s="608" t="s">
        <v>388</v>
      </c>
      <c r="E105" s="609">
        <v>0</v>
      </c>
      <c r="F105" s="609">
        <v>0</v>
      </c>
      <c r="G105" s="608" t="s">
        <v>384</v>
      </c>
      <c r="H105" s="596">
        <v>459053.33499999996</v>
      </c>
      <c r="I105" s="596">
        <v>228450</v>
      </c>
      <c r="J105" s="605"/>
      <c r="K105" s="605"/>
      <c r="L105" s="605"/>
      <c r="M105" s="606"/>
      <c r="N105" s="605"/>
      <c r="O105" s="605"/>
      <c r="P105" s="605"/>
      <c r="Q105" s="605"/>
      <c r="R105" s="605"/>
      <c r="S105" s="605"/>
      <c r="T105" s="605"/>
      <c r="U105" s="605"/>
      <c r="V105" s="605"/>
      <c r="W105" s="605"/>
      <c r="X105" s="605"/>
      <c r="Y105" s="605"/>
      <c r="Z105" s="605"/>
      <c r="AA105" s="605"/>
      <c r="AB105" s="605"/>
      <c r="AC105" s="605"/>
      <c r="AD105" s="605"/>
      <c r="AE105" s="605"/>
      <c r="AF105" s="605"/>
      <c r="AG105" s="605"/>
      <c r="AH105" s="605"/>
      <c r="AI105" s="605"/>
      <c r="AJ105" s="605"/>
    </row>
    <row r="106" spans="2:36" ht="15">
      <c r="B106" s="602">
        <v>79</v>
      </c>
      <c r="C106" s="603" t="s">
        <v>175</v>
      </c>
      <c r="D106" s="603" t="s">
        <v>510</v>
      </c>
      <c r="E106" s="604">
        <v>96143.334999999992</v>
      </c>
      <c r="F106" s="604">
        <v>204200</v>
      </c>
      <c r="G106" s="603" t="s">
        <v>384</v>
      </c>
      <c r="H106" s="596">
        <v>459053.33499999996</v>
      </c>
      <c r="I106" s="596">
        <v>228450</v>
      </c>
      <c r="J106" s="605"/>
      <c r="K106" s="605"/>
      <c r="L106" s="605"/>
      <c r="M106" s="606">
        <v>385</v>
      </c>
      <c r="N106" s="605"/>
      <c r="O106" s="605"/>
      <c r="P106" s="605">
        <v>0.5</v>
      </c>
      <c r="Q106" s="605"/>
      <c r="R106" s="605"/>
      <c r="S106" s="605"/>
      <c r="T106" s="605"/>
      <c r="U106" s="605"/>
      <c r="V106" s="605"/>
      <c r="W106" s="605"/>
      <c r="X106" s="605"/>
      <c r="Y106" s="605"/>
      <c r="Z106" s="605"/>
      <c r="AA106" s="605"/>
      <c r="AB106" s="605"/>
      <c r="AC106" s="605"/>
      <c r="AD106" s="605">
        <v>0.5</v>
      </c>
      <c r="AE106" s="605"/>
      <c r="AF106" s="605"/>
      <c r="AG106" s="605">
        <v>0.5</v>
      </c>
      <c r="AH106" s="605">
        <v>0.5</v>
      </c>
      <c r="AI106" s="605"/>
      <c r="AJ106" s="605">
        <v>0.5</v>
      </c>
    </row>
    <row r="107" spans="2:36" ht="15">
      <c r="B107" s="602">
        <v>75</v>
      </c>
      <c r="C107" s="603" t="s">
        <v>170</v>
      </c>
      <c r="D107" s="603" t="s">
        <v>386</v>
      </c>
      <c r="E107" s="604">
        <v>0</v>
      </c>
      <c r="F107" s="604">
        <v>0</v>
      </c>
      <c r="G107" s="603" t="s">
        <v>384</v>
      </c>
      <c r="H107" s="596">
        <v>459053.33499999996</v>
      </c>
      <c r="I107" s="596">
        <v>228450</v>
      </c>
      <c r="J107" s="605"/>
      <c r="K107" s="605"/>
      <c r="L107" s="605"/>
      <c r="M107" s="606"/>
      <c r="N107" s="605"/>
      <c r="O107" s="605"/>
      <c r="P107" s="605"/>
      <c r="Q107" s="605"/>
      <c r="R107" s="605"/>
      <c r="S107" s="605"/>
      <c r="T107" s="605"/>
      <c r="U107" s="605"/>
      <c r="V107" s="605"/>
      <c r="W107" s="605"/>
      <c r="X107" s="605"/>
      <c r="Y107" s="605"/>
      <c r="Z107" s="605"/>
      <c r="AA107" s="605"/>
      <c r="AB107" s="605"/>
      <c r="AC107" s="605"/>
      <c r="AD107" s="605"/>
      <c r="AE107" s="605"/>
      <c r="AF107" s="605"/>
      <c r="AG107" s="605"/>
      <c r="AH107" s="605"/>
      <c r="AI107" s="605"/>
      <c r="AJ107" s="605"/>
    </row>
    <row r="108" spans="2:36" ht="15">
      <c r="B108" s="602">
        <v>85</v>
      </c>
      <c r="C108" s="603" t="s">
        <v>184</v>
      </c>
      <c r="D108" s="603" t="s">
        <v>387</v>
      </c>
      <c r="E108" s="604">
        <v>362910</v>
      </c>
      <c r="F108" s="604">
        <v>0</v>
      </c>
      <c r="G108" s="603" t="s">
        <v>384</v>
      </c>
      <c r="H108" s="596">
        <v>459053.33499999996</v>
      </c>
      <c r="I108" s="596">
        <v>228450</v>
      </c>
      <c r="J108" s="605"/>
      <c r="K108" s="605"/>
      <c r="L108" s="605"/>
      <c r="M108" s="606"/>
      <c r="N108" s="605"/>
      <c r="O108" s="605"/>
      <c r="P108" s="605"/>
      <c r="Q108" s="605"/>
      <c r="R108" s="605"/>
      <c r="S108" s="605"/>
      <c r="T108" s="605"/>
      <c r="U108" s="605"/>
      <c r="V108" s="605"/>
      <c r="W108" s="605"/>
      <c r="X108" s="605"/>
      <c r="Y108" s="605"/>
      <c r="Z108" s="605"/>
      <c r="AA108" s="605">
        <v>1</v>
      </c>
      <c r="AB108" s="605"/>
      <c r="AC108" s="605"/>
      <c r="AD108" s="605"/>
      <c r="AE108" s="605"/>
      <c r="AF108" s="605"/>
      <c r="AG108" s="605"/>
      <c r="AH108" s="605"/>
      <c r="AI108" s="605"/>
      <c r="AJ108" s="605"/>
    </row>
    <row r="109" spans="2:36" ht="15">
      <c r="B109" s="607">
        <v>72</v>
      </c>
      <c r="C109" s="608" t="s">
        <v>165</v>
      </c>
      <c r="D109" s="608" t="s">
        <v>460</v>
      </c>
      <c r="E109" s="609">
        <v>0</v>
      </c>
      <c r="F109" s="609">
        <v>55140</v>
      </c>
      <c r="G109" s="608" t="s">
        <v>459</v>
      </c>
      <c r="H109" s="596">
        <v>239923.27600000001</v>
      </c>
      <c r="I109" s="596">
        <v>55140</v>
      </c>
      <c r="J109" s="605"/>
      <c r="K109" s="605"/>
      <c r="L109" s="605"/>
      <c r="M109" s="606"/>
      <c r="N109" s="605"/>
      <c r="O109" s="605"/>
      <c r="P109" s="605"/>
      <c r="Q109" s="605"/>
      <c r="R109" s="605"/>
      <c r="S109" s="605"/>
      <c r="T109" s="605"/>
      <c r="U109" s="605"/>
      <c r="V109" s="605"/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>
        <v>0.6</v>
      </c>
      <c r="AH109" s="605"/>
      <c r="AI109" s="605"/>
      <c r="AJ109" s="605"/>
    </row>
    <row r="110" spans="2:36" ht="15">
      <c r="B110" s="607">
        <v>86</v>
      </c>
      <c r="C110" s="608" t="s">
        <v>185</v>
      </c>
      <c r="D110" s="608" t="s">
        <v>458</v>
      </c>
      <c r="E110" s="609">
        <v>239923.27600000001</v>
      </c>
      <c r="F110" s="609">
        <v>0</v>
      </c>
      <c r="G110" s="608" t="s">
        <v>459</v>
      </c>
      <c r="H110" s="596">
        <v>239923.27600000001</v>
      </c>
      <c r="I110" s="596">
        <v>55140</v>
      </c>
      <c r="J110" s="605"/>
      <c r="K110" s="605"/>
      <c r="L110" s="605"/>
      <c r="M110" s="606">
        <v>400</v>
      </c>
      <c r="N110" s="605"/>
      <c r="O110" s="605">
        <v>0.2</v>
      </c>
      <c r="P110" s="605"/>
      <c r="Q110" s="605"/>
      <c r="R110" s="605"/>
      <c r="S110" s="605"/>
      <c r="T110" s="605"/>
      <c r="U110" s="605"/>
      <c r="V110" s="605"/>
      <c r="W110" s="605"/>
      <c r="X110" s="605"/>
      <c r="Y110" s="605"/>
      <c r="Z110" s="605"/>
      <c r="AA110" s="605">
        <v>0.15</v>
      </c>
      <c r="AB110" s="605"/>
      <c r="AC110" s="605"/>
      <c r="AD110" s="605"/>
      <c r="AE110" s="605"/>
      <c r="AF110" s="605"/>
      <c r="AG110" s="605"/>
      <c r="AH110" s="605"/>
      <c r="AI110" s="605"/>
      <c r="AJ110" s="605"/>
    </row>
    <row r="111" spans="2:36" ht="15">
      <c r="B111" s="607">
        <v>92</v>
      </c>
      <c r="C111" s="608" t="s">
        <v>56</v>
      </c>
      <c r="D111" s="608" t="s">
        <v>372</v>
      </c>
      <c r="E111" s="609">
        <v>0</v>
      </c>
      <c r="F111" s="609">
        <v>0</v>
      </c>
      <c r="G111" s="608" t="s">
        <v>367</v>
      </c>
      <c r="H111" s="596">
        <v>464130.25</v>
      </c>
      <c r="I111" s="596">
        <v>115940</v>
      </c>
      <c r="J111" s="605"/>
      <c r="K111" s="605"/>
      <c r="L111" s="605"/>
      <c r="M111" s="606"/>
      <c r="N111" s="605"/>
      <c r="O111" s="605"/>
      <c r="P111" s="605"/>
      <c r="Q111" s="605"/>
      <c r="R111" s="605"/>
      <c r="S111" s="605"/>
      <c r="T111" s="605"/>
      <c r="U111" s="605"/>
      <c r="V111" s="605"/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</row>
    <row r="112" spans="2:36" ht="15">
      <c r="B112" s="602">
        <v>67</v>
      </c>
      <c r="C112" s="603" t="s">
        <v>159</v>
      </c>
      <c r="D112" s="603" t="s">
        <v>371</v>
      </c>
      <c r="E112" s="604">
        <v>0</v>
      </c>
      <c r="F112" s="604">
        <v>76240</v>
      </c>
      <c r="G112" s="603" t="s">
        <v>367</v>
      </c>
      <c r="H112" s="596">
        <v>464130.25</v>
      </c>
      <c r="I112" s="596">
        <v>115940</v>
      </c>
      <c r="J112" s="605"/>
      <c r="K112" s="605"/>
      <c r="L112" s="605"/>
      <c r="M112" s="606"/>
      <c r="N112" s="605"/>
      <c r="O112" s="605"/>
      <c r="P112" s="605"/>
      <c r="Q112" s="605"/>
      <c r="R112" s="605"/>
      <c r="S112" s="605"/>
      <c r="T112" s="605"/>
      <c r="U112" s="605"/>
      <c r="V112" s="605"/>
      <c r="W112" s="605"/>
      <c r="X112" s="605"/>
      <c r="Y112" s="605"/>
      <c r="Z112" s="605"/>
      <c r="AA112" s="605"/>
      <c r="AB112" s="605"/>
      <c r="AC112" s="605"/>
      <c r="AD112" s="605"/>
      <c r="AE112" s="605"/>
      <c r="AF112" s="605"/>
      <c r="AG112" s="605"/>
      <c r="AH112" s="605">
        <v>0.8</v>
      </c>
      <c r="AI112" s="605">
        <v>0.8</v>
      </c>
      <c r="AJ112" s="605"/>
    </row>
    <row r="113" spans="2:36" ht="15">
      <c r="B113" s="607">
        <v>70</v>
      </c>
      <c r="C113" s="608" t="s">
        <v>162</v>
      </c>
      <c r="D113" s="608" t="s">
        <v>373</v>
      </c>
      <c r="E113" s="609">
        <v>0</v>
      </c>
      <c r="F113" s="609">
        <v>0</v>
      </c>
      <c r="G113" s="608" t="s">
        <v>367</v>
      </c>
      <c r="H113" s="596">
        <v>464130.25</v>
      </c>
      <c r="I113" s="596">
        <v>115940</v>
      </c>
      <c r="J113" s="605"/>
      <c r="K113" s="605"/>
      <c r="L113" s="605"/>
      <c r="M113" s="606"/>
      <c r="N113" s="605"/>
      <c r="O113" s="605"/>
      <c r="P113" s="605"/>
      <c r="Q113" s="605"/>
      <c r="R113" s="605"/>
      <c r="S113" s="605"/>
      <c r="T113" s="605"/>
      <c r="U113" s="605"/>
      <c r="V113" s="605"/>
      <c r="W113" s="605"/>
      <c r="X113" s="605"/>
      <c r="Y113" s="605"/>
      <c r="Z113" s="605"/>
      <c r="AA113" s="605"/>
      <c r="AB113" s="605"/>
      <c r="AC113" s="605"/>
      <c r="AD113" s="605"/>
      <c r="AE113" s="605"/>
      <c r="AF113" s="605"/>
      <c r="AG113" s="605"/>
      <c r="AH113" s="605"/>
      <c r="AI113" s="605"/>
      <c r="AJ113" s="605"/>
    </row>
    <row r="114" spans="2:36" ht="15">
      <c r="B114" s="607">
        <v>80</v>
      </c>
      <c r="C114" s="608" t="s">
        <v>42</v>
      </c>
      <c r="D114" s="608" t="s">
        <v>561</v>
      </c>
      <c r="E114" s="609">
        <v>0</v>
      </c>
      <c r="F114" s="609">
        <v>0</v>
      </c>
      <c r="G114" s="608" t="s">
        <v>367</v>
      </c>
      <c r="H114" s="596">
        <v>464130.25</v>
      </c>
      <c r="I114" s="596">
        <v>115940</v>
      </c>
      <c r="J114" s="605"/>
      <c r="K114" s="605"/>
      <c r="L114" s="605"/>
      <c r="M114" s="606"/>
      <c r="N114" s="605"/>
      <c r="O114" s="605"/>
      <c r="P114" s="605"/>
      <c r="Q114" s="605"/>
      <c r="R114" s="605"/>
      <c r="S114" s="605"/>
      <c r="T114" s="605"/>
      <c r="U114" s="605"/>
      <c r="V114" s="605"/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/>
      <c r="AJ114" s="605"/>
    </row>
    <row r="115" spans="2:36" ht="15">
      <c r="B115" s="602">
        <v>145</v>
      </c>
      <c r="C115" s="603" t="s">
        <v>162</v>
      </c>
      <c r="D115" s="603" t="s">
        <v>564</v>
      </c>
      <c r="E115" s="604">
        <v>0</v>
      </c>
      <c r="F115" s="604">
        <v>0</v>
      </c>
      <c r="G115" s="603" t="s">
        <v>367</v>
      </c>
      <c r="H115" s="596">
        <v>464130.25</v>
      </c>
      <c r="I115" s="596">
        <v>115940</v>
      </c>
      <c r="J115" s="605"/>
      <c r="K115" s="605"/>
      <c r="L115" s="605"/>
      <c r="M115" s="606"/>
      <c r="N115" s="605"/>
      <c r="O115" s="605"/>
      <c r="P115" s="605"/>
      <c r="Q115" s="605"/>
      <c r="R115" s="605"/>
      <c r="S115" s="605"/>
      <c r="T115" s="605"/>
      <c r="U115" s="605"/>
      <c r="V115" s="605"/>
      <c r="W115" s="605"/>
      <c r="X115" s="605"/>
      <c r="Y115" s="605"/>
      <c r="Z115" s="605"/>
      <c r="AA115" s="605"/>
      <c r="AB115" s="605"/>
      <c r="AC115" s="605"/>
      <c r="AD115" s="605"/>
      <c r="AE115" s="605"/>
      <c r="AF115" s="605"/>
      <c r="AG115" s="605"/>
      <c r="AH115" s="605"/>
      <c r="AI115" s="605"/>
      <c r="AJ115" s="605"/>
    </row>
    <row r="116" spans="2:36" ht="15">
      <c r="B116" s="607">
        <v>106</v>
      </c>
      <c r="C116" s="608" t="s">
        <v>49</v>
      </c>
      <c r="D116" s="608" t="s">
        <v>368</v>
      </c>
      <c r="E116" s="609">
        <v>0</v>
      </c>
      <c r="F116" s="609">
        <v>0</v>
      </c>
      <c r="G116" s="608" t="s">
        <v>367</v>
      </c>
      <c r="H116" s="596">
        <v>464130.25</v>
      </c>
      <c r="I116" s="596">
        <v>115940</v>
      </c>
      <c r="J116" s="605"/>
      <c r="K116" s="605"/>
      <c r="L116" s="605"/>
      <c r="M116" s="606"/>
      <c r="N116" s="605"/>
      <c r="O116" s="605"/>
      <c r="P116" s="605"/>
      <c r="Q116" s="605"/>
      <c r="R116" s="605"/>
      <c r="S116" s="605"/>
      <c r="T116" s="605"/>
      <c r="U116" s="605"/>
      <c r="V116" s="605"/>
      <c r="W116" s="605"/>
      <c r="X116" s="605"/>
      <c r="Y116" s="605"/>
      <c r="Z116" s="605"/>
      <c r="AA116" s="605"/>
      <c r="AB116" s="605"/>
      <c r="AC116" s="605"/>
      <c r="AD116" s="605"/>
      <c r="AE116" s="605"/>
      <c r="AF116" s="605"/>
      <c r="AG116" s="605"/>
      <c r="AH116" s="605"/>
      <c r="AI116" s="605"/>
      <c r="AJ116" s="605"/>
    </row>
    <row r="117" spans="2:36" ht="15">
      <c r="B117" s="602">
        <v>147</v>
      </c>
      <c r="C117" s="603" t="s">
        <v>42</v>
      </c>
      <c r="D117" s="603" t="s">
        <v>563</v>
      </c>
      <c r="E117" s="604">
        <v>0</v>
      </c>
      <c r="F117" s="604">
        <v>0</v>
      </c>
      <c r="G117" s="603" t="s">
        <v>367</v>
      </c>
      <c r="H117" s="596">
        <v>464130.25</v>
      </c>
      <c r="I117" s="596">
        <v>115940</v>
      </c>
      <c r="J117" s="605"/>
      <c r="K117" s="605"/>
      <c r="L117" s="605"/>
      <c r="M117" s="606"/>
      <c r="N117" s="605"/>
      <c r="O117" s="605"/>
      <c r="P117" s="605"/>
      <c r="Q117" s="605"/>
      <c r="R117" s="605"/>
      <c r="S117" s="605"/>
      <c r="T117" s="605"/>
      <c r="U117" s="605"/>
      <c r="V117" s="605"/>
      <c r="W117" s="605"/>
      <c r="X117" s="605"/>
      <c r="Y117" s="605"/>
      <c r="Z117" s="605"/>
      <c r="AA117" s="605"/>
      <c r="AB117" s="605"/>
      <c r="AC117" s="605"/>
      <c r="AD117" s="605"/>
      <c r="AE117" s="605"/>
      <c r="AF117" s="605"/>
      <c r="AG117" s="605"/>
      <c r="AH117" s="605"/>
      <c r="AI117" s="605"/>
      <c r="AJ117" s="605"/>
    </row>
    <row r="118" spans="2:36" ht="15">
      <c r="B118" s="602">
        <v>149</v>
      </c>
      <c r="C118" s="603" t="s">
        <v>56</v>
      </c>
      <c r="D118" s="603" t="s">
        <v>370</v>
      </c>
      <c r="E118" s="604">
        <v>0</v>
      </c>
      <c r="F118" s="604">
        <v>0</v>
      </c>
      <c r="G118" s="603" t="s">
        <v>367</v>
      </c>
      <c r="H118" s="596">
        <v>464130.25</v>
      </c>
      <c r="I118" s="596">
        <v>115940</v>
      </c>
      <c r="J118" s="605"/>
      <c r="K118" s="605"/>
      <c r="L118" s="605"/>
      <c r="M118" s="606"/>
      <c r="N118" s="605"/>
      <c r="O118" s="605"/>
      <c r="P118" s="605"/>
      <c r="Q118" s="605"/>
      <c r="R118" s="605"/>
      <c r="S118" s="605"/>
      <c r="T118" s="605"/>
      <c r="U118" s="605"/>
      <c r="V118" s="605"/>
      <c r="W118" s="605"/>
      <c r="X118" s="605"/>
      <c r="Y118" s="605"/>
      <c r="Z118" s="605"/>
      <c r="AA118" s="605"/>
      <c r="AB118" s="605"/>
      <c r="AC118" s="605"/>
      <c r="AD118" s="605"/>
      <c r="AE118" s="605"/>
      <c r="AF118" s="605"/>
      <c r="AG118" s="605"/>
      <c r="AH118" s="605"/>
      <c r="AI118" s="605"/>
      <c r="AJ118" s="605"/>
    </row>
    <row r="119" spans="2:36" ht="15">
      <c r="B119" s="602">
        <v>81</v>
      </c>
      <c r="C119" s="603" t="s">
        <v>42</v>
      </c>
      <c r="D119" s="603" t="s">
        <v>562</v>
      </c>
      <c r="E119" s="604">
        <v>464130.25</v>
      </c>
      <c r="F119" s="604">
        <v>39700</v>
      </c>
      <c r="G119" s="603" t="s">
        <v>367</v>
      </c>
      <c r="H119" s="596">
        <v>464130.25</v>
      </c>
      <c r="I119" s="596">
        <v>115940</v>
      </c>
      <c r="J119" s="605">
        <v>1</v>
      </c>
      <c r="K119" s="605"/>
      <c r="L119" s="605"/>
      <c r="M119" s="606"/>
      <c r="N119" s="605"/>
      <c r="O119" s="605"/>
      <c r="P119" s="605"/>
      <c r="Q119" s="605"/>
      <c r="R119" s="605"/>
      <c r="S119" s="605"/>
      <c r="T119" s="605"/>
      <c r="U119" s="605">
        <v>1</v>
      </c>
      <c r="V119" s="605"/>
      <c r="W119" s="605"/>
      <c r="X119" s="605"/>
      <c r="Y119" s="605"/>
      <c r="Z119" s="605">
        <v>1</v>
      </c>
      <c r="AA119" s="605"/>
      <c r="AB119" s="605"/>
      <c r="AC119" s="605"/>
      <c r="AD119" s="605">
        <v>1</v>
      </c>
      <c r="AE119" s="605"/>
      <c r="AF119" s="605"/>
      <c r="AG119" s="605"/>
      <c r="AH119" s="605"/>
      <c r="AI119" s="605"/>
      <c r="AJ119" s="605"/>
    </row>
    <row r="120" spans="2:36" ht="15">
      <c r="B120" s="602">
        <v>133</v>
      </c>
      <c r="C120" s="603" t="s">
        <v>51</v>
      </c>
      <c r="D120" s="603" t="s">
        <v>369</v>
      </c>
      <c r="E120" s="604">
        <v>0</v>
      </c>
      <c r="F120" s="604">
        <v>0</v>
      </c>
      <c r="G120" s="603" t="s">
        <v>367</v>
      </c>
      <c r="H120" s="596">
        <v>464130.25</v>
      </c>
      <c r="I120" s="596">
        <v>115940</v>
      </c>
      <c r="J120" s="605"/>
      <c r="K120" s="605"/>
      <c r="L120" s="605"/>
      <c r="M120" s="606"/>
      <c r="N120" s="605"/>
      <c r="O120" s="605"/>
      <c r="P120" s="605"/>
      <c r="Q120" s="605"/>
      <c r="R120" s="605"/>
      <c r="S120" s="605"/>
      <c r="T120" s="605"/>
      <c r="U120" s="605"/>
      <c r="V120" s="605"/>
      <c r="W120" s="605"/>
      <c r="X120" s="605"/>
      <c r="Y120" s="605"/>
      <c r="Z120" s="605"/>
      <c r="AA120" s="605"/>
      <c r="AB120" s="605"/>
      <c r="AC120" s="605"/>
      <c r="AD120" s="605"/>
      <c r="AE120" s="605"/>
      <c r="AF120" s="605"/>
      <c r="AG120" s="605"/>
      <c r="AH120" s="605"/>
      <c r="AI120" s="605"/>
      <c r="AJ120" s="605"/>
    </row>
    <row r="121" spans="2:36" ht="15">
      <c r="B121" s="602">
        <v>53</v>
      </c>
      <c r="C121" s="603" t="s">
        <v>142</v>
      </c>
      <c r="D121" s="603" t="s">
        <v>463</v>
      </c>
      <c r="E121" s="604">
        <v>148985.125</v>
      </c>
      <c r="F121" s="604">
        <v>0</v>
      </c>
      <c r="G121" s="603" t="s">
        <v>462</v>
      </c>
      <c r="H121" s="596">
        <v>628631.88300000003</v>
      </c>
      <c r="I121" s="596">
        <v>355200</v>
      </c>
      <c r="J121" s="605"/>
      <c r="K121" s="605"/>
      <c r="L121" s="605"/>
      <c r="M121" s="606"/>
      <c r="N121" s="605"/>
      <c r="O121" s="605"/>
      <c r="P121" s="605"/>
      <c r="Q121" s="605"/>
      <c r="R121" s="605"/>
      <c r="S121" s="605"/>
      <c r="T121" s="605"/>
      <c r="U121" s="605">
        <v>0.5</v>
      </c>
      <c r="V121" s="605"/>
      <c r="W121" s="605"/>
      <c r="X121" s="605"/>
      <c r="Y121" s="605"/>
      <c r="Z121" s="605"/>
      <c r="AA121" s="605"/>
      <c r="AB121" s="605">
        <v>0.5</v>
      </c>
      <c r="AC121" s="605"/>
      <c r="AD121" s="605"/>
      <c r="AE121" s="605"/>
      <c r="AF121" s="605"/>
      <c r="AG121" s="605"/>
      <c r="AH121" s="605"/>
      <c r="AI121" s="605"/>
      <c r="AJ121" s="605"/>
    </row>
    <row r="122" spans="2:36" ht="15">
      <c r="B122" s="607">
        <v>96</v>
      </c>
      <c r="C122" s="608" t="s">
        <v>45</v>
      </c>
      <c r="D122" s="608" t="s">
        <v>461</v>
      </c>
      <c r="E122" s="609">
        <v>479646.75800000003</v>
      </c>
      <c r="F122" s="609">
        <v>355200</v>
      </c>
      <c r="G122" s="608" t="s">
        <v>462</v>
      </c>
      <c r="H122" s="596">
        <v>628631.88300000003</v>
      </c>
      <c r="I122" s="596">
        <v>355200</v>
      </c>
      <c r="J122" s="605">
        <v>0.8</v>
      </c>
      <c r="K122" s="605"/>
      <c r="L122" s="605"/>
      <c r="M122" s="606">
        <v>376</v>
      </c>
      <c r="N122" s="605"/>
      <c r="O122" s="605"/>
      <c r="P122" s="605">
        <v>0.6</v>
      </c>
      <c r="Q122" s="605"/>
      <c r="R122" s="605"/>
      <c r="S122" s="605"/>
      <c r="T122" s="605">
        <v>0.8</v>
      </c>
      <c r="U122" s="605">
        <v>0.8</v>
      </c>
      <c r="V122" s="605"/>
      <c r="W122" s="605"/>
      <c r="X122" s="605"/>
      <c r="Y122" s="605"/>
      <c r="Z122" s="605">
        <v>0.8</v>
      </c>
      <c r="AA122" s="605"/>
      <c r="AB122" s="605"/>
      <c r="AC122" s="605"/>
      <c r="AD122" s="605"/>
      <c r="AE122" s="605">
        <v>0.8</v>
      </c>
      <c r="AF122" s="605">
        <v>0.8</v>
      </c>
      <c r="AG122" s="605"/>
      <c r="AH122" s="605"/>
      <c r="AI122" s="605"/>
      <c r="AJ122" s="605"/>
    </row>
    <row r="123" spans="2:36" ht="15">
      <c r="B123" s="602">
        <v>69</v>
      </c>
      <c r="C123" s="603" t="s">
        <v>161</v>
      </c>
      <c r="D123" s="603" t="s">
        <v>396</v>
      </c>
      <c r="E123" s="604">
        <v>0</v>
      </c>
      <c r="F123" s="604">
        <v>0</v>
      </c>
      <c r="G123" s="603" t="s">
        <v>393</v>
      </c>
      <c r="H123" s="596">
        <v>668613.67000000004</v>
      </c>
      <c r="I123" s="596">
        <v>458390</v>
      </c>
      <c r="J123" s="605"/>
      <c r="K123" s="605"/>
      <c r="L123" s="605"/>
      <c r="M123" s="606"/>
      <c r="N123" s="605"/>
      <c r="O123" s="605"/>
      <c r="P123" s="605"/>
      <c r="Q123" s="605"/>
      <c r="R123" s="605"/>
      <c r="S123" s="605"/>
      <c r="T123" s="605"/>
      <c r="U123" s="605"/>
      <c r="V123" s="605"/>
      <c r="W123" s="605"/>
      <c r="X123" s="605"/>
      <c r="Y123" s="605"/>
      <c r="Z123" s="605"/>
      <c r="AA123" s="605"/>
      <c r="AB123" s="605"/>
      <c r="AC123" s="605"/>
      <c r="AD123" s="605"/>
      <c r="AE123" s="605"/>
      <c r="AF123" s="605"/>
      <c r="AG123" s="605"/>
      <c r="AH123" s="605"/>
      <c r="AI123" s="605"/>
      <c r="AJ123" s="605"/>
    </row>
    <row r="124" spans="2:36" ht="15">
      <c r="B124" s="607">
        <v>88</v>
      </c>
      <c r="C124" s="608" t="s">
        <v>187</v>
      </c>
      <c r="D124" s="608" t="s">
        <v>394</v>
      </c>
      <c r="E124" s="609">
        <v>172068.1</v>
      </c>
      <c r="F124" s="609">
        <v>0</v>
      </c>
      <c r="G124" s="608" t="s">
        <v>393</v>
      </c>
      <c r="H124" s="596">
        <v>668613.67000000004</v>
      </c>
      <c r="I124" s="596">
        <v>458390</v>
      </c>
      <c r="J124" s="605"/>
      <c r="K124" s="605"/>
      <c r="L124" s="605"/>
      <c r="M124" s="606"/>
      <c r="N124" s="605"/>
      <c r="O124" s="605"/>
      <c r="P124" s="605"/>
      <c r="Q124" s="605"/>
      <c r="R124" s="605"/>
      <c r="S124" s="605"/>
      <c r="T124" s="605"/>
      <c r="U124" s="605">
        <v>0.4</v>
      </c>
      <c r="V124" s="605"/>
      <c r="W124" s="605"/>
      <c r="X124" s="605"/>
      <c r="Y124" s="605"/>
      <c r="Z124" s="605">
        <v>0.4</v>
      </c>
      <c r="AA124" s="605"/>
      <c r="AB124" s="605"/>
      <c r="AC124" s="605"/>
      <c r="AD124" s="605"/>
      <c r="AE124" s="605"/>
      <c r="AF124" s="605"/>
      <c r="AG124" s="605"/>
      <c r="AH124" s="605"/>
      <c r="AI124" s="605"/>
      <c r="AJ124" s="605"/>
    </row>
    <row r="125" spans="2:36" ht="15">
      <c r="B125" s="607">
        <v>94</v>
      </c>
      <c r="C125" s="608" t="s">
        <v>193</v>
      </c>
      <c r="D125" s="608" t="s">
        <v>392</v>
      </c>
      <c r="E125" s="609">
        <v>0</v>
      </c>
      <c r="F125" s="609">
        <v>0</v>
      </c>
      <c r="G125" s="608" t="s">
        <v>393</v>
      </c>
      <c r="H125" s="596">
        <v>668613.67000000004</v>
      </c>
      <c r="I125" s="596">
        <v>458390</v>
      </c>
      <c r="J125" s="605"/>
      <c r="K125" s="605"/>
      <c r="L125" s="605"/>
      <c r="M125" s="606"/>
      <c r="N125" s="605"/>
      <c r="O125" s="605"/>
      <c r="P125" s="605"/>
      <c r="Q125" s="605"/>
      <c r="R125" s="605"/>
      <c r="S125" s="605"/>
      <c r="T125" s="605"/>
      <c r="U125" s="605"/>
      <c r="V125" s="605"/>
      <c r="W125" s="605"/>
      <c r="X125" s="605"/>
      <c r="Y125" s="605"/>
      <c r="Z125" s="605"/>
      <c r="AA125" s="605"/>
      <c r="AB125" s="605"/>
      <c r="AC125" s="605"/>
      <c r="AD125" s="605"/>
      <c r="AE125" s="605"/>
      <c r="AF125" s="605"/>
      <c r="AG125" s="605"/>
      <c r="AH125" s="605"/>
      <c r="AI125" s="605"/>
      <c r="AJ125" s="605"/>
    </row>
    <row r="126" spans="2:36" ht="15">
      <c r="B126" s="602">
        <v>97</v>
      </c>
      <c r="C126" s="603" t="s">
        <v>197</v>
      </c>
      <c r="D126" s="603" t="s">
        <v>395</v>
      </c>
      <c r="E126" s="604">
        <v>496545.57</v>
      </c>
      <c r="F126" s="604">
        <v>458390</v>
      </c>
      <c r="G126" s="603" t="s">
        <v>393</v>
      </c>
      <c r="H126" s="596">
        <v>668613.67000000004</v>
      </c>
      <c r="I126" s="596">
        <v>458390</v>
      </c>
      <c r="J126" s="605">
        <v>0.9</v>
      </c>
      <c r="K126" s="605"/>
      <c r="L126" s="605"/>
      <c r="M126" s="606">
        <v>760</v>
      </c>
      <c r="N126" s="605"/>
      <c r="O126" s="605"/>
      <c r="P126" s="605"/>
      <c r="Q126" s="605"/>
      <c r="R126" s="605"/>
      <c r="S126" s="605"/>
      <c r="T126" s="605">
        <v>1</v>
      </c>
      <c r="U126" s="605">
        <v>1</v>
      </c>
      <c r="V126" s="605"/>
      <c r="W126" s="605"/>
      <c r="X126" s="605"/>
      <c r="Y126" s="605"/>
      <c r="Z126" s="605">
        <v>0.7</v>
      </c>
      <c r="AA126" s="605"/>
      <c r="AB126" s="605"/>
      <c r="AC126" s="605"/>
      <c r="AD126" s="605">
        <v>0.7</v>
      </c>
      <c r="AE126" s="605">
        <v>0.5</v>
      </c>
      <c r="AF126" s="605">
        <v>0.5</v>
      </c>
      <c r="AG126" s="605">
        <v>0.5</v>
      </c>
      <c r="AH126" s="605">
        <v>0.5</v>
      </c>
      <c r="AI126" s="605">
        <v>0.5</v>
      </c>
      <c r="AJ126" s="605">
        <v>0.5</v>
      </c>
    </row>
    <row r="127" spans="2:36" ht="15">
      <c r="B127" s="602">
        <v>125</v>
      </c>
      <c r="C127" s="603" t="s">
        <v>231</v>
      </c>
      <c r="D127" s="603" t="s">
        <v>397</v>
      </c>
      <c r="E127" s="604">
        <v>0</v>
      </c>
      <c r="F127" s="604">
        <v>0</v>
      </c>
      <c r="G127" s="603" t="s">
        <v>393</v>
      </c>
      <c r="H127" s="596">
        <v>668613.67000000004</v>
      </c>
      <c r="I127" s="596">
        <v>458390</v>
      </c>
      <c r="J127" s="605"/>
      <c r="K127" s="605"/>
      <c r="L127" s="605"/>
      <c r="M127" s="606"/>
      <c r="N127" s="605"/>
      <c r="O127" s="605"/>
      <c r="P127" s="605"/>
      <c r="Q127" s="605"/>
      <c r="R127" s="605"/>
      <c r="S127" s="605"/>
      <c r="T127" s="605"/>
      <c r="U127" s="605"/>
      <c r="V127" s="605"/>
      <c r="W127" s="605"/>
      <c r="X127" s="605"/>
      <c r="Y127" s="605"/>
      <c r="Z127" s="605"/>
      <c r="AA127" s="605"/>
      <c r="AB127" s="605"/>
      <c r="AC127" s="605"/>
      <c r="AD127" s="605"/>
      <c r="AE127" s="605"/>
      <c r="AF127" s="605"/>
      <c r="AG127" s="605"/>
      <c r="AH127" s="605"/>
      <c r="AI127" s="605"/>
      <c r="AJ127" s="605"/>
    </row>
    <row r="128" spans="2:36" ht="15">
      <c r="B128" s="602">
        <v>87</v>
      </c>
      <c r="C128" s="603" t="s">
        <v>186</v>
      </c>
      <c r="D128" s="603" t="s">
        <v>527</v>
      </c>
      <c r="E128" s="604">
        <v>0</v>
      </c>
      <c r="F128" s="604">
        <v>0</v>
      </c>
      <c r="G128" s="603" t="s">
        <v>399</v>
      </c>
      <c r="H128" s="596">
        <v>0</v>
      </c>
      <c r="I128" s="596">
        <v>132000</v>
      </c>
      <c r="J128" s="605"/>
      <c r="K128" s="605"/>
      <c r="L128" s="605"/>
      <c r="M128" s="606"/>
      <c r="N128" s="605"/>
      <c r="O128" s="605"/>
      <c r="P128" s="605"/>
      <c r="Q128" s="605"/>
      <c r="R128" s="605"/>
      <c r="S128" s="605"/>
      <c r="T128" s="605"/>
      <c r="U128" s="605"/>
      <c r="V128" s="605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</row>
    <row r="129" spans="2:36" ht="15">
      <c r="B129" s="607">
        <v>98</v>
      </c>
      <c r="C129" s="608" t="s">
        <v>47</v>
      </c>
      <c r="D129" s="608" t="s">
        <v>565</v>
      </c>
      <c r="E129" s="609">
        <v>0</v>
      </c>
      <c r="F129" s="609">
        <v>132000</v>
      </c>
      <c r="G129" s="608" t="s">
        <v>399</v>
      </c>
      <c r="H129" s="596">
        <v>0</v>
      </c>
      <c r="I129" s="596">
        <v>132000</v>
      </c>
      <c r="J129" s="605"/>
      <c r="K129" s="605"/>
      <c r="L129" s="605"/>
      <c r="M129" s="606"/>
      <c r="N129" s="605"/>
      <c r="O129" s="605"/>
      <c r="P129" s="605"/>
      <c r="Q129" s="605"/>
      <c r="R129" s="605"/>
      <c r="S129" s="605"/>
      <c r="T129" s="605"/>
      <c r="U129" s="605"/>
      <c r="V129" s="605"/>
      <c r="W129" s="605"/>
      <c r="X129" s="605"/>
      <c r="Y129" s="605"/>
      <c r="Z129" s="605"/>
      <c r="AA129" s="605"/>
      <c r="AB129" s="605"/>
      <c r="AC129" s="605"/>
      <c r="AD129" s="605"/>
      <c r="AE129" s="605">
        <v>0.5</v>
      </c>
      <c r="AF129" s="605"/>
      <c r="AG129" s="605"/>
      <c r="AH129" s="605"/>
      <c r="AI129" s="605"/>
      <c r="AJ129" s="605"/>
    </row>
    <row r="130" spans="2:36" ht="15">
      <c r="B130" s="607">
        <v>30</v>
      </c>
      <c r="C130" s="608" t="s">
        <v>118</v>
      </c>
      <c r="D130" s="608" t="s">
        <v>379</v>
      </c>
      <c r="E130" s="609">
        <v>0</v>
      </c>
      <c r="F130" s="609">
        <v>0</v>
      </c>
      <c r="G130" s="608" t="s">
        <v>377</v>
      </c>
      <c r="H130" s="596">
        <v>513269.83500000002</v>
      </c>
      <c r="I130" s="596">
        <v>238750</v>
      </c>
      <c r="J130" s="605"/>
      <c r="K130" s="605"/>
      <c r="L130" s="605"/>
      <c r="M130" s="606"/>
      <c r="N130" s="605"/>
      <c r="O130" s="605"/>
      <c r="P130" s="605"/>
      <c r="Q130" s="605"/>
      <c r="R130" s="605"/>
      <c r="S130" s="605"/>
      <c r="T130" s="605"/>
      <c r="U130" s="605"/>
      <c r="V130" s="605"/>
      <c r="W130" s="605"/>
      <c r="X130" s="605"/>
      <c r="Y130" s="605"/>
      <c r="Z130" s="605"/>
      <c r="AA130" s="605"/>
      <c r="AB130" s="605"/>
      <c r="AC130" s="605"/>
      <c r="AD130" s="605"/>
      <c r="AE130" s="605"/>
      <c r="AF130" s="605"/>
      <c r="AG130" s="605"/>
      <c r="AH130" s="605"/>
      <c r="AI130" s="605"/>
      <c r="AJ130" s="605"/>
    </row>
    <row r="131" spans="2:36" ht="15">
      <c r="B131" s="602">
        <v>51</v>
      </c>
      <c r="C131" s="603" t="s">
        <v>140</v>
      </c>
      <c r="D131" s="603" t="s">
        <v>522</v>
      </c>
      <c r="E131" s="604">
        <v>0</v>
      </c>
      <c r="F131" s="604">
        <v>0</v>
      </c>
      <c r="G131" s="603" t="s">
        <v>377</v>
      </c>
      <c r="H131" s="596">
        <v>513269.83500000002</v>
      </c>
      <c r="I131" s="596">
        <v>238750</v>
      </c>
      <c r="J131" s="605"/>
      <c r="K131" s="605"/>
      <c r="L131" s="605"/>
      <c r="M131" s="606"/>
      <c r="N131" s="605"/>
      <c r="O131" s="605"/>
      <c r="P131" s="605"/>
      <c r="Q131" s="605"/>
      <c r="R131" s="605"/>
      <c r="S131" s="605"/>
      <c r="T131" s="605"/>
      <c r="U131" s="605"/>
      <c r="V131" s="605"/>
      <c r="W131" s="605"/>
      <c r="X131" s="605"/>
      <c r="Y131" s="605"/>
      <c r="Z131" s="605"/>
      <c r="AA131" s="605"/>
      <c r="AB131" s="605"/>
      <c r="AC131" s="605"/>
      <c r="AD131" s="605"/>
      <c r="AE131" s="605"/>
      <c r="AF131" s="605"/>
      <c r="AG131" s="605"/>
      <c r="AH131" s="605"/>
      <c r="AI131" s="605"/>
      <c r="AJ131" s="605"/>
    </row>
    <row r="132" spans="2:36" ht="15">
      <c r="B132" s="602">
        <v>103</v>
      </c>
      <c r="C132" s="603" t="s">
        <v>205</v>
      </c>
      <c r="D132" s="603" t="s">
        <v>376</v>
      </c>
      <c r="E132" s="604">
        <v>491720.25</v>
      </c>
      <c r="F132" s="604">
        <v>31760</v>
      </c>
      <c r="G132" s="603" t="s">
        <v>377</v>
      </c>
      <c r="H132" s="596">
        <v>513269.83500000002</v>
      </c>
      <c r="I132" s="596">
        <v>238750</v>
      </c>
      <c r="J132" s="605"/>
      <c r="K132" s="605"/>
      <c r="L132" s="605"/>
      <c r="M132" s="606">
        <v>1000</v>
      </c>
      <c r="N132" s="605"/>
      <c r="O132" s="605"/>
      <c r="P132" s="605"/>
      <c r="Q132" s="605"/>
      <c r="R132" s="605"/>
      <c r="S132" s="605"/>
      <c r="T132" s="605"/>
      <c r="U132" s="605">
        <v>1</v>
      </c>
      <c r="V132" s="605"/>
      <c r="W132" s="605"/>
      <c r="X132" s="605"/>
      <c r="Y132" s="605"/>
      <c r="Z132" s="605"/>
      <c r="AA132" s="605"/>
      <c r="AB132" s="605">
        <v>1</v>
      </c>
      <c r="AC132" s="605"/>
      <c r="AD132" s="605">
        <v>0.8</v>
      </c>
      <c r="AE132" s="605"/>
      <c r="AF132" s="605"/>
      <c r="AG132" s="605"/>
      <c r="AH132" s="605"/>
      <c r="AI132" s="605"/>
      <c r="AJ132" s="605"/>
    </row>
    <row r="133" spans="2:36" ht="15">
      <c r="B133" s="602">
        <v>113</v>
      </c>
      <c r="C133" s="603" t="s">
        <v>217</v>
      </c>
      <c r="D133" s="603" t="s">
        <v>380</v>
      </c>
      <c r="E133" s="604">
        <v>0</v>
      </c>
      <c r="F133" s="604">
        <v>0</v>
      </c>
      <c r="G133" s="603" t="s">
        <v>377</v>
      </c>
      <c r="H133" s="596">
        <v>513269.83500000002</v>
      </c>
      <c r="I133" s="596">
        <v>238750</v>
      </c>
      <c r="J133" s="605"/>
      <c r="K133" s="605"/>
      <c r="L133" s="605"/>
      <c r="M133" s="606"/>
      <c r="N133" s="605"/>
      <c r="O133" s="605"/>
      <c r="P133" s="605"/>
      <c r="Q133" s="605"/>
      <c r="R133" s="605"/>
      <c r="S133" s="605"/>
      <c r="T133" s="605"/>
      <c r="U133" s="605"/>
      <c r="V133" s="605"/>
      <c r="W133" s="605"/>
      <c r="X133" s="605"/>
      <c r="Y133" s="605"/>
      <c r="Z133" s="605"/>
      <c r="AA133" s="605"/>
      <c r="AB133" s="605"/>
      <c r="AC133" s="605"/>
      <c r="AD133" s="605"/>
      <c r="AE133" s="605"/>
      <c r="AF133" s="605"/>
      <c r="AG133" s="605"/>
      <c r="AH133" s="605"/>
      <c r="AI133" s="605"/>
      <c r="AJ133" s="605"/>
    </row>
    <row r="134" spans="2:36" ht="15">
      <c r="B134" s="607">
        <v>118</v>
      </c>
      <c r="C134" s="608" t="s">
        <v>223</v>
      </c>
      <c r="D134" s="608" t="s">
        <v>378</v>
      </c>
      <c r="E134" s="609">
        <v>21549.584999999999</v>
      </c>
      <c r="F134" s="609">
        <v>206990</v>
      </c>
      <c r="G134" s="608" t="s">
        <v>377</v>
      </c>
      <c r="H134" s="596">
        <v>513269.83500000002</v>
      </c>
      <c r="I134" s="596">
        <v>238750</v>
      </c>
      <c r="J134" s="605"/>
      <c r="K134" s="605"/>
      <c r="L134" s="605"/>
      <c r="M134" s="606"/>
      <c r="N134" s="605"/>
      <c r="O134" s="605"/>
      <c r="P134" s="605">
        <v>0.5</v>
      </c>
      <c r="Q134" s="605"/>
      <c r="R134" s="605"/>
      <c r="S134" s="605"/>
      <c r="T134" s="605"/>
      <c r="U134" s="605"/>
      <c r="V134" s="605"/>
      <c r="W134" s="605"/>
      <c r="X134" s="605"/>
      <c r="Y134" s="605"/>
      <c r="Z134" s="605"/>
      <c r="AA134" s="605"/>
      <c r="AB134" s="605"/>
      <c r="AC134" s="605"/>
      <c r="AD134" s="605">
        <v>0.5</v>
      </c>
      <c r="AE134" s="605">
        <v>0.5</v>
      </c>
      <c r="AF134" s="605"/>
      <c r="AG134" s="605">
        <v>0.6</v>
      </c>
      <c r="AH134" s="605"/>
      <c r="AI134" s="605"/>
      <c r="AJ134" s="605"/>
    </row>
    <row r="135" spans="2:36" ht="15">
      <c r="B135" s="607">
        <v>110</v>
      </c>
      <c r="C135" s="608" t="s">
        <v>213</v>
      </c>
      <c r="D135" s="608" t="s">
        <v>382</v>
      </c>
      <c r="E135" s="609">
        <v>0</v>
      </c>
      <c r="F135" s="609">
        <v>0</v>
      </c>
      <c r="G135" s="608" t="s">
        <v>381</v>
      </c>
      <c r="H135" s="596">
        <v>884043.53600000008</v>
      </c>
      <c r="I135" s="596">
        <v>280400</v>
      </c>
      <c r="J135" s="605"/>
      <c r="K135" s="605"/>
      <c r="L135" s="605"/>
      <c r="M135" s="606"/>
      <c r="N135" s="605"/>
      <c r="O135" s="605"/>
      <c r="P135" s="605"/>
      <c r="Q135" s="605"/>
      <c r="R135" s="605"/>
      <c r="S135" s="605"/>
      <c r="T135" s="605"/>
      <c r="U135" s="605"/>
      <c r="V135" s="605"/>
      <c r="W135" s="605"/>
      <c r="X135" s="605"/>
      <c r="Y135" s="605"/>
      <c r="Z135" s="605"/>
      <c r="AA135" s="605"/>
      <c r="AB135" s="605"/>
      <c r="AC135" s="605"/>
      <c r="AD135" s="605"/>
      <c r="AE135" s="605"/>
      <c r="AF135" s="605"/>
      <c r="AG135" s="605"/>
      <c r="AH135" s="605"/>
      <c r="AI135" s="605"/>
      <c r="AJ135" s="605"/>
    </row>
    <row r="136" spans="2:36" ht="15">
      <c r="B136" s="607">
        <v>122</v>
      </c>
      <c r="C136" s="608" t="s">
        <v>228</v>
      </c>
      <c r="D136" s="608" t="s">
        <v>504</v>
      </c>
      <c r="E136" s="609">
        <v>884043.53600000008</v>
      </c>
      <c r="F136" s="609">
        <v>280400</v>
      </c>
      <c r="G136" s="608" t="s">
        <v>381</v>
      </c>
      <c r="H136" s="596">
        <v>884043.53600000008</v>
      </c>
      <c r="I136" s="596">
        <v>280400</v>
      </c>
      <c r="J136" s="605">
        <v>0.8</v>
      </c>
      <c r="K136" s="605">
        <v>0.8</v>
      </c>
      <c r="L136" s="605">
        <v>0.8</v>
      </c>
      <c r="M136" s="606">
        <v>960</v>
      </c>
      <c r="N136" s="605"/>
      <c r="O136" s="605"/>
      <c r="P136" s="605">
        <v>0.8</v>
      </c>
      <c r="Q136" s="605"/>
      <c r="R136" s="605"/>
      <c r="S136" s="605"/>
      <c r="T136" s="605"/>
      <c r="U136" s="605">
        <v>0.8</v>
      </c>
      <c r="V136" s="605"/>
      <c r="W136" s="605"/>
      <c r="X136" s="605"/>
      <c r="Y136" s="605">
        <v>0.8</v>
      </c>
      <c r="Z136" s="605"/>
      <c r="AA136" s="605"/>
      <c r="AB136" s="605"/>
      <c r="AC136" s="605"/>
      <c r="AD136" s="605">
        <v>0.8</v>
      </c>
      <c r="AE136" s="605">
        <v>0.8</v>
      </c>
      <c r="AF136" s="605"/>
      <c r="AG136" s="605"/>
      <c r="AH136" s="605">
        <v>0.8</v>
      </c>
      <c r="AI136" s="605"/>
      <c r="AJ136" s="605"/>
    </row>
    <row r="137" spans="2:36" ht="15">
      <c r="B137" s="602">
        <v>151</v>
      </c>
      <c r="C137" s="603" t="s">
        <v>213</v>
      </c>
      <c r="D137" s="603" t="s">
        <v>383</v>
      </c>
      <c r="E137" s="604">
        <v>0</v>
      </c>
      <c r="F137" s="604">
        <v>0</v>
      </c>
      <c r="G137" s="603" t="s">
        <v>381</v>
      </c>
      <c r="H137" s="596">
        <v>884043.53600000008</v>
      </c>
      <c r="I137" s="596">
        <v>280400</v>
      </c>
      <c r="J137" s="605"/>
      <c r="K137" s="605"/>
      <c r="L137" s="605"/>
      <c r="M137" s="606"/>
      <c r="N137" s="605"/>
      <c r="O137" s="605"/>
      <c r="P137" s="605"/>
      <c r="Q137" s="605"/>
      <c r="R137" s="605"/>
      <c r="S137" s="605"/>
      <c r="T137" s="605"/>
      <c r="U137" s="605"/>
      <c r="V137" s="605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</row>
    <row r="138" spans="2:36" ht="15">
      <c r="B138" s="602">
        <v>25</v>
      </c>
      <c r="C138" s="603" t="s">
        <v>112</v>
      </c>
      <c r="D138" s="603" t="s">
        <v>407</v>
      </c>
      <c r="E138" s="604">
        <v>156136.87917369726</v>
      </c>
      <c r="F138" s="604">
        <v>91900</v>
      </c>
      <c r="G138" s="603" t="s">
        <v>405</v>
      </c>
      <c r="H138" s="596">
        <v>769261.2206253102</v>
      </c>
      <c r="I138" s="596">
        <v>382490</v>
      </c>
      <c r="J138" s="605"/>
      <c r="K138" s="605"/>
      <c r="L138" s="605"/>
      <c r="M138" s="606"/>
      <c r="N138" s="605"/>
      <c r="O138" s="605"/>
      <c r="P138" s="605">
        <v>0.6</v>
      </c>
      <c r="Q138" s="605">
        <v>0.6</v>
      </c>
      <c r="R138" s="605"/>
      <c r="S138" s="605"/>
      <c r="T138" s="605"/>
      <c r="U138" s="605">
        <v>0.5</v>
      </c>
      <c r="V138" s="605"/>
      <c r="W138" s="605"/>
      <c r="X138" s="605"/>
      <c r="Y138" s="605"/>
      <c r="Z138" s="605"/>
      <c r="AA138" s="605"/>
      <c r="AB138" s="605"/>
      <c r="AC138" s="605">
        <v>0.5</v>
      </c>
      <c r="AD138" s="605"/>
      <c r="AE138" s="605"/>
      <c r="AF138" s="605"/>
      <c r="AG138" s="605">
        <v>1</v>
      </c>
      <c r="AH138" s="605"/>
      <c r="AI138" s="605"/>
      <c r="AJ138" s="605"/>
    </row>
    <row r="139" spans="2:36" ht="15">
      <c r="B139" s="602">
        <v>63</v>
      </c>
      <c r="C139" s="603" t="s">
        <v>155</v>
      </c>
      <c r="D139" s="603" t="s">
        <v>408</v>
      </c>
      <c r="E139" s="604">
        <v>117910.43517369727</v>
      </c>
      <c r="F139" s="604">
        <v>0</v>
      </c>
      <c r="G139" s="603" t="s">
        <v>405</v>
      </c>
      <c r="H139" s="596">
        <v>769261.2206253102</v>
      </c>
      <c r="I139" s="596">
        <v>382490</v>
      </c>
      <c r="J139" s="605"/>
      <c r="K139" s="605"/>
      <c r="L139" s="605"/>
      <c r="M139" s="606"/>
      <c r="N139" s="605"/>
      <c r="O139" s="605"/>
      <c r="P139" s="605"/>
      <c r="Q139" s="605"/>
      <c r="R139" s="605"/>
      <c r="S139" s="605"/>
      <c r="T139" s="605"/>
      <c r="U139" s="605">
        <v>0.5</v>
      </c>
      <c r="V139" s="605"/>
      <c r="W139" s="605"/>
      <c r="X139" s="605"/>
      <c r="Y139" s="605"/>
      <c r="Z139" s="605"/>
      <c r="AA139" s="605"/>
      <c r="AB139" s="605"/>
      <c r="AC139" s="605">
        <v>0.5</v>
      </c>
      <c r="AD139" s="605"/>
      <c r="AE139" s="605"/>
      <c r="AF139" s="605"/>
      <c r="AG139" s="605"/>
      <c r="AH139" s="605"/>
      <c r="AI139" s="605"/>
      <c r="AJ139" s="605"/>
    </row>
    <row r="140" spans="2:36" ht="15">
      <c r="B140" s="607">
        <v>84</v>
      </c>
      <c r="C140" s="608" t="s">
        <v>182</v>
      </c>
      <c r="D140" s="608" t="s">
        <v>406</v>
      </c>
      <c r="E140" s="609">
        <v>225182.21</v>
      </c>
      <c r="F140" s="609">
        <v>24250</v>
      </c>
      <c r="G140" s="608" t="s">
        <v>405</v>
      </c>
      <c r="H140" s="596">
        <v>769261.2206253102</v>
      </c>
      <c r="I140" s="596">
        <v>382490</v>
      </c>
      <c r="J140" s="605"/>
      <c r="K140" s="605"/>
      <c r="L140" s="605">
        <v>0.5</v>
      </c>
      <c r="M140" s="606"/>
      <c r="N140" s="605"/>
      <c r="O140" s="605"/>
      <c r="P140" s="605">
        <v>0.5</v>
      </c>
      <c r="Q140" s="605"/>
      <c r="R140" s="605"/>
      <c r="S140" s="605"/>
      <c r="T140" s="605"/>
      <c r="U140" s="605">
        <v>0.5</v>
      </c>
      <c r="V140" s="605"/>
      <c r="W140" s="605"/>
      <c r="X140" s="605"/>
      <c r="Y140" s="605"/>
      <c r="Z140" s="605"/>
      <c r="AA140" s="605"/>
      <c r="AB140" s="605">
        <v>0.5</v>
      </c>
      <c r="AC140" s="605"/>
      <c r="AD140" s="605"/>
      <c r="AE140" s="605"/>
      <c r="AF140" s="605"/>
      <c r="AG140" s="605"/>
      <c r="AH140" s="605"/>
      <c r="AI140" s="605">
        <v>0.5</v>
      </c>
      <c r="AJ140" s="605"/>
    </row>
    <row r="141" spans="2:36" ht="15">
      <c r="B141" s="607">
        <v>114</v>
      </c>
      <c r="C141" s="608" t="s">
        <v>218</v>
      </c>
      <c r="D141" s="608" t="s">
        <v>536</v>
      </c>
      <c r="E141" s="609">
        <v>117910.43517369727</v>
      </c>
      <c r="F141" s="609">
        <v>187140</v>
      </c>
      <c r="G141" s="608" t="s">
        <v>405</v>
      </c>
      <c r="H141" s="596">
        <v>769261.2206253102</v>
      </c>
      <c r="I141" s="596">
        <v>382490</v>
      </c>
      <c r="J141" s="605"/>
      <c r="K141" s="605"/>
      <c r="L141" s="605"/>
      <c r="M141" s="606"/>
      <c r="N141" s="605"/>
      <c r="O141" s="605"/>
      <c r="P141" s="605"/>
      <c r="Q141" s="605"/>
      <c r="R141" s="605"/>
      <c r="S141" s="605"/>
      <c r="T141" s="605"/>
      <c r="U141" s="605">
        <v>0.5</v>
      </c>
      <c r="V141" s="605"/>
      <c r="W141" s="605"/>
      <c r="X141" s="605"/>
      <c r="Y141" s="605"/>
      <c r="Z141" s="605"/>
      <c r="AA141" s="605"/>
      <c r="AB141" s="605"/>
      <c r="AC141" s="605">
        <v>0.5</v>
      </c>
      <c r="AD141" s="605"/>
      <c r="AE141" s="605">
        <v>0.5</v>
      </c>
      <c r="AF141" s="605"/>
      <c r="AG141" s="605">
        <v>0.6</v>
      </c>
      <c r="AH141" s="605"/>
      <c r="AI141" s="605"/>
      <c r="AJ141" s="605"/>
    </row>
    <row r="142" spans="2:36" ht="15">
      <c r="B142" s="607">
        <v>116</v>
      </c>
      <c r="C142" s="608" t="s">
        <v>221</v>
      </c>
      <c r="D142" s="608" t="s">
        <v>404</v>
      </c>
      <c r="E142" s="609">
        <v>152121.26110421837</v>
      </c>
      <c r="F142" s="609">
        <v>79200</v>
      </c>
      <c r="G142" s="608" t="s">
        <v>405</v>
      </c>
      <c r="H142" s="596">
        <v>769261.2206253102</v>
      </c>
      <c r="I142" s="596">
        <v>382490</v>
      </c>
      <c r="J142" s="605"/>
      <c r="K142" s="605"/>
      <c r="L142" s="605"/>
      <c r="M142" s="606">
        <v>420</v>
      </c>
      <c r="N142" s="605"/>
      <c r="O142" s="605"/>
      <c r="P142" s="605"/>
      <c r="Q142" s="605"/>
      <c r="R142" s="605"/>
      <c r="S142" s="605"/>
      <c r="T142" s="605"/>
      <c r="U142" s="605">
        <v>0.3</v>
      </c>
      <c r="V142" s="605"/>
      <c r="W142" s="605"/>
      <c r="X142" s="605"/>
      <c r="Y142" s="605"/>
      <c r="Z142" s="605"/>
      <c r="AA142" s="605"/>
      <c r="AB142" s="605"/>
      <c r="AC142" s="605">
        <v>0.3</v>
      </c>
      <c r="AD142" s="605"/>
      <c r="AE142" s="605">
        <v>0.3</v>
      </c>
      <c r="AF142" s="605"/>
      <c r="AG142" s="605"/>
      <c r="AH142" s="605"/>
      <c r="AI142" s="605"/>
      <c r="AJ142" s="605"/>
    </row>
    <row r="143" spans="2:36" ht="15">
      <c r="B143" s="602">
        <v>35</v>
      </c>
      <c r="C143" s="603" t="s">
        <v>122</v>
      </c>
      <c r="D143" s="603" t="s">
        <v>414</v>
      </c>
      <c r="E143" s="604">
        <v>90431.071999999986</v>
      </c>
      <c r="F143" s="604">
        <v>55140</v>
      </c>
      <c r="G143" s="603" t="s">
        <v>413</v>
      </c>
      <c r="H143" s="596">
        <v>601108.82199999993</v>
      </c>
      <c r="I143" s="596">
        <v>94840</v>
      </c>
      <c r="J143" s="605">
        <v>1</v>
      </c>
      <c r="K143" s="605"/>
      <c r="L143" s="605"/>
      <c r="M143" s="606"/>
      <c r="N143" s="605"/>
      <c r="O143" s="605"/>
      <c r="P143" s="605">
        <v>0.6</v>
      </c>
      <c r="Q143" s="605"/>
      <c r="R143" s="605"/>
      <c r="S143" s="605"/>
      <c r="T143" s="605">
        <v>1</v>
      </c>
      <c r="U143" s="605">
        <v>1</v>
      </c>
      <c r="V143" s="605"/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>
        <v>0.6</v>
      </c>
      <c r="AH143" s="605"/>
      <c r="AI143" s="605"/>
      <c r="AJ143" s="605"/>
    </row>
    <row r="144" spans="2:36" ht="15">
      <c r="B144" s="602">
        <v>123</v>
      </c>
      <c r="C144" s="603" t="s">
        <v>229</v>
      </c>
      <c r="D144" s="603" t="s">
        <v>412</v>
      </c>
      <c r="E144" s="604">
        <v>510677.75</v>
      </c>
      <c r="F144" s="604">
        <v>39700</v>
      </c>
      <c r="G144" s="603" t="s">
        <v>413</v>
      </c>
      <c r="H144" s="596">
        <v>601108.82199999993</v>
      </c>
      <c r="I144" s="596">
        <v>94840</v>
      </c>
      <c r="J144" s="605">
        <v>1</v>
      </c>
      <c r="K144" s="605">
        <v>1</v>
      </c>
      <c r="L144" s="605"/>
      <c r="M144" s="606">
        <v>250</v>
      </c>
      <c r="N144" s="605"/>
      <c r="O144" s="605"/>
      <c r="P144" s="605"/>
      <c r="Q144" s="605"/>
      <c r="R144" s="605"/>
      <c r="S144" s="605"/>
      <c r="T144" s="605"/>
      <c r="U144" s="605">
        <v>1</v>
      </c>
      <c r="V144" s="605"/>
      <c r="W144" s="605"/>
      <c r="X144" s="605"/>
      <c r="Y144" s="605"/>
      <c r="Z144" s="605"/>
      <c r="AA144" s="605">
        <v>1</v>
      </c>
      <c r="AB144" s="605"/>
      <c r="AC144" s="605"/>
      <c r="AD144" s="605">
        <v>1</v>
      </c>
      <c r="AE144" s="605"/>
      <c r="AF144" s="605"/>
      <c r="AG144" s="605"/>
      <c r="AH144" s="605"/>
      <c r="AI144" s="605"/>
      <c r="AJ144" s="605"/>
    </row>
    <row r="145" spans="2:36" ht="15">
      <c r="B145" s="602">
        <v>111</v>
      </c>
      <c r="C145" s="603" t="s">
        <v>214</v>
      </c>
      <c r="D145" s="603" t="s">
        <v>391</v>
      </c>
      <c r="E145" s="604">
        <v>0</v>
      </c>
      <c r="F145" s="604">
        <v>55140</v>
      </c>
      <c r="G145" s="603" t="s">
        <v>390</v>
      </c>
      <c r="H145" s="596">
        <v>0</v>
      </c>
      <c r="I145" s="596">
        <v>187140</v>
      </c>
      <c r="J145" s="605"/>
      <c r="K145" s="605"/>
      <c r="L145" s="605"/>
      <c r="M145" s="606"/>
      <c r="N145" s="605"/>
      <c r="O145" s="605"/>
      <c r="P145" s="605"/>
      <c r="Q145" s="605"/>
      <c r="R145" s="605"/>
      <c r="S145" s="605"/>
      <c r="T145" s="605"/>
      <c r="U145" s="605"/>
      <c r="V145" s="605"/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>
        <v>0.6</v>
      </c>
      <c r="AH145" s="605"/>
      <c r="AI145" s="605"/>
      <c r="AJ145" s="605"/>
    </row>
    <row r="146" spans="2:36" ht="15">
      <c r="B146" s="607">
        <v>126</v>
      </c>
      <c r="C146" s="608" t="s">
        <v>232</v>
      </c>
      <c r="D146" s="608" t="s">
        <v>389</v>
      </c>
      <c r="E146" s="609">
        <v>0</v>
      </c>
      <c r="F146" s="609">
        <v>132000</v>
      </c>
      <c r="G146" s="608" t="s">
        <v>390</v>
      </c>
      <c r="H146" s="596">
        <v>0</v>
      </c>
      <c r="I146" s="596">
        <v>187140</v>
      </c>
      <c r="J146" s="605"/>
      <c r="K146" s="605"/>
      <c r="L146" s="605"/>
      <c r="M146" s="606"/>
      <c r="N146" s="605"/>
      <c r="O146" s="605"/>
      <c r="P146" s="605"/>
      <c r="Q146" s="605"/>
      <c r="R146" s="605"/>
      <c r="S146" s="605"/>
      <c r="T146" s="605"/>
      <c r="U146" s="605"/>
      <c r="V146" s="605"/>
      <c r="W146" s="605"/>
      <c r="X146" s="605"/>
      <c r="Y146" s="605"/>
      <c r="Z146" s="605"/>
      <c r="AA146" s="605"/>
      <c r="AB146" s="605"/>
      <c r="AC146" s="605"/>
      <c r="AD146" s="605"/>
      <c r="AE146" s="605">
        <v>0.5</v>
      </c>
      <c r="AF146" s="605"/>
      <c r="AG146" s="605"/>
      <c r="AH146" s="605"/>
      <c r="AI146" s="605"/>
      <c r="AJ146" s="605"/>
    </row>
    <row r="147" spans="2:36" ht="15">
      <c r="B147" s="607">
        <v>102</v>
      </c>
      <c r="C147" s="608" t="s">
        <v>204</v>
      </c>
      <c r="D147" s="608" t="s">
        <v>435</v>
      </c>
      <c r="E147" s="609">
        <v>139700</v>
      </c>
      <c r="F147" s="609">
        <v>0</v>
      </c>
      <c r="G147" s="608" t="s">
        <v>433</v>
      </c>
      <c r="H147" s="596">
        <v>295211.83810421836</v>
      </c>
      <c r="I147" s="596">
        <v>94840</v>
      </c>
      <c r="J147" s="605"/>
      <c r="K147" s="605"/>
      <c r="L147" s="605"/>
      <c r="M147" s="606"/>
      <c r="N147" s="605"/>
      <c r="O147" s="605"/>
      <c r="P147" s="605"/>
      <c r="Q147" s="605"/>
      <c r="R147" s="605"/>
      <c r="S147" s="605"/>
      <c r="T147" s="605"/>
      <c r="U147" s="605"/>
      <c r="V147" s="605"/>
      <c r="W147" s="605"/>
      <c r="X147" s="605"/>
      <c r="Y147" s="605"/>
      <c r="Z147" s="605"/>
      <c r="AA147" s="605"/>
      <c r="AB147" s="605">
        <v>0.5</v>
      </c>
      <c r="AC147" s="605"/>
      <c r="AD147" s="605"/>
      <c r="AE147" s="605"/>
      <c r="AF147" s="605"/>
      <c r="AG147" s="605"/>
      <c r="AH147" s="605"/>
      <c r="AI147" s="605"/>
      <c r="AJ147" s="605"/>
    </row>
    <row r="148" spans="2:36" ht="15">
      <c r="B148" s="607">
        <v>130</v>
      </c>
      <c r="C148" s="608" t="s">
        <v>236</v>
      </c>
      <c r="D148" s="608" t="s">
        <v>432</v>
      </c>
      <c r="E148" s="609">
        <v>121551.83810421836</v>
      </c>
      <c r="F148" s="609">
        <v>55140</v>
      </c>
      <c r="G148" s="608" t="s">
        <v>433</v>
      </c>
      <c r="H148" s="596">
        <v>295211.83810421836</v>
      </c>
      <c r="I148" s="596">
        <v>94840</v>
      </c>
      <c r="J148" s="605"/>
      <c r="K148" s="605"/>
      <c r="L148" s="605"/>
      <c r="M148" s="606">
        <v>100</v>
      </c>
      <c r="N148" s="605"/>
      <c r="O148" s="605"/>
      <c r="P148" s="605">
        <v>0.6</v>
      </c>
      <c r="Q148" s="605"/>
      <c r="R148" s="605"/>
      <c r="S148" s="605"/>
      <c r="T148" s="605"/>
      <c r="U148" s="605">
        <v>0.6</v>
      </c>
      <c r="V148" s="605"/>
      <c r="W148" s="605"/>
      <c r="X148" s="605"/>
      <c r="Y148" s="605"/>
      <c r="Z148" s="605"/>
      <c r="AA148" s="605"/>
      <c r="AB148" s="605"/>
      <c r="AC148" s="605">
        <v>0.3</v>
      </c>
      <c r="AD148" s="605"/>
      <c r="AE148" s="605"/>
      <c r="AF148" s="605"/>
      <c r="AG148" s="605">
        <v>0.6</v>
      </c>
      <c r="AH148" s="605"/>
      <c r="AI148" s="605"/>
      <c r="AJ148" s="605"/>
    </row>
    <row r="149" spans="2:36" ht="15">
      <c r="B149" s="607">
        <v>132</v>
      </c>
      <c r="C149" s="608" t="s">
        <v>238</v>
      </c>
      <c r="D149" s="608" t="s">
        <v>434</v>
      </c>
      <c r="E149" s="609">
        <v>33960</v>
      </c>
      <c r="F149" s="609">
        <v>39700</v>
      </c>
      <c r="G149" s="608" t="s">
        <v>433</v>
      </c>
      <c r="H149" s="596">
        <v>295211.83810421836</v>
      </c>
      <c r="I149" s="596">
        <v>94840</v>
      </c>
      <c r="J149" s="605">
        <v>1</v>
      </c>
      <c r="K149" s="605"/>
      <c r="L149" s="605"/>
      <c r="M149" s="606"/>
      <c r="N149" s="605"/>
      <c r="O149" s="605"/>
      <c r="P149" s="605"/>
      <c r="Q149" s="605"/>
      <c r="R149" s="605"/>
      <c r="S149" s="605"/>
      <c r="T149" s="605"/>
      <c r="U149" s="605"/>
      <c r="V149" s="605"/>
      <c r="W149" s="605"/>
      <c r="X149" s="605"/>
      <c r="Y149" s="605"/>
      <c r="Z149" s="605"/>
      <c r="AA149" s="605"/>
      <c r="AB149" s="605"/>
      <c r="AC149" s="605"/>
      <c r="AD149" s="605">
        <v>1</v>
      </c>
      <c r="AE149" s="605"/>
      <c r="AF149" s="605"/>
      <c r="AG149" s="605"/>
      <c r="AH149" s="605"/>
      <c r="AI149" s="605"/>
      <c r="AJ149" s="605"/>
    </row>
    <row r="150" spans="2:36" ht="15">
      <c r="B150" s="607">
        <v>28</v>
      </c>
      <c r="C150" s="608" t="s">
        <v>116</v>
      </c>
      <c r="D150" s="608" t="s">
        <v>538</v>
      </c>
      <c r="E150" s="609">
        <v>0</v>
      </c>
      <c r="F150" s="609">
        <v>0</v>
      </c>
      <c r="G150" s="608" t="s">
        <v>421</v>
      </c>
      <c r="H150" s="596">
        <v>1370564.0275000001</v>
      </c>
      <c r="I150" s="596">
        <v>354940</v>
      </c>
      <c r="J150" s="605"/>
      <c r="K150" s="605"/>
      <c r="L150" s="605"/>
      <c r="M150" s="606"/>
      <c r="N150" s="605"/>
      <c r="O150" s="605"/>
      <c r="P150" s="605"/>
      <c r="Q150" s="605"/>
      <c r="R150" s="605"/>
      <c r="S150" s="605"/>
      <c r="T150" s="605"/>
      <c r="U150" s="605"/>
      <c r="V150" s="605"/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</row>
    <row r="151" spans="2:36" ht="15">
      <c r="B151" s="607">
        <v>36</v>
      </c>
      <c r="C151" s="608" t="s">
        <v>123</v>
      </c>
      <c r="D151" s="608" t="s">
        <v>526</v>
      </c>
      <c r="E151" s="609">
        <v>204641.652</v>
      </c>
      <c r="F151" s="609">
        <v>55140</v>
      </c>
      <c r="G151" s="608" t="s">
        <v>421</v>
      </c>
      <c r="H151" s="596">
        <v>1370564.0275000001</v>
      </c>
      <c r="I151" s="596">
        <v>354940</v>
      </c>
      <c r="J151" s="605"/>
      <c r="K151" s="605"/>
      <c r="L151" s="605"/>
      <c r="M151" s="606"/>
      <c r="N151" s="605"/>
      <c r="O151" s="605"/>
      <c r="P151" s="605">
        <v>0.6</v>
      </c>
      <c r="Q151" s="605"/>
      <c r="R151" s="605"/>
      <c r="S151" s="605"/>
      <c r="T151" s="605"/>
      <c r="U151" s="605">
        <v>0.6</v>
      </c>
      <c r="V151" s="605"/>
      <c r="W151" s="605"/>
      <c r="X151" s="605"/>
      <c r="Y151" s="605"/>
      <c r="Z151" s="605"/>
      <c r="AA151" s="605"/>
      <c r="AB151" s="605">
        <v>0.6</v>
      </c>
      <c r="AC151" s="605"/>
      <c r="AD151" s="605"/>
      <c r="AE151" s="605"/>
      <c r="AF151" s="605"/>
      <c r="AG151" s="605">
        <v>0.6</v>
      </c>
      <c r="AH151" s="605"/>
      <c r="AI151" s="605"/>
      <c r="AJ151" s="605"/>
    </row>
    <row r="152" spans="2:36" ht="15">
      <c r="B152" s="602">
        <v>121</v>
      </c>
      <c r="C152" s="603" t="s">
        <v>226</v>
      </c>
      <c r="D152" s="603" t="s">
        <v>422</v>
      </c>
      <c r="E152" s="604">
        <v>0</v>
      </c>
      <c r="F152" s="604">
        <v>0</v>
      </c>
      <c r="G152" s="603" t="s">
        <v>421</v>
      </c>
      <c r="H152" s="596">
        <v>1370564.0275000001</v>
      </c>
      <c r="I152" s="596">
        <v>354940</v>
      </c>
      <c r="J152" s="605"/>
      <c r="K152" s="605"/>
      <c r="L152" s="605"/>
      <c r="M152" s="606"/>
      <c r="N152" s="605"/>
      <c r="O152" s="605"/>
      <c r="P152" s="605"/>
      <c r="Q152" s="605"/>
      <c r="R152" s="605"/>
      <c r="S152" s="605"/>
      <c r="T152" s="605"/>
      <c r="U152" s="605"/>
      <c r="V152" s="605"/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</row>
    <row r="153" spans="2:36" ht="15">
      <c r="B153" s="602">
        <v>131</v>
      </c>
      <c r="C153" s="603" t="s">
        <v>237</v>
      </c>
      <c r="D153" s="603" t="s">
        <v>420</v>
      </c>
      <c r="E153" s="604">
        <v>1165922.3755000001</v>
      </c>
      <c r="F153" s="604">
        <v>299800</v>
      </c>
      <c r="G153" s="603" t="s">
        <v>421</v>
      </c>
      <c r="H153" s="596">
        <v>1370564.0275000001</v>
      </c>
      <c r="I153" s="596">
        <v>354940</v>
      </c>
      <c r="J153" s="605">
        <v>0.75</v>
      </c>
      <c r="K153" s="605"/>
      <c r="L153" s="605"/>
      <c r="M153" s="606">
        <v>2250</v>
      </c>
      <c r="N153" s="605"/>
      <c r="O153" s="605"/>
      <c r="P153" s="605"/>
      <c r="Q153" s="605"/>
      <c r="R153" s="605"/>
      <c r="S153" s="605"/>
      <c r="T153" s="605">
        <v>2</v>
      </c>
      <c r="U153" s="605">
        <v>2</v>
      </c>
      <c r="V153" s="605"/>
      <c r="W153" s="605"/>
      <c r="X153" s="605">
        <v>0.9</v>
      </c>
      <c r="Y153" s="605"/>
      <c r="Z153" s="605"/>
      <c r="AA153" s="605"/>
      <c r="AB153" s="605"/>
      <c r="AC153" s="605"/>
      <c r="AD153" s="605"/>
      <c r="AE153" s="605">
        <v>0.7</v>
      </c>
      <c r="AF153" s="605"/>
      <c r="AG153" s="605"/>
      <c r="AH153" s="605"/>
      <c r="AI153" s="605"/>
      <c r="AJ153" s="605">
        <v>0.5</v>
      </c>
    </row>
    <row r="154" spans="2:36" ht="15">
      <c r="B154" s="602">
        <v>153</v>
      </c>
      <c r="C154" s="603" t="s">
        <v>240</v>
      </c>
      <c r="D154" s="603" t="s">
        <v>466</v>
      </c>
      <c r="E154" s="604">
        <v>0</v>
      </c>
      <c r="F154" s="604">
        <v>0</v>
      </c>
      <c r="G154" s="603" t="s">
        <v>465</v>
      </c>
      <c r="H154" s="596">
        <v>471954.413</v>
      </c>
      <c r="I154" s="596">
        <v>79380</v>
      </c>
      <c r="J154" s="605"/>
      <c r="K154" s="605"/>
      <c r="L154" s="605"/>
      <c r="M154" s="606"/>
      <c r="N154" s="605"/>
      <c r="O154" s="605"/>
      <c r="P154" s="605"/>
      <c r="Q154" s="605"/>
      <c r="R154" s="605"/>
      <c r="S154" s="605"/>
      <c r="T154" s="605"/>
      <c r="U154" s="605"/>
      <c r="V154" s="605"/>
      <c r="W154" s="605"/>
      <c r="X154" s="605"/>
      <c r="Y154" s="605"/>
      <c r="Z154" s="605"/>
      <c r="AA154" s="605"/>
      <c r="AB154" s="605"/>
      <c r="AC154" s="605"/>
      <c r="AD154" s="605"/>
      <c r="AE154" s="605"/>
      <c r="AF154" s="605"/>
      <c r="AG154" s="605"/>
      <c r="AH154" s="605"/>
      <c r="AI154" s="605"/>
      <c r="AJ154" s="605"/>
    </row>
    <row r="155" spans="2:36" ht="15">
      <c r="B155" s="607">
        <v>154</v>
      </c>
      <c r="C155" s="608" t="s">
        <v>240</v>
      </c>
      <c r="D155" s="608" t="s">
        <v>464</v>
      </c>
      <c r="E155" s="609">
        <v>471954.413</v>
      </c>
      <c r="F155" s="609">
        <v>79380</v>
      </c>
      <c r="G155" s="608" t="s">
        <v>465</v>
      </c>
      <c r="H155" s="596">
        <v>471954.413</v>
      </c>
      <c r="I155" s="596">
        <v>79380</v>
      </c>
      <c r="J155" s="605">
        <v>0.9</v>
      </c>
      <c r="K155" s="605"/>
      <c r="L155" s="605"/>
      <c r="M155" s="606">
        <v>224</v>
      </c>
      <c r="N155" s="605"/>
      <c r="O155" s="605"/>
      <c r="P155" s="605"/>
      <c r="Q155" s="605"/>
      <c r="R155" s="605"/>
      <c r="S155" s="605"/>
      <c r="T155" s="605">
        <v>0.9</v>
      </c>
      <c r="U155" s="605">
        <v>0.9</v>
      </c>
      <c r="V155" s="605"/>
      <c r="W155" s="605"/>
      <c r="X155" s="605"/>
      <c r="Y155" s="605"/>
      <c r="Z155" s="605">
        <v>0.9</v>
      </c>
      <c r="AA155" s="605"/>
      <c r="AB155" s="605"/>
      <c r="AC155" s="605"/>
      <c r="AD155" s="605">
        <v>0.9</v>
      </c>
      <c r="AE155" s="605"/>
      <c r="AF155" s="605"/>
      <c r="AG155" s="605"/>
      <c r="AH155" s="605"/>
      <c r="AI155" s="605">
        <v>0.9</v>
      </c>
      <c r="AJ155" s="605"/>
    </row>
    <row r="156" spans="2:36" ht="15">
      <c r="B156" s="602">
        <v>41</v>
      </c>
      <c r="C156" s="603" t="s">
        <v>130</v>
      </c>
      <c r="D156" s="603" t="s">
        <v>375</v>
      </c>
      <c r="E156" s="604">
        <v>0</v>
      </c>
      <c r="F156" s="604">
        <v>0</v>
      </c>
      <c r="G156" s="603" t="s">
        <v>374</v>
      </c>
      <c r="H156" s="596">
        <v>0</v>
      </c>
      <c r="I156" s="596">
        <v>159790</v>
      </c>
      <c r="J156" s="605"/>
      <c r="K156" s="605"/>
      <c r="L156" s="605"/>
      <c r="M156" s="606"/>
      <c r="N156" s="605"/>
      <c r="O156" s="605"/>
      <c r="P156" s="605"/>
      <c r="Q156" s="605"/>
      <c r="R156" s="605"/>
      <c r="S156" s="605"/>
      <c r="T156" s="605"/>
      <c r="U156" s="605"/>
      <c r="V156" s="605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05"/>
      <c r="AH156" s="605"/>
      <c r="AI156" s="605"/>
      <c r="AJ156" s="605"/>
    </row>
    <row r="157" spans="2:36" ht="15">
      <c r="B157" s="602">
        <v>135</v>
      </c>
      <c r="C157" s="603" t="s">
        <v>241</v>
      </c>
      <c r="D157" s="603" t="s">
        <v>506</v>
      </c>
      <c r="E157" s="604">
        <v>0</v>
      </c>
      <c r="F157" s="604">
        <v>159790</v>
      </c>
      <c r="G157" s="603" t="s">
        <v>374</v>
      </c>
      <c r="H157" s="596">
        <v>0</v>
      </c>
      <c r="I157" s="596">
        <v>159790</v>
      </c>
      <c r="J157" s="605"/>
      <c r="K157" s="605"/>
      <c r="L157" s="605"/>
      <c r="M157" s="606"/>
      <c r="N157" s="605"/>
      <c r="O157" s="605"/>
      <c r="P157" s="605"/>
      <c r="Q157" s="605"/>
      <c r="R157" s="605"/>
      <c r="S157" s="605"/>
      <c r="T157" s="605"/>
      <c r="U157" s="605"/>
      <c r="V157" s="605"/>
      <c r="W157" s="605"/>
      <c r="X157" s="605"/>
      <c r="Y157" s="605"/>
      <c r="Z157" s="605"/>
      <c r="AA157" s="605"/>
      <c r="AB157" s="605"/>
      <c r="AC157" s="605"/>
      <c r="AD157" s="605">
        <v>0.7</v>
      </c>
      <c r="AE157" s="605">
        <v>0.5</v>
      </c>
      <c r="AF157" s="605"/>
      <c r="AG157" s="605"/>
      <c r="AH157" s="605"/>
      <c r="AI157" s="605"/>
      <c r="AJ157" s="605"/>
    </row>
    <row r="158" spans="2:36">
      <c r="B158" s="620"/>
      <c r="C158" s="621"/>
      <c r="D158" s="621"/>
      <c r="E158" s="622">
        <v>21774600</v>
      </c>
      <c r="F158" s="623">
        <v>0</v>
      </c>
      <c r="G158" s="621"/>
      <c r="H158" s="624">
        <v>0</v>
      </c>
      <c r="I158" s="625">
        <v>0</v>
      </c>
      <c r="J158" s="626"/>
      <c r="K158" s="626"/>
      <c r="L158" s="626"/>
      <c r="M158" s="627"/>
      <c r="N158" s="626"/>
      <c r="O158" s="626"/>
      <c r="P158" s="626"/>
      <c r="Q158" s="626"/>
      <c r="R158" s="626"/>
      <c r="S158" s="626"/>
      <c r="T158" s="626"/>
      <c r="U158" s="626"/>
      <c r="V158" s="626"/>
      <c r="W158" s="626"/>
      <c r="X158" s="626"/>
      <c r="Y158" s="626"/>
      <c r="Z158" s="626"/>
      <c r="AA158" s="626">
        <v>60</v>
      </c>
      <c r="AB158" s="626"/>
      <c r="AC158" s="626"/>
      <c r="AD158" s="626"/>
      <c r="AE158" s="626"/>
      <c r="AF158" s="626"/>
      <c r="AG158" s="626"/>
      <c r="AH158" s="626"/>
      <c r="AI158" s="626"/>
      <c r="AJ158" s="626"/>
    </row>
  </sheetData>
  <mergeCells count="1">
    <mergeCell ref="B1:H1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H153"/>
  <sheetViews>
    <sheetView workbookViewId="0">
      <selection activeCell="H7" sqref="H7"/>
    </sheetView>
  </sheetViews>
  <sheetFormatPr baseColWidth="10" defaultRowHeight="15"/>
  <cols>
    <col min="2" max="2" width="14.85546875" customWidth="1"/>
    <col min="3" max="3" width="27.28515625" bestFit="1" customWidth="1"/>
    <col min="6" max="6" width="18.7109375" style="545" customWidth="1"/>
    <col min="7" max="7" width="18.7109375" customWidth="1"/>
    <col min="8" max="8" width="17" customWidth="1"/>
  </cols>
  <sheetData>
    <row r="1" spans="1:8" ht="31.5">
      <c r="A1" s="544" t="s">
        <v>628</v>
      </c>
    </row>
    <row r="2" spans="1:8" ht="31.5">
      <c r="A2" s="544"/>
    </row>
    <row r="3" spans="1:8" ht="15.75">
      <c r="B3" s="953" t="s">
        <v>629</v>
      </c>
      <c r="C3" s="953"/>
      <c r="D3" s="953"/>
      <c r="E3" s="953"/>
      <c r="F3" s="953"/>
      <c r="G3" s="953"/>
      <c r="H3" s="953"/>
    </row>
    <row r="4" spans="1:8" ht="56.25" customHeight="1">
      <c r="B4" s="496" t="s">
        <v>630</v>
      </c>
      <c r="C4" s="496" t="s">
        <v>22</v>
      </c>
      <c r="D4" s="496" t="s">
        <v>631</v>
      </c>
      <c r="E4" s="496" t="s">
        <v>632</v>
      </c>
      <c r="F4" s="496" t="s">
        <v>633</v>
      </c>
      <c r="G4" s="496" t="s">
        <v>634</v>
      </c>
      <c r="H4" s="496" t="s">
        <v>635</v>
      </c>
    </row>
    <row r="5" spans="1:8">
      <c r="B5" s="488" t="s">
        <v>636</v>
      </c>
      <c r="C5" s="488" t="s">
        <v>407</v>
      </c>
      <c r="D5" s="546">
        <v>-35.45599444444445</v>
      </c>
      <c r="E5" s="546">
        <v>-60.174999999999997</v>
      </c>
      <c r="F5" s="547">
        <v>39000</v>
      </c>
      <c r="G5" s="548">
        <v>826800</v>
      </c>
      <c r="H5" s="549">
        <v>73408.109075138229</v>
      </c>
    </row>
    <row r="6" spans="1:8">
      <c r="B6" s="488" t="s">
        <v>636</v>
      </c>
      <c r="C6" s="488" t="s">
        <v>407</v>
      </c>
      <c r="D6" s="546">
        <v>-35.383088999999998</v>
      </c>
      <c r="E6" s="546">
        <v>-60.155014000000001</v>
      </c>
      <c r="F6" s="547">
        <v>60300</v>
      </c>
      <c r="G6" s="548">
        <v>1278360</v>
      </c>
      <c r="H6" s="549">
        <v>113500.23018540604</v>
      </c>
    </row>
    <row r="7" spans="1:8">
      <c r="B7" s="488" t="s">
        <v>636</v>
      </c>
      <c r="C7" s="488" t="s">
        <v>407</v>
      </c>
      <c r="D7" s="546">
        <v>-35.279134999999997</v>
      </c>
      <c r="E7" s="546">
        <v>-59.799402000000001</v>
      </c>
      <c r="F7" s="547">
        <v>47500</v>
      </c>
      <c r="G7" s="548">
        <v>1007000</v>
      </c>
      <c r="H7" s="549">
        <v>89407.31233510426</v>
      </c>
    </row>
    <row r="8" spans="1:8">
      <c r="B8" s="488" t="s">
        <v>636</v>
      </c>
      <c r="C8" s="488" t="s">
        <v>409</v>
      </c>
      <c r="D8" s="546">
        <v>-35.427120833333333</v>
      </c>
      <c r="E8" s="546">
        <v>-60.870361000000003</v>
      </c>
      <c r="F8" s="547">
        <v>13700</v>
      </c>
      <c r="G8" s="548">
        <v>290440</v>
      </c>
      <c r="H8" s="549">
        <v>25786.951136651125</v>
      </c>
    </row>
    <row r="9" spans="1:8">
      <c r="B9" s="488" t="s">
        <v>636</v>
      </c>
      <c r="C9" s="488" t="s">
        <v>571</v>
      </c>
      <c r="D9" s="546">
        <v>-37.178972999999999</v>
      </c>
      <c r="E9" s="546">
        <v>-63.237633000000002</v>
      </c>
      <c r="F9" s="547">
        <v>19850</v>
      </c>
      <c r="G9" s="548">
        <v>420820</v>
      </c>
      <c r="H9" s="549">
        <v>37362.84526003831</v>
      </c>
    </row>
    <row r="10" spans="1:8">
      <c r="B10" s="488" t="s">
        <v>636</v>
      </c>
      <c r="C10" s="488" t="s">
        <v>571</v>
      </c>
      <c r="D10" s="546">
        <v>-37.210017999999998</v>
      </c>
      <c r="E10" s="546">
        <v>-62.645746000000003</v>
      </c>
      <c r="F10" s="547">
        <v>45750</v>
      </c>
      <c r="G10" s="548">
        <v>969900</v>
      </c>
      <c r="H10" s="549">
        <v>86113.358722758319</v>
      </c>
    </row>
    <row r="11" spans="1:8">
      <c r="B11" s="488" t="s">
        <v>636</v>
      </c>
      <c r="C11" s="488" t="s">
        <v>571</v>
      </c>
      <c r="D11" s="546">
        <v>-37.172908333333332</v>
      </c>
      <c r="E11" s="546">
        <v>-62.736886111111112</v>
      </c>
      <c r="F11" s="547">
        <v>17000</v>
      </c>
      <c r="G11" s="548">
        <v>360400</v>
      </c>
      <c r="H11" s="549">
        <v>31998.40651993205</v>
      </c>
    </row>
    <row r="12" spans="1:8">
      <c r="B12" s="488" t="s">
        <v>636</v>
      </c>
      <c r="C12" s="488" t="s">
        <v>538</v>
      </c>
      <c r="D12" s="546">
        <v>-38.051380555555554</v>
      </c>
      <c r="E12" s="546">
        <v>-60.096622222222223</v>
      </c>
      <c r="F12" s="547">
        <v>61000</v>
      </c>
      <c r="G12" s="548">
        <v>1293200</v>
      </c>
      <c r="H12" s="549">
        <v>114817.81163034441</v>
      </c>
    </row>
    <row r="13" spans="1:8">
      <c r="B13" s="488" t="s">
        <v>636</v>
      </c>
      <c r="C13" s="488" t="s">
        <v>334</v>
      </c>
      <c r="D13" s="546">
        <v>-34.835675000000002</v>
      </c>
      <c r="E13" s="546">
        <v>-58.432588888888887</v>
      </c>
      <c r="F13" s="547">
        <v>73000</v>
      </c>
      <c r="G13" s="548">
        <v>1547600</v>
      </c>
      <c r="H13" s="549">
        <v>137404.92211500232</v>
      </c>
    </row>
    <row r="14" spans="1:8">
      <c r="B14" s="488" t="s">
        <v>636</v>
      </c>
      <c r="C14" s="488" t="s">
        <v>334</v>
      </c>
      <c r="D14" s="546">
        <v>-34.844508333333337</v>
      </c>
      <c r="E14" s="546">
        <v>-58.35</v>
      </c>
      <c r="F14" s="547">
        <v>59000</v>
      </c>
      <c r="G14" s="548">
        <v>1250800</v>
      </c>
      <c r="H14" s="549">
        <v>111053.29321623477</v>
      </c>
    </row>
    <row r="15" spans="1:8">
      <c r="B15" s="488" t="s">
        <v>636</v>
      </c>
      <c r="C15" s="488" t="s">
        <v>379</v>
      </c>
      <c r="D15" s="546">
        <v>-34.063316666666665</v>
      </c>
      <c r="E15" s="546">
        <v>-60.064127777777777</v>
      </c>
      <c r="F15" s="547">
        <v>55000</v>
      </c>
      <c r="G15" s="548">
        <v>1166000</v>
      </c>
      <c r="H15" s="549">
        <v>103524.25638801546</v>
      </c>
    </row>
    <row r="16" spans="1:8">
      <c r="B16" s="488" t="s">
        <v>636</v>
      </c>
      <c r="C16" s="488" t="s">
        <v>379</v>
      </c>
      <c r="D16" s="546">
        <v>-33.978605999999999</v>
      </c>
      <c r="E16" s="546">
        <v>-60.092550000000003</v>
      </c>
      <c r="F16" s="547">
        <v>70000</v>
      </c>
      <c r="G16" s="548">
        <v>1484000</v>
      </c>
      <c r="H16" s="549">
        <v>131758.14449383787</v>
      </c>
    </row>
    <row r="17" spans="2:8">
      <c r="B17" s="488" t="s">
        <v>636</v>
      </c>
      <c r="C17" s="488" t="s">
        <v>340</v>
      </c>
      <c r="D17" s="546">
        <v>-34.661658333333335</v>
      </c>
      <c r="E17" s="546">
        <v>-58.331850000000003</v>
      </c>
      <c r="F17" s="547">
        <v>4300</v>
      </c>
      <c r="G17" s="548">
        <v>91160</v>
      </c>
      <c r="H17" s="549">
        <v>8093.7145903357541</v>
      </c>
    </row>
    <row r="18" spans="2:8">
      <c r="B18" s="488" t="s">
        <v>636</v>
      </c>
      <c r="C18" s="488" t="s">
        <v>468</v>
      </c>
      <c r="D18" s="546">
        <v>-37.172916666666666</v>
      </c>
      <c r="E18" s="546">
        <v>-58.414066666666663</v>
      </c>
      <c r="F18" s="547">
        <v>65000</v>
      </c>
      <c r="G18" s="548">
        <v>1378000</v>
      </c>
      <c r="H18" s="549">
        <v>122346.84845856372</v>
      </c>
    </row>
    <row r="19" spans="2:8">
      <c r="B19" s="488" t="s">
        <v>636</v>
      </c>
      <c r="C19" s="488" t="s">
        <v>436</v>
      </c>
      <c r="D19" s="546">
        <v>-37.767716666666665</v>
      </c>
      <c r="E19" s="546">
        <v>-58.174563888888883</v>
      </c>
      <c r="F19" s="547">
        <v>32000</v>
      </c>
      <c r="G19" s="548">
        <v>678400</v>
      </c>
      <c r="H19" s="549">
        <v>60232.294625754446</v>
      </c>
    </row>
    <row r="20" spans="2:8">
      <c r="B20" s="488" t="s">
        <v>636</v>
      </c>
      <c r="C20" s="488" t="s">
        <v>414</v>
      </c>
      <c r="D20" s="546">
        <v>-33.82405277777778</v>
      </c>
      <c r="E20" s="546">
        <v>-59.587325</v>
      </c>
      <c r="F20" s="547">
        <v>87000</v>
      </c>
      <c r="G20" s="548">
        <v>1844400</v>
      </c>
      <c r="H20" s="549">
        <v>163756.5510137699</v>
      </c>
    </row>
    <row r="21" spans="2:8">
      <c r="B21" s="488" t="s">
        <v>636</v>
      </c>
      <c r="C21" s="488" t="s">
        <v>526</v>
      </c>
      <c r="D21" s="546">
        <v>-37.694430555555549</v>
      </c>
      <c r="E21" s="546">
        <v>-59.816861111111116</v>
      </c>
      <c r="F21" s="547">
        <v>49000</v>
      </c>
      <c r="G21" s="548">
        <v>1038800</v>
      </c>
      <c r="H21" s="549">
        <v>92230.7011456865</v>
      </c>
    </row>
    <row r="22" spans="2:8">
      <c r="B22" s="488" t="s">
        <v>636</v>
      </c>
      <c r="C22" s="488" t="s">
        <v>339</v>
      </c>
      <c r="D22" s="546">
        <v>-34.746333333333332</v>
      </c>
      <c r="E22" s="546">
        <v>-58.205636111111112</v>
      </c>
      <c r="F22" s="547">
        <v>45000</v>
      </c>
      <c r="G22" s="548">
        <v>954000</v>
      </c>
      <c r="H22" s="549">
        <v>84701.664317467192</v>
      </c>
    </row>
    <row r="23" spans="2:8">
      <c r="B23" s="488" t="s">
        <v>636</v>
      </c>
      <c r="C23" s="488" t="s">
        <v>339</v>
      </c>
      <c r="D23" s="546">
        <v>-34.74935</v>
      </c>
      <c r="E23" s="546">
        <v>-58.178069444444439</v>
      </c>
      <c r="F23" s="547">
        <v>41000</v>
      </c>
      <c r="G23" s="548">
        <v>869200</v>
      </c>
      <c r="H23" s="549">
        <v>77172.627489247883</v>
      </c>
    </row>
    <row r="24" spans="2:8">
      <c r="B24" s="488" t="s">
        <v>636</v>
      </c>
      <c r="C24" s="488" t="s">
        <v>352</v>
      </c>
      <c r="D24" s="546">
        <v>-34.917288888888883</v>
      </c>
      <c r="E24" s="546">
        <v>-57.894741666666668</v>
      </c>
      <c r="F24" s="547">
        <v>101000</v>
      </c>
      <c r="G24" s="548">
        <v>2141200</v>
      </c>
      <c r="H24" s="549">
        <v>190108.17991253748</v>
      </c>
    </row>
    <row r="25" spans="2:8">
      <c r="B25" s="488" t="s">
        <v>636</v>
      </c>
      <c r="C25" s="488" t="s">
        <v>570</v>
      </c>
      <c r="D25" s="546">
        <v>-36.241636111111113</v>
      </c>
      <c r="E25" s="546">
        <v>-61.092347222222223</v>
      </c>
      <c r="F25" s="547">
        <v>225000</v>
      </c>
      <c r="G25" s="548">
        <v>4770000</v>
      </c>
      <c r="H25" s="549">
        <v>423508.32158733596</v>
      </c>
    </row>
    <row r="26" spans="2:8">
      <c r="B26" s="488" t="s">
        <v>636</v>
      </c>
      <c r="C26" s="488" t="s">
        <v>402</v>
      </c>
      <c r="D26" s="546">
        <v>-35.123372222222223</v>
      </c>
      <c r="E26" s="546">
        <v>-60.521333333333331</v>
      </c>
      <c r="F26" s="547">
        <v>80000</v>
      </c>
      <c r="G26" s="548">
        <v>1696000</v>
      </c>
      <c r="H26" s="549">
        <v>150580.73656438611</v>
      </c>
    </row>
    <row r="27" spans="2:8">
      <c r="B27" s="488" t="s">
        <v>636</v>
      </c>
      <c r="C27" s="488" t="s">
        <v>415</v>
      </c>
      <c r="D27" s="546">
        <v>-35.121519444444445</v>
      </c>
      <c r="E27" s="546">
        <v>-58.242002777777778</v>
      </c>
      <c r="F27" s="547">
        <v>23000</v>
      </c>
      <c r="G27" s="548">
        <v>487600</v>
      </c>
      <c r="H27" s="549">
        <v>43291.961762261009</v>
      </c>
    </row>
    <row r="28" spans="2:8">
      <c r="B28" s="488" t="s">
        <v>636</v>
      </c>
      <c r="C28" s="488" t="s">
        <v>467</v>
      </c>
      <c r="D28" s="546">
        <v>-40.571100000000001</v>
      </c>
      <c r="E28" s="546">
        <v>-62.235700000000001</v>
      </c>
      <c r="F28" s="547">
        <v>8000</v>
      </c>
      <c r="G28" s="548">
        <v>169600</v>
      </c>
      <c r="H28" s="549">
        <v>15058.073656438612</v>
      </c>
    </row>
    <row r="29" spans="2:8">
      <c r="B29" s="488" t="s">
        <v>636</v>
      </c>
      <c r="C29" s="488" t="s">
        <v>467</v>
      </c>
      <c r="D29" s="546">
        <v>-40.166699999999999</v>
      </c>
      <c r="E29" s="546">
        <v>-62.616599999999998</v>
      </c>
      <c r="F29" s="547">
        <v>8700</v>
      </c>
      <c r="G29" s="548">
        <v>184440</v>
      </c>
      <c r="H29" s="549">
        <v>16375.655101376991</v>
      </c>
    </row>
    <row r="30" spans="2:8">
      <c r="B30" s="488" t="s">
        <v>636</v>
      </c>
      <c r="C30" s="488" t="s">
        <v>467</v>
      </c>
      <c r="D30" s="546">
        <v>-39.868211111111108</v>
      </c>
      <c r="E30" s="546">
        <v>-62.728661111111116</v>
      </c>
      <c r="F30" s="547">
        <v>13800</v>
      </c>
      <c r="G30" s="548">
        <v>292560</v>
      </c>
      <c r="H30" s="549">
        <v>25975.177057356606</v>
      </c>
    </row>
    <row r="31" spans="2:8">
      <c r="B31" s="488" t="s">
        <v>636</v>
      </c>
      <c r="C31" s="488" t="s">
        <v>467</v>
      </c>
      <c r="D31" s="546">
        <v>-40.776880555555557</v>
      </c>
      <c r="E31" s="546">
        <v>-62.957250000000002</v>
      </c>
      <c r="F31" s="547">
        <v>90000</v>
      </c>
      <c r="G31" s="548">
        <v>1908000</v>
      </c>
      <c r="H31" s="549">
        <v>169403.32863493438</v>
      </c>
    </row>
    <row r="32" spans="2:8">
      <c r="B32" s="488" t="s">
        <v>636</v>
      </c>
      <c r="C32" s="488" t="s">
        <v>532</v>
      </c>
      <c r="D32" s="546">
        <v>-34.169727777777773</v>
      </c>
      <c r="E32" s="546">
        <v>-59.768872222222221</v>
      </c>
      <c r="F32" s="547">
        <v>22600</v>
      </c>
      <c r="G32" s="548">
        <v>479120</v>
      </c>
      <c r="H32" s="549">
        <v>42539.058079439077</v>
      </c>
    </row>
    <row r="33" spans="2:8">
      <c r="B33" s="488" t="s">
        <v>636</v>
      </c>
      <c r="C33" s="488" t="s">
        <v>411</v>
      </c>
      <c r="D33" s="546">
        <v>-35.545203999999998</v>
      </c>
      <c r="E33" s="546">
        <v>-61.374985000000002</v>
      </c>
      <c r="F33" s="547">
        <v>22900</v>
      </c>
      <c r="G33" s="548">
        <v>485480</v>
      </c>
      <c r="H33" s="549">
        <v>43103.735841555528</v>
      </c>
    </row>
    <row r="34" spans="2:8">
      <c r="B34" s="488" t="s">
        <v>636</v>
      </c>
      <c r="C34" s="488" t="s">
        <v>411</v>
      </c>
      <c r="D34" s="546">
        <v>-35.620794444444442</v>
      </c>
      <c r="E34" s="546">
        <v>-61.344847222222228</v>
      </c>
      <c r="F34" s="547">
        <v>17000</v>
      </c>
      <c r="G34" s="548">
        <v>360400</v>
      </c>
      <c r="H34" s="549">
        <v>31998.40651993205</v>
      </c>
    </row>
    <row r="35" spans="2:8">
      <c r="B35" s="488" t="s">
        <v>636</v>
      </c>
      <c r="C35" s="488" t="s">
        <v>440</v>
      </c>
      <c r="D35" s="546">
        <v>-35.40562222222222</v>
      </c>
      <c r="E35" s="546">
        <v>-62.427411111111105</v>
      </c>
      <c r="F35" s="547">
        <v>36000</v>
      </c>
      <c r="G35" s="548">
        <v>763200</v>
      </c>
      <c r="H35" s="549">
        <v>67761.331453973748</v>
      </c>
    </row>
    <row r="36" spans="2:8">
      <c r="B36" s="488" t="s">
        <v>636</v>
      </c>
      <c r="C36" s="488" t="s">
        <v>425</v>
      </c>
      <c r="D36" s="546">
        <v>-34.447663888888883</v>
      </c>
      <c r="E36" s="546">
        <v>-59.864180555555556</v>
      </c>
      <c r="F36" s="547">
        <v>30000</v>
      </c>
      <c r="G36" s="548">
        <v>636000</v>
      </c>
      <c r="H36" s="549">
        <v>56467.776211644792</v>
      </c>
    </row>
    <row r="37" spans="2:8">
      <c r="B37" s="488" t="s">
        <v>636</v>
      </c>
      <c r="C37" s="488" t="s">
        <v>444</v>
      </c>
      <c r="D37" s="546">
        <v>-36.077027777777779</v>
      </c>
      <c r="E37" s="546">
        <v>-57.807849999999995</v>
      </c>
      <c r="F37" s="547">
        <v>26000</v>
      </c>
      <c r="G37" s="548">
        <v>551200</v>
      </c>
      <c r="H37" s="549">
        <v>48938.739383425491</v>
      </c>
    </row>
    <row r="38" spans="2:8">
      <c r="B38" s="488" t="s">
        <v>636</v>
      </c>
      <c r="C38" s="488" t="s">
        <v>444</v>
      </c>
      <c r="D38" s="546">
        <v>-36.044523400000003</v>
      </c>
      <c r="E38" s="546">
        <v>-57.803823999999999</v>
      </c>
      <c r="F38" s="547">
        <v>70000</v>
      </c>
      <c r="G38" s="548">
        <v>1484000</v>
      </c>
      <c r="H38" s="549">
        <v>131758.14449383787</v>
      </c>
    </row>
    <row r="39" spans="2:8">
      <c r="B39" s="488" t="s">
        <v>636</v>
      </c>
      <c r="C39" s="488" t="s">
        <v>385</v>
      </c>
      <c r="D39" s="546">
        <v>-34.661419444444441</v>
      </c>
      <c r="E39" s="546">
        <v>-60.512041666666669</v>
      </c>
      <c r="F39" s="547">
        <v>77500</v>
      </c>
      <c r="G39" s="548">
        <v>1643000</v>
      </c>
      <c r="H39" s="549">
        <v>145875.08854674906</v>
      </c>
    </row>
    <row r="40" spans="2:8">
      <c r="B40" s="488" t="s">
        <v>636</v>
      </c>
      <c r="C40" s="488" t="s">
        <v>516</v>
      </c>
      <c r="D40" s="546">
        <v>-35.564425</v>
      </c>
      <c r="E40" s="546">
        <v>-57.950722222222225</v>
      </c>
      <c r="F40" s="547">
        <v>175000</v>
      </c>
      <c r="G40" s="548">
        <v>3710000</v>
      </c>
      <c r="H40" s="549">
        <v>329395.36123459466</v>
      </c>
    </row>
    <row r="41" spans="2:8">
      <c r="B41" s="488" t="s">
        <v>636</v>
      </c>
      <c r="C41" s="488" t="s">
        <v>400</v>
      </c>
      <c r="D41" s="546">
        <v>-34.922794444444442</v>
      </c>
      <c r="E41" s="546">
        <v>-60.025852777777779</v>
      </c>
      <c r="F41" s="547">
        <v>97500</v>
      </c>
      <c r="G41" s="548">
        <v>2067000</v>
      </c>
      <c r="H41" s="549">
        <v>183520.27268784557</v>
      </c>
    </row>
    <row r="42" spans="2:8">
      <c r="B42" s="488" t="s">
        <v>636</v>
      </c>
      <c r="C42" s="488" t="s">
        <v>522</v>
      </c>
      <c r="D42" s="546">
        <v>-33.906495833333331</v>
      </c>
      <c r="E42" s="546">
        <v>-61.138345000000001</v>
      </c>
      <c r="F42" s="547">
        <v>53500</v>
      </c>
      <c r="G42" s="548">
        <v>1134200</v>
      </c>
      <c r="H42" s="549">
        <v>100700.86757743322</v>
      </c>
    </row>
    <row r="43" spans="2:8">
      <c r="B43" s="488" t="s">
        <v>636</v>
      </c>
      <c r="C43" s="488" t="s">
        <v>463</v>
      </c>
      <c r="D43" s="546">
        <v>-38.696033333333332</v>
      </c>
      <c r="E43" s="546">
        <v>-61.253502777777776</v>
      </c>
      <c r="F43" s="547">
        <v>152800</v>
      </c>
      <c r="G43" s="548">
        <v>3239360</v>
      </c>
      <c r="H43" s="549">
        <v>287609.20683797752</v>
      </c>
    </row>
    <row r="44" spans="2:8">
      <c r="B44" s="488" t="s">
        <v>636</v>
      </c>
      <c r="C44" s="488" t="s">
        <v>454</v>
      </c>
      <c r="D44" s="546">
        <v>-37.936461111111107</v>
      </c>
      <c r="E44" s="546">
        <v>-61.326208333333334</v>
      </c>
      <c r="F44" s="547">
        <v>182550</v>
      </c>
      <c r="G44" s="548">
        <v>3870060</v>
      </c>
      <c r="H44" s="549">
        <v>343606.41824785859</v>
      </c>
    </row>
    <row r="45" spans="2:8">
      <c r="B45" s="488" t="s">
        <v>636</v>
      </c>
      <c r="C45" s="488" t="s">
        <v>360</v>
      </c>
      <c r="D45" s="546">
        <v>-38.87768611111111</v>
      </c>
      <c r="E45" s="546">
        <v>-62.019166666666663</v>
      </c>
      <c r="F45" s="547">
        <v>135000</v>
      </c>
      <c r="G45" s="548">
        <v>2862000</v>
      </c>
      <c r="H45" s="549">
        <v>254104.99295240158</v>
      </c>
    </row>
    <row r="46" spans="2:8">
      <c r="B46" s="488" t="s">
        <v>636</v>
      </c>
      <c r="C46" s="488" t="s">
        <v>520</v>
      </c>
      <c r="D46" s="546">
        <v>-37.449752777777775</v>
      </c>
      <c r="E46" s="546">
        <v>-61.967233333333333</v>
      </c>
      <c r="F46" s="547">
        <v>132000</v>
      </c>
      <c r="G46" s="548">
        <v>2798400</v>
      </c>
      <c r="H46" s="549">
        <v>248458.21533123709</v>
      </c>
    </row>
    <row r="47" spans="2:8">
      <c r="B47" s="488" t="s">
        <v>636</v>
      </c>
      <c r="C47" s="488" t="s">
        <v>442</v>
      </c>
      <c r="D47" s="546">
        <v>-36.275266000000002</v>
      </c>
      <c r="E47" s="546">
        <v>-57.686633999999998</v>
      </c>
      <c r="F47" s="547">
        <v>30000</v>
      </c>
      <c r="G47" s="548">
        <v>636000</v>
      </c>
      <c r="H47" s="549">
        <v>56467.776211644792</v>
      </c>
    </row>
    <row r="48" spans="2:8">
      <c r="B48" s="488" t="s">
        <v>636</v>
      </c>
      <c r="C48" s="488" t="s">
        <v>343</v>
      </c>
      <c r="D48" s="546">
        <v>-34.355961111111114</v>
      </c>
      <c r="E48" s="546">
        <v>-58.715205555555556</v>
      </c>
      <c r="F48" s="547">
        <v>69000</v>
      </c>
      <c r="G48" s="548">
        <v>1462800</v>
      </c>
      <c r="H48" s="549">
        <v>129875.88528678303</v>
      </c>
    </row>
    <row r="49" spans="2:8">
      <c r="B49" s="488" t="s">
        <v>636</v>
      </c>
      <c r="C49" s="488" t="s">
        <v>343</v>
      </c>
      <c r="D49" s="546">
        <v>-34.323619444444446</v>
      </c>
      <c r="E49" s="546">
        <v>-58.770252777777777</v>
      </c>
      <c r="F49" s="547">
        <v>15000</v>
      </c>
      <c r="G49" s="548">
        <v>318000</v>
      </c>
      <c r="H49" s="549">
        <v>28233.888105822396</v>
      </c>
    </row>
    <row r="50" spans="2:8">
      <c r="B50" s="488" t="s">
        <v>636</v>
      </c>
      <c r="C50" s="488" t="s">
        <v>335</v>
      </c>
      <c r="D50" s="546">
        <v>-34.868638888888889</v>
      </c>
      <c r="E50" s="546">
        <v>-58.302947222222222</v>
      </c>
      <c r="F50" s="547">
        <v>56400</v>
      </c>
      <c r="G50" s="548">
        <v>1195680</v>
      </c>
      <c r="H50" s="549">
        <v>106159.41927789222</v>
      </c>
    </row>
    <row r="51" spans="2:8">
      <c r="B51" s="488" t="s">
        <v>636</v>
      </c>
      <c r="C51" s="488" t="s">
        <v>335</v>
      </c>
      <c r="D51" s="546">
        <v>-34.862319444444445</v>
      </c>
      <c r="E51" s="546">
        <v>-58.304641666666662</v>
      </c>
      <c r="F51" s="547">
        <v>14200</v>
      </c>
      <c r="G51" s="548">
        <v>301040</v>
      </c>
      <c r="H51" s="549">
        <v>26728.080740178535</v>
      </c>
    </row>
    <row r="52" spans="2:8">
      <c r="B52" s="488" t="s">
        <v>636</v>
      </c>
      <c r="C52" s="488" t="s">
        <v>439</v>
      </c>
      <c r="D52" s="546">
        <v>-34.831594444444448</v>
      </c>
      <c r="E52" s="546">
        <v>-62.478719444444444</v>
      </c>
      <c r="F52" s="547">
        <v>69000</v>
      </c>
      <c r="G52" s="548">
        <v>1462800</v>
      </c>
      <c r="H52" s="549">
        <v>129875.88528678303</v>
      </c>
    </row>
    <row r="53" spans="2:8">
      <c r="B53" s="488" t="s">
        <v>636</v>
      </c>
      <c r="C53" s="488" t="s">
        <v>357</v>
      </c>
      <c r="D53" s="546">
        <v>-38.192069444444442</v>
      </c>
      <c r="E53" s="546">
        <v>-57.912511111111108</v>
      </c>
      <c r="F53" s="547">
        <v>77000</v>
      </c>
      <c r="G53" s="548">
        <v>1632400</v>
      </c>
      <c r="H53" s="549">
        <v>144933.95894322163</v>
      </c>
    </row>
    <row r="54" spans="2:8">
      <c r="B54" s="488" t="s">
        <v>636</v>
      </c>
      <c r="C54" s="488" t="s">
        <v>371</v>
      </c>
      <c r="D54" s="546">
        <v>-37.188452777777776</v>
      </c>
      <c r="E54" s="546">
        <v>-56.973994444444443</v>
      </c>
      <c r="F54" s="547">
        <v>220000</v>
      </c>
      <c r="G54" s="548">
        <v>4664000</v>
      </c>
      <c r="H54" s="549">
        <v>414097.02555206185</v>
      </c>
    </row>
    <row r="55" spans="2:8">
      <c r="B55" s="488" t="s">
        <v>636</v>
      </c>
      <c r="C55" s="488" t="s">
        <v>419</v>
      </c>
      <c r="D55" s="546">
        <v>-35.517047222222224</v>
      </c>
      <c r="E55" s="546">
        <v>-58.351802777777777</v>
      </c>
      <c r="F55" s="547">
        <v>95000</v>
      </c>
      <c r="G55" s="548">
        <v>2014000</v>
      </c>
      <c r="H55" s="549">
        <v>178814.62467020852</v>
      </c>
    </row>
    <row r="56" spans="2:8">
      <c r="B56" s="488" t="s">
        <v>636</v>
      </c>
      <c r="C56" s="488" t="s">
        <v>408</v>
      </c>
      <c r="D56" s="546">
        <v>-36.013125000000002</v>
      </c>
      <c r="E56" s="546">
        <v>-59.997061111111115</v>
      </c>
      <c r="F56" s="547">
        <v>27000</v>
      </c>
      <c r="G56" s="548">
        <v>572400</v>
      </c>
      <c r="H56" s="549">
        <v>50820.998590480318</v>
      </c>
    </row>
    <row r="57" spans="2:8">
      <c r="B57" s="488" t="s">
        <v>636</v>
      </c>
      <c r="C57" s="488" t="s">
        <v>474</v>
      </c>
      <c r="D57" s="546">
        <v>-34.287925000000001</v>
      </c>
      <c r="E57" s="546">
        <v>-61.306574999999995</v>
      </c>
      <c r="F57" s="547">
        <v>40000</v>
      </c>
      <c r="G57" s="548">
        <v>848000</v>
      </c>
      <c r="H57" s="549">
        <v>75290.368282193056</v>
      </c>
    </row>
    <row r="58" spans="2:8">
      <c r="B58" s="488" t="s">
        <v>636</v>
      </c>
      <c r="C58" s="488" t="s">
        <v>418</v>
      </c>
      <c r="D58" s="546">
        <v>-35.75514722222222</v>
      </c>
      <c r="E58" s="546">
        <v>-58.467319444444449</v>
      </c>
      <c r="F58" s="547">
        <v>104000</v>
      </c>
      <c r="G58" s="548">
        <v>2204800</v>
      </c>
      <c r="H58" s="549">
        <v>195754.95753370196</v>
      </c>
    </row>
    <row r="59" spans="2:8">
      <c r="B59" s="488" t="s">
        <v>636</v>
      </c>
      <c r="C59" s="488" t="s">
        <v>447</v>
      </c>
      <c r="D59" s="546">
        <v>-36.662745999999999</v>
      </c>
      <c r="E59" s="546">
        <v>-57.792413000000003</v>
      </c>
      <c r="F59" s="547">
        <v>10000</v>
      </c>
      <c r="G59" s="548">
        <v>212000</v>
      </c>
      <c r="H59" s="549">
        <v>18822.592070548264</v>
      </c>
    </row>
    <row r="60" spans="2:8">
      <c r="B60" s="488" t="s">
        <v>636</v>
      </c>
      <c r="C60" s="488" t="s">
        <v>429</v>
      </c>
      <c r="D60" s="546">
        <v>-37.23202777777778</v>
      </c>
      <c r="E60" s="546">
        <v>-61.251091666666667</v>
      </c>
      <c r="F60" s="547">
        <v>80000</v>
      </c>
      <c r="G60" s="548">
        <v>1696000</v>
      </c>
      <c r="H60" s="549">
        <v>150580.73656438611</v>
      </c>
    </row>
    <row r="61" spans="2:8">
      <c r="B61" s="488" t="s">
        <v>636</v>
      </c>
      <c r="C61" s="488" t="s">
        <v>373</v>
      </c>
      <c r="D61" s="546">
        <v>-36.698856499999998</v>
      </c>
      <c r="E61" s="546">
        <v>-56.724648999999999</v>
      </c>
      <c r="F61" s="547">
        <v>180000</v>
      </c>
      <c r="G61" s="548">
        <v>3816000</v>
      </c>
      <c r="H61" s="549">
        <v>338806.65726986877</v>
      </c>
    </row>
    <row r="62" spans="2:8">
      <c r="B62" s="488" t="s">
        <v>636</v>
      </c>
      <c r="C62" s="488" t="s">
        <v>460</v>
      </c>
      <c r="D62" s="546">
        <v>-34.766905555555553</v>
      </c>
      <c r="E62" s="546">
        <v>-61.913274999999999</v>
      </c>
      <c r="F62" s="547">
        <v>35100</v>
      </c>
      <c r="G62" s="548">
        <v>744120</v>
      </c>
      <c r="H62" s="549">
        <v>66067.298167624409</v>
      </c>
    </row>
    <row r="63" spans="2:8">
      <c r="B63" s="488" t="s">
        <v>636</v>
      </c>
      <c r="C63" s="488" t="s">
        <v>491</v>
      </c>
      <c r="D63" s="546">
        <v>-34.495636111111111</v>
      </c>
      <c r="E63" s="546">
        <v>-58.597363888888893</v>
      </c>
      <c r="F63" s="547">
        <v>104200</v>
      </c>
      <c r="G63" s="548">
        <v>2209040</v>
      </c>
      <c r="H63" s="549">
        <v>196131.40937511291</v>
      </c>
    </row>
    <row r="64" spans="2:8">
      <c r="B64" s="488" t="s">
        <v>636</v>
      </c>
      <c r="C64" s="488" t="s">
        <v>491</v>
      </c>
      <c r="D64" s="546">
        <v>-34.502608333333335</v>
      </c>
      <c r="E64" s="546">
        <v>-58.587719444444446</v>
      </c>
      <c r="F64" s="547">
        <v>7800</v>
      </c>
      <c r="G64" s="548">
        <v>165360</v>
      </c>
      <c r="H64" s="549">
        <v>14681.621815027647</v>
      </c>
    </row>
    <row r="65" spans="2:8">
      <c r="B65" s="488" t="s">
        <v>636</v>
      </c>
      <c r="C65" s="488" t="s">
        <v>491</v>
      </c>
      <c r="D65" s="546">
        <v>-34.514722222222225</v>
      </c>
      <c r="E65" s="546">
        <v>-58.588802777777779</v>
      </c>
      <c r="F65" s="547">
        <v>85000</v>
      </c>
      <c r="G65" s="548">
        <v>1802000</v>
      </c>
      <c r="H65" s="549">
        <v>159992.03259966025</v>
      </c>
    </row>
    <row r="66" spans="2:8">
      <c r="B66" s="488" t="s">
        <v>636</v>
      </c>
      <c r="C66" s="488" t="s">
        <v>491</v>
      </c>
      <c r="D66" s="546">
        <v>-34.522261111111114</v>
      </c>
      <c r="E66" s="546">
        <v>-58.588130555555558</v>
      </c>
      <c r="F66" s="547">
        <v>83000</v>
      </c>
      <c r="G66" s="548">
        <v>1759600</v>
      </c>
      <c r="H66" s="549">
        <v>156227.51418555059</v>
      </c>
    </row>
    <row r="67" spans="2:8">
      <c r="B67" s="488" t="s">
        <v>636</v>
      </c>
      <c r="C67" s="488" t="s">
        <v>386</v>
      </c>
      <c r="D67" s="546">
        <v>-35.001997222222222</v>
      </c>
      <c r="E67" s="546">
        <v>-61.012099999999997</v>
      </c>
      <c r="F67" s="547">
        <v>62000</v>
      </c>
      <c r="G67" s="548">
        <v>1314400</v>
      </c>
      <c r="H67" s="549">
        <v>116700.07083739924</v>
      </c>
    </row>
    <row r="68" spans="2:8">
      <c r="B68" s="488" t="s">
        <v>636</v>
      </c>
      <c r="C68" s="488" t="s">
        <v>437</v>
      </c>
      <c r="D68" s="546">
        <v>-35.0671246</v>
      </c>
      <c r="E68" s="546">
        <v>-62.992865430000002</v>
      </c>
      <c r="F68" s="547">
        <v>12000</v>
      </c>
      <c r="G68" s="548">
        <v>254400</v>
      </c>
      <c r="H68" s="549">
        <v>22587.110484657918</v>
      </c>
    </row>
    <row r="69" spans="2:8">
      <c r="B69" s="488" t="s">
        <v>636</v>
      </c>
      <c r="C69" s="488" t="s">
        <v>544</v>
      </c>
      <c r="D69" s="546">
        <v>-37.010275</v>
      </c>
      <c r="E69" s="546">
        <v>-62.398838888888889</v>
      </c>
      <c r="F69" s="547">
        <v>25000</v>
      </c>
      <c r="G69" s="548">
        <v>530000</v>
      </c>
      <c r="H69" s="549">
        <v>47056.480176370664</v>
      </c>
    </row>
    <row r="70" spans="2:8">
      <c r="B70" s="488" t="s">
        <v>636</v>
      </c>
      <c r="C70" s="488" t="s">
        <v>453</v>
      </c>
      <c r="D70" s="546">
        <v>-36.287966666666662</v>
      </c>
      <c r="E70" s="546">
        <v>-61.693019444444438</v>
      </c>
      <c r="F70" s="547">
        <v>14000</v>
      </c>
      <c r="G70" s="548">
        <v>296800</v>
      </c>
      <c r="H70" s="549">
        <v>26351.628898767573</v>
      </c>
    </row>
    <row r="71" spans="2:8">
      <c r="B71" s="488" t="s">
        <v>636</v>
      </c>
      <c r="C71" s="488" t="s">
        <v>345</v>
      </c>
      <c r="D71" s="546">
        <v>-34.612772222222226</v>
      </c>
      <c r="E71" s="546">
        <v>-58.653424999999999</v>
      </c>
      <c r="F71" s="547">
        <v>42600</v>
      </c>
      <c r="G71" s="548">
        <v>903120</v>
      </c>
      <c r="H71" s="549">
        <v>80184.242220535612</v>
      </c>
    </row>
    <row r="72" spans="2:8">
      <c r="B72" s="488" t="s">
        <v>636</v>
      </c>
      <c r="C72" s="488" t="s">
        <v>557</v>
      </c>
      <c r="D72" s="546">
        <v>-34.506097222222223</v>
      </c>
      <c r="E72" s="546">
        <v>-58.820755555555557</v>
      </c>
      <c r="F72" s="547">
        <v>98400</v>
      </c>
      <c r="G72" s="548">
        <v>2086080</v>
      </c>
      <c r="H72" s="549">
        <v>185214.30597419493</v>
      </c>
    </row>
    <row r="73" spans="2:8">
      <c r="B73" s="488" t="s">
        <v>636</v>
      </c>
      <c r="C73" s="488" t="s">
        <v>557</v>
      </c>
      <c r="D73" s="546">
        <v>-34.495433333333331</v>
      </c>
      <c r="E73" s="546">
        <v>-58.788283333333332</v>
      </c>
      <c r="F73" s="547">
        <v>6600</v>
      </c>
      <c r="G73" s="548">
        <v>139920</v>
      </c>
      <c r="H73" s="549">
        <v>12422.910766561856</v>
      </c>
    </row>
    <row r="74" spans="2:8">
      <c r="B74" s="488" t="s">
        <v>636</v>
      </c>
      <c r="C74" s="488" t="s">
        <v>510</v>
      </c>
      <c r="D74" s="546">
        <v>-34.559269444444439</v>
      </c>
      <c r="E74" s="546">
        <v>-60.912555555555556</v>
      </c>
      <c r="F74" s="547">
        <v>8300</v>
      </c>
      <c r="G74" s="548">
        <v>175960</v>
      </c>
      <c r="H74" s="549">
        <v>15622.751418555061</v>
      </c>
    </row>
    <row r="75" spans="2:8">
      <c r="B75" s="488" t="s">
        <v>636</v>
      </c>
      <c r="C75" s="488" t="s">
        <v>510</v>
      </c>
      <c r="D75" s="546">
        <v>-34.570394444444446</v>
      </c>
      <c r="E75" s="546">
        <v>-60.992113888888888</v>
      </c>
      <c r="F75" s="547">
        <v>32000</v>
      </c>
      <c r="G75" s="548">
        <v>678400</v>
      </c>
      <c r="H75" s="549">
        <v>60232.294625754446</v>
      </c>
    </row>
    <row r="76" spans="2:8">
      <c r="B76" s="488" t="s">
        <v>636</v>
      </c>
      <c r="C76" s="488" t="s">
        <v>510</v>
      </c>
      <c r="D76" s="546">
        <v>-34.55564722222222</v>
      </c>
      <c r="E76" s="546">
        <v>-60.910641666666663</v>
      </c>
      <c r="F76" s="547">
        <v>12000</v>
      </c>
      <c r="G76" s="548">
        <v>254400</v>
      </c>
      <c r="H76" s="549">
        <v>22587.110484657918</v>
      </c>
    </row>
    <row r="77" spans="2:8">
      <c r="B77" s="488" t="s">
        <v>636</v>
      </c>
      <c r="C77" s="488" t="s">
        <v>510</v>
      </c>
      <c r="D77" s="546">
        <v>-34.570866666666667</v>
      </c>
      <c r="E77" s="546">
        <v>-61.009466666666668</v>
      </c>
      <c r="F77" s="547">
        <v>247500</v>
      </c>
      <c r="G77" s="548">
        <v>5247000</v>
      </c>
      <c r="H77" s="549">
        <v>465859.15374606958</v>
      </c>
    </row>
    <row r="78" spans="2:8">
      <c r="B78" s="488" t="s">
        <v>636</v>
      </c>
      <c r="C78" s="488" t="s">
        <v>348</v>
      </c>
      <c r="D78" s="546">
        <v>-34.714552777777783</v>
      </c>
      <c r="E78" s="546">
        <v>-58.475616666666667</v>
      </c>
      <c r="F78" s="547">
        <v>147400</v>
      </c>
      <c r="G78" s="548">
        <v>3124880</v>
      </c>
      <c r="H78" s="549">
        <v>277445.00711988145</v>
      </c>
    </row>
    <row r="79" spans="2:8">
      <c r="B79" s="488" t="s">
        <v>636</v>
      </c>
      <c r="C79" s="488" t="s">
        <v>348</v>
      </c>
      <c r="D79" s="546">
        <v>-34.739222222222224</v>
      </c>
      <c r="E79" s="546">
        <v>-58.663666666666664</v>
      </c>
      <c r="F79" s="547">
        <v>74600</v>
      </c>
      <c r="G79" s="548">
        <v>1581520</v>
      </c>
      <c r="H79" s="549">
        <v>140416.53684629005</v>
      </c>
    </row>
    <row r="80" spans="2:8">
      <c r="B80" s="488" t="s">
        <v>636</v>
      </c>
      <c r="C80" s="488" t="s">
        <v>348</v>
      </c>
      <c r="D80" s="546">
        <v>-34.701447222222228</v>
      </c>
      <c r="E80" s="546">
        <v>-58.552416666666666</v>
      </c>
      <c r="F80" s="547">
        <v>38700</v>
      </c>
      <c r="G80" s="548">
        <v>820440</v>
      </c>
      <c r="H80" s="549">
        <v>72843.431313021792</v>
      </c>
    </row>
    <row r="81" spans="2:8">
      <c r="B81" s="488" t="s">
        <v>636</v>
      </c>
      <c r="C81" s="488" t="s">
        <v>348</v>
      </c>
      <c r="D81" s="546">
        <v>-34.709022222222224</v>
      </c>
      <c r="E81" s="546">
        <v>-58.466811111111113</v>
      </c>
      <c r="F81" s="547">
        <v>49000</v>
      </c>
      <c r="G81" s="548">
        <v>1038800</v>
      </c>
      <c r="H81" s="549">
        <v>92230.7011456865</v>
      </c>
    </row>
    <row r="82" spans="2:8">
      <c r="B82" s="488" t="s">
        <v>636</v>
      </c>
      <c r="C82" s="488" t="s">
        <v>348</v>
      </c>
      <c r="D82" s="546">
        <v>-34.731069444444444</v>
      </c>
      <c r="E82" s="546">
        <v>-58.652702777777776</v>
      </c>
      <c r="F82" s="547">
        <v>54300</v>
      </c>
      <c r="G82" s="548">
        <v>1151160</v>
      </c>
      <c r="H82" s="549">
        <v>102206.67494307709</v>
      </c>
    </row>
    <row r="83" spans="2:8">
      <c r="B83" s="488" t="s">
        <v>636</v>
      </c>
      <c r="C83" s="488" t="s">
        <v>348</v>
      </c>
      <c r="D83" s="546">
        <v>-34.772327777777775</v>
      </c>
      <c r="E83" s="546">
        <v>-58.586136111111117</v>
      </c>
      <c r="F83" s="547">
        <v>4200</v>
      </c>
      <c r="G83" s="548">
        <v>89040</v>
      </c>
      <c r="H83" s="549">
        <v>7905.488669630271</v>
      </c>
    </row>
    <row r="84" spans="2:8">
      <c r="B84" s="488" t="s">
        <v>636</v>
      </c>
      <c r="C84" s="488" t="s">
        <v>348</v>
      </c>
      <c r="D84" s="546">
        <v>-34.738152777777778</v>
      </c>
      <c r="E84" s="546">
        <v>-58.543794444444444</v>
      </c>
      <c r="F84" s="547">
        <v>27200</v>
      </c>
      <c r="G84" s="548">
        <v>576640</v>
      </c>
      <c r="H84" s="549">
        <v>51197.45043189128</v>
      </c>
    </row>
    <row r="85" spans="2:8">
      <c r="B85" s="488" t="s">
        <v>636</v>
      </c>
      <c r="C85" s="488" t="s">
        <v>348</v>
      </c>
      <c r="D85" s="546">
        <v>-34.780191666666667</v>
      </c>
      <c r="E85" s="546">
        <v>-58.593050000000005</v>
      </c>
      <c r="F85" s="547">
        <v>22900</v>
      </c>
      <c r="G85" s="548">
        <v>485480</v>
      </c>
      <c r="H85" s="549">
        <v>43103.735841555528</v>
      </c>
    </row>
    <row r="86" spans="2:8">
      <c r="B86" s="488" t="s">
        <v>636</v>
      </c>
      <c r="C86" s="488" t="s">
        <v>348</v>
      </c>
      <c r="D86" s="546">
        <v>-34.693824999999997</v>
      </c>
      <c r="E86" s="546">
        <v>-58.582141666666672</v>
      </c>
      <c r="F86" s="547">
        <v>7100</v>
      </c>
      <c r="G86" s="548">
        <v>150520</v>
      </c>
      <c r="H86" s="549">
        <v>13364.040370089268</v>
      </c>
    </row>
    <row r="87" spans="2:8">
      <c r="B87" s="488" t="s">
        <v>636</v>
      </c>
      <c r="C87" s="488" t="s">
        <v>348</v>
      </c>
      <c r="D87" s="546">
        <v>-34.747033333333334</v>
      </c>
      <c r="E87" s="546">
        <v>-58.553938888888887</v>
      </c>
      <c r="F87" s="547">
        <v>252100</v>
      </c>
      <c r="G87" s="548">
        <v>5344520</v>
      </c>
      <c r="H87" s="549">
        <v>474517.54609852179</v>
      </c>
    </row>
    <row r="88" spans="2:8">
      <c r="B88" s="488" t="s">
        <v>636</v>
      </c>
      <c r="C88" s="488" t="s">
        <v>350</v>
      </c>
      <c r="D88" s="546">
        <v>-35.094638888888895</v>
      </c>
      <c r="E88" s="546">
        <v>-58.081344444444447</v>
      </c>
      <c r="F88" s="547">
        <v>24300</v>
      </c>
      <c r="G88" s="548">
        <v>515160</v>
      </c>
      <c r="H88" s="549">
        <v>45738.898731432288</v>
      </c>
    </row>
    <row r="89" spans="2:8">
      <c r="B89" s="488" t="s">
        <v>636</v>
      </c>
      <c r="C89" s="488" t="s">
        <v>350</v>
      </c>
      <c r="D89" s="546">
        <v>-34.964525000000002</v>
      </c>
      <c r="E89" s="546">
        <v>-57.861969444444448</v>
      </c>
      <c r="F89" s="547">
        <v>11900</v>
      </c>
      <c r="G89" s="548">
        <v>252280</v>
      </c>
      <c r="H89" s="549">
        <v>22398.884563952437</v>
      </c>
    </row>
    <row r="90" spans="2:8">
      <c r="B90" s="488" t="s">
        <v>636</v>
      </c>
      <c r="C90" s="488" t="s">
        <v>493</v>
      </c>
      <c r="D90" s="546">
        <v>-34.692924999999995</v>
      </c>
      <c r="E90" s="546">
        <v>-58.437477777777772</v>
      </c>
      <c r="F90" s="547">
        <v>9400</v>
      </c>
      <c r="G90" s="548">
        <v>199280</v>
      </c>
      <c r="H90" s="549">
        <v>17693.236546315369</v>
      </c>
    </row>
    <row r="91" spans="2:8">
      <c r="B91" s="488" t="s">
        <v>636</v>
      </c>
      <c r="C91" s="488" t="s">
        <v>406</v>
      </c>
      <c r="D91" s="546">
        <v>-36.037299999999995</v>
      </c>
      <c r="E91" s="546">
        <v>-59.083372222222224</v>
      </c>
      <c r="F91" s="547">
        <v>20300</v>
      </c>
      <c r="G91" s="548">
        <v>430360</v>
      </c>
      <c r="H91" s="549">
        <v>38209.861903212979</v>
      </c>
    </row>
    <row r="92" spans="2:8">
      <c r="B92" s="488" t="s">
        <v>636</v>
      </c>
      <c r="C92" s="488" t="s">
        <v>387</v>
      </c>
      <c r="D92" s="546">
        <v>-34.514527777777779</v>
      </c>
      <c r="E92" s="546">
        <v>-61.379705555555553</v>
      </c>
      <c r="F92" s="547">
        <v>20000</v>
      </c>
      <c r="G92" s="548">
        <v>424000</v>
      </c>
      <c r="H92" s="549">
        <v>37645.184141096528</v>
      </c>
    </row>
    <row r="93" spans="2:8">
      <c r="B93" s="488" t="s">
        <v>636</v>
      </c>
      <c r="C93" s="488" t="s">
        <v>387</v>
      </c>
      <c r="D93" s="546">
        <v>-34.484197999999999</v>
      </c>
      <c r="E93" s="546">
        <v>-61.567045999999998</v>
      </c>
      <c r="F93" s="547">
        <v>20000</v>
      </c>
      <c r="G93" s="548">
        <v>424000</v>
      </c>
      <c r="H93" s="549">
        <v>37645.184141096528</v>
      </c>
    </row>
    <row r="94" spans="2:8">
      <c r="B94" s="488" t="s">
        <v>636</v>
      </c>
      <c r="C94" s="488" t="s">
        <v>387</v>
      </c>
      <c r="D94" s="546">
        <v>-34.450853000000002</v>
      </c>
      <c r="E94" s="546">
        <v>-61.830286999999998</v>
      </c>
      <c r="F94" s="547">
        <v>35000</v>
      </c>
      <c r="G94" s="548">
        <v>742000</v>
      </c>
      <c r="H94" s="549">
        <v>65879.072246918935</v>
      </c>
    </row>
    <row r="95" spans="2:8">
      <c r="B95" s="488" t="s">
        <v>636</v>
      </c>
      <c r="C95" s="488" t="s">
        <v>545</v>
      </c>
      <c r="D95" s="546">
        <v>-35.868048600000002</v>
      </c>
      <c r="E95" s="546">
        <v>-57.883406999999998</v>
      </c>
      <c r="F95" s="547">
        <v>60000</v>
      </c>
      <c r="G95" s="548">
        <v>1272000</v>
      </c>
      <c r="H95" s="549">
        <v>112935.55242328958</v>
      </c>
    </row>
    <row r="96" spans="2:8">
      <c r="B96" s="488" t="s">
        <v>636</v>
      </c>
      <c r="C96" s="488" t="s">
        <v>458</v>
      </c>
      <c r="D96" s="546">
        <v>-34.880716666666665</v>
      </c>
      <c r="E96" s="546">
        <v>-61.573227777777781</v>
      </c>
      <c r="F96" s="547">
        <v>119000</v>
      </c>
      <c r="G96" s="548">
        <v>2522800</v>
      </c>
      <c r="H96" s="549">
        <v>223988.84563952437</v>
      </c>
    </row>
    <row r="97" spans="2:8">
      <c r="B97" s="488" t="s">
        <v>636</v>
      </c>
      <c r="C97" s="488" t="s">
        <v>527</v>
      </c>
      <c r="D97" s="546">
        <v>-38.152305555555557</v>
      </c>
      <c r="E97" s="546">
        <v>-58.741863888888886</v>
      </c>
      <c r="F97" s="547">
        <v>44900</v>
      </c>
      <c r="G97" s="548">
        <v>951880</v>
      </c>
      <c r="H97" s="549">
        <v>84513.438396761718</v>
      </c>
    </row>
    <row r="98" spans="2:8">
      <c r="B98" s="488" t="s">
        <v>636</v>
      </c>
      <c r="C98" s="488" t="s">
        <v>508</v>
      </c>
      <c r="D98" s="546">
        <v>-34.524011111111108</v>
      </c>
      <c r="E98" s="546">
        <v>-59.118974999999999</v>
      </c>
      <c r="F98" s="547">
        <v>152000</v>
      </c>
      <c r="G98" s="548">
        <v>3222400</v>
      </c>
      <c r="H98" s="549">
        <v>286103.39947233361</v>
      </c>
    </row>
    <row r="99" spans="2:8">
      <c r="B99" s="488" t="s">
        <v>636</v>
      </c>
      <c r="C99" s="488" t="s">
        <v>338</v>
      </c>
      <c r="D99" s="546">
        <v>-34.470658333333333</v>
      </c>
      <c r="E99" s="546">
        <v>-58.730894444444445</v>
      </c>
      <c r="F99" s="547">
        <v>271900</v>
      </c>
      <c r="G99" s="548">
        <v>5764280</v>
      </c>
      <c r="H99" s="549">
        <v>511786.27839820733</v>
      </c>
    </row>
    <row r="100" spans="2:8">
      <c r="B100" s="488" t="s">
        <v>636</v>
      </c>
      <c r="C100" s="488" t="s">
        <v>370</v>
      </c>
      <c r="D100" s="546">
        <v>-37.4473117</v>
      </c>
      <c r="E100" s="546">
        <v>-57.756341999999997</v>
      </c>
      <c r="F100" s="547">
        <v>10000</v>
      </c>
      <c r="G100" s="548">
        <v>212000</v>
      </c>
      <c r="H100" s="549">
        <v>18822.592070548264</v>
      </c>
    </row>
    <row r="101" spans="2:8">
      <c r="B101" s="488" t="s">
        <v>636</v>
      </c>
      <c r="C101" s="488" t="s">
        <v>365</v>
      </c>
      <c r="D101" s="546">
        <v>-34.81124166666666</v>
      </c>
      <c r="E101" s="546">
        <v>-58.84384444444445</v>
      </c>
      <c r="F101" s="547">
        <v>8500</v>
      </c>
      <c r="G101" s="548">
        <v>180200</v>
      </c>
      <c r="H101" s="549">
        <v>15999.203259966025</v>
      </c>
    </row>
    <row r="102" spans="2:8">
      <c r="B102" s="488" t="s">
        <v>636</v>
      </c>
      <c r="C102" s="488" t="s">
        <v>392</v>
      </c>
      <c r="D102" s="546">
        <v>-34.604961111111109</v>
      </c>
      <c r="E102" s="546">
        <v>-59.423499999999997</v>
      </c>
      <c r="F102" s="547">
        <v>38000</v>
      </c>
      <c r="G102" s="548">
        <v>805600</v>
      </c>
      <c r="H102" s="549">
        <v>71525.849868083402</v>
      </c>
    </row>
    <row r="103" spans="2:8">
      <c r="B103" s="488" t="s">
        <v>636</v>
      </c>
      <c r="C103" s="488" t="s">
        <v>332</v>
      </c>
      <c r="D103" s="546">
        <v>-34.713883333333335</v>
      </c>
      <c r="E103" s="546">
        <v>-58.707011111111115</v>
      </c>
      <c r="F103" s="547">
        <v>7900</v>
      </c>
      <c r="G103" s="548">
        <v>167480</v>
      </c>
      <c r="H103" s="549">
        <v>14869.84773573313</v>
      </c>
    </row>
    <row r="104" spans="2:8">
      <c r="B104" s="488" t="s">
        <v>636</v>
      </c>
      <c r="C104" s="488" t="s">
        <v>417</v>
      </c>
      <c r="D104" s="546">
        <v>-35.456411000000003</v>
      </c>
      <c r="E104" s="546">
        <v>-58.842593000000001</v>
      </c>
      <c r="F104" s="547">
        <v>60000</v>
      </c>
      <c r="G104" s="548">
        <v>1272000</v>
      </c>
      <c r="H104" s="549">
        <v>112935.55242328958</v>
      </c>
    </row>
    <row r="105" spans="2:8">
      <c r="B105" s="488" t="s">
        <v>636</v>
      </c>
      <c r="C105" s="488" t="s">
        <v>461</v>
      </c>
      <c r="D105" s="546">
        <v>-38.972544444444445</v>
      </c>
      <c r="E105" s="546">
        <v>-61.325347222222227</v>
      </c>
      <c r="F105" s="547">
        <v>108750</v>
      </c>
      <c r="G105" s="548">
        <v>2305500</v>
      </c>
      <c r="H105" s="549">
        <v>204695.68876721238</v>
      </c>
    </row>
    <row r="106" spans="2:8">
      <c r="B106" s="488" t="s">
        <v>636</v>
      </c>
      <c r="C106" s="488" t="s">
        <v>331</v>
      </c>
      <c r="D106" s="546">
        <v>-34.535569444444441</v>
      </c>
      <c r="E106" s="546">
        <v>-58.82253333333334</v>
      </c>
      <c r="F106" s="547">
        <v>9400</v>
      </c>
      <c r="G106" s="548">
        <v>199280</v>
      </c>
      <c r="H106" s="549">
        <v>17693.236546315369</v>
      </c>
    </row>
    <row r="107" spans="2:8">
      <c r="B107" s="488" t="s">
        <v>636</v>
      </c>
      <c r="C107" s="488" t="s">
        <v>331</v>
      </c>
      <c r="D107" s="546">
        <v>-34.55963055555555</v>
      </c>
      <c r="E107" s="546">
        <v>-58.777444444444441</v>
      </c>
      <c r="F107" s="547">
        <v>6900</v>
      </c>
      <c r="G107" s="548">
        <v>146280</v>
      </c>
      <c r="H107" s="549">
        <v>12987.588528678303</v>
      </c>
    </row>
    <row r="108" spans="2:8">
      <c r="B108" s="488" t="s">
        <v>636</v>
      </c>
      <c r="C108" s="488" t="s">
        <v>558</v>
      </c>
      <c r="D108" s="546">
        <v>-34.66663611111111</v>
      </c>
      <c r="E108" s="546">
        <v>-58.632302777777781</v>
      </c>
      <c r="F108" s="547">
        <v>19500</v>
      </c>
      <c r="G108" s="548">
        <v>413400</v>
      </c>
      <c r="H108" s="549">
        <v>36704.054537569114</v>
      </c>
    </row>
    <row r="109" spans="2:8">
      <c r="B109" s="488" t="s">
        <v>636</v>
      </c>
      <c r="C109" s="488" t="s">
        <v>395</v>
      </c>
      <c r="D109" s="546">
        <v>-34.954952777777784</v>
      </c>
      <c r="E109" s="546">
        <v>-59.216436111111115</v>
      </c>
      <c r="F109" s="547">
        <v>75000</v>
      </c>
      <c r="G109" s="548">
        <v>1590000</v>
      </c>
      <c r="H109" s="549">
        <v>141169.44052911198</v>
      </c>
    </row>
    <row r="110" spans="2:8">
      <c r="B110" s="488" t="s">
        <v>636</v>
      </c>
      <c r="C110" s="488" t="s">
        <v>565</v>
      </c>
      <c r="D110" s="546">
        <v>-38.51745833333333</v>
      </c>
      <c r="E110" s="546">
        <v>-58.829888888888895</v>
      </c>
      <c r="F110" s="547">
        <v>90000</v>
      </c>
      <c r="G110" s="548">
        <v>1908000</v>
      </c>
      <c r="H110" s="549">
        <v>169403.32863493438</v>
      </c>
    </row>
    <row r="111" spans="2:8">
      <c r="B111" s="488" t="s">
        <v>636</v>
      </c>
      <c r="C111" s="488" t="s">
        <v>507</v>
      </c>
      <c r="D111" s="546">
        <v>-36.841363888888893</v>
      </c>
      <c r="E111" s="546">
        <v>-60.342166666666671</v>
      </c>
      <c r="F111" s="547">
        <v>117300</v>
      </c>
      <c r="G111" s="548">
        <v>2486760</v>
      </c>
      <c r="H111" s="549">
        <v>220789.00498753114</v>
      </c>
    </row>
    <row r="112" spans="2:8">
      <c r="B112" s="488" t="s">
        <v>636</v>
      </c>
      <c r="C112" s="488" t="s">
        <v>467</v>
      </c>
      <c r="D112" s="546">
        <v>-39.575966000000001</v>
      </c>
      <c r="E112" s="546">
        <v>-62.658389999999997</v>
      </c>
      <c r="F112" s="547">
        <v>33600</v>
      </c>
      <c r="G112" s="548">
        <v>712320</v>
      </c>
      <c r="H112" s="549">
        <v>63243.909357042168</v>
      </c>
    </row>
    <row r="113" spans="2:8">
      <c r="B113" s="488" t="s">
        <v>636</v>
      </c>
      <c r="C113" s="488" t="s">
        <v>435</v>
      </c>
      <c r="D113" s="546">
        <v>-36.249158333333334</v>
      </c>
      <c r="E113" s="546">
        <v>-63.165461111111107</v>
      </c>
      <c r="F113" s="547">
        <v>46000</v>
      </c>
      <c r="G113" s="548">
        <v>975200</v>
      </c>
      <c r="H113" s="549">
        <v>86583.923524522019</v>
      </c>
    </row>
    <row r="114" spans="2:8">
      <c r="B114" s="488" t="s">
        <v>636</v>
      </c>
      <c r="C114" s="488" t="s">
        <v>337</v>
      </c>
      <c r="D114" s="546">
        <v>-34.403736111111108</v>
      </c>
      <c r="E114" s="546">
        <v>-58.790055555555554</v>
      </c>
      <c r="F114" s="547">
        <v>65200</v>
      </c>
      <c r="G114" s="548">
        <v>1382240</v>
      </c>
      <c r="H114" s="549">
        <v>122723.30029997468</v>
      </c>
    </row>
    <row r="115" spans="2:8">
      <c r="B115" s="488" t="s">
        <v>636</v>
      </c>
      <c r="C115" s="488" t="s">
        <v>337</v>
      </c>
      <c r="D115" s="546">
        <v>-34.430638888888886</v>
      </c>
      <c r="E115" s="546">
        <v>-58.850324999999998</v>
      </c>
      <c r="F115" s="547">
        <v>46100</v>
      </c>
      <c r="G115" s="548">
        <v>977320</v>
      </c>
      <c r="H115" s="549">
        <v>86772.149445227507</v>
      </c>
    </row>
    <row r="116" spans="2:8">
      <c r="B116" s="488" t="s">
        <v>636</v>
      </c>
      <c r="C116" s="488" t="s">
        <v>560</v>
      </c>
      <c r="D116" s="546">
        <v>-34.884072222222223</v>
      </c>
      <c r="E116" s="546">
        <v>-58.308463888888888</v>
      </c>
      <c r="F116" s="547">
        <v>30000</v>
      </c>
      <c r="G116" s="548">
        <v>636000</v>
      </c>
      <c r="H116" s="549">
        <v>56467.776211644792</v>
      </c>
    </row>
    <row r="117" spans="2:8">
      <c r="B117" s="488" t="s">
        <v>636</v>
      </c>
      <c r="C117" s="488" t="s">
        <v>567</v>
      </c>
      <c r="D117" s="546">
        <v>-37.545152777777773</v>
      </c>
      <c r="E117" s="546">
        <v>-62.819941666666672</v>
      </c>
      <c r="F117" s="547">
        <v>19000</v>
      </c>
      <c r="G117" s="548">
        <v>402800</v>
      </c>
      <c r="H117" s="549">
        <v>35762.924934041701</v>
      </c>
    </row>
    <row r="118" spans="2:8">
      <c r="B118" s="488" t="s">
        <v>636</v>
      </c>
      <c r="C118" s="488" t="s">
        <v>573</v>
      </c>
      <c r="D118" s="546">
        <v>-35.434847222222217</v>
      </c>
      <c r="E118" s="546">
        <v>-57.334713888888892</v>
      </c>
      <c r="F118" s="547">
        <v>31600</v>
      </c>
      <c r="G118" s="548">
        <v>669920</v>
      </c>
      <c r="H118" s="549">
        <v>59479.390942932521</v>
      </c>
    </row>
    <row r="119" spans="2:8">
      <c r="B119" s="488" t="s">
        <v>636</v>
      </c>
      <c r="C119" s="488" t="s">
        <v>333</v>
      </c>
      <c r="D119" s="546">
        <v>-34.751202777777777</v>
      </c>
      <c r="E119" s="546">
        <v>-58.31153333333333</v>
      </c>
      <c r="F119" s="547">
        <v>22200</v>
      </c>
      <c r="G119" s="548">
        <v>470640</v>
      </c>
      <c r="H119" s="549">
        <v>41786.154396617152</v>
      </c>
    </row>
    <row r="120" spans="2:8">
      <c r="B120" s="488" t="s">
        <v>636</v>
      </c>
      <c r="C120" s="488" t="s">
        <v>333</v>
      </c>
      <c r="D120" s="546">
        <v>-34.75384722222222</v>
      </c>
      <c r="E120" s="546">
        <v>-58.314683333333328</v>
      </c>
      <c r="F120" s="547">
        <v>25000</v>
      </c>
      <c r="G120" s="548">
        <v>530000</v>
      </c>
      <c r="H120" s="549">
        <v>47056.480176370664</v>
      </c>
    </row>
    <row r="121" spans="2:8">
      <c r="B121" s="488" t="s">
        <v>636</v>
      </c>
      <c r="C121" s="488" t="s">
        <v>382</v>
      </c>
      <c r="D121" s="546">
        <v>-33.459722222222226</v>
      </c>
      <c r="E121" s="546">
        <v>-60.065936111111107</v>
      </c>
      <c r="F121" s="547">
        <v>92000</v>
      </c>
      <c r="G121" s="548">
        <v>1950400</v>
      </c>
      <c r="H121" s="549">
        <v>173167.84704904404</v>
      </c>
    </row>
    <row r="122" spans="2:8">
      <c r="B122" s="488" t="s">
        <v>636</v>
      </c>
      <c r="C122" s="488" t="s">
        <v>391</v>
      </c>
      <c r="D122" s="546">
        <v>-36.780408333333334</v>
      </c>
      <c r="E122" s="546">
        <v>-59.061258333333328</v>
      </c>
      <c r="F122" s="547">
        <v>12000</v>
      </c>
      <c r="G122" s="548">
        <v>254400</v>
      </c>
      <c r="H122" s="549">
        <v>22587.110484657918</v>
      </c>
    </row>
    <row r="123" spans="2:8">
      <c r="B123" s="488" t="s">
        <v>636</v>
      </c>
      <c r="C123" s="488" t="s">
        <v>568</v>
      </c>
      <c r="D123" s="546">
        <v>-35.480499999999999</v>
      </c>
      <c r="E123" s="546">
        <v>-62.945005555555554</v>
      </c>
      <c r="F123" s="547">
        <v>36200</v>
      </c>
      <c r="G123" s="548">
        <v>767440</v>
      </c>
      <c r="H123" s="549">
        <v>68137.783295384725</v>
      </c>
    </row>
    <row r="124" spans="2:8">
      <c r="B124" s="488" t="s">
        <v>636</v>
      </c>
      <c r="C124" s="488" t="s">
        <v>380</v>
      </c>
      <c r="D124" s="546">
        <v>-34.206450000000004</v>
      </c>
      <c r="E124" s="546">
        <v>-60.696411111111111</v>
      </c>
      <c r="F124" s="547">
        <v>16000</v>
      </c>
      <c r="G124" s="548">
        <v>339200</v>
      </c>
      <c r="H124" s="549">
        <v>30116.147312877223</v>
      </c>
    </row>
    <row r="125" spans="2:8">
      <c r="B125" s="488" t="s">
        <v>636</v>
      </c>
      <c r="C125" s="488" t="s">
        <v>380</v>
      </c>
      <c r="D125" s="546">
        <v>-34.212559200000001</v>
      </c>
      <c r="E125" s="546">
        <v>-60.698613000000002</v>
      </c>
      <c r="F125" s="547">
        <v>40000</v>
      </c>
      <c r="G125" s="548">
        <v>848000</v>
      </c>
      <c r="H125" s="549">
        <v>75290.368282193056</v>
      </c>
    </row>
    <row r="126" spans="2:8">
      <c r="B126" s="488" t="s">
        <v>636</v>
      </c>
      <c r="C126" s="488" t="s">
        <v>536</v>
      </c>
      <c r="D126" s="546">
        <v>-35.396255555555555</v>
      </c>
      <c r="E126" s="546">
        <v>-59.313766666666666</v>
      </c>
      <c r="F126" s="547">
        <v>18000</v>
      </c>
      <c r="G126" s="548">
        <v>381600</v>
      </c>
      <c r="H126" s="549">
        <v>33880.665726986874</v>
      </c>
    </row>
    <row r="127" spans="2:8">
      <c r="B127" s="488" t="s">
        <v>636</v>
      </c>
      <c r="C127" s="488" t="s">
        <v>423</v>
      </c>
      <c r="D127" s="546">
        <v>-34.259911111111109</v>
      </c>
      <c r="E127" s="546">
        <v>-59.442227777777774</v>
      </c>
      <c r="F127" s="547">
        <v>85000</v>
      </c>
      <c r="G127" s="548">
        <v>1802000</v>
      </c>
      <c r="H127" s="549">
        <v>159992.03259966025</v>
      </c>
    </row>
    <row r="128" spans="2:8">
      <c r="B128" s="488" t="s">
        <v>636</v>
      </c>
      <c r="C128" s="488" t="s">
        <v>523</v>
      </c>
      <c r="D128" s="546">
        <v>-34.452380555555557</v>
      </c>
      <c r="E128" s="546">
        <v>-59.467552777777783</v>
      </c>
      <c r="F128" s="547">
        <v>63500</v>
      </c>
      <c r="G128" s="548">
        <v>1346200</v>
      </c>
      <c r="H128" s="549">
        <v>119523.45964798148</v>
      </c>
    </row>
    <row r="129" spans="2:8">
      <c r="B129" s="488" t="s">
        <v>636</v>
      </c>
      <c r="C129" s="488" t="s">
        <v>566</v>
      </c>
      <c r="D129" s="546">
        <v>-37.766111111111108</v>
      </c>
      <c r="E129" s="546">
        <v>-62.339663888888893</v>
      </c>
      <c r="F129" s="547">
        <v>23000</v>
      </c>
      <c r="G129" s="548">
        <v>487600</v>
      </c>
      <c r="H129" s="549">
        <v>43291.961762261009</v>
      </c>
    </row>
    <row r="130" spans="2:8">
      <c r="B130" s="488" t="s">
        <v>636</v>
      </c>
      <c r="C130" s="488" t="s">
        <v>566</v>
      </c>
      <c r="D130" s="546">
        <v>-37.560322999999997</v>
      </c>
      <c r="E130" s="546">
        <v>-62.396458000000003</v>
      </c>
      <c r="F130" s="547">
        <v>12000</v>
      </c>
      <c r="G130" s="548">
        <v>254400</v>
      </c>
      <c r="H130" s="549">
        <v>22587.110484657918</v>
      </c>
    </row>
    <row r="131" spans="2:8">
      <c r="B131" s="488" t="s">
        <v>636</v>
      </c>
      <c r="C131" s="488" t="s">
        <v>404</v>
      </c>
      <c r="D131" s="546">
        <v>-35.674713888888888</v>
      </c>
      <c r="E131" s="546">
        <v>-59.761377777777781</v>
      </c>
      <c r="F131" s="547">
        <v>146000</v>
      </c>
      <c r="G131" s="548">
        <v>3095200</v>
      </c>
      <c r="H131" s="549">
        <v>274809.84423000464</v>
      </c>
    </row>
    <row r="132" spans="2:8">
      <c r="B132" s="488" t="s">
        <v>636</v>
      </c>
      <c r="C132" s="488" t="s">
        <v>543</v>
      </c>
      <c r="D132" s="546">
        <v>-36.759948000000001</v>
      </c>
      <c r="E132" s="546">
        <v>-62.981444000000003</v>
      </c>
      <c r="F132" s="547">
        <v>130000</v>
      </c>
      <c r="G132" s="548">
        <v>2756000</v>
      </c>
      <c r="H132" s="549">
        <v>244693.69691712744</v>
      </c>
    </row>
    <row r="133" spans="2:8">
      <c r="B133" s="488" t="s">
        <v>636</v>
      </c>
      <c r="C133" s="488" t="s">
        <v>422</v>
      </c>
      <c r="D133" s="546">
        <v>-38.378808333333332</v>
      </c>
      <c r="E133" s="546">
        <v>-59.607399999999998</v>
      </c>
      <c r="F133" s="547">
        <v>25000</v>
      </c>
      <c r="G133" s="548">
        <v>530000</v>
      </c>
      <c r="H133" s="549">
        <v>47056.480176370664</v>
      </c>
    </row>
    <row r="134" spans="2:8">
      <c r="B134" s="488" t="s">
        <v>636</v>
      </c>
      <c r="C134" s="488" t="s">
        <v>346</v>
      </c>
      <c r="D134" s="546">
        <v>-34.461125000000003</v>
      </c>
      <c r="E134" s="546">
        <v>-58.587211111111117</v>
      </c>
      <c r="F134" s="547">
        <v>91000</v>
      </c>
      <c r="G134" s="548">
        <v>1929200</v>
      </c>
      <c r="H134" s="549">
        <v>171285.58784198921</v>
      </c>
    </row>
    <row r="135" spans="2:8">
      <c r="B135" s="488" t="s">
        <v>636</v>
      </c>
      <c r="C135" s="488" t="s">
        <v>412</v>
      </c>
      <c r="D135" s="546">
        <v>-33.705761111111116</v>
      </c>
      <c r="E135" s="546">
        <v>-59.63762222222222</v>
      </c>
      <c r="F135" s="547">
        <v>163000</v>
      </c>
      <c r="G135" s="548">
        <v>3455600</v>
      </c>
      <c r="H135" s="549">
        <v>306808.25074993673</v>
      </c>
    </row>
    <row r="136" spans="2:8">
      <c r="B136" s="488" t="s">
        <v>636</v>
      </c>
      <c r="C136" s="488" t="s">
        <v>397</v>
      </c>
      <c r="D136" s="546">
        <v>-34.758244444444443</v>
      </c>
      <c r="E136" s="546">
        <v>-59.704125000000005</v>
      </c>
      <c r="F136" s="547">
        <v>17000</v>
      </c>
      <c r="G136" s="548">
        <v>360400</v>
      </c>
      <c r="H136" s="549">
        <v>31998.40651993205</v>
      </c>
    </row>
    <row r="137" spans="2:8">
      <c r="B137" s="488" t="s">
        <v>636</v>
      </c>
      <c r="C137" s="488" t="s">
        <v>397</v>
      </c>
      <c r="D137" s="546">
        <v>-34.759524399999997</v>
      </c>
      <c r="E137" s="546">
        <v>-59.68927</v>
      </c>
      <c r="F137" s="547">
        <v>20000</v>
      </c>
      <c r="G137" s="548">
        <v>424000</v>
      </c>
      <c r="H137" s="549">
        <v>37645.184141096528</v>
      </c>
    </row>
    <row r="138" spans="2:8">
      <c r="B138" s="488" t="s">
        <v>636</v>
      </c>
      <c r="C138" s="488" t="s">
        <v>546</v>
      </c>
      <c r="D138" s="546">
        <v>-36.353127777777779</v>
      </c>
      <c r="E138" s="546">
        <v>-60.01209166666667</v>
      </c>
      <c r="F138" s="547">
        <v>30000</v>
      </c>
      <c r="G138" s="548">
        <v>636000</v>
      </c>
      <c r="H138" s="549">
        <v>56467.776211644792</v>
      </c>
    </row>
    <row r="139" spans="2:8">
      <c r="B139" s="488" t="s">
        <v>636</v>
      </c>
      <c r="C139" s="488" t="s">
        <v>446</v>
      </c>
      <c r="D139" s="546">
        <v>-36.527256000000001</v>
      </c>
      <c r="E139" s="546">
        <v>-57.337784999999997</v>
      </c>
      <c r="F139" s="547">
        <v>5000</v>
      </c>
      <c r="G139" s="548">
        <v>106000</v>
      </c>
      <c r="H139" s="549">
        <v>9411.296035274132</v>
      </c>
    </row>
    <row r="140" spans="2:8">
      <c r="B140" s="488" t="s">
        <v>636</v>
      </c>
      <c r="C140" s="488" t="s">
        <v>361</v>
      </c>
      <c r="D140" s="546">
        <v>-38.100030555555556</v>
      </c>
      <c r="E140" s="546">
        <v>-62.250795277777776</v>
      </c>
      <c r="F140" s="547">
        <v>120000</v>
      </c>
      <c r="G140" s="548">
        <v>2544000</v>
      </c>
      <c r="H140" s="549">
        <v>225871.10484657917</v>
      </c>
    </row>
    <row r="141" spans="2:8">
      <c r="B141" s="488" t="s">
        <v>636</v>
      </c>
      <c r="C141" s="488" t="s">
        <v>361</v>
      </c>
      <c r="D141" s="546">
        <v>-38.164764599999998</v>
      </c>
      <c r="E141" s="546">
        <v>-61.780417999999997</v>
      </c>
      <c r="F141" s="547">
        <v>40000</v>
      </c>
      <c r="G141" s="548">
        <v>848000</v>
      </c>
      <c r="H141" s="549">
        <v>75290.368282193056</v>
      </c>
    </row>
    <row r="142" spans="2:8">
      <c r="B142" s="488" t="s">
        <v>636</v>
      </c>
      <c r="C142" s="488" t="s">
        <v>432</v>
      </c>
      <c r="D142" s="546">
        <v>-35.938947222222218</v>
      </c>
      <c r="E142" s="546">
        <v>-62.697074999999998</v>
      </c>
      <c r="F142" s="547">
        <v>130000</v>
      </c>
      <c r="G142" s="548">
        <v>2756000</v>
      </c>
      <c r="H142" s="549">
        <v>244693.69691712744</v>
      </c>
    </row>
    <row r="143" spans="2:8">
      <c r="B143" s="488" t="s">
        <v>636</v>
      </c>
      <c r="C143" s="488" t="s">
        <v>342</v>
      </c>
      <c r="D143" s="546">
        <v>-34.585330555555558</v>
      </c>
      <c r="E143" s="546">
        <v>-58.615611111111114</v>
      </c>
      <c r="F143" s="547">
        <v>17400</v>
      </c>
      <c r="G143" s="548">
        <v>368880</v>
      </c>
      <c r="H143" s="549">
        <v>32751.310202753983</v>
      </c>
    </row>
    <row r="144" spans="2:8">
      <c r="B144" s="488" t="s">
        <v>636</v>
      </c>
      <c r="C144" s="488" t="s">
        <v>434</v>
      </c>
      <c r="D144" s="546">
        <v>-36.45012777777778</v>
      </c>
      <c r="E144" s="546">
        <v>-62.840383333333335</v>
      </c>
      <c r="F144" s="547">
        <v>85000</v>
      </c>
      <c r="G144" s="548">
        <v>1802000</v>
      </c>
      <c r="H144" s="549">
        <v>159992.03259966025</v>
      </c>
    </row>
    <row r="145" spans="2:8">
      <c r="B145" s="488" t="s">
        <v>636</v>
      </c>
      <c r="C145" s="488" t="s">
        <v>506</v>
      </c>
      <c r="D145" s="546">
        <v>-34.119405555555559</v>
      </c>
      <c r="E145" s="546">
        <v>-59.040777777777777</v>
      </c>
      <c r="F145" s="547">
        <v>14000</v>
      </c>
      <c r="G145" s="548">
        <v>296800</v>
      </c>
      <c r="H145" s="549">
        <v>26351.628898767573</v>
      </c>
    </row>
    <row r="146" spans="2:8">
      <c r="B146" s="556"/>
      <c r="C146" s="556"/>
      <c r="D146" s="557"/>
      <c r="E146" s="557"/>
      <c r="F146" s="558"/>
      <c r="G146" s="559">
        <f>+SUM(Tabla24[Costo de Cierre Técnico de BCA (US$)])</f>
        <v>177944320</v>
      </c>
    </row>
    <row r="150" spans="2:8">
      <c r="C150" s="550"/>
    </row>
    <row r="151" spans="2:8">
      <c r="C151" s="550"/>
    </row>
    <row r="152" spans="2:8">
      <c r="C152" s="550"/>
    </row>
    <row r="153" spans="2:8">
      <c r="C153" s="550"/>
    </row>
  </sheetData>
  <mergeCells count="1">
    <mergeCell ref="B3:H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C102"/>
  <sheetViews>
    <sheetView topLeftCell="A52" workbookViewId="0"/>
  </sheetViews>
  <sheetFormatPr baseColWidth="10" defaultRowHeight="15"/>
  <cols>
    <col min="1" max="1" width="27.28515625" bestFit="1" customWidth="1"/>
    <col min="2" max="2" width="12.7109375" bestFit="1" customWidth="1"/>
    <col min="3" max="3" width="17.140625" bestFit="1" customWidth="1"/>
  </cols>
  <sheetData>
    <row r="1" spans="1:3">
      <c r="A1" s="553" t="s">
        <v>646</v>
      </c>
      <c r="B1" s="555" t="s">
        <v>647</v>
      </c>
      <c r="C1" s="555" t="s">
        <v>648</v>
      </c>
    </row>
    <row r="2" spans="1:3">
      <c r="A2" s="551" t="s">
        <v>407</v>
      </c>
      <c r="B2" s="554">
        <f>SUMIFS(Tabla24[Costo de Cierre Técnico de BCA (US$)],Tabla24[Localidad],Verif_Basurales!A2)</f>
        <v>3112160</v>
      </c>
      <c r="C2" s="554">
        <f>SUMIFS(Tabla24[Costo anual de Manteniemiento Post-cierre (US$)],Tabla24[Localidad],Verif_Basurales!A2)</f>
        <v>276315.65159564855</v>
      </c>
    </row>
    <row r="3" spans="1:3">
      <c r="A3" s="551" t="s">
        <v>409</v>
      </c>
      <c r="B3" s="554">
        <f>SUMIFS(Tabla24[Costo de Cierre Técnico de BCA (US$)],Tabla24[Localidad],Verif_Basurales!A3)</f>
        <v>290440</v>
      </c>
      <c r="C3" s="554">
        <f>SUMIFS(Tabla24[Costo anual de Manteniemiento Post-cierre (US$)],Tabla24[Localidad],Verif_Basurales!A3)</f>
        <v>25786.951136651125</v>
      </c>
    </row>
    <row r="4" spans="1:3">
      <c r="A4" s="552" t="s">
        <v>539</v>
      </c>
      <c r="B4" s="554">
        <f>SUMIFS(Tabla24[Costo de Cierre Técnico de BCA (US$)],Tabla24[Localidad],Verif_Basurales!A4)</f>
        <v>0</v>
      </c>
      <c r="C4" s="554">
        <f>SUMIFS(Tabla24[Costo anual de Manteniemiento Post-cierre (US$)],Tabla24[Localidad],Verif_Basurales!A4)</f>
        <v>0</v>
      </c>
    </row>
    <row r="5" spans="1:3">
      <c r="A5" s="551" t="s">
        <v>637</v>
      </c>
      <c r="B5" s="554">
        <f>SUMIFS(Tabla24[Costo de Cierre Técnico de BCA (US$)],Tabla24[Localidad],Verif_Basurales!A5)</f>
        <v>0</v>
      </c>
      <c r="C5" s="554">
        <f>SUMIFS(Tabla24[Costo anual de Manteniemiento Post-cierre (US$)],Tabla24[Localidad],Verif_Basurales!A5)</f>
        <v>0</v>
      </c>
    </row>
    <row r="6" spans="1:3">
      <c r="A6" s="552" t="s">
        <v>334</v>
      </c>
      <c r="B6" s="554">
        <f>SUMIFS(Tabla24[Costo de Cierre Técnico de BCA (US$)],Tabla24[Localidad],Verif_Basurales!A6)</f>
        <v>2798400</v>
      </c>
      <c r="C6" s="554">
        <f>SUMIFS(Tabla24[Costo anual de Manteniemiento Post-cierre (US$)],Tabla24[Localidad],Verif_Basurales!A6)</f>
        <v>248458.21533123709</v>
      </c>
    </row>
    <row r="7" spans="1:3">
      <c r="A7" s="552" t="s">
        <v>379</v>
      </c>
      <c r="B7" s="554">
        <f>SUMIFS(Tabla24[Costo de Cierre Técnico de BCA (US$)],Tabla24[Localidad],Verif_Basurales!A7)</f>
        <v>2650000</v>
      </c>
      <c r="C7" s="554">
        <f>SUMIFS(Tabla24[Costo anual de Manteniemiento Post-cierre (US$)],Tabla24[Localidad],Verif_Basurales!A7)</f>
        <v>235282.40088185333</v>
      </c>
    </row>
    <row r="8" spans="1:3">
      <c r="A8" s="552" t="s">
        <v>340</v>
      </c>
      <c r="B8" s="554">
        <f>SUMIFS(Tabla24[Costo de Cierre Técnico de BCA (US$)],Tabla24[Localidad],Verif_Basurales!A8)</f>
        <v>91160</v>
      </c>
      <c r="C8" s="554">
        <f>SUMIFS(Tabla24[Costo anual de Manteniemiento Post-cierre (US$)],Tabla24[Localidad],Verif_Basurales!A8)</f>
        <v>8093.7145903357541</v>
      </c>
    </row>
    <row r="9" spans="1:3">
      <c r="A9" s="551" t="s">
        <v>468</v>
      </c>
      <c r="B9" s="554">
        <f>SUMIFS(Tabla24[Costo de Cierre Técnico de BCA (US$)],Tabla24[Localidad],Verif_Basurales!A9)</f>
        <v>1378000</v>
      </c>
      <c r="C9" s="554">
        <f>SUMIFS(Tabla24[Costo anual de Manteniemiento Post-cierre (US$)],Tabla24[Localidad],Verif_Basurales!A9)</f>
        <v>122346.84845856372</v>
      </c>
    </row>
    <row r="10" spans="1:3">
      <c r="A10" s="552" t="s">
        <v>436</v>
      </c>
      <c r="B10" s="554">
        <f>SUMIFS(Tabla24[Costo de Cierre Técnico de BCA (US$)],Tabla24[Localidad],Verif_Basurales!A10)</f>
        <v>678400</v>
      </c>
      <c r="C10" s="554">
        <f>SUMIFS(Tabla24[Costo anual de Manteniemiento Post-cierre (US$)],Tabla24[Localidad],Verif_Basurales!A10)</f>
        <v>60232.294625754446</v>
      </c>
    </row>
    <row r="11" spans="1:3">
      <c r="A11" s="551" t="s">
        <v>414</v>
      </c>
      <c r="B11" s="554">
        <f>SUMIFS(Tabla24[Costo de Cierre Técnico de BCA (US$)],Tabla24[Localidad],Verif_Basurales!A11)</f>
        <v>1844400</v>
      </c>
      <c r="C11" s="554">
        <f>SUMIFS(Tabla24[Costo anual de Manteniemiento Post-cierre (US$)],Tabla24[Localidad],Verif_Basurales!A11)</f>
        <v>163756.5510137699</v>
      </c>
    </row>
    <row r="12" spans="1:3">
      <c r="A12" s="552" t="s">
        <v>526</v>
      </c>
      <c r="B12" s="554">
        <f>SUMIFS(Tabla24[Costo de Cierre Técnico de BCA (US$)],Tabla24[Localidad],Verif_Basurales!A12)</f>
        <v>1038800</v>
      </c>
      <c r="C12" s="554">
        <f>SUMIFS(Tabla24[Costo anual de Manteniemiento Post-cierre (US$)],Tabla24[Localidad],Verif_Basurales!A12)</f>
        <v>92230.7011456865</v>
      </c>
    </row>
    <row r="13" spans="1:3">
      <c r="A13" s="551" t="s">
        <v>339</v>
      </c>
      <c r="B13" s="554">
        <f>SUMIFS(Tabla24[Costo de Cierre Técnico de BCA (US$)],Tabla24[Localidad],Verif_Basurales!A13)</f>
        <v>1823200</v>
      </c>
      <c r="C13" s="554">
        <f>SUMIFS(Tabla24[Costo anual de Manteniemiento Post-cierre (US$)],Tabla24[Localidad],Verif_Basurales!A13)</f>
        <v>161874.29180671507</v>
      </c>
    </row>
    <row r="14" spans="1:3">
      <c r="A14" s="551" t="s">
        <v>352</v>
      </c>
      <c r="B14" s="554">
        <f>SUMIFS(Tabla24[Costo de Cierre Técnico de BCA (US$)],Tabla24[Localidad],Verif_Basurales!A14)</f>
        <v>2141200</v>
      </c>
      <c r="C14" s="554">
        <f>SUMIFS(Tabla24[Costo anual de Manteniemiento Post-cierre (US$)],Tabla24[Localidad],Verif_Basurales!A14)</f>
        <v>190108.17991253748</v>
      </c>
    </row>
    <row r="15" spans="1:3">
      <c r="A15" s="552" t="s">
        <v>517</v>
      </c>
      <c r="B15" s="554">
        <f>SUMIFS(Tabla24[Costo de Cierre Técnico de BCA (US$)],Tabla24[Localidad],Verif_Basurales!A15)</f>
        <v>0</v>
      </c>
      <c r="C15" s="554">
        <f>SUMIFS(Tabla24[Costo anual de Manteniemiento Post-cierre (US$)],Tabla24[Localidad],Verif_Basurales!A15)</f>
        <v>0</v>
      </c>
    </row>
    <row r="16" spans="1:3">
      <c r="A16" s="551" t="s">
        <v>402</v>
      </c>
      <c r="B16" s="554">
        <f>SUMIFS(Tabla24[Costo de Cierre Técnico de BCA (US$)],Tabla24[Localidad],Verif_Basurales!A16)</f>
        <v>1696000</v>
      </c>
      <c r="C16" s="554">
        <f>SUMIFS(Tabla24[Costo anual de Manteniemiento Post-cierre (US$)],Tabla24[Localidad],Verif_Basurales!A16)</f>
        <v>150580.73656438611</v>
      </c>
    </row>
    <row r="17" spans="1:3">
      <c r="A17" s="552" t="s">
        <v>519</v>
      </c>
      <c r="B17" s="554">
        <f>SUMIFS(Tabla24[Costo de Cierre Técnico de BCA (US$)],Tabla24[Localidad],Verif_Basurales!A17)</f>
        <v>0</v>
      </c>
      <c r="C17" s="554">
        <f>SUMIFS(Tabla24[Costo anual de Manteniemiento Post-cierre (US$)],Tabla24[Localidad],Verif_Basurales!A17)</f>
        <v>0</v>
      </c>
    </row>
    <row r="18" spans="1:3">
      <c r="A18" s="551" t="s">
        <v>638</v>
      </c>
      <c r="B18" s="554">
        <f>SUMIFS(Tabla24[Costo de Cierre Técnico de BCA (US$)],Tabla24[Localidad],Verif_Basurales!A18)</f>
        <v>0</v>
      </c>
      <c r="C18" s="554">
        <f>SUMIFS(Tabla24[Costo anual de Manteniemiento Post-cierre (US$)],Tabla24[Localidad],Verif_Basurales!A18)</f>
        <v>0</v>
      </c>
    </row>
    <row r="19" spans="1:3">
      <c r="A19" s="551" t="s">
        <v>624</v>
      </c>
      <c r="B19" s="554">
        <f>SUMIFS(Tabla24[Costo de Cierre Técnico de BCA (US$)],Tabla24[Localidad],Verif_Basurales!A19)</f>
        <v>0</v>
      </c>
      <c r="C19" s="554">
        <f>SUMIFS(Tabla24[Costo anual de Manteniemiento Post-cierre (US$)],Tabla24[Localidad],Verif_Basurales!A19)</f>
        <v>0</v>
      </c>
    </row>
    <row r="20" spans="1:3">
      <c r="A20" s="552" t="s">
        <v>411</v>
      </c>
      <c r="B20" s="554">
        <f>SUMIFS(Tabla24[Costo de Cierre Técnico de BCA (US$)],Tabla24[Localidad],Verif_Basurales!A20)</f>
        <v>845880</v>
      </c>
      <c r="C20" s="554">
        <f>SUMIFS(Tabla24[Costo anual de Manteniemiento Post-cierre (US$)],Tabla24[Localidad],Verif_Basurales!A20)</f>
        <v>75102.142361487582</v>
      </c>
    </row>
    <row r="21" spans="1:3">
      <c r="A21" s="552" t="s">
        <v>440</v>
      </c>
      <c r="B21" s="554">
        <f>SUMIFS(Tabla24[Costo de Cierre Técnico de BCA (US$)],Tabla24[Localidad],Verif_Basurales!A21)</f>
        <v>763200</v>
      </c>
      <c r="C21" s="554">
        <f>SUMIFS(Tabla24[Costo anual de Manteniemiento Post-cierre (US$)],Tabla24[Localidad],Verif_Basurales!A21)</f>
        <v>67761.331453973748</v>
      </c>
    </row>
    <row r="22" spans="1:3">
      <c r="A22" s="551" t="s">
        <v>425</v>
      </c>
      <c r="B22" s="554">
        <f>SUMIFS(Tabla24[Costo de Cierre Técnico de BCA (US$)],Tabla24[Localidad],Verif_Basurales!A22)</f>
        <v>636000</v>
      </c>
      <c r="C22" s="554">
        <f>SUMIFS(Tabla24[Costo anual de Manteniemiento Post-cierre (US$)],Tabla24[Localidad],Verif_Basurales!A22)</f>
        <v>56467.776211644792</v>
      </c>
    </row>
    <row r="23" spans="1:3">
      <c r="A23" s="552" t="s">
        <v>444</v>
      </c>
      <c r="B23" s="554">
        <f>SUMIFS(Tabla24[Costo de Cierre Técnico de BCA (US$)],Tabla24[Localidad],Verif_Basurales!A23)</f>
        <v>2035200</v>
      </c>
      <c r="C23" s="554">
        <f>SUMIFS(Tabla24[Costo anual de Manteniemiento Post-cierre (US$)],Tabla24[Localidad],Verif_Basurales!A23)</f>
        <v>180696.88387726335</v>
      </c>
    </row>
    <row r="24" spans="1:3">
      <c r="A24" s="552" t="s">
        <v>385</v>
      </c>
      <c r="B24" s="554">
        <f>SUMIFS(Tabla24[Costo de Cierre Técnico de BCA (US$)],Tabla24[Localidad],Verif_Basurales!A24)</f>
        <v>1643000</v>
      </c>
      <c r="C24" s="554">
        <f>SUMIFS(Tabla24[Costo anual de Manteniemiento Post-cierre (US$)],Tabla24[Localidad],Verif_Basurales!A24)</f>
        <v>145875.08854674906</v>
      </c>
    </row>
    <row r="25" spans="1:3">
      <c r="A25" s="551" t="s">
        <v>516</v>
      </c>
      <c r="B25" s="554">
        <f>SUMIFS(Tabla24[Costo de Cierre Técnico de BCA (US$)],Tabla24[Localidad],Verif_Basurales!A25)</f>
        <v>3710000</v>
      </c>
      <c r="C25" s="554">
        <f>SUMIFS(Tabla24[Costo anual de Manteniemiento Post-cierre (US$)],Tabla24[Localidad],Verif_Basurales!A25)</f>
        <v>329395.36123459466</v>
      </c>
    </row>
    <row r="26" spans="1:3">
      <c r="A26" s="552" t="s">
        <v>400</v>
      </c>
      <c r="B26" s="554">
        <f>SUMIFS(Tabla24[Costo de Cierre Técnico de BCA (US$)],Tabla24[Localidad],Verif_Basurales!A26)</f>
        <v>2067000</v>
      </c>
      <c r="C26" s="554">
        <f>SUMIFS(Tabla24[Costo anual de Manteniemiento Post-cierre (US$)],Tabla24[Localidad],Verif_Basurales!A26)</f>
        <v>183520.27268784557</v>
      </c>
    </row>
    <row r="27" spans="1:3">
      <c r="A27" s="551" t="s">
        <v>522</v>
      </c>
      <c r="B27" s="554">
        <f>SUMIFS(Tabla24[Costo de Cierre Técnico de BCA (US$)],Tabla24[Localidad],Verif_Basurales!A27)</f>
        <v>1134200</v>
      </c>
      <c r="C27" s="554">
        <f>SUMIFS(Tabla24[Costo anual de Manteniemiento Post-cierre (US$)],Tabla24[Localidad],Verif_Basurales!A27)</f>
        <v>100700.86757743322</v>
      </c>
    </row>
    <row r="28" spans="1:3">
      <c r="A28" s="552" t="s">
        <v>463</v>
      </c>
      <c r="B28" s="554">
        <f>SUMIFS(Tabla24[Costo de Cierre Técnico de BCA (US$)],Tabla24[Localidad],Verif_Basurales!A28)</f>
        <v>3239360</v>
      </c>
      <c r="C28" s="554">
        <f>SUMIFS(Tabla24[Costo anual de Manteniemiento Post-cierre (US$)],Tabla24[Localidad],Verif_Basurales!A28)</f>
        <v>287609.20683797752</v>
      </c>
    </row>
    <row r="29" spans="1:3">
      <c r="A29" s="551" t="s">
        <v>454</v>
      </c>
      <c r="B29" s="554">
        <f>SUMIFS(Tabla24[Costo de Cierre Técnico de BCA (US$)],Tabla24[Localidad],Verif_Basurales!A29)</f>
        <v>3870060</v>
      </c>
      <c r="C29" s="554">
        <f>SUMIFS(Tabla24[Costo anual de Manteniemiento Post-cierre (US$)],Tabla24[Localidad],Verif_Basurales!A29)</f>
        <v>343606.41824785859</v>
      </c>
    </row>
    <row r="30" spans="1:3">
      <c r="A30" s="552" t="s">
        <v>639</v>
      </c>
      <c r="B30" s="554">
        <f>SUMIFS(Tabla24[Costo de Cierre Técnico de BCA (US$)],Tabla24[Localidad],Verif_Basurales!A30)</f>
        <v>0</v>
      </c>
      <c r="C30" s="554">
        <f>SUMIFS(Tabla24[Costo anual de Manteniemiento Post-cierre (US$)],Tabla24[Localidad],Verif_Basurales!A30)</f>
        <v>0</v>
      </c>
    </row>
    <row r="31" spans="1:3">
      <c r="A31" s="551" t="s">
        <v>520</v>
      </c>
      <c r="B31" s="554">
        <f>SUMIFS(Tabla24[Costo de Cierre Técnico de BCA (US$)],Tabla24[Localidad],Verif_Basurales!A31)</f>
        <v>2798400</v>
      </c>
      <c r="C31" s="554">
        <f>SUMIFS(Tabla24[Costo anual de Manteniemiento Post-cierre (US$)],Tabla24[Localidad],Verif_Basurales!A31)</f>
        <v>248458.21533123709</v>
      </c>
    </row>
    <row r="32" spans="1:3">
      <c r="A32" s="552" t="s">
        <v>442</v>
      </c>
      <c r="B32" s="554">
        <f>SUMIFS(Tabla24[Costo de Cierre Técnico de BCA (US$)],Tabla24[Localidad],Verif_Basurales!A32)</f>
        <v>636000</v>
      </c>
      <c r="C32" s="554">
        <f>SUMIFS(Tabla24[Costo anual de Manteniemiento Post-cierre (US$)],Tabla24[Localidad],Verif_Basurales!A32)</f>
        <v>56467.776211644792</v>
      </c>
    </row>
    <row r="33" spans="1:3">
      <c r="A33" s="551" t="s">
        <v>343</v>
      </c>
      <c r="B33" s="554">
        <f>SUMIFS(Tabla24[Costo de Cierre Técnico de BCA (US$)],Tabla24[Localidad],Verif_Basurales!A33)</f>
        <v>1780800</v>
      </c>
      <c r="C33" s="554">
        <f>SUMIFS(Tabla24[Costo anual de Manteniemiento Post-cierre (US$)],Tabla24[Localidad],Verif_Basurales!A33)</f>
        <v>158109.77339260542</v>
      </c>
    </row>
    <row r="34" spans="1:3">
      <c r="A34" s="551" t="s">
        <v>335</v>
      </c>
      <c r="B34" s="554">
        <f>SUMIFS(Tabla24[Costo de Cierre Técnico de BCA (US$)],Tabla24[Localidad],Verif_Basurales!A34)</f>
        <v>1496720</v>
      </c>
      <c r="C34" s="554">
        <f>SUMIFS(Tabla24[Costo anual de Manteniemiento Post-cierre (US$)],Tabla24[Localidad],Verif_Basurales!A34)</f>
        <v>132887.50001807074</v>
      </c>
    </row>
    <row r="35" spans="1:3">
      <c r="A35" s="551" t="s">
        <v>439</v>
      </c>
      <c r="B35" s="554">
        <f>SUMIFS(Tabla24[Costo de Cierre Técnico de BCA (US$)],Tabla24[Localidad],Verif_Basurales!A35)</f>
        <v>1462800</v>
      </c>
      <c r="C35" s="554">
        <f>SUMIFS(Tabla24[Costo anual de Manteniemiento Post-cierre (US$)],Tabla24[Localidad],Verif_Basurales!A35)</f>
        <v>129875.88528678303</v>
      </c>
    </row>
    <row r="36" spans="1:3">
      <c r="A36" s="552" t="s">
        <v>515</v>
      </c>
      <c r="B36" s="554">
        <f>SUMIFS(Tabla24[Costo de Cierre Técnico de BCA (US$)],Tabla24[Localidad],Verif_Basurales!A36)</f>
        <v>0</v>
      </c>
      <c r="C36" s="554">
        <f>SUMIFS(Tabla24[Costo anual de Manteniemiento Post-cierre (US$)],Tabla24[Localidad],Verif_Basurales!A36)</f>
        <v>0</v>
      </c>
    </row>
    <row r="37" spans="1:3">
      <c r="A37" s="551" t="s">
        <v>640</v>
      </c>
      <c r="B37" s="554">
        <f>SUMIFS(Tabla24[Costo de Cierre Técnico de BCA (US$)],Tabla24[Localidad],Verif_Basurales!A37)</f>
        <v>0</v>
      </c>
      <c r="C37" s="554">
        <f>SUMIFS(Tabla24[Costo anual de Manteniemiento Post-cierre (US$)],Tabla24[Localidad],Verif_Basurales!A37)</f>
        <v>0</v>
      </c>
    </row>
    <row r="38" spans="1:3">
      <c r="A38" s="552" t="s">
        <v>535</v>
      </c>
      <c r="B38" s="554">
        <f>SUMIFS(Tabla24[Costo de Cierre Técnico de BCA (US$)],Tabla24[Localidad],Verif_Basurales!A38)</f>
        <v>0</v>
      </c>
      <c r="C38" s="554">
        <f>SUMIFS(Tabla24[Costo anual de Manteniemiento Post-cierre (US$)],Tabla24[Localidad],Verif_Basurales!A38)</f>
        <v>0</v>
      </c>
    </row>
    <row r="39" spans="1:3">
      <c r="A39" s="551" t="s">
        <v>408</v>
      </c>
      <c r="B39" s="554">
        <f>SUMIFS(Tabla24[Costo de Cierre Técnico de BCA (US$)],Tabla24[Localidad],Verif_Basurales!A39)</f>
        <v>572400</v>
      </c>
      <c r="C39" s="554">
        <f>SUMIFS(Tabla24[Costo anual de Manteniemiento Post-cierre (US$)],Tabla24[Localidad],Verif_Basurales!A39)</f>
        <v>50820.998590480318</v>
      </c>
    </row>
    <row r="40" spans="1:3">
      <c r="A40" s="552" t="s">
        <v>474</v>
      </c>
      <c r="B40" s="554">
        <f>SUMIFS(Tabla24[Costo de Cierre Técnico de BCA (US$)],Tabla24[Localidad],Verif_Basurales!A40)</f>
        <v>848000</v>
      </c>
      <c r="C40" s="554">
        <f>SUMIFS(Tabla24[Costo anual de Manteniemiento Post-cierre (US$)],Tabla24[Localidad],Verif_Basurales!A40)</f>
        <v>75290.368282193056</v>
      </c>
    </row>
    <row r="41" spans="1:3">
      <c r="A41" s="551" t="s">
        <v>418</v>
      </c>
      <c r="B41" s="554">
        <f>SUMIFS(Tabla24[Costo de Cierre Técnico de BCA (US$)],Tabla24[Localidad],Verif_Basurales!A41)</f>
        <v>2204800</v>
      </c>
      <c r="C41" s="554">
        <f>SUMIFS(Tabla24[Costo anual de Manteniemiento Post-cierre (US$)],Tabla24[Localidad],Verif_Basurales!A41)</f>
        <v>195754.95753370196</v>
      </c>
    </row>
    <row r="42" spans="1:3">
      <c r="A42" s="552" t="s">
        <v>447</v>
      </c>
      <c r="B42" s="554">
        <f>SUMIFS(Tabla24[Costo de Cierre Técnico de BCA (US$)],Tabla24[Localidad],Verif_Basurales!A42)</f>
        <v>212000</v>
      </c>
      <c r="C42" s="554">
        <f>SUMIFS(Tabla24[Costo anual de Manteniemiento Post-cierre (US$)],Tabla24[Localidad],Verif_Basurales!A42)</f>
        <v>18822.592070548264</v>
      </c>
    </row>
    <row r="43" spans="1:3">
      <c r="A43" s="551" t="s">
        <v>429</v>
      </c>
      <c r="B43" s="554">
        <f>SUMIFS(Tabla24[Costo de Cierre Técnico de BCA (US$)],Tabla24[Localidad],Verif_Basurales!A43)</f>
        <v>1696000</v>
      </c>
      <c r="C43" s="554">
        <f>SUMIFS(Tabla24[Costo anual de Manteniemiento Post-cierre (US$)],Tabla24[Localidad],Verif_Basurales!A43)</f>
        <v>150580.73656438611</v>
      </c>
    </row>
    <row r="44" spans="1:3">
      <c r="A44" s="552" t="s">
        <v>373</v>
      </c>
      <c r="B44" s="554">
        <f>SUMIFS(Tabla24[Costo de Cierre Técnico de BCA (US$)],Tabla24[Localidad],Verif_Basurales!A44)</f>
        <v>3816000</v>
      </c>
      <c r="C44" s="554">
        <f>SUMIFS(Tabla24[Costo anual de Manteniemiento Post-cierre (US$)],Tabla24[Localidad],Verif_Basurales!A44)</f>
        <v>338806.65726986877</v>
      </c>
    </row>
    <row r="45" spans="1:3">
      <c r="A45" s="551" t="s">
        <v>460</v>
      </c>
      <c r="B45" s="554">
        <f>SUMIFS(Tabla24[Costo de Cierre Técnico de BCA (US$)],Tabla24[Localidad],Verif_Basurales!A45)</f>
        <v>744120</v>
      </c>
      <c r="C45" s="554">
        <f>SUMIFS(Tabla24[Costo anual de Manteniemiento Post-cierre (US$)],Tabla24[Localidad],Verif_Basurales!A45)</f>
        <v>66067.298167624409</v>
      </c>
    </row>
    <row r="46" spans="1:3">
      <c r="A46" s="552" t="s">
        <v>491</v>
      </c>
      <c r="B46" s="554">
        <f>SUMIFS(Tabla24[Costo de Cierre Técnico de BCA (US$)],Tabla24[Localidad],Verif_Basurales!A46)</f>
        <v>5936000</v>
      </c>
      <c r="C46" s="554">
        <f>SUMIFS(Tabla24[Costo anual de Manteniemiento Post-cierre (US$)],Tabla24[Localidad],Verif_Basurales!A46)</f>
        <v>527032.57797535136</v>
      </c>
    </row>
    <row r="47" spans="1:3">
      <c r="A47" s="552" t="s">
        <v>529</v>
      </c>
      <c r="B47" s="554">
        <f>SUMIFS(Tabla24[Costo de Cierre Técnico de BCA (US$)],Tabla24[Localidad],Verif_Basurales!A47)</f>
        <v>0</v>
      </c>
      <c r="C47" s="554">
        <f>SUMIFS(Tabla24[Costo anual de Manteniemiento Post-cierre (US$)],Tabla24[Localidad],Verif_Basurales!A47)</f>
        <v>0</v>
      </c>
    </row>
    <row r="48" spans="1:3">
      <c r="A48" s="551" t="s">
        <v>437</v>
      </c>
      <c r="B48" s="554">
        <f>SUMIFS(Tabla24[Costo de Cierre Técnico de BCA (US$)],Tabla24[Localidad],Verif_Basurales!A48)</f>
        <v>254400</v>
      </c>
      <c r="C48" s="554">
        <f>SUMIFS(Tabla24[Costo anual de Manteniemiento Post-cierre (US$)],Tabla24[Localidad],Verif_Basurales!A48)</f>
        <v>22587.110484657918</v>
      </c>
    </row>
    <row r="49" spans="1:3">
      <c r="A49" s="552" t="s">
        <v>544</v>
      </c>
      <c r="B49" s="554">
        <f>SUMIFS(Tabla24[Costo de Cierre Técnico de BCA (US$)],Tabla24[Localidad],Verif_Basurales!A49)</f>
        <v>530000</v>
      </c>
      <c r="C49" s="554">
        <f>SUMIFS(Tabla24[Costo anual de Manteniemiento Post-cierre (US$)],Tabla24[Localidad],Verif_Basurales!A49)</f>
        <v>47056.480176370664</v>
      </c>
    </row>
    <row r="50" spans="1:3">
      <c r="A50" s="551" t="s">
        <v>547</v>
      </c>
      <c r="B50" s="554">
        <f>SUMIFS(Tabla24[Costo de Cierre Técnico de BCA (US$)],Tabla24[Localidad],Verif_Basurales!A50)</f>
        <v>0</v>
      </c>
      <c r="C50" s="554">
        <f>SUMIFS(Tabla24[Costo anual de Manteniemiento Post-cierre (US$)],Tabla24[Localidad],Verif_Basurales!A50)</f>
        <v>0</v>
      </c>
    </row>
    <row r="51" spans="1:3">
      <c r="A51" s="552" t="s">
        <v>345</v>
      </c>
      <c r="B51" s="554">
        <f>SUMIFS(Tabla24[Costo de Cierre Técnico de BCA (US$)],Tabla24[Localidad],Verif_Basurales!A51)</f>
        <v>903120</v>
      </c>
      <c r="C51" s="554">
        <f>SUMIFS(Tabla24[Costo anual de Manteniemiento Post-cierre (US$)],Tabla24[Localidad],Verif_Basurales!A51)</f>
        <v>80184.242220535612</v>
      </c>
    </row>
    <row r="52" spans="1:3">
      <c r="A52" s="551" t="s">
        <v>557</v>
      </c>
      <c r="B52" s="554">
        <f>SUMIFS(Tabla24[Costo de Cierre Técnico de BCA (US$)],Tabla24[Localidad],Verif_Basurales!A52)</f>
        <v>2226000</v>
      </c>
      <c r="C52" s="554">
        <f>SUMIFS(Tabla24[Costo anual de Manteniemiento Post-cierre (US$)],Tabla24[Localidad],Verif_Basurales!A52)</f>
        <v>197637.21674075679</v>
      </c>
    </row>
    <row r="53" spans="1:3">
      <c r="A53" s="551" t="s">
        <v>510</v>
      </c>
      <c r="B53" s="554">
        <f>SUMIFS(Tabla24[Costo de Cierre Técnico de BCA (US$)],Tabla24[Localidad],Verif_Basurales!A53)</f>
        <v>6355760</v>
      </c>
      <c r="C53" s="554">
        <f>SUMIFS(Tabla24[Costo anual de Manteniemiento Post-cierre (US$)],Tabla24[Localidad],Verif_Basurales!A53)</f>
        <v>564301.31027503707</v>
      </c>
    </row>
    <row r="54" spans="1:3">
      <c r="A54" s="551" t="s">
        <v>348</v>
      </c>
      <c r="B54" s="554">
        <f>SUMIFS(Tabla24[Costo de Cierre Técnico de BCA (US$)],Tabla24[Localidad],Verif_Basurales!A54)</f>
        <v>14363000</v>
      </c>
      <c r="C54" s="554">
        <f>SUMIFS(Tabla24[Costo anual de Manteniemiento Post-cierre (US$)],Tabla24[Localidad],Verif_Basurales!A54)</f>
        <v>1275230.612779645</v>
      </c>
    </row>
    <row r="55" spans="1:3">
      <c r="A55" s="551" t="s">
        <v>350</v>
      </c>
      <c r="B55" s="554">
        <f>SUMIFS(Tabla24[Costo de Cierre Técnico de BCA (US$)],Tabla24[Localidad],Verif_Basurales!A55)</f>
        <v>767440</v>
      </c>
      <c r="C55" s="554">
        <f>SUMIFS(Tabla24[Costo anual de Manteniemiento Post-cierre (US$)],Tabla24[Localidad],Verif_Basurales!A55)</f>
        <v>68137.783295384725</v>
      </c>
    </row>
    <row r="56" spans="1:3">
      <c r="A56" s="551" t="s">
        <v>493</v>
      </c>
      <c r="B56" s="554">
        <f>SUMIFS(Tabla24[Costo de Cierre Técnico de BCA (US$)],Tabla24[Localidad],Verif_Basurales!A56)</f>
        <v>199280</v>
      </c>
      <c r="C56" s="554">
        <f>SUMIFS(Tabla24[Costo anual de Manteniemiento Post-cierre (US$)],Tabla24[Localidad],Verif_Basurales!A56)</f>
        <v>17693.236546315369</v>
      </c>
    </row>
    <row r="57" spans="1:3">
      <c r="A57" s="552" t="s">
        <v>406</v>
      </c>
      <c r="B57" s="554">
        <f>SUMIFS(Tabla24[Costo de Cierre Técnico de BCA (US$)],Tabla24[Localidad],Verif_Basurales!A57)</f>
        <v>430360</v>
      </c>
      <c r="C57" s="554">
        <f>SUMIFS(Tabla24[Costo anual de Manteniemiento Post-cierre (US$)],Tabla24[Localidad],Verif_Basurales!A57)</f>
        <v>38209.861903212979</v>
      </c>
    </row>
    <row r="58" spans="1:3">
      <c r="A58" s="551" t="s">
        <v>641</v>
      </c>
      <c r="B58" s="554">
        <f>SUMIFS(Tabla24[Costo de Cierre Técnico de BCA (US$)],Tabla24[Localidad],Verif_Basurales!A58)</f>
        <v>0</v>
      </c>
      <c r="C58" s="554">
        <f>SUMIFS(Tabla24[Costo anual de Manteniemiento Post-cierre (US$)],Tabla24[Localidad],Verif_Basurales!A58)</f>
        <v>0</v>
      </c>
    </row>
    <row r="59" spans="1:3">
      <c r="A59" s="552" t="s">
        <v>545</v>
      </c>
      <c r="B59" s="554">
        <f>SUMIFS(Tabla24[Costo de Cierre Técnico de BCA (US$)],Tabla24[Localidad],Verif_Basurales!A59)</f>
        <v>1272000</v>
      </c>
      <c r="C59" s="554">
        <f>SUMIFS(Tabla24[Costo anual de Manteniemiento Post-cierre (US$)],Tabla24[Localidad],Verif_Basurales!A59)</f>
        <v>112935.55242328958</v>
      </c>
    </row>
    <row r="60" spans="1:3">
      <c r="A60" s="551" t="s">
        <v>458</v>
      </c>
      <c r="B60" s="554">
        <f>SUMIFS(Tabla24[Costo de Cierre Técnico de BCA (US$)],Tabla24[Localidad],Verif_Basurales!A60)</f>
        <v>2522800</v>
      </c>
      <c r="C60" s="554">
        <f>SUMIFS(Tabla24[Costo anual de Manteniemiento Post-cierre (US$)],Tabla24[Localidad],Verif_Basurales!A60)</f>
        <v>223988.84563952437</v>
      </c>
    </row>
    <row r="61" spans="1:3">
      <c r="A61" s="552" t="s">
        <v>626</v>
      </c>
      <c r="B61" s="554">
        <f>SUMIFS(Tabla24[Costo de Cierre Técnico de BCA (US$)],Tabla24[Localidad],Verif_Basurales!A61)</f>
        <v>0</v>
      </c>
      <c r="C61" s="554">
        <f>SUMIFS(Tabla24[Costo anual de Manteniemiento Post-cierre (US$)],Tabla24[Localidad],Verif_Basurales!A61)</f>
        <v>0</v>
      </c>
    </row>
    <row r="62" spans="1:3">
      <c r="A62" s="551" t="s">
        <v>642</v>
      </c>
      <c r="B62" s="554">
        <f>SUMIFS(Tabla24[Costo de Cierre Técnico de BCA (US$)],Tabla24[Localidad],Verif_Basurales!A62)</f>
        <v>0</v>
      </c>
      <c r="C62" s="554">
        <f>SUMIFS(Tabla24[Costo anual de Manteniemiento Post-cierre (US$)],Tabla24[Localidad],Verif_Basurales!A62)</f>
        <v>0</v>
      </c>
    </row>
    <row r="63" spans="1:3">
      <c r="A63" s="552" t="s">
        <v>338</v>
      </c>
      <c r="B63" s="554">
        <f>SUMIFS(Tabla24[Costo de Cierre Técnico de BCA (US$)],Tabla24[Localidad],Verif_Basurales!A63)</f>
        <v>5764280</v>
      </c>
      <c r="C63" s="554">
        <f>SUMIFS(Tabla24[Costo anual de Manteniemiento Post-cierre (US$)],Tabla24[Localidad],Verif_Basurales!A63)</f>
        <v>511786.27839820733</v>
      </c>
    </row>
    <row r="64" spans="1:3">
      <c r="A64" s="551" t="s">
        <v>540</v>
      </c>
      <c r="B64" s="554">
        <f>SUMIFS(Tabla24[Costo de Cierre Técnico de BCA (US$)],Tabla24[Localidad],Verif_Basurales!A64)</f>
        <v>0</v>
      </c>
      <c r="C64" s="554">
        <f>SUMIFS(Tabla24[Costo anual de Manteniemiento Post-cierre (US$)],Tabla24[Localidad],Verif_Basurales!A64)</f>
        <v>0</v>
      </c>
    </row>
    <row r="65" spans="1:3">
      <c r="A65" s="552" t="s">
        <v>365</v>
      </c>
      <c r="B65" s="554">
        <f>SUMIFS(Tabla24[Costo de Cierre Técnico de BCA (US$)],Tabla24[Localidad],Verif_Basurales!A65)</f>
        <v>180200</v>
      </c>
      <c r="C65" s="554">
        <f>SUMIFS(Tabla24[Costo anual de Manteniemiento Post-cierre (US$)],Tabla24[Localidad],Verif_Basurales!A65)</f>
        <v>15999.203259966025</v>
      </c>
    </row>
    <row r="66" spans="1:3">
      <c r="A66" s="551" t="s">
        <v>392</v>
      </c>
      <c r="B66" s="554">
        <f>SUMIFS(Tabla24[Costo de Cierre Técnico de BCA (US$)],Tabla24[Localidad],Verif_Basurales!A66)</f>
        <v>805600</v>
      </c>
      <c r="C66" s="554">
        <f>SUMIFS(Tabla24[Costo anual de Manteniemiento Post-cierre (US$)],Tabla24[Localidad],Verif_Basurales!A66)</f>
        <v>71525.849868083402</v>
      </c>
    </row>
    <row r="67" spans="1:3">
      <c r="A67" s="552" t="s">
        <v>332</v>
      </c>
      <c r="B67" s="554">
        <f>SUMIFS(Tabla24[Costo de Cierre Técnico de BCA (US$)],Tabla24[Localidad],Verif_Basurales!A67)</f>
        <v>167480</v>
      </c>
      <c r="C67" s="554">
        <f>SUMIFS(Tabla24[Costo anual de Manteniemiento Post-cierre (US$)],Tabla24[Localidad],Verif_Basurales!A67)</f>
        <v>14869.84773573313</v>
      </c>
    </row>
    <row r="68" spans="1:3">
      <c r="A68" s="551" t="s">
        <v>643</v>
      </c>
      <c r="B68" s="554">
        <f>SUMIFS(Tabla24[Costo de Cierre Técnico de BCA (US$)],Tabla24[Localidad],Verif_Basurales!A68)</f>
        <v>0</v>
      </c>
      <c r="C68" s="554">
        <f>SUMIFS(Tabla24[Costo anual de Manteniemiento Post-cierre (US$)],Tabla24[Localidad],Verif_Basurales!A68)</f>
        <v>0</v>
      </c>
    </row>
    <row r="69" spans="1:3">
      <c r="A69" s="552" t="s">
        <v>461</v>
      </c>
      <c r="B69" s="554">
        <f>SUMIFS(Tabla24[Costo de Cierre Técnico de BCA (US$)],Tabla24[Localidad],Verif_Basurales!A69)</f>
        <v>2305500</v>
      </c>
      <c r="C69" s="554">
        <f>SUMIFS(Tabla24[Costo anual de Manteniemiento Post-cierre (US$)],Tabla24[Localidad],Verif_Basurales!A69)</f>
        <v>204695.68876721238</v>
      </c>
    </row>
    <row r="70" spans="1:3">
      <c r="A70" s="551" t="s">
        <v>331</v>
      </c>
      <c r="B70" s="554">
        <f>SUMIFS(Tabla24[Costo de Cierre Técnico de BCA (US$)],Tabla24[Localidad],Verif_Basurales!A70)</f>
        <v>345560</v>
      </c>
      <c r="C70" s="554">
        <f>SUMIFS(Tabla24[Costo anual de Manteniemiento Post-cierre (US$)],Tabla24[Localidad],Verif_Basurales!A70)</f>
        <v>30680.825074993671</v>
      </c>
    </row>
    <row r="71" spans="1:3">
      <c r="A71" s="551" t="s">
        <v>558</v>
      </c>
      <c r="B71" s="554">
        <f>SUMIFS(Tabla24[Costo de Cierre Técnico de BCA (US$)],Tabla24[Localidad],Verif_Basurales!A71)</f>
        <v>413400</v>
      </c>
      <c r="C71" s="554">
        <f>SUMIFS(Tabla24[Costo anual de Manteniemiento Post-cierre (US$)],Tabla24[Localidad],Verif_Basurales!A71)</f>
        <v>36704.054537569114</v>
      </c>
    </row>
    <row r="72" spans="1:3">
      <c r="A72" s="552" t="s">
        <v>395</v>
      </c>
      <c r="B72" s="554">
        <f>SUMIFS(Tabla24[Costo de Cierre Técnico de BCA (US$)],Tabla24[Localidad],Verif_Basurales!A72)</f>
        <v>1590000</v>
      </c>
      <c r="C72" s="554">
        <f>SUMIFS(Tabla24[Costo anual de Manteniemiento Post-cierre (US$)],Tabla24[Localidad],Verif_Basurales!A72)</f>
        <v>141169.44052911198</v>
      </c>
    </row>
    <row r="73" spans="1:3">
      <c r="A73" s="551" t="s">
        <v>511</v>
      </c>
      <c r="B73" s="554">
        <f>SUMIFS(Tabla24[Costo de Cierre Técnico de BCA (US$)],Tabla24[Localidad],Verif_Basurales!A73)</f>
        <v>0</v>
      </c>
      <c r="C73" s="554">
        <f>SUMIFS(Tabla24[Costo anual de Manteniemiento Post-cierre (US$)],Tabla24[Localidad],Verif_Basurales!A73)</f>
        <v>0</v>
      </c>
    </row>
    <row r="74" spans="1:3">
      <c r="A74" s="552" t="s">
        <v>507</v>
      </c>
      <c r="B74" s="554">
        <f>SUMIFS(Tabla24[Costo de Cierre Técnico de BCA (US$)],Tabla24[Localidad],Verif_Basurales!A74)</f>
        <v>2486760</v>
      </c>
      <c r="C74" s="554">
        <f>SUMIFS(Tabla24[Costo anual de Manteniemiento Post-cierre (US$)],Tabla24[Localidad],Verif_Basurales!A74)</f>
        <v>220789.00498753114</v>
      </c>
    </row>
    <row r="75" spans="1:3">
      <c r="A75" s="551" t="s">
        <v>518</v>
      </c>
      <c r="B75" s="554">
        <f>SUMIFS(Tabla24[Costo de Cierre Técnico de BCA (US$)],Tabla24[Localidad],Verif_Basurales!A75)</f>
        <v>0</v>
      </c>
      <c r="C75" s="554">
        <f>SUMIFS(Tabla24[Costo anual de Manteniemiento Post-cierre (US$)],Tabla24[Localidad],Verif_Basurales!A75)</f>
        <v>0</v>
      </c>
    </row>
    <row r="76" spans="1:3">
      <c r="A76" s="552" t="s">
        <v>435</v>
      </c>
      <c r="B76" s="554">
        <f>SUMIFS(Tabla24[Costo de Cierre Técnico de BCA (US$)],Tabla24[Localidad],Verif_Basurales!A76)</f>
        <v>975200</v>
      </c>
      <c r="C76" s="554">
        <f>SUMIFS(Tabla24[Costo anual de Manteniemiento Post-cierre (US$)],Tabla24[Localidad],Verif_Basurales!A76)</f>
        <v>86583.923524522019</v>
      </c>
    </row>
    <row r="77" spans="1:3">
      <c r="A77" s="551" t="s">
        <v>337</v>
      </c>
      <c r="B77" s="554">
        <f>SUMIFS(Tabla24[Costo de Cierre Técnico de BCA (US$)],Tabla24[Localidad],Verif_Basurales!A77)</f>
        <v>2359560</v>
      </c>
      <c r="C77" s="554">
        <f>SUMIFS(Tabla24[Costo anual de Manteniemiento Post-cierre (US$)],Tabla24[Localidad],Verif_Basurales!A77)</f>
        <v>209495.4497452022</v>
      </c>
    </row>
    <row r="78" spans="1:3">
      <c r="A78" s="551" t="s">
        <v>560</v>
      </c>
      <c r="B78" s="554">
        <f>SUMIFS(Tabla24[Costo de Cierre Técnico de BCA (US$)],Tabla24[Localidad],Verif_Basurales!A78)</f>
        <v>636000</v>
      </c>
      <c r="C78" s="554">
        <f>SUMIFS(Tabla24[Costo anual de Manteniemiento Post-cierre (US$)],Tabla24[Localidad],Verif_Basurales!A78)</f>
        <v>56467.776211644792</v>
      </c>
    </row>
    <row r="79" spans="1:3">
      <c r="A79" s="552" t="s">
        <v>431</v>
      </c>
      <c r="B79" s="554">
        <f>SUMIFS(Tabla24[Costo de Cierre Técnico de BCA (US$)],Tabla24[Localidad],Verif_Basurales!A79)</f>
        <v>0</v>
      </c>
      <c r="C79" s="554">
        <f>SUMIFS(Tabla24[Costo anual de Manteniemiento Post-cierre (US$)],Tabla24[Localidad],Verif_Basurales!A79)</f>
        <v>0</v>
      </c>
    </row>
    <row r="80" spans="1:3">
      <c r="A80" s="551" t="s">
        <v>644</v>
      </c>
      <c r="B80" s="554">
        <f>SUMIFS(Tabla24[Costo de Cierre Técnico de BCA (US$)],Tabla24[Localidad],Verif_Basurales!A80)</f>
        <v>0</v>
      </c>
      <c r="C80" s="554">
        <f>SUMIFS(Tabla24[Costo anual de Manteniemiento Post-cierre (US$)],Tabla24[Localidad],Verif_Basurales!A80)</f>
        <v>0</v>
      </c>
    </row>
    <row r="81" spans="1:3">
      <c r="A81" s="552" t="s">
        <v>333</v>
      </c>
      <c r="B81" s="554">
        <f>SUMIFS(Tabla24[Costo de Cierre Técnico de BCA (US$)],Tabla24[Localidad],Verif_Basurales!A81)</f>
        <v>1000640</v>
      </c>
      <c r="C81" s="554">
        <f>SUMIFS(Tabla24[Costo anual de Manteniemiento Post-cierre (US$)],Tabla24[Localidad],Verif_Basurales!A81)</f>
        <v>88842.634572987823</v>
      </c>
    </row>
    <row r="82" spans="1:3">
      <c r="A82" s="552" t="s">
        <v>382</v>
      </c>
      <c r="B82" s="554">
        <f>SUMIFS(Tabla24[Costo de Cierre Técnico de BCA (US$)],Tabla24[Localidad],Verif_Basurales!A82)</f>
        <v>1950400</v>
      </c>
      <c r="C82" s="554">
        <f>SUMIFS(Tabla24[Costo anual de Manteniemiento Post-cierre (US$)],Tabla24[Localidad],Verif_Basurales!A82)</f>
        <v>173167.84704904404</v>
      </c>
    </row>
    <row r="83" spans="1:3">
      <c r="A83" s="551" t="s">
        <v>391</v>
      </c>
      <c r="B83" s="554">
        <f>SUMIFS(Tabla24[Costo de Cierre Técnico de BCA (US$)],Tabla24[Localidad],Verif_Basurales!A83)</f>
        <v>254400</v>
      </c>
      <c r="C83" s="554">
        <f>SUMIFS(Tabla24[Costo anual de Manteniemiento Post-cierre (US$)],Tabla24[Localidad],Verif_Basurales!A83)</f>
        <v>22587.110484657918</v>
      </c>
    </row>
    <row r="84" spans="1:3">
      <c r="A84" s="552" t="s">
        <v>528</v>
      </c>
      <c r="B84" s="554">
        <f>SUMIFS(Tabla24[Costo de Cierre Técnico de BCA (US$)],Tabla24[Localidad],Verif_Basurales!A84)</f>
        <v>0</v>
      </c>
      <c r="C84" s="554">
        <f>SUMIFS(Tabla24[Costo anual de Manteniemiento Post-cierre (US$)],Tabla24[Localidad],Verif_Basurales!A84)</f>
        <v>0</v>
      </c>
    </row>
    <row r="85" spans="1:3">
      <c r="A85" s="551" t="s">
        <v>380</v>
      </c>
      <c r="B85" s="554">
        <f>SUMIFS(Tabla24[Costo de Cierre Técnico de BCA (US$)],Tabla24[Localidad],Verif_Basurales!A85)</f>
        <v>1187200</v>
      </c>
      <c r="C85" s="554">
        <f>SUMIFS(Tabla24[Costo anual de Manteniemiento Post-cierre (US$)],Tabla24[Localidad],Verif_Basurales!A85)</f>
        <v>105406.51559507028</v>
      </c>
    </row>
    <row r="86" spans="1:3">
      <c r="A86" s="551" t="s">
        <v>625</v>
      </c>
      <c r="B86" s="554">
        <f>SUMIFS(Tabla24[Costo de Cierre Técnico de BCA (US$)],Tabla24[Localidad],Verif_Basurales!A86)</f>
        <v>0</v>
      </c>
      <c r="C86" s="554">
        <f>SUMIFS(Tabla24[Costo anual de Manteniemiento Post-cierre (US$)],Tabla24[Localidad],Verif_Basurales!A86)</f>
        <v>0</v>
      </c>
    </row>
    <row r="87" spans="1:3">
      <c r="A87" s="552" t="s">
        <v>423</v>
      </c>
      <c r="B87" s="554">
        <f>SUMIFS(Tabla24[Costo de Cierre Técnico de BCA (US$)],Tabla24[Localidad],Verif_Basurales!A87)</f>
        <v>1802000</v>
      </c>
      <c r="C87" s="554">
        <f>SUMIFS(Tabla24[Costo anual de Manteniemiento Post-cierre (US$)],Tabla24[Localidad],Verif_Basurales!A87)</f>
        <v>159992.03259966025</v>
      </c>
    </row>
    <row r="88" spans="1:3">
      <c r="A88" s="551" t="s">
        <v>523</v>
      </c>
      <c r="B88" s="554">
        <f>SUMIFS(Tabla24[Costo de Cierre Técnico de BCA (US$)],Tabla24[Localidad],Verif_Basurales!A88)</f>
        <v>1346200</v>
      </c>
      <c r="C88" s="554">
        <f>SUMIFS(Tabla24[Costo anual de Manteniemiento Post-cierre (US$)],Tabla24[Localidad],Verif_Basurales!A88)</f>
        <v>119523.45964798148</v>
      </c>
    </row>
    <row r="89" spans="1:3">
      <c r="A89" s="552" t="s">
        <v>531</v>
      </c>
      <c r="B89" s="554">
        <f>SUMIFS(Tabla24[Costo de Cierre Técnico de BCA (US$)],Tabla24[Localidad],Verif_Basurales!A89)</f>
        <v>0</v>
      </c>
      <c r="C89" s="554">
        <f>SUMIFS(Tabla24[Costo anual de Manteniemiento Post-cierre (US$)],Tabla24[Localidad],Verif_Basurales!A89)</f>
        <v>0</v>
      </c>
    </row>
    <row r="90" spans="1:3">
      <c r="A90" s="552" t="s">
        <v>404</v>
      </c>
      <c r="B90" s="554">
        <f>SUMIFS(Tabla24[Costo de Cierre Técnico de BCA (US$)],Tabla24[Localidad],Verif_Basurales!A90)</f>
        <v>3095200</v>
      </c>
      <c r="C90" s="554">
        <f>SUMIFS(Tabla24[Costo anual de Manteniemiento Post-cierre (US$)],Tabla24[Localidad],Verif_Basurales!A90)</f>
        <v>274809.84423000464</v>
      </c>
    </row>
    <row r="91" spans="1:3">
      <c r="A91" s="551" t="s">
        <v>645</v>
      </c>
      <c r="B91" s="554">
        <f>SUMIFS(Tabla24[Costo de Cierre Técnico de BCA (US$)],Tabla24[Localidad],Verif_Basurales!A91)</f>
        <v>0</v>
      </c>
      <c r="C91" s="554">
        <f>SUMIFS(Tabla24[Costo anual de Manteniemiento Post-cierre (US$)],Tabla24[Localidad],Verif_Basurales!A91)</f>
        <v>0</v>
      </c>
    </row>
    <row r="92" spans="1:3">
      <c r="A92" s="552" t="s">
        <v>422</v>
      </c>
      <c r="B92" s="554">
        <f>SUMIFS(Tabla24[Costo de Cierre Técnico de BCA (US$)],Tabla24[Localidad],Verif_Basurales!A92)</f>
        <v>530000</v>
      </c>
      <c r="C92" s="554">
        <f>SUMIFS(Tabla24[Costo anual de Manteniemiento Post-cierre (US$)],Tabla24[Localidad],Verif_Basurales!A92)</f>
        <v>47056.480176370664</v>
      </c>
    </row>
    <row r="93" spans="1:3">
      <c r="A93" s="551" t="s">
        <v>346</v>
      </c>
      <c r="B93" s="554">
        <f>SUMIFS(Tabla24[Costo de Cierre Técnico de BCA (US$)],Tabla24[Localidad],Verif_Basurales!A93)</f>
        <v>1929200</v>
      </c>
      <c r="C93" s="554">
        <f>SUMIFS(Tabla24[Costo anual de Manteniemiento Post-cierre (US$)],Tabla24[Localidad],Verif_Basurales!A93)</f>
        <v>171285.58784198921</v>
      </c>
    </row>
    <row r="94" spans="1:3">
      <c r="A94" s="552" t="s">
        <v>412</v>
      </c>
      <c r="B94" s="554">
        <f>SUMIFS(Tabla24[Costo de Cierre Técnico de BCA (US$)],Tabla24[Localidad],Verif_Basurales!A94)</f>
        <v>3455600</v>
      </c>
      <c r="C94" s="554">
        <f>SUMIFS(Tabla24[Costo anual de Manteniemiento Post-cierre (US$)],Tabla24[Localidad],Verif_Basurales!A94)</f>
        <v>306808.25074993673</v>
      </c>
    </row>
    <row r="95" spans="1:3">
      <c r="A95" s="551" t="s">
        <v>397</v>
      </c>
      <c r="B95" s="554">
        <f>SUMIFS(Tabla24[Costo de Cierre Técnico de BCA (US$)],Tabla24[Localidad],Verif_Basurales!A95)</f>
        <v>784400</v>
      </c>
      <c r="C95" s="554">
        <f>SUMIFS(Tabla24[Costo anual de Manteniemiento Post-cierre (US$)],Tabla24[Localidad],Verif_Basurales!A95)</f>
        <v>69643.590661028575</v>
      </c>
    </row>
    <row r="96" spans="1:3">
      <c r="A96" s="551" t="s">
        <v>546</v>
      </c>
      <c r="B96" s="554">
        <f>SUMIFS(Tabla24[Costo de Cierre Técnico de BCA (US$)],Tabla24[Localidad],Verif_Basurales!A96)</f>
        <v>636000</v>
      </c>
      <c r="C96" s="554">
        <f>SUMIFS(Tabla24[Costo anual de Manteniemiento Post-cierre (US$)],Tabla24[Localidad],Verif_Basurales!A96)</f>
        <v>56467.776211644792</v>
      </c>
    </row>
    <row r="97" spans="1:3">
      <c r="A97" s="552" t="s">
        <v>548</v>
      </c>
      <c r="B97" s="554">
        <f>SUMIFS(Tabla24[Costo de Cierre Técnico de BCA (US$)],Tabla24[Localidad],Verif_Basurales!A97)</f>
        <v>0</v>
      </c>
      <c r="C97" s="554">
        <f>SUMIFS(Tabla24[Costo anual de Manteniemiento Post-cierre (US$)],Tabla24[Localidad],Verif_Basurales!A97)</f>
        <v>0</v>
      </c>
    </row>
    <row r="98" spans="1:3">
      <c r="A98" s="551" t="s">
        <v>361</v>
      </c>
      <c r="B98" s="554">
        <f>SUMIFS(Tabla24[Costo de Cierre Técnico de BCA (US$)],Tabla24[Localidad],Verif_Basurales!A98)</f>
        <v>3392000</v>
      </c>
      <c r="C98" s="554">
        <f>SUMIFS(Tabla24[Costo anual de Manteniemiento Post-cierre (US$)],Tabla24[Localidad],Verif_Basurales!A98)</f>
        <v>301161.47312877222</v>
      </c>
    </row>
    <row r="99" spans="1:3">
      <c r="A99" s="551" t="s">
        <v>432</v>
      </c>
      <c r="B99" s="554">
        <f>SUMIFS(Tabla24[Costo de Cierre Técnico de BCA (US$)],Tabla24[Localidad],Verif_Basurales!A99)</f>
        <v>2756000</v>
      </c>
      <c r="C99" s="554">
        <f>SUMIFS(Tabla24[Costo anual de Manteniemiento Post-cierre (US$)],Tabla24[Localidad],Verif_Basurales!A99)</f>
        <v>244693.69691712744</v>
      </c>
    </row>
    <row r="100" spans="1:3">
      <c r="A100" s="552" t="s">
        <v>342</v>
      </c>
      <c r="B100" s="554">
        <f>SUMIFS(Tabla24[Costo de Cierre Técnico de BCA (US$)],Tabla24[Localidad],Verif_Basurales!A100)</f>
        <v>368880</v>
      </c>
      <c r="C100" s="554">
        <f>SUMIFS(Tabla24[Costo anual de Manteniemiento Post-cierre (US$)],Tabla24[Localidad],Verif_Basurales!A100)</f>
        <v>32751.310202753983</v>
      </c>
    </row>
    <row r="101" spans="1:3">
      <c r="A101" s="551" t="s">
        <v>434</v>
      </c>
      <c r="B101" s="554">
        <f>SUMIFS(Tabla24[Costo de Cierre Técnico de BCA (US$)],Tabla24[Localidad],Verif_Basurales!A101)</f>
        <v>1802000</v>
      </c>
      <c r="C101" s="554">
        <f>SUMIFS(Tabla24[Costo anual de Manteniemiento Post-cierre (US$)],Tabla24[Localidad],Verif_Basurales!A101)</f>
        <v>159992.03259966025</v>
      </c>
    </row>
    <row r="102" spans="1:3">
      <c r="A102" s="552" t="s">
        <v>506</v>
      </c>
      <c r="B102" s="554">
        <f>SUMIFS(Tabla24[Costo de Cierre Técnico de BCA (US$)],Tabla24[Localidad],Verif_Basurales!A102)</f>
        <v>296800</v>
      </c>
      <c r="C102" s="554">
        <f>SUMIFS(Tabla24[Costo anual de Manteniemiento Post-cierre (US$)],Tabla24[Localidad],Verif_Basurales!A102)</f>
        <v>26351.628898767573</v>
      </c>
    </row>
  </sheetData>
  <pageMargins left="0.70866141732283472" right="0.70866141732283472" top="0.35433070866141736" bottom="0.35433070866141736" header="0.31496062992125984" footer="0.31496062992125984"/>
  <pageSetup paperSize="9" orientation="portrait" horizontalDpi="360" verticalDpi="360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>
    <tabColor rgb="FFFF0000"/>
    <pageSetUpPr fitToPage="1"/>
  </sheetPr>
  <dimension ref="A1:U337"/>
  <sheetViews>
    <sheetView showGridLines="0" topLeftCell="C1" zoomScale="98" workbookViewId="0">
      <selection activeCell="M2" sqref="M2"/>
    </sheetView>
  </sheetViews>
  <sheetFormatPr baseColWidth="10" defaultColWidth="11.42578125" defaultRowHeight="15.75"/>
  <cols>
    <col min="1" max="1" width="24.7109375" style="443" customWidth="1"/>
    <col min="2" max="2" width="22" style="443" customWidth="1"/>
    <col min="3" max="3" width="21.85546875" style="442" customWidth="1"/>
    <col min="4" max="4" width="15.28515625" style="443" customWidth="1"/>
    <col min="5" max="5" width="6.28515625" style="444" customWidth="1"/>
    <col min="6" max="6" width="9.140625" style="439" customWidth="1"/>
    <col min="7" max="7" width="6.7109375" style="445" customWidth="1"/>
    <col min="8" max="8" width="12.7109375" style="439" customWidth="1"/>
    <col min="9" max="9" width="5.85546875" style="445" customWidth="1"/>
    <col min="10" max="10" width="11.42578125" style="439"/>
    <col min="11" max="12" width="21" style="439" customWidth="1"/>
    <col min="13" max="13" width="16" style="446" customWidth="1"/>
    <col min="14" max="21" width="11.42578125" style="397"/>
    <col min="22" max="16384" width="11.42578125" style="398"/>
  </cols>
  <sheetData>
    <row r="1" spans="1:21" ht="63.75">
      <c r="A1" s="391" t="s">
        <v>477</v>
      </c>
      <c r="B1" s="391" t="s">
        <v>478</v>
      </c>
      <c r="C1" s="391" t="s">
        <v>479</v>
      </c>
      <c r="D1" s="392" t="s">
        <v>480</v>
      </c>
      <c r="E1" s="393" t="s">
        <v>481</v>
      </c>
      <c r="F1" s="394" t="s">
        <v>482</v>
      </c>
      <c r="G1" s="393" t="s">
        <v>481</v>
      </c>
      <c r="H1" s="394" t="s">
        <v>483</v>
      </c>
      <c r="I1" s="393" t="s">
        <v>481</v>
      </c>
      <c r="J1" s="394" t="s">
        <v>484</v>
      </c>
      <c r="K1" s="395" t="s">
        <v>485</v>
      </c>
      <c r="L1" s="395" t="s">
        <v>486</v>
      </c>
      <c r="M1" s="396" t="s">
        <v>487</v>
      </c>
    </row>
    <row r="2" spans="1:21" s="408" customFormat="1" ht="15.75" customHeight="1">
      <c r="A2" s="399" t="s">
        <v>53</v>
      </c>
      <c r="B2" s="399" t="s">
        <v>53</v>
      </c>
      <c r="C2" s="400">
        <v>3144290</v>
      </c>
      <c r="D2" s="401">
        <v>3503661</v>
      </c>
      <c r="E2" s="402">
        <v>1.4</v>
      </c>
      <c r="F2" s="403">
        <v>6</v>
      </c>
      <c r="G2" s="404">
        <v>0.9</v>
      </c>
      <c r="H2" s="403" t="s">
        <v>488</v>
      </c>
      <c r="I2" s="405">
        <v>0.3</v>
      </c>
      <c r="J2" s="406">
        <f t="shared" ref="J2:J65" si="0">AVERAGE(E2,G2,I2)</f>
        <v>0.86666666666666659</v>
      </c>
      <c r="K2" s="406">
        <f t="shared" ref="K2:K65" si="1">J2*23.2</f>
        <v>20.106666666666666</v>
      </c>
      <c r="L2" s="407">
        <f t="shared" ref="L2:L65" si="2">(C2*K2)/10000</f>
        <v>6322.1190933333328</v>
      </c>
      <c r="M2" s="766">
        <f t="shared" ref="M2:M66" si="3">IF(L2&gt;=1000,150*L2,IF(L2&gt;=150,270*L2,485*L2))</f>
        <v>948317.86399999994</v>
      </c>
      <c r="N2" s="954" t="s">
        <v>733</v>
      </c>
      <c r="O2" s="667"/>
      <c r="P2" s="668"/>
      <c r="Q2" s="397"/>
      <c r="R2" s="397"/>
      <c r="S2" s="397"/>
      <c r="T2" s="397"/>
      <c r="U2" s="397"/>
    </row>
    <row r="3" spans="1:21">
      <c r="A3" s="409" t="s">
        <v>348</v>
      </c>
      <c r="B3" s="409" t="s">
        <v>348</v>
      </c>
      <c r="C3" s="410">
        <v>1837774</v>
      </c>
      <c r="D3" s="411">
        <v>2571864</v>
      </c>
      <c r="E3" s="402">
        <v>1.4</v>
      </c>
      <c r="F3" s="412">
        <v>11.936878878305002</v>
      </c>
      <c r="G3" s="413">
        <v>1.4</v>
      </c>
      <c r="H3" s="414">
        <v>180.45</v>
      </c>
      <c r="I3" s="413">
        <v>1.4</v>
      </c>
      <c r="J3" s="415">
        <f t="shared" si="0"/>
        <v>1.3999999999999997</v>
      </c>
      <c r="K3" s="416">
        <f t="shared" si="1"/>
        <v>32.47999999999999</v>
      </c>
      <c r="L3" s="407">
        <f t="shared" si="2"/>
        <v>5969.0899519999984</v>
      </c>
      <c r="M3" s="766">
        <f t="shared" si="3"/>
        <v>895363.49279999977</v>
      </c>
      <c r="N3" s="954"/>
      <c r="O3" s="663"/>
    </row>
    <row r="4" spans="1:21" s="421" customFormat="1">
      <c r="A4" s="409" t="s">
        <v>350</v>
      </c>
      <c r="B4" s="409" t="s">
        <v>350</v>
      </c>
      <c r="C4" s="417">
        <v>772618</v>
      </c>
      <c r="D4" s="401">
        <v>856722</v>
      </c>
      <c r="E4" s="402">
        <v>1.4</v>
      </c>
      <c r="F4" s="416">
        <v>8.4052902450375715</v>
      </c>
      <c r="G4" s="418">
        <v>1.1000000000000001</v>
      </c>
      <c r="H4" s="419">
        <v>9.7799999999999994</v>
      </c>
      <c r="I4" s="420">
        <v>0.6</v>
      </c>
      <c r="J4" s="415">
        <f t="shared" si="0"/>
        <v>1.0333333333333334</v>
      </c>
      <c r="K4" s="416">
        <f t="shared" si="1"/>
        <v>23.973333333333336</v>
      </c>
      <c r="L4" s="407">
        <f t="shared" si="2"/>
        <v>1852.2228853333336</v>
      </c>
      <c r="M4" s="766">
        <f t="shared" si="3"/>
        <v>277833.43280000001</v>
      </c>
      <c r="N4" s="954"/>
      <c r="O4" s="663"/>
      <c r="P4" s="397"/>
      <c r="Q4" s="397"/>
      <c r="R4" s="397"/>
      <c r="S4" s="397"/>
      <c r="T4" s="397"/>
      <c r="U4" s="397"/>
    </row>
    <row r="5" spans="1:21">
      <c r="A5" s="409" t="s">
        <v>334</v>
      </c>
      <c r="B5" s="409" t="s">
        <v>334</v>
      </c>
      <c r="C5" s="417">
        <v>585852</v>
      </c>
      <c r="D5" s="401">
        <v>678750</v>
      </c>
      <c r="E5" s="402">
        <v>1.4</v>
      </c>
      <c r="F5" s="416">
        <v>10.465975860003313</v>
      </c>
      <c r="G5" s="418">
        <v>1.1000000000000001</v>
      </c>
      <c r="H5" s="419">
        <v>62.6</v>
      </c>
      <c r="I5" s="422">
        <v>1.4</v>
      </c>
      <c r="J5" s="415">
        <f t="shared" si="0"/>
        <v>1.3</v>
      </c>
      <c r="K5" s="416">
        <f t="shared" si="1"/>
        <v>30.16</v>
      </c>
      <c r="L5" s="407">
        <f t="shared" si="2"/>
        <v>1766.9296320000001</v>
      </c>
      <c r="M5" s="766">
        <f t="shared" si="3"/>
        <v>265039.4448</v>
      </c>
      <c r="N5" s="954"/>
      <c r="O5" s="663"/>
    </row>
    <row r="6" spans="1:21">
      <c r="A6" s="409" t="s">
        <v>333</v>
      </c>
      <c r="B6" s="409" t="s">
        <v>333</v>
      </c>
      <c r="C6" s="417">
        <v>636026</v>
      </c>
      <c r="D6" s="401">
        <v>701524</v>
      </c>
      <c r="E6" s="402">
        <v>1.4</v>
      </c>
      <c r="F6" s="416">
        <v>9.2089661792106607</v>
      </c>
      <c r="G6" s="418">
        <v>1.1000000000000001</v>
      </c>
      <c r="H6" s="419">
        <v>13.19</v>
      </c>
      <c r="I6" s="404">
        <v>0.9</v>
      </c>
      <c r="J6" s="415">
        <f t="shared" si="0"/>
        <v>1.1333333333333333</v>
      </c>
      <c r="K6" s="416">
        <f t="shared" si="1"/>
        <v>26.293333333333333</v>
      </c>
      <c r="L6" s="407">
        <f t="shared" si="2"/>
        <v>1672.3243626666667</v>
      </c>
      <c r="M6" s="766">
        <f t="shared" si="3"/>
        <v>250848.6544</v>
      </c>
      <c r="N6" s="954"/>
      <c r="O6" s="663"/>
    </row>
    <row r="7" spans="1:21">
      <c r="A7" s="409" t="s">
        <v>332</v>
      </c>
      <c r="B7" s="409" t="s">
        <v>332</v>
      </c>
      <c r="C7" s="417">
        <v>580806</v>
      </c>
      <c r="D7" s="401">
        <v>716631</v>
      </c>
      <c r="E7" s="402">
        <v>1.4</v>
      </c>
      <c r="F7" s="416">
        <v>11.487584283354545</v>
      </c>
      <c r="G7" s="413">
        <v>1.4</v>
      </c>
      <c r="H7" s="419">
        <v>2.2000000000000002</v>
      </c>
      <c r="I7" s="420">
        <v>0.6</v>
      </c>
      <c r="J7" s="415">
        <f t="shared" si="0"/>
        <v>1.1333333333333333</v>
      </c>
      <c r="K7" s="416">
        <f t="shared" si="1"/>
        <v>26.293333333333333</v>
      </c>
      <c r="L7" s="407">
        <f t="shared" si="2"/>
        <v>1527.132576</v>
      </c>
      <c r="M7" s="766">
        <f t="shared" si="3"/>
        <v>229069.88639999999</v>
      </c>
      <c r="N7" s="954"/>
      <c r="O7" s="663"/>
    </row>
    <row r="8" spans="1:21">
      <c r="A8" s="409" t="s">
        <v>331</v>
      </c>
      <c r="B8" s="409" t="s">
        <v>331</v>
      </c>
      <c r="C8" s="417">
        <v>574374</v>
      </c>
      <c r="D8" s="401">
        <v>750834</v>
      </c>
      <c r="E8" s="402">
        <v>1.4</v>
      </c>
      <c r="F8" s="416">
        <v>12.921719778093149</v>
      </c>
      <c r="G8" s="413">
        <v>1.4</v>
      </c>
      <c r="H8" s="419">
        <v>4.2</v>
      </c>
      <c r="I8" s="420">
        <v>0.6</v>
      </c>
      <c r="J8" s="415">
        <f t="shared" si="0"/>
        <v>1.1333333333333333</v>
      </c>
      <c r="K8" s="416">
        <f t="shared" si="1"/>
        <v>26.293333333333333</v>
      </c>
      <c r="L8" s="407">
        <f t="shared" si="2"/>
        <v>1510.2207039999998</v>
      </c>
      <c r="M8" s="766">
        <f t="shared" si="3"/>
        <v>226533.10559999998</v>
      </c>
      <c r="N8" s="954"/>
      <c r="O8" s="663"/>
    </row>
    <row r="9" spans="1:21">
      <c r="A9" s="409" t="s">
        <v>330</v>
      </c>
      <c r="B9" s="409" t="s">
        <v>330</v>
      </c>
      <c r="C9" s="417">
        <v>694330</v>
      </c>
      <c r="D9" s="401">
        <v>750450</v>
      </c>
      <c r="E9" s="402">
        <v>1.4</v>
      </c>
      <c r="F9" s="416">
        <v>8.9142360890470442</v>
      </c>
      <c r="G9" s="418">
        <v>1.1000000000000001</v>
      </c>
      <c r="H9" s="419" t="s">
        <v>488</v>
      </c>
      <c r="I9" s="405">
        <v>0.3</v>
      </c>
      <c r="J9" s="415">
        <f t="shared" si="0"/>
        <v>0.93333333333333324</v>
      </c>
      <c r="K9" s="416">
        <f t="shared" si="1"/>
        <v>21.653333333333329</v>
      </c>
      <c r="L9" s="407">
        <f t="shared" si="2"/>
        <v>1503.4558933333331</v>
      </c>
      <c r="M9" s="766">
        <f t="shared" si="3"/>
        <v>225518.38399999996</v>
      </c>
      <c r="N9" s="954"/>
      <c r="O9" s="663"/>
    </row>
    <row r="10" spans="1:21">
      <c r="A10" s="409" t="s">
        <v>489</v>
      </c>
      <c r="B10" s="409" t="s">
        <v>335</v>
      </c>
      <c r="C10" s="417">
        <v>497818</v>
      </c>
      <c r="D10" s="401">
        <v>662348</v>
      </c>
      <c r="E10" s="418">
        <v>1.1000000000000001</v>
      </c>
      <c r="F10" s="416">
        <v>17.021257789366686</v>
      </c>
      <c r="G10" s="413">
        <v>1.4</v>
      </c>
      <c r="H10" s="419">
        <v>25.78</v>
      </c>
      <c r="I10" s="418">
        <v>1.1000000000000001</v>
      </c>
      <c r="J10" s="415">
        <f t="shared" si="0"/>
        <v>1.2</v>
      </c>
      <c r="K10" s="416">
        <f t="shared" si="1"/>
        <v>27.84</v>
      </c>
      <c r="L10" s="407">
        <f t="shared" si="2"/>
        <v>1385.9253119999998</v>
      </c>
      <c r="M10" s="766">
        <f t="shared" si="3"/>
        <v>207888.79679999998</v>
      </c>
      <c r="N10" s="954"/>
      <c r="O10" s="663"/>
    </row>
    <row r="11" spans="1:21">
      <c r="A11" s="409" t="s">
        <v>490</v>
      </c>
      <c r="B11" s="409" t="s">
        <v>355</v>
      </c>
      <c r="C11" s="417">
        <v>682605</v>
      </c>
      <c r="D11" s="401">
        <v>724660</v>
      </c>
      <c r="E11" s="402">
        <v>1.4</v>
      </c>
      <c r="F11" s="416">
        <v>4.6688656491606046</v>
      </c>
      <c r="G11" s="404">
        <v>0.9</v>
      </c>
      <c r="H11" s="419" t="s">
        <v>488</v>
      </c>
      <c r="I11" s="405">
        <v>0.3</v>
      </c>
      <c r="J11" s="415">
        <f t="shared" si="0"/>
        <v>0.86666666666666659</v>
      </c>
      <c r="K11" s="416">
        <f t="shared" si="1"/>
        <v>20.106666666666666</v>
      </c>
      <c r="L11" s="407">
        <f t="shared" si="2"/>
        <v>1372.4911199999999</v>
      </c>
      <c r="M11" s="766">
        <f t="shared" si="3"/>
        <v>205873.66799999998</v>
      </c>
      <c r="N11" s="954"/>
      <c r="O11" s="663"/>
    </row>
    <row r="12" spans="1:21">
      <c r="A12" s="409" t="s">
        <v>337</v>
      </c>
      <c r="B12" s="409" t="s">
        <v>337</v>
      </c>
      <c r="C12" s="417">
        <v>395072</v>
      </c>
      <c r="D12" s="401">
        <v>514135</v>
      </c>
      <c r="E12" s="418">
        <v>1.1000000000000001</v>
      </c>
      <c r="F12" s="416">
        <v>13.034800595130095</v>
      </c>
      <c r="G12" s="413">
        <v>1.4</v>
      </c>
      <c r="H12" s="419">
        <v>30.1</v>
      </c>
      <c r="I12" s="418">
        <v>1.1000000000000001</v>
      </c>
      <c r="J12" s="415">
        <f t="shared" si="0"/>
        <v>1.2</v>
      </c>
      <c r="K12" s="416">
        <f t="shared" si="1"/>
        <v>27.84</v>
      </c>
      <c r="L12" s="407">
        <f t="shared" si="2"/>
        <v>1099.8804480000001</v>
      </c>
      <c r="M12" s="766">
        <f t="shared" si="3"/>
        <v>164982.06720000002</v>
      </c>
      <c r="N12" s="954"/>
      <c r="O12" s="663"/>
    </row>
    <row r="13" spans="1:21">
      <c r="A13" s="409" t="s">
        <v>491</v>
      </c>
      <c r="B13" s="409" t="s">
        <v>491</v>
      </c>
      <c r="C13" s="417">
        <v>450335</v>
      </c>
      <c r="D13" s="401">
        <v>473867</v>
      </c>
      <c r="E13" s="418">
        <v>1.1000000000000001</v>
      </c>
      <c r="F13" s="416">
        <v>6.7086079788591766</v>
      </c>
      <c r="G13" s="404">
        <v>0.9</v>
      </c>
      <c r="H13" s="419">
        <v>53.3</v>
      </c>
      <c r="I13" s="418">
        <v>1.1000000000000001</v>
      </c>
      <c r="J13" s="415">
        <f t="shared" si="0"/>
        <v>1.0333333333333334</v>
      </c>
      <c r="K13" s="416">
        <f t="shared" si="1"/>
        <v>23.973333333333336</v>
      </c>
      <c r="L13" s="407">
        <f t="shared" si="2"/>
        <v>1079.6031066666669</v>
      </c>
      <c r="M13" s="766">
        <f t="shared" si="3"/>
        <v>161940.46600000004</v>
      </c>
      <c r="N13" s="954"/>
      <c r="O13" s="663"/>
    </row>
    <row r="14" spans="1:21">
      <c r="A14" s="409" t="s">
        <v>492</v>
      </c>
      <c r="B14" s="409" t="s">
        <v>338</v>
      </c>
      <c r="C14" s="417">
        <v>351788</v>
      </c>
      <c r="D14" s="401">
        <v>433128</v>
      </c>
      <c r="E14" s="418">
        <v>1.1000000000000001</v>
      </c>
      <c r="F14" s="416">
        <v>12.130336474960263</v>
      </c>
      <c r="G14" s="413">
        <v>1.4</v>
      </c>
      <c r="H14" s="419">
        <v>70</v>
      </c>
      <c r="I14" s="422">
        <v>1.4</v>
      </c>
      <c r="J14" s="415">
        <f t="shared" si="0"/>
        <v>1.3</v>
      </c>
      <c r="K14" s="416">
        <f t="shared" si="1"/>
        <v>30.16</v>
      </c>
      <c r="L14" s="407">
        <f t="shared" si="2"/>
        <v>1060.992608</v>
      </c>
      <c r="M14" s="766">
        <f t="shared" si="3"/>
        <v>159148.89120000001</v>
      </c>
      <c r="N14" s="954"/>
      <c r="O14" s="663"/>
    </row>
    <row r="15" spans="1:21">
      <c r="A15" s="409" t="s">
        <v>336</v>
      </c>
      <c r="B15" s="409" t="s">
        <v>336</v>
      </c>
      <c r="C15" s="417">
        <v>447785</v>
      </c>
      <c r="D15" s="401">
        <v>519025</v>
      </c>
      <c r="E15" s="418">
        <v>1.1000000000000001</v>
      </c>
      <c r="F15" s="416">
        <v>11.037417785884044</v>
      </c>
      <c r="G15" s="413">
        <v>1.4</v>
      </c>
      <c r="H15" s="419" t="s">
        <v>488</v>
      </c>
      <c r="I15" s="405">
        <v>0.3</v>
      </c>
      <c r="J15" s="415">
        <f t="shared" si="0"/>
        <v>0.93333333333333324</v>
      </c>
      <c r="K15" s="416">
        <f t="shared" si="1"/>
        <v>21.653333333333329</v>
      </c>
      <c r="L15" s="407">
        <f t="shared" si="2"/>
        <v>969.60378666666656</v>
      </c>
      <c r="M15" s="767">
        <f t="shared" si="3"/>
        <v>261793.02239999996</v>
      </c>
      <c r="N15" s="954" t="s">
        <v>732</v>
      </c>
      <c r="O15" s="663"/>
    </row>
    <row r="16" spans="1:21">
      <c r="A16" s="409" t="s">
        <v>493</v>
      </c>
      <c r="B16" s="409" t="s">
        <v>493</v>
      </c>
      <c r="C16" s="417">
        <v>462051</v>
      </c>
      <c r="D16" s="401">
        <v>448575</v>
      </c>
      <c r="E16" s="418">
        <v>1.1000000000000001</v>
      </c>
      <c r="F16" s="416">
        <v>4.9580865542735673</v>
      </c>
      <c r="G16" s="404">
        <v>0.9</v>
      </c>
      <c r="H16" s="419">
        <v>4.22</v>
      </c>
      <c r="I16" s="420">
        <v>0.6</v>
      </c>
      <c r="J16" s="415">
        <f t="shared" si="0"/>
        <v>0.8666666666666667</v>
      </c>
      <c r="K16" s="416">
        <f t="shared" si="1"/>
        <v>20.106666666666666</v>
      </c>
      <c r="L16" s="407">
        <f t="shared" si="2"/>
        <v>929.03054399999996</v>
      </c>
      <c r="M16" s="767">
        <f t="shared" si="3"/>
        <v>250838.24687999999</v>
      </c>
      <c r="N16" s="954"/>
      <c r="O16" s="663"/>
    </row>
    <row r="17" spans="1:15" s="397" customFormat="1">
      <c r="A17" s="409" t="s">
        <v>339</v>
      </c>
      <c r="B17" s="409" t="s">
        <v>339</v>
      </c>
      <c r="C17" s="417">
        <v>360582</v>
      </c>
      <c r="D17" s="401">
        <v>432012</v>
      </c>
      <c r="E17" s="418">
        <v>1.1000000000000001</v>
      </c>
      <c r="F17" s="416">
        <v>10.436434674337727</v>
      </c>
      <c r="G17" s="418">
        <v>1.1000000000000001</v>
      </c>
      <c r="H17" s="419">
        <v>33.700000000000003</v>
      </c>
      <c r="I17" s="418">
        <v>1.1000000000000001</v>
      </c>
      <c r="J17" s="415">
        <f t="shared" si="0"/>
        <v>1.1000000000000001</v>
      </c>
      <c r="K17" s="416">
        <f t="shared" si="1"/>
        <v>25.52</v>
      </c>
      <c r="L17" s="407">
        <f t="shared" si="2"/>
        <v>920.20526400000006</v>
      </c>
      <c r="M17" s="767">
        <f t="shared" si="3"/>
        <v>248455.42128000001</v>
      </c>
      <c r="N17" s="954"/>
      <c r="O17" s="663"/>
    </row>
    <row r="18" spans="1:15" s="397" customFormat="1">
      <c r="A18" s="409" t="s">
        <v>494</v>
      </c>
      <c r="B18" s="409" t="s">
        <v>557</v>
      </c>
      <c r="C18" s="417">
        <v>323918</v>
      </c>
      <c r="D18" s="401">
        <v>402202</v>
      </c>
      <c r="E18" s="418">
        <v>1.1000000000000001</v>
      </c>
      <c r="F18" s="416">
        <v>12.004684755026352</v>
      </c>
      <c r="G18" s="413">
        <v>1.4</v>
      </c>
      <c r="H18" s="419">
        <v>16.8</v>
      </c>
      <c r="I18" s="404">
        <v>0.9</v>
      </c>
      <c r="J18" s="415">
        <f t="shared" si="0"/>
        <v>1.1333333333333333</v>
      </c>
      <c r="K18" s="416">
        <f t="shared" si="1"/>
        <v>26.293333333333333</v>
      </c>
      <c r="L18" s="407">
        <f t="shared" si="2"/>
        <v>851.68839466666668</v>
      </c>
      <c r="M18" s="767">
        <f t="shared" si="3"/>
        <v>229955.86655999999</v>
      </c>
      <c r="N18" s="954"/>
      <c r="O18" s="663"/>
    </row>
    <row r="19" spans="1:15" s="397" customFormat="1">
      <c r="A19" s="409" t="s">
        <v>340</v>
      </c>
      <c r="B19" s="409" t="s">
        <v>340</v>
      </c>
      <c r="C19" s="417">
        <v>370939</v>
      </c>
      <c r="D19" s="401">
        <v>416381</v>
      </c>
      <c r="E19" s="418">
        <v>1.1000000000000001</v>
      </c>
      <c r="F19" s="416">
        <v>5.7997914125612056</v>
      </c>
      <c r="G19" s="404">
        <v>0.9</v>
      </c>
      <c r="H19" s="419">
        <v>1.86</v>
      </c>
      <c r="I19" s="420">
        <v>0.6</v>
      </c>
      <c r="J19" s="415">
        <f t="shared" si="0"/>
        <v>0.8666666666666667</v>
      </c>
      <c r="K19" s="416">
        <f t="shared" si="1"/>
        <v>20.106666666666666</v>
      </c>
      <c r="L19" s="407">
        <f t="shared" si="2"/>
        <v>745.83468266666659</v>
      </c>
      <c r="M19" s="767">
        <f t="shared" si="3"/>
        <v>201375.36431999999</v>
      </c>
      <c r="N19" s="954"/>
      <c r="O19" s="663"/>
    </row>
    <row r="20" spans="1:15" s="397" customFormat="1">
      <c r="A20" s="409" t="s">
        <v>343</v>
      </c>
      <c r="B20" s="409" t="s">
        <v>343</v>
      </c>
      <c r="C20" s="417">
        <v>256449</v>
      </c>
      <c r="D20" s="401">
        <v>334994</v>
      </c>
      <c r="E20" s="418">
        <v>1.1000000000000001</v>
      </c>
      <c r="F20" s="416">
        <v>11.60700888614728</v>
      </c>
      <c r="G20" s="413">
        <v>1.4</v>
      </c>
      <c r="H20" s="419">
        <v>35.1</v>
      </c>
      <c r="I20" s="418">
        <v>1.1000000000000001</v>
      </c>
      <c r="J20" s="415">
        <f t="shared" si="0"/>
        <v>1.2</v>
      </c>
      <c r="K20" s="416">
        <f t="shared" si="1"/>
        <v>27.84</v>
      </c>
      <c r="L20" s="407">
        <f t="shared" si="2"/>
        <v>713.95401600000002</v>
      </c>
      <c r="M20" s="767">
        <f t="shared" si="3"/>
        <v>192767.58431999999</v>
      </c>
      <c r="N20" s="954"/>
      <c r="O20" s="663"/>
    </row>
    <row r="21" spans="1:15" s="397" customFormat="1">
      <c r="A21" s="409" t="s">
        <v>495</v>
      </c>
      <c r="B21" s="409" t="s">
        <v>556</v>
      </c>
      <c r="C21" s="417">
        <v>339030</v>
      </c>
      <c r="D21" s="401">
        <v>436827</v>
      </c>
      <c r="E21" s="418">
        <v>1.1000000000000001</v>
      </c>
      <c r="F21" s="416">
        <v>10.772291511541326</v>
      </c>
      <c r="G21" s="418">
        <v>1.1000000000000001</v>
      </c>
      <c r="H21" s="419" t="s">
        <v>488</v>
      </c>
      <c r="I21" s="405">
        <v>0.3</v>
      </c>
      <c r="J21" s="415">
        <f t="shared" si="0"/>
        <v>0.83333333333333337</v>
      </c>
      <c r="K21" s="416">
        <f t="shared" si="1"/>
        <v>19.333333333333332</v>
      </c>
      <c r="L21" s="407">
        <f t="shared" si="2"/>
        <v>655.45799999999997</v>
      </c>
      <c r="M21" s="767">
        <f t="shared" si="3"/>
        <v>176973.66</v>
      </c>
      <c r="N21" s="954"/>
      <c r="O21" s="663"/>
    </row>
    <row r="22" spans="1:15" s="397" customFormat="1">
      <c r="A22" s="409" t="s">
        <v>342</v>
      </c>
      <c r="B22" s="409" t="s">
        <v>342</v>
      </c>
      <c r="C22" s="417">
        <v>366377</v>
      </c>
      <c r="D22" s="401">
        <v>359464</v>
      </c>
      <c r="E22" s="418">
        <v>1.1000000000000001</v>
      </c>
      <c r="F22" s="416">
        <v>4.3317227413223431</v>
      </c>
      <c r="G22" s="420">
        <v>0.6</v>
      </c>
      <c r="H22" s="419">
        <v>7.6</v>
      </c>
      <c r="I22" s="420">
        <v>0.6</v>
      </c>
      <c r="J22" s="415">
        <f t="shared" si="0"/>
        <v>0.76666666666666672</v>
      </c>
      <c r="K22" s="416">
        <f t="shared" si="1"/>
        <v>17.786666666666669</v>
      </c>
      <c r="L22" s="407">
        <f t="shared" si="2"/>
        <v>651.66255733333344</v>
      </c>
      <c r="M22" s="767">
        <f t="shared" si="3"/>
        <v>175948.89048000003</v>
      </c>
      <c r="N22" s="954"/>
      <c r="O22" s="663"/>
    </row>
    <row r="23" spans="1:15" s="397" customFormat="1">
      <c r="A23" s="409" t="s">
        <v>496</v>
      </c>
      <c r="B23" s="409" t="s">
        <v>341</v>
      </c>
      <c r="C23" s="417">
        <v>326215</v>
      </c>
      <c r="D23" s="401">
        <v>400514</v>
      </c>
      <c r="E23" s="418">
        <v>1.1000000000000001</v>
      </c>
      <c r="F23" s="416">
        <v>8.175921217458173</v>
      </c>
      <c r="G23" s="418">
        <v>1.1000000000000001</v>
      </c>
      <c r="H23" s="419" t="s">
        <v>488</v>
      </c>
      <c r="I23" s="405">
        <v>0.3</v>
      </c>
      <c r="J23" s="415">
        <f t="shared" si="0"/>
        <v>0.83333333333333337</v>
      </c>
      <c r="K23" s="416">
        <f t="shared" si="1"/>
        <v>19.333333333333332</v>
      </c>
      <c r="L23" s="407">
        <f t="shared" si="2"/>
        <v>630.6823333333333</v>
      </c>
      <c r="M23" s="767">
        <f t="shared" si="3"/>
        <v>170284.22999999998</v>
      </c>
      <c r="N23" s="954"/>
      <c r="O23" s="663"/>
    </row>
    <row r="24" spans="1:15" s="397" customFormat="1">
      <c r="A24" s="409" t="s">
        <v>497</v>
      </c>
      <c r="B24" s="409" t="s">
        <v>558</v>
      </c>
      <c r="C24" s="417">
        <v>334178</v>
      </c>
      <c r="D24" s="401">
        <v>384223</v>
      </c>
      <c r="E24" s="418">
        <v>1.1000000000000001</v>
      </c>
      <c r="F24" s="416">
        <v>3.5228527062169093</v>
      </c>
      <c r="G24" s="420">
        <v>0.6</v>
      </c>
      <c r="H24" s="419">
        <v>4.4800000000000004</v>
      </c>
      <c r="I24" s="420">
        <v>0.6</v>
      </c>
      <c r="J24" s="415">
        <f t="shared" si="0"/>
        <v>0.76666666666666672</v>
      </c>
      <c r="K24" s="416">
        <f t="shared" si="1"/>
        <v>17.786666666666669</v>
      </c>
      <c r="L24" s="407">
        <f t="shared" si="2"/>
        <v>594.39126933333341</v>
      </c>
      <c r="M24" s="767">
        <f t="shared" si="3"/>
        <v>160485.64272000003</v>
      </c>
      <c r="N24" s="954"/>
      <c r="O24" s="663"/>
    </row>
    <row r="25" spans="1:15" s="397" customFormat="1">
      <c r="A25" s="409" t="s">
        <v>498</v>
      </c>
      <c r="B25" s="409" t="s">
        <v>498</v>
      </c>
      <c r="C25" s="417">
        <v>335190</v>
      </c>
      <c r="D25" s="401">
        <v>380122</v>
      </c>
      <c r="E25" s="418">
        <v>1.1000000000000001</v>
      </c>
      <c r="F25" s="416">
        <v>3.7297564124470775</v>
      </c>
      <c r="G25" s="420">
        <v>0.6</v>
      </c>
      <c r="H25" s="419" t="s">
        <v>488</v>
      </c>
      <c r="I25" s="405">
        <v>0.3</v>
      </c>
      <c r="J25" s="415">
        <f t="shared" si="0"/>
        <v>0.66666666666666663</v>
      </c>
      <c r="K25" s="416">
        <f t="shared" si="1"/>
        <v>15.466666666666665</v>
      </c>
      <c r="L25" s="407">
        <f t="shared" si="2"/>
        <v>518.42719999999986</v>
      </c>
      <c r="M25" s="767">
        <f t="shared" si="3"/>
        <v>139975.34399999995</v>
      </c>
      <c r="N25" s="954"/>
      <c r="O25" s="663"/>
    </row>
    <row r="26" spans="1:15" s="397" customFormat="1">
      <c r="A26" s="409" t="s">
        <v>344</v>
      </c>
      <c r="B26" s="409" t="s">
        <v>344</v>
      </c>
      <c r="C26" s="417">
        <v>298777</v>
      </c>
      <c r="D26" s="401">
        <v>300266</v>
      </c>
      <c r="E26" s="418">
        <v>1.1000000000000001</v>
      </c>
      <c r="F26" s="416">
        <v>3.6569183133942995</v>
      </c>
      <c r="G26" s="420">
        <v>0.6</v>
      </c>
      <c r="H26" s="419" t="s">
        <v>488</v>
      </c>
      <c r="I26" s="405">
        <v>0.3</v>
      </c>
      <c r="J26" s="415">
        <f t="shared" si="0"/>
        <v>0.66666666666666663</v>
      </c>
      <c r="K26" s="416">
        <f t="shared" si="1"/>
        <v>15.466666666666665</v>
      </c>
      <c r="L26" s="407">
        <f t="shared" si="2"/>
        <v>462.10842666666667</v>
      </c>
      <c r="M26" s="767">
        <f t="shared" si="3"/>
        <v>124769.2752</v>
      </c>
      <c r="N26" s="954"/>
      <c r="O26" s="663"/>
    </row>
    <row r="27" spans="1:15" s="397" customFormat="1">
      <c r="A27" s="409" t="s">
        <v>346</v>
      </c>
      <c r="B27" s="409" t="s">
        <v>346</v>
      </c>
      <c r="C27" s="417">
        <v>172524</v>
      </c>
      <c r="D27" s="401">
        <v>184842</v>
      </c>
      <c r="E27" s="418">
        <v>1.1000000000000001</v>
      </c>
      <c r="F27" s="416">
        <v>8.5837518224526157</v>
      </c>
      <c r="G27" s="418">
        <v>1.1000000000000001</v>
      </c>
      <c r="H27" s="419">
        <v>29.2</v>
      </c>
      <c r="I27" s="418">
        <v>1.1000000000000001</v>
      </c>
      <c r="J27" s="415">
        <f t="shared" si="0"/>
        <v>1.1000000000000001</v>
      </c>
      <c r="K27" s="416">
        <f t="shared" si="1"/>
        <v>25.52</v>
      </c>
      <c r="L27" s="407">
        <f t="shared" si="2"/>
        <v>440.28124799999995</v>
      </c>
      <c r="M27" s="767">
        <f t="shared" si="3"/>
        <v>118875.93695999999</v>
      </c>
      <c r="N27" s="954"/>
      <c r="O27" s="663"/>
    </row>
    <row r="28" spans="1:15" s="397" customFormat="1">
      <c r="A28" s="409" t="s">
        <v>499</v>
      </c>
      <c r="B28" s="409" t="s">
        <v>362</v>
      </c>
      <c r="C28" s="417">
        <v>203283</v>
      </c>
      <c r="D28" s="401">
        <v>282666</v>
      </c>
      <c r="E28" s="418">
        <v>1.1000000000000001</v>
      </c>
      <c r="F28" s="416">
        <v>14.102996380965227</v>
      </c>
      <c r="G28" s="413">
        <v>1.4</v>
      </c>
      <c r="H28" s="419" t="s">
        <v>488</v>
      </c>
      <c r="I28" s="405">
        <v>0.3</v>
      </c>
      <c r="J28" s="415">
        <f t="shared" si="0"/>
        <v>0.93333333333333324</v>
      </c>
      <c r="K28" s="416">
        <f t="shared" si="1"/>
        <v>21.653333333333329</v>
      </c>
      <c r="L28" s="407">
        <f t="shared" si="2"/>
        <v>440.17545599999988</v>
      </c>
      <c r="M28" s="767">
        <f t="shared" si="3"/>
        <v>118847.37311999997</v>
      </c>
      <c r="N28" s="954"/>
      <c r="O28" s="663"/>
    </row>
    <row r="29" spans="1:15" s="397" customFormat="1">
      <c r="A29" s="409" t="s">
        <v>500</v>
      </c>
      <c r="B29" s="409" t="s">
        <v>345</v>
      </c>
      <c r="C29" s="417">
        <v>187122</v>
      </c>
      <c r="D29" s="401">
        <v>199559</v>
      </c>
      <c r="E29" s="418">
        <v>1.1000000000000001</v>
      </c>
      <c r="F29" s="416">
        <v>6.8484452668625959</v>
      </c>
      <c r="G29" s="418">
        <v>1.1000000000000001</v>
      </c>
      <c r="H29" s="419">
        <v>8</v>
      </c>
      <c r="I29" s="420">
        <v>0.6</v>
      </c>
      <c r="J29" s="415">
        <f t="shared" si="0"/>
        <v>0.93333333333333346</v>
      </c>
      <c r="K29" s="416">
        <f t="shared" si="1"/>
        <v>21.653333333333336</v>
      </c>
      <c r="L29" s="407">
        <f t="shared" si="2"/>
        <v>405.18150400000007</v>
      </c>
      <c r="M29" s="767">
        <f t="shared" si="3"/>
        <v>109399.00608000002</v>
      </c>
      <c r="N29" s="954"/>
      <c r="O29" s="663"/>
    </row>
    <row r="30" spans="1:15" s="397" customFormat="1">
      <c r="A30" s="409" t="s">
        <v>501</v>
      </c>
      <c r="B30" s="409" t="s">
        <v>501</v>
      </c>
      <c r="C30" s="417">
        <v>283510</v>
      </c>
      <c r="D30" s="401">
        <v>244333</v>
      </c>
      <c r="E30" s="418">
        <v>1.1000000000000001</v>
      </c>
      <c r="F30" s="416">
        <v>2.4313599097556553</v>
      </c>
      <c r="G30" s="405">
        <v>0.3</v>
      </c>
      <c r="H30" s="419" t="s">
        <v>488</v>
      </c>
      <c r="I30" s="405">
        <v>0.3</v>
      </c>
      <c r="J30" s="415">
        <f t="shared" si="0"/>
        <v>0.56666666666666676</v>
      </c>
      <c r="K30" s="416">
        <f t="shared" si="1"/>
        <v>13.146666666666668</v>
      </c>
      <c r="L30" s="407">
        <f t="shared" si="2"/>
        <v>372.7211466666667</v>
      </c>
      <c r="M30" s="767">
        <f t="shared" si="3"/>
        <v>100634.7096</v>
      </c>
      <c r="N30" s="954"/>
      <c r="O30" s="663"/>
    </row>
    <row r="31" spans="1:15" s="397" customFormat="1">
      <c r="A31" s="409" t="s">
        <v>502</v>
      </c>
      <c r="B31" s="409" t="s">
        <v>559</v>
      </c>
      <c r="C31" s="417">
        <v>179788</v>
      </c>
      <c r="D31" s="401">
        <v>198817</v>
      </c>
      <c r="E31" s="418">
        <v>1.2</v>
      </c>
      <c r="F31" s="416">
        <v>4.9063058860119737</v>
      </c>
      <c r="G31" s="404">
        <v>0.9</v>
      </c>
      <c r="H31" s="419" t="s">
        <v>488</v>
      </c>
      <c r="I31" s="405">
        <v>0.3</v>
      </c>
      <c r="J31" s="415">
        <f t="shared" si="0"/>
        <v>0.79999999999999993</v>
      </c>
      <c r="K31" s="416">
        <f t="shared" si="1"/>
        <v>18.559999999999999</v>
      </c>
      <c r="L31" s="407">
        <f t="shared" si="2"/>
        <v>333.68652799999995</v>
      </c>
      <c r="M31" s="767">
        <f t="shared" si="3"/>
        <v>90095.362559999994</v>
      </c>
      <c r="N31" s="954"/>
      <c r="O31" s="663"/>
    </row>
    <row r="32" spans="1:15" s="397" customFormat="1">
      <c r="A32" s="409" t="s">
        <v>503</v>
      </c>
      <c r="B32" s="409" t="s">
        <v>504</v>
      </c>
      <c r="C32" s="417">
        <v>165375</v>
      </c>
      <c r="D32" s="401">
        <v>177685</v>
      </c>
      <c r="E32" s="418">
        <v>1.1000000000000001</v>
      </c>
      <c r="F32" s="416">
        <v>5.6047590508534775</v>
      </c>
      <c r="G32" s="404">
        <v>0.9</v>
      </c>
      <c r="H32" s="419" t="s">
        <v>488</v>
      </c>
      <c r="I32" s="405">
        <v>0.3</v>
      </c>
      <c r="J32" s="415">
        <f t="shared" si="0"/>
        <v>0.76666666666666661</v>
      </c>
      <c r="K32" s="416">
        <f t="shared" si="1"/>
        <v>17.786666666666665</v>
      </c>
      <c r="L32" s="407">
        <f t="shared" si="2"/>
        <v>294.14699999999999</v>
      </c>
      <c r="M32" s="767">
        <f t="shared" si="3"/>
        <v>79419.69</v>
      </c>
      <c r="N32" s="954"/>
      <c r="O32" s="663"/>
    </row>
    <row r="33" spans="1:21">
      <c r="A33" s="409" t="s">
        <v>505</v>
      </c>
      <c r="B33" s="409" t="s">
        <v>505</v>
      </c>
      <c r="C33" s="417">
        <v>143211</v>
      </c>
      <c r="D33" s="401">
        <v>203687</v>
      </c>
      <c r="E33" s="404">
        <v>0.9</v>
      </c>
      <c r="F33" s="416">
        <v>13.917194896894808</v>
      </c>
      <c r="G33" s="413">
        <v>1.4</v>
      </c>
      <c r="H33" s="419" t="s">
        <v>488</v>
      </c>
      <c r="I33" s="405">
        <v>0.3</v>
      </c>
      <c r="J33" s="415">
        <f t="shared" si="0"/>
        <v>0.86666666666666659</v>
      </c>
      <c r="K33" s="416">
        <f t="shared" si="1"/>
        <v>20.106666666666666</v>
      </c>
      <c r="L33" s="407">
        <f t="shared" si="2"/>
        <v>287.94958399999996</v>
      </c>
      <c r="M33" s="767">
        <f t="shared" si="3"/>
        <v>77746.387679999985</v>
      </c>
      <c r="N33" s="954"/>
      <c r="O33" s="663"/>
    </row>
    <row r="34" spans="1:21">
      <c r="A34" s="409" t="s">
        <v>347</v>
      </c>
      <c r="B34" s="409" t="s">
        <v>560</v>
      </c>
      <c r="C34" s="417">
        <v>102128</v>
      </c>
      <c r="D34" s="401">
        <v>134053</v>
      </c>
      <c r="E34" s="404">
        <v>0.9</v>
      </c>
      <c r="F34" s="416">
        <v>19.129866492391002</v>
      </c>
      <c r="G34" s="413">
        <v>1.4</v>
      </c>
      <c r="H34" s="419">
        <v>22.3</v>
      </c>
      <c r="I34" s="418">
        <v>1.1000000000000001</v>
      </c>
      <c r="J34" s="415">
        <f t="shared" si="0"/>
        <v>1.1333333333333333</v>
      </c>
      <c r="K34" s="416">
        <f t="shared" si="1"/>
        <v>26.293333333333333</v>
      </c>
      <c r="L34" s="407">
        <f t="shared" si="2"/>
        <v>268.52855466666671</v>
      </c>
      <c r="M34" s="767">
        <f t="shared" si="3"/>
        <v>72502.709760000012</v>
      </c>
      <c r="N34" s="954"/>
      <c r="O34" s="663"/>
    </row>
    <row r="35" spans="1:21">
      <c r="A35" s="409" t="s">
        <v>352</v>
      </c>
      <c r="B35" s="409" t="s">
        <v>352</v>
      </c>
      <c r="C35" s="417">
        <v>101263</v>
      </c>
      <c r="D35" s="401">
        <v>112578</v>
      </c>
      <c r="E35" s="404">
        <v>0.9</v>
      </c>
      <c r="F35" s="416">
        <v>11.202593901417174</v>
      </c>
      <c r="G35" s="413">
        <v>1.4</v>
      </c>
      <c r="H35" s="419">
        <v>20.2</v>
      </c>
      <c r="I35" s="418">
        <v>1.1000000000000001</v>
      </c>
      <c r="J35" s="415">
        <f t="shared" si="0"/>
        <v>1.1333333333333333</v>
      </c>
      <c r="K35" s="416">
        <f t="shared" si="1"/>
        <v>26.293333333333333</v>
      </c>
      <c r="L35" s="407">
        <f t="shared" si="2"/>
        <v>266.25418133333335</v>
      </c>
      <c r="M35" s="767">
        <f t="shared" si="3"/>
        <v>71888.628960000002</v>
      </c>
      <c r="N35" s="954"/>
      <c r="O35" s="663"/>
    </row>
    <row r="36" spans="1:21">
      <c r="A36" s="409" t="s">
        <v>506</v>
      </c>
      <c r="B36" s="409" t="s">
        <v>506</v>
      </c>
      <c r="C36" s="417">
        <v>132087</v>
      </c>
      <c r="D36" s="401">
        <v>133218</v>
      </c>
      <c r="E36" s="404">
        <v>0.9</v>
      </c>
      <c r="F36" s="416">
        <v>9.1200423367535954</v>
      </c>
      <c r="G36" s="418">
        <v>1.1000000000000001</v>
      </c>
      <c r="H36" s="419">
        <v>4.5</v>
      </c>
      <c r="I36" s="420">
        <v>0.6</v>
      </c>
      <c r="J36" s="415">
        <f t="shared" si="0"/>
        <v>0.8666666666666667</v>
      </c>
      <c r="K36" s="416">
        <f t="shared" si="1"/>
        <v>20.106666666666666</v>
      </c>
      <c r="L36" s="407">
        <f t="shared" si="2"/>
        <v>265.58292799999998</v>
      </c>
      <c r="M36" s="767">
        <f t="shared" si="3"/>
        <v>71707.39056</v>
      </c>
      <c r="N36" s="954"/>
      <c r="O36" s="663"/>
    </row>
    <row r="37" spans="1:21">
      <c r="A37" s="409" t="s">
        <v>507</v>
      </c>
      <c r="B37" s="409" t="s">
        <v>507</v>
      </c>
      <c r="C37" s="417">
        <v>126328</v>
      </c>
      <c r="D37" s="401">
        <v>109204</v>
      </c>
      <c r="E37" s="404">
        <v>0.9</v>
      </c>
      <c r="F37" s="416">
        <v>3.3039468330394688</v>
      </c>
      <c r="G37" s="420">
        <v>0.6</v>
      </c>
      <c r="H37" s="419">
        <v>13.9</v>
      </c>
      <c r="I37" s="404">
        <v>0.9</v>
      </c>
      <c r="J37" s="415">
        <f t="shared" si="0"/>
        <v>0.79999999999999993</v>
      </c>
      <c r="K37" s="416">
        <f t="shared" si="1"/>
        <v>18.559999999999999</v>
      </c>
      <c r="L37" s="407">
        <f t="shared" si="2"/>
        <v>234.46476799999996</v>
      </c>
      <c r="M37" s="767">
        <f t="shared" si="3"/>
        <v>63305.487359999992</v>
      </c>
      <c r="N37" s="954"/>
      <c r="O37" s="663"/>
    </row>
    <row r="38" spans="1:21">
      <c r="A38" s="409" t="s">
        <v>508</v>
      </c>
      <c r="B38" s="409" t="s">
        <v>508</v>
      </c>
      <c r="C38" s="417">
        <v>111365</v>
      </c>
      <c r="D38" s="401">
        <v>145182</v>
      </c>
      <c r="E38" s="404">
        <v>0.9</v>
      </c>
      <c r="F38" s="416">
        <v>6.0785881195424922</v>
      </c>
      <c r="G38" s="404">
        <v>0.9</v>
      </c>
      <c r="H38" s="419">
        <v>16</v>
      </c>
      <c r="I38" s="404">
        <v>0.9</v>
      </c>
      <c r="J38" s="415">
        <f t="shared" si="0"/>
        <v>0.9</v>
      </c>
      <c r="K38" s="416">
        <f t="shared" si="1"/>
        <v>20.88</v>
      </c>
      <c r="L38" s="407">
        <f t="shared" si="2"/>
        <v>232.53011999999998</v>
      </c>
      <c r="M38" s="767">
        <f t="shared" si="3"/>
        <v>62783.132399999995</v>
      </c>
      <c r="N38" s="954"/>
      <c r="O38" s="663"/>
    </row>
    <row r="39" spans="1:21">
      <c r="A39" s="409" t="s">
        <v>389</v>
      </c>
      <c r="B39" s="399" t="s">
        <v>389</v>
      </c>
      <c r="C39" s="417">
        <v>150162</v>
      </c>
      <c r="D39" s="423">
        <v>164567</v>
      </c>
      <c r="E39" s="418">
        <v>1.1000000000000001</v>
      </c>
      <c r="F39" s="416">
        <v>3.7237863515235778</v>
      </c>
      <c r="G39" s="420">
        <v>0.6</v>
      </c>
      <c r="H39" s="419" t="s">
        <v>488</v>
      </c>
      <c r="I39" s="405">
        <v>0.3</v>
      </c>
      <c r="J39" s="415">
        <f t="shared" si="0"/>
        <v>0.66666666666666663</v>
      </c>
      <c r="K39" s="416">
        <f t="shared" si="1"/>
        <v>15.466666666666665</v>
      </c>
      <c r="L39" s="407">
        <f t="shared" si="2"/>
        <v>232.25055999999995</v>
      </c>
      <c r="M39" s="767">
        <f t="shared" si="3"/>
        <v>62707.651199999986</v>
      </c>
      <c r="N39" s="954"/>
      <c r="O39" s="663"/>
    </row>
    <row r="40" spans="1:21">
      <c r="A40" s="409" t="s">
        <v>509</v>
      </c>
      <c r="B40" s="409" t="s">
        <v>364</v>
      </c>
      <c r="C40" s="417">
        <v>98977</v>
      </c>
      <c r="D40" s="401">
        <v>150552</v>
      </c>
      <c r="E40" s="418">
        <v>1.1000000000000001</v>
      </c>
      <c r="F40" s="416">
        <v>15.459219443795281</v>
      </c>
      <c r="G40" s="413">
        <v>1.4</v>
      </c>
      <c r="H40" s="419" t="s">
        <v>488</v>
      </c>
      <c r="I40" s="405">
        <v>0.3</v>
      </c>
      <c r="J40" s="415">
        <f t="shared" si="0"/>
        <v>0.93333333333333324</v>
      </c>
      <c r="K40" s="416">
        <f t="shared" si="1"/>
        <v>21.653333333333329</v>
      </c>
      <c r="L40" s="407">
        <f t="shared" si="2"/>
        <v>214.31819733333327</v>
      </c>
      <c r="M40" s="767">
        <f t="shared" si="3"/>
        <v>57865.913279999986</v>
      </c>
      <c r="N40" s="954"/>
      <c r="O40" s="664"/>
      <c r="Q40" s="424"/>
      <c r="R40" s="424"/>
      <c r="S40" s="424"/>
      <c r="T40" s="424"/>
      <c r="U40" s="424"/>
    </row>
    <row r="41" spans="1:21">
      <c r="A41" s="409" t="s">
        <v>510</v>
      </c>
      <c r="B41" s="409" t="s">
        <v>510</v>
      </c>
      <c r="C41" s="417">
        <v>101762</v>
      </c>
      <c r="D41" s="401">
        <v>104637</v>
      </c>
      <c r="E41" s="404">
        <v>0.9</v>
      </c>
      <c r="F41" s="416">
        <v>4.1926439056572651</v>
      </c>
      <c r="G41" s="420">
        <v>0.6</v>
      </c>
      <c r="H41" s="419">
        <v>54.45</v>
      </c>
      <c r="I41" s="418">
        <v>1.1000000000000001</v>
      </c>
      <c r="J41" s="415">
        <f t="shared" si="0"/>
        <v>0.8666666666666667</v>
      </c>
      <c r="K41" s="416">
        <f t="shared" si="1"/>
        <v>20.106666666666666</v>
      </c>
      <c r="L41" s="407">
        <f t="shared" si="2"/>
        <v>204.60946133333331</v>
      </c>
      <c r="M41" s="767">
        <f t="shared" si="3"/>
        <v>55244.554559999997</v>
      </c>
      <c r="N41" s="954"/>
      <c r="O41" s="663"/>
    </row>
    <row r="42" spans="1:21">
      <c r="A42" s="409" t="s">
        <v>375</v>
      </c>
      <c r="B42" s="409" t="s">
        <v>375</v>
      </c>
      <c r="C42" s="417">
        <v>110726</v>
      </c>
      <c r="D42" s="401">
        <v>112469</v>
      </c>
      <c r="E42" s="404">
        <v>0.9</v>
      </c>
      <c r="F42" s="416">
        <v>8.6549749208494902</v>
      </c>
      <c r="G42" s="418">
        <v>1.1000000000000001</v>
      </c>
      <c r="H42" s="419" t="s">
        <v>488</v>
      </c>
      <c r="I42" s="405">
        <v>0.3</v>
      </c>
      <c r="J42" s="415">
        <f t="shared" si="0"/>
        <v>0.76666666666666661</v>
      </c>
      <c r="K42" s="416">
        <f t="shared" si="1"/>
        <v>17.786666666666665</v>
      </c>
      <c r="L42" s="407">
        <f t="shared" si="2"/>
        <v>196.94464533333331</v>
      </c>
      <c r="M42" s="767">
        <f t="shared" si="3"/>
        <v>53175.054239999998</v>
      </c>
      <c r="N42" s="954"/>
      <c r="O42" s="663"/>
    </row>
    <row r="43" spans="1:21">
      <c r="A43" s="409" t="s">
        <v>511</v>
      </c>
      <c r="B43" s="409" t="s">
        <v>565</v>
      </c>
      <c r="C43" s="417">
        <v>104977</v>
      </c>
      <c r="D43" s="401">
        <v>110618</v>
      </c>
      <c r="E43" s="404">
        <v>0.9</v>
      </c>
      <c r="F43" s="416">
        <v>3.4049323786793955</v>
      </c>
      <c r="G43" s="420">
        <v>0.6</v>
      </c>
      <c r="H43" s="419">
        <v>14.4</v>
      </c>
      <c r="I43" s="404">
        <v>0.9</v>
      </c>
      <c r="J43" s="415">
        <f t="shared" si="0"/>
        <v>0.79999999999999993</v>
      </c>
      <c r="K43" s="416">
        <f t="shared" si="1"/>
        <v>18.559999999999999</v>
      </c>
      <c r="L43" s="407">
        <f t="shared" si="2"/>
        <v>194.837312</v>
      </c>
      <c r="M43" s="767">
        <f t="shared" si="3"/>
        <v>52606.074240000002</v>
      </c>
      <c r="N43" s="954"/>
      <c r="O43" s="663"/>
    </row>
    <row r="44" spans="1:21" ht="15.75" customHeight="1">
      <c r="A44" s="409" t="s">
        <v>512</v>
      </c>
      <c r="B44" s="409" t="s">
        <v>176</v>
      </c>
      <c r="C44" s="417">
        <v>102836</v>
      </c>
      <c r="D44" s="401">
        <v>64364</v>
      </c>
      <c r="E44" s="404">
        <v>0.9</v>
      </c>
      <c r="F44" s="416">
        <v>5.7538936907595302</v>
      </c>
      <c r="G44" s="404">
        <v>0.9</v>
      </c>
      <c r="H44" s="419" t="s">
        <v>488</v>
      </c>
      <c r="I44" s="405">
        <v>0.3</v>
      </c>
      <c r="J44" s="415">
        <f t="shared" si="0"/>
        <v>0.70000000000000007</v>
      </c>
      <c r="K44" s="416">
        <f t="shared" si="1"/>
        <v>16.240000000000002</v>
      </c>
      <c r="L44" s="407">
        <f t="shared" si="2"/>
        <v>167.00566400000002</v>
      </c>
      <c r="M44" s="767">
        <f t="shared" si="3"/>
        <v>45091.52928000001</v>
      </c>
      <c r="N44" s="954"/>
      <c r="O44" s="663"/>
    </row>
    <row r="45" spans="1:21">
      <c r="A45" s="409" t="s">
        <v>376</v>
      </c>
      <c r="B45" s="409" t="s">
        <v>376</v>
      </c>
      <c r="C45" s="417">
        <v>114052</v>
      </c>
      <c r="D45" s="401">
        <v>107657</v>
      </c>
      <c r="E45" s="404">
        <v>0.9</v>
      </c>
      <c r="F45" s="416">
        <v>4.3286930510814541</v>
      </c>
      <c r="G45" s="420">
        <v>0.6</v>
      </c>
      <c r="H45" s="419" t="s">
        <v>488</v>
      </c>
      <c r="I45" s="405">
        <v>0.3</v>
      </c>
      <c r="J45" s="415">
        <f t="shared" si="0"/>
        <v>0.6</v>
      </c>
      <c r="K45" s="416">
        <f t="shared" si="1"/>
        <v>13.92</v>
      </c>
      <c r="L45" s="407">
        <f t="shared" si="2"/>
        <v>158.76038400000002</v>
      </c>
      <c r="M45" s="767">
        <f t="shared" si="3"/>
        <v>42865.303680000005</v>
      </c>
      <c r="N45" s="954"/>
      <c r="O45" s="663"/>
    </row>
    <row r="46" spans="1:21">
      <c r="A46" s="409" t="s">
        <v>412</v>
      </c>
      <c r="B46" s="409" t="s">
        <v>412</v>
      </c>
      <c r="C46" s="417">
        <v>69616</v>
      </c>
      <c r="D46" s="401">
        <v>66569</v>
      </c>
      <c r="E46" s="404">
        <v>0.9</v>
      </c>
      <c r="F46" s="416">
        <v>7.6622742801366526</v>
      </c>
      <c r="G46" s="418">
        <v>1.1000000000000001</v>
      </c>
      <c r="H46" s="419">
        <v>19</v>
      </c>
      <c r="I46" s="404">
        <v>0.9</v>
      </c>
      <c r="J46" s="415">
        <f t="shared" si="0"/>
        <v>0.96666666666666667</v>
      </c>
      <c r="K46" s="416">
        <f t="shared" si="1"/>
        <v>22.426666666666666</v>
      </c>
      <c r="L46" s="407">
        <f t="shared" si="2"/>
        <v>156.12548266666667</v>
      </c>
      <c r="M46" s="767">
        <f t="shared" si="3"/>
        <v>42153.880320000004</v>
      </c>
      <c r="N46" s="954"/>
      <c r="O46" s="663"/>
    </row>
    <row r="47" spans="1:21">
      <c r="A47" s="409" t="s">
        <v>365</v>
      </c>
      <c r="B47" s="409" t="s">
        <v>365</v>
      </c>
      <c r="C47" s="417">
        <v>67154</v>
      </c>
      <c r="D47" s="401">
        <v>84705</v>
      </c>
      <c r="E47" s="404">
        <v>0.9</v>
      </c>
      <c r="F47" s="416">
        <v>12.213427947598253</v>
      </c>
      <c r="G47" s="413">
        <v>1.4</v>
      </c>
      <c r="H47" s="419">
        <v>1.33</v>
      </c>
      <c r="I47" s="420">
        <v>0.6</v>
      </c>
      <c r="J47" s="415">
        <f t="shared" si="0"/>
        <v>0.96666666666666667</v>
      </c>
      <c r="K47" s="416">
        <f t="shared" si="1"/>
        <v>22.426666666666666</v>
      </c>
      <c r="L47" s="407">
        <f t="shared" si="2"/>
        <v>150.60403733333334</v>
      </c>
      <c r="M47" s="767">
        <f t="shared" si="3"/>
        <v>40663.090080000002</v>
      </c>
      <c r="N47" s="954"/>
      <c r="O47" s="663"/>
    </row>
    <row r="48" spans="1:21" ht="25.5" customHeight="1">
      <c r="A48" s="409" t="s">
        <v>400</v>
      </c>
      <c r="B48" s="409" t="s">
        <v>400</v>
      </c>
      <c r="C48" s="417">
        <v>70765</v>
      </c>
      <c r="D48" s="401">
        <v>72120</v>
      </c>
      <c r="E48" s="404">
        <v>0.9</v>
      </c>
      <c r="F48" s="416">
        <v>3.6136394511615268</v>
      </c>
      <c r="G48" s="420">
        <v>0.6</v>
      </c>
      <c r="H48" s="419">
        <v>25.8</v>
      </c>
      <c r="I48" s="418">
        <v>1.1000000000000001</v>
      </c>
      <c r="J48" s="415">
        <f t="shared" si="0"/>
        <v>0.8666666666666667</v>
      </c>
      <c r="K48" s="416">
        <f t="shared" si="1"/>
        <v>20.106666666666666</v>
      </c>
      <c r="L48" s="407">
        <f t="shared" si="2"/>
        <v>142.28482666666667</v>
      </c>
      <c r="M48" s="768">
        <f t="shared" si="3"/>
        <v>69008.140933333343</v>
      </c>
      <c r="N48" s="954" t="s">
        <v>731</v>
      </c>
      <c r="O48" s="663"/>
    </row>
    <row r="49" spans="1:21">
      <c r="A49" s="409" t="s">
        <v>392</v>
      </c>
      <c r="B49" s="409" t="s">
        <v>392</v>
      </c>
      <c r="C49" s="417">
        <v>73477</v>
      </c>
      <c r="D49" s="401">
        <v>69691</v>
      </c>
      <c r="E49" s="404">
        <v>0.9</v>
      </c>
      <c r="F49" s="416">
        <v>5.1004254477095081</v>
      </c>
      <c r="G49" s="404">
        <v>0.9</v>
      </c>
      <c r="H49" s="419">
        <v>9.1</v>
      </c>
      <c r="I49" s="420">
        <v>0.6</v>
      </c>
      <c r="J49" s="415">
        <f t="shared" si="0"/>
        <v>0.79999999999999993</v>
      </c>
      <c r="K49" s="416">
        <f t="shared" si="1"/>
        <v>18.559999999999999</v>
      </c>
      <c r="L49" s="407">
        <f t="shared" si="2"/>
        <v>136.373312</v>
      </c>
      <c r="M49" s="768">
        <f t="shared" si="3"/>
        <v>66141.056320000003</v>
      </c>
      <c r="N49" s="954"/>
      <c r="O49" s="663"/>
    </row>
    <row r="50" spans="1:21">
      <c r="A50" s="409" t="s">
        <v>513</v>
      </c>
      <c r="B50" s="409" t="s">
        <v>366</v>
      </c>
      <c r="C50" s="417">
        <v>71149</v>
      </c>
      <c r="D50" s="401">
        <v>60076</v>
      </c>
      <c r="E50" s="404">
        <v>0.9</v>
      </c>
      <c r="F50" s="416">
        <v>10.207680250783699</v>
      </c>
      <c r="G50" s="418">
        <v>1.1000000000000001</v>
      </c>
      <c r="H50" s="419" t="s">
        <v>488</v>
      </c>
      <c r="I50" s="405">
        <v>0.3</v>
      </c>
      <c r="J50" s="415">
        <f t="shared" si="0"/>
        <v>0.76666666666666661</v>
      </c>
      <c r="K50" s="416">
        <f t="shared" si="1"/>
        <v>17.786666666666665</v>
      </c>
      <c r="L50" s="407">
        <f t="shared" si="2"/>
        <v>126.55035466666666</v>
      </c>
      <c r="M50" s="768">
        <f t="shared" si="3"/>
        <v>61376.922013333329</v>
      </c>
      <c r="N50" s="954"/>
      <c r="O50" s="663"/>
    </row>
    <row r="51" spans="1:21">
      <c r="A51" s="409" t="s">
        <v>514</v>
      </c>
      <c r="B51" s="409" t="s">
        <v>15</v>
      </c>
      <c r="C51" s="417">
        <v>70407</v>
      </c>
      <c r="D51" s="401">
        <v>63798</v>
      </c>
      <c r="E51" s="404">
        <v>0.9</v>
      </c>
      <c r="F51" s="416">
        <v>2.8881795716639207</v>
      </c>
      <c r="G51" s="405">
        <v>0.3</v>
      </c>
      <c r="H51" s="419">
        <v>27.3</v>
      </c>
      <c r="I51" s="418">
        <v>1.1000000000000001</v>
      </c>
      <c r="J51" s="415">
        <f t="shared" si="0"/>
        <v>0.76666666666666661</v>
      </c>
      <c r="K51" s="416">
        <f t="shared" si="1"/>
        <v>17.786666666666665</v>
      </c>
      <c r="L51" s="407">
        <f t="shared" si="2"/>
        <v>125.23058399999998</v>
      </c>
      <c r="M51" s="768">
        <f t="shared" si="3"/>
        <v>60736.833239999993</v>
      </c>
      <c r="N51" s="954"/>
      <c r="O51" s="663"/>
    </row>
    <row r="52" spans="1:21">
      <c r="A52" s="409" t="s">
        <v>353</v>
      </c>
      <c r="B52" s="409" t="s">
        <v>353</v>
      </c>
      <c r="C52" s="417">
        <v>64406</v>
      </c>
      <c r="D52" s="401">
        <v>70469</v>
      </c>
      <c r="E52" s="404">
        <v>0.9</v>
      </c>
      <c r="F52" s="416">
        <v>10.296393968927363</v>
      </c>
      <c r="G52" s="418">
        <v>1.1000000000000001</v>
      </c>
      <c r="H52" s="419" t="s">
        <v>488</v>
      </c>
      <c r="I52" s="405">
        <v>0.3</v>
      </c>
      <c r="J52" s="415">
        <f t="shared" si="0"/>
        <v>0.76666666666666661</v>
      </c>
      <c r="K52" s="416">
        <f t="shared" si="1"/>
        <v>17.786666666666665</v>
      </c>
      <c r="L52" s="407">
        <f t="shared" si="2"/>
        <v>114.55680533333333</v>
      </c>
      <c r="M52" s="768">
        <f t="shared" si="3"/>
        <v>55560.050586666664</v>
      </c>
      <c r="N52" s="954"/>
      <c r="O52" s="665"/>
      <c r="Q52" s="425"/>
      <c r="R52" s="425"/>
      <c r="S52" s="425"/>
      <c r="T52" s="425"/>
      <c r="U52" s="425"/>
    </row>
    <row r="53" spans="1:21">
      <c r="A53" s="409" t="s">
        <v>426</v>
      </c>
      <c r="B53" s="409" t="s">
        <v>426</v>
      </c>
      <c r="C53" s="417">
        <v>75396</v>
      </c>
      <c r="D53" s="401">
        <v>73774</v>
      </c>
      <c r="E53" s="404">
        <v>0.9</v>
      </c>
      <c r="F53" s="416">
        <v>3.5331516802906449</v>
      </c>
      <c r="G53" s="420">
        <v>0.6</v>
      </c>
      <c r="H53" s="419" t="s">
        <v>488</v>
      </c>
      <c r="I53" s="405">
        <v>0.3</v>
      </c>
      <c r="J53" s="415">
        <f t="shared" si="0"/>
        <v>0.6</v>
      </c>
      <c r="K53" s="416">
        <f t="shared" si="1"/>
        <v>13.92</v>
      </c>
      <c r="L53" s="407">
        <f t="shared" si="2"/>
        <v>104.951232</v>
      </c>
      <c r="M53" s="768">
        <f t="shared" si="3"/>
        <v>50901.347520000003</v>
      </c>
      <c r="N53" s="954"/>
      <c r="O53" s="663"/>
    </row>
    <row r="54" spans="1:21">
      <c r="A54" s="409" t="s">
        <v>420</v>
      </c>
      <c r="B54" s="409" t="s">
        <v>420</v>
      </c>
      <c r="C54" s="417">
        <v>62835</v>
      </c>
      <c r="D54" s="401">
        <v>51608</v>
      </c>
      <c r="E54" s="404">
        <v>0.9</v>
      </c>
      <c r="F54" s="416">
        <v>3.2912399323854027</v>
      </c>
      <c r="G54" s="420">
        <v>0.6</v>
      </c>
      <c r="H54" s="419" t="s">
        <v>488</v>
      </c>
      <c r="I54" s="405">
        <v>0.3</v>
      </c>
      <c r="J54" s="415">
        <f t="shared" si="0"/>
        <v>0.6</v>
      </c>
      <c r="K54" s="416">
        <f t="shared" si="1"/>
        <v>13.92</v>
      </c>
      <c r="L54" s="407">
        <f t="shared" si="2"/>
        <v>87.466319999999996</v>
      </c>
      <c r="M54" s="768">
        <f t="shared" si="3"/>
        <v>42421.165199999996</v>
      </c>
      <c r="N54" s="954"/>
      <c r="O54" s="663"/>
    </row>
    <row r="55" spans="1:21">
      <c r="A55" s="409" t="s">
        <v>385</v>
      </c>
      <c r="B55" s="409" t="s">
        <v>385</v>
      </c>
      <c r="C55" s="417">
        <v>53157</v>
      </c>
      <c r="D55" s="401">
        <v>49107</v>
      </c>
      <c r="E55" s="426">
        <v>0.6</v>
      </c>
      <c r="F55" s="416">
        <v>4.0979631425800198</v>
      </c>
      <c r="G55" s="420">
        <v>0.6</v>
      </c>
      <c r="H55" s="419">
        <v>13.7</v>
      </c>
      <c r="I55" s="404">
        <v>0.9</v>
      </c>
      <c r="J55" s="415">
        <f t="shared" si="0"/>
        <v>0.70000000000000007</v>
      </c>
      <c r="K55" s="416">
        <f t="shared" si="1"/>
        <v>16.240000000000002</v>
      </c>
      <c r="L55" s="407">
        <f t="shared" si="2"/>
        <v>86.326968000000008</v>
      </c>
      <c r="M55" s="768">
        <f t="shared" si="3"/>
        <v>41868.57948</v>
      </c>
      <c r="N55" s="954"/>
      <c r="O55" s="663"/>
    </row>
    <row r="56" spans="1:21">
      <c r="A56" s="409" t="s">
        <v>515</v>
      </c>
      <c r="B56" s="409" t="s">
        <v>358</v>
      </c>
      <c r="C56" s="417">
        <v>45597</v>
      </c>
      <c r="D56" s="401">
        <v>7907</v>
      </c>
      <c r="E56" s="426">
        <v>0.6</v>
      </c>
      <c r="F56" s="416">
        <v>6.3540684888469992</v>
      </c>
      <c r="G56" s="404">
        <v>0.9</v>
      </c>
      <c r="H56" s="419">
        <v>13</v>
      </c>
      <c r="I56" s="404">
        <v>0.9</v>
      </c>
      <c r="J56" s="415">
        <f t="shared" si="0"/>
        <v>0.79999999999999993</v>
      </c>
      <c r="K56" s="416">
        <f t="shared" si="1"/>
        <v>18.559999999999999</v>
      </c>
      <c r="L56" s="407">
        <f t="shared" si="2"/>
        <v>84.62803199999999</v>
      </c>
      <c r="M56" s="768">
        <f t="shared" si="3"/>
        <v>41044.595519999995</v>
      </c>
      <c r="N56" s="954"/>
      <c r="O56" s="663"/>
    </row>
    <row r="57" spans="1:21">
      <c r="A57" s="409" t="s">
        <v>436</v>
      </c>
      <c r="B57" s="409" t="s">
        <v>436</v>
      </c>
      <c r="C57" s="417">
        <v>51736</v>
      </c>
      <c r="D57" s="401">
        <v>55735</v>
      </c>
      <c r="E57" s="426">
        <v>0.6</v>
      </c>
      <c r="F57" s="416">
        <v>6.4130434782608701</v>
      </c>
      <c r="G57" s="404">
        <v>0.9</v>
      </c>
      <c r="H57" s="419">
        <v>8.9700000000000006</v>
      </c>
      <c r="I57" s="420">
        <v>0.6</v>
      </c>
      <c r="J57" s="415">
        <f t="shared" si="0"/>
        <v>0.70000000000000007</v>
      </c>
      <c r="K57" s="416">
        <f t="shared" si="1"/>
        <v>16.240000000000002</v>
      </c>
      <c r="L57" s="407">
        <f t="shared" si="2"/>
        <v>84.019264000000007</v>
      </c>
      <c r="M57" s="768">
        <f t="shared" si="3"/>
        <v>40749.34304</v>
      </c>
      <c r="N57" s="954"/>
      <c r="O57" s="663"/>
    </row>
    <row r="58" spans="1:21">
      <c r="A58" s="409" t="s">
        <v>382</v>
      </c>
      <c r="B58" s="409" t="s">
        <v>382</v>
      </c>
      <c r="C58" s="417">
        <v>39116</v>
      </c>
      <c r="D58" s="401">
        <v>19059</v>
      </c>
      <c r="E58" s="426">
        <v>0.6</v>
      </c>
      <c r="F58" s="416">
        <v>6.1856680717576706</v>
      </c>
      <c r="G58" s="404">
        <v>0.9</v>
      </c>
      <c r="H58" s="419">
        <v>20</v>
      </c>
      <c r="I58" s="418">
        <v>1.1000000000000001</v>
      </c>
      <c r="J58" s="415">
        <f t="shared" si="0"/>
        <v>0.8666666666666667</v>
      </c>
      <c r="K58" s="416">
        <f t="shared" si="1"/>
        <v>20.106666666666666</v>
      </c>
      <c r="L58" s="407">
        <f t="shared" si="2"/>
        <v>78.649237333333332</v>
      </c>
      <c r="M58" s="768">
        <f t="shared" si="3"/>
        <v>38144.880106666664</v>
      </c>
      <c r="N58" s="954"/>
      <c r="O58" s="663"/>
    </row>
    <row r="59" spans="1:21">
      <c r="A59" s="409" t="s">
        <v>432</v>
      </c>
      <c r="B59" s="409" t="s">
        <v>432</v>
      </c>
      <c r="C59" s="417">
        <v>48423</v>
      </c>
      <c r="D59" s="401">
        <v>42425</v>
      </c>
      <c r="E59" s="426">
        <v>0.6</v>
      </c>
      <c r="F59" s="416">
        <v>3.4368758178937941</v>
      </c>
      <c r="G59" s="420">
        <v>0.6</v>
      </c>
      <c r="H59" s="419">
        <v>18</v>
      </c>
      <c r="I59" s="404">
        <v>0.9</v>
      </c>
      <c r="J59" s="415">
        <f t="shared" si="0"/>
        <v>0.70000000000000007</v>
      </c>
      <c r="K59" s="416">
        <f t="shared" si="1"/>
        <v>16.240000000000002</v>
      </c>
      <c r="L59" s="407">
        <f t="shared" si="2"/>
        <v>78.638952000000018</v>
      </c>
      <c r="M59" s="768">
        <f t="shared" si="3"/>
        <v>38139.891720000007</v>
      </c>
      <c r="N59" s="954"/>
      <c r="O59" s="663"/>
    </row>
    <row r="60" spans="1:21">
      <c r="A60" s="409" t="s">
        <v>516</v>
      </c>
      <c r="B60" s="409" t="s">
        <v>516</v>
      </c>
      <c r="C60" s="417">
        <v>42914</v>
      </c>
      <c r="D60" s="401">
        <v>42622</v>
      </c>
      <c r="E60" s="426">
        <v>0.6</v>
      </c>
      <c r="F60" s="416">
        <v>4.2724591814716248</v>
      </c>
      <c r="G60" s="420">
        <v>0.6</v>
      </c>
      <c r="H60" s="419">
        <v>34.9</v>
      </c>
      <c r="I60" s="418">
        <v>1.1000000000000001</v>
      </c>
      <c r="J60" s="415">
        <f t="shared" si="0"/>
        <v>0.76666666666666661</v>
      </c>
      <c r="K60" s="416">
        <f t="shared" si="1"/>
        <v>17.786666666666665</v>
      </c>
      <c r="L60" s="407">
        <f t="shared" si="2"/>
        <v>76.329701333333333</v>
      </c>
      <c r="M60" s="768">
        <f t="shared" si="3"/>
        <v>37019.905146666664</v>
      </c>
      <c r="N60" s="954"/>
      <c r="O60" s="663"/>
    </row>
    <row r="61" spans="1:21">
      <c r="A61" s="409" t="s">
        <v>409</v>
      </c>
      <c r="B61" s="409" t="s">
        <v>409</v>
      </c>
      <c r="C61" s="417">
        <v>52941</v>
      </c>
      <c r="D61" s="401">
        <v>45035</v>
      </c>
      <c r="E61" s="426">
        <v>0.6</v>
      </c>
      <c r="F61" s="416">
        <v>3.715967623252391</v>
      </c>
      <c r="G61" s="420">
        <v>0.6</v>
      </c>
      <c r="H61" s="419">
        <v>1.87</v>
      </c>
      <c r="I61" s="420">
        <v>0.6</v>
      </c>
      <c r="J61" s="415">
        <f t="shared" si="0"/>
        <v>0.6</v>
      </c>
      <c r="K61" s="416">
        <f t="shared" si="1"/>
        <v>13.92</v>
      </c>
      <c r="L61" s="407">
        <f t="shared" si="2"/>
        <v>73.693871999999999</v>
      </c>
      <c r="M61" s="768">
        <f t="shared" si="3"/>
        <v>35741.52792</v>
      </c>
      <c r="N61" s="954"/>
      <c r="O61" s="663"/>
    </row>
    <row r="62" spans="1:21">
      <c r="A62" s="409" t="s">
        <v>458</v>
      </c>
      <c r="B62" s="409" t="s">
        <v>458</v>
      </c>
      <c r="C62" s="417">
        <v>44974</v>
      </c>
      <c r="D62" s="401">
        <v>31535</v>
      </c>
      <c r="E62" s="426">
        <v>0.6</v>
      </c>
      <c r="F62" s="416">
        <v>3.3314977973568283</v>
      </c>
      <c r="G62" s="420">
        <v>0.6</v>
      </c>
      <c r="H62" s="419">
        <v>14</v>
      </c>
      <c r="I62" s="404">
        <v>0.9</v>
      </c>
      <c r="J62" s="415">
        <f t="shared" si="0"/>
        <v>0.70000000000000007</v>
      </c>
      <c r="K62" s="416">
        <f t="shared" si="1"/>
        <v>16.240000000000002</v>
      </c>
      <c r="L62" s="407">
        <f t="shared" si="2"/>
        <v>73.037776000000008</v>
      </c>
      <c r="M62" s="768">
        <f t="shared" si="3"/>
        <v>35423.321360000002</v>
      </c>
      <c r="N62" s="954"/>
      <c r="O62" s="663"/>
    </row>
    <row r="63" spans="1:21">
      <c r="A63" s="409" t="s">
        <v>402</v>
      </c>
      <c r="B63" s="409" t="s">
        <v>402</v>
      </c>
      <c r="C63" s="417">
        <v>44972</v>
      </c>
      <c r="D63" s="401">
        <v>36124</v>
      </c>
      <c r="E63" s="426">
        <v>0.6</v>
      </c>
      <c r="F63" s="416">
        <v>3.7366174515429291</v>
      </c>
      <c r="G63" s="420">
        <v>0.6</v>
      </c>
      <c r="H63" s="419">
        <v>16</v>
      </c>
      <c r="I63" s="404">
        <v>0.9</v>
      </c>
      <c r="J63" s="415">
        <f t="shared" si="0"/>
        <v>0.70000000000000007</v>
      </c>
      <c r="K63" s="416">
        <f t="shared" si="1"/>
        <v>16.240000000000002</v>
      </c>
      <c r="L63" s="407">
        <f t="shared" si="2"/>
        <v>73.034528000000009</v>
      </c>
      <c r="M63" s="768">
        <f t="shared" si="3"/>
        <v>35421.746080000004</v>
      </c>
      <c r="N63" s="954"/>
      <c r="O63" s="663"/>
    </row>
    <row r="64" spans="1:21">
      <c r="A64" s="409" t="s">
        <v>414</v>
      </c>
      <c r="B64" s="409" t="s">
        <v>414</v>
      </c>
      <c r="C64" s="417">
        <v>38526</v>
      </c>
      <c r="D64" s="401">
        <v>36961</v>
      </c>
      <c r="E64" s="426">
        <v>0.6</v>
      </c>
      <c r="F64" s="416">
        <v>5.7891705069124422</v>
      </c>
      <c r="G64" s="404">
        <v>0.9</v>
      </c>
      <c r="H64" s="419">
        <v>11.6</v>
      </c>
      <c r="I64" s="404">
        <v>0.9</v>
      </c>
      <c r="J64" s="415">
        <f t="shared" si="0"/>
        <v>0.79999999999999993</v>
      </c>
      <c r="K64" s="416">
        <f t="shared" si="1"/>
        <v>18.559999999999999</v>
      </c>
      <c r="L64" s="407">
        <f t="shared" si="2"/>
        <v>71.504255999999998</v>
      </c>
      <c r="M64" s="768">
        <f t="shared" si="3"/>
        <v>34679.564160000002</v>
      </c>
      <c r="N64" s="954"/>
      <c r="O64" s="663"/>
    </row>
    <row r="65" spans="1:15">
      <c r="A65" s="409" t="s">
        <v>517</v>
      </c>
      <c r="B65" s="409" t="s">
        <v>125</v>
      </c>
      <c r="C65" s="417">
        <v>38119</v>
      </c>
      <c r="D65" s="401">
        <v>31256</v>
      </c>
      <c r="E65" s="426">
        <v>0.6</v>
      </c>
      <c r="F65" s="416">
        <v>3.3661056490584902</v>
      </c>
      <c r="G65" s="420">
        <v>0.6</v>
      </c>
      <c r="H65" s="419">
        <v>53.7</v>
      </c>
      <c r="I65" s="418">
        <v>1.1000000000000001</v>
      </c>
      <c r="J65" s="415">
        <f t="shared" si="0"/>
        <v>0.76666666666666661</v>
      </c>
      <c r="K65" s="416">
        <f t="shared" si="1"/>
        <v>17.786666666666665</v>
      </c>
      <c r="L65" s="407">
        <f t="shared" si="2"/>
        <v>67.800994666666668</v>
      </c>
      <c r="M65" s="768">
        <f t="shared" si="3"/>
        <v>32883.482413333331</v>
      </c>
      <c r="N65" s="954"/>
      <c r="O65" s="663"/>
    </row>
    <row r="66" spans="1:15">
      <c r="A66" s="409" t="s">
        <v>518</v>
      </c>
      <c r="B66" s="409" t="s">
        <v>467</v>
      </c>
      <c r="C66" s="417">
        <v>37811</v>
      </c>
      <c r="D66" s="401">
        <v>33146</v>
      </c>
      <c r="E66" s="426">
        <v>0.6</v>
      </c>
      <c r="F66" s="416">
        <v>9.5551409211430816</v>
      </c>
      <c r="G66" s="418">
        <v>1.1000000000000001</v>
      </c>
      <c r="H66" s="419">
        <v>3.3</v>
      </c>
      <c r="I66" s="420">
        <v>0.6</v>
      </c>
      <c r="J66" s="415">
        <f t="shared" ref="J66:J129" si="4">AVERAGE(E66,G66,I66)</f>
        <v>0.76666666666666672</v>
      </c>
      <c r="K66" s="416">
        <f t="shared" ref="K66:K129" si="5">J66*23.2</f>
        <v>17.786666666666669</v>
      </c>
      <c r="L66" s="407">
        <f t="shared" ref="L66:L129" si="6">(C66*K66)/10000</f>
        <v>67.253165333333342</v>
      </c>
      <c r="M66" s="768">
        <f t="shared" si="3"/>
        <v>32617.785186666672</v>
      </c>
      <c r="N66" s="954"/>
      <c r="O66" s="663"/>
    </row>
    <row r="67" spans="1:15">
      <c r="A67" s="409" t="s">
        <v>519</v>
      </c>
      <c r="B67" s="409" t="s">
        <v>415</v>
      </c>
      <c r="C67" s="417">
        <v>33026</v>
      </c>
      <c r="D67" s="401">
        <v>32579</v>
      </c>
      <c r="E67" s="426">
        <v>0.6</v>
      </c>
      <c r="F67" s="416">
        <v>8.409418548774628</v>
      </c>
      <c r="G67" s="418">
        <v>1.1000000000000001</v>
      </c>
      <c r="H67" s="419">
        <v>18.5</v>
      </c>
      <c r="I67" s="404">
        <v>0.9</v>
      </c>
      <c r="J67" s="415">
        <f t="shared" si="4"/>
        <v>0.8666666666666667</v>
      </c>
      <c r="K67" s="416">
        <f t="shared" si="5"/>
        <v>20.106666666666666</v>
      </c>
      <c r="L67" s="407">
        <f t="shared" si="6"/>
        <v>66.404277333333326</v>
      </c>
      <c r="M67" s="768">
        <f t="shared" ref="M67:M130" si="7">IF(L67&gt;=1000,150*L67,IF(L67&gt;=150,270*L67,485*L67))</f>
        <v>32206.074506666664</v>
      </c>
      <c r="N67" s="954"/>
      <c r="O67" s="663"/>
    </row>
    <row r="68" spans="1:15">
      <c r="A68" s="409" t="s">
        <v>515</v>
      </c>
      <c r="B68" s="409" t="s">
        <v>357</v>
      </c>
      <c r="C68" s="400">
        <v>35498</v>
      </c>
      <c r="D68" s="401">
        <v>42495</v>
      </c>
      <c r="E68" s="426">
        <v>0.6</v>
      </c>
      <c r="F68" s="416">
        <v>5</v>
      </c>
      <c r="G68" s="404">
        <v>0.9</v>
      </c>
      <c r="H68" s="419">
        <v>13</v>
      </c>
      <c r="I68" s="404">
        <v>0.9</v>
      </c>
      <c r="J68" s="415">
        <f t="shared" si="4"/>
        <v>0.79999999999999993</v>
      </c>
      <c r="K68" s="416">
        <f t="shared" si="5"/>
        <v>18.559999999999999</v>
      </c>
      <c r="L68" s="407">
        <f t="shared" si="6"/>
        <v>65.884287999999998</v>
      </c>
      <c r="M68" s="768">
        <f t="shared" si="7"/>
        <v>31953.879679999998</v>
      </c>
      <c r="N68" s="954"/>
      <c r="O68" s="663"/>
    </row>
    <row r="69" spans="1:15">
      <c r="A69" s="409" t="s">
        <v>407</v>
      </c>
      <c r="B69" s="409" t="s">
        <v>407</v>
      </c>
      <c r="C69" s="417">
        <v>36676</v>
      </c>
      <c r="D69" s="401">
        <v>25926</v>
      </c>
      <c r="E69" s="426">
        <v>0.6</v>
      </c>
      <c r="F69" s="416">
        <v>4.1317654639175254</v>
      </c>
      <c r="G69" s="420">
        <v>0.6</v>
      </c>
      <c r="H69" s="419">
        <v>23.7</v>
      </c>
      <c r="I69" s="418">
        <v>1.1000000000000001</v>
      </c>
      <c r="J69" s="415">
        <f t="shared" si="4"/>
        <v>0.76666666666666661</v>
      </c>
      <c r="K69" s="416">
        <f t="shared" si="5"/>
        <v>17.786666666666665</v>
      </c>
      <c r="L69" s="407">
        <f t="shared" si="6"/>
        <v>65.234378666666657</v>
      </c>
      <c r="M69" s="768">
        <f t="shared" si="7"/>
        <v>31638.673653333328</v>
      </c>
      <c r="N69" s="954"/>
      <c r="O69" s="663"/>
    </row>
    <row r="70" spans="1:15">
      <c r="A70" s="409" t="s">
        <v>404</v>
      </c>
      <c r="B70" s="409" t="s">
        <v>404</v>
      </c>
      <c r="C70" s="417">
        <v>35669</v>
      </c>
      <c r="D70" s="401">
        <v>37128</v>
      </c>
      <c r="E70" s="426">
        <v>0.6</v>
      </c>
      <c r="F70" s="416">
        <v>3.3339524517087669</v>
      </c>
      <c r="G70" s="420">
        <v>0.6</v>
      </c>
      <c r="H70" s="419">
        <v>20.5</v>
      </c>
      <c r="I70" s="418">
        <v>1.1000000000000001</v>
      </c>
      <c r="J70" s="415">
        <f t="shared" si="4"/>
        <v>0.76666666666666661</v>
      </c>
      <c r="K70" s="416">
        <f t="shared" si="5"/>
        <v>17.786666666666665</v>
      </c>
      <c r="L70" s="407">
        <f t="shared" si="6"/>
        <v>63.443261333333325</v>
      </c>
      <c r="M70" s="768">
        <f t="shared" si="7"/>
        <v>30769.981746666661</v>
      </c>
      <c r="N70" s="954"/>
      <c r="O70" s="663"/>
    </row>
    <row r="71" spans="1:15">
      <c r="A71" s="409" t="s">
        <v>368</v>
      </c>
      <c r="B71" s="409" t="s">
        <v>368</v>
      </c>
      <c r="C71" s="417">
        <v>40259</v>
      </c>
      <c r="D71" s="401">
        <v>51253</v>
      </c>
      <c r="E71" s="426">
        <v>0.6</v>
      </c>
      <c r="F71" s="416">
        <v>8.1170018281535654</v>
      </c>
      <c r="G71" s="418">
        <v>1.1000000000000001</v>
      </c>
      <c r="H71" s="419" t="s">
        <v>488</v>
      </c>
      <c r="I71" s="405">
        <v>0.3</v>
      </c>
      <c r="J71" s="415">
        <f t="shared" si="4"/>
        <v>0.66666666666666663</v>
      </c>
      <c r="K71" s="416">
        <f t="shared" si="5"/>
        <v>15.466666666666665</v>
      </c>
      <c r="L71" s="407">
        <f t="shared" si="6"/>
        <v>62.267253333333322</v>
      </c>
      <c r="M71" s="768">
        <f t="shared" si="7"/>
        <v>30199.61786666666</v>
      </c>
      <c r="N71" s="954"/>
      <c r="O71" s="663"/>
    </row>
    <row r="72" spans="1:15">
      <c r="A72" s="409" t="s">
        <v>369</v>
      </c>
      <c r="B72" s="409" t="s">
        <v>369</v>
      </c>
      <c r="C72" s="417">
        <v>38614</v>
      </c>
      <c r="D72" s="401">
        <v>48558</v>
      </c>
      <c r="E72" s="426">
        <v>0.6</v>
      </c>
      <c r="F72" s="416">
        <v>8.3092346250241</v>
      </c>
      <c r="G72" s="418">
        <v>1.1000000000000001</v>
      </c>
      <c r="H72" s="419" t="s">
        <v>488</v>
      </c>
      <c r="I72" s="405">
        <v>0.3</v>
      </c>
      <c r="J72" s="415">
        <f t="shared" si="4"/>
        <v>0.66666666666666663</v>
      </c>
      <c r="K72" s="416">
        <f t="shared" si="5"/>
        <v>15.466666666666665</v>
      </c>
      <c r="L72" s="407">
        <f t="shared" si="6"/>
        <v>59.722986666666657</v>
      </c>
      <c r="M72" s="768">
        <f t="shared" si="7"/>
        <v>28965.648533333329</v>
      </c>
      <c r="N72" s="954"/>
      <c r="O72" s="663"/>
    </row>
    <row r="73" spans="1:15">
      <c r="A73" s="409" t="s">
        <v>520</v>
      </c>
      <c r="B73" s="409" t="s">
        <v>520</v>
      </c>
      <c r="C73" s="417">
        <v>42676</v>
      </c>
      <c r="D73" s="401">
        <v>31013</v>
      </c>
      <c r="E73" s="426">
        <v>0.6</v>
      </c>
      <c r="F73" s="416">
        <v>2.349267712437737</v>
      </c>
      <c r="G73" s="405">
        <v>0.3</v>
      </c>
      <c r="H73" s="419">
        <v>18.3</v>
      </c>
      <c r="I73" s="404">
        <v>0.9</v>
      </c>
      <c r="J73" s="415">
        <f t="shared" si="4"/>
        <v>0.6</v>
      </c>
      <c r="K73" s="416">
        <f t="shared" si="5"/>
        <v>13.92</v>
      </c>
      <c r="L73" s="407">
        <f t="shared" si="6"/>
        <v>59.404992000000007</v>
      </c>
      <c r="M73" s="768">
        <f t="shared" si="7"/>
        <v>28811.421120000003</v>
      </c>
      <c r="N73" s="954"/>
      <c r="O73" s="663"/>
    </row>
    <row r="74" spans="1:15">
      <c r="A74" s="409" t="s">
        <v>378</v>
      </c>
      <c r="B74" s="409" t="s">
        <v>378</v>
      </c>
      <c r="C74" s="417">
        <v>40157</v>
      </c>
      <c r="D74" s="401">
        <v>39723</v>
      </c>
      <c r="E74" s="426">
        <v>0.6</v>
      </c>
      <c r="F74" s="416">
        <v>5.1922537187763123</v>
      </c>
      <c r="G74" s="404">
        <v>0.9</v>
      </c>
      <c r="H74" s="419" t="s">
        <v>488</v>
      </c>
      <c r="I74" s="405">
        <v>0.3</v>
      </c>
      <c r="J74" s="415">
        <f t="shared" si="4"/>
        <v>0.6</v>
      </c>
      <c r="K74" s="416">
        <f t="shared" si="5"/>
        <v>13.92</v>
      </c>
      <c r="L74" s="407">
        <f t="shared" si="6"/>
        <v>55.898543999999994</v>
      </c>
      <c r="M74" s="768">
        <f t="shared" si="7"/>
        <v>27110.793839999998</v>
      </c>
      <c r="N74" s="954"/>
      <c r="O74" s="663"/>
    </row>
    <row r="75" spans="1:15">
      <c r="A75" s="409" t="s">
        <v>371</v>
      </c>
      <c r="B75" s="409" t="s">
        <v>371</v>
      </c>
      <c r="C75" s="417">
        <v>23019</v>
      </c>
      <c r="D75" s="401">
        <v>25224</v>
      </c>
      <c r="E75" s="426">
        <v>0.6</v>
      </c>
      <c r="F75" s="416">
        <v>7.5489576753000636</v>
      </c>
      <c r="G75" s="418">
        <v>1.1000000000000001</v>
      </c>
      <c r="H75" s="419">
        <v>98</v>
      </c>
      <c r="I75" s="422">
        <v>1.4</v>
      </c>
      <c r="J75" s="415">
        <f t="shared" si="4"/>
        <v>1.0333333333333334</v>
      </c>
      <c r="K75" s="416">
        <f t="shared" si="5"/>
        <v>23.973333333333336</v>
      </c>
      <c r="L75" s="407">
        <f t="shared" si="6"/>
        <v>55.184216000000006</v>
      </c>
      <c r="M75" s="768">
        <f t="shared" si="7"/>
        <v>26764.344760000004</v>
      </c>
      <c r="N75" s="954"/>
      <c r="O75" s="663"/>
    </row>
    <row r="76" spans="1:15">
      <c r="A76" s="409" t="s">
        <v>437</v>
      </c>
      <c r="B76" s="409" t="s">
        <v>437</v>
      </c>
      <c r="C76" s="417">
        <v>33679</v>
      </c>
      <c r="D76" s="401">
        <v>25472</v>
      </c>
      <c r="E76" s="426">
        <v>0.6</v>
      </c>
      <c r="F76" s="416">
        <v>6.023979887836008</v>
      </c>
      <c r="G76" s="404">
        <v>0.9</v>
      </c>
      <c r="H76" s="419">
        <v>2.7</v>
      </c>
      <c r="I76" s="420">
        <v>0.6</v>
      </c>
      <c r="J76" s="415">
        <f t="shared" si="4"/>
        <v>0.70000000000000007</v>
      </c>
      <c r="K76" s="416">
        <f t="shared" si="5"/>
        <v>16.240000000000002</v>
      </c>
      <c r="L76" s="407">
        <f t="shared" si="6"/>
        <v>54.694696000000008</v>
      </c>
      <c r="M76" s="768">
        <f t="shared" si="7"/>
        <v>26526.927560000004</v>
      </c>
      <c r="N76" s="954"/>
      <c r="O76" s="663"/>
    </row>
    <row r="77" spans="1:15">
      <c r="A77" s="409" t="s">
        <v>379</v>
      </c>
      <c r="B77" s="409" t="s">
        <v>379</v>
      </c>
      <c r="C77" s="417">
        <v>32405</v>
      </c>
      <c r="D77" s="401">
        <v>33294</v>
      </c>
      <c r="E77" s="426">
        <v>0.6</v>
      </c>
      <c r="F77" s="416">
        <v>4.3473706264403935</v>
      </c>
      <c r="G77" s="420">
        <v>0.6</v>
      </c>
      <c r="H77" s="419">
        <v>13</v>
      </c>
      <c r="I77" s="404">
        <v>0.9</v>
      </c>
      <c r="J77" s="415">
        <f t="shared" si="4"/>
        <v>0.70000000000000007</v>
      </c>
      <c r="K77" s="416">
        <f t="shared" si="5"/>
        <v>16.240000000000002</v>
      </c>
      <c r="L77" s="407">
        <f t="shared" si="6"/>
        <v>52.625720000000008</v>
      </c>
      <c r="M77" s="768">
        <f t="shared" si="7"/>
        <v>25523.474200000004</v>
      </c>
      <c r="N77" s="954"/>
      <c r="O77" s="663"/>
    </row>
    <row r="78" spans="1:15">
      <c r="A78" s="409" t="s">
        <v>521</v>
      </c>
      <c r="B78" s="409" t="s">
        <v>521</v>
      </c>
      <c r="C78" s="417">
        <v>42561</v>
      </c>
      <c r="D78" s="401">
        <v>36669</v>
      </c>
      <c r="E78" s="426">
        <v>0.6</v>
      </c>
      <c r="F78" s="416">
        <v>4.3752263672582403</v>
      </c>
      <c r="G78" s="420">
        <v>0.6</v>
      </c>
      <c r="H78" s="419" t="s">
        <v>488</v>
      </c>
      <c r="I78" s="405">
        <v>0.3</v>
      </c>
      <c r="J78" s="415">
        <f t="shared" si="4"/>
        <v>0.5</v>
      </c>
      <c r="K78" s="416">
        <f t="shared" si="5"/>
        <v>11.6</v>
      </c>
      <c r="L78" s="407">
        <f t="shared" si="6"/>
        <v>49.370759999999997</v>
      </c>
      <c r="M78" s="768">
        <f t="shared" si="7"/>
        <v>23944.818599999999</v>
      </c>
      <c r="N78" s="954"/>
      <c r="O78" s="663"/>
    </row>
    <row r="79" spans="1:15">
      <c r="A79" s="409" t="s">
        <v>512</v>
      </c>
      <c r="B79" s="409" t="s">
        <v>178</v>
      </c>
      <c r="C79" s="400">
        <v>31698</v>
      </c>
      <c r="D79" s="401">
        <v>40073</v>
      </c>
      <c r="E79" s="426">
        <v>0.6</v>
      </c>
      <c r="F79" s="416">
        <v>7.9</v>
      </c>
      <c r="G79" s="418">
        <v>1.1000000000000001</v>
      </c>
      <c r="H79" s="419" t="s">
        <v>488</v>
      </c>
      <c r="I79" s="405">
        <v>0.3</v>
      </c>
      <c r="J79" s="415">
        <f t="shared" si="4"/>
        <v>0.66666666666666663</v>
      </c>
      <c r="K79" s="416">
        <f t="shared" si="5"/>
        <v>15.466666666666665</v>
      </c>
      <c r="L79" s="407">
        <f t="shared" si="6"/>
        <v>49.026239999999994</v>
      </c>
      <c r="M79" s="768">
        <f t="shared" si="7"/>
        <v>23777.726399999996</v>
      </c>
      <c r="N79" s="954"/>
      <c r="O79" s="663"/>
    </row>
    <row r="80" spans="1:15">
      <c r="A80" s="409" t="s">
        <v>522</v>
      </c>
      <c r="B80" s="409" t="s">
        <v>522</v>
      </c>
      <c r="C80" s="417">
        <v>27356</v>
      </c>
      <c r="D80" s="401">
        <v>29249</v>
      </c>
      <c r="E80" s="426">
        <v>0.6</v>
      </c>
      <c r="F80" s="416">
        <v>3.8090587229886461</v>
      </c>
      <c r="G80" s="420">
        <v>0.6</v>
      </c>
      <c r="H80" s="419">
        <v>29.3</v>
      </c>
      <c r="I80" s="418">
        <v>1.1000000000000001</v>
      </c>
      <c r="J80" s="415">
        <f t="shared" si="4"/>
        <v>0.76666666666666661</v>
      </c>
      <c r="K80" s="416">
        <f t="shared" si="5"/>
        <v>17.786666666666665</v>
      </c>
      <c r="L80" s="407">
        <f t="shared" si="6"/>
        <v>48.65720533333333</v>
      </c>
      <c r="M80" s="768">
        <f t="shared" si="7"/>
        <v>23598.744586666664</v>
      </c>
      <c r="N80" s="954"/>
      <c r="O80" s="663"/>
    </row>
    <row r="81" spans="1:15">
      <c r="A81" s="409" t="s">
        <v>394</v>
      </c>
      <c r="B81" s="409" t="s">
        <v>394</v>
      </c>
      <c r="C81" s="417">
        <v>41717</v>
      </c>
      <c r="D81" s="401">
        <v>40110</v>
      </c>
      <c r="E81" s="426">
        <v>0.6</v>
      </c>
      <c r="F81" s="416">
        <v>4.5961358413482003</v>
      </c>
      <c r="G81" s="420">
        <v>0.6</v>
      </c>
      <c r="H81" s="419" t="s">
        <v>488</v>
      </c>
      <c r="I81" s="405">
        <v>0.3</v>
      </c>
      <c r="J81" s="415">
        <f t="shared" si="4"/>
        <v>0.5</v>
      </c>
      <c r="K81" s="416">
        <f t="shared" si="5"/>
        <v>11.6</v>
      </c>
      <c r="L81" s="407">
        <f t="shared" si="6"/>
        <v>48.391719999999999</v>
      </c>
      <c r="M81" s="768">
        <f t="shared" si="7"/>
        <v>23469.984199999999</v>
      </c>
      <c r="N81" s="954"/>
      <c r="O81" s="663"/>
    </row>
    <row r="82" spans="1:15">
      <c r="A82" s="409" t="s">
        <v>442</v>
      </c>
      <c r="B82" s="409" t="s">
        <v>442</v>
      </c>
      <c r="C82" s="417">
        <v>31606</v>
      </c>
      <c r="D82" s="401">
        <v>36397</v>
      </c>
      <c r="E82" s="426">
        <v>0.6</v>
      </c>
      <c r="F82" s="416">
        <v>3.5206574855619723</v>
      </c>
      <c r="G82" s="420">
        <v>0.6</v>
      </c>
      <c r="H82" s="419">
        <v>3</v>
      </c>
      <c r="I82" s="420">
        <v>0.6</v>
      </c>
      <c r="J82" s="415">
        <f t="shared" si="4"/>
        <v>0.6</v>
      </c>
      <c r="K82" s="416">
        <f t="shared" si="5"/>
        <v>13.92</v>
      </c>
      <c r="L82" s="407">
        <f t="shared" si="6"/>
        <v>43.995552000000004</v>
      </c>
      <c r="M82" s="768">
        <f t="shared" si="7"/>
        <v>21337.842720000001</v>
      </c>
      <c r="N82" s="954"/>
      <c r="O82" s="663"/>
    </row>
    <row r="83" spans="1:15">
      <c r="A83" s="409" t="s">
        <v>423</v>
      </c>
      <c r="B83" s="409" t="s">
        <v>423</v>
      </c>
      <c r="C83" s="417">
        <v>26671</v>
      </c>
      <c r="D83" s="401">
        <v>25662</v>
      </c>
      <c r="E83" s="426">
        <v>0.6</v>
      </c>
      <c r="F83" s="416">
        <v>3.9354748991795301</v>
      </c>
      <c r="G83" s="420">
        <v>0.6</v>
      </c>
      <c r="H83" s="419">
        <v>10.4</v>
      </c>
      <c r="I83" s="404">
        <v>0.9</v>
      </c>
      <c r="J83" s="415">
        <f t="shared" si="4"/>
        <v>0.70000000000000007</v>
      </c>
      <c r="K83" s="416">
        <f t="shared" si="5"/>
        <v>16.240000000000002</v>
      </c>
      <c r="L83" s="407">
        <f t="shared" si="6"/>
        <v>43.313704000000001</v>
      </c>
      <c r="M83" s="768">
        <f t="shared" si="7"/>
        <v>21007.14644</v>
      </c>
      <c r="N83" s="954"/>
      <c r="O83" s="663"/>
    </row>
    <row r="84" spans="1:15">
      <c r="A84" s="409" t="s">
        <v>454</v>
      </c>
      <c r="B84" s="409" t="s">
        <v>454</v>
      </c>
      <c r="C84" s="417">
        <v>24249</v>
      </c>
      <c r="D84" s="401">
        <v>24271</v>
      </c>
      <c r="E84" s="426">
        <v>0.6</v>
      </c>
      <c r="F84" s="416">
        <v>3.7668272199580093</v>
      </c>
      <c r="G84" s="420">
        <v>0.6</v>
      </c>
      <c r="H84" s="419">
        <v>24.3</v>
      </c>
      <c r="I84" s="418">
        <v>1.1000000000000001</v>
      </c>
      <c r="J84" s="415">
        <f t="shared" si="4"/>
        <v>0.76666666666666661</v>
      </c>
      <c r="K84" s="416">
        <f t="shared" si="5"/>
        <v>17.786666666666665</v>
      </c>
      <c r="L84" s="407">
        <f t="shared" si="6"/>
        <v>43.130887999999992</v>
      </c>
      <c r="M84" s="768">
        <f t="shared" si="7"/>
        <v>20918.480679999997</v>
      </c>
      <c r="N84" s="954"/>
      <c r="O84" s="663"/>
    </row>
    <row r="85" spans="1:15">
      <c r="A85" s="409" t="s">
        <v>523</v>
      </c>
      <c r="B85" s="409" t="s">
        <v>523</v>
      </c>
      <c r="C85" s="417">
        <v>26474</v>
      </c>
      <c r="D85" s="401">
        <v>22824</v>
      </c>
      <c r="E85" s="426">
        <v>0.6</v>
      </c>
      <c r="F85" s="416">
        <v>5.7111477210323995</v>
      </c>
      <c r="G85" s="404">
        <v>0.9</v>
      </c>
      <c r="H85" s="419">
        <v>8.6</v>
      </c>
      <c r="I85" s="420">
        <v>0.6</v>
      </c>
      <c r="J85" s="415">
        <f t="shared" si="4"/>
        <v>0.70000000000000007</v>
      </c>
      <c r="K85" s="416">
        <f t="shared" si="5"/>
        <v>16.240000000000002</v>
      </c>
      <c r="L85" s="407">
        <f t="shared" si="6"/>
        <v>42.993776000000004</v>
      </c>
      <c r="M85" s="768">
        <f t="shared" si="7"/>
        <v>20851.981360000002</v>
      </c>
      <c r="N85" s="954"/>
      <c r="O85" s="663"/>
    </row>
    <row r="86" spans="1:15">
      <c r="A86" s="409" t="s">
        <v>524</v>
      </c>
      <c r="B86" s="409" t="s">
        <v>354</v>
      </c>
      <c r="C86" s="417">
        <v>26734</v>
      </c>
      <c r="D86" s="401">
        <v>15649</v>
      </c>
      <c r="E86" s="426">
        <v>0.6</v>
      </c>
      <c r="F86" s="416">
        <v>7.8947368421052628</v>
      </c>
      <c r="G86" s="418">
        <v>1.1000000000000001</v>
      </c>
      <c r="H86" s="419" t="s">
        <v>488</v>
      </c>
      <c r="I86" s="405">
        <v>0.3</v>
      </c>
      <c r="J86" s="415">
        <f t="shared" si="4"/>
        <v>0.66666666666666663</v>
      </c>
      <c r="K86" s="416">
        <f t="shared" si="5"/>
        <v>15.466666666666665</v>
      </c>
      <c r="L86" s="407">
        <f t="shared" si="6"/>
        <v>41.348586666666662</v>
      </c>
      <c r="M86" s="768">
        <f t="shared" si="7"/>
        <v>20054.06453333333</v>
      </c>
      <c r="N86" s="954"/>
      <c r="O86" s="663"/>
    </row>
    <row r="87" spans="1:15">
      <c r="A87" s="409" t="s">
        <v>525</v>
      </c>
      <c r="B87" s="409" t="s">
        <v>417</v>
      </c>
      <c r="C87" s="417">
        <v>24481</v>
      </c>
      <c r="D87" s="401">
        <v>25097</v>
      </c>
      <c r="E87" s="426">
        <v>0.6</v>
      </c>
      <c r="F87" s="416">
        <v>5.7841202368301197</v>
      </c>
      <c r="G87" s="404">
        <v>0.9</v>
      </c>
      <c r="H87" s="419">
        <v>6</v>
      </c>
      <c r="I87" s="420">
        <v>0.6</v>
      </c>
      <c r="J87" s="415">
        <f t="shared" si="4"/>
        <v>0.70000000000000007</v>
      </c>
      <c r="K87" s="416">
        <f t="shared" si="5"/>
        <v>16.240000000000002</v>
      </c>
      <c r="L87" s="407">
        <f t="shared" si="6"/>
        <v>39.757144000000004</v>
      </c>
      <c r="M87" s="768">
        <f t="shared" si="7"/>
        <v>19282.214840000001</v>
      </c>
      <c r="N87" s="954"/>
      <c r="O87" s="663"/>
    </row>
    <row r="88" spans="1:15">
      <c r="A88" s="409" t="s">
        <v>406</v>
      </c>
      <c r="B88" s="409" t="s">
        <v>406</v>
      </c>
      <c r="C88" s="417">
        <v>26651</v>
      </c>
      <c r="D88" s="401">
        <v>28151</v>
      </c>
      <c r="E88" s="426">
        <v>0.6</v>
      </c>
      <c r="F88" s="416">
        <v>4.4076464142213565</v>
      </c>
      <c r="G88" s="420">
        <v>0.6</v>
      </c>
      <c r="H88" s="419">
        <v>5.29</v>
      </c>
      <c r="I88" s="420">
        <v>0.6</v>
      </c>
      <c r="J88" s="415">
        <f t="shared" si="4"/>
        <v>0.6</v>
      </c>
      <c r="K88" s="416">
        <f t="shared" si="5"/>
        <v>13.92</v>
      </c>
      <c r="L88" s="407">
        <f t="shared" si="6"/>
        <v>37.098191999999997</v>
      </c>
      <c r="M88" s="768">
        <f t="shared" si="7"/>
        <v>17992.62312</v>
      </c>
      <c r="N88" s="954"/>
      <c r="O88" s="663"/>
    </row>
    <row r="89" spans="1:15">
      <c r="A89" s="409" t="s">
        <v>526</v>
      </c>
      <c r="B89" s="409" t="s">
        <v>526</v>
      </c>
      <c r="C89" s="417">
        <v>22558</v>
      </c>
      <c r="D89" s="401">
        <v>16491</v>
      </c>
      <c r="E89" s="426">
        <v>0.6</v>
      </c>
      <c r="F89" s="416">
        <v>3.2861774241084585</v>
      </c>
      <c r="G89" s="420">
        <v>0.6</v>
      </c>
      <c r="H89" s="419">
        <v>12.8</v>
      </c>
      <c r="I89" s="404">
        <v>0.9</v>
      </c>
      <c r="J89" s="415">
        <f t="shared" si="4"/>
        <v>0.70000000000000007</v>
      </c>
      <c r="K89" s="416">
        <f t="shared" si="5"/>
        <v>16.240000000000002</v>
      </c>
      <c r="L89" s="407">
        <f t="shared" si="6"/>
        <v>36.634192000000006</v>
      </c>
      <c r="M89" s="768">
        <f t="shared" si="7"/>
        <v>17767.583120000003</v>
      </c>
      <c r="N89" s="954"/>
      <c r="O89" s="663"/>
    </row>
    <row r="90" spans="1:15">
      <c r="A90" s="409" t="s">
        <v>468</v>
      </c>
      <c r="B90" s="409" t="s">
        <v>468</v>
      </c>
      <c r="C90" s="417">
        <v>22136</v>
      </c>
      <c r="D90" s="401">
        <v>20272</v>
      </c>
      <c r="E90" s="426">
        <v>0.6</v>
      </c>
      <c r="F90" s="416">
        <v>4.2629539256494899</v>
      </c>
      <c r="G90" s="420">
        <v>0.6</v>
      </c>
      <c r="H90" s="419">
        <v>12</v>
      </c>
      <c r="I90" s="404">
        <v>0.9</v>
      </c>
      <c r="J90" s="415">
        <f t="shared" si="4"/>
        <v>0.70000000000000007</v>
      </c>
      <c r="K90" s="416">
        <f t="shared" si="5"/>
        <v>16.240000000000002</v>
      </c>
      <c r="L90" s="407">
        <f t="shared" si="6"/>
        <v>35.948864000000007</v>
      </c>
      <c r="M90" s="768">
        <f t="shared" si="7"/>
        <v>17435.199040000003</v>
      </c>
      <c r="N90" s="954"/>
      <c r="O90" s="663"/>
    </row>
    <row r="91" spans="1:15">
      <c r="A91" s="409" t="s">
        <v>380</v>
      </c>
      <c r="B91" s="409" t="s">
        <v>380</v>
      </c>
      <c r="C91" s="417">
        <v>25290</v>
      </c>
      <c r="D91" s="401">
        <v>23114</v>
      </c>
      <c r="E91" s="426">
        <v>0.6</v>
      </c>
      <c r="F91" s="416">
        <v>3.6204744069912609</v>
      </c>
      <c r="G91" s="420">
        <v>0.6</v>
      </c>
      <c r="H91" s="419">
        <v>8</v>
      </c>
      <c r="I91" s="420">
        <v>0.6</v>
      </c>
      <c r="J91" s="415">
        <f t="shared" si="4"/>
        <v>0.6</v>
      </c>
      <c r="K91" s="416">
        <f t="shared" si="5"/>
        <v>13.92</v>
      </c>
      <c r="L91" s="407">
        <f t="shared" si="6"/>
        <v>35.203679999999999</v>
      </c>
      <c r="M91" s="768">
        <f t="shared" si="7"/>
        <v>17073.784799999998</v>
      </c>
      <c r="N91" s="954"/>
      <c r="O91" s="663"/>
    </row>
    <row r="92" spans="1:15">
      <c r="A92" s="409" t="s">
        <v>418</v>
      </c>
      <c r="B92" s="409" t="s">
        <v>418</v>
      </c>
      <c r="C92" s="417">
        <v>21251</v>
      </c>
      <c r="D92" s="401">
        <v>22333</v>
      </c>
      <c r="E92" s="426">
        <v>0.6</v>
      </c>
      <c r="F92" s="416">
        <v>3.6284953395472703</v>
      </c>
      <c r="G92" s="420">
        <v>0.6</v>
      </c>
      <c r="H92" s="419">
        <v>15</v>
      </c>
      <c r="I92" s="404">
        <v>0.9</v>
      </c>
      <c r="J92" s="415">
        <f t="shared" si="4"/>
        <v>0.70000000000000007</v>
      </c>
      <c r="K92" s="416">
        <f t="shared" si="5"/>
        <v>16.240000000000002</v>
      </c>
      <c r="L92" s="407">
        <f t="shared" si="6"/>
        <v>34.511624000000005</v>
      </c>
      <c r="M92" s="768">
        <f t="shared" si="7"/>
        <v>16738.137640000001</v>
      </c>
      <c r="N92" s="954"/>
      <c r="O92" s="663"/>
    </row>
    <row r="93" spans="1:15">
      <c r="A93" s="409" t="s">
        <v>395</v>
      </c>
      <c r="B93" s="409" t="s">
        <v>395</v>
      </c>
      <c r="C93" s="417">
        <v>20383</v>
      </c>
      <c r="D93" s="401">
        <v>19419</v>
      </c>
      <c r="E93" s="426">
        <v>0.6</v>
      </c>
      <c r="F93" s="416">
        <v>5.4125164442773919</v>
      </c>
      <c r="G93" s="404">
        <v>0.9</v>
      </c>
      <c r="H93" s="419">
        <v>8.08</v>
      </c>
      <c r="I93" s="420">
        <v>0.6</v>
      </c>
      <c r="J93" s="415">
        <f t="shared" si="4"/>
        <v>0.70000000000000007</v>
      </c>
      <c r="K93" s="416">
        <f t="shared" si="5"/>
        <v>16.240000000000002</v>
      </c>
      <c r="L93" s="407">
        <f t="shared" si="6"/>
        <v>33.101992000000003</v>
      </c>
      <c r="M93" s="768">
        <f t="shared" si="7"/>
        <v>16054.466120000001</v>
      </c>
      <c r="N93" s="954"/>
      <c r="O93" s="663"/>
    </row>
    <row r="94" spans="1:15">
      <c r="A94" s="409" t="s">
        <v>431</v>
      </c>
      <c r="B94" s="409" t="s">
        <v>567</v>
      </c>
      <c r="C94" s="417">
        <v>16427</v>
      </c>
      <c r="D94" s="401">
        <v>5624</v>
      </c>
      <c r="E94" s="426">
        <v>0.6</v>
      </c>
      <c r="F94" s="427">
        <v>11</v>
      </c>
      <c r="G94" s="413">
        <v>1.4</v>
      </c>
      <c r="H94" s="419">
        <v>2.7</v>
      </c>
      <c r="I94" s="420">
        <v>0.6</v>
      </c>
      <c r="J94" s="415">
        <f t="shared" si="4"/>
        <v>0.8666666666666667</v>
      </c>
      <c r="K94" s="416">
        <f t="shared" si="5"/>
        <v>20.106666666666666</v>
      </c>
      <c r="L94" s="407">
        <f t="shared" si="6"/>
        <v>33.029221333333332</v>
      </c>
      <c r="M94" s="768">
        <f t="shared" si="7"/>
        <v>16019.172346666666</v>
      </c>
      <c r="N94" s="954"/>
      <c r="O94" s="663"/>
    </row>
    <row r="95" spans="1:15">
      <c r="A95" s="409" t="s">
        <v>527</v>
      </c>
      <c r="B95" s="409" t="s">
        <v>527</v>
      </c>
      <c r="C95" s="417">
        <v>18234</v>
      </c>
      <c r="D95" s="401">
        <v>15603</v>
      </c>
      <c r="E95" s="426">
        <v>0.6</v>
      </c>
      <c r="F95" s="416">
        <v>4.1172483903761439</v>
      </c>
      <c r="G95" s="420">
        <v>0.6</v>
      </c>
      <c r="H95" s="419">
        <v>20.39</v>
      </c>
      <c r="I95" s="418">
        <v>1.1000000000000001</v>
      </c>
      <c r="J95" s="415">
        <f t="shared" si="4"/>
        <v>0.76666666666666661</v>
      </c>
      <c r="K95" s="416">
        <f t="shared" si="5"/>
        <v>17.786666666666665</v>
      </c>
      <c r="L95" s="407">
        <f t="shared" si="6"/>
        <v>32.432207999999996</v>
      </c>
      <c r="M95" s="768">
        <f t="shared" si="7"/>
        <v>15729.620879999999</v>
      </c>
      <c r="N95" s="954"/>
      <c r="O95" s="663"/>
    </row>
    <row r="96" spans="1:15">
      <c r="A96" s="409" t="s">
        <v>411</v>
      </c>
      <c r="B96" s="409" t="s">
        <v>411</v>
      </c>
      <c r="C96" s="417">
        <v>23204</v>
      </c>
      <c r="D96" s="401">
        <v>22214</v>
      </c>
      <c r="E96" s="426">
        <v>0.6</v>
      </c>
      <c r="F96" s="416">
        <v>4.1286173633440519</v>
      </c>
      <c r="G96" s="420">
        <v>0.6</v>
      </c>
      <c r="H96" s="419">
        <v>6.9</v>
      </c>
      <c r="I96" s="420">
        <v>0.6</v>
      </c>
      <c r="J96" s="415">
        <f t="shared" si="4"/>
        <v>0.6</v>
      </c>
      <c r="K96" s="416">
        <f t="shared" si="5"/>
        <v>13.92</v>
      </c>
      <c r="L96" s="407">
        <f t="shared" si="6"/>
        <v>32.299968</v>
      </c>
      <c r="M96" s="768">
        <f t="shared" si="7"/>
        <v>15665.484479999999</v>
      </c>
      <c r="N96" s="954"/>
      <c r="O96" s="663"/>
    </row>
    <row r="97" spans="1:15">
      <c r="A97" s="409" t="s">
        <v>528</v>
      </c>
      <c r="B97" s="409" t="s">
        <v>568</v>
      </c>
      <c r="C97" s="417">
        <v>19844</v>
      </c>
      <c r="D97" s="401">
        <v>15230</v>
      </c>
      <c r="E97" s="426">
        <v>0.6</v>
      </c>
      <c r="F97" s="416">
        <v>5.3437898960423125</v>
      </c>
      <c r="G97" s="404">
        <v>0.9</v>
      </c>
      <c r="H97" s="419">
        <v>6.7</v>
      </c>
      <c r="I97" s="420">
        <v>0.6</v>
      </c>
      <c r="J97" s="415">
        <f t="shared" si="4"/>
        <v>0.70000000000000007</v>
      </c>
      <c r="K97" s="416">
        <f t="shared" si="5"/>
        <v>16.240000000000002</v>
      </c>
      <c r="L97" s="407">
        <f t="shared" si="6"/>
        <v>32.226656000000006</v>
      </c>
      <c r="M97" s="768">
        <f t="shared" si="7"/>
        <v>15629.928160000003</v>
      </c>
      <c r="N97" s="954"/>
      <c r="O97" s="663"/>
    </row>
    <row r="98" spans="1:15">
      <c r="A98" s="409" t="s">
        <v>425</v>
      </c>
      <c r="B98" s="409" t="s">
        <v>425</v>
      </c>
      <c r="C98" s="417">
        <v>17386</v>
      </c>
      <c r="D98" s="401">
        <v>17340</v>
      </c>
      <c r="E98" s="426">
        <v>0.6</v>
      </c>
      <c r="F98" s="416">
        <v>5.1392787734830492</v>
      </c>
      <c r="G98" s="404">
        <v>0.9</v>
      </c>
      <c r="H98" s="419">
        <v>5</v>
      </c>
      <c r="I98" s="420">
        <v>0.6</v>
      </c>
      <c r="J98" s="415">
        <f t="shared" si="4"/>
        <v>0.70000000000000007</v>
      </c>
      <c r="K98" s="416">
        <f t="shared" si="5"/>
        <v>16.240000000000002</v>
      </c>
      <c r="L98" s="407">
        <f t="shared" si="6"/>
        <v>28.234864000000002</v>
      </c>
      <c r="M98" s="768">
        <f t="shared" si="7"/>
        <v>13693.90904</v>
      </c>
      <c r="N98" s="954"/>
      <c r="O98" s="663"/>
    </row>
    <row r="99" spans="1:15">
      <c r="A99" s="409" t="s">
        <v>529</v>
      </c>
      <c r="B99" s="409" t="s">
        <v>386</v>
      </c>
      <c r="C99" s="417">
        <v>20068</v>
      </c>
      <c r="D99" s="401">
        <v>17613</v>
      </c>
      <c r="E99" s="426">
        <v>0.6</v>
      </c>
      <c r="F99" s="416">
        <v>3.0862233534839323</v>
      </c>
      <c r="G99" s="405">
        <v>0.3</v>
      </c>
      <c r="H99" s="419">
        <v>11.5</v>
      </c>
      <c r="I99" s="404">
        <v>0.9</v>
      </c>
      <c r="J99" s="415">
        <f t="shared" si="4"/>
        <v>0.6</v>
      </c>
      <c r="K99" s="416">
        <f t="shared" si="5"/>
        <v>13.92</v>
      </c>
      <c r="L99" s="407">
        <f t="shared" si="6"/>
        <v>27.934656</v>
      </c>
      <c r="M99" s="768">
        <f t="shared" si="7"/>
        <v>13548.30816</v>
      </c>
      <c r="N99" s="954"/>
      <c r="O99" s="663"/>
    </row>
    <row r="100" spans="1:15">
      <c r="A100" s="409" t="s">
        <v>530</v>
      </c>
      <c r="B100" s="409" t="s">
        <v>261</v>
      </c>
      <c r="C100" s="400">
        <v>15336</v>
      </c>
      <c r="D100" s="401">
        <v>27007</v>
      </c>
      <c r="E100" s="426">
        <v>0.6</v>
      </c>
      <c r="F100" s="416">
        <v>18.7</v>
      </c>
      <c r="G100" s="413">
        <v>1.4</v>
      </c>
      <c r="H100" s="419" t="s">
        <v>488</v>
      </c>
      <c r="I100" s="405">
        <v>0.3</v>
      </c>
      <c r="J100" s="415">
        <f t="shared" si="4"/>
        <v>0.76666666666666661</v>
      </c>
      <c r="K100" s="416">
        <f t="shared" si="5"/>
        <v>17.786666666666665</v>
      </c>
      <c r="L100" s="407">
        <f t="shared" si="6"/>
        <v>27.277632000000001</v>
      </c>
      <c r="M100" s="768">
        <f t="shared" si="7"/>
        <v>13229.651519999999</v>
      </c>
      <c r="N100" s="954"/>
      <c r="O100" s="663"/>
    </row>
    <row r="101" spans="1:15">
      <c r="A101" s="409" t="s">
        <v>396</v>
      </c>
      <c r="B101" s="409" t="s">
        <v>396</v>
      </c>
      <c r="C101" s="417">
        <v>17572</v>
      </c>
      <c r="D101" s="401">
        <v>16076</v>
      </c>
      <c r="E101" s="426">
        <v>0.6</v>
      </c>
      <c r="F101" s="416">
        <v>6.873518638224521</v>
      </c>
      <c r="G101" s="418">
        <v>1.1000000000000001</v>
      </c>
      <c r="H101" s="419" t="s">
        <v>488</v>
      </c>
      <c r="I101" s="405">
        <v>0.3</v>
      </c>
      <c r="J101" s="415">
        <f t="shared" si="4"/>
        <v>0.66666666666666663</v>
      </c>
      <c r="K101" s="416">
        <f t="shared" si="5"/>
        <v>15.466666666666665</v>
      </c>
      <c r="L101" s="407">
        <f t="shared" si="6"/>
        <v>27.178026666666668</v>
      </c>
      <c r="M101" s="768">
        <f t="shared" si="7"/>
        <v>13181.342933333333</v>
      </c>
      <c r="N101" s="954"/>
      <c r="O101" s="663"/>
    </row>
    <row r="102" spans="1:15">
      <c r="A102" s="409" t="s">
        <v>531</v>
      </c>
      <c r="B102" s="409" t="s">
        <v>566</v>
      </c>
      <c r="C102" s="417">
        <v>22846</v>
      </c>
      <c r="D102" s="401">
        <v>16105</v>
      </c>
      <c r="E102" s="426">
        <v>0.6</v>
      </c>
      <c r="F102" s="416">
        <v>3.14</v>
      </c>
      <c r="G102" s="405">
        <v>0.3</v>
      </c>
      <c r="H102" s="419">
        <v>4.5</v>
      </c>
      <c r="I102" s="420">
        <v>0.6</v>
      </c>
      <c r="J102" s="415">
        <f t="shared" si="4"/>
        <v>0.5</v>
      </c>
      <c r="K102" s="416">
        <f t="shared" si="5"/>
        <v>11.6</v>
      </c>
      <c r="L102" s="407">
        <f t="shared" si="6"/>
        <v>26.501359999999998</v>
      </c>
      <c r="M102" s="768">
        <f t="shared" si="7"/>
        <v>12853.159599999999</v>
      </c>
      <c r="N102" s="954"/>
      <c r="O102" s="663"/>
    </row>
    <row r="103" spans="1:15">
      <c r="A103" s="409" t="s">
        <v>361</v>
      </c>
      <c r="B103" s="409" t="s">
        <v>361</v>
      </c>
      <c r="C103" s="417">
        <v>14669</v>
      </c>
      <c r="D103" s="401">
        <v>8759</v>
      </c>
      <c r="E103" s="405">
        <v>0.3</v>
      </c>
      <c r="F103" s="416">
        <v>3.2833847509916261</v>
      </c>
      <c r="G103" s="420">
        <v>0.6</v>
      </c>
      <c r="H103" s="419">
        <v>66</v>
      </c>
      <c r="I103" s="422">
        <v>1.4</v>
      </c>
      <c r="J103" s="415">
        <f t="shared" si="4"/>
        <v>0.76666666666666661</v>
      </c>
      <c r="K103" s="416">
        <f t="shared" si="5"/>
        <v>17.786666666666665</v>
      </c>
      <c r="L103" s="407">
        <f t="shared" si="6"/>
        <v>26.091261333333332</v>
      </c>
      <c r="M103" s="768">
        <f t="shared" si="7"/>
        <v>12654.261746666665</v>
      </c>
      <c r="N103" s="954"/>
      <c r="O103" s="663"/>
    </row>
    <row r="104" spans="1:15">
      <c r="A104" s="409" t="s">
        <v>361</v>
      </c>
      <c r="B104" s="409" t="s">
        <v>259</v>
      </c>
      <c r="C104" s="417">
        <v>14669</v>
      </c>
      <c r="D104" s="401">
        <v>6122</v>
      </c>
      <c r="E104" s="405">
        <v>0.3</v>
      </c>
      <c r="F104" s="416">
        <v>3.2833847509916261</v>
      </c>
      <c r="G104" s="420">
        <v>0.6</v>
      </c>
      <c r="H104" s="419">
        <v>66</v>
      </c>
      <c r="I104" s="422">
        <v>1.4</v>
      </c>
      <c r="J104" s="415">
        <f t="shared" si="4"/>
        <v>0.76666666666666661</v>
      </c>
      <c r="K104" s="416">
        <f t="shared" si="5"/>
        <v>17.786666666666665</v>
      </c>
      <c r="L104" s="407">
        <f t="shared" si="6"/>
        <v>26.091261333333332</v>
      </c>
      <c r="M104" s="768">
        <f t="shared" si="7"/>
        <v>12654.261746666665</v>
      </c>
      <c r="N104" s="954"/>
      <c r="O104" s="663"/>
    </row>
    <row r="105" spans="1:15">
      <c r="A105" s="409" t="s">
        <v>532</v>
      </c>
      <c r="B105" s="409" t="s">
        <v>532</v>
      </c>
      <c r="C105" s="417">
        <v>15906</v>
      </c>
      <c r="D105" s="401">
        <v>17657</v>
      </c>
      <c r="E105" s="426">
        <v>0.6</v>
      </c>
      <c r="F105" s="416">
        <v>6.3356164383561646</v>
      </c>
      <c r="G105" s="404">
        <v>0.9</v>
      </c>
      <c r="H105" s="419">
        <v>4.87</v>
      </c>
      <c r="I105" s="420">
        <v>0.6</v>
      </c>
      <c r="J105" s="415">
        <f t="shared" si="4"/>
        <v>0.70000000000000007</v>
      </c>
      <c r="K105" s="416">
        <f t="shared" si="5"/>
        <v>16.240000000000002</v>
      </c>
      <c r="L105" s="407">
        <f t="shared" si="6"/>
        <v>25.831344000000001</v>
      </c>
      <c r="M105" s="768">
        <f t="shared" si="7"/>
        <v>12528.201840000002</v>
      </c>
      <c r="N105" s="954"/>
      <c r="O105" s="663"/>
    </row>
    <row r="106" spans="1:15">
      <c r="A106" s="409" t="s">
        <v>463</v>
      </c>
      <c r="B106" s="409" t="s">
        <v>463</v>
      </c>
      <c r="C106" s="417">
        <v>16227</v>
      </c>
      <c r="D106" s="401">
        <v>11704</v>
      </c>
      <c r="E106" s="426">
        <v>0.6</v>
      </c>
      <c r="F106" s="416">
        <v>2.7245561610124804</v>
      </c>
      <c r="G106" s="405">
        <v>0.3</v>
      </c>
      <c r="H106" s="419">
        <v>49.6</v>
      </c>
      <c r="I106" s="418">
        <v>1.1000000000000001</v>
      </c>
      <c r="J106" s="415">
        <f t="shared" si="4"/>
        <v>0.66666666666666663</v>
      </c>
      <c r="K106" s="416">
        <f t="shared" si="5"/>
        <v>15.466666666666665</v>
      </c>
      <c r="L106" s="407">
        <f t="shared" si="6"/>
        <v>25.097759999999997</v>
      </c>
      <c r="M106" s="768">
        <f t="shared" si="7"/>
        <v>12172.413599999998</v>
      </c>
      <c r="N106" s="954"/>
      <c r="O106" s="663"/>
    </row>
    <row r="107" spans="1:15">
      <c r="A107" s="409" t="s">
        <v>533</v>
      </c>
      <c r="B107" s="409" t="s">
        <v>387</v>
      </c>
      <c r="C107" s="417">
        <v>17587</v>
      </c>
      <c r="D107" s="401">
        <v>10956</v>
      </c>
      <c r="E107" s="426">
        <v>0.6</v>
      </c>
      <c r="F107" s="416">
        <v>4.2</v>
      </c>
      <c r="G107" s="420">
        <v>0.6</v>
      </c>
      <c r="H107" s="419">
        <v>9.5</v>
      </c>
      <c r="I107" s="420">
        <v>0.6</v>
      </c>
      <c r="J107" s="415">
        <f t="shared" si="4"/>
        <v>0.6</v>
      </c>
      <c r="K107" s="416">
        <f t="shared" si="5"/>
        <v>13.92</v>
      </c>
      <c r="L107" s="407">
        <f t="shared" si="6"/>
        <v>24.481104000000002</v>
      </c>
      <c r="M107" s="768">
        <f t="shared" si="7"/>
        <v>11873.335440000001</v>
      </c>
      <c r="N107" s="954"/>
      <c r="O107" s="663"/>
    </row>
    <row r="108" spans="1:15">
      <c r="A108" s="409" t="s">
        <v>534</v>
      </c>
      <c r="B108" s="409" t="s">
        <v>569</v>
      </c>
      <c r="C108" s="417">
        <v>15246</v>
      </c>
      <c r="D108" s="401">
        <v>25480</v>
      </c>
      <c r="E108" s="426">
        <v>0.6</v>
      </c>
      <c r="F108" s="416">
        <v>7.33</v>
      </c>
      <c r="G108" s="418">
        <v>1.1000000000000001</v>
      </c>
      <c r="H108" s="419" t="s">
        <v>488</v>
      </c>
      <c r="I108" s="405">
        <v>0.3</v>
      </c>
      <c r="J108" s="415">
        <f t="shared" si="4"/>
        <v>0.66666666666666663</v>
      </c>
      <c r="K108" s="416">
        <f t="shared" si="5"/>
        <v>15.466666666666665</v>
      </c>
      <c r="L108" s="407">
        <f t="shared" si="6"/>
        <v>23.580479999999998</v>
      </c>
      <c r="M108" s="768">
        <f t="shared" si="7"/>
        <v>11436.532799999999</v>
      </c>
      <c r="N108" s="954"/>
      <c r="O108" s="663"/>
    </row>
    <row r="109" spans="1:15">
      <c r="A109" s="409" t="s">
        <v>535</v>
      </c>
      <c r="B109" s="409" t="s">
        <v>163</v>
      </c>
      <c r="C109" s="417">
        <v>14230</v>
      </c>
      <c r="D109" s="401">
        <v>12372</v>
      </c>
      <c r="E109" s="405">
        <v>0.3</v>
      </c>
      <c r="F109" s="416">
        <v>4.918032786885246</v>
      </c>
      <c r="G109" s="404">
        <v>0.9</v>
      </c>
      <c r="H109" s="419">
        <v>17</v>
      </c>
      <c r="I109" s="404">
        <v>0.9</v>
      </c>
      <c r="J109" s="415">
        <f t="shared" si="4"/>
        <v>0.70000000000000007</v>
      </c>
      <c r="K109" s="416">
        <f t="shared" si="5"/>
        <v>16.240000000000002</v>
      </c>
      <c r="L109" s="407">
        <f t="shared" si="6"/>
        <v>23.109520000000003</v>
      </c>
      <c r="M109" s="768">
        <f t="shared" si="7"/>
        <v>11208.117200000002</v>
      </c>
      <c r="N109" s="954"/>
      <c r="O109" s="663"/>
    </row>
    <row r="110" spans="1:15">
      <c r="A110" s="409" t="s">
        <v>452</v>
      </c>
      <c r="B110" s="409" t="s">
        <v>452</v>
      </c>
      <c r="C110" s="417">
        <v>19149</v>
      </c>
      <c r="D110" s="401">
        <v>15157</v>
      </c>
      <c r="E110" s="426">
        <v>0.6</v>
      </c>
      <c r="F110" s="416">
        <v>4.0700857820770215</v>
      </c>
      <c r="G110" s="420">
        <v>0.6</v>
      </c>
      <c r="H110" s="419" t="s">
        <v>488</v>
      </c>
      <c r="I110" s="405">
        <v>0.3</v>
      </c>
      <c r="J110" s="415">
        <f t="shared" si="4"/>
        <v>0.5</v>
      </c>
      <c r="K110" s="416">
        <f t="shared" si="5"/>
        <v>11.6</v>
      </c>
      <c r="L110" s="407">
        <f t="shared" si="6"/>
        <v>22.21284</v>
      </c>
      <c r="M110" s="768">
        <f t="shared" si="7"/>
        <v>10773.2274</v>
      </c>
      <c r="N110" s="954"/>
      <c r="O110" s="663"/>
    </row>
    <row r="111" spans="1:15">
      <c r="A111" s="409" t="s">
        <v>391</v>
      </c>
      <c r="B111" s="409" t="s">
        <v>391</v>
      </c>
      <c r="C111" s="417">
        <v>17234</v>
      </c>
      <c r="D111" s="401">
        <v>15932</v>
      </c>
      <c r="E111" s="426">
        <v>0.6</v>
      </c>
      <c r="F111" s="416">
        <v>2.779342723004695</v>
      </c>
      <c r="G111" s="405">
        <v>0.3</v>
      </c>
      <c r="H111" s="419">
        <v>1.3</v>
      </c>
      <c r="I111" s="420">
        <v>0.6</v>
      </c>
      <c r="J111" s="415">
        <f t="shared" si="4"/>
        <v>0.5</v>
      </c>
      <c r="K111" s="416">
        <f t="shared" si="5"/>
        <v>11.6</v>
      </c>
      <c r="L111" s="407">
        <f t="shared" si="6"/>
        <v>19.991440000000001</v>
      </c>
      <c r="M111" s="768">
        <f t="shared" si="7"/>
        <v>9695.8484000000008</v>
      </c>
      <c r="N111" s="954"/>
      <c r="O111" s="663"/>
    </row>
    <row r="112" spans="1:15">
      <c r="A112" s="409" t="s">
        <v>512</v>
      </c>
      <c r="B112" s="409" t="s">
        <v>253</v>
      </c>
      <c r="C112" s="400">
        <v>17038</v>
      </c>
      <c r="D112" s="401">
        <v>23606</v>
      </c>
      <c r="E112" s="426">
        <v>0.6</v>
      </c>
      <c r="F112" s="416">
        <v>3.78</v>
      </c>
      <c r="G112" s="420">
        <v>0.6</v>
      </c>
      <c r="H112" s="419" t="s">
        <v>488</v>
      </c>
      <c r="I112" s="405">
        <v>0.3</v>
      </c>
      <c r="J112" s="415">
        <f t="shared" si="4"/>
        <v>0.5</v>
      </c>
      <c r="K112" s="416">
        <f t="shared" si="5"/>
        <v>11.6</v>
      </c>
      <c r="L112" s="407">
        <f t="shared" si="6"/>
        <v>19.76408</v>
      </c>
      <c r="M112" s="768">
        <f t="shared" si="7"/>
        <v>9585.5787999999993</v>
      </c>
      <c r="N112" s="954"/>
      <c r="O112" s="663"/>
    </row>
    <row r="113" spans="1:17">
      <c r="A113" s="409" t="s">
        <v>536</v>
      </c>
      <c r="B113" s="409" t="s">
        <v>536</v>
      </c>
      <c r="C113" s="417">
        <v>14032</v>
      </c>
      <c r="D113" s="401">
        <v>16185</v>
      </c>
      <c r="E113" s="405">
        <v>0.3</v>
      </c>
      <c r="F113" s="416">
        <v>4.9126891734575091</v>
      </c>
      <c r="G113" s="404">
        <v>0.9</v>
      </c>
      <c r="H113" s="419">
        <v>5</v>
      </c>
      <c r="I113" s="420">
        <v>0.6</v>
      </c>
      <c r="J113" s="415">
        <f t="shared" si="4"/>
        <v>0.6</v>
      </c>
      <c r="K113" s="416">
        <f t="shared" si="5"/>
        <v>13.92</v>
      </c>
      <c r="L113" s="407">
        <f t="shared" si="6"/>
        <v>19.532544000000001</v>
      </c>
      <c r="M113" s="768">
        <f t="shared" si="7"/>
        <v>9473.2838400000001</v>
      </c>
      <c r="N113" s="954"/>
      <c r="O113" s="663"/>
    </row>
    <row r="114" spans="1:17">
      <c r="A114" s="409" t="s">
        <v>382</v>
      </c>
      <c r="B114" s="409" t="s">
        <v>383</v>
      </c>
      <c r="C114" s="400">
        <v>12340</v>
      </c>
      <c r="D114" s="401">
        <v>13664</v>
      </c>
      <c r="E114" s="405">
        <v>0.3</v>
      </c>
      <c r="F114" s="416">
        <v>3.2</v>
      </c>
      <c r="G114" s="420">
        <v>0.6</v>
      </c>
      <c r="H114" s="419">
        <v>20</v>
      </c>
      <c r="I114" s="418">
        <v>1.1000000000000001</v>
      </c>
      <c r="J114" s="415">
        <f t="shared" si="4"/>
        <v>0.66666666666666663</v>
      </c>
      <c r="K114" s="416">
        <f t="shared" si="5"/>
        <v>15.466666666666665</v>
      </c>
      <c r="L114" s="407">
        <f t="shared" si="6"/>
        <v>19.085866666666664</v>
      </c>
      <c r="M114" s="768">
        <f t="shared" si="7"/>
        <v>9256.645333333332</v>
      </c>
      <c r="N114" s="954"/>
      <c r="O114" s="663"/>
    </row>
    <row r="115" spans="1:17">
      <c r="A115" s="409" t="s">
        <v>474</v>
      </c>
      <c r="B115" s="409" t="s">
        <v>474</v>
      </c>
      <c r="C115" s="417">
        <v>16050</v>
      </c>
      <c r="D115" s="401">
        <v>5379</v>
      </c>
      <c r="E115" s="426">
        <v>0.6</v>
      </c>
      <c r="F115" s="416">
        <v>2.7219823540454291</v>
      </c>
      <c r="G115" s="405">
        <v>0.3</v>
      </c>
      <c r="H115" s="419">
        <v>6</v>
      </c>
      <c r="I115" s="420">
        <v>0.6</v>
      </c>
      <c r="J115" s="415">
        <f t="shared" si="4"/>
        <v>0.5</v>
      </c>
      <c r="K115" s="416">
        <f t="shared" si="5"/>
        <v>11.6</v>
      </c>
      <c r="L115" s="407">
        <f t="shared" si="6"/>
        <v>18.617999999999999</v>
      </c>
      <c r="M115" s="768">
        <f t="shared" si="7"/>
        <v>9029.73</v>
      </c>
      <c r="N115" s="954"/>
      <c r="O115" s="663"/>
    </row>
    <row r="116" spans="1:17">
      <c r="A116" s="409" t="s">
        <v>474</v>
      </c>
      <c r="B116" s="409" t="s">
        <v>476</v>
      </c>
      <c r="C116" s="417">
        <v>16050</v>
      </c>
      <c r="D116" s="401">
        <v>3057</v>
      </c>
      <c r="E116" s="426">
        <v>0.6</v>
      </c>
      <c r="F116" s="416">
        <v>2.7219823540454291</v>
      </c>
      <c r="G116" s="405">
        <v>0.3</v>
      </c>
      <c r="H116" s="419">
        <v>6</v>
      </c>
      <c r="I116" s="420">
        <v>0.6</v>
      </c>
      <c r="J116" s="415">
        <f t="shared" si="4"/>
        <v>0.5</v>
      </c>
      <c r="K116" s="416">
        <f t="shared" si="5"/>
        <v>11.6</v>
      </c>
      <c r="L116" s="407">
        <f t="shared" si="6"/>
        <v>18.617999999999999</v>
      </c>
      <c r="M116" s="768">
        <f t="shared" si="7"/>
        <v>9029.73</v>
      </c>
      <c r="N116" s="954"/>
      <c r="O116" s="663"/>
    </row>
    <row r="117" spans="1:17">
      <c r="A117" s="409" t="s">
        <v>537</v>
      </c>
      <c r="B117" s="409" t="s">
        <v>573</v>
      </c>
      <c r="C117" s="417">
        <v>12419</v>
      </c>
      <c r="D117" s="401">
        <v>10711</v>
      </c>
      <c r="E117" s="405">
        <v>0.3</v>
      </c>
      <c r="F117" s="416">
        <v>6.358042777615001</v>
      </c>
      <c r="G117" s="404">
        <v>0.9</v>
      </c>
      <c r="H117" s="419">
        <v>5.0999999999999996</v>
      </c>
      <c r="I117" s="420">
        <v>0.6</v>
      </c>
      <c r="J117" s="415">
        <f t="shared" si="4"/>
        <v>0.6</v>
      </c>
      <c r="K117" s="416">
        <f t="shared" si="5"/>
        <v>13.92</v>
      </c>
      <c r="L117" s="407">
        <f t="shared" si="6"/>
        <v>17.287248000000002</v>
      </c>
      <c r="M117" s="768">
        <f t="shared" si="7"/>
        <v>8384.3152800000007</v>
      </c>
      <c r="N117" s="954"/>
      <c r="O117" s="663"/>
    </row>
    <row r="118" spans="1:17">
      <c r="A118" s="409" t="s">
        <v>538</v>
      </c>
      <c r="B118" s="409" t="s">
        <v>538</v>
      </c>
      <c r="C118" s="417">
        <v>12954</v>
      </c>
      <c r="D118" s="401">
        <v>10665</v>
      </c>
      <c r="E118" s="405">
        <v>0.3</v>
      </c>
      <c r="F118" s="416">
        <v>2.9292688735413193</v>
      </c>
      <c r="G118" s="405">
        <v>0.3</v>
      </c>
      <c r="H118" s="419">
        <v>36</v>
      </c>
      <c r="I118" s="418">
        <v>1.1000000000000001</v>
      </c>
      <c r="J118" s="415">
        <f t="shared" si="4"/>
        <v>0.56666666666666676</v>
      </c>
      <c r="K118" s="416">
        <f t="shared" si="5"/>
        <v>13.146666666666668</v>
      </c>
      <c r="L118" s="407">
        <f t="shared" si="6"/>
        <v>17.030192</v>
      </c>
      <c r="M118" s="768">
        <f t="shared" si="7"/>
        <v>8259.6431200000006</v>
      </c>
      <c r="N118" s="954"/>
      <c r="O118" s="663"/>
    </row>
    <row r="119" spans="1:17">
      <c r="A119" s="409" t="s">
        <v>397</v>
      </c>
      <c r="B119" s="409" t="s">
        <v>397</v>
      </c>
      <c r="C119" s="417">
        <v>11867</v>
      </c>
      <c r="D119" s="401">
        <v>11721</v>
      </c>
      <c r="E119" s="405">
        <v>0.3</v>
      </c>
      <c r="F119" s="416">
        <v>4.6504369538077404</v>
      </c>
      <c r="G119" s="404">
        <v>0.9</v>
      </c>
      <c r="H119" s="419">
        <v>8.3000000000000007</v>
      </c>
      <c r="I119" s="420">
        <v>0.6</v>
      </c>
      <c r="J119" s="415">
        <f t="shared" si="4"/>
        <v>0.6</v>
      </c>
      <c r="K119" s="416">
        <f t="shared" si="5"/>
        <v>13.92</v>
      </c>
      <c r="L119" s="407">
        <f t="shared" si="6"/>
        <v>16.518863999999997</v>
      </c>
      <c r="M119" s="768">
        <f t="shared" si="7"/>
        <v>8011.6490399999984</v>
      </c>
      <c r="N119" s="954"/>
      <c r="O119" s="663"/>
    </row>
    <row r="120" spans="1:17">
      <c r="A120" s="409" t="s">
        <v>444</v>
      </c>
      <c r="B120" s="409" t="s">
        <v>444</v>
      </c>
      <c r="C120" s="417">
        <v>10517</v>
      </c>
      <c r="D120" s="401">
        <v>11117</v>
      </c>
      <c r="E120" s="405">
        <v>0.3</v>
      </c>
      <c r="F120" s="416">
        <v>4.4836457184858505</v>
      </c>
      <c r="G120" s="420">
        <v>0.6</v>
      </c>
      <c r="H120" s="419">
        <v>34.5</v>
      </c>
      <c r="I120" s="418">
        <v>1.1000000000000001</v>
      </c>
      <c r="J120" s="415">
        <f t="shared" si="4"/>
        <v>0.66666666666666663</v>
      </c>
      <c r="K120" s="416">
        <f t="shared" si="5"/>
        <v>15.466666666666665</v>
      </c>
      <c r="L120" s="407">
        <f t="shared" si="6"/>
        <v>16.266293333333333</v>
      </c>
      <c r="M120" s="768">
        <f t="shared" si="7"/>
        <v>7889.1522666666669</v>
      </c>
      <c r="N120" s="954"/>
      <c r="O120" s="663"/>
    </row>
    <row r="121" spans="1:17">
      <c r="A121" s="409" t="s">
        <v>539</v>
      </c>
      <c r="B121" s="409" t="s">
        <v>114</v>
      </c>
      <c r="C121" s="400">
        <v>10160</v>
      </c>
      <c r="D121" s="401">
        <v>10939</v>
      </c>
      <c r="E121" s="405">
        <v>0.3</v>
      </c>
      <c r="F121" s="416">
        <v>3.66</v>
      </c>
      <c r="G121" s="420">
        <v>0.6</v>
      </c>
      <c r="H121" s="419">
        <v>22.2</v>
      </c>
      <c r="I121" s="418">
        <v>1.1000000000000001</v>
      </c>
      <c r="J121" s="415">
        <f t="shared" si="4"/>
        <v>0.66666666666666663</v>
      </c>
      <c r="K121" s="416">
        <f t="shared" si="5"/>
        <v>15.466666666666665</v>
      </c>
      <c r="L121" s="407">
        <f t="shared" si="6"/>
        <v>15.714133333333331</v>
      </c>
      <c r="M121" s="768">
        <f t="shared" si="7"/>
        <v>7621.3546666666653</v>
      </c>
      <c r="N121" s="954"/>
      <c r="O121" s="663"/>
    </row>
    <row r="122" spans="1:17">
      <c r="A122" s="409" t="s">
        <v>540</v>
      </c>
      <c r="B122" s="409" t="s">
        <v>255</v>
      </c>
      <c r="C122" s="400">
        <v>13034</v>
      </c>
      <c r="D122" s="401">
        <v>24272</v>
      </c>
      <c r="E122" s="405">
        <v>0.3</v>
      </c>
      <c r="F122" s="416">
        <v>4.0999999999999996</v>
      </c>
      <c r="G122" s="420">
        <v>0.6</v>
      </c>
      <c r="H122" s="419">
        <v>1</v>
      </c>
      <c r="I122" s="420">
        <v>0.6</v>
      </c>
      <c r="J122" s="415">
        <f t="shared" si="4"/>
        <v>0.5</v>
      </c>
      <c r="K122" s="416">
        <f t="shared" si="5"/>
        <v>11.6</v>
      </c>
      <c r="L122" s="407">
        <f t="shared" si="6"/>
        <v>15.119439999999999</v>
      </c>
      <c r="M122" s="768">
        <f t="shared" si="7"/>
        <v>7332.9283999999998</v>
      </c>
      <c r="N122" s="954"/>
      <c r="O122" s="663"/>
    </row>
    <row r="123" spans="1:17">
      <c r="A123" s="409" t="s">
        <v>408</v>
      </c>
      <c r="B123" s="409" t="s">
        <v>408</v>
      </c>
      <c r="C123" s="417">
        <v>12941</v>
      </c>
      <c r="D123" s="401">
        <v>10602</v>
      </c>
      <c r="E123" s="405">
        <v>0.3</v>
      </c>
      <c r="F123" s="416">
        <v>4.2321644498186215</v>
      </c>
      <c r="G123" s="420">
        <v>0.6</v>
      </c>
      <c r="H123" s="419">
        <v>3.3</v>
      </c>
      <c r="I123" s="420">
        <v>0.6</v>
      </c>
      <c r="J123" s="415">
        <f t="shared" si="4"/>
        <v>0.5</v>
      </c>
      <c r="K123" s="416">
        <f t="shared" si="5"/>
        <v>11.6</v>
      </c>
      <c r="L123" s="407">
        <f t="shared" si="6"/>
        <v>15.011560000000001</v>
      </c>
      <c r="M123" s="768">
        <f t="shared" si="7"/>
        <v>7280.606600000001</v>
      </c>
      <c r="N123" s="954"/>
      <c r="O123" s="663"/>
    </row>
    <row r="124" spans="1:17">
      <c r="A124" s="409" t="s">
        <v>534</v>
      </c>
      <c r="B124" s="409" t="s">
        <v>449</v>
      </c>
      <c r="C124" s="400">
        <v>11258</v>
      </c>
      <c r="D124" s="401">
        <v>17032</v>
      </c>
      <c r="E124" s="405">
        <v>0.3</v>
      </c>
      <c r="F124" s="416">
        <v>8.4715965278540821</v>
      </c>
      <c r="G124" s="418">
        <v>1.1000000000000001</v>
      </c>
      <c r="H124" s="419" t="s">
        <v>488</v>
      </c>
      <c r="I124" s="405">
        <v>0.3</v>
      </c>
      <c r="J124" s="415">
        <f t="shared" si="4"/>
        <v>0.56666666666666676</v>
      </c>
      <c r="K124" s="416">
        <f t="shared" si="5"/>
        <v>13.146666666666668</v>
      </c>
      <c r="L124" s="407">
        <f t="shared" si="6"/>
        <v>14.800517333333334</v>
      </c>
      <c r="M124" s="768">
        <f t="shared" si="7"/>
        <v>7178.2509066666671</v>
      </c>
      <c r="N124" s="954"/>
      <c r="O124" s="663"/>
    </row>
    <row r="125" spans="1:17">
      <c r="A125" s="409" t="s">
        <v>461</v>
      </c>
      <c r="B125" s="409" t="s">
        <v>461</v>
      </c>
      <c r="C125" s="417">
        <v>8821</v>
      </c>
      <c r="D125" s="401">
        <v>11501</v>
      </c>
      <c r="E125" s="405">
        <v>0.3</v>
      </c>
      <c r="F125" s="416">
        <v>5.1480051480051481</v>
      </c>
      <c r="G125" s="404">
        <v>0.9</v>
      </c>
      <c r="H125" s="419">
        <v>14.5</v>
      </c>
      <c r="I125" s="404">
        <v>0.9</v>
      </c>
      <c r="J125" s="415">
        <f t="shared" si="4"/>
        <v>0.70000000000000007</v>
      </c>
      <c r="K125" s="416">
        <f t="shared" si="5"/>
        <v>16.240000000000002</v>
      </c>
      <c r="L125" s="407">
        <f t="shared" si="6"/>
        <v>14.325304000000001</v>
      </c>
      <c r="M125" s="768">
        <f t="shared" si="7"/>
        <v>6947.7724400000006</v>
      </c>
      <c r="N125" s="954"/>
      <c r="O125" s="663"/>
    </row>
    <row r="126" spans="1:17">
      <c r="A126" s="409" t="s">
        <v>460</v>
      </c>
      <c r="B126" s="409" t="s">
        <v>460</v>
      </c>
      <c r="C126" s="417">
        <v>12223</v>
      </c>
      <c r="D126" s="401">
        <v>7688</v>
      </c>
      <c r="E126" s="405">
        <v>0.3</v>
      </c>
      <c r="F126" s="416">
        <v>3.6265432098765435</v>
      </c>
      <c r="G126" s="420">
        <v>0.6</v>
      </c>
      <c r="H126" s="419">
        <v>9.06</v>
      </c>
      <c r="I126" s="420">
        <v>0.6</v>
      </c>
      <c r="J126" s="415">
        <f t="shared" si="4"/>
        <v>0.5</v>
      </c>
      <c r="K126" s="416">
        <f t="shared" si="5"/>
        <v>11.6</v>
      </c>
      <c r="L126" s="407">
        <f t="shared" si="6"/>
        <v>14.178679999999998</v>
      </c>
      <c r="M126" s="768">
        <f t="shared" si="7"/>
        <v>6876.6597999999994</v>
      </c>
      <c r="N126" s="954"/>
      <c r="O126" s="666"/>
      <c r="Q126" s="428"/>
    </row>
    <row r="127" spans="1:17">
      <c r="A127" s="409" t="s">
        <v>534</v>
      </c>
      <c r="B127" s="409" t="s">
        <v>450</v>
      </c>
      <c r="C127" s="400">
        <v>11919</v>
      </c>
      <c r="D127" s="401">
        <v>15701</v>
      </c>
      <c r="E127" s="405">
        <v>0.3</v>
      </c>
      <c r="F127" s="416">
        <v>5.28</v>
      </c>
      <c r="G127" s="404">
        <v>0.9</v>
      </c>
      <c r="H127" s="419" t="s">
        <v>488</v>
      </c>
      <c r="I127" s="405">
        <v>0.3</v>
      </c>
      <c r="J127" s="415">
        <f t="shared" si="4"/>
        <v>0.5</v>
      </c>
      <c r="K127" s="416">
        <f t="shared" si="5"/>
        <v>11.6</v>
      </c>
      <c r="L127" s="407">
        <f t="shared" si="6"/>
        <v>13.826039999999999</v>
      </c>
      <c r="M127" s="768">
        <f t="shared" si="7"/>
        <v>6705.6293999999998</v>
      </c>
      <c r="N127" s="954"/>
      <c r="O127" s="666"/>
      <c r="Q127" s="428"/>
    </row>
    <row r="128" spans="1:17">
      <c r="A128" s="409" t="s">
        <v>429</v>
      </c>
      <c r="B128" s="409" t="s">
        <v>429</v>
      </c>
      <c r="C128" s="417">
        <v>11666</v>
      </c>
      <c r="D128" s="401">
        <v>10619</v>
      </c>
      <c r="E128" s="405">
        <v>0.3</v>
      </c>
      <c r="F128" s="416">
        <v>3.3624569764363255</v>
      </c>
      <c r="G128" s="420">
        <v>0.6</v>
      </c>
      <c r="H128" s="419">
        <v>9</v>
      </c>
      <c r="I128" s="420">
        <v>0.6</v>
      </c>
      <c r="J128" s="415">
        <f t="shared" si="4"/>
        <v>0.5</v>
      </c>
      <c r="K128" s="416">
        <f t="shared" si="5"/>
        <v>11.6</v>
      </c>
      <c r="L128" s="407">
        <f t="shared" si="6"/>
        <v>13.53256</v>
      </c>
      <c r="M128" s="768">
        <f t="shared" si="7"/>
        <v>6563.2916000000005</v>
      </c>
      <c r="N128" s="954"/>
      <c r="O128" s="666"/>
      <c r="Q128" s="428"/>
    </row>
    <row r="129" spans="1:21">
      <c r="A129" s="409" t="s">
        <v>541</v>
      </c>
      <c r="B129" s="409" t="s">
        <v>541</v>
      </c>
      <c r="C129" s="417">
        <v>11517</v>
      </c>
      <c r="D129" s="401">
        <v>10172</v>
      </c>
      <c r="E129" s="405">
        <v>0.3</v>
      </c>
      <c r="F129" s="416">
        <v>4.9898462431099508</v>
      </c>
      <c r="G129" s="404">
        <v>0.9</v>
      </c>
      <c r="H129" s="419" t="s">
        <v>488</v>
      </c>
      <c r="I129" s="405">
        <v>0.3</v>
      </c>
      <c r="J129" s="415">
        <f t="shared" si="4"/>
        <v>0.5</v>
      </c>
      <c r="K129" s="416">
        <f t="shared" si="5"/>
        <v>11.6</v>
      </c>
      <c r="L129" s="407">
        <f t="shared" si="6"/>
        <v>13.359719999999998</v>
      </c>
      <c r="M129" s="768">
        <f t="shared" si="7"/>
        <v>6479.4641999999985</v>
      </c>
      <c r="N129" s="954"/>
      <c r="O129" s="666"/>
      <c r="Q129" s="428"/>
    </row>
    <row r="130" spans="1:21">
      <c r="A130" s="409" t="s">
        <v>542</v>
      </c>
      <c r="B130" s="409" t="s">
        <v>434</v>
      </c>
      <c r="C130" s="417">
        <v>8825</v>
      </c>
      <c r="D130" s="401">
        <v>10032</v>
      </c>
      <c r="E130" s="405">
        <v>0.3</v>
      </c>
      <c r="F130" s="416">
        <v>3.628196268140981</v>
      </c>
      <c r="G130" s="420">
        <v>0.6</v>
      </c>
      <c r="H130" s="419">
        <v>12.5</v>
      </c>
      <c r="I130" s="404">
        <v>0.9</v>
      </c>
      <c r="J130" s="415">
        <f t="shared" ref="J130:J156" si="8">AVERAGE(E130,G130,I130)</f>
        <v>0.6</v>
      </c>
      <c r="K130" s="416">
        <f t="shared" ref="K130:K156" si="9">J130*23.2</f>
        <v>13.92</v>
      </c>
      <c r="L130" s="407">
        <f t="shared" ref="L130:L156" si="10">(C130*K130)/10000</f>
        <v>12.2844</v>
      </c>
      <c r="M130" s="768">
        <f t="shared" si="7"/>
        <v>5957.9340000000002</v>
      </c>
      <c r="N130" s="954"/>
      <c r="O130" s="666"/>
      <c r="Q130" s="428"/>
    </row>
    <row r="131" spans="1:21">
      <c r="A131" s="409" t="s">
        <v>543</v>
      </c>
      <c r="B131" s="409" t="s">
        <v>543</v>
      </c>
      <c r="C131" s="417">
        <v>9941</v>
      </c>
      <c r="D131" s="401">
        <v>8514</v>
      </c>
      <c r="E131" s="405">
        <v>0.3</v>
      </c>
      <c r="F131" s="416">
        <v>1.7710309930423784</v>
      </c>
      <c r="G131" s="405">
        <v>0.3</v>
      </c>
      <c r="H131" s="419">
        <v>14</v>
      </c>
      <c r="I131" s="404">
        <v>0.9</v>
      </c>
      <c r="J131" s="415">
        <f t="shared" si="8"/>
        <v>0.5</v>
      </c>
      <c r="K131" s="416">
        <f t="shared" si="9"/>
        <v>11.6</v>
      </c>
      <c r="L131" s="407">
        <f t="shared" si="10"/>
        <v>11.531559999999999</v>
      </c>
      <c r="M131" s="768">
        <f t="shared" ref="M131:M156" si="11">IF(L131&gt;=1000,150*L131,IF(L131&gt;=150,270*L131,485*L131))</f>
        <v>5592.8065999999999</v>
      </c>
      <c r="N131" s="954"/>
      <c r="O131" s="666"/>
      <c r="Q131" s="428"/>
    </row>
    <row r="132" spans="1:21">
      <c r="A132" s="409" t="s">
        <v>439</v>
      </c>
      <c r="B132" s="409" t="s">
        <v>439</v>
      </c>
      <c r="C132" s="417">
        <v>9785</v>
      </c>
      <c r="D132" s="401">
        <v>9928</v>
      </c>
      <c r="E132" s="405">
        <v>0.3</v>
      </c>
      <c r="F132" s="416">
        <v>4.2196918955123914</v>
      </c>
      <c r="G132" s="420">
        <v>0.6</v>
      </c>
      <c r="H132" s="419">
        <v>8.5</v>
      </c>
      <c r="I132" s="420">
        <v>0.6</v>
      </c>
      <c r="J132" s="415">
        <f t="shared" si="8"/>
        <v>0.5</v>
      </c>
      <c r="K132" s="416">
        <f t="shared" si="9"/>
        <v>11.6</v>
      </c>
      <c r="L132" s="407">
        <f t="shared" si="10"/>
        <v>11.3506</v>
      </c>
      <c r="M132" s="768">
        <f t="shared" si="11"/>
        <v>5505.0410000000002</v>
      </c>
      <c r="N132" s="954"/>
      <c r="O132" s="666"/>
      <c r="Q132" s="428"/>
    </row>
    <row r="133" spans="1:21">
      <c r="A133" s="409" t="s">
        <v>544</v>
      </c>
      <c r="B133" s="409" t="s">
        <v>544</v>
      </c>
      <c r="C133" s="417">
        <v>12005</v>
      </c>
      <c r="D133" s="401">
        <v>2960</v>
      </c>
      <c r="E133" s="405">
        <v>0.3</v>
      </c>
      <c r="F133" s="416">
        <v>2.0359848484848486</v>
      </c>
      <c r="G133" s="405">
        <v>0.3</v>
      </c>
      <c r="H133" s="419">
        <v>7.5</v>
      </c>
      <c r="I133" s="420">
        <v>0.6</v>
      </c>
      <c r="J133" s="415">
        <f t="shared" si="8"/>
        <v>0.39999999999999997</v>
      </c>
      <c r="K133" s="416">
        <f t="shared" si="9"/>
        <v>9.2799999999999994</v>
      </c>
      <c r="L133" s="407">
        <f t="shared" si="10"/>
        <v>11.140639999999999</v>
      </c>
      <c r="M133" s="768">
        <f t="shared" si="11"/>
        <v>5403.2103999999999</v>
      </c>
      <c r="N133" s="954"/>
      <c r="O133" s="666"/>
      <c r="Q133" s="428"/>
    </row>
    <row r="134" spans="1:21">
      <c r="A134" s="409" t="s">
        <v>456</v>
      </c>
      <c r="B134" s="409" t="s">
        <v>456</v>
      </c>
      <c r="C134" s="417">
        <v>11726</v>
      </c>
      <c r="D134" s="401">
        <v>11035</v>
      </c>
      <c r="E134" s="405">
        <v>0.3</v>
      </c>
      <c r="F134" s="416">
        <v>3.4274193548387095</v>
      </c>
      <c r="G134" s="420">
        <v>0.6</v>
      </c>
      <c r="H134" s="419" t="s">
        <v>488</v>
      </c>
      <c r="I134" s="405">
        <v>0.3</v>
      </c>
      <c r="J134" s="415">
        <f t="shared" si="8"/>
        <v>0.39999999999999997</v>
      </c>
      <c r="K134" s="416">
        <f t="shared" si="9"/>
        <v>9.2799999999999994</v>
      </c>
      <c r="L134" s="407">
        <f t="shared" si="10"/>
        <v>10.881728000000001</v>
      </c>
      <c r="M134" s="768">
        <f t="shared" si="11"/>
        <v>5277.6380800000006</v>
      </c>
      <c r="N134" s="954"/>
      <c r="O134" s="666"/>
      <c r="Q134" s="428"/>
    </row>
    <row r="135" spans="1:21">
      <c r="A135" s="409" t="s">
        <v>373</v>
      </c>
      <c r="B135" s="409" t="s">
        <v>373</v>
      </c>
      <c r="C135" s="417">
        <v>4949</v>
      </c>
      <c r="D135" s="401">
        <v>3402</v>
      </c>
      <c r="E135" s="405">
        <v>0.3</v>
      </c>
      <c r="F135" s="416">
        <v>7.8231292517006805</v>
      </c>
      <c r="G135" s="418">
        <v>1.1000000000000001</v>
      </c>
      <c r="H135" s="419">
        <v>144</v>
      </c>
      <c r="I135" s="422">
        <v>1.4</v>
      </c>
      <c r="J135" s="415">
        <f t="shared" si="8"/>
        <v>0.93333333333333324</v>
      </c>
      <c r="K135" s="416">
        <f t="shared" si="9"/>
        <v>21.653333333333329</v>
      </c>
      <c r="L135" s="407">
        <f t="shared" si="10"/>
        <v>10.716234666666665</v>
      </c>
      <c r="M135" s="768">
        <f t="shared" si="11"/>
        <v>5197.3738133333327</v>
      </c>
      <c r="N135" s="954"/>
      <c r="O135" s="666"/>
      <c r="Q135" s="428"/>
    </row>
    <row r="136" spans="1:21">
      <c r="A136" s="409" t="s">
        <v>373</v>
      </c>
      <c r="B136" s="409" t="s">
        <v>251</v>
      </c>
      <c r="C136" s="417">
        <v>4949</v>
      </c>
      <c r="D136" s="401">
        <v>1734</v>
      </c>
      <c r="E136" s="405">
        <v>0.3</v>
      </c>
      <c r="F136" s="416">
        <v>7.8231292517006805</v>
      </c>
      <c r="G136" s="418">
        <v>1.1000000000000001</v>
      </c>
      <c r="H136" s="419">
        <v>144</v>
      </c>
      <c r="I136" s="422">
        <v>1.4</v>
      </c>
      <c r="J136" s="415">
        <f t="shared" si="8"/>
        <v>0.93333333333333324</v>
      </c>
      <c r="K136" s="416">
        <f t="shared" si="9"/>
        <v>21.653333333333329</v>
      </c>
      <c r="L136" s="407">
        <f t="shared" si="10"/>
        <v>10.716234666666665</v>
      </c>
      <c r="M136" s="768">
        <f t="shared" si="11"/>
        <v>5197.3738133333327</v>
      </c>
      <c r="N136" s="954"/>
      <c r="O136" s="666"/>
      <c r="Q136" s="428"/>
    </row>
    <row r="137" spans="1:21">
      <c r="A137" s="409" t="s">
        <v>530</v>
      </c>
      <c r="B137" s="409" t="s">
        <v>260</v>
      </c>
      <c r="C137" s="400">
        <v>6865</v>
      </c>
      <c r="D137" s="401">
        <v>9109</v>
      </c>
      <c r="E137" s="405">
        <v>0.3</v>
      </c>
      <c r="F137" s="416">
        <v>21.5</v>
      </c>
      <c r="G137" s="413">
        <v>1.4</v>
      </c>
      <c r="H137" s="419" t="s">
        <v>488</v>
      </c>
      <c r="I137" s="405">
        <v>0.3</v>
      </c>
      <c r="J137" s="415">
        <f t="shared" si="8"/>
        <v>0.66666666666666663</v>
      </c>
      <c r="K137" s="416">
        <f t="shared" si="9"/>
        <v>15.466666666666665</v>
      </c>
      <c r="L137" s="407">
        <f t="shared" si="10"/>
        <v>10.617866666666666</v>
      </c>
      <c r="M137" s="768">
        <f t="shared" si="11"/>
        <v>5149.6653333333334</v>
      </c>
      <c r="N137" s="954"/>
      <c r="O137" s="666"/>
      <c r="Q137" s="428"/>
    </row>
    <row r="138" spans="1:21">
      <c r="A138" s="409" t="s">
        <v>540</v>
      </c>
      <c r="B138" s="409" t="s">
        <v>372</v>
      </c>
      <c r="C138" s="400">
        <v>7333</v>
      </c>
      <c r="D138" s="401">
        <v>8771</v>
      </c>
      <c r="E138" s="405">
        <v>0.3</v>
      </c>
      <c r="F138" s="416">
        <v>5.1440618411806041</v>
      </c>
      <c r="G138" s="404">
        <v>0.9</v>
      </c>
      <c r="H138" s="419">
        <v>1</v>
      </c>
      <c r="I138" s="420">
        <v>0.6</v>
      </c>
      <c r="J138" s="415">
        <f t="shared" si="8"/>
        <v>0.6</v>
      </c>
      <c r="K138" s="416">
        <f t="shared" si="9"/>
        <v>13.92</v>
      </c>
      <c r="L138" s="407">
        <f t="shared" si="10"/>
        <v>10.207535999999999</v>
      </c>
      <c r="M138" s="768">
        <f t="shared" si="11"/>
        <v>4950.6549599999998</v>
      </c>
      <c r="N138" s="954"/>
      <c r="O138" s="666"/>
      <c r="Q138" s="428"/>
    </row>
    <row r="139" spans="1:21">
      <c r="A139" s="429" t="s">
        <v>545</v>
      </c>
      <c r="B139" s="429" t="s">
        <v>545</v>
      </c>
      <c r="C139" s="417">
        <v>6231</v>
      </c>
      <c r="D139" s="430">
        <v>6231</v>
      </c>
      <c r="E139" s="405">
        <v>0.3</v>
      </c>
      <c r="F139" s="431"/>
      <c r="G139" s="431"/>
      <c r="H139" s="419">
        <v>36</v>
      </c>
      <c r="I139" s="418">
        <v>1.1000000000000001</v>
      </c>
      <c r="J139" s="432">
        <f t="shared" si="8"/>
        <v>0.70000000000000007</v>
      </c>
      <c r="K139" s="433">
        <f t="shared" si="9"/>
        <v>16.240000000000002</v>
      </c>
      <c r="L139" s="407">
        <f t="shared" si="10"/>
        <v>10.119144000000002</v>
      </c>
      <c r="M139" s="768">
        <f t="shared" si="11"/>
        <v>4907.7848400000012</v>
      </c>
      <c r="N139" s="954"/>
      <c r="O139" s="666"/>
      <c r="Q139" s="428"/>
    </row>
    <row r="140" spans="1:21">
      <c r="A140" s="409" t="s">
        <v>546</v>
      </c>
      <c r="B140" s="409" t="s">
        <v>546</v>
      </c>
      <c r="C140" s="417">
        <v>10901</v>
      </c>
      <c r="D140" s="401">
        <v>10477</v>
      </c>
      <c r="E140" s="405">
        <v>0.3</v>
      </c>
      <c r="F140" s="416">
        <v>3.0350932658868164</v>
      </c>
      <c r="G140" s="405">
        <v>0.3</v>
      </c>
      <c r="H140" s="419">
        <v>5</v>
      </c>
      <c r="I140" s="420">
        <v>0.6</v>
      </c>
      <c r="J140" s="415">
        <f t="shared" si="8"/>
        <v>0.39999999999999997</v>
      </c>
      <c r="K140" s="416">
        <f t="shared" si="9"/>
        <v>9.2799999999999994</v>
      </c>
      <c r="L140" s="407">
        <f t="shared" si="10"/>
        <v>10.116128</v>
      </c>
      <c r="M140" s="768">
        <f t="shared" si="11"/>
        <v>4906.3220799999999</v>
      </c>
      <c r="N140" s="954"/>
      <c r="O140" s="666"/>
      <c r="Q140" s="428"/>
    </row>
    <row r="141" spans="1:21">
      <c r="A141" s="409" t="s">
        <v>547</v>
      </c>
      <c r="B141" s="409" t="s">
        <v>453</v>
      </c>
      <c r="C141" s="417">
        <v>10539</v>
      </c>
      <c r="D141" s="401">
        <v>10018</v>
      </c>
      <c r="E141" s="405">
        <v>0.3</v>
      </c>
      <c r="F141" s="416">
        <v>3.0349013657056148</v>
      </c>
      <c r="G141" s="405">
        <v>0.3</v>
      </c>
      <c r="H141" s="419">
        <v>2.2000000000000002</v>
      </c>
      <c r="I141" s="420">
        <v>0.6</v>
      </c>
      <c r="J141" s="415">
        <f t="shared" si="8"/>
        <v>0.39999999999999997</v>
      </c>
      <c r="K141" s="416">
        <f t="shared" si="9"/>
        <v>9.2799999999999994</v>
      </c>
      <c r="L141" s="407">
        <f t="shared" si="10"/>
        <v>9.7801919999999996</v>
      </c>
      <c r="M141" s="768">
        <f t="shared" si="11"/>
        <v>4743.3931199999997</v>
      </c>
      <c r="N141" s="954"/>
      <c r="O141" s="666"/>
      <c r="Q141" s="428"/>
    </row>
    <row r="142" spans="1:21">
      <c r="A142" s="409" t="s">
        <v>422</v>
      </c>
      <c r="B142" s="409" t="s">
        <v>422</v>
      </c>
      <c r="C142" s="417">
        <v>9611</v>
      </c>
      <c r="D142" s="401">
        <v>9362</v>
      </c>
      <c r="E142" s="405">
        <v>0.3</v>
      </c>
      <c r="F142" s="416">
        <v>2.6680175616345827</v>
      </c>
      <c r="G142" s="405">
        <v>0.3</v>
      </c>
      <c r="H142" s="419">
        <v>7.1</v>
      </c>
      <c r="I142" s="420">
        <v>0.6</v>
      </c>
      <c r="J142" s="415">
        <f t="shared" si="8"/>
        <v>0.39999999999999997</v>
      </c>
      <c r="K142" s="416">
        <f t="shared" si="9"/>
        <v>9.2799999999999994</v>
      </c>
      <c r="L142" s="407">
        <f t="shared" si="10"/>
        <v>8.919007999999998</v>
      </c>
      <c r="M142" s="768">
        <f t="shared" si="11"/>
        <v>4325.7188799999994</v>
      </c>
      <c r="N142" s="954"/>
      <c r="O142" s="666"/>
      <c r="Q142" s="428"/>
      <c r="R142" s="434"/>
      <c r="S142" s="434"/>
      <c r="T142" s="434"/>
      <c r="U142" s="434"/>
    </row>
    <row r="143" spans="1:21">
      <c r="A143" s="409" t="s">
        <v>403</v>
      </c>
      <c r="B143" s="409" t="s">
        <v>403</v>
      </c>
      <c r="C143" s="417">
        <v>12726</v>
      </c>
      <c r="D143" s="401">
        <v>11893</v>
      </c>
      <c r="E143" s="405">
        <v>0.3</v>
      </c>
      <c r="F143" s="416">
        <v>2.2204806687565308</v>
      </c>
      <c r="G143" s="405">
        <v>0.3</v>
      </c>
      <c r="H143" s="419" t="s">
        <v>488</v>
      </c>
      <c r="I143" s="405">
        <v>0.3</v>
      </c>
      <c r="J143" s="415">
        <f t="shared" si="8"/>
        <v>0.3</v>
      </c>
      <c r="K143" s="416">
        <f t="shared" si="9"/>
        <v>6.96</v>
      </c>
      <c r="L143" s="407">
        <f t="shared" si="10"/>
        <v>8.8572959999999998</v>
      </c>
      <c r="M143" s="768">
        <f t="shared" si="11"/>
        <v>4295.78856</v>
      </c>
      <c r="N143" s="954"/>
      <c r="O143" s="663"/>
    </row>
    <row r="144" spans="1:21">
      <c r="A144" s="409" t="s">
        <v>530</v>
      </c>
      <c r="B144" s="409" t="s">
        <v>550</v>
      </c>
      <c r="C144" s="400">
        <v>5716</v>
      </c>
      <c r="D144" s="401">
        <v>6075</v>
      </c>
      <c r="E144" s="405">
        <v>0.3</v>
      </c>
      <c r="F144" s="416">
        <v>13.215369059656219</v>
      </c>
      <c r="G144" s="413">
        <v>1.4</v>
      </c>
      <c r="H144" s="419" t="s">
        <v>488</v>
      </c>
      <c r="I144" s="405">
        <v>0.3</v>
      </c>
      <c r="J144" s="415">
        <f t="shared" si="8"/>
        <v>0.66666666666666663</v>
      </c>
      <c r="K144" s="416">
        <f t="shared" si="9"/>
        <v>15.466666666666665</v>
      </c>
      <c r="L144" s="407">
        <f t="shared" si="10"/>
        <v>8.8407466666666661</v>
      </c>
      <c r="M144" s="768">
        <f t="shared" si="11"/>
        <v>4287.7621333333327</v>
      </c>
      <c r="N144" s="954"/>
      <c r="O144" s="663"/>
    </row>
    <row r="145" spans="1:21">
      <c r="A145" s="409" t="s">
        <v>435</v>
      </c>
      <c r="B145" s="409" t="s">
        <v>435</v>
      </c>
      <c r="C145" s="417">
        <v>6948</v>
      </c>
      <c r="D145" s="401">
        <v>5913</v>
      </c>
      <c r="E145" s="405">
        <v>0.3</v>
      </c>
      <c r="F145" s="416">
        <v>3.4285714285714288</v>
      </c>
      <c r="G145" s="420">
        <v>0.6</v>
      </c>
      <c r="H145" s="419">
        <v>9.6</v>
      </c>
      <c r="I145" s="420">
        <v>0.6</v>
      </c>
      <c r="J145" s="415">
        <f t="shared" si="8"/>
        <v>0.5</v>
      </c>
      <c r="K145" s="416">
        <f t="shared" si="9"/>
        <v>11.6</v>
      </c>
      <c r="L145" s="407">
        <f t="shared" si="10"/>
        <v>8.0596800000000002</v>
      </c>
      <c r="M145" s="768">
        <f t="shared" si="11"/>
        <v>3908.9448000000002</v>
      </c>
      <c r="N145" s="954"/>
      <c r="O145" s="663"/>
    </row>
    <row r="146" spans="1:21">
      <c r="A146" s="409" t="s">
        <v>440</v>
      </c>
      <c r="B146" s="409" t="s">
        <v>134</v>
      </c>
      <c r="C146" s="400">
        <v>5466</v>
      </c>
      <c r="D146" s="401">
        <v>5739</v>
      </c>
      <c r="E146" s="405">
        <v>0.3</v>
      </c>
      <c r="F146" s="416">
        <v>9.6</v>
      </c>
      <c r="G146" s="418">
        <v>1.1000000000000001</v>
      </c>
      <c r="H146" s="419" t="s">
        <v>488</v>
      </c>
      <c r="I146" s="405">
        <v>0.3</v>
      </c>
      <c r="J146" s="415">
        <f t="shared" si="8"/>
        <v>0.56666666666666676</v>
      </c>
      <c r="K146" s="416">
        <f t="shared" si="9"/>
        <v>13.146666666666668</v>
      </c>
      <c r="L146" s="407">
        <f t="shared" si="10"/>
        <v>7.1859680000000008</v>
      </c>
      <c r="M146" s="768">
        <f t="shared" si="11"/>
        <v>3485.1944800000006</v>
      </c>
      <c r="N146" s="954"/>
      <c r="O146" s="663"/>
    </row>
    <row r="147" spans="1:21">
      <c r="A147" s="409" t="s">
        <v>431</v>
      </c>
      <c r="B147" s="409" t="s">
        <v>257</v>
      </c>
      <c r="C147" s="400">
        <v>5656</v>
      </c>
      <c r="D147" s="401">
        <v>5781</v>
      </c>
      <c r="E147" s="405">
        <v>0.3</v>
      </c>
      <c r="F147" s="416">
        <v>0.87</v>
      </c>
      <c r="G147" s="405">
        <v>0.3</v>
      </c>
      <c r="H147" s="419">
        <v>2.75</v>
      </c>
      <c r="I147" s="420">
        <v>0.6</v>
      </c>
      <c r="J147" s="415">
        <f t="shared" si="8"/>
        <v>0.39999999999999997</v>
      </c>
      <c r="K147" s="416">
        <f t="shared" si="9"/>
        <v>9.2799999999999994</v>
      </c>
      <c r="L147" s="407">
        <f t="shared" si="10"/>
        <v>5.2487679999999992</v>
      </c>
      <c r="M147" s="768">
        <f t="shared" si="11"/>
        <v>2545.6524799999997</v>
      </c>
      <c r="N147" s="954"/>
      <c r="O147" s="663"/>
    </row>
    <row r="148" spans="1:21">
      <c r="A148" s="409" t="s">
        <v>539</v>
      </c>
      <c r="B148" s="409" t="s">
        <v>473</v>
      </c>
      <c r="C148" s="400">
        <v>3288</v>
      </c>
      <c r="D148" s="401">
        <v>3414</v>
      </c>
      <c r="E148" s="405">
        <v>0.3</v>
      </c>
      <c r="F148" s="416">
        <v>3.3509700176366843</v>
      </c>
      <c r="G148" s="420">
        <v>0.6</v>
      </c>
      <c r="H148" s="419">
        <v>21.22</v>
      </c>
      <c r="I148" s="435">
        <v>1.1000000000000001</v>
      </c>
      <c r="J148" s="415">
        <f t="shared" si="8"/>
        <v>0.66666666666666663</v>
      </c>
      <c r="K148" s="416">
        <f t="shared" si="9"/>
        <v>15.466666666666665</v>
      </c>
      <c r="L148" s="407">
        <f t="shared" si="10"/>
        <v>5.0854399999999993</v>
      </c>
      <c r="M148" s="768">
        <f t="shared" si="11"/>
        <v>2466.4383999999995</v>
      </c>
      <c r="N148" s="954"/>
      <c r="O148" s="663"/>
    </row>
    <row r="149" spans="1:21">
      <c r="A149" s="409" t="s">
        <v>544</v>
      </c>
      <c r="B149" s="409" t="s">
        <v>252</v>
      </c>
      <c r="C149" s="400">
        <v>4746</v>
      </c>
      <c r="D149" s="401">
        <v>5116</v>
      </c>
      <c r="E149" s="405">
        <v>0.3</v>
      </c>
      <c r="F149" s="416">
        <v>1.31</v>
      </c>
      <c r="G149" s="405">
        <v>0.3</v>
      </c>
      <c r="H149" s="419">
        <v>7.5</v>
      </c>
      <c r="I149" s="420">
        <v>0.6</v>
      </c>
      <c r="J149" s="415">
        <f t="shared" si="8"/>
        <v>0.39999999999999997</v>
      </c>
      <c r="K149" s="416">
        <f t="shared" si="9"/>
        <v>9.2799999999999994</v>
      </c>
      <c r="L149" s="407">
        <f t="shared" si="10"/>
        <v>4.4042879999999993</v>
      </c>
      <c r="M149" s="768">
        <f t="shared" si="11"/>
        <v>2136.0796799999998</v>
      </c>
      <c r="N149" s="954"/>
      <c r="O149" s="663"/>
    </row>
    <row r="150" spans="1:21">
      <c r="A150" s="409" t="s">
        <v>445</v>
      </c>
      <c r="B150" s="409" t="s">
        <v>445</v>
      </c>
      <c r="C150" s="417">
        <v>4609</v>
      </c>
      <c r="D150" s="401">
        <v>4223</v>
      </c>
      <c r="E150" s="405">
        <v>0.3</v>
      </c>
      <c r="F150" s="416">
        <v>4.4444444444444446</v>
      </c>
      <c r="G150" s="420">
        <v>0.6</v>
      </c>
      <c r="H150" s="419" t="s">
        <v>488</v>
      </c>
      <c r="I150" s="405">
        <v>0.3</v>
      </c>
      <c r="J150" s="415">
        <f t="shared" si="8"/>
        <v>0.39999999999999997</v>
      </c>
      <c r="K150" s="416">
        <f t="shared" si="9"/>
        <v>9.2799999999999994</v>
      </c>
      <c r="L150" s="407">
        <f t="shared" si="10"/>
        <v>4.2771520000000001</v>
      </c>
      <c r="M150" s="768">
        <f t="shared" si="11"/>
        <v>2074.4187200000001</v>
      </c>
      <c r="N150" s="954"/>
      <c r="O150" s="663"/>
    </row>
    <row r="151" spans="1:21">
      <c r="A151" s="409" t="s">
        <v>548</v>
      </c>
      <c r="B151" s="409" t="s">
        <v>446</v>
      </c>
      <c r="C151" s="417">
        <v>2672</v>
      </c>
      <c r="D151" s="401">
        <v>2804</v>
      </c>
      <c r="E151" s="405">
        <v>0.3</v>
      </c>
      <c r="F151" s="416">
        <v>7.8853046594982077</v>
      </c>
      <c r="G151" s="418">
        <v>1.1000000000000001</v>
      </c>
      <c r="H151" s="419">
        <v>4</v>
      </c>
      <c r="I151" s="420">
        <v>0.6</v>
      </c>
      <c r="J151" s="415">
        <f t="shared" si="8"/>
        <v>0.66666666666666663</v>
      </c>
      <c r="K151" s="416">
        <f t="shared" si="9"/>
        <v>15.466666666666665</v>
      </c>
      <c r="L151" s="407">
        <f t="shared" si="10"/>
        <v>4.1326933333333331</v>
      </c>
      <c r="M151" s="768">
        <f t="shared" si="11"/>
        <v>2004.3562666666667</v>
      </c>
      <c r="N151" s="954"/>
      <c r="O151" s="663"/>
    </row>
    <row r="152" spans="1:21">
      <c r="A152" s="409" t="s">
        <v>474</v>
      </c>
      <c r="B152" s="409" t="s">
        <v>572</v>
      </c>
      <c r="C152" s="400">
        <v>4348</v>
      </c>
      <c r="D152" s="401">
        <v>4522</v>
      </c>
      <c r="E152" s="405">
        <v>0.3</v>
      </c>
      <c r="F152" s="416">
        <v>2.95</v>
      </c>
      <c r="G152" s="405">
        <v>0.3</v>
      </c>
      <c r="H152" s="419">
        <v>6</v>
      </c>
      <c r="I152" s="420">
        <v>0.6</v>
      </c>
      <c r="J152" s="415">
        <f t="shared" si="8"/>
        <v>0.39999999999999997</v>
      </c>
      <c r="K152" s="416">
        <f t="shared" si="9"/>
        <v>9.2799999999999994</v>
      </c>
      <c r="L152" s="407">
        <f t="shared" si="10"/>
        <v>4.0349439999999994</v>
      </c>
      <c r="M152" s="768">
        <f t="shared" si="11"/>
        <v>1956.9478399999998</v>
      </c>
      <c r="N152" s="954"/>
      <c r="O152" s="663"/>
    </row>
    <row r="153" spans="1:21">
      <c r="A153" s="409" t="s">
        <v>440</v>
      </c>
      <c r="B153" s="409" t="s">
        <v>441</v>
      </c>
      <c r="C153" s="400">
        <v>3432</v>
      </c>
      <c r="D153" s="401">
        <v>3702</v>
      </c>
      <c r="E153" s="405">
        <v>0.3</v>
      </c>
      <c r="F153" s="416">
        <v>3.7474849094567406</v>
      </c>
      <c r="G153" s="420">
        <v>0.6</v>
      </c>
      <c r="H153" s="419">
        <v>4.5</v>
      </c>
      <c r="I153" s="420">
        <v>0.6</v>
      </c>
      <c r="J153" s="415">
        <f t="shared" si="8"/>
        <v>0.5</v>
      </c>
      <c r="K153" s="416">
        <f t="shared" si="9"/>
        <v>11.6</v>
      </c>
      <c r="L153" s="407">
        <f t="shared" si="10"/>
        <v>3.9811199999999998</v>
      </c>
      <c r="M153" s="768">
        <f t="shared" si="11"/>
        <v>1930.8431999999998</v>
      </c>
      <c r="N153" s="954"/>
      <c r="O153" s="663"/>
    </row>
    <row r="154" spans="1:21">
      <c r="A154" s="409" t="s">
        <v>533</v>
      </c>
      <c r="B154" s="409" t="s">
        <v>549</v>
      </c>
      <c r="C154" s="400">
        <v>3406</v>
      </c>
      <c r="D154" s="401">
        <v>3401</v>
      </c>
      <c r="E154" s="405">
        <v>0.3</v>
      </c>
      <c r="F154" s="416">
        <v>4.4000000000000004</v>
      </c>
      <c r="G154" s="420">
        <v>0.6</v>
      </c>
      <c r="H154" s="419">
        <v>9.5</v>
      </c>
      <c r="I154" s="420">
        <v>0.6</v>
      </c>
      <c r="J154" s="415">
        <f t="shared" si="8"/>
        <v>0.5</v>
      </c>
      <c r="K154" s="416">
        <f t="shared" si="9"/>
        <v>11.6</v>
      </c>
      <c r="L154" s="407">
        <f t="shared" si="10"/>
        <v>3.9509599999999998</v>
      </c>
      <c r="M154" s="768">
        <f t="shared" si="11"/>
        <v>1916.2156</v>
      </c>
      <c r="N154" s="954"/>
      <c r="O154" s="663"/>
    </row>
    <row r="155" spans="1:21" s="428" customFormat="1">
      <c r="A155" s="409" t="s">
        <v>447</v>
      </c>
      <c r="B155" s="409" t="s">
        <v>447</v>
      </c>
      <c r="C155" s="417">
        <v>3226</v>
      </c>
      <c r="D155" s="401">
        <v>1724</v>
      </c>
      <c r="E155" s="405">
        <v>0.3</v>
      </c>
      <c r="F155" s="416">
        <v>3.8805970149253728</v>
      </c>
      <c r="G155" s="420">
        <v>0.6</v>
      </c>
      <c r="H155" s="419">
        <v>1.5</v>
      </c>
      <c r="I155" s="420">
        <v>0.6</v>
      </c>
      <c r="J155" s="415">
        <f t="shared" si="8"/>
        <v>0.5</v>
      </c>
      <c r="K155" s="416">
        <f t="shared" si="9"/>
        <v>11.6</v>
      </c>
      <c r="L155" s="407">
        <f t="shared" si="10"/>
        <v>3.7421599999999997</v>
      </c>
      <c r="M155" s="768">
        <f t="shared" si="11"/>
        <v>1814.9476</v>
      </c>
      <c r="N155" s="954"/>
      <c r="O155" s="663"/>
      <c r="P155" s="397"/>
      <c r="Q155" s="397"/>
      <c r="R155" s="397"/>
      <c r="S155" s="397"/>
      <c r="T155" s="397"/>
      <c r="U155" s="397"/>
    </row>
    <row r="156" spans="1:21">
      <c r="A156" s="409" t="s">
        <v>447</v>
      </c>
      <c r="B156" s="409" t="s">
        <v>470</v>
      </c>
      <c r="C156" s="417">
        <v>3226</v>
      </c>
      <c r="D156" s="401">
        <v>745</v>
      </c>
      <c r="E156" s="405">
        <v>0.3</v>
      </c>
      <c r="F156" s="416">
        <v>3.8805970149253728</v>
      </c>
      <c r="G156" s="420">
        <v>0.6</v>
      </c>
      <c r="H156" s="419">
        <v>1.5</v>
      </c>
      <c r="I156" s="420">
        <v>0.6</v>
      </c>
      <c r="J156" s="415">
        <f t="shared" si="8"/>
        <v>0.5</v>
      </c>
      <c r="K156" s="416">
        <f t="shared" si="9"/>
        <v>11.6</v>
      </c>
      <c r="L156" s="407">
        <f t="shared" si="10"/>
        <v>3.7421599999999997</v>
      </c>
      <c r="M156" s="768">
        <f t="shared" si="11"/>
        <v>1814.9476</v>
      </c>
      <c r="N156" s="954"/>
      <c r="O156" s="663"/>
    </row>
    <row r="157" spans="1:21" s="397" customFormat="1">
      <c r="A157" s="436"/>
      <c r="B157" s="436"/>
      <c r="C157" s="437"/>
      <c r="D157" s="436"/>
      <c r="E157" s="438"/>
      <c r="F157" s="438"/>
      <c r="G157" s="439"/>
      <c r="H157" s="438"/>
      <c r="I157" s="438"/>
      <c r="J157" s="438"/>
      <c r="K157" s="438"/>
      <c r="L157" s="438"/>
      <c r="M157" s="440"/>
    </row>
    <row r="158" spans="1:21" s="397" customFormat="1" ht="156" customHeight="1">
      <c r="A158" s="436"/>
      <c r="B158" s="436"/>
      <c r="C158" s="437"/>
      <c r="D158" s="436"/>
      <c r="E158" s="438"/>
      <c r="F158" s="438"/>
      <c r="G158" s="438"/>
      <c r="H158" s="438"/>
      <c r="I158" s="438"/>
      <c r="J158" s="438"/>
      <c r="K158" s="438"/>
      <c r="L158" s="438"/>
      <c r="M158" s="441"/>
    </row>
    <row r="159" spans="1:21" s="397" customFormat="1">
      <c r="A159" s="436"/>
      <c r="B159" s="436"/>
      <c r="C159" s="442"/>
      <c r="D159" s="436"/>
      <c r="E159" s="438"/>
      <c r="F159" s="438"/>
      <c r="G159" s="438"/>
      <c r="H159" s="438"/>
      <c r="I159" s="438"/>
      <c r="J159" s="438"/>
      <c r="K159" s="438"/>
      <c r="L159" s="438"/>
      <c r="M159" s="441"/>
    </row>
    <row r="160" spans="1:21" s="397" customFormat="1">
      <c r="A160" s="436"/>
      <c r="B160" s="436"/>
      <c r="C160" s="442"/>
      <c r="D160" s="436"/>
      <c r="E160" s="438"/>
      <c r="F160" s="438"/>
      <c r="G160" s="438"/>
      <c r="H160" s="438"/>
      <c r="I160" s="438"/>
      <c r="J160" s="438"/>
      <c r="K160" s="438"/>
      <c r="L160" s="438"/>
      <c r="M160" s="441"/>
    </row>
    <row r="161" spans="1:13" s="397" customFormat="1">
      <c r="A161" s="436"/>
      <c r="B161" s="436"/>
      <c r="C161" s="442"/>
      <c r="D161" s="436"/>
      <c r="E161" s="438"/>
      <c r="F161" s="438"/>
      <c r="G161" s="438"/>
      <c r="H161" s="438"/>
      <c r="I161" s="438"/>
      <c r="J161" s="438"/>
      <c r="K161" s="438"/>
      <c r="L161" s="438"/>
      <c r="M161" s="441"/>
    </row>
    <row r="162" spans="1:13" s="397" customFormat="1">
      <c r="A162" s="436"/>
      <c r="B162" s="436"/>
      <c r="C162" s="442"/>
      <c r="D162" s="436"/>
      <c r="E162" s="438"/>
      <c r="F162" s="438"/>
      <c r="G162" s="438"/>
      <c r="H162" s="438"/>
      <c r="I162" s="438"/>
      <c r="J162" s="438"/>
      <c r="K162" s="438"/>
      <c r="L162" s="438"/>
      <c r="M162" s="441"/>
    </row>
    <row r="163" spans="1:13" s="397" customFormat="1">
      <c r="A163" s="436"/>
      <c r="B163" s="436"/>
      <c r="C163" s="442"/>
      <c r="D163" s="436"/>
      <c r="E163" s="438"/>
      <c r="F163" s="438"/>
      <c r="G163" s="438"/>
      <c r="H163" s="438"/>
      <c r="I163" s="438"/>
      <c r="J163" s="438"/>
      <c r="K163" s="438"/>
      <c r="L163" s="438"/>
      <c r="M163" s="441"/>
    </row>
    <row r="164" spans="1:13" s="397" customFormat="1">
      <c r="A164" s="436"/>
      <c r="B164" s="436"/>
      <c r="C164" s="442"/>
      <c r="D164" s="436"/>
      <c r="E164" s="438"/>
      <c r="F164" s="438"/>
      <c r="G164" s="438"/>
      <c r="H164" s="438"/>
      <c r="I164" s="438"/>
      <c r="J164" s="438"/>
      <c r="K164" s="438"/>
      <c r="L164" s="438"/>
      <c r="M164" s="441"/>
    </row>
    <row r="165" spans="1:13" s="397" customFormat="1">
      <c r="A165" s="436"/>
      <c r="B165" s="436"/>
      <c r="C165" s="442"/>
      <c r="D165" s="436"/>
      <c r="E165" s="438"/>
      <c r="F165" s="438"/>
      <c r="G165" s="438"/>
      <c r="H165" s="438"/>
      <c r="I165" s="438"/>
      <c r="J165" s="438"/>
      <c r="K165" s="438"/>
      <c r="L165" s="438"/>
      <c r="M165" s="441"/>
    </row>
    <row r="166" spans="1:13" s="397" customFormat="1">
      <c r="A166" s="436"/>
      <c r="B166" s="436"/>
      <c r="C166" s="442"/>
      <c r="D166" s="436"/>
      <c r="E166" s="438"/>
      <c r="F166" s="438"/>
      <c r="G166" s="438"/>
      <c r="H166" s="438"/>
      <c r="I166" s="438"/>
      <c r="J166" s="438"/>
      <c r="K166" s="438"/>
      <c r="L166" s="438"/>
      <c r="M166" s="441"/>
    </row>
    <row r="167" spans="1:13" s="397" customFormat="1">
      <c r="A167" s="436"/>
      <c r="B167" s="436"/>
      <c r="C167" s="442"/>
      <c r="D167" s="436"/>
      <c r="E167" s="438"/>
      <c r="F167" s="438"/>
      <c r="G167" s="438"/>
      <c r="H167" s="438"/>
      <c r="I167" s="438"/>
      <c r="J167" s="438"/>
      <c r="K167" s="438"/>
      <c r="L167" s="438"/>
      <c r="M167" s="441"/>
    </row>
    <row r="168" spans="1:13" s="397" customFormat="1">
      <c r="A168" s="436"/>
      <c r="B168" s="436"/>
      <c r="C168" s="442"/>
      <c r="D168" s="436"/>
      <c r="E168" s="438"/>
      <c r="F168" s="438"/>
      <c r="G168" s="438"/>
      <c r="H168" s="438"/>
      <c r="I168" s="438"/>
      <c r="J168" s="438"/>
      <c r="K168" s="438"/>
      <c r="L168" s="438"/>
      <c r="M168" s="441"/>
    </row>
    <row r="169" spans="1:13" s="397" customFormat="1">
      <c r="A169" s="436"/>
      <c r="B169" s="436"/>
      <c r="C169" s="442"/>
      <c r="D169" s="436"/>
      <c r="E169" s="438"/>
      <c r="F169" s="438"/>
      <c r="G169" s="438"/>
      <c r="H169" s="438"/>
      <c r="I169" s="438"/>
      <c r="J169" s="438"/>
      <c r="K169" s="438"/>
      <c r="L169" s="438"/>
      <c r="M169" s="441"/>
    </row>
    <row r="170" spans="1:13" s="397" customFormat="1">
      <c r="A170" s="436"/>
      <c r="B170" s="436"/>
      <c r="C170" s="442"/>
      <c r="D170" s="436"/>
      <c r="E170" s="438"/>
      <c r="F170" s="438"/>
      <c r="G170" s="438"/>
      <c r="H170" s="438"/>
      <c r="I170" s="438"/>
      <c r="J170" s="438"/>
      <c r="K170" s="438"/>
      <c r="L170" s="438"/>
      <c r="M170" s="441"/>
    </row>
    <row r="171" spans="1:13" s="397" customFormat="1">
      <c r="A171" s="436"/>
      <c r="B171" s="436"/>
      <c r="C171" s="442"/>
      <c r="D171" s="436"/>
      <c r="E171" s="438"/>
      <c r="F171" s="438"/>
      <c r="G171" s="438"/>
      <c r="H171" s="438"/>
      <c r="I171" s="438"/>
      <c r="J171" s="438"/>
      <c r="K171" s="438"/>
      <c r="L171" s="438"/>
      <c r="M171" s="441"/>
    </row>
    <row r="172" spans="1:13" s="397" customFormat="1">
      <c r="A172" s="436"/>
      <c r="B172" s="436"/>
      <c r="C172" s="442"/>
      <c r="D172" s="436"/>
      <c r="E172" s="438"/>
      <c r="F172" s="438"/>
      <c r="G172" s="438"/>
      <c r="H172" s="438"/>
      <c r="I172" s="438"/>
      <c r="J172" s="438"/>
      <c r="K172" s="438"/>
      <c r="L172" s="438"/>
      <c r="M172" s="441"/>
    </row>
    <row r="173" spans="1:13" s="397" customFormat="1">
      <c r="A173" s="436"/>
      <c r="B173" s="436"/>
      <c r="C173" s="442"/>
      <c r="D173" s="436"/>
      <c r="E173" s="438"/>
      <c r="F173" s="438"/>
      <c r="G173" s="438"/>
      <c r="H173" s="438"/>
      <c r="I173" s="438"/>
      <c r="J173" s="438"/>
      <c r="K173" s="438"/>
      <c r="L173" s="438"/>
      <c r="M173" s="441"/>
    </row>
    <row r="174" spans="1:13" s="397" customFormat="1">
      <c r="A174" s="436"/>
      <c r="B174" s="436"/>
      <c r="C174" s="442"/>
      <c r="D174" s="436"/>
      <c r="E174" s="438"/>
      <c r="F174" s="438"/>
      <c r="G174" s="438"/>
      <c r="H174" s="438"/>
      <c r="I174" s="438"/>
      <c r="J174" s="438"/>
      <c r="K174" s="438"/>
      <c r="L174" s="438"/>
      <c r="M174" s="441"/>
    </row>
    <row r="175" spans="1:13" s="397" customFormat="1">
      <c r="A175" s="436"/>
      <c r="B175" s="436"/>
      <c r="C175" s="442"/>
      <c r="D175" s="436"/>
      <c r="E175" s="438"/>
      <c r="F175" s="438"/>
      <c r="G175" s="438"/>
      <c r="H175" s="438"/>
      <c r="I175" s="438"/>
      <c r="J175" s="438"/>
      <c r="K175" s="438"/>
      <c r="L175" s="438"/>
      <c r="M175" s="441"/>
    </row>
    <row r="176" spans="1:13" s="397" customFormat="1">
      <c r="A176" s="436"/>
      <c r="B176" s="436"/>
      <c r="C176" s="442"/>
      <c r="D176" s="436"/>
      <c r="E176" s="438"/>
      <c r="F176" s="438"/>
      <c r="G176" s="438"/>
      <c r="H176" s="438"/>
      <c r="I176" s="438"/>
      <c r="J176" s="438"/>
      <c r="K176" s="438"/>
      <c r="L176" s="438"/>
      <c r="M176" s="441"/>
    </row>
    <row r="177" spans="1:13" s="397" customFormat="1">
      <c r="A177" s="436"/>
      <c r="B177" s="436"/>
      <c r="C177" s="442"/>
      <c r="D177" s="436"/>
      <c r="E177" s="438"/>
      <c r="F177" s="438"/>
      <c r="G177" s="438"/>
      <c r="H177" s="438"/>
      <c r="I177" s="438"/>
      <c r="J177" s="438"/>
      <c r="K177" s="438"/>
      <c r="L177" s="438"/>
      <c r="M177" s="441"/>
    </row>
    <row r="178" spans="1:13" s="397" customFormat="1">
      <c r="A178" s="436"/>
      <c r="B178" s="436"/>
      <c r="C178" s="442"/>
      <c r="D178" s="436"/>
      <c r="E178" s="438"/>
      <c r="F178" s="438"/>
      <c r="G178" s="438"/>
      <c r="H178" s="438"/>
      <c r="I178" s="438"/>
      <c r="J178" s="438"/>
      <c r="K178" s="438"/>
      <c r="L178" s="438"/>
      <c r="M178" s="441"/>
    </row>
    <row r="179" spans="1:13" s="397" customFormat="1">
      <c r="A179" s="436"/>
      <c r="B179" s="436"/>
      <c r="C179" s="442"/>
      <c r="D179" s="436"/>
      <c r="E179" s="438"/>
      <c r="F179" s="438"/>
      <c r="G179" s="438"/>
      <c r="H179" s="438"/>
      <c r="I179" s="438"/>
      <c r="J179" s="438"/>
      <c r="K179" s="438"/>
      <c r="L179" s="438"/>
      <c r="M179" s="441"/>
    </row>
    <row r="180" spans="1:13" s="397" customFormat="1">
      <c r="A180" s="436"/>
      <c r="B180" s="436"/>
      <c r="C180" s="442"/>
      <c r="D180" s="436"/>
      <c r="E180" s="438"/>
      <c r="F180" s="438"/>
      <c r="G180" s="438"/>
      <c r="H180" s="438"/>
      <c r="I180" s="438"/>
      <c r="J180" s="438"/>
      <c r="K180" s="438"/>
      <c r="L180" s="438"/>
      <c r="M180" s="441"/>
    </row>
    <row r="181" spans="1:13" s="397" customFormat="1">
      <c r="A181" s="436"/>
      <c r="B181" s="436"/>
      <c r="C181" s="442"/>
      <c r="D181" s="436"/>
      <c r="E181" s="438"/>
      <c r="F181" s="438"/>
      <c r="G181" s="438"/>
      <c r="H181" s="438"/>
      <c r="I181" s="438"/>
      <c r="J181" s="438"/>
      <c r="K181" s="438"/>
      <c r="L181" s="438"/>
      <c r="M181" s="441"/>
    </row>
    <row r="182" spans="1:13" s="397" customFormat="1">
      <c r="A182" s="436"/>
      <c r="B182" s="436"/>
      <c r="C182" s="442"/>
      <c r="D182" s="436"/>
      <c r="E182" s="438"/>
      <c r="F182" s="438"/>
      <c r="G182" s="438"/>
      <c r="H182" s="438"/>
      <c r="I182" s="438"/>
      <c r="J182" s="438"/>
      <c r="K182" s="438"/>
      <c r="L182" s="438"/>
      <c r="M182" s="441"/>
    </row>
    <row r="183" spans="1:13" s="397" customFormat="1">
      <c r="A183" s="436"/>
      <c r="B183" s="436"/>
      <c r="C183" s="442"/>
      <c r="D183" s="436"/>
      <c r="E183" s="438"/>
      <c r="F183" s="438"/>
      <c r="G183" s="438"/>
      <c r="H183" s="438"/>
      <c r="I183" s="438"/>
      <c r="J183" s="438"/>
      <c r="K183" s="438"/>
      <c r="L183" s="438"/>
      <c r="M183" s="441"/>
    </row>
    <row r="184" spans="1:13" s="397" customFormat="1">
      <c r="A184" s="436"/>
      <c r="B184" s="436"/>
      <c r="C184" s="442"/>
      <c r="D184" s="436"/>
      <c r="E184" s="438"/>
      <c r="F184" s="438"/>
      <c r="G184" s="438"/>
      <c r="H184" s="438"/>
      <c r="I184" s="438"/>
      <c r="J184" s="438"/>
      <c r="K184" s="438"/>
      <c r="L184" s="438"/>
      <c r="M184" s="441"/>
    </row>
    <row r="185" spans="1:13" s="397" customFormat="1">
      <c r="A185" s="436"/>
      <c r="B185" s="436"/>
      <c r="C185" s="442"/>
      <c r="D185" s="436"/>
      <c r="E185" s="438"/>
      <c r="F185" s="438"/>
      <c r="G185" s="438"/>
      <c r="H185" s="438"/>
      <c r="I185" s="438"/>
      <c r="J185" s="438"/>
      <c r="K185" s="438"/>
      <c r="L185" s="438"/>
      <c r="M185" s="441"/>
    </row>
    <row r="186" spans="1:13" s="397" customFormat="1">
      <c r="A186" s="436"/>
      <c r="B186" s="436"/>
      <c r="C186" s="442"/>
      <c r="D186" s="436"/>
      <c r="E186" s="438"/>
      <c r="F186" s="438"/>
      <c r="G186" s="438"/>
      <c r="H186" s="438"/>
      <c r="I186" s="438"/>
      <c r="J186" s="438"/>
      <c r="K186" s="438"/>
      <c r="L186" s="438"/>
      <c r="M186" s="441"/>
    </row>
    <row r="187" spans="1:13" s="397" customFormat="1">
      <c r="A187" s="436"/>
      <c r="B187" s="436"/>
      <c r="C187" s="442"/>
      <c r="D187" s="436"/>
      <c r="E187" s="438"/>
      <c r="F187" s="438"/>
      <c r="G187" s="438"/>
      <c r="H187" s="438"/>
      <c r="I187" s="438"/>
      <c r="J187" s="438"/>
      <c r="K187" s="438"/>
      <c r="L187" s="438"/>
      <c r="M187" s="441"/>
    </row>
    <row r="188" spans="1:13" s="397" customFormat="1">
      <c r="A188" s="436"/>
      <c r="B188" s="436"/>
      <c r="C188" s="442"/>
      <c r="D188" s="436"/>
      <c r="E188" s="438"/>
      <c r="F188" s="438"/>
      <c r="G188" s="438"/>
      <c r="H188" s="438"/>
      <c r="I188" s="438"/>
      <c r="J188" s="438"/>
      <c r="K188" s="438"/>
      <c r="L188" s="438"/>
      <c r="M188" s="441"/>
    </row>
    <row r="189" spans="1:13" s="397" customFormat="1">
      <c r="A189" s="436"/>
      <c r="B189" s="436"/>
      <c r="C189" s="442"/>
      <c r="D189" s="436"/>
      <c r="E189" s="438"/>
      <c r="F189" s="438"/>
      <c r="G189" s="438"/>
      <c r="H189" s="438"/>
      <c r="I189" s="438"/>
      <c r="J189" s="438"/>
      <c r="K189" s="438"/>
      <c r="L189" s="438"/>
      <c r="M189" s="441"/>
    </row>
    <row r="190" spans="1:13" s="397" customFormat="1">
      <c r="A190" s="436"/>
      <c r="B190" s="436"/>
      <c r="C190" s="442"/>
      <c r="D190" s="436"/>
      <c r="E190" s="438"/>
      <c r="F190" s="438"/>
      <c r="G190" s="438"/>
      <c r="H190" s="438"/>
      <c r="I190" s="438"/>
      <c r="J190" s="438"/>
      <c r="K190" s="438"/>
      <c r="L190" s="438"/>
      <c r="M190" s="441"/>
    </row>
    <row r="191" spans="1:13" s="397" customFormat="1">
      <c r="A191" s="436"/>
      <c r="B191" s="436"/>
      <c r="C191" s="442"/>
      <c r="D191" s="436"/>
      <c r="E191" s="438"/>
      <c r="F191" s="438"/>
      <c r="G191" s="438"/>
      <c r="H191" s="438"/>
      <c r="I191" s="438"/>
      <c r="J191" s="438"/>
      <c r="K191" s="438"/>
      <c r="L191" s="438"/>
      <c r="M191" s="441"/>
    </row>
    <row r="192" spans="1:13" s="397" customFormat="1">
      <c r="A192" s="436"/>
      <c r="B192" s="436"/>
      <c r="C192" s="442"/>
      <c r="D192" s="436"/>
      <c r="E192" s="438"/>
      <c r="F192" s="438"/>
      <c r="G192" s="438"/>
      <c r="H192" s="438"/>
      <c r="I192" s="438"/>
      <c r="J192" s="438"/>
      <c r="K192" s="438"/>
      <c r="L192" s="438"/>
      <c r="M192" s="441"/>
    </row>
    <row r="193" spans="1:13" s="397" customFormat="1">
      <c r="A193" s="436"/>
      <c r="B193" s="436"/>
      <c r="C193" s="442"/>
      <c r="D193" s="436"/>
      <c r="E193" s="438"/>
      <c r="F193" s="438"/>
      <c r="G193" s="438"/>
      <c r="H193" s="438"/>
      <c r="I193" s="438"/>
      <c r="J193" s="438"/>
      <c r="K193" s="438"/>
      <c r="L193" s="438"/>
      <c r="M193" s="441"/>
    </row>
    <row r="194" spans="1:13" s="397" customFormat="1">
      <c r="A194" s="436"/>
      <c r="B194" s="436"/>
      <c r="C194" s="442"/>
      <c r="D194" s="436"/>
      <c r="E194" s="438"/>
      <c r="F194" s="438"/>
      <c r="G194" s="438"/>
      <c r="H194" s="438"/>
      <c r="I194" s="438"/>
      <c r="J194" s="438"/>
      <c r="K194" s="438"/>
      <c r="L194" s="438"/>
      <c r="M194" s="441"/>
    </row>
    <row r="195" spans="1:13" s="397" customFormat="1">
      <c r="A195" s="436"/>
      <c r="B195" s="436"/>
      <c r="C195" s="442"/>
      <c r="D195" s="436"/>
      <c r="E195" s="438"/>
      <c r="F195" s="438"/>
      <c r="G195" s="438"/>
      <c r="H195" s="438"/>
      <c r="I195" s="438"/>
      <c r="J195" s="438"/>
      <c r="K195" s="438"/>
      <c r="L195" s="438"/>
      <c r="M195" s="441"/>
    </row>
    <row r="196" spans="1:13" s="397" customFormat="1">
      <c r="A196" s="436"/>
      <c r="B196" s="436"/>
      <c r="C196" s="442"/>
      <c r="D196" s="436"/>
      <c r="E196" s="438"/>
      <c r="F196" s="438"/>
      <c r="G196" s="438"/>
      <c r="H196" s="438"/>
      <c r="I196" s="438"/>
      <c r="J196" s="438"/>
      <c r="K196" s="438"/>
      <c r="L196" s="438"/>
      <c r="M196" s="441"/>
    </row>
    <row r="197" spans="1:13" s="397" customFormat="1">
      <c r="A197" s="436"/>
      <c r="B197" s="436"/>
      <c r="C197" s="442"/>
      <c r="D197" s="436"/>
      <c r="E197" s="438"/>
      <c r="F197" s="438"/>
      <c r="G197" s="438"/>
      <c r="H197" s="438"/>
      <c r="I197" s="438"/>
      <c r="J197" s="438"/>
      <c r="K197" s="438"/>
      <c r="L197" s="438"/>
      <c r="M197" s="441"/>
    </row>
    <row r="198" spans="1:13" s="397" customFormat="1">
      <c r="A198" s="436"/>
      <c r="B198" s="436"/>
      <c r="C198" s="442"/>
      <c r="D198" s="436"/>
      <c r="E198" s="438"/>
      <c r="F198" s="438"/>
      <c r="G198" s="438"/>
      <c r="H198" s="438"/>
      <c r="I198" s="438"/>
      <c r="J198" s="438"/>
      <c r="K198" s="438"/>
      <c r="L198" s="438"/>
      <c r="M198" s="441"/>
    </row>
    <row r="199" spans="1:13" s="397" customFormat="1">
      <c r="A199" s="436"/>
      <c r="B199" s="436"/>
      <c r="C199" s="442"/>
      <c r="D199" s="436"/>
      <c r="E199" s="438"/>
      <c r="F199" s="438"/>
      <c r="G199" s="438"/>
      <c r="H199" s="438"/>
      <c r="I199" s="438"/>
      <c r="J199" s="438"/>
      <c r="K199" s="438"/>
      <c r="L199" s="438"/>
      <c r="M199" s="441"/>
    </row>
    <row r="200" spans="1:13" s="397" customFormat="1">
      <c r="A200" s="436"/>
      <c r="B200" s="436"/>
      <c r="C200" s="442"/>
      <c r="D200" s="436"/>
      <c r="E200" s="438"/>
      <c r="F200" s="438"/>
      <c r="G200" s="438"/>
      <c r="H200" s="438"/>
      <c r="I200" s="438"/>
      <c r="J200" s="438"/>
      <c r="K200" s="438"/>
      <c r="L200" s="438"/>
      <c r="M200" s="441"/>
    </row>
    <row r="201" spans="1:13" s="397" customFormat="1">
      <c r="A201" s="436"/>
      <c r="B201" s="436"/>
      <c r="C201" s="442"/>
      <c r="D201" s="436"/>
      <c r="E201" s="438"/>
      <c r="F201" s="438"/>
      <c r="G201" s="438"/>
      <c r="H201" s="438"/>
      <c r="I201" s="438"/>
      <c r="J201" s="438"/>
      <c r="K201" s="438"/>
      <c r="L201" s="438"/>
      <c r="M201" s="441"/>
    </row>
    <row r="202" spans="1:13" s="397" customFormat="1">
      <c r="A202" s="436"/>
      <c r="B202" s="436"/>
      <c r="C202" s="442"/>
      <c r="D202" s="436"/>
      <c r="E202" s="438"/>
      <c r="F202" s="438"/>
      <c r="G202" s="438"/>
      <c r="H202" s="438"/>
      <c r="I202" s="438"/>
      <c r="J202" s="438"/>
      <c r="K202" s="438"/>
      <c r="L202" s="438"/>
      <c r="M202" s="441"/>
    </row>
    <row r="203" spans="1:13" s="397" customFormat="1">
      <c r="A203" s="436"/>
      <c r="B203" s="436"/>
      <c r="C203" s="442"/>
      <c r="D203" s="436"/>
      <c r="E203" s="438"/>
      <c r="F203" s="438"/>
      <c r="G203" s="438"/>
      <c r="H203" s="438"/>
      <c r="I203" s="438"/>
      <c r="J203" s="438"/>
      <c r="K203" s="438"/>
      <c r="L203" s="438"/>
      <c r="M203" s="441"/>
    </row>
    <row r="204" spans="1:13" s="397" customFormat="1">
      <c r="A204" s="436"/>
      <c r="B204" s="436"/>
      <c r="C204" s="442"/>
      <c r="D204" s="436"/>
      <c r="E204" s="438"/>
      <c r="F204" s="438"/>
      <c r="G204" s="438"/>
      <c r="H204" s="438"/>
      <c r="I204" s="438"/>
      <c r="J204" s="438"/>
      <c r="K204" s="438"/>
      <c r="L204" s="438"/>
      <c r="M204" s="441"/>
    </row>
    <row r="205" spans="1:13" s="397" customFormat="1">
      <c r="A205" s="436"/>
      <c r="B205" s="436"/>
      <c r="C205" s="442"/>
      <c r="D205" s="436"/>
      <c r="E205" s="438"/>
      <c r="F205" s="438"/>
      <c r="G205" s="438"/>
      <c r="H205" s="438"/>
      <c r="I205" s="438"/>
      <c r="J205" s="438"/>
      <c r="K205" s="438"/>
      <c r="L205" s="438"/>
      <c r="M205" s="441"/>
    </row>
    <row r="206" spans="1:13" s="397" customFormat="1">
      <c r="A206" s="436"/>
      <c r="B206" s="436"/>
      <c r="C206" s="442"/>
      <c r="D206" s="436"/>
      <c r="E206" s="438"/>
      <c r="F206" s="438"/>
      <c r="G206" s="438"/>
      <c r="H206" s="438"/>
      <c r="I206" s="438"/>
      <c r="J206" s="438"/>
      <c r="K206" s="438"/>
      <c r="L206" s="438"/>
      <c r="M206" s="441"/>
    </row>
    <row r="207" spans="1:13" s="397" customFormat="1">
      <c r="A207" s="436"/>
      <c r="B207" s="436"/>
      <c r="C207" s="442"/>
      <c r="D207" s="436"/>
      <c r="E207" s="438"/>
      <c r="F207" s="438"/>
      <c r="G207" s="438"/>
      <c r="H207" s="438"/>
      <c r="I207" s="438"/>
      <c r="J207" s="438"/>
      <c r="K207" s="438"/>
      <c r="L207" s="438"/>
      <c r="M207" s="441"/>
    </row>
    <row r="208" spans="1:13" s="397" customFormat="1">
      <c r="A208" s="436"/>
      <c r="B208" s="436"/>
      <c r="C208" s="442"/>
      <c r="D208" s="436"/>
      <c r="E208" s="438"/>
      <c r="F208" s="438"/>
      <c r="G208" s="438"/>
      <c r="H208" s="438"/>
      <c r="I208" s="438"/>
      <c r="J208" s="438"/>
      <c r="K208" s="438"/>
      <c r="L208" s="438"/>
      <c r="M208" s="441"/>
    </row>
    <row r="209" spans="1:13" s="397" customFormat="1">
      <c r="A209" s="436"/>
      <c r="B209" s="436"/>
      <c r="C209" s="442"/>
      <c r="D209" s="436"/>
      <c r="E209" s="438"/>
      <c r="F209" s="438"/>
      <c r="G209" s="438"/>
      <c r="H209" s="438"/>
      <c r="I209" s="438"/>
      <c r="J209" s="438"/>
      <c r="K209" s="438"/>
      <c r="L209" s="438"/>
      <c r="M209" s="441"/>
    </row>
    <row r="210" spans="1:13" s="397" customFormat="1">
      <c r="A210" s="436"/>
      <c r="B210" s="436"/>
      <c r="C210" s="442"/>
      <c r="D210" s="436"/>
      <c r="E210" s="438"/>
      <c r="F210" s="438"/>
      <c r="G210" s="438"/>
      <c r="H210" s="438"/>
      <c r="I210" s="438"/>
      <c r="J210" s="438"/>
      <c r="K210" s="438"/>
      <c r="L210" s="438"/>
      <c r="M210" s="441"/>
    </row>
    <row r="211" spans="1:13" s="397" customFormat="1">
      <c r="A211" s="436"/>
      <c r="B211" s="436"/>
      <c r="C211" s="442"/>
      <c r="D211" s="436"/>
      <c r="E211" s="438"/>
      <c r="F211" s="438"/>
      <c r="G211" s="438"/>
      <c r="H211" s="438"/>
      <c r="I211" s="438"/>
      <c r="J211" s="438"/>
      <c r="K211" s="438"/>
      <c r="L211" s="438"/>
      <c r="M211" s="441"/>
    </row>
    <row r="212" spans="1:13" s="397" customFormat="1">
      <c r="A212" s="436"/>
      <c r="B212" s="436"/>
      <c r="C212" s="442"/>
      <c r="D212" s="436"/>
      <c r="E212" s="438"/>
      <c r="F212" s="438"/>
      <c r="G212" s="438"/>
      <c r="H212" s="438"/>
      <c r="I212" s="438"/>
      <c r="J212" s="438"/>
      <c r="K212" s="438"/>
      <c r="L212" s="438"/>
      <c r="M212" s="441"/>
    </row>
    <row r="213" spans="1:13" s="397" customFormat="1">
      <c r="A213" s="436"/>
      <c r="B213" s="436"/>
      <c r="C213" s="442"/>
      <c r="D213" s="436"/>
      <c r="E213" s="438"/>
      <c r="F213" s="438"/>
      <c r="G213" s="438"/>
      <c r="H213" s="438"/>
      <c r="I213" s="438"/>
      <c r="J213" s="438"/>
      <c r="K213" s="438"/>
      <c r="L213" s="438"/>
      <c r="M213" s="441"/>
    </row>
    <row r="214" spans="1:13" s="397" customFormat="1">
      <c r="A214" s="436"/>
      <c r="B214" s="436"/>
      <c r="C214" s="442"/>
      <c r="D214" s="436"/>
      <c r="E214" s="438"/>
      <c r="F214" s="438"/>
      <c r="G214" s="438"/>
      <c r="H214" s="438"/>
      <c r="I214" s="438"/>
      <c r="J214" s="438"/>
      <c r="K214" s="438"/>
      <c r="L214" s="438"/>
      <c r="M214" s="441"/>
    </row>
    <row r="215" spans="1:13" s="397" customFormat="1">
      <c r="A215" s="436"/>
      <c r="B215" s="436"/>
      <c r="C215" s="442"/>
      <c r="D215" s="436"/>
      <c r="E215" s="438"/>
      <c r="F215" s="438"/>
      <c r="G215" s="438"/>
      <c r="H215" s="438"/>
      <c r="I215" s="438"/>
      <c r="J215" s="438"/>
      <c r="K215" s="438"/>
      <c r="L215" s="438"/>
      <c r="M215" s="441"/>
    </row>
    <row r="216" spans="1:13" s="397" customFormat="1">
      <c r="A216" s="436"/>
      <c r="B216" s="436"/>
      <c r="C216" s="442"/>
      <c r="D216" s="436"/>
      <c r="E216" s="438"/>
      <c r="F216" s="438"/>
      <c r="G216" s="438"/>
      <c r="H216" s="438"/>
      <c r="I216" s="438"/>
      <c r="J216" s="438"/>
      <c r="K216" s="438"/>
      <c r="L216" s="438"/>
      <c r="M216" s="441"/>
    </row>
    <row r="217" spans="1:13" s="397" customFormat="1">
      <c r="A217" s="436"/>
      <c r="B217" s="436"/>
      <c r="C217" s="442"/>
      <c r="D217" s="436"/>
      <c r="E217" s="438"/>
      <c r="F217" s="438"/>
      <c r="G217" s="438"/>
      <c r="H217" s="438"/>
      <c r="I217" s="438"/>
      <c r="J217" s="438"/>
      <c r="K217" s="438"/>
      <c r="L217" s="438"/>
      <c r="M217" s="441"/>
    </row>
    <row r="218" spans="1:13" s="397" customFormat="1">
      <c r="A218" s="436"/>
      <c r="B218" s="436"/>
      <c r="C218" s="442"/>
      <c r="D218" s="436"/>
      <c r="E218" s="438"/>
      <c r="F218" s="438"/>
      <c r="G218" s="438"/>
      <c r="H218" s="438"/>
      <c r="I218" s="438"/>
      <c r="J218" s="438"/>
      <c r="K218" s="438"/>
      <c r="L218" s="438"/>
      <c r="M218" s="441"/>
    </row>
    <row r="219" spans="1:13" s="397" customFormat="1">
      <c r="A219" s="436"/>
      <c r="B219" s="436"/>
      <c r="C219" s="442"/>
      <c r="D219" s="436"/>
      <c r="E219" s="438"/>
      <c r="F219" s="438"/>
      <c r="G219" s="438"/>
      <c r="H219" s="438"/>
      <c r="I219" s="438"/>
      <c r="J219" s="438"/>
      <c r="K219" s="438"/>
      <c r="L219" s="438"/>
      <c r="M219" s="441"/>
    </row>
    <row r="220" spans="1:13" s="397" customFormat="1">
      <c r="A220" s="436"/>
      <c r="B220" s="436"/>
      <c r="C220" s="442"/>
      <c r="D220" s="436"/>
      <c r="E220" s="438"/>
      <c r="F220" s="438"/>
      <c r="G220" s="438"/>
      <c r="H220" s="438"/>
      <c r="I220" s="438"/>
      <c r="J220" s="438"/>
      <c r="K220" s="438"/>
      <c r="L220" s="438"/>
      <c r="M220" s="441"/>
    </row>
    <row r="221" spans="1:13" s="397" customFormat="1">
      <c r="A221" s="436"/>
      <c r="B221" s="436"/>
      <c r="C221" s="442"/>
      <c r="D221" s="436"/>
      <c r="E221" s="438"/>
      <c r="F221" s="438"/>
      <c r="G221" s="438"/>
      <c r="H221" s="438"/>
      <c r="I221" s="438"/>
      <c r="J221" s="438"/>
      <c r="K221" s="438"/>
      <c r="L221" s="438"/>
      <c r="M221" s="441"/>
    </row>
    <row r="222" spans="1:13" s="397" customFormat="1">
      <c r="A222" s="436"/>
      <c r="B222" s="436"/>
      <c r="C222" s="442"/>
      <c r="D222" s="436"/>
      <c r="E222" s="438"/>
      <c r="F222" s="438"/>
      <c r="G222" s="438"/>
      <c r="H222" s="438"/>
      <c r="I222" s="438"/>
      <c r="J222" s="438"/>
      <c r="K222" s="438"/>
      <c r="L222" s="438"/>
      <c r="M222" s="441"/>
    </row>
    <row r="223" spans="1:13" s="397" customFormat="1">
      <c r="A223" s="436"/>
      <c r="B223" s="436"/>
      <c r="C223" s="442"/>
      <c r="D223" s="436"/>
      <c r="E223" s="438"/>
      <c r="F223" s="438"/>
      <c r="G223" s="438"/>
      <c r="H223" s="438"/>
      <c r="I223" s="438"/>
      <c r="J223" s="438"/>
      <c r="K223" s="438"/>
      <c r="L223" s="438"/>
      <c r="M223" s="441"/>
    </row>
    <row r="224" spans="1:13" s="397" customFormat="1">
      <c r="A224" s="436"/>
      <c r="B224" s="436"/>
      <c r="C224" s="442"/>
      <c r="D224" s="436"/>
      <c r="E224" s="438"/>
      <c r="F224" s="438"/>
      <c r="G224" s="438"/>
      <c r="H224" s="438"/>
      <c r="I224" s="438"/>
      <c r="J224" s="438"/>
      <c r="K224" s="438"/>
      <c r="L224" s="438"/>
      <c r="M224" s="441"/>
    </row>
    <row r="225" spans="1:13" s="397" customFormat="1">
      <c r="A225" s="436"/>
      <c r="B225" s="436"/>
      <c r="C225" s="442"/>
      <c r="D225" s="436"/>
      <c r="E225" s="438"/>
      <c r="F225" s="438"/>
      <c r="G225" s="438"/>
      <c r="H225" s="438"/>
      <c r="I225" s="438"/>
      <c r="J225" s="438"/>
      <c r="K225" s="438"/>
      <c r="L225" s="438"/>
      <c r="M225" s="441"/>
    </row>
    <row r="226" spans="1:13" s="397" customFormat="1">
      <c r="A226" s="436"/>
      <c r="B226" s="436"/>
      <c r="C226" s="442"/>
      <c r="D226" s="436"/>
      <c r="E226" s="438"/>
      <c r="F226" s="438"/>
      <c r="G226" s="438"/>
      <c r="H226" s="438"/>
      <c r="I226" s="438"/>
      <c r="J226" s="438"/>
      <c r="K226" s="438"/>
      <c r="L226" s="438"/>
      <c r="M226" s="441"/>
    </row>
    <row r="227" spans="1:13" s="397" customFormat="1">
      <c r="A227" s="436"/>
      <c r="B227" s="436"/>
      <c r="C227" s="442"/>
      <c r="D227" s="436"/>
      <c r="E227" s="438"/>
      <c r="F227" s="438"/>
      <c r="G227" s="438"/>
      <c r="H227" s="438"/>
      <c r="I227" s="438"/>
      <c r="J227" s="438"/>
      <c r="K227" s="438"/>
      <c r="L227" s="438"/>
      <c r="M227" s="441"/>
    </row>
    <row r="228" spans="1:13" s="397" customFormat="1">
      <c r="A228" s="436"/>
      <c r="B228" s="436"/>
      <c r="C228" s="442"/>
      <c r="D228" s="436"/>
      <c r="E228" s="438"/>
      <c r="F228" s="438"/>
      <c r="G228" s="438"/>
      <c r="H228" s="438"/>
      <c r="I228" s="438"/>
      <c r="J228" s="438"/>
      <c r="K228" s="438"/>
      <c r="L228" s="438"/>
      <c r="M228" s="441"/>
    </row>
    <row r="229" spans="1:13" s="397" customFormat="1">
      <c r="A229" s="436"/>
      <c r="B229" s="436"/>
      <c r="C229" s="442"/>
      <c r="D229" s="436"/>
      <c r="E229" s="438"/>
      <c r="F229" s="438"/>
      <c r="G229" s="438"/>
      <c r="H229" s="438"/>
      <c r="I229" s="438"/>
      <c r="J229" s="438"/>
      <c r="K229" s="438"/>
      <c r="L229" s="438"/>
      <c r="M229" s="441"/>
    </row>
    <row r="230" spans="1:13" s="397" customFormat="1">
      <c r="A230" s="436"/>
      <c r="B230" s="436"/>
      <c r="C230" s="442"/>
      <c r="D230" s="436"/>
      <c r="E230" s="438"/>
      <c r="F230" s="438"/>
      <c r="G230" s="438"/>
      <c r="H230" s="438"/>
      <c r="I230" s="438"/>
      <c r="J230" s="438"/>
      <c r="K230" s="438"/>
      <c r="L230" s="438"/>
      <c r="M230" s="441"/>
    </row>
    <row r="231" spans="1:13" s="397" customFormat="1">
      <c r="A231" s="436"/>
      <c r="B231" s="436"/>
      <c r="C231" s="442"/>
      <c r="D231" s="436"/>
      <c r="E231" s="438"/>
      <c r="F231" s="438"/>
      <c r="G231" s="438"/>
      <c r="H231" s="438"/>
      <c r="I231" s="438"/>
      <c r="J231" s="438"/>
      <c r="K231" s="438"/>
      <c r="L231" s="438"/>
      <c r="M231" s="441"/>
    </row>
    <row r="232" spans="1:13" s="397" customFormat="1">
      <c r="A232" s="436"/>
      <c r="B232" s="436"/>
      <c r="C232" s="442"/>
      <c r="D232" s="436"/>
      <c r="E232" s="438"/>
      <c r="F232" s="438"/>
      <c r="G232" s="438"/>
      <c r="H232" s="438"/>
      <c r="I232" s="438"/>
      <c r="J232" s="438"/>
      <c r="K232" s="438"/>
      <c r="L232" s="438"/>
      <c r="M232" s="441"/>
    </row>
    <row r="233" spans="1:13" s="397" customFormat="1">
      <c r="A233" s="436"/>
      <c r="B233" s="436"/>
      <c r="C233" s="442"/>
      <c r="D233" s="436"/>
      <c r="E233" s="438"/>
      <c r="F233" s="438"/>
      <c r="G233" s="438"/>
      <c r="H233" s="438"/>
      <c r="I233" s="438"/>
      <c r="J233" s="438"/>
      <c r="K233" s="438"/>
      <c r="L233" s="438"/>
      <c r="M233" s="441"/>
    </row>
    <row r="234" spans="1:13" s="397" customFormat="1">
      <c r="A234" s="436"/>
      <c r="B234" s="436"/>
      <c r="C234" s="442"/>
      <c r="D234" s="436"/>
      <c r="E234" s="438"/>
      <c r="F234" s="438"/>
      <c r="G234" s="438"/>
      <c r="H234" s="438"/>
      <c r="I234" s="438"/>
      <c r="J234" s="438"/>
      <c r="K234" s="438"/>
      <c r="L234" s="438"/>
      <c r="M234" s="441"/>
    </row>
    <row r="235" spans="1:13" s="397" customFormat="1">
      <c r="A235" s="436"/>
      <c r="B235" s="436"/>
      <c r="C235" s="442"/>
      <c r="D235" s="436"/>
      <c r="E235" s="438"/>
      <c r="F235" s="438"/>
      <c r="G235" s="438"/>
      <c r="H235" s="438"/>
      <c r="I235" s="438"/>
      <c r="J235" s="438"/>
      <c r="K235" s="438"/>
      <c r="L235" s="438"/>
      <c r="M235" s="441"/>
    </row>
    <row r="236" spans="1:13" s="397" customFormat="1">
      <c r="A236" s="436"/>
      <c r="B236" s="436"/>
      <c r="C236" s="442"/>
      <c r="D236" s="436"/>
      <c r="E236" s="438"/>
      <c r="F236" s="438"/>
      <c r="G236" s="438"/>
      <c r="H236" s="438"/>
      <c r="I236" s="438"/>
      <c r="J236" s="438"/>
      <c r="K236" s="438"/>
      <c r="L236" s="438"/>
      <c r="M236" s="441"/>
    </row>
    <row r="237" spans="1:13" s="397" customFormat="1">
      <c r="A237" s="436"/>
      <c r="B237" s="436"/>
      <c r="C237" s="442"/>
      <c r="D237" s="436"/>
      <c r="E237" s="438"/>
      <c r="F237" s="438"/>
      <c r="G237" s="438"/>
      <c r="H237" s="438"/>
      <c r="I237" s="438"/>
      <c r="J237" s="438"/>
      <c r="K237" s="438"/>
      <c r="L237" s="438"/>
      <c r="M237" s="441"/>
    </row>
    <row r="238" spans="1:13" s="397" customFormat="1">
      <c r="A238" s="436"/>
      <c r="B238" s="436"/>
      <c r="C238" s="442"/>
      <c r="D238" s="436"/>
      <c r="E238" s="438"/>
      <c r="F238" s="438"/>
      <c r="G238" s="438"/>
      <c r="H238" s="438"/>
      <c r="I238" s="438"/>
      <c r="J238" s="438"/>
      <c r="K238" s="438"/>
      <c r="L238" s="438"/>
      <c r="M238" s="441"/>
    </row>
    <row r="239" spans="1:13" s="397" customFormat="1">
      <c r="A239" s="436"/>
      <c r="B239" s="436"/>
      <c r="C239" s="442"/>
      <c r="D239" s="436"/>
      <c r="E239" s="438"/>
      <c r="F239" s="438"/>
      <c r="G239" s="438"/>
      <c r="H239" s="438"/>
      <c r="I239" s="438"/>
      <c r="J239" s="438"/>
      <c r="K239" s="438"/>
      <c r="L239" s="438"/>
      <c r="M239" s="441"/>
    </row>
    <row r="240" spans="1:13" s="397" customFormat="1">
      <c r="A240" s="436"/>
      <c r="B240" s="436"/>
      <c r="C240" s="442"/>
      <c r="D240" s="436"/>
      <c r="E240" s="438"/>
      <c r="F240" s="438"/>
      <c r="G240" s="438"/>
      <c r="H240" s="438"/>
      <c r="I240" s="438"/>
      <c r="J240" s="438"/>
      <c r="K240" s="438"/>
      <c r="L240" s="438"/>
      <c r="M240" s="441"/>
    </row>
    <row r="241" spans="1:13" s="397" customFormat="1">
      <c r="A241" s="436"/>
      <c r="B241" s="436"/>
      <c r="C241" s="442"/>
      <c r="D241" s="436"/>
      <c r="E241" s="438"/>
      <c r="F241" s="438"/>
      <c r="G241" s="438"/>
      <c r="H241" s="438"/>
      <c r="I241" s="438"/>
      <c r="J241" s="438"/>
      <c r="K241" s="438"/>
      <c r="L241" s="438"/>
      <c r="M241" s="441"/>
    </row>
    <row r="242" spans="1:13" s="397" customFormat="1">
      <c r="A242" s="436"/>
      <c r="B242" s="436"/>
      <c r="C242" s="442"/>
      <c r="D242" s="436"/>
      <c r="E242" s="438"/>
      <c r="F242" s="438"/>
      <c r="G242" s="438"/>
      <c r="H242" s="438"/>
      <c r="I242" s="438"/>
      <c r="J242" s="438"/>
      <c r="K242" s="438"/>
      <c r="L242" s="438"/>
      <c r="M242" s="441"/>
    </row>
    <row r="243" spans="1:13" s="397" customFormat="1">
      <c r="A243" s="436"/>
      <c r="B243" s="436"/>
      <c r="C243" s="442"/>
      <c r="D243" s="436"/>
      <c r="E243" s="438"/>
      <c r="F243" s="438"/>
      <c r="G243" s="438"/>
      <c r="H243" s="438"/>
      <c r="I243" s="438"/>
      <c r="J243" s="438"/>
      <c r="K243" s="438"/>
      <c r="L243" s="438"/>
      <c r="M243" s="441"/>
    </row>
    <row r="244" spans="1:13" s="397" customFormat="1">
      <c r="A244" s="436"/>
      <c r="B244" s="436"/>
      <c r="C244" s="442"/>
      <c r="D244" s="436"/>
      <c r="E244" s="438"/>
      <c r="F244" s="438"/>
      <c r="G244" s="438"/>
      <c r="H244" s="438"/>
      <c r="I244" s="438"/>
      <c r="J244" s="438"/>
      <c r="K244" s="438"/>
      <c r="L244" s="438"/>
      <c r="M244" s="441"/>
    </row>
    <row r="245" spans="1:13" s="397" customFormat="1">
      <c r="A245" s="436"/>
      <c r="B245" s="436"/>
      <c r="C245" s="442"/>
      <c r="D245" s="436"/>
      <c r="E245" s="438"/>
      <c r="F245" s="438"/>
      <c r="G245" s="438"/>
      <c r="H245" s="438"/>
      <c r="I245" s="438"/>
      <c r="J245" s="438"/>
      <c r="K245" s="438"/>
      <c r="L245" s="438"/>
      <c r="M245" s="441"/>
    </row>
    <row r="246" spans="1:13" s="397" customFormat="1">
      <c r="A246" s="436"/>
      <c r="B246" s="436"/>
      <c r="C246" s="442"/>
      <c r="D246" s="436"/>
      <c r="E246" s="438"/>
      <c r="F246" s="438"/>
      <c r="G246" s="438"/>
      <c r="H246" s="438"/>
      <c r="I246" s="438"/>
      <c r="J246" s="438"/>
      <c r="K246" s="438"/>
      <c r="L246" s="438"/>
      <c r="M246" s="441"/>
    </row>
    <row r="247" spans="1:13" s="397" customFormat="1">
      <c r="A247" s="436"/>
      <c r="B247" s="436"/>
      <c r="C247" s="442"/>
      <c r="D247" s="436"/>
      <c r="E247" s="438"/>
      <c r="F247" s="438"/>
      <c r="G247" s="438"/>
      <c r="H247" s="438"/>
      <c r="I247" s="438"/>
      <c r="J247" s="438"/>
      <c r="K247" s="438"/>
      <c r="L247" s="438"/>
      <c r="M247" s="441"/>
    </row>
    <row r="248" spans="1:13" s="397" customFormat="1">
      <c r="A248" s="436"/>
      <c r="B248" s="436"/>
      <c r="C248" s="442"/>
      <c r="D248" s="436"/>
      <c r="E248" s="438"/>
      <c r="F248" s="438"/>
      <c r="G248" s="438"/>
      <c r="H248" s="438"/>
      <c r="I248" s="438"/>
      <c r="J248" s="438"/>
      <c r="K248" s="438"/>
      <c r="L248" s="438"/>
      <c r="M248" s="441"/>
    </row>
    <row r="249" spans="1:13" s="397" customFormat="1">
      <c r="A249" s="436"/>
      <c r="B249" s="436"/>
      <c r="C249" s="442"/>
      <c r="D249" s="436"/>
      <c r="E249" s="438"/>
      <c r="F249" s="438"/>
      <c r="G249" s="438"/>
      <c r="H249" s="438"/>
      <c r="I249" s="438"/>
      <c r="J249" s="438"/>
      <c r="K249" s="438"/>
      <c r="L249" s="438"/>
      <c r="M249" s="441"/>
    </row>
    <row r="250" spans="1:13" s="397" customFormat="1">
      <c r="A250" s="436"/>
      <c r="B250" s="436"/>
      <c r="C250" s="442"/>
      <c r="D250" s="436"/>
      <c r="E250" s="438"/>
      <c r="F250" s="438"/>
      <c r="G250" s="438"/>
      <c r="H250" s="438"/>
      <c r="I250" s="438"/>
      <c r="J250" s="438"/>
      <c r="K250" s="438"/>
      <c r="L250" s="438"/>
      <c r="M250" s="441"/>
    </row>
    <row r="251" spans="1:13" s="397" customFormat="1">
      <c r="A251" s="436"/>
      <c r="B251" s="436"/>
      <c r="C251" s="442"/>
      <c r="D251" s="436"/>
      <c r="E251" s="438"/>
      <c r="F251" s="438"/>
      <c r="G251" s="438"/>
      <c r="H251" s="438"/>
      <c r="I251" s="438"/>
      <c r="J251" s="438"/>
      <c r="K251" s="438"/>
      <c r="L251" s="438"/>
      <c r="M251" s="441"/>
    </row>
    <row r="252" spans="1:13" s="397" customFormat="1">
      <c r="A252" s="436"/>
      <c r="B252" s="436"/>
      <c r="C252" s="442"/>
      <c r="D252" s="436"/>
      <c r="E252" s="438"/>
      <c r="F252" s="438"/>
      <c r="G252" s="438"/>
      <c r="H252" s="438"/>
      <c r="I252" s="438"/>
      <c r="J252" s="438"/>
      <c r="K252" s="438"/>
      <c r="L252" s="438"/>
      <c r="M252" s="441"/>
    </row>
    <row r="253" spans="1:13" s="397" customFormat="1">
      <c r="A253" s="436"/>
      <c r="B253" s="436"/>
      <c r="C253" s="442"/>
      <c r="D253" s="436"/>
      <c r="E253" s="438"/>
      <c r="F253" s="438"/>
      <c r="G253" s="438"/>
      <c r="H253" s="438"/>
      <c r="I253" s="438"/>
      <c r="J253" s="438"/>
      <c r="K253" s="438"/>
      <c r="L253" s="438"/>
      <c r="M253" s="441"/>
    </row>
    <row r="254" spans="1:13" s="397" customFormat="1">
      <c r="A254" s="436"/>
      <c r="B254" s="436"/>
      <c r="C254" s="442"/>
      <c r="D254" s="436"/>
      <c r="E254" s="438"/>
      <c r="F254" s="438"/>
      <c r="G254" s="438"/>
      <c r="H254" s="438"/>
      <c r="I254" s="438"/>
      <c r="J254" s="438"/>
      <c r="K254" s="438"/>
      <c r="L254" s="438"/>
      <c r="M254" s="441"/>
    </row>
    <row r="255" spans="1:13" s="397" customFormat="1">
      <c r="A255" s="436"/>
      <c r="B255" s="436"/>
      <c r="C255" s="442"/>
      <c r="D255" s="436"/>
      <c r="E255" s="438"/>
      <c r="F255" s="438"/>
      <c r="G255" s="438"/>
      <c r="H255" s="438"/>
      <c r="I255" s="438"/>
      <c r="J255" s="438"/>
      <c r="K255" s="438"/>
      <c r="L255" s="438"/>
      <c r="M255" s="441"/>
    </row>
    <row r="256" spans="1:13" s="397" customFormat="1">
      <c r="A256" s="436"/>
      <c r="B256" s="436"/>
      <c r="C256" s="442"/>
      <c r="D256" s="436"/>
      <c r="E256" s="438"/>
      <c r="F256" s="438"/>
      <c r="G256" s="438"/>
      <c r="H256" s="438"/>
      <c r="I256" s="438"/>
      <c r="J256" s="438"/>
      <c r="K256" s="438"/>
      <c r="L256" s="438"/>
      <c r="M256" s="441"/>
    </row>
    <row r="257" spans="1:13" s="397" customFormat="1">
      <c r="A257" s="436"/>
      <c r="B257" s="436"/>
      <c r="C257" s="442"/>
      <c r="D257" s="436"/>
      <c r="E257" s="438"/>
      <c r="F257" s="438"/>
      <c r="G257" s="438"/>
      <c r="H257" s="438"/>
      <c r="I257" s="438"/>
      <c r="J257" s="438"/>
      <c r="K257" s="438"/>
      <c r="L257" s="438"/>
      <c r="M257" s="441"/>
    </row>
    <row r="258" spans="1:13" s="397" customFormat="1">
      <c r="A258" s="436"/>
      <c r="B258" s="436"/>
      <c r="C258" s="442"/>
      <c r="D258" s="436"/>
      <c r="E258" s="438"/>
      <c r="F258" s="438"/>
      <c r="G258" s="438"/>
      <c r="H258" s="438"/>
      <c r="I258" s="438"/>
      <c r="J258" s="438"/>
      <c r="K258" s="438"/>
      <c r="L258" s="438"/>
      <c r="M258" s="441"/>
    </row>
    <row r="259" spans="1:13" s="397" customFormat="1">
      <c r="A259" s="436"/>
      <c r="B259" s="436"/>
      <c r="C259" s="442"/>
      <c r="D259" s="436"/>
      <c r="E259" s="438"/>
      <c r="F259" s="438"/>
      <c r="G259" s="438"/>
      <c r="H259" s="438"/>
      <c r="I259" s="438"/>
      <c r="J259" s="438"/>
      <c r="K259" s="438"/>
      <c r="L259" s="438"/>
      <c r="M259" s="441"/>
    </row>
    <row r="260" spans="1:13" s="397" customFormat="1">
      <c r="A260" s="436"/>
      <c r="B260" s="436"/>
      <c r="C260" s="442"/>
      <c r="D260" s="436"/>
      <c r="E260" s="438"/>
      <c r="F260" s="438"/>
      <c r="G260" s="438"/>
      <c r="H260" s="438"/>
      <c r="I260" s="438"/>
      <c r="J260" s="438"/>
      <c r="K260" s="438"/>
      <c r="L260" s="438"/>
      <c r="M260" s="441"/>
    </row>
    <row r="261" spans="1:13" s="397" customFormat="1">
      <c r="A261" s="436"/>
      <c r="B261" s="436"/>
      <c r="C261" s="442"/>
      <c r="D261" s="436"/>
      <c r="E261" s="438"/>
      <c r="F261" s="438"/>
      <c r="G261" s="438"/>
      <c r="H261" s="438"/>
      <c r="I261" s="438"/>
      <c r="J261" s="438"/>
      <c r="K261" s="438"/>
      <c r="L261" s="438"/>
      <c r="M261" s="441"/>
    </row>
    <row r="262" spans="1:13" s="397" customFormat="1">
      <c r="A262" s="436"/>
      <c r="B262" s="436"/>
      <c r="C262" s="442"/>
      <c r="D262" s="436"/>
      <c r="E262" s="438"/>
      <c r="F262" s="438"/>
      <c r="G262" s="438"/>
      <c r="H262" s="438"/>
      <c r="I262" s="438"/>
      <c r="J262" s="438"/>
      <c r="K262" s="438"/>
      <c r="L262" s="438"/>
      <c r="M262" s="441"/>
    </row>
    <row r="263" spans="1:13" s="397" customFormat="1">
      <c r="A263" s="436"/>
      <c r="B263" s="436"/>
      <c r="C263" s="442"/>
      <c r="D263" s="436"/>
      <c r="E263" s="438"/>
      <c r="F263" s="438"/>
      <c r="G263" s="438"/>
      <c r="H263" s="438"/>
      <c r="I263" s="438"/>
      <c r="J263" s="438"/>
      <c r="K263" s="438"/>
      <c r="L263" s="438"/>
      <c r="M263" s="441"/>
    </row>
    <row r="264" spans="1:13" s="397" customFormat="1">
      <c r="A264" s="436"/>
      <c r="B264" s="436"/>
      <c r="C264" s="442"/>
      <c r="D264" s="436"/>
      <c r="E264" s="438"/>
      <c r="F264" s="438"/>
      <c r="G264" s="438"/>
      <c r="H264" s="438"/>
      <c r="I264" s="438"/>
      <c r="J264" s="438"/>
      <c r="K264" s="438"/>
      <c r="L264" s="438"/>
      <c r="M264" s="441"/>
    </row>
    <row r="265" spans="1:13" s="397" customFormat="1">
      <c r="A265" s="436"/>
      <c r="B265" s="436"/>
      <c r="C265" s="442"/>
      <c r="D265" s="436"/>
      <c r="E265" s="438"/>
      <c r="F265" s="438"/>
      <c r="G265" s="438"/>
      <c r="H265" s="438"/>
      <c r="I265" s="438"/>
      <c r="J265" s="438"/>
      <c r="K265" s="438"/>
      <c r="L265" s="438"/>
      <c r="M265" s="441"/>
    </row>
    <row r="266" spans="1:13" s="397" customFormat="1">
      <c r="A266" s="436"/>
      <c r="B266" s="436"/>
      <c r="C266" s="442"/>
      <c r="D266" s="436"/>
      <c r="E266" s="438"/>
      <c r="F266" s="438"/>
      <c r="G266" s="438"/>
      <c r="H266" s="438"/>
      <c r="I266" s="438"/>
      <c r="J266" s="438"/>
      <c r="K266" s="438"/>
      <c r="L266" s="438"/>
      <c r="M266" s="441"/>
    </row>
    <row r="267" spans="1:13" s="397" customFormat="1">
      <c r="A267" s="436"/>
      <c r="B267" s="436"/>
      <c r="C267" s="442"/>
      <c r="D267" s="436"/>
      <c r="E267" s="438"/>
      <c r="F267" s="438"/>
      <c r="G267" s="438"/>
      <c r="H267" s="438"/>
      <c r="I267" s="438"/>
      <c r="J267" s="438"/>
      <c r="K267" s="438"/>
      <c r="L267" s="438"/>
      <c r="M267" s="441"/>
    </row>
    <row r="268" spans="1:13" s="397" customFormat="1">
      <c r="A268" s="436"/>
      <c r="B268" s="436"/>
      <c r="C268" s="442"/>
      <c r="D268" s="436"/>
      <c r="E268" s="438"/>
      <c r="F268" s="438"/>
      <c r="G268" s="438"/>
      <c r="H268" s="438"/>
      <c r="I268" s="438"/>
      <c r="J268" s="438"/>
      <c r="K268" s="438"/>
      <c r="L268" s="438"/>
      <c r="M268" s="441"/>
    </row>
    <row r="269" spans="1:13" s="397" customFormat="1">
      <c r="A269" s="436"/>
      <c r="B269" s="436"/>
      <c r="C269" s="442"/>
      <c r="D269" s="436"/>
      <c r="E269" s="438"/>
      <c r="F269" s="438"/>
      <c r="G269" s="438"/>
      <c r="H269" s="438"/>
      <c r="I269" s="438"/>
      <c r="J269" s="438"/>
      <c r="K269" s="438"/>
      <c r="L269" s="438"/>
      <c r="M269" s="441"/>
    </row>
    <row r="270" spans="1:13" s="397" customFormat="1">
      <c r="A270" s="436"/>
      <c r="B270" s="436"/>
      <c r="C270" s="442"/>
      <c r="D270" s="436"/>
      <c r="E270" s="438"/>
      <c r="F270" s="438"/>
      <c r="G270" s="438"/>
      <c r="H270" s="438"/>
      <c r="I270" s="438"/>
      <c r="J270" s="438"/>
      <c r="K270" s="438"/>
      <c r="L270" s="438"/>
      <c r="M270" s="441"/>
    </row>
    <row r="271" spans="1:13" s="397" customFormat="1">
      <c r="A271" s="436"/>
      <c r="B271" s="436"/>
      <c r="C271" s="442"/>
      <c r="D271" s="436"/>
      <c r="E271" s="438"/>
      <c r="F271" s="438"/>
      <c r="G271" s="438"/>
      <c r="H271" s="438"/>
      <c r="I271" s="438"/>
      <c r="J271" s="438"/>
      <c r="K271" s="438"/>
      <c r="L271" s="438"/>
      <c r="M271" s="441"/>
    </row>
    <row r="272" spans="1:13" s="397" customFormat="1">
      <c r="A272" s="436"/>
      <c r="B272" s="436"/>
      <c r="C272" s="442"/>
      <c r="D272" s="436"/>
      <c r="E272" s="438"/>
      <c r="F272" s="438"/>
      <c r="G272" s="438"/>
      <c r="H272" s="438"/>
      <c r="I272" s="438"/>
      <c r="J272" s="438"/>
      <c r="K272" s="438"/>
      <c r="L272" s="438"/>
      <c r="M272" s="441"/>
    </row>
    <row r="273" spans="1:13" s="397" customFormat="1">
      <c r="A273" s="436"/>
      <c r="B273" s="436"/>
      <c r="C273" s="442"/>
      <c r="D273" s="436"/>
      <c r="E273" s="438"/>
      <c r="F273" s="438"/>
      <c r="G273" s="438"/>
      <c r="H273" s="438"/>
      <c r="I273" s="438"/>
      <c r="J273" s="438"/>
      <c r="K273" s="438"/>
      <c r="L273" s="438"/>
      <c r="M273" s="441"/>
    </row>
    <row r="274" spans="1:13" s="397" customFormat="1">
      <c r="A274" s="436"/>
      <c r="B274" s="436"/>
      <c r="C274" s="442"/>
      <c r="D274" s="436"/>
      <c r="E274" s="438"/>
      <c r="F274" s="438"/>
      <c r="G274" s="438"/>
      <c r="H274" s="438"/>
      <c r="I274" s="438"/>
      <c r="J274" s="438"/>
      <c r="K274" s="438"/>
      <c r="L274" s="438"/>
      <c r="M274" s="441"/>
    </row>
    <row r="275" spans="1:13" s="397" customFormat="1">
      <c r="A275" s="436"/>
      <c r="B275" s="436"/>
      <c r="C275" s="442"/>
      <c r="D275" s="436"/>
      <c r="E275" s="438"/>
      <c r="F275" s="438"/>
      <c r="G275" s="438"/>
      <c r="H275" s="438"/>
      <c r="I275" s="438"/>
      <c r="J275" s="438"/>
      <c r="K275" s="438"/>
      <c r="L275" s="438"/>
      <c r="M275" s="441"/>
    </row>
    <row r="276" spans="1:13" s="397" customFormat="1">
      <c r="A276" s="436"/>
      <c r="B276" s="436"/>
      <c r="C276" s="442"/>
      <c r="D276" s="436"/>
      <c r="E276" s="438"/>
      <c r="F276" s="438"/>
      <c r="G276" s="438"/>
      <c r="H276" s="438"/>
      <c r="I276" s="438"/>
      <c r="J276" s="438"/>
      <c r="K276" s="438"/>
      <c r="L276" s="438"/>
      <c r="M276" s="441"/>
    </row>
    <row r="277" spans="1:13" s="397" customFormat="1">
      <c r="A277" s="436"/>
      <c r="B277" s="436"/>
      <c r="C277" s="442"/>
      <c r="D277" s="436"/>
      <c r="E277" s="438"/>
      <c r="F277" s="438"/>
      <c r="G277" s="438"/>
      <c r="H277" s="438"/>
      <c r="I277" s="438"/>
      <c r="J277" s="438"/>
      <c r="K277" s="438"/>
      <c r="L277" s="438"/>
      <c r="M277" s="441"/>
    </row>
    <row r="278" spans="1:13" s="397" customFormat="1">
      <c r="A278" s="436"/>
      <c r="B278" s="436"/>
      <c r="C278" s="442"/>
      <c r="D278" s="436"/>
      <c r="E278" s="438"/>
      <c r="F278" s="438"/>
      <c r="G278" s="438"/>
      <c r="H278" s="438"/>
      <c r="I278" s="438"/>
      <c r="J278" s="438"/>
      <c r="K278" s="438"/>
      <c r="L278" s="438"/>
      <c r="M278" s="441"/>
    </row>
    <row r="279" spans="1:13" s="397" customFormat="1">
      <c r="A279" s="436"/>
      <c r="B279" s="436"/>
      <c r="C279" s="442"/>
      <c r="D279" s="436"/>
      <c r="E279" s="438"/>
      <c r="F279" s="438"/>
      <c r="G279" s="438"/>
      <c r="H279" s="438"/>
      <c r="I279" s="438"/>
      <c r="J279" s="438"/>
      <c r="K279" s="438"/>
      <c r="L279" s="438"/>
      <c r="M279" s="441"/>
    </row>
    <row r="280" spans="1:13" s="397" customFormat="1">
      <c r="A280" s="436"/>
      <c r="B280" s="436"/>
      <c r="C280" s="442"/>
      <c r="D280" s="436"/>
      <c r="E280" s="438"/>
      <c r="F280" s="438"/>
      <c r="G280" s="438"/>
      <c r="H280" s="438"/>
      <c r="I280" s="438"/>
      <c r="J280" s="438"/>
      <c r="K280" s="438"/>
      <c r="L280" s="438"/>
      <c r="M280" s="441"/>
    </row>
    <row r="281" spans="1:13" s="397" customFormat="1">
      <c r="A281" s="436"/>
      <c r="B281" s="436"/>
      <c r="C281" s="442"/>
      <c r="D281" s="436"/>
      <c r="E281" s="438"/>
      <c r="F281" s="438"/>
      <c r="G281" s="438"/>
      <c r="H281" s="438"/>
      <c r="I281" s="438"/>
      <c r="J281" s="438"/>
      <c r="K281" s="438"/>
      <c r="L281" s="438"/>
      <c r="M281" s="441"/>
    </row>
    <row r="282" spans="1:13" s="397" customFormat="1">
      <c r="A282" s="436"/>
      <c r="B282" s="436"/>
      <c r="C282" s="442"/>
      <c r="D282" s="436"/>
      <c r="E282" s="438"/>
      <c r="F282" s="438"/>
      <c r="G282" s="438"/>
      <c r="H282" s="438"/>
      <c r="I282" s="438"/>
      <c r="J282" s="438"/>
      <c r="K282" s="438"/>
      <c r="L282" s="438"/>
      <c r="M282" s="441"/>
    </row>
    <row r="283" spans="1:13" s="397" customFormat="1">
      <c r="A283" s="436"/>
      <c r="B283" s="436"/>
      <c r="C283" s="442"/>
      <c r="D283" s="436"/>
      <c r="E283" s="438"/>
      <c r="F283" s="438"/>
      <c r="G283" s="438"/>
      <c r="H283" s="438"/>
      <c r="I283" s="438"/>
      <c r="J283" s="438"/>
      <c r="K283" s="438"/>
      <c r="L283" s="438"/>
      <c r="M283" s="441"/>
    </row>
    <row r="284" spans="1:13" s="397" customFormat="1">
      <c r="A284" s="436"/>
      <c r="B284" s="436"/>
      <c r="C284" s="442"/>
      <c r="D284" s="436"/>
      <c r="E284" s="438"/>
      <c r="F284" s="438"/>
      <c r="G284" s="438"/>
      <c r="H284" s="438"/>
      <c r="I284" s="438"/>
      <c r="J284" s="438"/>
      <c r="K284" s="438"/>
      <c r="L284" s="438"/>
      <c r="M284" s="441"/>
    </row>
    <row r="285" spans="1:13" s="397" customFormat="1">
      <c r="A285" s="436"/>
      <c r="B285" s="436"/>
      <c r="C285" s="442"/>
      <c r="D285" s="436"/>
      <c r="E285" s="438"/>
      <c r="F285" s="438"/>
      <c r="G285" s="438"/>
      <c r="H285" s="438"/>
      <c r="I285" s="438"/>
      <c r="J285" s="438"/>
      <c r="K285" s="438"/>
      <c r="L285" s="438"/>
      <c r="M285" s="441"/>
    </row>
    <row r="286" spans="1:13" s="397" customFormat="1">
      <c r="A286" s="436"/>
      <c r="B286" s="436"/>
      <c r="C286" s="442"/>
      <c r="D286" s="436"/>
      <c r="E286" s="438"/>
      <c r="F286" s="438"/>
      <c r="G286" s="438"/>
      <c r="H286" s="438"/>
      <c r="I286" s="438"/>
      <c r="J286" s="438"/>
      <c r="K286" s="438"/>
      <c r="L286" s="438"/>
      <c r="M286" s="441"/>
    </row>
    <row r="287" spans="1:13" s="397" customFormat="1">
      <c r="A287" s="436"/>
      <c r="B287" s="436"/>
      <c r="C287" s="442"/>
      <c r="D287" s="436"/>
      <c r="E287" s="438"/>
      <c r="F287" s="438"/>
      <c r="G287" s="438"/>
      <c r="H287" s="438"/>
      <c r="I287" s="438"/>
      <c r="J287" s="438"/>
      <c r="K287" s="438"/>
      <c r="L287" s="438"/>
      <c r="M287" s="441"/>
    </row>
    <row r="288" spans="1:13" s="397" customFormat="1">
      <c r="A288" s="436"/>
      <c r="B288" s="436"/>
      <c r="C288" s="442"/>
      <c r="D288" s="436"/>
      <c r="E288" s="438"/>
      <c r="F288" s="438"/>
      <c r="G288" s="438"/>
      <c r="H288" s="438"/>
      <c r="I288" s="438"/>
      <c r="J288" s="438"/>
      <c r="K288" s="438"/>
      <c r="L288" s="438"/>
      <c r="M288" s="441"/>
    </row>
    <row r="289" spans="1:13" s="397" customFormat="1">
      <c r="A289" s="436"/>
      <c r="B289" s="436"/>
      <c r="C289" s="442"/>
      <c r="D289" s="436"/>
      <c r="E289" s="438"/>
      <c r="F289" s="438"/>
      <c r="G289" s="438"/>
      <c r="H289" s="438"/>
      <c r="I289" s="438"/>
      <c r="J289" s="438"/>
      <c r="K289" s="438"/>
      <c r="L289" s="438"/>
      <c r="M289" s="441"/>
    </row>
    <row r="290" spans="1:13" s="397" customFormat="1">
      <c r="A290" s="436"/>
      <c r="B290" s="436"/>
      <c r="C290" s="442"/>
      <c r="D290" s="436"/>
      <c r="E290" s="438"/>
      <c r="F290" s="438"/>
      <c r="G290" s="438"/>
      <c r="H290" s="438"/>
      <c r="I290" s="438"/>
      <c r="J290" s="438"/>
      <c r="K290" s="438"/>
      <c r="L290" s="438"/>
      <c r="M290" s="441"/>
    </row>
    <row r="291" spans="1:13" s="397" customFormat="1">
      <c r="A291" s="436"/>
      <c r="B291" s="436"/>
      <c r="C291" s="442"/>
      <c r="D291" s="436"/>
      <c r="E291" s="438"/>
      <c r="F291" s="438"/>
      <c r="G291" s="438"/>
      <c r="H291" s="438"/>
      <c r="I291" s="438"/>
      <c r="J291" s="438"/>
      <c r="K291" s="438"/>
      <c r="L291" s="438"/>
      <c r="M291" s="441"/>
    </row>
    <row r="292" spans="1:13" s="397" customFormat="1">
      <c r="A292" s="436"/>
      <c r="B292" s="436"/>
      <c r="C292" s="442"/>
      <c r="D292" s="436"/>
      <c r="E292" s="438"/>
      <c r="F292" s="438"/>
      <c r="G292" s="438"/>
      <c r="H292" s="438"/>
      <c r="I292" s="438"/>
      <c r="J292" s="438"/>
      <c r="K292" s="438"/>
      <c r="L292" s="438"/>
      <c r="M292" s="441"/>
    </row>
    <row r="293" spans="1:13" s="397" customFormat="1">
      <c r="A293" s="436"/>
      <c r="B293" s="436"/>
      <c r="C293" s="442"/>
      <c r="D293" s="436"/>
      <c r="E293" s="438"/>
      <c r="F293" s="438"/>
      <c r="G293" s="438"/>
      <c r="H293" s="438"/>
      <c r="I293" s="438"/>
      <c r="J293" s="438"/>
      <c r="K293" s="438"/>
      <c r="L293" s="438"/>
      <c r="M293" s="441"/>
    </row>
    <row r="294" spans="1:13" s="397" customFormat="1">
      <c r="A294" s="436"/>
      <c r="B294" s="436"/>
      <c r="C294" s="442"/>
      <c r="D294" s="436"/>
      <c r="E294" s="438"/>
      <c r="F294" s="438"/>
      <c r="G294" s="438"/>
      <c r="H294" s="438"/>
      <c r="I294" s="438"/>
      <c r="J294" s="438"/>
      <c r="K294" s="438"/>
      <c r="L294" s="438"/>
      <c r="M294" s="441"/>
    </row>
    <row r="295" spans="1:13" s="397" customFormat="1">
      <c r="A295" s="436"/>
      <c r="B295" s="436"/>
      <c r="C295" s="442"/>
      <c r="D295" s="436"/>
      <c r="E295" s="438"/>
      <c r="F295" s="438"/>
      <c r="G295" s="438"/>
      <c r="H295" s="438"/>
      <c r="I295" s="438"/>
      <c r="J295" s="438"/>
      <c r="K295" s="438"/>
      <c r="L295" s="438"/>
      <c r="M295" s="441"/>
    </row>
    <row r="296" spans="1:13" s="397" customFormat="1">
      <c r="A296" s="436"/>
      <c r="B296" s="436"/>
      <c r="C296" s="442"/>
      <c r="D296" s="436"/>
      <c r="E296" s="438"/>
      <c r="F296" s="438"/>
      <c r="G296" s="438"/>
      <c r="H296" s="438"/>
      <c r="I296" s="438"/>
      <c r="J296" s="438"/>
      <c r="K296" s="438"/>
      <c r="L296" s="438"/>
      <c r="M296" s="441"/>
    </row>
    <row r="297" spans="1:13" s="397" customFormat="1">
      <c r="A297" s="436"/>
      <c r="B297" s="436"/>
      <c r="C297" s="442"/>
      <c r="D297" s="436"/>
      <c r="E297" s="438"/>
      <c r="F297" s="438"/>
      <c r="G297" s="438"/>
      <c r="H297" s="438"/>
      <c r="I297" s="438"/>
      <c r="J297" s="438"/>
      <c r="K297" s="438"/>
      <c r="L297" s="438"/>
      <c r="M297" s="441"/>
    </row>
    <row r="298" spans="1:13" s="397" customFormat="1">
      <c r="A298" s="436"/>
      <c r="B298" s="436"/>
      <c r="C298" s="442"/>
      <c r="D298" s="436"/>
      <c r="E298" s="438"/>
      <c r="F298" s="438"/>
      <c r="G298" s="438"/>
      <c r="H298" s="438"/>
      <c r="I298" s="438"/>
      <c r="J298" s="438"/>
      <c r="K298" s="438"/>
      <c r="L298" s="438"/>
      <c r="M298" s="441"/>
    </row>
    <row r="299" spans="1:13" s="397" customFormat="1">
      <c r="A299" s="436"/>
      <c r="B299" s="436"/>
      <c r="C299" s="442"/>
      <c r="D299" s="436"/>
      <c r="E299" s="438"/>
      <c r="F299" s="438"/>
      <c r="G299" s="438"/>
      <c r="H299" s="438"/>
      <c r="I299" s="438"/>
      <c r="J299" s="438"/>
      <c r="K299" s="438"/>
      <c r="L299" s="438"/>
      <c r="M299" s="441"/>
    </row>
    <row r="300" spans="1:13" s="397" customFormat="1">
      <c r="A300" s="436"/>
      <c r="B300" s="436"/>
      <c r="C300" s="442"/>
      <c r="D300" s="436"/>
      <c r="E300" s="438"/>
      <c r="F300" s="438"/>
      <c r="G300" s="438"/>
      <c r="H300" s="438"/>
      <c r="I300" s="438"/>
      <c r="J300" s="438"/>
      <c r="K300" s="438"/>
      <c r="L300" s="438"/>
      <c r="M300" s="441"/>
    </row>
    <row r="301" spans="1:13" s="397" customFormat="1">
      <c r="A301" s="436"/>
      <c r="B301" s="436"/>
      <c r="C301" s="442"/>
      <c r="D301" s="436"/>
      <c r="E301" s="438"/>
      <c r="F301" s="438"/>
      <c r="G301" s="438"/>
      <c r="H301" s="438"/>
      <c r="I301" s="438"/>
      <c r="J301" s="438"/>
      <c r="K301" s="438"/>
      <c r="L301" s="438"/>
      <c r="M301" s="441"/>
    </row>
    <row r="302" spans="1:13" s="397" customFormat="1">
      <c r="A302" s="436"/>
      <c r="B302" s="436"/>
      <c r="C302" s="442"/>
      <c r="D302" s="436"/>
      <c r="E302" s="438"/>
      <c r="F302" s="438"/>
      <c r="G302" s="438"/>
      <c r="H302" s="438"/>
      <c r="I302" s="438"/>
      <c r="J302" s="438"/>
      <c r="K302" s="438"/>
      <c r="L302" s="438"/>
      <c r="M302" s="441"/>
    </row>
    <row r="303" spans="1:13" s="397" customFormat="1">
      <c r="A303" s="436"/>
      <c r="B303" s="436"/>
      <c r="C303" s="442"/>
      <c r="D303" s="436"/>
      <c r="E303" s="438"/>
      <c r="F303" s="438"/>
      <c r="G303" s="438"/>
      <c r="H303" s="438"/>
      <c r="I303" s="438"/>
      <c r="J303" s="438"/>
      <c r="K303" s="438"/>
      <c r="L303" s="438"/>
      <c r="M303" s="441"/>
    </row>
    <row r="304" spans="1:13" s="397" customFormat="1">
      <c r="A304" s="436"/>
      <c r="B304" s="436"/>
      <c r="C304" s="442"/>
      <c r="D304" s="436"/>
      <c r="E304" s="438"/>
      <c r="F304" s="438"/>
      <c r="G304" s="438"/>
      <c r="H304" s="438"/>
      <c r="I304" s="438"/>
      <c r="J304" s="438"/>
      <c r="K304" s="438"/>
      <c r="L304" s="438"/>
      <c r="M304" s="441"/>
    </row>
    <row r="305" spans="1:13" s="397" customFormat="1">
      <c r="A305" s="436"/>
      <c r="B305" s="436"/>
      <c r="C305" s="442"/>
      <c r="D305" s="436"/>
      <c r="E305" s="438"/>
      <c r="F305" s="438"/>
      <c r="G305" s="438"/>
      <c r="H305" s="438"/>
      <c r="I305" s="438"/>
      <c r="J305" s="438"/>
      <c r="K305" s="438"/>
      <c r="L305" s="438"/>
      <c r="M305" s="441"/>
    </row>
    <row r="306" spans="1:13" s="397" customFormat="1">
      <c r="A306" s="436"/>
      <c r="B306" s="436"/>
      <c r="C306" s="442"/>
      <c r="D306" s="436"/>
      <c r="E306" s="438"/>
      <c r="F306" s="438"/>
      <c r="G306" s="438"/>
      <c r="H306" s="438"/>
      <c r="I306" s="438"/>
      <c r="J306" s="438"/>
      <c r="K306" s="438"/>
      <c r="L306" s="438"/>
      <c r="M306" s="441"/>
    </row>
    <row r="307" spans="1:13" s="397" customFormat="1">
      <c r="A307" s="436"/>
      <c r="B307" s="436"/>
      <c r="C307" s="442"/>
      <c r="D307" s="436"/>
      <c r="E307" s="438"/>
      <c r="F307" s="438"/>
      <c r="G307" s="438"/>
      <c r="H307" s="438"/>
      <c r="I307" s="438"/>
      <c r="J307" s="438"/>
      <c r="K307" s="438"/>
      <c r="L307" s="438"/>
      <c r="M307" s="441"/>
    </row>
    <row r="308" spans="1:13" s="397" customFormat="1">
      <c r="A308" s="436"/>
      <c r="B308" s="436"/>
      <c r="C308" s="442"/>
      <c r="D308" s="436"/>
      <c r="E308" s="438"/>
      <c r="F308" s="438"/>
      <c r="G308" s="438"/>
      <c r="H308" s="438"/>
      <c r="I308" s="438"/>
      <c r="J308" s="438"/>
      <c r="K308" s="438"/>
      <c r="L308" s="438"/>
      <c r="M308" s="441"/>
    </row>
    <row r="309" spans="1:13" s="397" customFormat="1">
      <c r="A309" s="436"/>
      <c r="B309" s="436"/>
      <c r="C309" s="442"/>
      <c r="D309" s="436"/>
      <c r="E309" s="438"/>
      <c r="F309" s="438"/>
      <c r="G309" s="438"/>
      <c r="H309" s="438"/>
      <c r="I309" s="438"/>
      <c r="J309" s="438"/>
      <c r="K309" s="438"/>
      <c r="L309" s="438"/>
      <c r="M309" s="441"/>
    </row>
    <row r="310" spans="1:13" s="397" customFormat="1">
      <c r="A310" s="436"/>
      <c r="B310" s="436"/>
      <c r="C310" s="442"/>
      <c r="D310" s="436"/>
      <c r="E310" s="438"/>
      <c r="F310" s="438"/>
      <c r="G310" s="438"/>
      <c r="H310" s="438"/>
      <c r="I310" s="438"/>
      <c r="J310" s="438"/>
      <c r="K310" s="438"/>
      <c r="L310" s="438"/>
      <c r="M310" s="441"/>
    </row>
    <row r="311" spans="1:13" s="397" customFormat="1">
      <c r="A311" s="436"/>
      <c r="B311" s="436"/>
      <c r="C311" s="442"/>
      <c r="D311" s="436"/>
      <c r="E311" s="438"/>
      <c r="F311" s="438"/>
      <c r="G311" s="438"/>
      <c r="H311" s="438"/>
      <c r="I311" s="438"/>
      <c r="J311" s="438"/>
      <c r="K311" s="438"/>
      <c r="L311" s="438"/>
      <c r="M311" s="441"/>
    </row>
    <row r="312" spans="1:13" s="397" customFormat="1">
      <c r="A312" s="436"/>
      <c r="B312" s="436"/>
      <c r="C312" s="442"/>
      <c r="D312" s="436"/>
      <c r="E312" s="438"/>
      <c r="F312" s="438"/>
      <c r="G312" s="438"/>
      <c r="H312" s="438"/>
      <c r="I312" s="438"/>
      <c r="J312" s="438"/>
      <c r="K312" s="438"/>
      <c r="L312" s="438"/>
      <c r="M312" s="441"/>
    </row>
    <row r="313" spans="1:13" s="397" customFormat="1">
      <c r="A313" s="436"/>
      <c r="B313" s="436"/>
      <c r="C313" s="442"/>
      <c r="D313" s="436"/>
      <c r="E313" s="438"/>
      <c r="F313" s="438"/>
      <c r="G313" s="438"/>
      <c r="H313" s="438"/>
      <c r="I313" s="438"/>
      <c r="J313" s="438"/>
      <c r="K313" s="438"/>
      <c r="L313" s="438"/>
      <c r="M313" s="441"/>
    </row>
    <row r="314" spans="1:13" s="397" customFormat="1">
      <c r="A314" s="436"/>
      <c r="B314" s="436"/>
      <c r="C314" s="442"/>
      <c r="D314" s="436"/>
      <c r="E314" s="438"/>
      <c r="F314" s="438"/>
      <c r="G314" s="438"/>
      <c r="H314" s="438"/>
      <c r="I314" s="438"/>
      <c r="J314" s="438"/>
      <c r="K314" s="438"/>
      <c r="L314" s="438"/>
      <c r="M314" s="441"/>
    </row>
    <row r="315" spans="1:13" s="397" customFormat="1">
      <c r="A315" s="436"/>
      <c r="B315" s="436"/>
      <c r="C315" s="442"/>
      <c r="D315" s="436"/>
      <c r="E315" s="438"/>
      <c r="F315" s="438"/>
      <c r="G315" s="438"/>
      <c r="H315" s="438"/>
      <c r="I315" s="438"/>
      <c r="J315" s="438"/>
      <c r="K315" s="438"/>
      <c r="L315" s="438"/>
      <c r="M315" s="441"/>
    </row>
    <row r="316" spans="1:13" s="397" customFormat="1">
      <c r="A316" s="436"/>
      <c r="B316" s="436"/>
      <c r="C316" s="442"/>
      <c r="D316" s="436"/>
      <c r="E316" s="438"/>
      <c r="F316" s="438"/>
      <c r="G316" s="438"/>
      <c r="H316" s="438"/>
      <c r="I316" s="438"/>
      <c r="J316" s="438"/>
      <c r="K316" s="438"/>
      <c r="L316" s="438"/>
      <c r="M316" s="441"/>
    </row>
    <row r="317" spans="1:13" s="397" customFormat="1">
      <c r="A317" s="436"/>
      <c r="B317" s="436"/>
      <c r="C317" s="442"/>
      <c r="D317" s="436"/>
      <c r="E317" s="438"/>
      <c r="F317" s="438"/>
      <c r="G317" s="438"/>
      <c r="H317" s="438"/>
      <c r="I317" s="438"/>
      <c r="J317" s="438"/>
      <c r="K317" s="438"/>
      <c r="L317" s="438"/>
      <c r="M317" s="441"/>
    </row>
    <row r="318" spans="1:13" s="397" customFormat="1">
      <c r="A318" s="436"/>
      <c r="B318" s="436"/>
      <c r="C318" s="442"/>
      <c r="D318" s="436"/>
      <c r="E318" s="438"/>
      <c r="F318" s="438"/>
      <c r="G318" s="438"/>
      <c r="H318" s="438"/>
      <c r="I318" s="438"/>
      <c r="J318" s="438"/>
      <c r="K318" s="438"/>
      <c r="L318" s="438"/>
      <c r="M318" s="441"/>
    </row>
    <row r="319" spans="1:13" s="397" customFormat="1">
      <c r="A319" s="436"/>
      <c r="B319" s="436"/>
      <c r="C319" s="442"/>
      <c r="D319" s="436"/>
      <c r="E319" s="438"/>
      <c r="F319" s="438"/>
      <c r="G319" s="438"/>
      <c r="H319" s="438"/>
      <c r="I319" s="438"/>
      <c r="J319" s="438"/>
      <c r="K319" s="438"/>
      <c r="L319" s="438"/>
      <c r="M319" s="441"/>
    </row>
    <row r="320" spans="1:13" s="397" customFormat="1">
      <c r="A320" s="436"/>
      <c r="B320" s="436"/>
      <c r="C320" s="442"/>
      <c r="D320" s="436"/>
      <c r="E320" s="438"/>
      <c r="F320" s="438"/>
      <c r="G320" s="438"/>
      <c r="H320" s="438"/>
      <c r="I320" s="438"/>
      <c r="J320" s="438"/>
      <c r="K320" s="438"/>
      <c r="L320" s="438"/>
      <c r="M320" s="441"/>
    </row>
    <row r="321" spans="1:13" s="397" customFormat="1">
      <c r="A321" s="436"/>
      <c r="B321" s="436"/>
      <c r="C321" s="442"/>
      <c r="D321" s="436"/>
      <c r="E321" s="438"/>
      <c r="F321" s="438"/>
      <c r="G321" s="438"/>
      <c r="H321" s="438"/>
      <c r="I321" s="438"/>
      <c r="J321" s="438"/>
      <c r="K321" s="438"/>
      <c r="L321" s="438"/>
      <c r="M321" s="441"/>
    </row>
    <row r="322" spans="1:13" s="397" customFormat="1">
      <c r="A322" s="436"/>
      <c r="B322" s="436"/>
      <c r="C322" s="442"/>
      <c r="D322" s="436"/>
      <c r="E322" s="438"/>
      <c r="F322" s="438"/>
      <c r="G322" s="438"/>
      <c r="H322" s="438"/>
      <c r="I322" s="438"/>
      <c r="J322" s="438"/>
      <c r="K322" s="438"/>
      <c r="L322" s="438"/>
      <c r="M322" s="441"/>
    </row>
    <row r="323" spans="1:13" s="397" customFormat="1">
      <c r="A323" s="436"/>
      <c r="B323" s="436"/>
      <c r="C323" s="442"/>
      <c r="D323" s="436"/>
      <c r="E323" s="438"/>
      <c r="F323" s="438"/>
      <c r="G323" s="438"/>
      <c r="H323" s="438"/>
      <c r="I323" s="438"/>
      <c r="J323" s="438"/>
      <c r="K323" s="438"/>
      <c r="L323" s="438"/>
      <c r="M323" s="441"/>
    </row>
    <row r="324" spans="1:13" s="397" customFormat="1">
      <c r="A324" s="436"/>
      <c r="B324" s="436"/>
      <c r="C324" s="442"/>
      <c r="D324" s="436"/>
      <c r="E324" s="438"/>
      <c r="F324" s="438"/>
      <c r="G324" s="438"/>
      <c r="H324" s="438"/>
      <c r="I324" s="438"/>
      <c r="J324" s="438"/>
      <c r="K324" s="438"/>
      <c r="L324" s="438"/>
      <c r="M324" s="441"/>
    </row>
    <row r="325" spans="1:13" s="397" customFormat="1">
      <c r="A325" s="436"/>
      <c r="B325" s="436"/>
      <c r="C325" s="442"/>
      <c r="D325" s="436"/>
      <c r="E325" s="438"/>
      <c r="F325" s="438"/>
      <c r="G325" s="438"/>
      <c r="H325" s="438"/>
      <c r="I325" s="438"/>
      <c r="J325" s="438"/>
      <c r="K325" s="438"/>
      <c r="L325" s="438"/>
      <c r="M325" s="441"/>
    </row>
    <row r="326" spans="1:13" s="397" customFormat="1">
      <c r="A326" s="436"/>
      <c r="B326" s="436"/>
      <c r="C326" s="442"/>
      <c r="D326" s="436"/>
      <c r="E326" s="438"/>
      <c r="F326" s="438"/>
      <c r="G326" s="438"/>
      <c r="H326" s="438"/>
      <c r="I326" s="438"/>
      <c r="J326" s="438"/>
      <c r="K326" s="438"/>
      <c r="L326" s="438"/>
      <c r="M326" s="441"/>
    </row>
    <row r="327" spans="1:13" s="397" customFormat="1">
      <c r="A327" s="436"/>
      <c r="B327" s="436"/>
      <c r="C327" s="442"/>
      <c r="D327" s="436"/>
      <c r="E327" s="438"/>
      <c r="F327" s="438"/>
      <c r="G327" s="438"/>
      <c r="H327" s="438"/>
      <c r="I327" s="438"/>
      <c r="J327" s="438"/>
      <c r="K327" s="438"/>
      <c r="L327" s="438"/>
      <c r="M327" s="441"/>
    </row>
    <row r="328" spans="1:13" s="397" customFormat="1">
      <c r="A328" s="436"/>
      <c r="B328" s="436"/>
      <c r="C328" s="442"/>
      <c r="D328" s="436"/>
      <c r="E328" s="438"/>
      <c r="F328" s="438"/>
      <c r="G328" s="438"/>
      <c r="H328" s="438"/>
      <c r="I328" s="438"/>
      <c r="J328" s="438"/>
      <c r="K328" s="438"/>
      <c r="L328" s="438"/>
      <c r="M328" s="441"/>
    </row>
    <row r="329" spans="1:13" s="397" customFormat="1">
      <c r="A329" s="436"/>
      <c r="B329" s="436"/>
      <c r="C329" s="442"/>
      <c r="D329" s="436"/>
      <c r="E329" s="438"/>
      <c r="F329" s="438"/>
      <c r="G329" s="438"/>
      <c r="H329" s="438"/>
      <c r="I329" s="438"/>
      <c r="J329" s="438"/>
      <c r="K329" s="438"/>
      <c r="L329" s="438"/>
      <c r="M329" s="441"/>
    </row>
    <row r="330" spans="1:13" s="397" customFormat="1">
      <c r="A330" s="436"/>
      <c r="B330" s="436"/>
      <c r="C330" s="442"/>
      <c r="D330" s="436"/>
      <c r="E330" s="438"/>
      <c r="F330" s="438"/>
      <c r="G330" s="438"/>
      <c r="H330" s="438"/>
      <c r="I330" s="438"/>
      <c r="J330" s="438"/>
      <c r="K330" s="438"/>
      <c r="L330" s="438"/>
      <c r="M330" s="441"/>
    </row>
    <row r="331" spans="1:13" s="397" customFormat="1">
      <c r="A331" s="436"/>
      <c r="B331" s="436"/>
      <c r="C331" s="442"/>
      <c r="D331" s="436"/>
      <c r="E331" s="438"/>
      <c r="F331" s="438"/>
      <c r="G331" s="438"/>
      <c r="H331" s="438"/>
      <c r="I331" s="438"/>
      <c r="J331" s="438"/>
      <c r="K331" s="438"/>
      <c r="L331" s="438"/>
      <c r="M331" s="441"/>
    </row>
    <row r="332" spans="1:13" s="397" customFormat="1">
      <c r="A332" s="436"/>
      <c r="B332" s="436"/>
      <c r="C332" s="442"/>
      <c r="D332" s="436"/>
      <c r="E332" s="438"/>
      <c r="F332" s="438"/>
      <c r="G332" s="438"/>
      <c r="H332" s="438"/>
      <c r="I332" s="438"/>
      <c r="J332" s="438"/>
      <c r="K332" s="438"/>
      <c r="L332" s="438"/>
      <c r="M332" s="441"/>
    </row>
    <row r="333" spans="1:13" s="397" customFormat="1">
      <c r="A333" s="436"/>
      <c r="B333" s="436"/>
      <c r="C333" s="442"/>
      <c r="D333" s="436"/>
      <c r="E333" s="438"/>
      <c r="F333" s="438"/>
      <c r="G333" s="438"/>
      <c r="H333" s="438"/>
      <c r="I333" s="438"/>
      <c r="J333" s="438"/>
      <c r="K333" s="438"/>
      <c r="L333" s="438"/>
      <c r="M333" s="441"/>
    </row>
    <row r="334" spans="1:13" s="397" customFormat="1">
      <c r="A334" s="436"/>
      <c r="B334" s="436"/>
      <c r="C334" s="442"/>
      <c r="D334" s="436"/>
      <c r="E334" s="438"/>
      <c r="F334" s="438"/>
      <c r="G334" s="438"/>
      <c r="H334" s="438"/>
      <c r="I334" s="438"/>
      <c r="J334" s="438"/>
      <c r="K334" s="438"/>
      <c r="L334" s="438"/>
      <c r="M334" s="441"/>
    </row>
    <row r="335" spans="1:13" s="397" customFormat="1">
      <c r="A335" s="436"/>
      <c r="B335" s="436"/>
      <c r="C335" s="442"/>
      <c r="D335" s="436"/>
      <c r="E335" s="438"/>
      <c r="F335" s="438"/>
      <c r="G335" s="438"/>
      <c r="H335" s="438"/>
      <c r="I335" s="438"/>
      <c r="J335" s="438"/>
      <c r="K335" s="438"/>
      <c r="L335" s="438"/>
      <c r="M335" s="441"/>
    </row>
    <row r="336" spans="1:13" s="397" customFormat="1">
      <c r="A336" s="436"/>
      <c r="B336" s="436"/>
      <c r="C336" s="442"/>
      <c r="D336" s="436"/>
      <c r="E336" s="438"/>
      <c r="F336" s="438"/>
      <c r="G336" s="438"/>
      <c r="H336" s="438"/>
      <c r="I336" s="438"/>
      <c r="J336" s="438"/>
      <c r="K336" s="438"/>
      <c r="L336" s="438"/>
      <c r="M336" s="441"/>
    </row>
    <row r="337" spans="1:13" s="397" customFormat="1">
      <c r="A337" s="436"/>
      <c r="B337" s="436"/>
      <c r="C337" s="442"/>
      <c r="D337" s="436"/>
      <c r="E337" s="438"/>
      <c r="F337" s="438"/>
      <c r="G337" s="438"/>
      <c r="H337" s="438"/>
      <c r="I337" s="438"/>
      <c r="J337" s="438"/>
      <c r="K337" s="438"/>
      <c r="L337" s="438"/>
      <c r="M337" s="441"/>
    </row>
  </sheetData>
  <autoFilter ref="A1:N156" xr:uid="{00000000-0009-0000-0000-00000B000000}"/>
  <mergeCells count="3">
    <mergeCell ref="N48:N156"/>
    <mergeCell ref="N15:N47"/>
    <mergeCell ref="N2:N14"/>
  </mergeCells>
  <pageMargins left="0.23622047244094491" right="0.23622047244094491" top="0.74803149606299213" bottom="0.74803149606299213" header="0.31496062992125984" footer="0.31496062992125984"/>
  <pageSetup paperSize="9" scale="35" fitToHeight="4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 filterMode="1">
    <tabColor theme="9" tint="-0.249977111117893"/>
  </sheetPr>
  <dimension ref="A1:G163"/>
  <sheetViews>
    <sheetView tabSelected="1" view="pageBreakPreview" zoomScale="80" zoomScaleSheetLayoutView="80" workbookViewId="0">
      <pane xSplit="3" ySplit="4" topLeftCell="D30" activePane="bottomRight" state="frozen"/>
      <selection activeCell="F10" sqref="F10"/>
      <selection pane="topRight" activeCell="F10" sqref="F10"/>
      <selection pane="bottomLeft" activeCell="F10" sqref="F10"/>
      <selection pane="bottomRight" activeCell="E161" sqref="E161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6" width="15.7109375" style="42" customWidth="1"/>
    <col min="7" max="7" width="15.5703125" style="42" customWidth="1"/>
    <col min="8" max="16384" width="11.42578125" style="42"/>
  </cols>
  <sheetData>
    <row r="1" spans="1:7" ht="26.25">
      <c r="A1" s="251" t="s">
        <v>305</v>
      </c>
    </row>
    <row r="2" spans="1:7" ht="19.5" customHeight="1">
      <c r="A2" s="41"/>
    </row>
    <row r="3" spans="1:7" ht="62.25" customHeight="1" thickBot="1">
      <c r="A3" s="361"/>
      <c r="B3" s="357">
        <v>1</v>
      </c>
      <c r="C3" s="361">
        <v>2</v>
      </c>
      <c r="D3" s="357">
        <v>3</v>
      </c>
      <c r="E3" s="357">
        <v>4</v>
      </c>
      <c r="F3" s="357">
        <v>5</v>
      </c>
      <c r="G3" s="561">
        <v>6</v>
      </c>
    </row>
    <row r="4" spans="1:7" ht="56.25" customHeight="1" thickBot="1">
      <c r="A4" s="253" t="s">
        <v>28</v>
      </c>
      <c r="B4" s="53" t="s">
        <v>29</v>
      </c>
      <c r="C4" s="53" t="s">
        <v>22</v>
      </c>
      <c r="D4" s="359" t="s">
        <v>306</v>
      </c>
      <c r="E4" s="360" t="s">
        <v>20</v>
      </c>
      <c r="F4" s="560" t="s">
        <v>21</v>
      </c>
      <c r="G4" s="562" t="s">
        <v>650</v>
      </c>
    </row>
    <row r="5" spans="1:7" ht="24.95" hidden="1" customHeight="1">
      <c r="A5" s="350" t="str">
        <f>+Pobl_adoptada!A5</f>
        <v>Almirante Brown</v>
      </c>
      <c r="B5" s="63">
        <f>+Pobl_adoptada!B5</f>
        <v>1</v>
      </c>
      <c r="C5" s="352" t="str">
        <f>+Pobl_adoptada!C5</f>
        <v>Almirante Brown</v>
      </c>
      <c r="D5" s="270">
        <f>AVERAGE('RELLENO SANITARIO'!G5:Z5)</f>
        <v>721.59615176400007</v>
      </c>
      <c r="E5" s="107">
        <f>ROUND(AVERAGE(Pobl_adoptada!H5:AA5),0)</f>
        <v>678750</v>
      </c>
      <c r="F5" s="563">
        <f>+'INGRESO A PS DE CA'!D5</f>
        <v>333.27091349999995</v>
      </c>
      <c r="G5" s="566">
        <f>+'SEP ORIGEN'!AA5</f>
        <v>294.30098029499999</v>
      </c>
    </row>
    <row r="6" spans="1:7" ht="24.95" hidden="1" customHeight="1">
      <c r="A6" s="351" t="str">
        <f>+Pobl_adoptada!A6</f>
        <v>Avellaneda</v>
      </c>
      <c r="B6" s="70">
        <f>+Pobl_adoptada!B6</f>
        <v>2</v>
      </c>
      <c r="C6" s="353" t="str">
        <f>+Pobl_adoptada!C6</f>
        <v>Avellaneda</v>
      </c>
      <c r="D6" s="270">
        <f>AVERAGE('RELLENO SANITARIO'!G6:Z6)</f>
        <v>442.624550328</v>
      </c>
      <c r="E6" s="107">
        <f>ROUND(AVERAGE(Pobl_adoptada!H6:AA6),0)</f>
        <v>416381</v>
      </c>
      <c r="F6" s="270">
        <f>+'INGRESO A PS DE CA'!D6</f>
        <v>204.16539149999997</v>
      </c>
      <c r="G6" s="567">
        <f>+'SEP ORIGEN'!AA6</f>
        <v>180.59126521499996</v>
      </c>
    </row>
    <row r="7" spans="1:7" ht="24.95" hidden="1" customHeight="1">
      <c r="A7" s="351" t="str">
        <f>+Pobl_adoptada!A7</f>
        <v>Berazategui</v>
      </c>
      <c r="B7" s="70">
        <f>+Pobl_adoptada!B7</f>
        <v>3</v>
      </c>
      <c r="C7" s="353" t="str">
        <f>+Pobl_adoptada!C7</f>
        <v>Berazategui</v>
      </c>
      <c r="D7" s="270">
        <f>AVERAGE('RELLENO SANITARIO'!G7:Z7)</f>
        <v>458.92472842799987</v>
      </c>
      <c r="E7" s="107">
        <f>ROUND(AVERAGE(Pobl_adoptada!H7:AA7),0)</f>
        <v>432012</v>
      </c>
      <c r="F7" s="270">
        <f>+'INGRESO A PS DE CA'!D7</f>
        <v>212.15663699999996</v>
      </c>
      <c r="G7" s="567">
        <f>+'SEP ORIGEN'!AA7</f>
        <v>187.76559196500003</v>
      </c>
    </row>
    <row r="8" spans="1:7" ht="24.95" hidden="1" customHeight="1">
      <c r="A8" s="351" t="str">
        <f>+Pobl_adoptada!A8</f>
        <v>Esteban Echeverría</v>
      </c>
      <c r="B8" s="70">
        <f>+Pobl_adoptada!B8</f>
        <v>4</v>
      </c>
      <c r="C8" s="353" t="str">
        <f>+Pobl_adoptada!C8</f>
        <v>Esteban Echeverría</v>
      </c>
      <c r="D8" s="270">
        <f>AVERAGE('RELLENO SANITARIO'!G8:Z8)</f>
        <v>463.52623409999995</v>
      </c>
      <c r="E8" s="107">
        <f>ROUND(AVERAGE(Pobl_adoptada!H8:AA8),0)</f>
        <v>436827</v>
      </c>
      <c r="F8" s="270">
        <f>+'INGRESO A PS DE CA'!D8</f>
        <v>214.22884349999995</v>
      </c>
      <c r="G8" s="567">
        <f>+'SEP ORIGEN'!AA8</f>
        <v>190.49900174999999</v>
      </c>
    </row>
    <row r="9" spans="1:7" ht="24.95" hidden="1" customHeight="1">
      <c r="A9" s="351" t="str">
        <f>+Pobl_adoptada!A9</f>
        <v>Ezeiza</v>
      </c>
      <c r="B9" s="70">
        <f>+Pobl_adoptada!B9</f>
        <v>5</v>
      </c>
      <c r="C9" s="353" t="str">
        <f>+Pobl_adoptada!C9</f>
        <v>Ezeiza</v>
      </c>
      <c r="D9" s="270">
        <f>AVERAGE('RELLENO SANITARIO'!G9:Z9)</f>
        <v>216.60987076800001</v>
      </c>
      <c r="E9" s="107">
        <f>ROUND(AVERAGE(Pobl_adoptada!H9:AA9),0)</f>
        <v>282666</v>
      </c>
      <c r="F9" s="270">
        <f>+'INGRESO A PS DE CA'!D9</f>
        <v>100.07102700000002</v>
      </c>
      <c r="G9" s="567">
        <f>+'SEP ORIGEN'!AA9</f>
        <v>89.636174040000014</v>
      </c>
    </row>
    <row r="10" spans="1:7" ht="24.95" hidden="1" customHeight="1">
      <c r="A10" s="351" t="str">
        <f>+Pobl_adoptada!A10</f>
        <v>Florencio Varela</v>
      </c>
      <c r="B10" s="70">
        <f>+Pobl_adoptada!B10</f>
        <v>6</v>
      </c>
      <c r="C10" s="353" t="str">
        <f>+Pobl_adoptada!C10</f>
        <v>Florencio Varela</v>
      </c>
      <c r="D10" s="270">
        <f>AVERAGE('RELLENO SANITARIO'!G10:Z10)</f>
        <v>702.3923471280001</v>
      </c>
      <c r="E10" s="107">
        <f>ROUND(AVERAGE(Pobl_adoptada!H10:AA10),0)</f>
        <v>662348</v>
      </c>
      <c r="F10" s="270">
        <f>+'INGRESO A PS DE CA'!D10</f>
        <v>324.57840449999998</v>
      </c>
      <c r="G10" s="567">
        <f>+'SEP ORIGEN'!AA10</f>
        <v>289.39782796499992</v>
      </c>
    </row>
    <row r="11" spans="1:7" ht="24.95" hidden="1" customHeight="1">
      <c r="A11" s="351" t="str">
        <f>+Pobl_adoptada!A11</f>
        <v>General San Martín</v>
      </c>
      <c r="B11" s="70">
        <f>+Pobl_adoptada!B11</f>
        <v>7</v>
      </c>
      <c r="C11" s="353" t="str">
        <f>+Pobl_adoptada!C11</f>
        <v>General San Martín</v>
      </c>
      <c r="D11" s="270">
        <f>AVERAGE('RELLENO SANITARIO'!G11:Z11)</f>
        <v>504.211300752</v>
      </c>
      <c r="E11" s="107">
        <f>ROUND(AVERAGE(Pobl_adoptada!H11:AA11),0)</f>
        <v>473867</v>
      </c>
      <c r="F11" s="270">
        <f>+'INGRESO A PS DE CA'!D11</f>
        <v>232.78543049999999</v>
      </c>
      <c r="G11" s="567">
        <f>+'SEP ORIGEN'!AA11</f>
        <v>204.92575656</v>
      </c>
    </row>
    <row r="12" spans="1:7" ht="24.95" hidden="1" customHeight="1">
      <c r="A12" s="351" t="str">
        <f>+Pobl_adoptada!A12</f>
        <v>Hurlingham</v>
      </c>
      <c r="B12" s="70">
        <f>+Pobl_adoptada!B12</f>
        <v>8</v>
      </c>
      <c r="C12" s="353" t="str">
        <f>+Pobl_adoptada!C12</f>
        <v>Hurlingham</v>
      </c>
      <c r="D12" s="270">
        <f>AVERAGE('RELLENO SANITARIO'!G12:Z12)</f>
        <v>153.73062640800001</v>
      </c>
      <c r="E12" s="107">
        <f>ROUND(AVERAGE(Pobl_adoptada!H12:AA12),0)</f>
        <v>199559</v>
      </c>
      <c r="F12" s="270">
        <f>+'INGRESO A PS DE CA'!D12</f>
        <v>71.108687999999987</v>
      </c>
      <c r="G12" s="567">
        <f>+'SEP ORIGEN'!AA12</f>
        <v>62.274059489999992</v>
      </c>
    </row>
    <row r="13" spans="1:7" ht="24.95" hidden="1" customHeight="1">
      <c r="A13" s="351" t="str">
        <f>+Pobl_adoptada!A13</f>
        <v>Ituzaingó</v>
      </c>
      <c r="B13" s="70">
        <f>+Pobl_adoptada!B13</f>
        <v>9</v>
      </c>
      <c r="C13" s="353" t="str">
        <f>+Pobl_adoptada!C13</f>
        <v>Ituzaingó</v>
      </c>
      <c r="D13" s="270">
        <f>AVERAGE('RELLENO SANITARIO'!G13:Z13)</f>
        <v>152.98707863999999</v>
      </c>
      <c r="E13" s="107">
        <f>ROUND(AVERAGE(Pobl_adoptada!H13:AA13),0)</f>
        <v>198817</v>
      </c>
      <c r="F13" s="270">
        <f>+'INGRESO A PS DE CA'!D13</f>
        <v>70.691711999999995</v>
      </c>
      <c r="G13" s="567">
        <f>+'SEP ORIGEN'!AA13</f>
        <v>62.257507950000004</v>
      </c>
    </row>
    <row r="14" spans="1:7" ht="24.95" hidden="1" customHeight="1">
      <c r="A14" s="351" t="str">
        <f>+Pobl_adoptada!A14</f>
        <v>José C. Paz</v>
      </c>
      <c r="B14" s="70">
        <f>+Pobl_adoptada!B14</f>
        <v>10</v>
      </c>
      <c r="C14" s="353" t="str">
        <f>+Pobl_adoptada!C14</f>
        <v>José C. Paz</v>
      </c>
      <c r="D14" s="270">
        <f>AVERAGE('RELLENO SANITARIO'!G14:Z14)</f>
        <v>426.27036697200003</v>
      </c>
      <c r="E14" s="107">
        <f>ROUND(AVERAGE(Pobl_adoptada!H14:AA14),0)</f>
        <v>402202</v>
      </c>
      <c r="F14" s="270">
        <f>+'INGRESO A PS DE CA'!D14</f>
        <v>196.05965399999999</v>
      </c>
      <c r="G14" s="567">
        <f>+'SEP ORIGEN'!AA14</f>
        <v>176.04333065999998</v>
      </c>
    </row>
    <row r="15" spans="1:7" ht="24.95" hidden="1" customHeight="1">
      <c r="A15" s="351" t="str">
        <f>+Pobl_adoptada!A15</f>
        <v>La Matanza</v>
      </c>
      <c r="B15" s="70">
        <f>+Pobl_adoptada!B15</f>
        <v>11</v>
      </c>
      <c r="C15" s="353" t="str">
        <f>+Pobl_adoptada!C15</f>
        <v>La Matanza</v>
      </c>
      <c r="D15" s="270">
        <f>AVERAGE('RELLENO SANITARIO'!G15:Z15)</f>
        <v>2728.184220096</v>
      </c>
      <c r="E15" s="107">
        <f>ROUND(AVERAGE(Pobl_adoptada!H15:AA15),0)</f>
        <v>2571864</v>
      </c>
      <c r="F15" s="270">
        <f>+'INGRESO A PS DE CA'!D15</f>
        <v>1260.7952805</v>
      </c>
      <c r="G15" s="567">
        <f>+'SEP ORIGEN'!AA15</f>
        <v>1122.6800248799998</v>
      </c>
    </row>
    <row r="16" spans="1:7" ht="24.95" hidden="1" customHeight="1">
      <c r="A16" s="351" t="str">
        <f>+Pobl_adoptada!A16</f>
        <v>Lanús</v>
      </c>
      <c r="B16" s="70">
        <f>+Pobl_adoptada!B16</f>
        <v>12</v>
      </c>
      <c r="C16" s="353" t="str">
        <f>+Pobl_adoptada!C16</f>
        <v>Lanús</v>
      </c>
      <c r="D16" s="270">
        <f>AVERAGE('RELLENO SANITARIO'!G16:Z16)</f>
        <v>478.59622555200002</v>
      </c>
      <c r="E16" s="107">
        <f>ROUND(AVERAGE(Pobl_adoptada!H16:AA16),0)</f>
        <v>448575</v>
      </c>
      <c r="F16" s="270">
        <f>+'INGRESO A PS DE CA'!D16</f>
        <v>221.47095599999997</v>
      </c>
      <c r="G16" s="567">
        <f>+'SEP ORIGEN'!AA16</f>
        <v>192.36886055999997</v>
      </c>
    </row>
    <row r="17" spans="1:7" ht="24.95" hidden="1" customHeight="1">
      <c r="A17" s="351" t="str">
        <f>+Pobl_adoptada!A17</f>
        <v>Lomas de Zamora</v>
      </c>
      <c r="B17" s="70">
        <f>+Pobl_adoptada!B17</f>
        <v>13</v>
      </c>
      <c r="C17" s="353" t="str">
        <f>+Pobl_adoptada!C17</f>
        <v>Lomas de Zamora</v>
      </c>
      <c r="D17" s="270">
        <f>AVERAGE('RELLENO SANITARIO'!G17:Z17)</f>
        <v>797.72263888799989</v>
      </c>
      <c r="E17" s="107">
        <f>ROUND(AVERAGE(Pobl_adoptada!H17:AA17),0)</f>
        <v>750450</v>
      </c>
      <c r="F17" s="270">
        <f>+'INGRESO A PS DE CA'!D17</f>
        <v>367.94619749999993</v>
      </c>
      <c r="G17" s="567">
        <f>+'SEP ORIGEN'!AA17</f>
        <v>325.51526701499995</v>
      </c>
    </row>
    <row r="18" spans="1:7" ht="24.95" hidden="1" customHeight="1">
      <c r="A18" s="351" t="str">
        <f>+Pobl_adoptada!A18</f>
        <v>Malvinas Argentinas</v>
      </c>
      <c r="B18" s="70">
        <f>+Pobl_adoptada!B18</f>
        <v>14</v>
      </c>
      <c r="C18" s="353" t="str">
        <f>+Pobl_adoptada!C18</f>
        <v>Malvinas Argentinas</v>
      </c>
      <c r="D18" s="270">
        <f>AVERAGE('RELLENO SANITARIO'!G18:Z18)</f>
        <v>459.8442712079999</v>
      </c>
      <c r="E18" s="107">
        <f>ROUND(AVERAGE(Pobl_adoptada!H18:AA18),0)</f>
        <v>433128</v>
      </c>
      <c r="F18" s="270">
        <f>+'INGRESO A PS DE CA'!D18</f>
        <v>212.05744349999995</v>
      </c>
      <c r="G18" s="567">
        <f>+'SEP ORIGEN'!AA18</f>
        <v>188.58232036499999</v>
      </c>
    </row>
    <row r="19" spans="1:7" ht="24.95" hidden="1" customHeight="1">
      <c r="A19" s="351" t="str">
        <f>+Pobl_adoptada!A19</f>
        <v>Merlo</v>
      </c>
      <c r="B19" s="70">
        <f>+Pobl_adoptada!B19</f>
        <v>15</v>
      </c>
      <c r="C19" s="353" t="str">
        <f>+Pobl_adoptada!C19</f>
        <v>Merlo</v>
      </c>
      <c r="D19" s="270">
        <f>AVERAGE('RELLENO SANITARIO'!G19:Z19)</f>
        <v>761.14471555199987</v>
      </c>
      <c r="E19" s="107">
        <f>ROUND(AVERAGE(Pobl_adoptada!H19:AA19),0)</f>
        <v>716631</v>
      </c>
      <c r="F19" s="270">
        <f>+'INGRESO A PS DE CA'!D19</f>
        <v>351.85661699999997</v>
      </c>
      <c r="G19" s="567">
        <f>+'SEP ORIGEN'!AA19</f>
        <v>311.630449935</v>
      </c>
    </row>
    <row r="20" spans="1:7" ht="24.95" hidden="1" customHeight="1">
      <c r="A20" s="351" t="str">
        <f>+Pobl_adoptada!A20</f>
        <v>Moreno</v>
      </c>
      <c r="B20" s="70">
        <f>+Pobl_adoptada!B20</f>
        <v>16</v>
      </c>
      <c r="C20" s="353" t="str">
        <f>+Pobl_adoptada!C20</f>
        <v>Moreno</v>
      </c>
      <c r="D20" s="270">
        <f>AVERAGE('RELLENO SANITARIO'!G20:Z20)</f>
        <v>794.70741536399998</v>
      </c>
      <c r="E20" s="107">
        <f>ROUND(AVERAGE(Pobl_adoptada!H20:AA20),0)</f>
        <v>750834</v>
      </c>
      <c r="F20" s="270">
        <f>+'INGRESO A PS DE CA'!D20</f>
        <v>364.58694299999996</v>
      </c>
      <c r="G20" s="567">
        <f>+'SEP ORIGEN'!AA20</f>
        <v>329.96083204500002</v>
      </c>
    </row>
    <row r="21" spans="1:7" ht="24.95" hidden="1" customHeight="1">
      <c r="A21" s="351" t="str">
        <f>+Pobl_adoptada!A21</f>
        <v>Morón</v>
      </c>
      <c r="B21" s="70">
        <f>+Pobl_adoptada!B21</f>
        <v>17</v>
      </c>
      <c r="C21" s="353" t="str">
        <f>+Pobl_adoptada!C21</f>
        <v>Morón</v>
      </c>
      <c r="D21" s="270">
        <f>AVERAGE('RELLENO SANITARIO'!G21:Z21)</f>
        <v>408.53665145999992</v>
      </c>
      <c r="E21" s="107">
        <f>ROUND(AVERAGE(Pobl_adoptada!H21:AA21),0)</f>
        <v>384223</v>
      </c>
      <c r="F21" s="270">
        <f>+'INGRESO A PS DE CA'!D21</f>
        <v>188.48492249999995</v>
      </c>
      <c r="G21" s="567">
        <f>+'SEP ORIGEN'!AA21</f>
        <v>166.522928175</v>
      </c>
    </row>
    <row r="22" spans="1:7" ht="24.95" hidden="1" customHeight="1">
      <c r="A22" s="351" t="str">
        <f>+Pobl_adoptada!A22</f>
        <v>Quilmes</v>
      </c>
      <c r="B22" s="70">
        <f>+Pobl_adoptada!B22</f>
        <v>18</v>
      </c>
      <c r="C22" s="353" t="str">
        <f>+Pobl_adoptada!C22</f>
        <v>Quilmes</v>
      </c>
      <c r="D22" s="270">
        <f>AVERAGE('RELLENO SANITARIO'!G22:Z22)</f>
        <v>746.03425653599993</v>
      </c>
      <c r="E22" s="107">
        <f>ROUND(AVERAGE(Pobl_adoptada!H22:AA22),0)</f>
        <v>701524</v>
      </c>
      <c r="F22" s="270">
        <f>+'INGRESO A PS DE CA'!D22</f>
        <v>344.65398449999998</v>
      </c>
      <c r="G22" s="567">
        <f>+'SEP ORIGEN'!AA22</f>
        <v>303.89278870499993</v>
      </c>
    </row>
    <row r="23" spans="1:7" ht="24.95" hidden="1" customHeight="1">
      <c r="A23" s="351" t="str">
        <f>+Pobl_adoptada!A23</f>
        <v>San Fernando</v>
      </c>
      <c r="B23" s="70">
        <f>+Pobl_adoptada!B23</f>
        <v>19</v>
      </c>
      <c r="C23" s="353" t="str">
        <f>+Pobl_adoptada!C23</f>
        <v>San Fernando</v>
      </c>
      <c r="D23" s="270">
        <f>AVERAGE('RELLENO SANITARIO'!G23:Z23)</f>
        <v>142.29576014400001</v>
      </c>
      <c r="E23" s="107">
        <f>ROUND(AVERAGE(Pobl_adoptada!H23:AA23),0)</f>
        <v>184842</v>
      </c>
      <c r="F23" s="270">
        <f>+'INGRESO A PS DE CA'!D23</f>
        <v>65.809022999999996</v>
      </c>
      <c r="G23" s="567">
        <f>+'SEP ORIGEN'!AA23</f>
        <v>57.803786070000001</v>
      </c>
    </row>
    <row r="24" spans="1:7" ht="24.95" hidden="1" customHeight="1">
      <c r="A24" s="351" t="str">
        <f>+Pobl_adoptada!A24</f>
        <v>San Isidro</v>
      </c>
      <c r="B24" s="70">
        <f>+Pobl_adoptada!B24</f>
        <v>20</v>
      </c>
      <c r="C24" s="353" t="str">
        <f>+Pobl_adoptada!C24</f>
        <v>San Isidro</v>
      </c>
      <c r="D24" s="270">
        <f>AVERAGE('RELLENO SANITARIO'!G24:Z24)</f>
        <v>231.55812009599995</v>
      </c>
      <c r="E24" s="107">
        <f>ROUND(AVERAGE(Pobl_adoptada!H24:AA24),0)</f>
        <v>300266</v>
      </c>
      <c r="F24" s="270">
        <f>+'INGRESO A PS DE CA'!D24</f>
        <v>107.09928600000001</v>
      </c>
      <c r="G24" s="567">
        <f>+'SEP ORIGEN'!AA24</f>
        <v>93.391627380000003</v>
      </c>
    </row>
    <row r="25" spans="1:7" ht="24.95" hidden="1" customHeight="1">
      <c r="A25" s="351" t="str">
        <f>+Pobl_adoptada!A25</f>
        <v>San Miguel</v>
      </c>
      <c r="B25" s="70">
        <f>+Pobl_adoptada!B25</f>
        <v>21</v>
      </c>
      <c r="C25" s="353" t="str">
        <f>+Pobl_adoptada!C25</f>
        <v>San Miguel</v>
      </c>
      <c r="D25" s="270">
        <f>AVERAGE('RELLENO SANITARIO'!G25:Z25)</f>
        <v>424.70174817600002</v>
      </c>
      <c r="E25" s="107">
        <f>ROUND(AVERAGE(Pobl_adoptada!H25:AA25),0)</f>
        <v>400514</v>
      </c>
      <c r="F25" s="270">
        <f>+'INGRESO A PS DE CA'!D25</f>
        <v>195.42896099999996</v>
      </c>
      <c r="G25" s="567">
        <f>+'SEP ORIGEN'!AA25</f>
        <v>175.02873977999997</v>
      </c>
    </row>
    <row r="26" spans="1:7" ht="24.95" hidden="1" customHeight="1">
      <c r="A26" s="351" t="str">
        <f>+Pobl_adoptada!A26</f>
        <v>Tigre</v>
      </c>
      <c r="B26" s="70">
        <f>+Pobl_adoptada!B26</f>
        <v>22</v>
      </c>
      <c r="C26" s="353" t="str">
        <f>+Pobl_adoptada!C26</f>
        <v>Tigre</v>
      </c>
      <c r="D26" s="270">
        <f>AVERAGE('RELLENO SANITARIO'!G26:Z26)</f>
        <v>550.92102499199996</v>
      </c>
      <c r="E26" s="107">
        <f>ROUND(AVERAGE(Pobl_adoptada!H26:AA26),0)</f>
        <v>519025</v>
      </c>
      <c r="F26" s="270">
        <f>+'INGRESO A PS DE CA'!D26</f>
        <v>254.6385975</v>
      </c>
      <c r="G26" s="567">
        <f>+'SEP ORIGEN'!AA26</f>
        <v>226.12992875999998</v>
      </c>
    </row>
    <row r="27" spans="1:7" ht="24.95" hidden="1" customHeight="1">
      <c r="A27" s="351" t="str">
        <f>+Pobl_adoptada!A27</f>
        <v>Tres de Febrero</v>
      </c>
      <c r="B27" s="70">
        <f>+Pobl_adoptada!B27</f>
        <v>23</v>
      </c>
      <c r="C27" s="353" t="str">
        <f>+Pobl_adoptada!C27</f>
        <v>Tres de Febrero</v>
      </c>
      <c r="D27" s="270">
        <f>AVERAGE('RELLENO SANITARIO'!G27:Z27)</f>
        <v>382.99412752799992</v>
      </c>
      <c r="E27" s="107">
        <f>ROUND(AVERAGE(Pobl_adoptada!H27:AA27),0)</f>
        <v>359464</v>
      </c>
      <c r="F27" s="270">
        <f>+'INGRESO A PS DE CA'!D27</f>
        <v>177.04855349999997</v>
      </c>
      <c r="G27" s="567">
        <f>+'SEP ORIGEN'!AA27</f>
        <v>154.81308121500001</v>
      </c>
    </row>
    <row r="28" spans="1:7" ht="24.95" hidden="1" customHeight="1">
      <c r="A28" s="351" t="str">
        <f>+Pobl_adoptada!A28</f>
        <v>Vicente López</v>
      </c>
      <c r="B28" s="70">
        <f>+Pobl_adoptada!B28</f>
        <v>24</v>
      </c>
      <c r="C28" s="353" t="str">
        <f>+Pobl_adoptada!C28</f>
        <v>Vicente López</v>
      </c>
      <c r="D28" s="270">
        <f>AVERAGE('RELLENO SANITARIO'!G28:Z28)</f>
        <v>188.86856764799998</v>
      </c>
      <c r="E28" s="107">
        <f>ROUND(AVERAGE(Pobl_adoptada!H28:AA28),0)</f>
        <v>244333</v>
      </c>
      <c r="F28" s="270">
        <f>+'INGRESO A PS DE CA'!D28</f>
        <v>87.551750999999996</v>
      </c>
      <c r="G28" s="567">
        <f>+'SEP ORIGEN'!AA28</f>
        <v>75.439375439999978</v>
      </c>
    </row>
    <row r="29" spans="1:7" ht="24.95" hidden="1" customHeight="1">
      <c r="A29" s="351" t="str">
        <f>+Pobl_adoptada!A29</f>
        <v>25 de Mayo</v>
      </c>
      <c r="B29" s="70">
        <f>+Pobl_adoptada!B29</f>
        <v>25</v>
      </c>
      <c r="C29" s="353" t="str">
        <f>+Pobl_adoptada!C29</f>
        <v>25 de Mayo</v>
      </c>
      <c r="D29" s="270">
        <f>AVERAGE('RELLENO SANITARIO'!G29:Z29)</f>
        <v>20.753856175999999</v>
      </c>
      <c r="E29" s="107">
        <f>ROUND(AVERAGE(Pobl_adoptada!H29:AA29),0)</f>
        <v>25926</v>
      </c>
      <c r="F29" s="270">
        <f>+'INGRESO A PS DE CA'!D29</f>
        <v>9.5970279999999999</v>
      </c>
      <c r="G29" s="567">
        <f>+'SEP ORIGEN'!AA29</f>
        <v>8.4099610299999998</v>
      </c>
    </row>
    <row r="30" spans="1:7" ht="24.95" customHeight="1">
      <c r="A30" s="351" t="str">
        <f>+Pobl_adoptada!A30</f>
        <v>9 de Julio</v>
      </c>
      <c r="B30" s="70">
        <f>+Pobl_adoptada!B30</f>
        <v>26</v>
      </c>
      <c r="C30" s="353" t="str">
        <f>+Pobl_adoptada!C30</f>
        <v>9 de Julio</v>
      </c>
      <c r="D30" s="270">
        <f>AVERAGE('RELLENO SANITARIO'!G30:Z30)</f>
        <v>36.003031864</v>
      </c>
      <c r="E30" s="107">
        <f>ROUND(AVERAGE(Pobl_adoptada!H30:AA30),0)</f>
        <v>45035</v>
      </c>
      <c r="F30" s="270">
        <f>+'INGRESO A PS DE CA'!D30</f>
        <v>16.647883</v>
      </c>
      <c r="G30" s="567">
        <f>+'SEP ORIGEN'!AA30</f>
        <v>14.66804892</v>
      </c>
    </row>
    <row r="31" spans="1:7" ht="24.95" hidden="1" customHeight="1">
      <c r="A31" s="351" t="str">
        <f>+Pobl_adoptada!A31</f>
        <v>Adolfo Alsina</v>
      </c>
      <c r="B31" s="70">
        <f>+Pobl_adoptada!B31</f>
        <v>27</v>
      </c>
      <c r="C31" s="353" t="str">
        <f>+Pobl_adoptada!C31</f>
        <v>Carhué</v>
      </c>
      <c r="D31" s="270">
        <f>AVERAGE('RELLENO SANITARIO'!G31:Z31)</f>
        <v>7.5957518400000001</v>
      </c>
      <c r="E31" s="107">
        <f>ROUND(AVERAGE(Pobl_adoptada!H31:AA31),0)</f>
        <v>10939</v>
      </c>
      <c r="F31" s="270">
        <f>+'INGRESO A PS DE CA'!D31</f>
        <v>3.51302</v>
      </c>
      <c r="G31" s="567">
        <f>+'SEP ORIGEN'!AA31</f>
        <v>3.0847001999999994</v>
      </c>
    </row>
    <row r="32" spans="1:7" ht="24.95" hidden="1" customHeight="1">
      <c r="A32" s="351" t="str">
        <f>+Pobl_adoptada!A32</f>
        <v>Adolfo Gonzáles Chaves</v>
      </c>
      <c r="B32" s="70">
        <f>+Pobl_adoptada!B32</f>
        <v>28</v>
      </c>
      <c r="C32" s="353" t="str">
        <f>+Pobl_adoptada!C32</f>
        <v>Adolfo Gonzáles Chaves</v>
      </c>
      <c r="D32" s="270">
        <f>AVERAGE('RELLENO SANITARIO'!G32:Z32)</f>
        <v>7.3916159840000004</v>
      </c>
      <c r="E32" s="107">
        <f>ROUND(AVERAGE(Pobl_adoptada!H32:AA32),0)</f>
        <v>10665</v>
      </c>
      <c r="F32" s="270">
        <f>+'INGRESO A PS DE CA'!D32</f>
        <v>3.4093360000000001</v>
      </c>
      <c r="G32" s="567">
        <f>+'SEP ORIGEN'!AA32</f>
        <v>3.0252300199999995</v>
      </c>
    </row>
    <row r="33" spans="1:7" ht="24.95" hidden="1" customHeight="1">
      <c r="A33" s="351" t="str">
        <f>+Pobl_adoptada!A33</f>
        <v>Alberti</v>
      </c>
      <c r="B33" s="70">
        <f>+Pobl_adoptada!B33</f>
        <v>29</v>
      </c>
      <c r="C33" s="353" t="str">
        <f>+Pobl_adoptada!C33</f>
        <v>Alberti</v>
      </c>
      <c r="D33" s="270">
        <f>AVERAGE('RELLENO SANITARIO'!G33:Z33)</f>
        <v>8.2280880800000009</v>
      </c>
      <c r="E33" s="107">
        <f>ROUND(AVERAGE(Pobl_adoptada!H33:AA33),0)</f>
        <v>11893</v>
      </c>
      <c r="F33" s="270">
        <f>+'INGRESO A PS DE CA'!D33</f>
        <v>3.7947699999999998</v>
      </c>
      <c r="G33" s="567">
        <f>+'SEP ORIGEN'!AA33</f>
        <v>3.3922999000000003</v>
      </c>
    </row>
    <row r="34" spans="1:7" ht="24.95" hidden="1" customHeight="1">
      <c r="A34" s="351" t="str">
        <f>+Pobl_adoptada!A34</f>
        <v>Arrecifes</v>
      </c>
      <c r="B34" s="70">
        <f>+Pobl_adoptada!B34</f>
        <v>30</v>
      </c>
      <c r="C34" s="353" t="str">
        <f>+Pobl_adoptada!C34</f>
        <v>Arrecifes</v>
      </c>
      <c r="D34" s="270">
        <f>AVERAGE('RELLENO SANITARIO'!G34:Z34)</f>
        <v>26.598669040000004</v>
      </c>
      <c r="E34" s="107">
        <f>ROUND(AVERAGE(Pobl_adoptada!H34:AA34),0)</f>
        <v>33294</v>
      </c>
      <c r="F34" s="270">
        <f>+'INGRESO A PS DE CA'!D34</f>
        <v>12.279729</v>
      </c>
      <c r="G34" s="567">
        <f>+'SEP ORIGEN'!AA34</f>
        <v>10.866213699999999</v>
      </c>
    </row>
    <row r="35" spans="1:7" ht="24.95" hidden="1" customHeight="1">
      <c r="A35" s="351" t="str">
        <f>+Pobl_adoptada!A35</f>
        <v>Ayacucho</v>
      </c>
      <c r="B35" s="70">
        <f>+Pobl_adoptada!B35</f>
        <v>31</v>
      </c>
      <c r="C35" s="353" t="str">
        <f>+Pobl_adoptada!C35</f>
        <v>Ayacucho</v>
      </c>
      <c r="D35" s="270">
        <f>AVERAGE('RELLENO SANITARIO'!G35:Z35)</f>
        <v>16.214581287999998</v>
      </c>
      <c r="E35" s="107">
        <f>ROUND(AVERAGE(Pobl_adoptada!H35:AA35),0)</f>
        <v>20272</v>
      </c>
      <c r="F35" s="270">
        <f>+'INGRESO A PS DE CA'!D35</f>
        <v>7.4938290000000007</v>
      </c>
      <c r="G35" s="567">
        <f>+'SEP ORIGEN'!AA35</f>
        <v>6.5924383900000008</v>
      </c>
    </row>
    <row r="36" spans="1:7" ht="24.95" hidden="1" customHeight="1">
      <c r="A36" s="351" t="str">
        <f>+Pobl_adoptada!A36</f>
        <v>Azul</v>
      </c>
      <c r="B36" s="70">
        <f>+Pobl_adoptada!B36</f>
        <v>32</v>
      </c>
      <c r="C36" s="353" t="str">
        <f>+Pobl_adoptada!C36</f>
        <v>Azul</v>
      </c>
      <c r="D36" s="270">
        <f>AVERAGE('RELLENO SANITARIO'!G36:Z36)</f>
        <v>56.620270584000004</v>
      </c>
      <c r="E36" s="107">
        <f>ROUND(AVERAGE(Pobl_adoptada!H36:AA36),0)</f>
        <v>73774</v>
      </c>
      <c r="F36" s="270">
        <f>+'INGRESO A PS DE CA'!D36</f>
        <v>26.110979999999998</v>
      </c>
      <c r="G36" s="567">
        <f>+'SEP ORIGEN'!AA36</f>
        <v>23.287021769999996</v>
      </c>
    </row>
    <row r="37" spans="1:7" ht="24.95" hidden="1" customHeight="1">
      <c r="A37" s="351" t="str">
        <f>+Pobl_adoptada!A37</f>
        <v>Bahía Blanca</v>
      </c>
      <c r="B37" s="70">
        <f>+Pobl_adoptada!B37</f>
        <v>33</v>
      </c>
      <c r="C37" s="353" t="str">
        <f>+Pobl_adoptada!C37</f>
        <v>Bahía Blanca</v>
      </c>
      <c r="D37" s="270">
        <f>AVERAGE('RELLENO SANITARIO'!G37:Z37)</f>
        <v>403.36101803999998</v>
      </c>
      <c r="E37" s="107">
        <f>ROUND(AVERAGE(Pobl_adoptada!H37:AA37),0)</f>
        <v>380122</v>
      </c>
      <c r="F37" s="270">
        <f>+'INGRESO A PS DE CA'!D37</f>
        <v>186.0282795</v>
      </c>
      <c r="G37" s="567">
        <f>+'SEP ORIGEN'!AA37</f>
        <v>165.76436932499999</v>
      </c>
    </row>
    <row r="38" spans="1:7" ht="24.95" hidden="1" customHeight="1">
      <c r="A38" s="351" t="str">
        <f>+Pobl_adoptada!A38</f>
        <v>Balcarce</v>
      </c>
      <c r="B38" s="70">
        <f>+Pobl_adoptada!B38</f>
        <v>34</v>
      </c>
      <c r="C38" s="353" t="str">
        <f>+Pobl_adoptada!C38</f>
        <v>Balcarce</v>
      </c>
      <c r="D38" s="270">
        <f>AVERAGE('RELLENO SANITARIO'!G38:Z38)</f>
        <v>44.429850815999998</v>
      </c>
      <c r="E38" s="107">
        <f>ROUND(AVERAGE(Pobl_adoptada!H38:AA38),0)</f>
        <v>55735</v>
      </c>
      <c r="F38" s="270">
        <f>+'INGRESO A PS DE CA'!D38</f>
        <v>20.444326</v>
      </c>
      <c r="G38" s="567">
        <f>+'SEP ORIGEN'!AA38</f>
        <v>18.311958980000004</v>
      </c>
    </row>
    <row r="39" spans="1:7" ht="24.95" hidden="1" customHeight="1">
      <c r="A39" s="351" t="str">
        <f>+Pobl_adoptada!A39</f>
        <v>Baradero</v>
      </c>
      <c r="B39" s="70">
        <f>+Pobl_adoptada!B39</f>
        <v>35</v>
      </c>
      <c r="C39" s="353" t="str">
        <f>+Pobl_adoptada!C39</f>
        <v>Baradero</v>
      </c>
      <c r="D39" s="270">
        <f>AVERAGE('RELLENO SANITARIO'!G39:Z39)</f>
        <v>29.516518319999999</v>
      </c>
      <c r="E39" s="107">
        <f>ROUND(AVERAGE(Pobl_adoptada!H39:AA39),0)</f>
        <v>36961</v>
      </c>
      <c r="F39" s="270">
        <f>+'INGRESO A PS DE CA'!D39</f>
        <v>13.620522999999999</v>
      </c>
      <c r="G39" s="567">
        <f>+'SEP ORIGEN'!AA39</f>
        <v>12.07787585</v>
      </c>
    </row>
    <row r="40" spans="1:7" ht="24.95" hidden="1" customHeight="1">
      <c r="A40" s="351" t="str">
        <f>+Pobl_adoptada!A40</f>
        <v>Benito Juárez</v>
      </c>
      <c r="B40" s="70">
        <f>+Pobl_adoptada!B40</f>
        <v>36</v>
      </c>
      <c r="C40" s="353" t="str">
        <f>+Pobl_adoptada!C40</f>
        <v>Benito Juárez</v>
      </c>
      <c r="D40" s="270">
        <f>AVERAGE('RELLENO SANITARIO'!G40:Z40)</f>
        <v>13.189130136000003</v>
      </c>
      <c r="E40" s="107">
        <f>ROUND(AVERAGE(Pobl_adoptada!H40:AA40),0)</f>
        <v>16491</v>
      </c>
      <c r="F40" s="270">
        <f>+'INGRESO A PS DE CA'!D40</f>
        <v>6.0881099999999995</v>
      </c>
      <c r="G40" s="567">
        <f>+'SEP ORIGEN'!AA40</f>
        <v>5.3637648299999992</v>
      </c>
    </row>
    <row r="41" spans="1:7" ht="24.95" hidden="1" customHeight="1">
      <c r="A41" s="351" t="str">
        <f>+Pobl_adoptada!A41</f>
        <v>Berisso</v>
      </c>
      <c r="B41" s="70">
        <f>+Pobl_adoptada!B41</f>
        <v>37</v>
      </c>
      <c r="C41" s="353" t="str">
        <f>+Pobl_adoptada!C41</f>
        <v>Berisso</v>
      </c>
      <c r="D41" s="270">
        <f>AVERAGE('RELLENO SANITARIO'!G41:Z41)</f>
        <v>86.521944312000016</v>
      </c>
      <c r="E41" s="107">
        <f>ROUND(AVERAGE(Pobl_adoptada!H41:AA41),0)</f>
        <v>112578</v>
      </c>
      <c r="F41" s="270">
        <f>+'INGRESO A PS DE CA'!D41</f>
        <v>39.932234999999999</v>
      </c>
      <c r="G41" s="567">
        <f>+'SEP ORIGEN'!AA41</f>
        <v>35.384710859999998</v>
      </c>
    </row>
    <row r="42" spans="1:7" ht="24.95" customHeight="1">
      <c r="A42" s="351" t="str">
        <f>+Pobl_adoptada!A42</f>
        <v>Bolívar</v>
      </c>
      <c r="B42" s="70">
        <f>+Pobl_adoptada!B42</f>
        <v>38</v>
      </c>
      <c r="C42" s="353" t="str">
        <f>+Pobl_adoptada!C42</f>
        <v>San Carlos de Bolívar</v>
      </c>
      <c r="D42" s="270">
        <f>AVERAGE('RELLENO SANITARIO'!G42:Z42)</f>
        <v>24.992082584000002</v>
      </c>
      <c r="E42" s="107">
        <f>ROUND(AVERAGE(Pobl_adoptada!H42:AA42),0)</f>
        <v>31256</v>
      </c>
      <c r="F42" s="270">
        <f>+'INGRESO A PS DE CA'!D42</f>
        <v>11.547374999999999</v>
      </c>
      <c r="G42" s="567">
        <f>+'SEP ORIGEN'!AA42</f>
        <v>10.173831770000001</v>
      </c>
    </row>
    <row r="43" spans="1:7" ht="24.95" hidden="1" customHeight="1">
      <c r="A43" s="351" t="str">
        <f>+Pobl_adoptada!A43</f>
        <v>Bragado</v>
      </c>
      <c r="B43" s="70">
        <f>+Pobl_adoptada!B43</f>
        <v>39</v>
      </c>
      <c r="C43" s="353" t="str">
        <f>+Pobl_adoptada!C43</f>
        <v>Bragado</v>
      </c>
      <c r="D43" s="270">
        <f>AVERAGE('RELLENO SANITARIO'!G43:Z43)</f>
        <v>28.929086247999997</v>
      </c>
      <c r="E43" s="107">
        <f>ROUND(AVERAGE(Pobl_adoptada!H43:AA43),0)</f>
        <v>36124</v>
      </c>
      <c r="F43" s="270">
        <f>+'INGRESO A PS DE CA'!D43</f>
        <v>13.382341</v>
      </c>
      <c r="G43" s="567">
        <f>+'SEP ORIGEN'!AA43</f>
        <v>11.702942189999998</v>
      </c>
    </row>
    <row r="44" spans="1:7" ht="24.95" hidden="1" customHeight="1">
      <c r="A44" s="351" t="str">
        <f>+Pobl_adoptada!A44</f>
        <v>Brandsen</v>
      </c>
      <c r="B44" s="70">
        <f>+Pobl_adoptada!B44</f>
        <v>40</v>
      </c>
      <c r="C44" s="353" t="str">
        <f>+Pobl_adoptada!C44</f>
        <v>Coronel Brandsen</v>
      </c>
      <c r="D44" s="270">
        <f>AVERAGE('RELLENO SANITARIO'!G44:Z44)</f>
        <v>25.927435487999997</v>
      </c>
      <c r="E44" s="107">
        <f>ROUND(AVERAGE(Pobl_adoptada!H44:AA44),0)</f>
        <v>32579</v>
      </c>
      <c r="F44" s="270">
        <f>+'INGRESO A PS DE CA'!D44</f>
        <v>11.899083000000001</v>
      </c>
      <c r="G44" s="567">
        <f>+'SEP ORIGEN'!AA44</f>
        <v>10.757483139999998</v>
      </c>
    </row>
    <row r="45" spans="1:7" ht="24.95" hidden="1" customHeight="1">
      <c r="A45" s="351" t="str">
        <f>+Pobl_adoptada!A45</f>
        <v>Campana</v>
      </c>
      <c r="B45" s="70">
        <f>+Pobl_adoptada!B45</f>
        <v>41</v>
      </c>
      <c r="C45" s="353" t="str">
        <f>+Pobl_adoptada!C45</f>
        <v>Campana</v>
      </c>
      <c r="D45" s="270">
        <f>AVERAGE('RELLENO SANITARIO'!G45:Z45)</f>
        <v>86.458675344</v>
      </c>
      <c r="E45" s="107">
        <f>ROUND(AVERAGE(Pobl_adoptada!H45:AA45),0)</f>
        <v>112469</v>
      </c>
      <c r="F45" s="270">
        <f>+'INGRESO A PS DE CA'!D45</f>
        <v>39.972218999999996</v>
      </c>
      <c r="G45" s="567">
        <f>+'SEP ORIGEN'!AA45</f>
        <v>35.324822070000003</v>
      </c>
    </row>
    <row r="46" spans="1:7" ht="24.95" hidden="1" customHeight="1">
      <c r="A46" s="351" t="str">
        <f>+Pobl_adoptada!A46</f>
        <v>Cañuelas</v>
      </c>
      <c r="B46" s="70">
        <f>+Pobl_adoptada!B46</f>
        <v>42</v>
      </c>
      <c r="C46" s="353" t="str">
        <f>+Pobl_adoptada!C46</f>
        <v>Cañuelas</v>
      </c>
      <c r="D46" s="270">
        <f>AVERAGE('RELLENO SANITARIO'!G46:Z46)</f>
        <v>47.72063904800001</v>
      </c>
      <c r="E46" s="107">
        <f>ROUND(AVERAGE(Pobl_adoptada!H46:AA46),0)</f>
        <v>60076</v>
      </c>
      <c r="F46" s="270">
        <f>+'INGRESO A PS DE CA'!D46</f>
        <v>21.883064000000001</v>
      </c>
      <c r="G46" s="567">
        <f>+'SEP ORIGEN'!AA46</f>
        <v>19.949437440000004</v>
      </c>
    </row>
    <row r="47" spans="1:7" ht="24.95" hidden="1" customHeight="1">
      <c r="A47" s="351" t="str">
        <f>+Pobl_adoptada!A47</f>
        <v>Capitán Sarmiento</v>
      </c>
      <c r="B47" s="70">
        <f>+Pobl_adoptada!B47</f>
        <v>43</v>
      </c>
      <c r="C47" s="353" t="str">
        <f>+Pobl_adoptada!C47</f>
        <v>Capitán Sarmiento</v>
      </c>
      <c r="D47" s="270">
        <f>AVERAGE('RELLENO SANITARIO'!G47:Z47)</f>
        <v>14.098446896000002</v>
      </c>
      <c r="E47" s="107">
        <f>ROUND(AVERAGE(Pobl_adoptada!H47:AA47),0)</f>
        <v>17657</v>
      </c>
      <c r="F47" s="270">
        <f>+'INGRESO A PS DE CA'!D47</f>
        <v>6.5173570000000005</v>
      </c>
      <c r="G47" s="567">
        <f>+'SEP ORIGEN'!AA47</f>
        <v>5.7729301299999998</v>
      </c>
    </row>
    <row r="48" spans="1:7" ht="24.95" customHeight="1">
      <c r="A48" s="351" t="str">
        <f>+Pobl_adoptada!A48</f>
        <v>Carlos Casares</v>
      </c>
      <c r="B48" s="70">
        <f>+Pobl_adoptada!B48</f>
        <v>44</v>
      </c>
      <c r="C48" s="353" t="str">
        <f>+Pobl_adoptada!C48</f>
        <v>Carlos Casares</v>
      </c>
      <c r="D48" s="270">
        <f>AVERAGE('RELLENO SANITARIO'!G48:Z48)</f>
        <v>17.757768296000002</v>
      </c>
      <c r="E48" s="107">
        <f>ROUND(AVERAGE(Pobl_adoptada!H48:AA48),0)</f>
        <v>22214</v>
      </c>
      <c r="F48" s="270">
        <f>+'INGRESO A PS DE CA'!D48</f>
        <v>8.2031810000000007</v>
      </c>
      <c r="G48" s="567">
        <f>+'SEP ORIGEN'!AA48</f>
        <v>7.2362733800000001</v>
      </c>
    </row>
    <row r="49" spans="1:7" ht="24.95" hidden="1" customHeight="1">
      <c r="A49" s="351" t="str">
        <f>+Pobl_adoptada!A49</f>
        <v>Carlos Tejedor</v>
      </c>
      <c r="B49" s="70">
        <f>+Pobl_adoptada!B49</f>
        <v>45</v>
      </c>
      <c r="C49" s="353" t="str">
        <f>+Pobl_adoptada!C49</f>
        <v>Carlos Tejedor</v>
      </c>
      <c r="D49" s="270">
        <f>AVERAGE('RELLENO SANITARIO'!G49:Z49)</f>
        <v>3.9881952159999989</v>
      </c>
      <c r="E49" s="107">
        <f>ROUND(AVERAGE(Pobl_adoptada!H49:AA49),0)</f>
        <v>5739</v>
      </c>
      <c r="F49" s="270">
        <f>+'INGRESO A PS DE CA'!D49</f>
        <v>1.844738</v>
      </c>
      <c r="G49" s="567">
        <f>+'SEP ORIGEN'!AA49</f>
        <v>1.6149509799999997</v>
      </c>
    </row>
    <row r="50" spans="1:7" ht="24.95" hidden="1" customHeight="1">
      <c r="A50" s="351" t="str">
        <f>+Pobl_adoptada!A50</f>
        <v>Carmen de Areco</v>
      </c>
      <c r="B50" s="70">
        <f>+Pobl_adoptada!B50</f>
        <v>46</v>
      </c>
      <c r="C50" s="353" t="str">
        <f>+Pobl_adoptada!C50</f>
        <v>Carmen de Areco</v>
      </c>
      <c r="D50" s="270">
        <f>AVERAGE('RELLENO SANITARIO'!G50:Z50)</f>
        <v>13.847915896</v>
      </c>
      <c r="E50" s="107">
        <f>ROUND(AVERAGE(Pobl_adoptada!H50:AA50),0)</f>
        <v>17340</v>
      </c>
      <c r="F50" s="270">
        <f>+'INGRESO A PS DE CA'!D50</f>
        <v>6.4016049999999991</v>
      </c>
      <c r="G50" s="567">
        <f>+'SEP ORIGEN'!AA50</f>
        <v>5.6654726299999991</v>
      </c>
    </row>
    <row r="51" spans="1:7" ht="24.95" hidden="1" customHeight="1">
      <c r="A51" s="351" t="str">
        <f>+Pobl_adoptada!A51</f>
        <v>Castelli</v>
      </c>
      <c r="B51" s="70">
        <f>+Pobl_adoptada!B51</f>
        <v>47</v>
      </c>
      <c r="C51" s="353" t="str">
        <f>+Pobl_adoptada!C51</f>
        <v>Castelli</v>
      </c>
      <c r="D51" s="270">
        <f>AVERAGE('RELLENO SANITARIO'!G51:Z51)</f>
        <v>7.6809125600000003</v>
      </c>
      <c r="E51" s="107">
        <f>ROUND(AVERAGE(Pobl_adoptada!H51:AA51),0)</f>
        <v>11117</v>
      </c>
      <c r="F51" s="270">
        <f>+'INGRESO A PS DE CA'!D51</f>
        <v>3.5403899999999995</v>
      </c>
      <c r="G51" s="567">
        <f>+'SEP ORIGEN'!AA51</f>
        <v>3.1832942999999991</v>
      </c>
    </row>
    <row r="52" spans="1:7" ht="24.95" hidden="1" customHeight="1">
      <c r="A52" s="351" t="str">
        <f>+Pobl_adoptada!A52</f>
        <v>Chacabuco</v>
      </c>
      <c r="B52" s="70">
        <f>+Pobl_adoptada!B52</f>
        <v>48</v>
      </c>
      <c r="C52" s="353" t="str">
        <f>+Pobl_adoptada!C52</f>
        <v>Chacabuco</v>
      </c>
      <c r="D52" s="270">
        <f>AVERAGE('RELLENO SANITARIO'!G52:Z52)</f>
        <v>39.237783407999999</v>
      </c>
      <c r="E52" s="107">
        <f>ROUND(AVERAGE(Pobl_adoptada!H52:AA52),0)</f>
        <v>49107</v>
      </c>
      <c r="F52" s="270">
        <f>+'INGRESO A PS DE CA'!D52</f>
        <v>18.141528999999998</v>
      </c>
      <c r="G52" s="567">
        <f>+'SEP ORIGEN'!AA52</f>
        <v>16.01914824</v>
      </c>
    </row>
    <row r="53" spans="1:7" ht="24.95" hidden="1" customHeight="1">
      <c r="A53" s="351" t="str">
        <f>+Pobl_adoptada!A53</f>
        <v>Chascomús</v>
      </c>
      <c r="B53" s="70">
        <f>+Pobl_adoptada!B53</f>
        <v>49</v>
      </c>
      <c r="C53" s="353" t="str">
        <f>+Pobl_adoptada!C53</f>
        <v>Chascomús</v>
      </c>
      <c r="D53" s="270">
        <f>AVERAGE('RELLENO SANITARIO'!G53:Z53)</f>
        <v>34.834469631999994</v>
      </c>
      <c r="E53" s="107">
        <f>ROUND(AVERAGE(Pobl_adoptada!H53:AA53),0)</f>
        <v>43622</v>
      </c>
      <c r="F53" s="270">
        <f>+'INGRESO A PS DE CA'!D53</f>
        <v>16.073945999999999</v>
      </c>
      <c r="G53" s="567">
        <f>+'SEP ORIGEN'!AA53</f>
        <v>14.255797960000001</v>
      </c>
    </row>
    <row r="54" spans="1:7" ht="24.95" hidden="1" customHeight="1">
      <c r="A54" s="351" t="str">
        <f>+Pobl_adoptada!A54</f>
        <v>Chivilcoy</v>
      </c>
      <c r="B54" s="70">
        <f>+Pobl_adoptada!B54</f>
        <v>50</v>
      </c>
      <c r="C54" s="353" t="str">
        <f>+Pobl_adoptada!C54</f>
        <v>Chivilcoy</v>
      </c>
      <c r="D54" s="270">
        <f>AVERAGE('RELLENO SANITARIO'!G54:Z54)</f>
        <v>55.46962245600001</v>
      </c>
      <c r="E54" s="107">
        <f>ROUND(AVERAGE(Pobl_adoptada!H54:AA54),0)</f>
        <v>72120</v>
      </c>
      <c r="F54" s="270">
        <f>+'INGRESO A PS DE CA'!D54</f>
        <v>25.648308000000004</v>
      </c>
      <c r="G54" s="567">
        <f>+'SEP ORIGEN'!AA54</f>
        <v>22.615334430000001</v>
      </c>
    </row>
    <row r="55" spans="1:7" ht="24.95" hidden="1" customHeight="1">
      <c r="A55" s="351" t="str">
        <f>+Pobl_adoptada!A55</f>
        <v>Colón</v>
      </c>
      <c r="B55" s="70">
        <f>+Pobl_adoptada!B55</f>
        <v>51</v>
      </c>
      <c r="C55" s="353" t="str">
        <f>+Pobl_adoptada!C55</f>
        <v>Colón</v>
      </c>
      <c r="D55" s="270">
        <f>AVERAGE('RELLENO SANITARIO'!G55:Z55)</f>
        <v>23.367467224000002</v>
      </c>
      <c r="E55" s="107">
        <f>ROUND(AVERAGE(Pobl_adoptada!H55:AA55),0)</f>
        <v>29249</v>
      </c>
      <c r="F55" s="270">
        <f>+'INGRESO A PS DE CA'!D55</f>
        <v>10.787938</v>
      </c>
      <c r="G55" s="567">
        <f>+'SEP ORIGEN'!AA55</f>
        <v>9.5458559699999999</v>
      </c>
    </row>
    <row r="56" spans="1:7" ht="24.95" hidden="1" customHeight="1">
      <c r="A56" s="351" t="str">
        <f>+Pobl_adoptada!A56</f>
        <v>Coronel de Marina L. Rosales</v>
      </c>
      <c r="B56" s="70">
        <f>+Pobl_adoptada!B56</f>
        <v>52</v>
      </c>
      <c r="C56" s="353" t="str">
        <f>+Pobl_adoptada!C56</f>
        <v>Punta Alta</v>
      </c>
      <c r="D56" s="270">
        <f>AVERAGE('RELLENO SANITARIO'!G56:Z56)</f>
        <v>49.143891720000013</v>
      </c>
      <c r="E56" s="107">
        <f>ROUND(AVERAGE(Pobl_adoptada!H56:AA56),0)</f>
        <v>63798</v>
      </c>
      <c r="F56" s="270">
        <f>+'INGRESO A PS DE CA'!D56</f>
        <v>22.704843</v>
      </c>
      <c r="G56" s="567">
        <f>+'SEP ORIGEN'!AA56</f>
        <v>19.913095349999999</v>
      </c>
    </row>
    <row r="57" spans="1:7" ht="24.95" hidden="1" customHeight="1">
      <c r="A57" s="351" t="str">
        <f>+Pobl_adoptada!A57</f>
        <v>Coronel Dorrego</v>
      </c>
      <c r="B57" s="70">
        <f>+Pobl_adoptada!B57</f>
        <v>53</v>
      </c>
      <c r="C57" s="353" t="str">
        <f>+Pobl_adoptada!C57</f>
        <v>Coronel Dorrego</v>
      </c>
      <c r="D57" s="270">
        <f>AVERAGE('RELLENO SANITARIO'!G57:Z57)</f>
        <v>8.143243840000002</v>
      </c>
      <c r="E57" s="107">
        <f>ROUND(AVERAGE(Pobl_adoptada!H57:AA57),0)</f>
        <v>11704</v>
      </c>
      <c r="F57" s="270">
        <f>+'INGRESO A PS DE CA'!D57</f>
        <v>3.7677219999999996</v>
      </c>
      <c r="G57" s="567">
        <f>+'SEP ORIGEN'!AA57</f>
        <v>3.2806027000000002</v>
      </c>
    </row>
    <row r="58" spans="1:7" ht="24.95" hidden="1" customHeight="1">
      <c r="A58" s="351" t="str">
        <f>+Pobl_adoptada!A58</f>
        <v>Coronel Pringles</v>
      </c>
      <c r="B58" s="70">
        <f>+Pobl_adoptada!B58</f>
        <v>54</v>
      </c>
      <c r="C58" s="353" t="str">
        <f>+Pobl_adoptada!C58</f>
        <v>Coronel Pringles</v>
      </c>
      <c r="D58" s="270">
        <f>AVERAGE('RELLENO SANITARIO'!G58:Z58)</f>
        <v>19.371407568000002</v>
      </c>
      <c r="E58" s="107">
        <f>ROUND(AVERAGE(Pobl_adoptada!H58:AA58),0)</f>
        <v>24271</v>
      </c>
      <c r="F58" s="270">
        <f>+'INGRESO A PS DE CA'!D58</f>
        <v>8.9318249999999999</v>
      </c>
      <c r="G58" s="567">
        <f>+'SEP ORIGEN'!AA58</f>
        <v>7.9451467900000008</v>
      </c>
    </row>
    <row r="59" spans="1:7" ht="24.95" hidden="1" customHeight="1">
      <c r="A59" s="351" t="str">
        <f>+Pobl_adoptada!A59</f>
        <v>Coronel Suárez</v>
      </c>
      <c r="B59" s="70">
        <f>+Pobl_adoptada!B59</f>
        <v>55</v>
      </c>
      <c r="C59" s="353" t="str">
        <f>+Pobl_adoptada!C59</f>
        <v>Coronel Suárez</v>
      </c>
      <c r="D59" s="270">
        <f>AVERAGE('RELLENO SANITARIO'!G59:Z59)</f>
        <v>24.736482663999997</v>
      </c>
      <c r="E59" s="107">
        <f>ROUND(AVERAGE(Pobl_adoptada!H59:AA59),0)</f>
        <v>31013</v>
      </c>
      <c r="F59" s="270">
        <f>+'INGRESO A PS DE CA'!D59</f>
        <v>11.407137000000001</v>
      </c>
      <c r="G59" s="567">
        <f>+'SEP ORIGEN'!AA59</f>
        <v>10.171555420000001</v>
      </c>
    </row>
    <row r="60" spans="1:7" ht="24.95" customHeight="1">
      <c r="A60" s="351" t="str">
        <f>+Pobl_adoptada!A60</f>
        <v>Daireaux</v>
      </c>
      <c r="B60" s="70">
        <f>+Pobl_adoptada!B60</f>
        <v>56</v>
      </c>
      <c r="C60" s="353" t="str">
        <f>+Pobl_adoptada!C60</f>
        <v>Daireaux</v>
      </c>
      <c r="D60" s="270">
        <f>AVERAGE('RELLENO SANITARIO'!G60:Z60)</f>
        <v>10.513273872000003</v>
      </c>
      <c r="E60" s="107">
        <f>ROUND(AVERAGE(Pobl_adoptada!H60:AA60),0)</f>
        <v>15157</v>
      </c>
      <c r="F60" s="270">
        <f>+'INGRESO A PS DE CA'!D60</f>
        <v>4.8609119999999999</v>
      </c>
      <c r="G60" s="567">
        <f>+'SEP ORIGEN'!AA60</f>
        <v>4.2884976599999991</v>
      </c>
    </row>
    <row r="61" spans="1:7" ht="24.95" hidden="1" customHeight="1">
      <c r="A61" s="351" t="str">
        <f>+Pobl_adoptada!A61</f>
        <v>Dolores</v>
      </c>
      <c r="B61" s="70">
        <f>+Pobl_adoptada!B61</f>
        <v>57</v>
      </c>
      <c r="C61" s="353" t="str">
        <f>+Pobl_adoptada!C61</f>
        <v>Dolores</v>
      </c>
      <c r="D61" s="270">
        <f>AVERAGE('RELLENO SANITARIO'!G61:Z61)</f>
        <v>29.016210616000006</v>
      </c>
      <c r="E61" s="107">
        <f>ROUND(AVERAGE(Pobl_adoptada!H61:AA61),0)</f>
        <v>36397</v>
      </c>
      <c r="F61" s="270">
        <f>+'INGRESO A PS DE CA'!D61</f>
        <v>13.380856999999999</v>
      </c>
      <c r="G61" s="567">
        <f>+'SEP ORIGEN'!AA61</f>
        <v>11.95635798</v>
      </c>
    </row>
    <row r="62" spans="1:7" ht="24.95" hidden="1" customHeight="1">
      <c r="A62" s="351" t="str">
        <f>+Pobl_adoptada!A62</f>
        <v>Ensenada</v>
      </c>
      <c r="B62" s="70">
        <f>+Pobl_adoptada!B62</f>
        <v>58</v>
      </c>
      <c r="C62" s="353" t="str">
        <f>+Pobl_adoptada!C62</f>
        <v>Ensenada</v>
      </c>
      <c r="D62" s="270">
        <f>AVERAGE('RELLENO SANITARIO'!G62:Z62)</f>
        <v>54.182071968000002</v>
      </c>
      <c r="E62" s="107">
        <f>ROUND(AVERAGE(Pobl_adoptada!H62:AA62),0)</f>
        <v>70469</v>
      </c>
      <c r="F62" s="270">
        <f>+'INGRESO A PS DE CA'!D62</f>
        <v>25.017845999999995</v>
      </c>
      <c r="G62" s="567">
        <f>+'SEP ORIGEN'!AA62</f>
        <v>22.12051254</v>
      </c>
    </row>
    <row r="63" spans="1:7" ht="24.95" hidden="1" customHeight="1">
      <c r="A63" s="351" t="str">
        <f>+Pobl_adoptada!A63</f>
        <v>Escobar</v>
      </c>
      <c r="B63" s="70">
        <f>+Pobl_adoptada!B63</f>
        <v>59</v>
      </c>
      <c r="C63" s="353" t="str">
        <f>+Pobl_adoptada!C63</f>
        <v>Escobar</v>
      </c>
      <c r="D63" s="270">
        <f>AVERAGE('RELLENO SANITARIO'!G63:Z63)</f>
        <v>256.96579377600006</v>
      </c>
      <c r="E63" s="107">
        <f>ROUND(AVERAGE(Pobl_adoptada!H63:AA63),0)</f>
        <v>334994</v>
      </c>
      <c r="F63" s="270">
        <f>+'INGRESO A PS DE CA'!D63</f>
        <v>118.74248399999998</v>
      </c>
      <c r="G63" s="567">
        <f>+'SEP ORIGEN'!AA63</f>
        <v>105.91042653</v>
      </c>
    </row>
    <row r="64" spans="1:7" ht="24.95" hidden="1" customHeight="1">
      <c r="A64" s="351" t="str">
        <f>+Pobl_adoptada!A64</f>
        <v>Exaltación de la Cruz</v>
      </c>
      <c r="B64" s="70">
        <f>+Pobl_adoptada!B64</f>
        <v>60</v>
      </c>
      <c r="C64" s="353" t="str">
        <f>+Pobl_adoptada!C64</f>
        <v>Capilla del Señor</v>
      </c>
      <c r="D64" s="270">
        <f>AVERAGE('RELLENO SANITARIO'!G64:Z64)</f>
        <v>10.843042720000001</v>
      </c>
      <c r="E64" s="107">
        <f>ROUND(AVERAGE(Pobl_adoptada!H64:AA64),0)</f>
        <v>15701</v>
      </c>
      <c r="F64" s="270">
        <f>+'INGRESO A PS DE CA'!D64</f>
        <v>4.9803740000000003</v>
      </c>
      <c r="G64" s="567">
        <f>+'SEP ORIGEN'!AA64</f>
        <v>4.5025765999999994</v>
      </c>
    </row>
    <row r="65" spans="1:7" ht="24.95" hidden="1" customHeight="1">
      <c r="A65" s="351" t="str">
        <f>+Pobl_adoptada!A65</f>
        <v>Florentino Ameghino</v>
      </c>
      <c r="B65" s="70">
        <f>+Pobl_adoptada!B65</f>
        <v>61</v>
      </c>
      <c r="C65" s="353" t="str">
        <f>+Pobl_adoptada!C65</f>
        <v>Florentino Ameghino</v>
      </c>
      <c r="D65" s="270">
        <f>AVERAGE('RELLENO SANITARIO'!G65:Z65)</f>
        <v>6.8786180960000012</v>
      </c>
      <c r="E65" s="107">
        <f>ROUND(AVERAGE(Pobl_adoptada!H65:AA65),0)</f>
        <v>9928</v>
      </c>
      <c r="F65" s="270">
        <f>+'INGRESO A PS DE CA'!D65</f>
        <v>3.1797500000000003</v>
      </c>
      <c r="G65" s="567">
        <f>+'SEP ORIGEN'!AA65</f>
        <v>2.8188698799999998</v>
      </c>
    </row>
    <row r="66" spans="1:7" ht="24.95" hidden="1" customHeight="1">
      <c r="A66" s="351" t="str">
        <f>+Pobl_adoptada!A66</f>
        <v>General Alvarado</v>
      </c>
      <c r="B66" s="70">
        <f>+Pobl_adoptada!B66</f>
        <v>62</v>
      </c>
      <c r="C66" s="353" t="str">
        <f>+Pobl_adoptada!C66</f>
        <v>Miramar</v>
      </c>
      <c r="D66" s="270">
        <f>AVERAGE('RELLENO SANITARIO'!G66:Z66)</f>
        <v>46.605262104000005</v>
      </c>
      <c r="E66" s="107">
        <f>ROUND(AVERAGE(Pobl_adoptada!H66:AA66),0)</f>
        <v>58416</v>
      </c>
      <c r="F66" s="270">
        <f>+'INGRESO A PS DE CA'!D66</f>
        <v>21.54026</v>
      </c>
      <c r="G66" s="567">
        <f>+'SEP ORIGEN'!AA66</f>
        <v>19.14482112</v>
      </c>
    </row>
    <row r="67" spans="1:7" ht="24.95" hidden="1" customHeight="1">
      <c r="A67" s="351" t="str">
        <f>+Pobl_adoptada!A67</f>
        <v>General Alvear</v>
      </c>
      <c r="B67" s="70">
        <f>+Pobl_adoptada!B67</f>
        <v>63</v>
      </c>
      <c r="C67" s="353" t="str">
        <f>+Pobl_adoptada!C67</f>
        <v>General Alvear</v>
      </c>
      <c r="D67" s="270">
        <f>AVERAGE('RELLENO SANITARIO'!G67:Z67)</f>
        <v>7.3686895840000002</v>
      </c>
      <c r="E67" s="107">
        <f>ROUND(AVERAGE(Pobl_adoptada!H67:AA67),0)</f>
        <v>10602</v>
      </c>
      <c r="F67" s="270">
        <f>+'INGRESO A PS DE CA'!D67</f>
        <v>3.408048</v>
      </c>
      <c r="G67" s="567">
        <f>+'SEP ORIGEN'!AA67</f>
        <v>2.98126552</v>
      </c>
    </row>
    <row r="68" spans="1:7" ht="24.95" hidden="1" customHeight="1">
      <c r="A68" s="351" t="str">
        <f>+Pobl_adoptada!A68</f>
        <v>General Arenales</v>
      </c>
      <c r="B68" s="70">
        <f>+Pobl_adoptada!B68</f>
        <v>64</v>
      </c>
      <c r="C68" s="353" t="str">
        <f>+Pobl_adoptada!C68</f>
        <v>General Arenales</v>
      </c>
      <c r="D68" s="270">
        <f>AVERAGE('RELLENO SANITARIO'!G68:Z68)</f>
        <v>3.7318199200000008</v>
      </c>
      <c r="E68" s="107">
        <f>ROUND(AVERAGE(Pobl_adoptada!H68:AA68),0)</f>
        <v>5379</v>
      </c>
      <c r="F68" s="270">
        <f>+'INGRESO A PS DE CA'!D68</f>
        <v>1.7255980000000002</v>
      </c>
      <c r="G68" s="567">
        <f>+'SEP ORIGEN'!AA68</f>
        <v>1.5215350999999999</v>
      </c>
    </row>
    <row r="69" spans="1:7" ht="24.95" hidden="1" customHeight="1">
      <c r="A69" s="351" t="str">
        <f>+Pobl_adoptada!A69</f>
        <v>General Belgrano</v>
      </c>
      <c r="B69" s="70">
        <f>+Pobl_adoptada!B69</f>
        <v>65</v>
      </c>
      <c r="C69" s="353" t="str">
        <f>+Pobl_adoptada!C69</f>
        <v>General Belgrano</v>
      </c>
      <c r="D69" s="270">
        <f>AVERAGE('RELLENO SANITARIO'!G69:Z69)</f>
        <v>17.804965856000003</v>
      </c>
      <c r="E69" s="107">
        <f>ROUND(AVERAGE(Pobl_adoptada!H69:AA69),0)</f>
        <v>22333</v>
      </c>
      <c r="F69" s="270">
        <f>+'INGRESO A PS DE CA'!D69</f>
        <v>8.197616</v>
      </c>
      <c r="G69" s="567">
        <f>+'SEP ORIGEN'!AA69</f>
        <v>7.3353489299999994</v>
      </c>
    </row>
    <row r="70" spans="1:7" ht="24.95" hidden="1" customHeight="1">
      <c r="A70" s="351" t="str">
        <f>+Pobl_adoptada!A70</f>
        <v>General Guido</v>
      </c>
      <c r="B70" s="70">
        <f>+Pobl_adoptada!B70</f>
        <v>66</v>
      </c>
      <c r="C70" s="353" t="str">
        <f>+Pobl_adoptada!C70</f>
        <v>General Guido</v>
      </c>
      <c r="D70" s="270">
        <f>AVERAGE('RELLENO SANITARIO'!G70:Z70)</f>
        <v>1.1945802559999998</v>
      </c>
      <c r="E70" s="107">
        <f>ROUND(AVERAGE(Pobl_adoptada!H70:AA70),0)</f>
        <v>1724</v>
      </c>
      <c r="F70" s="270">
        <f>+'INGRESO A PS DE CA'!D70</f>
        <v>0.55094200000000004</v>
      </c>
      <c r="G70" s="567">
        <f>+'SEP ORIGEN'!AA70</f>
        <v>0.48971968000000005</v>
      </c>
    </row>
    <row r="71" spans="1:7" ht="24.95" hidden="1" customHeight="1">
      <c r="A71" s="351" t="str">
        <f>+Pobl_adoptada!A71</f>
        <v>General Juan Madariaga</v>
      </c>
      <c r="B71" s="70">
        <f>+Pobl_adoptada!B71</f>
        <v>67</v>
      </c>
      <c r="C71" s="353" t="str">
        <f>+Pobl_adoptada!C71</f>
        <v>General Juan Madariaga</v>
      </c>
      <c r="D71" s="270">
        <f>AVERAGE('RELLENO SANITARIO'!G71:Z71)</f>
        <v>20.118474368000001</v>
      </c>
      <c r="E71" s="107">
        <f>ROUND(AVERAGE(Pobl_adoptada!H71:AA71),0)</f>
        <v>25224</v>
      </c>
      <c r="F71" s="270">
        <f>+'INGRESO A PS DE CA'!D71</f>
        <v>9.2623860000000011</v>
      </c>
      <c r="G71" s="567">
        <f>+'SEP ORIGEN'!AA71</f>
        <v>8.2741045399999997</v>
      </c>
    </row>
    <row r="72" spans="1:7" ht="24.95" hidden="1" customHeight="1">
      <c r="A72" s="351" t="str">
        <f>+Pobl_adoptada!A72</f>
        <v>General La Madrid</v>
      </c>
      <c r="B72" s="70">
        <f>+Pobl_adoptada!B72</f>
        <v>68</v>
      </c>
      <c r="C72" s="353" t="str">
        <f>+Pobl_adoptada!C72</f>
        <v>General La Madrid</v>
      </c>
      <c r="D72" s="270">
        <f>AVERAGE('RELLENO SANITARIO'!G72:Z72)</f>
        <v>7.3504662239999989</v>
      </c>
      <c r="E72" s="107">
        <f>ROUND(AVERAGE(Pobl_adoptada!H72:AA72),0)</f>
        <v>10619</v>
      </c>
      <c r="F72" s="270">
        <f>+'INGRESO A PS DE CA'!D72</f>
        <v>3.3893719999999998</v>
      </c>
      <c r="G72" s="567">
        <f>+'SEP ORIGEN'!AA72</f>
        <v>3.0241697199999997</v>
      </c>
    </row>
    <row r="73" spans="1:7" ht="24.95" hidden="1" customHeight="1">
      <c r="A73" s="351" t="str">
        <f>+Pobl_adoptada!A73</f>
        <v>General Las Heras</v>
      </c>
      <c r="B73" s="70">
        <f>+Pobl_adoptada!B73</f>
        <v>69</v>
      </c>
      <c r="C73" s="353" t="str">
        <f>+Pobl_adoptada!C73</f>
        <v>General Las Heras</v>
      </c>
      <c r="D73" s="270">
        <f>AVERAGE('RELLENO SANITARIO'!G73:Z73)</f>
        <v>11.134731296</v>
      </c>
      <c r="E73" s="107">
        <f>ROUND(AVERAGE(Pobl_adoptada!H73:AA73),0)</f>
        <v>16076</v>
      </c>
      <c r="F73" s="270">
        <f>+'INGRESO A PS DE CA'!D73</f>
        <v>5.1465259999999997</v>
      </c>
      <c r="G73" s="567">
        <f>+'SEP ORIGEN'!AA73</f>
        <v>4.5688708800000004</v>
      </c>
    </row>
    <row r="74" spans="1:7" ht="24.95" hidden="1" customHeight="1">
      <c r="A74" s="351" t="str">
        <f>+Pobl_adoptada!A74</f>
        <v>General Lavalle</v>
      </c>
      <c r="B74" s="70">
        <f>+Pobl_adoptada!B74</f>
        <v>70</v>
      </c>
      <c r="C74" s="353" t="str">
        <f>+Pobl_adoptada!C74</f>
        <v>General Lavalle</v>
      </c>
      <c r="D74" s="270">
        <f>AVERAGE('RELLENO SANITARIO'!G74:Z74)</f>
        <v>2.3457122240000001</v>
      </c>
      <c r="E74" s="107">
        <f>ROUND(AVERAGE(Pobl_adoptada!H74:AA74),0)</f>
        <v>3402</v>
      </c>
      <c r="F74" s="270">
        <f>+'INGRESO A PS DE CA'!D74</f>
        <v>1.07226</v>
      </c>
      <c r="G74" s="567">
        <f>+'SEP ORIGEN'!AA74</f>
        <v>0.98021722000000011</v>
      </c>
    </row>
    <row r="75" spans="1:7" ht="24.95" hidden="1" customHeight="1">
      <c r="A75" s="351" t="str">
        <f>+Pobl_adoptada!A75</f>
        <v>General Paz</v>
      </c>
      <c r="B75" s="70">
        <f>+Pobl_adoptada!B75</f>
        <v>71</v>
      </c>
      <c r="C75" s="353" t="str">
        <f>+Pobl_adoptada!C75</f>
        <v>Ranchos</v>
      </c>
      <c r="D75" s="270">
        <f>AVERAGE('RELLENO SANITARIO'!G75:Z75)</f>
        <v>8.5516123360000016</v>
      </c>
      <c r="E75" s="107">
        <f>ROUND(AVERAGE(Pobl_adoptada!H75:AA75),0)</f>
        <v>12372</v>
      </c>
      <c r="F75" s="270">
        <f>+'INGRESO A PS DE CA'!D75</f>
        <v>3.9422460000000004</v>
      </c>
      <c r="G75" s="567">
        <f>+'SEP ORIGEN'!AA75</f>
        <v>3.5386295799999998</v>
      </c>
    </row>
    <row r="76" spans="1:7" ht="24.95" hidden="1" customHeight="1">
      <c r="A76" s="351" t="str">
        <f>+Pobl_adoptada!A76</f>
        <v>General Pinto</v>
      </c>
      <c r="B76" s="70">
        <f>+Pobl_adoptada!B76</f>
        <v>72</v>
      </c>
      <c r="C76" s="353" t="str">
        <f>+Pobl_adoptada!C76</f>
        <v>General Pinto</v>
      </c>
      <c r="D76" s="270">
        <f>AVERAGE('RELLENO SANITARIO'!G76:Z76)</f>
        <v>5.3377608799999994</v>
      </c>
      <c r="E76" s="107">
        <f>ROUND(AVERAGE(Pobl_adoptada!H76:AA76),0)</f>
        <v>7688</v>
      </c>
      <c r="F76" s="270">
        <f>+'INGRESO A PS DE CA'!D76</f>
        <v>2.4684519999999996</v>
      </c>
      <c r="G76" s="567">
        <f>+'SEP ORIGEN'!AA76</f>
        <v>2.1695164</v>
      </c>
    </row>
    <row r="77" spans="1:7" ht="24.95" hidden="1" customHeight="1">
      <c r="A77" s="351" t="str">
        <f>+Pobl_adoptada!A77</f>
        <v>General Pueyrredón</v>
      </c>
      <c r="B77" s="70">
        <f>+Pobl_adoptada!B77</f>
        <v>73</v>
      </c>
      <c r="C77" s="353" t="str">
        <f>+Pobl_adoptada!C77</f>
        <v>Mar del Plata</v>
      </c>
      <c r="D77" s="270">
        <f>AVERAGE('RELLENO SANITARIO'!G77:Z77)</f>
        <v>872.33440644000007</v>
      </c>
      <c r="E77" s="107">
        <f>ROUND(AVERAGE(Pobl_adoptada!H77:AA77),0)</f>
        <v>820473</v>
      </c>
      <c r="F77" s="270">
        <f>+'INGRESO A PS DE CA'!D77</f>
        <v>402.9195555</v>
      </c>
      <c r="G77" s="567">
        <f>+'SEP ORIGEN'!AA77</f>
        <v>355.66618320000003</v>
      </c>
    </row>
    <row r="78" spans="1:7" ht="24.95" hidden="1" customHeight="1">
      <c r="A78" s="351" t="str">
        <f>+Pobl_adoptada!A78</f>
        <v>General Rodríguez</v>
      </c>
      <c r="B78" s="70">
        <f>+Pobl_adoptada!B78</f>
        <v>74</v>
      </c>
      <c r="C78" s="353" t="str">
        <f>+Pobl_adoptada!C78</f>
        <v>General Rodríguez</v>
      </c>
      <c r="D78" s="270">
        <f>AVERAGE('RELLENO SANITARIO'!G78:Z78)</f>
        <v>155.45886993599999</v>
      </c>
      <c r="E78" s="107">
        <f>ROUND(AVERAGE(Pobl_adoptada!H78:AA78),0)</f>
        <v>203687</v>
      </c>
      <c r="F78" s="270">
        <f>+'INGRESO A PS DE CA'!D78</f>
        <v>71.184015000000002</v>
      </c>
      <c r="G78" s="567">
        <f>+'SEP ORIGEN'!AA78</f>
        <v>65.37784757999998</v>
      </c>
    </row>
    <row r="79" spans="1:7" ht="24.95" hidden="1" customHeight="1">
      <c r="A79" s="351" t="str">
        <f>+Pobl_adoptada!A79</f>
        <v>General Viamonte</v>
      </c>
      <c r="B79" s="70">
        <f>+Pobl_adoptada!B79</f>
        <v>75</v>
      </c>
      <c r="C79" s="353" t="str">
        <f>+Pobl_adoptada!C79</f>
        <v>Los Toldos</v>
      </c>
      <c r="D79" s="270">
        <f>AVERAGE('RELLENO SANITARIO'!G79:Z79)</f>
        <v>14.081941424000002</v>
      </c>
      <c r="E79" s="107">
        <f>ROUND(AVERAGE(Pobl_adoptada!H79:AA79),0)</f>
        <v>17613</v>
      </c>
      <c r="F79" s="270">
        <f>+'INGRESO A PS DE CA'!D79</f>
        <v>6.5117920000000007</v>
      </c>
      <c r="G79" s="567">
        <f>+'SEP ORIGEN'!AA79</f>
        <v>5.7342019699999991</v>
      </c>
    </row>
    <row r="80" spans="1:7" ht="24.95" hidden="1" customHeight="1">
      <c r="A80" s="351" t="str">
        <f>+Pobl_adoptada!A80</f>
        <v>General Villegas</v>
      </c>
      <c r="B80" s="70">
        <f>+Pobl_adoptada!B80</f>
        <v>76</v>
      </c>
      <c r="C80" s="353" t="str">
        <f>+Pobl_adoptada!C80</f>
        <v>General Villegas</v>
      </c>
      <c r="D80" s="270">
        <f>AVERAGE('RELLENO SANITARIO'!G80:Z80)</f>
        <v>20.319073432</v>
      </c>
      <c r="E80" s="107">
        <f>ROUND(AVERAGE(Pobl_adoptada!H80:AA80),0)</f>
        <v>25472</v>
      </c>
      <c r="F80" s="270">
        <f>+'INGRESO A PS DE CA'!D80</f>
        <v>9.3632980000000003</v>
      </c>
      <c r="G80" s="567">
        <f>+'SEP ORIGEN'!AA80</f>
        <v>8.3512269600000018</v>
      </c>
    </row>
    <row r="81" spans="1:7" ht="24.95" hidden="1" customHeight="1">
      <c r="A81" s="351" t="str">
        <f>+Pobl_adoptada!A81</f>
        <v>Guaminí</v>
      </c>
      <c r="B81" s="70">
        <f>+Pobl_adoptada!B81</f>
        <v>77</v>
      </c>
      <c r="C81" s="353" t="str">
        <f>+Pobl_adoptada!C81</f>
        <v>Guaminí</v>
      </c>
      <c r="D81" s="270">
        <f>AVERAGE('RELLENO SANITARIO'!G81:Z81)</f>
        <v>2.0584551040000005</v>
      </c>
      <c r="E81" s="107">
        <f>ROUND(AVERAGE(Pobl_adoptada!H81:AA81),0)</f>
        <v>2960</v>
      </c>
      <c r="F81" s="270">
        <f>+'INGRESO A PS DE CA'!D81</f>
        <v>0.95215399999999994</v>
      </c>
      <c r="G81" s="567">
        <f>+'SEP ORIGEN'!AA81</f>
        <v>0.83133361999999988</v>
      </c>
    </row>
    <row r="82" spans="1:7" ht="24.95" customHeight="1">
      <c r="A82" s="351" t="str">
        <f>+Pobl_adoptada!A82</f>
        <v>Hipólito Yrigoyen</v>
      </c>
      <c r="B82" s="70">
        <f>+Pobl_adoptada!B82</f>
        <v>78</v>
      </c>
      <c r="C82" s="353" t="str">
        <f>+Pobl_adoptada!C82</f>
        <v>Henderson</v>
      </c>
      <c r="D82" s="270">
        <f>AVERAGE('RELLENO SANITARIO'!G82:Z82)</f>
        <v>6.9550211520000005</v>
      </c>
      <c r="E82" s="107">
        <f>ROUND(AVERAGE(Pobl_adoptada!H82:AA82),0)</f>
        <v>10018</v>
      </c>
      <c r="F82" s="270">
        <f>+'INGRESO A PS DE CA'!D82</f>
        <v>3.2145259999999998</v>
      </c>
      <c r="G82" s="567">
        <f>+'SEP ORIGEN'!AA82</f>
        <v>2.8264060599999996</v>
      </c>
    </row>
    <row r="83" spans="1:7" ht="24.95" hidden="1" customHeight="1">
      <c r="A83" s="351" t="str">
        <f>+Pobl_adoptada!A83</f>
        <v>Junín</v>
      </c>
      <c r="B83" s="70">
        <f>+Pobl_adoptada!B83</f>
        <v>79</v>
      </c>
      <c r="C83" s="353" t="str">
        <f>+Pobl_adoptada!C83</f>
        <v>Junín</v>
      </c>
      <c r="D83" s="270">
        <f>AVERAGE('RELLENO SANITARIO'!G83:Z83)</f>
        <v>80.523946104000004</v>
      </c>
      <c r="E83" s="107">
        <f>ROUND(AVERAGE(Pobl_adoptada!H83:AA83),0)</f>
        <v>104637</v>
      </c>
      <c r="F83" s="270">
        <f>+'INGRESO A PS DE CA'!D83</f>
        <v>37.237598999999996</v>
      </c>
      <c r="G83" s="567">
        <f>+'SEP ORIGEN'!AA83</f>
        <v>32.757688619999996</v>
      </c>
    </row>
    <row r="84" spans="1:7" ht="24.95" hidden="1" customHeight="1">
      <c r="A84" s="351" t="str">
        <f>+Pobl_adoptada!A84</f>
        <v>La Costa</v>
      </c>
      <c r="B84" s="70">
        <f>+Pobl_adoptada!B84</f>
        <v>80</v>
      </c>
      <c r="C84" s="353" t="str">
        <f>+Pobl_adoptada!C84</f>
        <v>Mar de Ajó - San Bernardo</v>
      </c>
      <c r="D84" s="270">
        <f>AVERAGE('RELLENO SANITARIO'!G84:Z84)</f>
        <v>99.099957215999993</v>
      </c>
      <c r="E84" s="107">
        <f>ROUND(AVERAGE(Pobl_adoptada!H84:AA84),0)</f>
        <v>129750</v>
      </c>
      <c r="F84" s="270">
        <f>+'INGRESO A PS DE CA'!D84</f>
        <v>45.603893999999997</v>
      </c>
      <c r="G84" s="567">
        <f>+'SEP ORIGEN'!AA84</f>
        <v>41.555920979999996</v>
      </c>
    </row>
    <row r="85" spans="1:7" ht="24.95" hidden="1" customHeight="1">
      <c r="A85" s="351" t="str">
        <f>+Pobl_adoptada!A85</f>
        <v>La Costa</v>
      </c>
      <c r="B85" s="70">
        <f>+Pobl_adoptada!B85</f>
        <v>81</v>
      </c>
      <c r="C85" s="353" t="str">
        <f>+Pobl_adoptada!C85</f>
        <v>Santa Teresita - Mar del Tuyú</v>
      </c>
      <c r="D85" s="270">
        <f>AVERAGE('RELLENO SANITARIO'!G85:Z85)</f>
        <v>57.062706191999993</v>
      </c>
      <c r="E85" s="107">
        <f>ROUND(AVERAGE(Pobl_adoptada!H85:AA85),0)</f>
        <v>74428</v>
      </c>
      <c r="F85" s="270">
        <f>+'INGRESO A PS DE CA'!D85</f>
        <v>26.365164</v>
      </c>
      <c r="G85" s="567">
        <f>+'SEP ORIGEN'!AA85</f>
        <v>23.567636009999998</v>
      </c>
    </row>
    <row r="86" spans="1:7" ht="24.95" hidden="1" customHeight="1">
      <c r="A86" s="351" t="str">
        <f>+Pobl_adoptada!A86</f>
        <v>La Plata</v>
      </c>
      <c r="B86" s="70">
        <f>+Pobl_adoptada!B86</f>
        <v>82</v>
      </c>
      <c r="C86" s="353" t="str">
        <f>+Pobl_adoptada!C86</f>
        <v>La Plata</v>
      </c>
      <c r="D86" s="270">
        <f>AVERAGE('RELLENO SANITARIO'!G86:Z86)</f>
        <v>909.68263082399994</v>
      </c>
      <c r="E86" s="107">
        <f>ROUND(AVERAGE(Pobl_adoptada!H86:AA86),0)</f>
        <v>856722</v>
      </c>
      <c r="F86" s="270">
        <f>+'INGRESO A PS DE CA'!D86</f>
        <v>419.56876499999993</v>
      </c>
      <c r="G86" s="567">
        <f>+'SEP ORIGEN'!AA86</f>
        <v>372.86861959499998</v>
      </c>
    </row>
    <row r="87" spans="1:7" ht="24.95" hidden="1" customHeight="1">
      <c r="A87" s="351" t="str">
        <f>+Pobl_adoptada!A87</f>
        <v>Laprida</v>
      </c>
      <c r="B87" s="70">
        <f>+Pobl_adoptada!B87</f>
        <v>83</v>
      </c>
      <c r="C87" s="353" t="str">
        <f>+Pobl_adoptada!C87</f>
        <v>Laprida</v>
      </c>
      <c r="D87" s="270">
        <f>AVERAGE('RELLENO SANITARIO'!G87:Z87)</f>
        <v>7.6527469440000004</v>
      </c>
      <c r="E87" s="107">
        <f>ROUND(AVERAGE(Pobl_adoptada!H87:AA87),0)</f>
        <v>11035</v>
      </c>
      <c r="F87" s="270">
        <f>+'INGRESO A PS DE CA'!D87</f>
        <v>3.5336279999999998</v>
      </c>
      <c r="G87" s="567">
        <f>+'SEP ORIGEN'!AA87</f>
        <v>3.1243738200000006</v>
      </c>
    </row>
    <row r="88" spans="1:7" ht="24.95" hidden="1" customHeight="1">
      <c r="A88" s="351" t="str">
        <f>+Pobl_adoptada!A88</f>
        <v>Las Flores</v>
      </c>
      <c r="B88" s="70">
        <f>+Pobl_adoptada!B88</f>
        <v>84</v>
      </c>
      <c r="C88" s="353" t="str">
        <f>+Pobl_adoptada!C88</f>
        <v>Las Flores</v>
      </c>
      <c r="D88" s="270">
        <f>AVERAGE('RELLENO SANITARIO'!G88:Z88)</f>
        <v>22.454112712000001</v>
      </c>
      <c r="E88" s="107">
        <f>ROUND(AVERAGE(Pobl_adoptada!H88:AA88),0)</f>
        <v>28152</v>
      </c>
      <c r="F88" s="270">
        <f>+'INGRESO A PS DE CA'!D88</f>
        <v>10.354239</v>
      </c>
      <c r="G88" s="567">
        <f>+'SEP ORIGEN'!AA88</f>
        <v>9.2343553599999986</v>
      </c>
    </row>
    <row r="89" spans="1:7" ht="24.95" hidden="1" customHeight="1">
      <c r="A89" s="351" t="str">
        <f>+Pobl_adoptada!A89</f>
        <v>Leandro N. Alem</v>
      </c>
      <c r="B89" s="70">
        <f>+Pobl_adoptada!B89</f>
        <v>85</v>
      </c>
      <c r="C89" s="353" t="str">
        <f>+Pobl_adoptada!C89</f>
        <v>Vedia</v>
      </c>
      <c r="D89" s="270">
        <f>AVERAGE('RELLENO SANITARIO'!G89:Z89)</f>
        <v>7.6028792639999994</v>
      </c>
      <c r="E89" s="107">
        <f>ROUND(AVERAGE(Pobl_adoptada!H89:AA89),0)</f>
        <v>10959</v>
      </c>
      <c r="F89" s="270">
        <f>+'INGRESO A PS DE CA'!D89</f>
        <v>3.5155959999999999</v>
      </c>
      <c r="G89" s="567">
        <f>+'SEP ORIGEN'!AA89</f>
        <v>3.0995959200000001</v>
      </c>
    </row>
    <row r="90" spans="1:7" ht="24.95" hidden="1" customHeight="1">
      <c r="A90" s="351" t="str">
        <f>+Pobl_adoptada!A90</f>
        <v>Lincoln</v>
      </c>
      <c r="B90" s="70">
        <f>+Pobl_adoptada!B90</f>
        <v>86</v>
      </c>
      <c r="C90" s="353" t="str">
        <f>+Pobl_adoptada!C90</f>
        <v>Lincoln</v>
      </c>
      <c r="D90" s="270">
        <f>AVERAGE('RELLENO SANITARIO'!G90:Z90)</f>
        <v>25.237431880000006</v>
      </c>
      <c r="E90" s="107">
        <f>ROUND(AVERAGE(Pobl_adoptada!H90:AA90),0)</f>
        <v>31535</v>
      </c>
      <c r="F90" s="270">
        <f>+'INGRESO A PS DE CA'!D90</f>
        <v>11.668321000000001</v>
      </c>
      <c r="G90" s="567">
        <f>+'SEP ORIGEN'!AA90</f>
        <v>10.236488900000001</v>
      </c>
    </row>
    <row r="91" spans="1:7" ht="24.95" hidden="1" customHeight="1">
      <c r="A91" s="351" t="str">
        <f>+Pobl_adoptada!A91</f>
        <v>Lobería</v>
      </c>
      <c r="B91" s="70">
        <f>+Pobl_adoptada!B91</f>
        <v>87</v>
      </c>
      <c r="C91" s="353" t="str">
        <f>+Pobl_adoptada!C91</f>
        <v>Lobería</v>
      </c>
      <c r="D91" s="270">
        <f>AVERAGE('RELLENO SANITARIO'!G91:Z91)</f>
        <v>10.826968480000001</v>
      </c>
      <c r="E91" s="107">
        <f>ROUND(AVERAGE(Pobl_adoptada!H91:AA91),0)</f>
        <v>15603</v>
      </c>
      <c r="F91" s="270">
        <f>+'INGRESO A PS DE CA'!D91</f>
        <v>5.0019479999999996</v>
      </c>
      <c r="G91" s="567">
        <f>+'SEP ORIGEN'!AA91</f>
        <v>4.4094518999999996</v>
      </c>
    </row>
    <row r="92" spans="1:7" ht="24.95" hidden="1" customHeight="1">
      <c r="A92" s="351" t="str">
        <f>+Pobl_adoptada!A92</f>
        <v>Lobos</v>
      </c>
      <c r="B92" s="70">
        <f>+Pobl_adoptada!B92</f>
        <v>88</v>
      </c>
      <c r="C92" s="353" t="str">
        <f>+Pobl_adoptada!C92</f>
        <v>Lobos</v>
      </c>
      <c r="D92" s="270">
        <f>AVERAGE('RELLENO SANITARIO'!G92:Z92)</f>
        <v>32.013558623999998</v>
      </c>
      <c r="E92" s="107">
        <f>ROUND(AVERAGE(Pobl_adoptada!H92:AA92),0)</f>
        <v>40110</v>
      </c>
      <c r="F92" s="270">
        <f>+'INGRESO A PS DE CA'!D92</f>
        <v>14.763202999999999</v>
      </c>
      <c r="G92" s="567">
        <f>+'SEP ORIGEN'!AA92</f>
        <v>13.128404219999998</v>
      </c>
    </row>
    <row r="93" spans="1:7" ht="24.95" hidden="1" customHeight="1">
      <c r="A93" s="351" t="str">
        <f>+Pobl_adoptada!A93</f>
        <v>Luján</v>
      </c>
      <c r="B93" s="70">
        <f>+Pobl_adoptada!B93</f>
        <v>89</v>
      </c>
      <c r="C93" s="353" t="str">
        <f>+Pobl_adoptada!C93</f>
        <v>Luján</v>
      </c>
      <c r="D93" s="270">
        <f>AVERAGE('RELLENO SANITARIO'!G93:Z93)</f>
        <v>111.37455112800001</v>
      </c>
      <c r="E93" s="107">
        <f>ROUND(AVERAGE(Pobl_adoptada!H93:AA93),0)</f>
        <v>145182</v>
      </c>
      <c r="F93" s="270">
        <f>+'INGRESO A PS DE CA'!D93</f>
        <v>51.466547999999996</v>
      </c>
      <c r="G93" s="567">
        <f>+'SEP ORIGEN'!AA93</f>
        <v>45.888351089999986</v>
      </c>
    </row>
    <row r="94" spans="1:7" ht="24.95" hidden="1" customHeight="1">
      <c r="A94" s="351" t="str">
        <f>+Pobl_adoptada!A94</f>
        <v>Magdalena</v>
      </c>
      <c r="B94" s="70">
        <f>+Pobl_adoptada!B94</f>
        <v>90</v>
      </c>
      <c r="C94" s="353" t="str">
        <f>+Pobl_adoptada!C94</f>
        <v>Magdalena</v>
      </c>
      <c r="D94" s="270">
        <f>AVERAGE('RELLENO SANITARIO'!G94:Z94)</f>
        <v>10.838481728000001</v>
      </c>
      <c r="E94" s="107">
        <f>ROUND(AVERAGE(Pobl_adoptada!H94:AA94),0)</f>
        <v>15649</v>
      </c>
      <c r="F94" s="270">
        <f>+'INGRESO A PS DE CA'!D94</f>
        <v>5.0096759999999998</v>
      </c>
      <c r="G94" s="567">
        <f>+'SEP ORIGEN'!AA94</f>
        <v>4.4476728400000001</v>
      </c>
    </row>
    <row r="95" spans="1:7" ht="24.95" hidden="1" customHeight="1">
      <c r="A95" s="351" t="str">
        <f>+Pobl_adoptada!A95</f>
        <v>Maipú</v>
      </c>
      <c r="B95" s="70">
        <f>+Pobl_adoptada!B95</f>
        <v>91</v>
      </c>
      <c r="C95" s="353" t="str">
        <f>+Pobl_adoptada!C95</f>
        <v>Maipú</v>
      </c>
      <c r="D95" s="270">
        <f>AVERAGE('RELLENO SANITARIO'!G95:Z95)</f>
        <v>7.0658160159999994</v>
      </c>
      <c r="E95" s="107">
        <f>ROUND(AVERAGE(Pobl_adoptada!H95:AA95),0)</f>
        <v>10172</v>
      </c>
      <c r="F95" s="270">
        <f>+'INGRESO A PS DE CA'!D95</f>
        <v>3.2679779999999998</v>
      </c>
      <c r="G95" s="567">
        <f>+'SEP ORIGEN'!AA95</f>
        <v>2.8655874799999999</v>
      </c>
    </row>
    <row r="96" spans="1:7" ht="24.95" hidden="1" customHeight="1">
      <c r="A96" s="351" t="str">
        <f>+Pobl_adoptada!A96</f>
        <v>Mar Chiquita</v>
      </c>
      <c r="B96" s="70">
        <f>+Pobl_adoptada!B96</f>
        <v>92</v>
      </c>
      <c r="C96" s="353" t="str">
        <f>+Pobl_adoptada!C96</f>
        <v>Coronel Vidal</v>
      </c>
      <c r="D96" s="270">
        <f>AVERAGE('RELLENO SANITARIO'!G96:Z96)</f>
        <v>6.0716117600000006</v>
      </c>
      <c r="E96" s="107">
        <f>ROUND(AVERAGE(Pobl_adoptada!H96:AA96),0)</f>
        <v>8771</v>
      </c>
      <c r="F96" s="270">
        <f>+'INGRESO A PS DE CA'!D96</f>
        <v>2.7997899999999998</v>
      </c>
      <c r="G96" s="567">
        <f>+'SEP ORIGEN'!AA96</f>
        <v>2.4975952999999995</v>
      </c>
    </row>
    <row r="97" spans="1:7" ht="24.95" hidden="1" customHeight="1">
      <c r="A97" s="351" t="str">
        <f>+Pobl_adoptada!A97</f>
        <v>Marcos Paz</v>
      </c>
      <c r="B97" s="70">
        <f>+Pobl_adoptada!B97</f>
        <v>93</v>
      </c>
      <c r="C97" s="353" t="str">
        <f>+Pobl_adoptada!C97</f>
        <v>Marcos Paz</v>
      </c>
      <c r="D97" s="270">
        <f>AVERAGE('RELLENO SANITARIO'!G97:Z97)</f>
        <v>64.934796912000024</v>
      </c>
      <c r="E97" s="107">
        <f>ROUND(AVERAGE(Pobl_adoptada!H97:AA97),0)</f>
        <v>84705</v>
      </c>
      <c r="F97" s="270">
        <f>+'INGRESO A PS DE CA'!D97</f>
        <v>30.001565999999993</v>
      </c>
      <c r="G97" s="567">
        <f>+'SEP ORIGEN'!AA97</f>
        <v>26.830570109999996</v>
      </c>
    </row>
    <row r="98" spans="1:7" ht="24.95" hidden="1" customHeight="1">
      <c r="A98" s="351" t="str">
        <f>+Pobl_adoptada!A98</f>
        <v>Mercedes</v>
      </c>
      <c r="B98" s="70">
        <f>+Pobl_adoptada!B98</f>
        <v>94</v>
      </c>
      <c r="C98" s="353" t="str">
        <f>+Pobl_adoptada!C98</f>
        <v>Mercedes</v>
      </c>
      <c r="D98" s="270">
        <f>AVERAGE('RELLENO SANITARIO'!G98:Z98)</f>
        <v>53.587953792000008</v>
      </c>
      <c r="E98" s="107">
        <f>ROUND(AVERAGE(Pobl_adoptada!H98:AA98),0)</f>
        <v>69691</v>
      </c>
      <c r="F98" s="270">
        <f>+'INGRESO A PS DE CA'!D98</f>
        <v>24.745455</v>
      </c>
      <c r="G98" s="567">
        <f>+'SEP ORIGEN'!AA98</f>
        <v>21.871337759999996</v>
      </c>
    </row>
    <row r="99" spans="1:7" ht="24.95" hidden="1" customHeight="1">
      <c r="A99" s="351" t="str">
        <f>+Pobl_adoptada!A99</f>
        <v>Monte</v>
      </c>
      <c r="B99" s="70">
        <f>+Pobl_adoptada!B99</f>
        <v>95</v>
      </c>
      <c r="C99" s="353" t="str">
        <f>+Pobl_adoptada!C99</f>
        <v>San Miguel del Monte</v>
      </c>
      <c r="D99" s="270">
        <f>AVERAGE('RELLENO SANITARIO'!G99:Z99)</f>
        <v>20.016029608000004</v>
      </c>
      <c r="E99" s="107">
        <f>ROUND(AVERAGE(Pobl_adoptada!H99:AA99),0)</f>
        <v>25097</v>
      </c>
      <c r="F99" s="270">
        <f>+'INGRESO A PS DE CA'!D99</f>
        <v>9.2505140000000008</v>
      </c>
      <c r="G99" s="567">
        <f>+'SEP ORIGEN'!AA99</f>
        <v>8.2333554899999992</v>
      </c>
    </row>
    <row r="100" spans="1:7" ht="24.95" hidden="1" customHeight="1">
      <c r="A100" s="351" t="str">
        <f>+Pobl_adoptada!A100</f>
        <v>Monte Hermoso</v>
      </c>
      <c r="B100" s="70">
        <f>+Pobl_adoptada!B100</f>
        <v>96</v>
      </c>
      <c r="C100" s="353" t="str">
        <f>+Pobl_adoptada!C100</f>
        <v>Monte Hermoso</v>
      </c>
      <c r="D100" s="270">
        <f>AVERAGE('RELLENO SANITARIO'!G100:Z100)</f>
        <v>20.911354792000004</v>
      </c>
      <c r="E100" s="107">
        <f>ROUND(AVERAGE(Pobl_adoptada!H100:AA100),0)</f>
        <v>26299</v>
      </c>
      <c r="F100" s="270">
        <f>+'INGRESO A PS DE CA'!D100</f>
        <v>9.5985119999999995</v>
      </c>
      <c r="G100" s="567">
        <f>+'SEP ORIGEN'!AA100</f>
        <v>8.7071802599999994</v>
      </c>
    </row>
    <row r="101" spans="1:7" ht="24.95" hidden="1" customHeight="1">
      <c r="A101" s="351" t="str">
        <f>+Pobl_adoptada!A101</f>
        <v>Navarro</v>
      </c>
      <c r="B101" s="70">
        <f>+Pobl_adoptada!B101</f>
        <v>97</v>
      </c>
      <c r="C101" s="353" t="str">
        <f>+Pobl_adoptada!C101</f>
        <v>Navarro</v>
      </c>
      <c r="D101" s="270">
        <f>AVERAGE('RELLENO SANITARIO'!G101:Z101)</f>
        <v>15.479222824000001</v>
      </c>
      <c r="E101" s="107">
        <f>ROUND(AVERAGE(Pobl_adoptada!H101:AA101),0)</f>
        <v>19419</v>
      </c>
      <c r="F101" s="270">
        <f>+'INGRESO A PS DE CA'!D101</f>
        <v>7.1246840000000002</v>
      </c>
      <c r="G101" s="567">
        <f>+'SEP ORIGEN'!AA101</f>
        <v>6.381742720000001</v>
      </c>
    </row>
    <row r="102" spans="1:7" ht="24.95" hidden="1" customHeight="1">
      <c r="A102" s="351" t="str">
        <f>+Pobl_adoptada!A102</f>
        <v>Necochea</v>
      </c>
      <c r="B102" s="70">
        <f>+Pobl_adoptada!B102</f>
        <v>98</v>
      </c>
      <c r="C102" s="353" t="str">
        <f>+Pobl_adoptada!C102</f>
        <v>Necochea - Quequén</v>
      </c>
      <c r="D102" s="270">
        <f>AVERAGE('RELLENO SANITARIO'!G102:Z102)</f>
        <v>92.71010764799999</v>
      </c>
      <c r="E102" s="107">
        <f>ROUND(AVERAGE(Pobl_adoptada!H102:AA102),0)</f>
        <v>120686</v>
      </c>
      <c r="F102" s="270">
        <f>+'INGRESO A PS DE CA'!D102</f>
        <v>42.720405</v>
      </c>
      <c r="G102" s="567">
        <f>+'SEP ORIGEN'!AA102</f>
        <v>37.987525439999999</v>
      </c>
    </row>
    <row r="103" spans="1:7" ht="24.95" hidden="1" customHeight="1">
      <c r="A103" s="351" t="str">
        <f>+Pobl_adoptada!A103</f>
        <v>Olavarría</v>
      </c>
      <c r="B103" s="70">
        <f>+Pobl_adoptada!B103</f>
        <v>99</v>
      </c>
      <c r="C103" s="353" t="str">
        <f>+Pobl_adoptada!C103</f>
        <v>Olavarría</v>
      </c>
      <c r="D103" s="270">
        <f>AVERAGE('RELLENO SANITARIO'!G103:Z103)</f>
        <v>83.996342712000001</v>
      </c>
      <c r="E103" s="107">
        <f>ROUND(AVERAGE(Pobl_adoptada!H103:AA103),0)</f>
        <v>109204</v>
      </c>
      <c r="F103" s="270">
        <f>+'INGRESO A PS DE CA'!D103</f>
        <v>38.798759999999994</v>
      </c>
      <c r="G103" s="567">
        <f>+'SEP ORIGEN'!AA103</f>
        <v>34.239544110000011</v>
      </c>
    </row>
    <row r="104" spans="1:7" ht="24.95" hidden="1" customHeight="1">
      <c r="A104" s="351" t="str">
        <f>+Pobl_adoptada!A104</f>
        <v>Patagones</v>
      </c>
      <c r="B104" s="70">
        <f>+Pobl_adoptada!B104</f>
        <v>100</v>
      </c>
      <c r="C104" s="353" t="str">
        <f>+Pobl_adoptada!C104</f>
        <v>Carmen de Patagones</v>
      </c>
      <c r="D104" s="270">
        <f>AVERAGE('RELLENO SANITARIO'!G104:Z104)</f>
        <v>26.388763176000005</v>
      </c>
      <c r="E104" s="107">
        <f>ROUND(AVERAGE(Pobl_adoptada!H104:AA104),0)</f>
        <v>33146</v>
      </c>
      <c r="F104" s="270">
        <f>+'INGRESO A PS DE CA'!D104</f>
        <v>12.127619000000001</v>
      </c>
      <c r="G104" s="567">
        <f>+'SEP ORIGEN'!AA104</f>
        <v>10.932761029999998</v>
      </c>
    </row>
    <row r="105" spans="1:7" ht="24.95" customHeight="1">
      <c r="A105" s="351" t="str">
        <f>+Pobl_adoptada!A105</f>
        <v>Pehuajó</v>
      </c>
      <c r="B105" s="70">
        <f>+Pobl_adoptada!B105</f>
        <v>101</v>
      </c>
      <c r="C105" s="353" t="str">
        <f>+Pobl_adoptada!C105</f>
        <v>Pehuajó</v>
      </c>
      <c r="D105" s="270">
        <f>AVERAGE('RELLENO SANITARIO'!G105:Z105)</f>
        <v>29.334794888000005</v>
      </c>
      <c r="E105" s="107">
        <f>ROUND(AVERAGE(Pobl_adoptada!H105:AA105),0)</f>
        <v>36669</v>
      </c>
      <c r="F105" s="270">
        <f>+'INGRESO A PS DE CA'!D105</f>
        <v>13.566728000000001</v>
      </c>
      <c r="G105" s="567">
        <f>+'SEP ORIGEN'!AA105</f>
        <v>11.917997640000001</v>
      </c>
    </row>
    <row r="106" spans="1:7" ht="24.95" hidden="1" customHeight="1">
      <c r="A106" s="351" t="str">
        <f>+Pobl_adoptada!A106</f>
        <v>Pellegrini</v>
      </c>
      <c r="B106" s="70">
        <f>+Pobl_adoptada!B106</f>
        <v>102</v>
      </c>
      <c r="C106" s="353" t="str">
        <f>+Pobl_adoptada!C106</f>
        <v>Pellegrini</v>
      </c>
      <c r="D106" s="270">
        <f>AVERAGE('RELLENO SANITARIO'!G106:Z106)</f>
        <v>4.1063467679999999</v>
      </c>
      <c r="E106" s="107">
        <f>ROUND(AVERAGE(Pobl_adoptada!H106:AA106),0)</f>
        <v>5913</v>
      </c>
      <c r="F106" s="270">
        <f>+'INGRESO A PS DE CA'!D106</f>
        <v>1.8991559999999996</v>
      </c>
      <c r="G106" s="567">
        <f>+'SEP ORIGEN'!AA106</f>
        <v>1.6665565399999998</v>
      </c>
    </row>
    <row r="107" spans="1:7" ht="24.95" hidden="1" customHeight="1">
      <c r="A107" s="351" t="str">
        <f>+Pobl_adoptada!A107</f>
        <v>Pergamino</v>
      </c>
      <c r="B107" s="70">
        <f>+Pobl_adoptada!B107</f>
        <v>103</v>
      </c>
      <c r="C107" s="353" t="str">
        <f>+Pobl_adoptada!C107</f>
        <v>Pergamino</v>
      </c>
      <c r="D107" s="270">
        <f>AVERAGE('RELLENO SANITARIO'!G107:Z107)</f>
        <v>82.860197759999991</v>
      </c>
      <c r="E107" s="107">
        <f>ROUND(AVERAGE(Pobl_adoptada!H107:AA107),0)</f>
        <v>107657</v>
      </c>
      <c r="F107" s="270">
        <f>+'INGRESO A PS DE CA'!D107</f>
        <v>38.319309000000004</v>
      </c>
      <c r="G107" s="567">
        <f>+'SEP ORIGEN'!AA107</f>
        <v>33.687619049999995</v>
      </c>
    </row>
    <row r="108" spans="1:7" ht="24.95" hidden="1" customHeight="1">
      <c r="A108" s="351" t="str">
        <f>+Pobl_adoptada!A108</f>
        <v>Pila</v>
      </c>
      <c r="B108" s="70">
        <f>+Pobl_adoptada!B108</f>
        <v>104</v>
      </c>
      <c r="C108" s="353" t="str">
        <f>+Pobl_adoptada!C108</f>
        <v>Pila</v>
      </c>
      <c r="D108" s="270">
        <f>AVERAGE('RELLENO SANITARIO'!G108:Z108)</f>
        <v>2.915574576</v>
      </c>
      <c r="E108" s="107">
        <f>ROUND(AVERAGE(Pobl_adoptada!H108:AA108),0)</f>
        <v>4223</v>
      </c>
      <c r="F108" s="270">
        <f>+'INGRESO A PS DE CA'!D108</f>
        <v>1.3369439999999999</v>
      </c>
      <c r="G108" s="567">
        <f>+'SEP ORIGEN'!AA108</f>
        <v>1.2116942800000001</v>
      </c>
    </row>
    <row r="109" spans="1:7" ht="24.95" hidden="1" customHeight="1">
      <c r="A109" s="351" t="str">
        <f>+Pobl_adoptada!A109</f>
        <v>Pilar</v>
      </c>
      <c r="B109" s="70">
        <f>+Pobl_adoptada!B109</f>
        <v>105</v>
      </c>
      <c r="C109" s="353" t="str">
        <f>+Pobl_adoptada!C109</f>
        <v>Pilar</v>
      </c>
      <c r="D109" s="270">
        <f>AVERAGE('RELLENO SANITARIO'!G109:Z109)</f>
        <v>544.68192670800011</v>
      </c>
      <c r="E109" s="107">
        <f>ROUND(AVERAGE(Pobl_adoptada!H109:AA109),0)</f>
        <v>514135</v>
      </c>
      <c r="F109" s="270">
        <f>+'INGRESO A PS DE CA'!D109</f>
        <v>251.64206549999997</v>
      </c>
      <c r="G109" s="567">
        <f>+'SEP ORIGEN'!AA109</f>
        <v>225.31079348999998</v>
      </c>
    </row>
    <row r="110" spans="1:7" ht="24.95" hidden="1" customHeight="1">
      <c r="A110" s="351" t="str">
        <f>+Pobl_adoptada!A110</f>
        <v>Pinamar</v>
      </c>
      <c r="B110" s="70">
        <f>+Pobl_adoptada!B110</f>
        <v>106</v>
      </c>
      <c r="C110" s="353" t="str">
        <f>+Pobl_adoptada!C110</f>
        <v>Pinamar</v>
      </c>
      <c r="D110" s="270">
        <f>AVERAGE('RELLENO SANITARIO'!G110:Z110)</f>
        <v>63.264053232000002</v>
      </c>
      <c r="E110" s="107">
        <f>ROUND(AVERAGE(Pobl_adoptada!H110:AA110),0)</f>
        <v>82772</v>
      </c>
      <c r="F110" s="270">
        <f>+'INGRESO A PS DE CA'!D110</f>
        <v>29.008748999999995</v>
      </c>
      <c r="G110" s="567">
        <f>+'SEP ORIGEN'!AA110</f>
        <v>26.454042210000001</v>
      </c>
    </row>
    <row r="111" spans="1:7" ht="24.95" hidden="1" customHeight="1">
      <c r="A111" s="351" t="str">
        <f>+Pobl_adoptada!A111</f>
        <v>Presidente Perón</v>
      </c>
      <c r="B111" s="70">
        <f>+Pobl_adoptada!B111</f>
        <v>107</v>
      </c>
      <c r="C111" s="353" t="str">
        <f>+Pobl_adoptada!C111</f>
        <v>Presidente Perón</v>
      </c>
      <c r="D111" s="270">
        <f>AVERAGE('RELLENO SANITARIO'!G111:Z111)</f>
        <v>102.76307587200002</v>
      </c>
      <c r="E111" s="107">
        <f>ROUND(AVERAGE(Pobl_adoptada!H111:AA111),0)</f>
        <v>134053</v>
      </c>
      <c r="F111" s="270">
        <f>+'INGRESO A PS DE CA'!D111</f>
        <v>47.479214999999996</v>
      </c>
      <c r="G111" s="567">
        <f>+'SEP ORIGEN'!AA111</f>
        <v>42.463347659999997</v>
      </c>
    </row>
    <row r="112" spans="1:7" ht="24.95" hidden="1" customHeight="1">
      <c r="A112" s="351" t="str">
        <f>+Pobl_adoptada!A112</f>
        <v>Puán</v>
      </c>
      <c r="B112" s="70">
        <f>+Pobl_adoptada!B112</f>
        <v>108</v>
      </c>
      <c r="C112" s="353" t="str">
        <f>+Pobl_adoptada!C112</f>
        <v>Puán</v>
      </c>
      <c r="D112" s="270">
        <f>AVERAGE('RELLENO SANITARIO'!G112:Z112)</f>
        <v>3.8965922879999999</v>
      </c>
      <c r="E112" s="107">
        <f>ROUND(AVERAGE(Pobl_adoptada!H112:AA112),0)</f>
        <v>5624</v>
      </c>
      <c r="F112" s="270">
        <f>+'INGRESO A PS DE CA'!D112</f>
        <v>1.7967599999999999</v>
      </c>
      <c r="G112" s="567">
        <f>+'SEP ORIGEN'!AA112</f>
        <v>1.59691714</v>
      </c>
    </row>
    <row r="113" spans="1:7" ht="24.95" hidden="1" customHeight="1">
      <c r="A113" s="351" t="str">
        <f>+Pobl_adoptada!A113</f>
        <v>Punta Indio</v>
      </c>
      <c r="B113" s="70">
        <f>+Pobl_adoptada!B113</f>
        <v>109</v>
      </c>
      <c r="C113" s="353" t="str">
        <f>+Pobl_adoptada!C113</f>
        <v>Verónica</v>
      </c>
      <c r="D113" s="270">
        <f>AVERAGE('RELLENO SANITARIO'!G113:Z113)</f>
        <v>7.3999703200000013</v>
      </c>
      <c r="E113" s="107">
        <f>ROUND(AVERAGE(Pobl_adoptada!H113:AA113),0)</f>
        <v>10711</v>
      </c>
      <c r="F113" s="270">
        <f>+'INGRESO A PS DE CA'!D113</f>
        <v>3.4003200000000002</v>
      </c>
      <c r="G113" s="567">
        <f>+'SEP ORIGEN'!AA113</f>
        <v>3.0676871000000001</v>
      </c>
    </row>
    <row r="114" spans="1:7" ht="24.95" hidden="1" customHeight="1">
      <c r="A114" s="351" t="str">
        <f>+Pobl_adoptada!A114</f>
        <v>Ramallo</v>
      </c>
      <c r="B114" s="70">
        <f>+Pobl_adoptada!B114</f>
        <v>110</v>
      </c>
      <c r="C114" s="353" t="str">
        <f>+Pobl_adoptada!C114</f>
        <v>Ramallo</v>
      </c>
      <c r="D114" s="270">
        <f>AVERAGE('RELLENO SANITARIO'!G114:Z114)</f>
        <v>15.19791324</v>
      </c>
      <c r="E114" s="107">
        <f>ROUND(AVERAGE(Pobl_adoptada!H114:AA114),0)</f>
        <v>19059</v>
      </c>
      <c r="F114" s="270">
        <f>+'INGRESO A PS DE CA'!D114</f>
        <v>6.9992860000000006</v>
      </c>
      <c r="G114" s="567">
        <f>+'SEP ORIGEN'!AA114</f>
        <v>6.2561809499999992</v>
      </c>
    </row>
    <row r="115" spans="1:7" ht="24.95" hidden="1" customHeight="1">
      <c r="A115" s="351" t="str">
        <f>+Pobl_adoptada!A115</f>
        <v>Rauch</v>
      </c>
      <c r="B115" s="70">
        <f>+Pobl_adoptada!B115</f>
        <v>111</v>
      </c>
      <c r="C115" s="353" t="str">
        <f>+Pobl_adoptada!C115</f>
        <v>Rauch</v>
      </c>
      <c r="D115" s="270">
        <f>AVERAGE('RELLENO SANITARIO'!G115:Z115)</f>
        <v>11.050858207999999</v>
      </c>
      <c r="E115" s="107">
        <f>ROUND(AVERAGE(Pobl_adoptada!H115:AA115),0)</f>
        <v>15932</v>
      </c>
      <c r="F115" s="270">
        <f>+'INGRESO A PS DE CA'!D115</f>
        <v>5.109496</v>
      </c>
      <c r="G115" s="567">
        <f>+'SEP ORIGEN'!AA115</f>
        <v>4.5082272400000001</v>
      </c>
    </row>
    <row r="116" spans="1:7" ht="24.95" hidden="1" customHeight="1">
      <c r="A116" s="351" t="str">
        <f>+Pobl_adoptada!A116</f>
        <v>Rivadavia</v>
      </c>
      <c r="B116" s="70">
        <f>+Pobl_adoptada!B116</f>
        <v>112</v>
      </c>
      <c r="C116" s="353" t="str">
        <f>+Pobl_adoptada!C116</f>
        <v>América</v>
      </c>
      <c r="D116" s="270">
        <f>AVERAGE('RELLENO SANITARIO'!G116:Z116)</f>
        <v>10.558557008000003</v>
      </c>
      <c r="E116" s="107">
        <f>ROUND(AVERAGE(Pobl_adoptada!H116:AA116),0)</f>
        <v>15230</v>
      </c>
      <c r="F116" s="270">
        <f>+'INGRESO A PS DE CA'!D116</f>
        <v>4.8815200000000001</v>
      </c>
      <c r="G116" s="567">
        <f>+'SEP ORIGEN'!AA116</f>
        <v>4.3157862400000004</v>
      </c>
    </row>
    <row r="117" spans="1:7" ht="24.95" hidden="1" customHeight="1">
      <c r="A117" s="351" t="str">
        <f>+Pobl_adoptada!A117</f>
        <v>Rojas</v>
      </c>
      <c r="B117" s="70">
        <f>+Pobl_adoptada!B117</f>
        <v>113</v>
      </c>
      <c r="C117" s="353" t="str">
        <f>+Pobl_adoptada!C117</f>
        <v>Rojas</v>
      </c>
      <c r="D117" s="270">
        <f>AVERAGE('RELLENO SANITARIO'!G117:Z117)</f>
        <v>18.487353152000004</v>
      </c>
      <c r="E117" s="107">
        <f>ROUND(AVERAGE(Pobl_adoptada!H117:AA117),0)</f>
        <v>23114</v>
      </c>
      <c r="F117" s="270">
        <f>+'INGRESO A PS DE CA'!D117</f>
        <v>8.5437589999999997</v>
      </c>
      <c r="G117" s="567">
        <f>+'SEP ORIGEN'!AA117</f>
        <v>7.5172560599999994</v>
      </c>
    </row>
    <row r="118" spans="1:7" ht="24.95" hidden="1" customHeight="1">
      <c r="A118" s="351" t="str">
        <f>+Pobl_adoptada!A118</f>
        <v>Roque Pérez</v>
      </c>
      <c r="B118" s="70">
        <f>+Pobl_adoptada!B118</f>
        <v>114</v>
      </c>
      <c r="C118" s="353" t="str">
        <f>+Pobl_adoptada!C118</f>
        <v>Roque Pérez</v>
      </c>
      <c r="D118" s="270">
        <f>AVERAGE('RELLENO SANITARIO'!G118:Z118)</f>
        <v>11.198584448000004</v>
      </c>
      <c r="E118" s="107">
        <f>ROUND(AVERAGE(Pobl_adoptada!H118:AA118),0)</f>
        <v>16185</v>
      </c>
      <c r="F118" s="270">
        <f>+'INGRESO A PS DE CA'!D118</f>
        <v>5.1748620000000001</v>
      </c>
      <c r="G118" s="567">
        <f>+'SEP ORIGEN'!AA118</f>
        <v>4.6145194400000005</v>
      </c>
    </row>
    <row r="119" spans="1:7" ht="24.95" hidden="1" customHeight="1">
      <c r="A119" s="351" t="str">
        <f>+Pobl_adoptada!A119</f>
        <v>Saavedra</v>
      </c>
      <c r="B119" s="70">
        <f>+Pobl_adoptada!B119</f>
        <v>115</v>
      </c>
      <c r="C119" s="353" t="str">
        <f>+Pobl_adoptada!C119</f>
        <v>Pigüé</v>
      </c>
      <c r="D119" s="270">
        <f>AVERAGE('RELLENO SANITARIO'!G119:Z119)</f>
        <v>12.889400720000001</v>
      </c>
      <c r="E119" s="107">
        <f>ROUND(AVERAGE(Pobl_adoptada!H119:AA119),0)</f>
        <v>16105</v>
      </c>
      <c r="F119" s="270">
        <f>+'INGRESO A PS DE CA'!D119</f>
        <v>5.9597439999999997</v>
      </c>
      <c r="G119" s="567">
        <f>+'SEP ORIGEN'!AA119</f>
        <v>5.2267115999999998</v>
      </c>
    </row>
    <row r="120" spans="1:7" ht="24.95" hidden="1" customHeight="1">
      <c r="A120" s="351" t="str">
        <f>+Pobl_adoptada!A120</f>
        <v>Saladillo</v>
      </c>
      <c r="B120" s="70">
        <f>+Pobl_adoptada!B120</f>
        <v>116</v>
      </c>
      <c r="C120" s="353" t="str">
        <f>+Pobl_adoptada!C120</f>
        <v>Saladillo</v>
      </c>
      <c r="D120" s="270">
        <f>AVERAGE('RELLENO SANITARIO'!G120:Z120)</f>
        <v>29.637268855999999</v>
      </c>
      <c r="E120" s="107">
        <f>ROUND(AVERAGE(Pobl_adoptada!H120:AA120),0)</f>
        <v>37128</v>
      </c>
      <c r="F120" s="270">
        <f>+'INGRESO A PS DE CA'!D120</f>
        <v>13.699546000000002</v>
      </c>
      <c r="G120" s="567">
        <f>+'SEP ORIGEN'!AA120</f>
        <v>12.148146430000001</v>
      </c>
    </row>
    <row r="121" spans="1:7" ht="24.95" hidden="1" customHeight="1">
      <c r="A121" s="351" t="str">
        <f>+Pobl_adoptada!A121</f>
        <v>Salliqueló</v>
      </c>
      <c r="B121" s="70">
        <f>+Pobl_adoptada!B121</f>
        <v>117</v>
      </c>
      <c r="C121" s="353" t="str">
        <f>+Pobl_adoptada!C121</f>
        <v>Salliqueló</v>
      </c>
      <c r="D121" s="270">
        <f>AVERAGE('RELLENO SANITARIO'!G121:Z121)</f>
        <v>5.9158414080000004</v>
      </c>
      <c r="E121" s="107">
        <f>ROUND(AVERAGE(Pobl_adoptada!H121:AA121),0)</f>
        <v>8514</v>
      </c>
      <c r="F121" s="270">
        <f>+'INGRESO A PS DE CA'!D121</f>
        <v>2.7363560000000002</v>
      </c>
      <c r="G121" s="567">
        <f>+'SEP ORIGEN'!AA121</f>
        <v>2.3967007400000004</v>
      </c>
    </row>
    <row r="122" spans="1:7" ht="24.95" hidden="1" customHeight="1">
      <c r="A122" s="351" t="str">
        <f>+Pobl_adoptada!A122</f>
        <v>Salto</v>
      </c>
      <c r="B122" s="70">
        <f>+Pobl_adoptada!B122</f>
        <v>118</v>
      </c>
      <c r="C122" s="353" t="str">
        <f>+Pobl_adoptada!C122</f>
        <v>Salto</v>
      </c>
      <c r="D122" s="270">
        <f>AVERAGE('RELLENO SANITARIO'!G122:Z122)</f>
        <v>31.670421359999999</v>
      </c>
      <c r="E122" s="107">
        <f>ROUND(AVERAGE(Pobl_adoptada!H122:AA122),0)</f>
        <v>39723</v>
      </c>
      <c r="F122" s="270">
        <f>+'INGRESO A PS DE CA'!D122</f>
        <v>14.582154999999998</v>
      </c>
      <c r="G122" s="567">
        <f>+'SEP ORIGEN'!AA122</f>
        <v>13.04527955</v>
      </c>
    </row>
    <row r="123" spans="1:7" ht="24.95" hidden="1" customHeight="1">
      <c r="A123" s="351" t="str">
        <f>+Pobl_adoptada!A123</f>
        <v>San Andrés de Giles</v>
      </c>
      <c r="B123" s="70">
        <f>+Pobl_adoptada!B123</f>
        <v>119</v>
      </c>
      <c r="C123" s="353" t="str">
        <f>+Pobl_adoptada!C123</f>
        <v>San Andrés de Giles</v>
      </c>
      <c r="D123" s="270">
        <f>AVERAGE('RELLENO SANITARIO'!G123:Z123)</f>
        <v>18.215898176</v>
      </c>
      <c r="E123" s="107">
        <f>ROUND(AVERAGE(Pobl_adoptada!H123:AA123),0)</f>
        <v>22824</v>
      </c>
      <c r="F123" s="270">
        <f>+'INGRESO A PS DE CA'!D123</f>
        <v>8.4198449999999987</v>
      </c>
      <c r="G123" s="567">
        <f>+'SEP ORIGEN'!AA123</f>
        <v>7.47172853</v>
      </c>
    </row>
    <row r="124" spans="1:7" ht="24.95" hidden="1" customHeight="1">
      <c r="A124" s="351" t="str">
        <f>+Pobl_adoptada!A124</f>
        <v>San Antonio de Areco</v>
      </c>
      <c r="B124" s="70">
        <f>+Pobl_adoptada!B124</f>
        <v>120</v>
      </c>
      <c r="C124" s="353" t="str">
        <f>+Pobl_adoptada!C124</f>
        <v>San Antonio de Areco</v>
      </c>
      <c r="D124" s="270">
        <f>AVERAGE('RELLENO SANITARIO'!G124:Z124)</f>
        <v>20.500698919999998</v>
      </c>
      <c r="E124" s="107">
        <f>ROUND(AVERAGE(Pobl_adoptada!H124:AA124),0)</f>
        <v>25662</v>
      </c>
      <c r="F124" s="270">
        <f>+'INGRESO A PS DE CA'!D124</f>
        <v>9.4779369999999989</v>
      </c>
      <c r="G124" s="567">
        <f>+'SEP ORIGEN'!AA124</f>
        <v>8.3766738499999978</v>
      </c>
    </row>
    <row r="125" spans="1:7" ht="24.95" hidden="1" customHeight="1">
      <c r="A125" s="351" t="str">
        <f>+Pobl_adoptada!A125</f>
        <v>San Cayetano</v>
      </c>
      <c r="B125" s="70">
        <f>+Pobl_adoptada!B125</f>
        <v>121</v>
      </c>
      <c r="C125" s="353" t="str">
        <f>+Pobl_adoptada!C125</f>
        <v>San Cayetano</v>
      </c>
      <c r="D125" s="270">
        <f>AVERAGE('RELLENO SANITARIO'!G125:Z125)</f>
        <v>6.4902316320000013</v>
      </c>
      <c r="E125" s="107">
        <f>ROUND(AVERAGE(Pobl_adoptada!H125:AA125),0)</f>
        <v>9362</v>
      </c>
      <c r="F125" s="270">
        <f>+'INGRESO A PS DE CA'!D125</f>
        <v>2.9958879999999999</v>
      </c>
      <c r="G125" s="567">
        <f>+'SEP ORIGEN'!AA125</f>
        <v>2.6529354599999997</v>
      </c>
    </row>
    <row r="126" spans="1:7" ht="24.95" hidden="1" customHeight="1">
      <c r="A126" s="351" t="str">
        <f>+Pobl_adoptada!A126</f>
        <v>San Nicolás</v>
      </c>
      <c r="B126" s="70">
        <f>+Pobl_adoptada!B126</f>
        <v>122</v>
      </c>
      <c r="C126" s="353" t="str">
        <f>+Pobl_adoptada!C126</f>
        <v>San Nicolás de los Arroyos</v>
      </c>
      <c r="D126" s="270">
        <f>AVERAGE('RELLENO SANITARIO'!G126:Z126)</f>
        <v>136.466160672</v>
      </c>
      <c r="E126" s="107">
        <f>ROUND(AVERAGE(Pobl_adoptada!H126:AA126),0)</f>
        <v>177695</v>
      </c>
      <c r="F126" s="270">
        <f>+'INGRESO A PS DE CA'!D126</f>
        <v>62.866272000000002</v>
      </c>
      <c r="G126" s="567">
        <f>+'SEP ORIGEN'!AA126</f>
        <v>55.977786659999978</v>
      </c>
    </row>
    <row r="127" spans="1:7" ht="24.95" hidden="1" customHeight="1">
      <c r="A127" s="351" t="str">
        <f>+Pobl_adoptada!A127</f>
        <v>San Pedro</v>
      </c>
      <c r="B127" s="70">
        <f>+Pobl_adoptada!B127</f>
        <v>123</v>
      </c>
      <c r="C127" s="353" t="str">
        <f>+Pobl_adoptada!C127</f>
        <v>San Pedro</v>
      </c>
      <c r="D127" s="270">
        <f>AVERAGE('RELLENO SANITARIO'!G127:Z127)</f>
        <v>51.093830615999991</v>
      </c>
      <c r="E127" s="107">
        <f>ROUND(AVERAGE(Pobl_adoptada!H127:AA127),0)</f>
        <v>66569</v>
      </c>
      <c r="F127" s="270">
        <f>+'INGRESO A PS DE CA'!D127</f>
        <v>23.541294000000001</v>
      </c>
      <c r="G127" s="567">
        <f>+'SEP ORIGEN'!AA127</f>
        <v>21.007931729999992</v>
      </c>
    </row>
    <row r="128" spans="1:7" ht="24.95" hidden="1" customHeight="1">
      <c r="A128" s="351" t="str">
        <f>+Pobl_adoptada!A128</f>
        <v>San Vicente</v>
      </c>
      <c r="B128" s="70">
        <f>+Pobl_adoptada!B128</f>
        <v>124</v>
      </c>
      <c r="C128" s="353" t="str">
        <f>+Pobl_adoptada!C128</f>
        <v>San Vicente</v>
      </c>
      <c r="D128" s="270">
        <f>AVERAGE('RELLENO SANITARIO'!G128:Z128)</f>
        <v>114.83512634399999</v>
      </c>
      <c r="E128" s="107">
        <f>ROUND(AVERAGE(Pobl_adoptada!H128:AA128),0)</f>
        <v>150552</v>
      </c>
      <c r="F128" s="270">
        <f>+'INGRESO A PS DE CA'!D128</f>
        <v>52.551470999999999</v>
      </c>
      <c r="G128" s="567">
        <f>+'SEP ORIGEN'!AA128</f>
        <v>48.410465819999999</v>
      </c>
    </row>
    <row r="129" spans="1:7" ht="24.95" hidden="1" customHeight="1">
      <c r="A129" s="351" t="str">
        <f>+Pobl_adoptada!A129</f>
        <v>Suipacha</v>
      </c>
      <c r="B129" s="70">
        <f>+Pobl_adoptada!B129</f>
        <v>125</v>
      </c>
      <c r="C129" s="353" t="str">
        <f>+Pobl_adoptada!C129</f>
        <v>Suipacha</v>
      </c>
      <c r="D129" s="270">
        <f>AVERAGE('RELLENO SANITARIO'!G129:Z129)</f>
        <v>8.1197518240000015</v>
      </c>
      <c r="E129" s="107">
        <f>ROUND(AVERAGE(Pobl_adoptada!H129:AA129),0)</f>
        <v>11721</v>
      </c>
      <c r="F129" s="270">
        <f>+'INGRESO A PS DE CA'!D129</f>
        <v>3.7532320000000001</v>
      </c>
      <c r="G129" s="567">
        <f>+'SEP ORIGEN'!AA129</f>
        <v>3.3299202200000004</v>
      </c>
    </row>
    <row r="130" spans="1:7" ht="24.95" hidden="1" customHeight="1">
      <c r="A130" s="351" t="str">
        <f>+Pobl_adoptada!A130</f>
        <v>Tandil</v>
      </c>
      <c r="B130" s="70">
        <f>+Pobl_adoptada!B130</f>
        <v>126</v>
      </c>
      <c r="C130" s="353" t="str">
        <f>+Pobl_adoptada!C130</f>
        <v>Tandil</v>
      </c>
      <c r="D130" s="270">
        <f>AVERAGE('RELLENO SANITARIO'!G130:Z130)</f>
        <v>126.30427276799999</v>
      </c>
      <c r="E130" s="107">
        <f>ROUND(AVERAGE(Pobl_adoptada!H130:AA130),0)</f>
        <v>164567</v>
      </c>
      <c r="F130" s="270">
        <f>+'INGRESO A PS DE CA'!D130</f>
        <v>58.189928999999999</v>
      </c>
      <c r="G130" s="567">
        <f>+'SEP ORIGEN'!AA130</f>
        <v>51.942010289999999</v>
      </c>
    </row>
    <row r="131" spans="1:7" ht="24.95" hidden="1" customHeight="1">
      <c r="A131" s="351" t="str">
        <f>+Pobl_adoptada!A131</f>
        <v>Tapalqué</v>
      </c>
      <c r="B131" s="70">
        <f>+Pobl_adoptada!B131</f>
        <v>127</v>
      </c>
      <c r="C131" s="353" t="str">
        <f>+Pobl_adoptada!C131</f>
        <v>Tapalqué</v>
      </c>
      <c r="D131" s="270">
        <f>AVERAGE('RELLENO SANITARIO'!G131:Z131)</f>
        <v>7.2525175040000018</v>
      </c>
      <c r="E131" s="107">
        <f>ROUND(AVERAGE(Pobl_adoptada!H131:AA131),0)</f>
        <v>10477</v>
      </c>
      <c r="F131" s="270">
        <f>+'INGRESO A PS DE CA'!D131</f>
        <v>3.3413939999999998</v>
      </c>
      <c r="G131" s="567">
        <f>+'SEP ORIGEN'!AA131</f>
        <v>2.9825581200000006</v>
      </c>
    </row>
    <row r="132" spans="1:7" ht="24.95" hidden="1" customHeight="1">
      <c r="A132" s="351" t="str">
        <f>+Pobl_adoptada!A132</f>
        <v>Tordillo</v>
      </c>
      <c r="B132" s="70">
        <f>+Pobl_adoptada!B132</f>
        <v>128</v>
      </c>
      <c r="C132" s="353" t="str">
        <f>+Pobl_adoptada!C132</f>
        <v>General Conesa</v>
      </c>
      <c r="D132" s="270">
        <f>AVERAGE('RELLENO SANITARIO'!G132:Z132)</f>
        <v>1.9320769119999999</v>
      </c>
      <c r="E132" s="107">
        <f>ROUND(AVERAGE(Pobl_adoptada!H132:AA132),0)</f>
        <v>2804</v>
      </c>
      <c r="F132" s="270">
        <f>+'INGRESO A PS DE CA'!D132</f>
        <v>0.88904199999999989</v>
      </c>
      <c r="G132" s="567">
        <f>+'SEP ORIGEN'!AA132</f>
        <v>0.80927386000000001</v>
      </c>
    </row>
    <row r="133" spans="1:7" ht="24.95" hidden="1" customHeight="1">
      <c r="A133" s="351" t="str">
        <f>+Pobl_adoptada!A133</f>
        <v>Tornquist</v>
      </c>
      <c r="B133" s="70">
        <f>+Pobl_adoptada!B133</f>
        <v>129</v>
      </c>
      <c r="C133" s="353" t="str">
        <f>+Pobl_adoptada!C133</f>
        <v>Tornquist</v>
      </c>
      <c r="D133" s="270">
        <f>AVERAGE('RELLENO SANITARIO'!G133:Z133)</f>
        <v>6.0623304320000013</v>
      </c>
      <c r="E133" s="107">
        <f>ROUND(AVERAGE(Pobl_adoptada!H133:AA133),0)</f>
        <v>8759</v>
      </c>
      <c r="F133" s="270">
        <f>+'INGRESO A PS DE CA'!D133</f>
        <v>2.7959260000000001</v>
      </c>
      <c r="G133" s="567">
        <f>+'SEP ORIGEN'!AA133</f>
        <v>2.4947644600000003</v>
      </c>
    </row>
    <row r="134" spans="1:7" ht="24.95" hidden="1" customHeight="1">
      <c r="A134" s="351" t="str">
        <f>+Pobl_adoptada!A134</f>
        <v>Trenque Lauquen</v>
      </c>
      <c r="B134" s="70">
        <f>+Pobl_adoptada!B134</f>
        <v>130</v>
      </c>
      <c r="C134" s="353" t="str">
        <f>+Pobl_adoptada!C134</f>
        <v>Trenque Lauquen</v>
      </c>
      <c r="D134" s="270">
        <f>AVERAGE('RELLENO SANITARIO'!G134:Z134)</f>
        <v>33.8903094</v>
      </c>
      <c r="E134" s="107">
        <f>ROUND(AVERAGE(Pobl_adoptada!H134:AA134),0)</f>
        <v>42425</v>
      </c>
      <c r="F134" s="270">
        <f>+'INGRESO A PS DE CA'!D134</f>
        <v>15.644328</v>
      </c>
      <c r="G134" s="567">
        <f>+'SEP ORIGEN'!AA134</f>
        <v>13.850039499999999</v>
      </c>
    </row>
    <row r="135" spans="1:7" ht="24.95" hidden="1" customHeight="1">
      <c r="A135" s="351" t="str">
        <f>+Pobl_adoptada!A135</f>
        <v>Tres Arroyos</v>
      </c>
      <c r="B135" s="70">
        <f>+Pobl_adoptada!B135</f>
        <v>131</v>
      </c>
      <c r="C135" s="353" t="str">
        <f>+Pobl_adoptada!C135</f>
        <v>Tres Arroyos</v>
      </c>
      <c r="D135" s="270">
        <f>AVERAGE('RELLENO SANITARIO'!G135:Z135)</f>
        <v>41.307854863999999</v>
      </c>
      <c r="E135" s="107">
        <f>ROUND(AVERAGE(Pobl_adoptada!H135:AA135),0)</f>
        <v>51608</v>
      </c>
      <c r="F135" s="270">
        <f>+'INGRESO A PS DE CA'!D135</f>
        <v>19.082756</v>
      </c>
      <c r="G135" s="567">
        <f>+'SEP ORIGEN'!AA135</f>
        <v>16.745450170000002</v>
      </c>
    </row>
    <row r="136" spans="1:7" ht="24.95" hidden="1" customHeight="1">
      <c r="A136" s="351" t="str">
        <f>+Pobl_adoptada!A136</f>
        <v>Tres Lomas</v>
      </c>
      <c r="B136" s="70">
        <f>+Pobl_adoptada!B136</f>
        <v>132</v>
      </c>
      <c r="C136" s="353" t="str">
        <f>+Pobl_adoptada!C136</f>
        <v>Tres Lomas</v>
      </c>
      <c r="D136" s="270">
        <f>AVERAGE('RELLENO SANITARIO'!G136:Z136)</f>
        <v>6.9566502880000005</v>
      </c>
      <c r="E136" s="107">
        <f>ROUND(AVERAGE(Pobl_adoptada!H136:AA136),0)</f>
        <v>10032</v>
      </c>
      <c r="F136" s="270">
        <f>+'INGRESO A PS DE CA'!D136</f>
        <v>3.2164579999999998</v>
      </c>
      <c r="G136" s="567">
        <f>+'SEP ORIGEN'!AA136</f>
        <v>2.8404121400000002</v>
      </c>
    </row>
    <row r="137" spans="1:7" ht="24.95" hidden="1" customHeight="1">
      <c r="A137" s="351" t="str">
        <f>+Pobl_adoptada!A137</f>
        <v>Villa Gesell</v>
      </c>
      <c r="B137" s="70">
        <f>+Pobl_adoptada!B137</f>
        <v>133</v>
      </c>
      <c r="C137" s="353" t="str">
        <f>+Pobl_adoptada!C137</f>
        <v>Villa Gesell</v>
      </c>
      <c r="D137" s="270">
        <f>AVERAGE('RELLENO SANITARIO'!G137:Z137)</f>
        <v>60.778621271999995</v>
      </c>
      <c r="E137" s="107">
        <f>ROUND(AVERAGE(Pobl_adoptada!H137:AA137),0)</f>
        <v>79267</v>
      </c>
      <c r="F137" s="270">
        <f>+'INGRESO A PS DE CA'!D137</f>
        <v>28.082690999999997</v>
      </c>
      <c r="G137" s="567">
        <f>+'SEP ORIGEN'!AA137</f>
        <v>25.09195716</v>
      </c>
    </row>
    <row r="138" spans="1:7" ht="24.95" hidden="1" customHeight="1">
      <c r="A138" s="351" t="str">
        <f>+Pobl_adoptada!A138</f>
        <v>Villarino</v>
      </c>
      <c r="B138" s="70">
        <f>+Pobl_adoptada!B138</f>
        <v>134</v>
      </c>
      <c r="C138" s="353" t="str">
        <f>+Pobl_adoptada!C138</f>
        <v>Médanos</v>
      </c>
      <c r="D138" s="270">
        <f>AVERAGE('RELLENO SANITARIO'!G138:Z138)</f>
        <v>4.2201853600000003</v>
      </c>
      <c r="E138" s="107">
        <f>ROUND(AVERAGE(Pobl_adoptada!H138:AA138),0)</f>
        <v>6075</v>
      </c>
      <c r="F138" s="270">
        <f>+'INGRESO A PS DE CA'!D138</f>
        <v>1.951964</v>
      </c>
      <c r="G138" s="567">
        <f>+'SEP ORIGEN'!AA138</f>
        <v>1.7113057999999999</v>
      </c>
    </row>
    <row r="139" spans="1:7" ht="24.95" hidden="1" customHeight="1">
      <c r="A139" s="351" t="str">
        <f>+Pobl_adoptada!A139</f>
        <v>Zárate</v>
      </c>
      <c r="B139" s="70">
        <f>+Pobl_adoptada!B139</f>
        <v>135</v>
      </c>
      <c r="C139" s="353" t="str">
        <f>+Pobl_adoptada!C139</f>
        <v>Zárate</v>
      </c>
      <c r="D139" s="270">
        <f>AVERAGE('RELLENO SANITARIO'!G139:Z139)</f>
        <v>102.30516849599999</v>
      </c>
      <c r="E139" s="107">
        <f>ROUND(AVERAGE(Pobl_adoptada!H139:AA139),0)</f>
        <v>133218</v>
      </c>
      <c r="F139" s="270">
        <f>+'INGRESO A PS DE CA'!D139</f>
        <v>47.172195000000002</v>
      </c>
      <c r="G139" s="567">
        <f>+'SEP ORIGEN'!AA139</f>
        <v>41.971553129999997</v>
      </c>
    </row>
    <row r="140" spans="1:7" ht="24.95" hidden="1" customHeight="1">
      <c r="A140" s="351" t="str">
        <f>+Pobl_adoptada!A140</f>
        <v>CABA</v>
      </c>
      <c r="B140" s="70">
        <f>+Pobl_adoptada!B140</f>
        <v>136</v>
      </c>
      <c r="C140" s="353" t="str">
        <f>+Pobl_adoptada!C140</f>
        <v>CABA</v>
      </c>
      <c r="D140" s="270">
        <f>AVERAGE('RELLENO SANITARIO'!G140:Z140)</f>
        <v>6489.5538485999996</v>
      </c>
      <c r="E140" s="107">
        <f>ROUND(AVERAGE(Pobl_adoptada!H140:AA140),0)</f>
        <v>6104571</v>
      </c>
      <c r="F140" s="270">
        <f>+'INGRESO A PS DE CA'!D140</f>
        <v>2993.4782219999997</v>
      </c>
      <c r="G140" s="567">
        <f>+'SEP ORIGEN'!AA140</f>
        <v>2647.3633717499997</v>
      </c>
    </row>
    <row r="141" spans="1:7" ht="24.95" hidden="1" customHeight="1">
      <c r="A141" s="351" t="str">
        <f>+Pobl_adoptada!A141</f>
        <v>Adolfo Alsina</v>
      </c>
      <c r="B141" s="70">
        <f>+Pobl_adoptada!B141</f>
        <v>137</v>
      </c>
      <c r="C141" s="353" t="str">
        <f>+Pobl_adoptada!C141</f>
        <v>Rivera</v>
      </c>
      <c r="D141" s="270">
        <f>AVERAGE('RELLENO SANITARIO'!G141:Z141)</f>
        <v>2.3732058719999998</v>
      </c>
      <c r="E141" s="107">
        <f>ROUND(AVERAGE(Pobl_adoptada!H141:AA141),0)</f>
        <v>3414</v>
      </c>
      <c r="F141" s="270">
        <f>+'INGRESO A PS DE CA'!D141</f>
        <v>1.0976980000000001</v>
      </c>
      <c r="G141" s="567">
        <f>+'SEP ORIGEN'!AA141</f>
        <v>0.95970765999999996</v>
      </c>
    </row>
    <row r="142" spans="1:7" ht="24.95" hidden="1" customHeight="1">
      <c r="A142" s="351" t="str">
        <f>+Pobl_adoptada!A142</f>
        <v>Carlos Tejedor</v>
      </c>
      <c r="B142" s="70">
        <f>+Pobl_adoptada!B142</f>
        <v>138</v>
      </c>
      <c r="C142" s="353" t="str">
        <f>+Pobl_adoptada!C142</f>
        <v>Tres Algarrobos</v>
      </c>
      <c r="D142" s="270">
        <f>AVERAGE('RELLENO SANITARIO'!G142:Z142)</f>
        <v>2.5705285760000001</v>
      </c>
      <c r="E142" s="107">
        <f>ROUND(AVERAGE(Pobl_adoptada!H142:AA142),0)</f>
        <v>3702</v>
      </c>
      <c r="F142" s="270">
        <f>+'INGRESO A PS DE CA'!D142</f>
        <v>1.1888240000000001</v>
      </c>
      <c r="G142" s="567">
        <f>+'SEP ORIGEN'!AA142</f>
        <v>1.0441392799999998</v>
      </c>
    </row>
    <row r="143" spans="1:7" ht="24.95" hidden="1" customHeight="1">
      <c r="A143" s="351" t="str">
        <f>+Pobl_adoptada!A143</f>
        <v>Exaltación de la Cruz</v>
      </c>
      <c r="B143" s="70">
        <f>+Pobl_adoptada!B143</f>
        <v>139</v>
      </c>
      <c r="C143" s="353" t="str">
        <f>+Pobl_adoptada!C143</f>
        <v>Los Cardales</v>
      </c>
      <c r="D143" s="270">
        <f>AVERAGE('RELLENO SANITARIO'!G143:Z143)</f>
        <v>11.725333392000001</v>
      </c>
      <c r="E143" s="107">
        <f>ROUND(AVERAGE(Pobl_adoptada!H143:AA143),0)</f>
        <v>17032</v>
      </c>
      <c r="F143" s="270">
        <f>+'INGRESO A PS DE CA'!D143</f>
        <v>5.3693499999999998</v>
      </c>
      <c r="G143" s="567">
        <f>+'SEP ORIGEN'!AA143</f>
        <v>4.9301907600000003</v>
      </c>
    </row>
    <row r="144" spans="1:7" ht="24.95" hidden="1" customHeight="1">
      <c r="A144" s="351" t="str">
        <f>+Pobl_adoptada!A144</f>
        <v>Exaltación de la Cruz</v>
      </c>
      <c r="B144" s="70">
        <f>+Pobl_adoptada!B144</f>
        <v>140</v>
      </c>
      <c r="C144" s="353" t="str">
        <f>+Pobl_adoptada!C144</f>
        <v>Parada Robles - Pavón</v>
      </c>
      <c r="D144" s="270">
        <f>AVERAGE('RELLENO SANITARIO'!G144:Z144)</f>
        <v>20.170216784000001</v>
      </c>
      <c r="E144" s="107">
        <f>ROUND(AVERAGE(Pobl_adoptada!H144:AA144),0)</f>
        <v>25480</v>
      </c>
      <c r="F144" s="270">
        <f>+'INGRESO A PS DE CA'!D144</f>
        <v>9.2182370000000002</v>
      </c>
      <c r="G144" s="567">
        <f>+'SEP ORIGEN'!AA144</f>
        <v>8.5486265199999991</v>
      </c>
    </row>
    <row r="145" spans="1:7" ht="24.95" hidden="1" customHeight="1">
      <c r="A145" s="351" t="str">
        <f>+Pobl_adoptada!A145</f>
        <v>General Alvarado</v>
      </c>
      <c r="B145" s="70">
        <f>+Pobl_adoptada!B145</f>
        <v>141</v>
      </c>
      <c r="C145" s="353" t="str">
        <f>+Pobl_adoptada!C145</f>
        <v>Comandante Nicanor Otamendi</v>
      </c>
      <c r="D145" s="270">
        <f>AVERAGE('RELLENO SANITARIO'!G145:Z145)</f>
        <v>5.4877120479999997</v>
      </c>
      <c r="E145" s="107">
        <f>ROUND(AVERAGE(Pobl_adoptada!H145:AA145),0)</f>
        <v>7907</v>
      </c>
      <c r="F145" s="270">
        <f>+'INGRESO A PS DE CA'!D145</f>
        <v>2.5376820000000002</v>
      </c>
      <c r="G145" s="567">
        <f>+'SEP ORIGEN'!AA145</f>
        <v>2.2337549399999994</v>
      </c>
    </row>
    <row r="146" spans="1:7" ht="24.95" hidden="1" customHeight="1">
      <c r="A146" s="351" t="str">
        <f>+Pobl_adoptada!A146</f>
        <v>General Arenales</v>
      </c>
      <c r="B146" s="70">
        <f>+Pobl_adoptada!B146</f>
        <v>142</v>
      </c>
      <c r="C146" s="353" t="str">
        <f>+Pobl_adoptada!C146</f>
        <v>Arribeños</v>
      </c>
      <c r="D146" s="270">
        <f>AVERAGE('RELLENO SANITARIO'!G146:Z146)</f>
        <v>2.1253129760000005</v>
      </c>
      <c r="E146" s="107">
        <f>ROUND(AVERAGE(Pobl_adoptada!H146:AA146),0)</f>
        <v>3057</v>
      </c>
      <c r="F146" s="270">
        <f>+'INGRESO A PS DE CA'!D146</f>
        <v>0.98306600000000011</v>
      </c>
      <c r="G146" s="567">
        <f>+'SEP ORIGEN'!AA146</f>
        <v>0.85862128000000004</v>
      </c>
    </row>
    <row r="147" spans="1:7" ht="24.95" hidden="1" customHeight="1">
      <c r="A147" s="351" t="str">
        <f>+Pobl_adoptada!A147</f>
        <v>General Arenales</v>
      </c>
      <c r="B147" s="70">
        <f>+Pobl_adoptada!B147</f>
        <v>143</v>
      </c>
      <c r="C147" s="353" t="str">
        <f>+Pobl_adoptada!C147</f>
        <v>Ascensión</v>
      </c>
      <c r="D147" s="270">
        <f>AVERAGE('RELLENO SANITARIO'!G147:Z147)</f>
        <v>3.142841808</v>
      </c>
      <c r="E147" s="107">
        <f>ROUND(AVERAGE(Pobl_adoptada!H147:AA147),0)</f>
        <v>4522</v>
      </c>
      <c r="F147" s="270">
        <f>+'INGRESO A PS DE CA'!D147</f>
        <v>1.45383</v>
      </c>
      <c r="G147" s="567">
        <f>+'SEP ORIGEN'!AA147</f>
        <v>1.2711727400000001</v>
      </c>
    </row>
    <row r="148" spans="1:7" ht="24.95" hidden="1" customHeight="1">
      <c r="A148" s="351" t="str">
        <f>+Pobl_adoptada!A148</f>
        <v>General Guido</v>
      </c>
      <c r="B148" s="70">
        <f>+Pobl_adoptada!B148</f>
        <v>144</v>
      </c>
      <c r="C148" s="353" t="str">
        <f>+Pobl_adoptada!C148</f>
        <v>Labarden</v>
      </c>
      <c r="D148" s="270">
        <f>AVERAGE('RELLENO SANITARIO'!G148:Z148)</f>
        <v>0.51909012799999998</v>
      </c>
      <c r="E148" s="107">
        <f>ROUND(AVERAGE(Pobl_adoptada!H148:AA148),0)</f>
        <v>745</v>
      </c>
      <c r="F148" s="270">
        <f>+'INGRESO A PS DE CA'!D148</f>
        <v>0.24021200000000001</v>
      </c>
      <c r="G148" s="567">
        <f>+'SEP ORIGEN'!AA148</f>
        <v>0.20800234000000001</v>
      </c>
    </row>
    <row r="149" spans="1:7" ht="24.95" hidden="1" customHeight="1">
      <c r="A149" s="351" t="str">
        <f>+Pobl_adoptada!A149</f>
        <v>General Lavalle</v>
      </c>
      <c r="B149" s="70">
        <f>+Pobl_adoptada!B149</f>
        <v>145</v>
      </c>
      <c r="C149" s="353" t="str">
        <f>+Pobl_adoptada!C149</f>
        <v>Pavón</v>
      </c>
      <c r="D149" s="270">
        <f>AVERAGE('RELLENO SANITARIO'!G149:Z149)</f>
        <v>1.1956739520000002</v>
      </c>
      <c r="E149" s="107">
        <f>ROUND(AVERAGE(Pobl_adoptada!H149:AA149),0)</f>
        <v>1734</v>
      </c>
      <c r="F149" s="270">
        <f>+'INGRESO A PS DE CA'!D149</f>
        <v>0.54675599999999991</v>
      </c>
      <c r="G149" s="567">
        <f>+'SEP ORIGEN'!AA149</f>
        <v>0.49933506000000005</v>
      </c>
    </row>
    <row r="150" spans="1:7" ht="24.95" hidden="1" customHeight="1">
      <c r="A150" s="351" t="str">
        <f>+Pobl_adoptada!A150</f>
        <v>Guaminí</v>
      </c>
      <c r="B150" s="70">
        <f>+Pobl_adoptada!B150</f>
        <v>146</v>
      </c>
      <c r="C150" s="353" t="str">
        <f>+Pobl_adoptada!C150</f>
        <v>Casbas</v>
      </c>
      <c r="D150" s="270">
        <f>AVERAGE('RELLENO SANITARIO'!G150:Z150)</f>
        <v>3.5523904799999997</v>
      </c>
      <c r="E150" s="107">
        <f>ROUND(AVERAGE(Pobl_adoptada!H150:AA150),0)</f>
        <v>5116</v>
      </c>
      <c r="F150" s="270">
        <f>+'INGRESO A PS DE CA'!D150</f>
        <v>1.6428439999999997</v>
      </c>
      <c r="G150" s="567">
        <f>+'SEP ORIGEN'!AA150</f>
        <v>1.4428544000000001</v>
      </c>
    </row>
    <row r="151" spans="1:7" ht="24.95" hidden="1" customHeight="1">
      <c r="A151" s="351" t="str">
        <f>+Pobl_adoptada!A151</f>
        <v>La Costa</v>
      </c>
      <c r="B151" s="70">
        <f>+Pobl_adoptada!B151</f>
        <v>147</v>
      </c>
      <c r="C151" s="353" t="str">
        <f>+Pobl_adoptada!C151</f>
        <v>San Clemente del Tuyú</v>
      </c>
      <c r="D151" s="270">
        <f>AVERAGE('RELLENO SANITARIO'!G151:Z151)</f>
        <v>33.297165200000009</v>
      </c>
      <c r="E151" s="107">
        <f>ROUND(AVERAGE(Pobl_adoptada!H151:AA151),0)</f>
        <v>41898</v>
      </c>
      <c r="F151" s="270">
        <f>+'INGRESO A PS DE CA'!D151</f>
        <v>15.334543</v>
      </c>
      <c r="G151" s="567">
        <f>+'SEP ORIGEN'!AA151</f>
        <v>13.893194749999997</v>
      </c>
    </row>
    <row r="152" spans="1:7" ht="24.95" hidden="1" customHeight="1">
      <c r="A152" s="351" t="str">
        <f>+Pobl_adoptada!A152</f>
        <v>Leandro N. Alem</v>
      </c>
      <c r="B152" s="70">
        <f>+Pobl_adoptada!B152</f>
        <v>148</v>
      </c>
      <c r="C152" s="353" t="str">
        <f>+Pobl_adoptada!C152</f>
        <v>Juan Bautista Alberdi</v>
      </c>
      <c r="D152" s="270">
        <f>AVERAGE('RELLENO SANITARIO'!G152:Z152)</f>
        <v>2.3665263039999997</v>
      </c>
      <c r="E152" s="107">
        <f>ROUND(AVERAGE(Pobl_adoptada!H152:AA152),0)</f>
        <v>3401</v>
      </c>
      <c r="F152" s="270">
        <f>+'INGRESO A PS DE CA'!D152</f>
        <v>1.0951219999999999</v>
      </c>
      <c r="G152" s="567">
        <f>+'SEP ORIGEN'!AA152</f>
        <v>0.95247462000000005</v>
      </c>
    </row>
    <row r="153" spans="1:7" ht="24.95" hidden="1" customHeight="1">
      <c r="A153" s="351" t="str">
        <f>+Pobl_adoptada!A153</f>
        <v>Mar Chiquita</v>
      </c>
      <c r="B153" s="70">
        <f>+Pobl_adoptada!B153</f>
        <v>149</v>
      </c>
      <c r="C153" s="353" t="str">
        <f>+Pobl_adoptada!C153</f>
        <v>Santa Clara del Mar</v>
      </c>
      <c r="D153" s="270">
        <f>AVERAGE('RELLENO SANITARIO'!G153:Z153)</f>
        <v>29.247729456000002</v>
      </c>
      <c r="E153" s="107">
        <f>ROUND(AVERAGE(Pobl_adoptada!H153:AA153),0)</f>
        <v>37066</v>
      </c>
      <c r="F153" s="270">
        <f>+'INGRESO A PS DE CA'!D153</f>
        <v>13.035456</v>
      </c>
      <c r="G153" s="567">
        <f>+'SEP ORIGEN'!AA153</f>
        <v>12.552191930000003</v>
      </c>
    </row>
    <row r="154" spans="1:7" ht="24.95" hidden="1" customHeight="1">
      <c r="A154" s="351" t="str">
        <f>+Pobl_adoptada!A154</f>
        <v>Puán</v>
      </c>
      <c r="B154" s="70">
        <f>+Pobl_adoptada!B154</f>
        <v>150</v>
      </c>
      <c r="C154" s="353" t="str">
        <f>+Pobl_adoptada!C154</f>
        <v>Darregueira</v>
      </c>
      <c r="D154" s="270">
        <f>AVERAGE('RELLENO SANITARIO'!G154:Z154)</f>
        <v>4.0199823200000004</v>
      </c>
      <c r="E154" s="107">
        <f>ROUND(AVERAGE(Pobl_adoptada!H154:AA154),0)</f>
        <v>5781</v>
      </c>
      <c r="F154" s="270">
        <f>+'INGRESO A PS DE CA'!D154</f>
        <v>1.859872</v>
      </c>
      <c r="G154" s="567">
        <f>+'SEP ORIGEN'!AA154</f>
        <v>1.6226546000000002</v>
      </c>
    </row>
    <row r="155" spans="1:7" ht="24.95" hidden="1" customHeight="1">
      <c r="A155" s="351" t="str">
        <f>+Pobl_adoptada!A155</f>
        <v>Ramallo</v>
      </c>
      <c r="B155" s="70">
        <f>+Pobl_adoptada!B155</f>
        <v>151</v>
      </c>
      <c r="C155" s="353" t="str">
        <f>+Pobl_adoptada!C155</f>
        <v>Villa Ramallo</v>
      </c>
      <c r="D155" s="270">
        <f>AVERAGE('RELLENO SANITARIO'!G155:Z155)</f>
        <v>9.4804822399999988</v>
      </c>
      <c r="E155" s="107">
        <f>ROUND(AVERAGE(Pobl_adoptada!H155:AA155),0)</f>
        <v>13664</v>
      </c>
      <c r="F155" s="270">
        <f>+'INGRESO A PS DE CA'!D155</f>
        <v>4.3795219999999997</v>
      </c>
      <c r="G155" s="567">
        <f>+'SEP ORIGEN'!AA155</f>
        <v>3.8633997</v>
      </c>
    </row>
    <row r="156" spans="1:7" ht="24.95" hidden="1" customHeight="1">
      <c r="A156" s="351" t="str">
        <f>+Pobl_adoptada!A156</f>
        <v>Tornquist</v>
      </c>
      <c r="B156" s="70">
        <f>+Pobl_adoptada!B156</f>
        <v>152</v>
      </c>
      <c r="C156" s="353" t="str">
        <f>+Pobl_adoptada!C156</f>
        <v>Sierra de la Ventana</v>
      </c>
      <c r="D156" s="270">
        <f>AVERAGE('RELLENO SANITARIO'!G156:Z156)</f>
        <v>4.198254768</v>
      </c>
      <c r="E156" s="107">
        <f>ROUND(AVERAGE(Pobl_adoptada!H156:AA156),0)</f>
        <v>6122</v>
      </c>
      <c r="F156" s="270">
        <f>+'INGRESO A PS DE CA'!D156</f>
        <v>1.8827339999999997</v>
      </c>
      <c r="G156" s="567">
        <f>+'SEP ORIGEN'!AA156</f>
        <v>1.7925965399999999</v>
      </c>
    </row>
    <row r="157" spans="1:7" ht="24.95" hidden="1" customHeight="1">
      <c r="A157" s="351" t="str">
        <f>+Pobl_adoptada!A157</f>
        <v>Villarino</v>
      </c>
      <c r="B157" s="70">
        <f>+Pobl_adoptada!B157</f>
        <v>153</v>
      </c>
      <c r="C157" s="353" t="str">
        <f>+Pobl_adoptada!C157</f>
        <v>Mayor Buratovich</v>
      </c>
      <c r="D157" s="270">
        <f>AVERAGE('RELLENO SANITARIO'!G157:Z157)</f>
        <v>6.2889389440000008</v>
      </c>
      <c r="E157" s="107">
        <f>ROUND(AVERAGE(Pobl_adoptada!H157:AA157),0)</f>
        <v>9109</v>
      </c>
      <c r="F157" s="270">
        <f>+'INGRESO A PS DE CA'!D157</f>
        <v>2.8831880000000001</v>
      </c>
      <c r="G157" s="567">
        <f>+'SEP ORIGEN'!AA157</f>
        <v>2.6143488200000005</v>
      </c>
    </row>
    <row r="158" spans="1:7" ht="24.95" hidden="1" customHeight="1">
      <c r="A158" s="351" t="str">
        <f>+Pobl_adoptada!A158</f>
        <v>Villarino</v>
      </c>
      <c r="B158" s="70">
        <f>+Pobl_adoptada!B158</f>
        <v>154</v>
      </c>
      <c r="C158" s="353" t="str">
        <f>+Pobl_adoptada!C158</f>
        <v>Pedro Luro</v>
      </c>
      <c r="D158" s="270">
        <f>AVERAGE('RELLENO SANITARIO'!G158:Z158)</f>
        <v>21.336914688</v>
      </c>
      <c r="E158" s="107">
        <f>ROUND(AVERAGE(Pobl_adoptada!H158:AA158),0)</f>
        <v>27007</v>
      </c>
      <c r="F158" s="270">
        <f>+'INGRESO A PS DE CA'!D158</f>
        <v>9.5654929999999982</v>
      </c>
      <c r="G158" s="567">
        <f>+'SEP ORIGEN'!AA158</f>
        <v>9.1132641399999983</v>
      </c>
    </row>
    <row r="160" spans="1:7">
      <c r="C160" s="108"/>
    </row>
    <row r="161" spans="1:3">
      <c r="C161" s="108"/>
    </row>
    <row r="162" spans="1:3">
      <c r="C162" s="108"/>
    </row>
    <row r="163" spans="1:3">
      <c r="A163" s="271"/>
      <c r="C163" s="272"/>
    </row>
  </sheetData>
  <autoFilter ref="A4:F158" xr:uid="{00000000-0009-0000-0000-00000C000000}">
    <filterColumn colId="2">
      <filters>
        <filter val="9 de Julio"/>
        <filter val="Carlos Casares"/>
        <filter val="Daireaux"/>
        <filter val="Henderson"/>
        <filter val="Pehuajó"/>
        <filter val="San Carlos de Bolívar"/>
      </filters>
    </filterColumn>
  </autoFilter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6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Q164"/>
  <sheetViews>
    <sheetView view="pageBreakPreview" zoomScale="85" zoomScaleSheetLayoutView="85" workbookViewId="0">
      <pane xSplit="3" ySplit="4" topLeftCell="D137" activePane="bottomRight" state="frozen"/>
      <selection activeCell="C11" sqref="C11"/>
      <selection pane="topRight" activeCell="C11" sqref="C11"/>
      <selection pane="bottomLeft" activeCell="C11" sqref="C11"/>
      <selection pane="bottomRight" activeCell="C5" sqref="C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5.140625" style="42" customWidth="1"/>
    <col min="4" max="4" width="16.42578125" style="42" customWidth="1"/>
    <col min="5" max="6" width="13.28515625" style="42" customWidth="1"/>
    <col min="7" max="8" width="17.28515625" style="42" customWidth="1"/>
    <col min="9" max="17" width="13.28515625" style="42" customWidth="1"/>
    <col min="18" max="19" width="12.7109375" style="42" bestFit="1" customWidth="1"/>
    <col min="20" max="26" width="11.42578125" style="42" customWidth="1"/>
    <col min="27" max="27" width="12.7109375" style="42" bestFit="1" customWidth="1"/>
    <col min="28" max="28" width="19.7109375" style="42" customWidth="1"/>
    <col min="29" max="29" width="54.5703125" style="42" customWidth="1"/>
    <col min="30" max="32" width="18.28515625" style="42" customWidth="1"/>
    <col min="33" max="34" width="11.42578125" style="42" customWidth="1"/>
    <col min="35" max="16384" width="11.42578125" style="42"/>
  </cols>
  <sheetData>
    <row r="1" spans="1:35" ht="16.5" thickBot="1">
      <c r="A1" s="41" t="s">
        <v>24</v>
      </c>
      <c r="G1" s="955"/>
      <c r="H1" s="955"/>
      <c r="I1" s="955"/>
      <c r="J1" s="955"/>
      <c r="K1" s="955"/>
      <c r="L1" s="955"/>
      <c r="M1" s="955"/>
      <c r="N1" s="955"/>
      <c r="O1" s="955"/>
      <c r="P1" s="955"/>
      <c r="Q1" s="955"/>
      <c r="R1" s="955"/>
      <c r="S1" s="955"/>
      <c r="T1" s="955"/>
      <c r="U1" s="955"/>
      <c r="V1" s="955"/>
      <c r="W1" s="955"/>
      <c r="X1" s="955"/>
      <c r="Y1" s="955"/>
      <c r="Z1" s="955"/>
      <c r="AA1" s="43"/>
      <c r="AC1" s="44"/>
      <c r="AD1" s="44"/>
      <c r="AE1" s="44"/>
      <c r="AF1" s="44"/>
      <c r="AG1" s="44"/>
      <c r="AH1" s="44"/>
      <c r="AI1" s="44"/>
    </row>
    <row r="2" spans="1:35" ht="16.5" thickBot="1">
      <c r="A2" s="41">
        <v>1</v>
      </c>
      <c r="B2" s="42">
        <f>+A2+1</f>
        <v>2</v>
      </c>
      <c r="C2" s="42">
        <f t="shared" ref="C2:AA2" si="0">+B2+1</f>
        <v>3</v>
      </c>
      <c r="D2" s="42">
        <f t="shared" si="0"/>
        <v>4</v>
      </c>
      <c r="E2" s="42">
        <f t="shared" si="0"/>
        <v>5</v>
      </c>
      <c r="F2" s="42">
        <f t="shared" si="0"/>
        <v>6</v>
      </c>
      <c r="G2" s="42">
        <f>+F2+1</f>
        <v>7</v>
      </c>
      <c r="H2" s="42">
        <f t="shared" si="0"/>
        <v>8</v>
      </c>
      <c r="I2" s="42">
        <f t="shared" si="0"/>
        <v>9</v>
      </c>
      <c r="J2" s="42">
        <f t="shared" si="0"/>
        <v>10</v>
      </c>
      <c r="K2" s="42">
        <f t="shared" si="0"/>
        <v>11</v>
      </c>
      <c r="L2" s="42">
        <f t="shared" si="0"/>
        <v>12</v>
      </c>
      <c r="M2" s="42">
        <f t="shared" si="0"/>
        <v>13</v>
      </c>
      <c r="N2" s="42">
        <f t="shared" si="0"/>
        <v>14</v>
      </c>
      <c r="O2" s="42">
        <f t="shared" si="0"/>
        <v>15</v>
      </c>
      <c r="P2" s="42">
        <f t="shared" si="0"/>
        <v>16</v>
      </c>
      <c r="Q2" s="42">
        <f t="shared" si="0"/>
        <v>17</v>
      </c>
      <c r="R2" s="42">
        <f t="shared" si="0"/>
        <v>18</v>
      </c>
      <c r="S2" s="42">
        <f t="shared" si="0"/>
        <v>19</v>
      </c>
      <c r="T2" s="42">
        <f t="shared" si="0"/>
        <v>20</v>
      </c>
      <c r="U2" s="42">
        <f t="shared" si="0"/>
        <v>21</v>
      </c>
      <c r="V2" s="42">
        <f t="shared" si="0"/>
        <v>22</v>
      </c>
      <c r="W2" s="42">
        <f t="shared" si="0"/>
        <v>23</v>
      </c>
      <c r="X2" s="42">
        <f t="shared" si="0"/>
        <v>24</v>
      </c>
      <c r="Y2" s="42">
        <f t="shared" si="0"/>
        <v>25</v>
      </c>
      <c r="Z2" s="42">
        <f t="shared" si="0"/>
        <v>26</v>
      </c>
      <c r="AA2" s="42">
        <f t="shared" si="0"/>
        <v>27</v>
      </c>
      <c r="AC2" s="44"/>
      <c r="AD2" s="44"/>
      <c r="AE2" s="44"/>
      <c r="AF2" s="44"/>
      <c r="AG2" s="44"/>
      <c r="AH2" s="44"/>
      <c r="AI2" s="44"/>
    </row>
    <row r="3" spans="1:35" ht="62.25" customHeight="1" thickBot="1">
      <c r="A3" s="45"/>
      <c r="B3" s="44"/>
      <c r="C3" s="45"/>
      <c r="D3" s="44"/>
      <c r="E3" s="46" t="s">
        <v>25</v>
      </c>
      <c r="F3" s="47"/>
      <c r="G3" s="47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9"/>
      <c r="AC3" s="50"/>
      <c r="AD3" s="50" t="s">
        <v>26</v>
      </c>
      <c r="AE3" s="956" t="s">
        <v>27</v>
      </c>
      <c r="AF3" s="956"/>
      <c r="AG3" s="51"/>
      <c r="AH3" s="51"/>
      <c r="AI3" s="44"/>
    </row>
    <row r="4" spans="1:35" ht="27" customHeight="1" thickBot="1">
      <c r="A4" s="52" t="s">
        <v>28</v>
      </c>
      <c r="B4" s="53" t="s">
        <v>29</v>
      </c>
      <c r="C4" s="53" t="s">
        <v>22</v>
      </c>
      <c r="D4" s="54"/>
      <c r="E4" s="55">
        <v>2010</v>
      </c>
      <c r="F4" s="56">
        <v>2022</v>
      </c>
      <c r="G4" s="57">
        <v>2023</v>
      </c>
      <c r="H4" s="58">
        <v>2026</v>
      </c>
      <c r="I4" s="58">
        <v>2027</v>
      </c>
      <c r="J4" s="58">
        <f t="shared" ref="J4:AA4" si="1">+I4+1</f>
        <v>2028</v>
      </c>
      <c r="K4" s="58">
        <f t="shared" si="1"/>
        <v>2029</v>
      </c>
      <c r="L4" s="58">
        <f t="shared" si="1"/>
        <v>2030</v>
      </c>
      <c r="M4" s="58">
        <f t="shared" si="1"/>
        <v>2031</v>
      </c>
      <c r="N4" s="58">
        <f t="shared" si="1"/>
        <v>2032</v>
      </c>
      <c r="O4" s="58">
        <f t="shared" si="1"/>
        <v>2033</v>
      </c>
      <c r="P4" s="58">
        <f t="shared" si="1"/>
        <v>2034</v>
      </c>
      <c r="Q4" s="58">
        <f t="shared" si="1"/>
        <v>2035</v>
      </c>
      <c r="R4" s="58">
        <f t="shared" si="1"/>
        <v>2036</v>
      </c>
      <c r="S4" s="58">
        <f t="shared" si="1"/>
        <v>2037</v>
      </c>
      <c r="T4" s="58">
        <f t="shared" si="1"/>
        <v>2038</v>
      </c>
      <c r="U4" s="58">
        <f t="shared" si="1"/>
        <v>2039</v>
      </c>
      <c r="V4" s="58">
        <f t="shared" si="1"/>
        <v>2040</v>
      </c>
      <c r="W4" s="58">
        <f t="shared" si="1"/>
        <v>2041</v>
      </c>
      <c r="X4" s="58">
        <f t="shared" si="1"/>
        <v>2042</v>
      </c>
      <c r="Y4" s="58">
        <f t="shared" si="1"/>
        <v>2043</v>
      </c>
      <c r="Z4" s="58">
        <f t="shared" si="1"/>
        <v>2044</v>
      </c>
      <c r="AA4" s="58">
        <f t="shared" si="1"/>
        <v>2045</v>
      </c>
      <c r="AB4" s="59" t="s">
        <v>30</v>
      </c>
      <c r="AC4" s="60" t="s">
        <v>31</v>
      </c>
      <c r="AD4" s="50" t="s">
        <v>32</v>
      </c>
      <c r="AE4" s="50" t="s">
        <v>33</v>
      </c>
      <c r="AF4" s="50" t="s">
        <v>34</v>
      </c>
      <c r="AG4" s="51"/>
      <c r="AH4" s="51"/>
      <c r="AI4" s="61">
        <v>2023</v>
      </c>
    </row>
    <row r="5" spans="1:35" ht="24.95" customHeight="1">
      <c r="A5" s="62" t="str">
        <f>+Proyeccion_Localidades!C5</f>
        <v>Almirante Brown</v>
      </c>
      <c r="B5" s="63">
        <v>1</v>
      </c>
      <c r="C5" s="64" t="str">
        <f>+Proyeccion_Localidades!B5</f>
        <v>Almirante Brown</v>
      </c>
      <c r="D5" s="257">
        <f>+B5</f>
        <v>1</v>
      </c>
      <c r="E5" s="65">
        <f>+Proyeccion_Localidades!F5</f>
        <v>552902</v>
      </c>
      <c r="F5" s="66">
        <f>IF($AB5="TGD",ROUND($E5*(1+$AD5)^(F$4-$E$4),0),IF($AB5="ALTH",ROUND($AE5+$AF5*F$4,0),IF($AB5="IR",ROUND(Proyeccion_Localidades!AC5,0),IF($AB5="RT",ROUND(Proyeccion_Localidades!AZ5,0),"*****"))))</f>
        <v>608614</v>
      </c>
      <c r="G5" s="66">
        <f>IF($AB5="TGD",ROUND($E5*(1+$AD5)^(G$4-$E$4),0),IF($AB5="ALTH",ROUND($AE5+$AF5*G$4,0),IF($AB5="IR",ROUND(Proyeccion_Localidades!AD5,0),IF($AB5="RT",ROUND(Proyeccion_Localidades!BA5,0),"*****"))))</f>
        <v>613503</v>
      </c>
      <c r="H5" s="66">
        <f>IF($AB5="TGD",ROUND($E5*(1+$AD5)^(H$4-$E$4),0),IF($AB5="ALTH",ROUND($AE5+$AF5*H$4,0),IF($AB5="IR",ROUND(Proyeccion_Localidades!AE5,0),IF($AB5="RT",ROUND(Proyeccion_Localidades!BB5,0),"*****"))))</f>
        <v>628405</v>
      </c>
      <c r="I5" s="66">
        <f>IF($AB5="TGD",ROUND($E5*(1+$AD5)^(I$4-$E$4),0),IF($AB5="ALTH",ROUND($AE5+$AF5*I$4,0),IF($AB5="IR",ROUND(Proyeccion_Localidades!AF5,0),IF($AB5="RT",ROUND(Proyeccion_Localidades!BC5,0),"*****"))))</f>
        <v>633453</v>
      </c>
      <c r="J5" s="66">
        <f>IF($AB5="TGD",ROUND($E5*(1+$AD5)^(J$4-$E$4),0),IF($AB5="ALTH",ROUND($AE5+$AF5*J$4,0),IF($AB5="IR",ROUND(Proyeccion_Localidades!AG5,0),IF($AB5="RT",ROUND(Proyeccion_Localidades!BD5,0),"*****"))))</f>
        <v>638541</v>
      </c>
      <c r="K5" s="66">
        <f>IF($AB5="TGD",ROUND($E5*(1+$AD5)^(K$4-$E$4),0),IF($AB5="ALTH",ROUND($AE5+$AF5*K$4,0),IF($AB5="IR",ROUND(Proyeccion_Localidades!AH5,0),IF($AB5="RT",ROUND(Proyeccion_Localidades!BE5,0),"*****"))))</f>
        <v>643670</v>
      </c>
      <c r="L5" s="66">
        <f>IF($AB5="TGD",ROUND($E5*(1+$AD5)^(L$4-$E$4),0),IF($AB5="ALTH",ROUND($AE5+$AF5*L$4,0),IF($AB5="IR",ROUND(Proyeccion_Localidades!AI5,0),IF($AB5="RT",ROUND(Proyeccion_Localidades!BF5,0),"*****"))))</f>
        <v>648840</v>
      </c>
      <c r="M5" s="66">
        <f>IF($AB5="TGD",ROUND($E5*(1+$AD5)^(M$4-$E$4),0),IF($AB5="ALTH",ROUND($AE5+$AF5*M$4,0),IF($AB5="IR",ROUND(Proyeccion_Localidades!AJ5,0),IF($AB5="RT",ROUND(Proyeccion_Localidades!BG5,0),"*****"))))</f>
        <v>654052</v>
      </c>
      <c r="N5" s="66">
        <f>IF($AB5="TGD",ROUND($E5*(1+$AD5)^(N$4-$E$4),0),IF($AB5="ALTH",ROUND($AE5+$AF5*N$4,0),IF($AB5="IR",ROUND(Proyeccion_Localidades!AK5,0),IF($AB5="RT",ROUND(Proyeccion_Localidades!BH5,0),"*****"))))</f>
        <v>659306</v>
      </c>
      <c r="O5" s="66">
        <f>IF($AB5="TGD",ROUND($E5*(1+$AD5)^(O$4-$E$4),0),IF($AB5="ALTH",ROUND($AE5+$AF5*O$4,0),IF($AB5="IR",ROUND(Proyeccion_Localidades!AL5,0),IF($AB5="RT",ROUND(Proyeccion_Localidades!BI5,0),"*****"))))</f>
        <v>664602</v>
      </c>
      <c r="P5" s="66">
        <f>IF($AB5="TGD",ROUND($E5*(1+$AD5)^(P$4-$E$4),0),IF($AB5="ALTH",ROUND($AE5+$AF5*P$4,0),IF($AB5="IR",ROUND(Proyeccion_Localidades!AM5,0),IF($AB5="RT",ROUND(Proyeccion_Localidades!BJ5,0),"*****"))))</f>
        <v>669940</v>
      </c>
      <c r="Q5" s="66">
        <f>IF($AB5="TGD",ROUND($E5*(1+$AD5)^(Q$4-$E$4),0),IF($AB5="ALTH",ROUND($AE5+$AF5*Q$4,0),IF($AB5="IR",ROUND(Proyeccion_Localidades!AN5,0),IF($AB5="RT",ROUND(Proyeccion_Localidades!BK5,0),"*****"))))</f>
        <v>675321</v>
      </c>
      <c r="R5" s="66">
        <f>IF($AB5="TGD",ROUND($E5*(1+$AD5)^(R$4-$E$4),0),IF($AB5="ALTH",ROUND($AE5+$AF5*R$4,0),IF($AB5="IR",ROUND(Proyeccion_Localidades!AO5,0),IF($AB5="RT",ROUND(Proyeccion_Localidades!BL5,0),"*****"))))</f>
        <v>680746</v>
      </c>
      <c r="S5" s="66">
        <f>IF($AB5="TGD",ROUND($E5*(1+$AD5)^(S$4-$E$4),0),IF($AB5="ALTH",ROUND($AE5+$AF5*S$4,0),IF($AB5="IR",ROUND(Proyeccion_Localidades!AP5,0),IF($AB5="RT",ROUND(Proyeccion_Localidades!BM5,0),"*****"))))</f>
        <v>686214</v>
      </c>
      <c r="T5" s="66">
        <f>IF($AB5="TGD",ROUND($E5*(1+$AD5)^(T$4-$E$4),0),IF($AB5="ALTH",ROUND($AE5+$AF5*T$4,0),IF($AB5="IR",ROUND(Proyeccion_Localidades!AQ5,0),IF($AB5="RT",ROUND(Proyeccion_Localidades!BN5,0),"*****"))))</f>
        <v>691725</v>
      </c>
      <c r="U5" s="66">
        <f>IF($AB5="TGD",ROUND($E5*(1+$AD5)^(U$4-$E$4),0),IF($AB5="ALTH",ROUND($AE5+$AF5*U$4,0),IF($AB5="IR",ROUND(Proyeccion_Localidades!AR5,0),IF($AB5="RT",ROUND(Proyeccion_Localidades!BO5,0),"*****"))))</f>
        <v>697282</v>
      </c>
      <c r="V5" s="66">
        <f>IF($AB5="TGD",ROUND($E5*(1+$AD5)^(V$4-$E$4),0),IF($AB5="ALTH",ROUND($AE5+$AF5*V$4,0),IF($AB5="IR",ROUND(Proyeccion_Localidades!AS5,0),IF($AB5="RT",ROUND(Proyeccion_Localidades!BP5,0),"*****"))))</f>
        <v>702883</v>
      </c>
      <c r="W5" s="66">
        <f>IF($AB5="TGD",ROUND($E5*(1+$AD5)^(W$4-$E$4),0),IF($AB5="ALTH",ROUND($AE5+$AF5*W$4,0),IF($AB5="IR",ROUND(Proyeccion_Localidades!AT5,0),IF($AB5="RT",ROUND(Proyeccion_Localidades!BQ5,0),"*****"))))</f>
        <v>708528</v>
      </c>
      <c r="X5" s="66">
        <f>IF($AB5="TGD",ROUND($E5*(1+$AD5)^(X$4-$E$4),0),IF($AB5="ALTH",ROUND($AE5+$AF5*X$4,0),IF($AB5="IR",ROUND(Proyeccion_Localidades!AU5,0),IF($AB5="RT",ROUND(Proyeccion_Localidades!BR5,0),"*****"))))</f>
        <v>714220</v>
      </c>
      <c r="Y5" s="66">
        <f>IF($AB5="TGD",ROUND($E5*(1+$AD5)^(Y$4-$E$4),0),IF($AB5="ALTH",ROUND($AE5+$AF5*Y$4,0),IF($AB5="IR",ROUND(Proyeccion_Localidades!AV5,0),IF($AB5="RT",ROUND(Proyeccion_Localidades!BS5,0),"*****"))))</f>
        <v>719956</v>
      </c>
      <c r="Z5" s="66">
        <f>IF($AB5="TGD",ROUND($E5*(1+$AD5)^(Z$4-$E$4),0),IF($AB5="ALTH",ROUND($AE5+$AF5*Z$4,0),IF($AB5="IR",ROUND(Proyeccion_Localidades!AW5,0),IF($AB5="RT",ROUND(Proyeccion_Localidades!BT5,0),"*****"))))</f>
        <v>725739</v>
      </c>
      <c r="AA5" s="66">
        <f>IF($AB5="TGD",ROUND($E5*(1+$AD5)^(AA$4-$E$4),0),IF($AB5="ALTH",ROUND($AE5+$AF5*AA$4,0),IF($AB5="IR",ROUND(Proyeccion_Localidades!AX5,0),IF($AB5="RT",ROUND(Proyeccion_Localidades!BU5,0),"*****"))))</f>
        <v>731569</v>
      </c>
      <c r="AB5" s="67" t="str">
        <f>Proyeccion_Localidades!N5</f>
        <v>TGD</v>
      </c>
      <c r="AC5" s="68" t="s">
        <v>35</v>
      </c>
      <c r="AD5" s="51">
        <f>IF(AB5="TGD",Proyeccion_Localidades!Z5,"-")</f>
        <v>8.0323888344191463E-3</v>
      </c>
      <c r="AE5" s="51" t="str">
        <f>IF($AB5="ALTH",Proyeccion_Localidades!AA5,"-")</f>
        <v>-</v>
      </c>
      <c r="AF5" s="51" t="str">
        <f>IF($AB5="ALTH",Proyeccion_Localidades!AB5,"-")</f>
        <v>-</v>
      </c>
      <c r="AG5" s="51"/>
      <c r="AH5" s="51"/>
      <c r="AI5" s="66">
        <f>+G5</f>
        <v>613503</v>
      </c>
    </row>
    <row r="6" spans="1:35" ht="24.95" customHeight="1">
      <c r="A6" s="69" t="str">
        <f>+Proyeccion_Localidades!C6</f>
        <v>Avellaneda</v>
      </c>
      <c r="B6" s="70">
        <v>2</v>
      </c>
      <c r="C6" s="71" t="str">
        <f>+Proyeccion_Localidades!B6</f>
        <v>Avellaneda</v>
      </c>
      <c r="D6" s="261">
        <f>+B6</f>
        <v>2</v>
      </c>
      <c r="E6" s="72">
        <f>+Proyeccion_Localidades!F6</f>
        <v>342677</v>
      </c>
      <c r="F6" s="66">
        <f>IF($AB6="TGD",ROUND($E6*(1+$AD6)^(F$4-$E$4),0),IF($AB6="ALTH",ROUND($AE6+$AF6*F$4,0),IF($AB6="IR",ROUND(Proyeccion_Localidades!AC6,0),IF($AB6="RT",ROUND(Proyeccion_Localidades!AZ6,0),"*****"))))</f>
        <v>373208</v>
      </c>
      <c r="G6" s="66">
        <f>IF($AB6="TGD",ROUND($E6*(1+$AD6)^(G$4-$E$4),0),IF($AB6="ALTH",ROUND($AE6+$AF6*G$4,0),IF($AB6="IR",ROUND(Proyeccion_Localidades!AD6,0),IF($AB6="RT",ROUND(Proyeccion_Localidades!BA6,0),"*****"))))</f>
        <v>376030</v>
      </c>
      <c r="H6" s="66">
        <f>IF($AB6="TGD",ROUND($E6*(1+$AD6)^(H$4-$E$4),0),IF($AB6="ALTH",ROUND($AE6+$AF6*H$4,0),IF($AB6="IR",ROUND(Proyeccion_Localidades!AE6,0),IF($AB6="RT",ROUND(Proyeccion_Localidades!BB6,0),"*****"))))</f>
        <v>384775</v>
      </c>
      <c r="I6" s="66">
        <f>IF($AB6="TGD",ROUND($E6*(1+$AD6)^(I$4-$E$4),0),IF($AB6="ALTH",ROUND($AE6+$AF6*I$4,0),IF($AB6="IR",ROUND(Proyeccion_Localidades!AF6,0),IF($AB6="RT",ROUND(Proyeccion_Localidades!BC6,0),"*****"))))</f>
        <v>387786</v>
      </c>
      <c r="J6" s="66">
        <f>IF($AB6="TGD",ROUND($E6*(1+$AD6)^(J$4-$E$4),0),IF($AB6="ALTH",ROUND($AE6+$AF6*J$4,0),IF($AB6="IR",ROUND(Proyeccion_Localidades!AG6,0),IF($AB6="RT",ROUND(Proyeccion_Localidades!BD6,0),"*****"))))</f>
        <v>390846</v>
      </c>
      <c r="K6" s="66">
        <f>IF($AB6="TGD",ROUND($E6*(1+$AD6)^(K$4-$E$4),0),IF($AB6="ALTH",ROUND($AE6+$AF6*K$4,0),IF($AB6="IR",ROUND(Proyeccion_Localidades!AH6,0),IF($AB6="RT",ROUND(Proyeccion_Localidades!BE6,0),"*****"))))</f>
        <v>393956</v>
      </c>
      <c r="L6" s="66">
        <f>IF($AB6="TGD",ROUND($E6*(1+$AD6)^(L$4-$E$4),0),IF($AB6="ALTH",ROUND($AE6+$AF6*L$4,0),IF($AB6="IR",ROUND(Proyeccion_Localidades!AI6,0),IF($AB6="RT",ROUND(Proyeccion_Localidades!BF6,0),"*****"))))</f>
        <v>397116</v>
      </c>
      <c r="M6" s="66">
        <f>IF($AB6="TGD",ROUND($E6*(1+$AD6)^(M$4-$E$4),0),IF($AB6="ALTH",ROUND($AE6+$AF6*M$4,0),IF($AB6="IR",ROUND(Proyeccion_Localidades!AJ6,0),IF($AB6="RT",ROUND(Proyeccion_Localidades!BG6,0),"*****"))))</f>
        <v>400328</v>
      </c>
      <c r="N6" s="66">
        <f>IF($AB6="TGD",ROUND($E6*(1+$AD6)^(N$4-$E$4),0),IF($AB6="ALTH",ROUND($AE6+$AF6*N$4,0),IF($AB6="IR",ROUND(Proyeccion_Localidades!AK6,0),IF($AB6="RT",ROUND(Proyeccion_Localidades!BH6,0),"*****"))))</f>
        <v>403593</v>
      </c>
      <c r="O6" s="66">
        <f>IF($AB6="TGD",ROUND($E6*(1+$AD6)^(O$4-$E$4),0),IF($AB6="ALTH",ROUND($AE6+$AF6*O$4,0),IF($AB6="IR",ROUND(Proyeccion_Localidades!AL6,0),IF($AB6="RT",ROUND(Proyeccion_Localidades!BI6,0),"*****"))))</f>
        <v>406910</v>
      </c>
      <c r="P6" s="66">
        <f>IF($AB6="TGD",ROUND($E6*(1+$AD6)^(P$4-$E$4),0),IF($AB6="ALTH",ROUND($AE6+$AF6*P$4,0),IF($AB6="IR",ROUND(Proyeccion_Localidades!AM6,0),IF($AB6="RT",ROUND(Proyeccion_Localidades!BJ6,0),"*****"))))</f>
        <v>410282</v>
      </c>
      <c r="Q6" s="66">
        <f>IF($AB6="TGD",ROUND($E6*(1+$AD6)^(Q$4-$E$4),0),IF($AB6="ALTH",ROUND($AE6+$AF6*Q$4,0),IF($AB6="IR",ROUND(Proyeccion_Localidades!AN6,0),IF($AB6="RT",ROUND(Proyeccion_Localidades!BK6,0),"*****"))))</f>
        <v>413709</v>
      </c>
      <c r="R6" s="66">
        <f>IF($AB6="TGD",ROUND($E6*(1+$AD6)^(R$4-$E$4),0),IF($AB6="ALTH",ROUND($AE6+$AF6*R$4,0),IF($AB6="IR",ROUND(Proyeccion_Localidades!AO6,0),IF($AB6="RT",ROUND(Proyeccion_Localidades!BL6,0),"*****"))))</f>
        <v>417192</v>
      </c>
      <c r="S6" s="66">
        <f>IF($AB6="TGD",ROUND($E6*(1+$AD6)^(S$4-$E$4),0),IF($AB6="ALTH",ROUND($AE6+$AF6*S$4,0),IF($AB6="IR",ROUND(Proyeccion_Localidades!AP6,0),IF($AB6="RT",ROUND(Proyeccion_Localidades!BM6,0),"*****"))))</f>
        <v>420731</v>
      </c>
      <c r="T6" s="66">
        <f>IF($AB6="TGD",ROUND($E6*(1+$AD6)^(T$4-$E$4),0),IF($AB6="ALTH",ROUND($AE6+$AF6*T$4,0),IF($AB6="IR",ROUND(Proyeccion_Localidades!AQ6,0),IF($AB6="RT",ROUND(Proyeccion_Localidades!BN6,0),"*****"))))</f>
        <v>424328</v>
      </c>
      <c r="U6" s="66">
        <f>IF($AB6="TGD",ROUND($E6*(1+$AD6)^(U$4-$E$4),0),IF($AB6="ALTH",ROUND($AE6+$AF6*U$4,0),IF($AB6="IR",ROUND(Proyeccion_Localidades!AR6,0),IF($AB6="RT",ROUND(Proyeccion_Localidades!BO6,0),"*****"))))</f>
        <v>427984</v>
      </c>
      <c r="V6" s="66">
        <f>IF($AB6="TGD",ROUND($E6*(1+$AD6)^(V$4-$E$4),0),IF($AB6="ALTH",ROUND($AE6+$AF6*V$4,0),IF($AB6="IR",ROUND(Proyeccion_Localidades!AS6,0),IF($AB6="RT",ROUND(Proyeccion_Localidades!BP6,0),"*****"))))</f>
        <v>431700</v>
      </c>
      <c r="W6" s="66">
        <f>IF($AB6="TGD",ROUND($E6*(1+$AD6)^(W$4-$E$4),0),IF($AB6="ALTH",ROUND($AE6+$AF6*W$4,0),IF($AB6="IR",ROUND(Proyeccion_Localidades!AT6,0),IF($AB6="RT",ROUND(Proyeccion_Localidades!BQ6,0),"*****"))))</f>
        <v>435476</v>
      </c>
      <c r="X6" s="66">
        <f>IF($AB6="TGD",ROUND($E6*(1+$AD6)^(X$4-$E$4),0),IF($AB6="ALTH",ROUND($AE6+$AF6*X$4,0),IF($AB6="IR",ROUND(Proyeccion_Localidades!AU6,0),IF($AB6="RT",ROUND(Proyeccion_Localidades!BR6,0),"*****"))))</f>
        <v>439314</v>
      </c>
      <c r="Y6" s="66">
        <f>IF($AB6="TGD",ROUND($E6*(1+$AD6)^(Y$4-$E$4),0),IF($AB6="ALTH",ROUND($AE6+$AF6*Y$4,0),IF($AB6="IR",ROUND(Proyeccion_Localidades!AV6,0),IF($AB6="RT",ROUND(Proyeccion_Localidades!BS6,0),"*****"))))</f>
        <v>443214</v>
      </c>
      <c r="Z6" s="66">
        <f>IF($AB6="TGD",ROUND($E6*(1+$AD6)^(Z$4-$E$4),0),IF($AB6="ALTH",ROUND($AE6+$AF6*Z$4,0),IF($AB6="IR",ROUND(Proyeccion_Localidades!AW6,0),IF($AB6="RT",ROUND(Proyeccion_Localidades!BT6,0),"*****"))))</f>
        <v>447178</v>
      </c>
      <c r="AA6" s="66">
        <f>IF($AB6="TGD",ROUND($E6*(1+$AD6)^(AA$4-$E$4),0),IF($AB6="ALTH",ROUND($AE6+$AF6*AA$4,0),IF($AB6="IR",ROUND(Proyeccion_Localidades!AX6,0),IF($AB6="RT",ROUND(Proyeccion_Localidades!BU6,0),"*****"))))</f>
        <v>451207</v>
      </c>
      <c r="AB6" s="67" t="str">
        <f>Proyeccion_Localidades!N6</f>
        <v>IR</v>
      </c>
      <c r="AC6" s="68"/>
      <c r="AD6" s="51" t="str">
        <f>IF(AB6="TGD",Proyeccion_Localidades!Z6,"-")</f>
        <v>-</v>
      </c>
      <c r="AE6" s="51" t="str">
        <f>IF($AB6="ALTH",Proyeccion_Localidades!AA6,"-")</f>
        <v>-</v>
      </c>
      <c r="AF6" s="51" t="str">
        <f>IF($AB6="ALTH",Proyeccion_Localidades!AB6,"-")</f>
        <v>-</v>
      </c>
      <c r="AG6" s="51"/>
      <c r="AH6" s="51"/>
      <c r="AI6" s="66">
        <f t="shared" ref="AI6:AI68" si="2">+G6</f>
        <v>376030</v>
      </c>
    </row>
    <row r="7" spans="1:35" ht="24.95" customHeight="1">
      <c r="A7" s="69" t="str">
        <f>+Proyeccion_Localidades!C7</f>
        <v>Berazategui</v>
      </c>
      <c r="B7" s="70">
        <v>3</v>
      </c>
      <c r="C7" s="71" t="str">
        <f>+Proyeccion_Localidades!B7</f>
        <v>Berazategui</v>
      </c>
      <c r="D7" s="261">
        <f t="shared" ref="D7:D69" si="3">+B7</f>
        <v>3</v>
      </c>
      <c r="E7" s="72">
        <f>+Proyeccion_Localidades!F7</f>
        <v>324244</v>
      </c>
      <c r="F7" s="66">
        <f>IF($AB7="TGD",ROUND($E7*(1+$AD7)^(F$4-$E$4),0),IF($AB7="ALTH",ROUND($AE7+$AF7*F$4,0),IF($AB7="IR",ROUND(Proyeccion_Localidades!AC7,0),IF($AB7="RT",ROUND(Proyeccion_Localidades!AZ7,0),"*****"))))</f>
        <v>375044</v>
      </c>
      <c r="G7" s="66">
        <f>IF($AB7="TGD",ROUND($E7*(1+$AD7)^(G$4-$E$4),0),IF($AB7="ALTH",ROUND($AE7+$AF7*G$4,0),IF($AB7="IR",ROUND(Proyeccion_Localidades!AD7,0),IF($AB7="RT",ROUND(Proyeccion_Localidades!BA7,0),"*****"))))</f>
        <v>379264</v>
      </c>
      <c r="H7" s="66">
        <f>IF($AB7="TGD",ROUND($E7*(1+$AD7)^(H$4-$E$4),0),IF($AB7="ALTH",ROUND($AE7+$AF7*H$4,0),IF($AB7="IR",ROUND(Proyeccion_Localidades!AE7,0),IF($AB7="RT",ROUND(Proyeccion_Localidades!BB7,0),"*****"))))</f>
        <v>391924</v>
      </c>
      <c r="I7" s="66">
        <f>IF($AB7="TGD",ROUND($E7*(1+$AD7)^(I$4-$E$4),0),IF($AB7="ALTH",ROUND($AE7+$AF7*I$4,0),IF($AB7="IR",ROUND(Proyeccion_Localidades!AF7,0),IF($AB7="RT",ROUND(Proyeccion_Localidades!BC7,0),"*****"))))</f>
        <v>396143</v>
      </c>
      <c r="J7" s="66">
        <f>IF($AB7="TGD",ROUND($E7*(1+$AD7)^(J$4-$E$4),0),IF($AB7="ALTH",ROUND($AE7+$AF7*J$4,0),IF($AB7="IR",ROUND(Proyeccion_Localidades!AG7,0),IF($AB7="RT",ROUND(Proyeccion_Localidades!BD7,0),"*****"))))</f>
        <v>400363</v>
      </c>
      <c r="K7" s="66">
        <f>IF($AB7="TGD",ROUND($E7*(1+$AD7)^(K$4-$E$4),0),IF($AB7="ALTH",ROUND($AE7+$AF7*K$4,0),IF($AB7="IR",ROUND(Proyeccion_Localidades!AH7,0),IF($AB7="RT",ROUND(Proyeccion_Localidades!BE7,0),"*****"))))</f>
        <v>404583</v>
      </c>
      <c r="L7" s="66">
        <f>IF($AB7="TGD",ROUND($E7*(1+$AD7)^(L$4-$E$4),0),IF($AB7="ALTH",ROUND($AE7+$AF7*L$4,0),IF($AB7="IR",ROUND(Proyeccion_Localidades!AI7,0),IF($AB7="RT",ROUND(Proyeccion_Localidades!BF7,0),"*****"))))</f>
        <v>408803</v>
      </c>
      <c r="M7" s="66">
        <f>IF($AB7="TGD",ROUND($E7*(1+$AD7)^(M$4-$E$4),0),IF($AB7="ALTH",ROUND($AE7+$AF7*M$4,0),IF($AB7="IR",ROUND(Proyeccion_Localidades!AJ7,0),IF($AB7="RT",ROUND(Proyeccion_Localidades!BG7,0),"*****"))))</f>
        <v>413023</v>
      </c>
      <c r="N7" s="66">
        <f>IF($AB7="TGD",ROUND($E7*(1+$AD7)^(N$4-$E$4),0),IF($AB7="ALTH",ROUND($AE7+$AF7*N$4,0),IF($AB7="IR",ROUND(Proyeccion_Localidades!AK7,0),IF($AB7="RT",ROUND(Proyeccion_Localidades!BH7,0),"*****"))))</f>
        <v>417243</v>
      </c>
      <c r="O7" s="66">
        <f>IF($AB7="TGD",ROUND($E7*(1+$AD7)^(O$4-$E$4),0),IF($AB7="ALTH",ROUND($AE7+$AF7*O$4,0),IF($AB7="IR",ROUND(Proyeccion_Localidades!AL7,0),IF($AB7="RT",ROUND(Proyeccion_Localidades!BI7,0),"*****"))))</f>
        <v>421463</v>
      </c>
      <c r="P7" s="66">
        <f>IF($AB7="TGD",ROUND($E7*(1+$AD7)^(P$4-$E$4),0),IF($AB7="ALTH",ROUND($AE7+$AF7*P$4,0),IF($AB7="IR",ROUND(Proyeccion_Localidades!AM7,0),IF($AB7="RT",ROUND(Proyeccion_Localidades!BJ7,0),"*****"))))</f>
        <v>425682</v>
      </c>
      <c r="Q7" s="66">
        <f>IF($AB7="TGD",ROUND($E7*(1+$AD7)^(Q$4-$E$4),0),IF($AB7="ALTH",ROUND($AE7+$AF7*Q$4,0),IF($AB7="IR",ROUND(Proyeccion_Localidades!AN7,0),IF($AB7="RT",ROUND(Proyeccion_Localidades!BK7,0),"*****"))))</f>
        <v>429902</v>
      </c>
      <c r="R7" s="66">
        <f>IF($AB7="TGD",ROUND($E7*(1+$AD7)^(R$4-$E$4),0),IF($AB7="ALTH",ROUND($AE7+$AF7*R$4,0),IF($AB7="IR",ROUND(Proyeccion_Localidades!AO7,0),IF($AB7="RT",ROUND(Proyeccion_Localidades!BL7,0),"*****"))))</f>
        <v>434122</v>
      </c>
      <c r="S7" s="66">
        <f>IF($AB7="TGD",ROUND($E7*(1+$AD7)^(S$4-$E$4),0),IF($AB7="ALTH",ROUND($AE7+$AF7*S$4,0),IF($AB7="IR",ROUND(Proyeccion_Localidades!AP7,0),IF($AB7="RT",ROUND(Proyeccion_Localidades!BM7,0),"*****"))))</f>
        <v>438342</v>
      </c>
      <c r="T7" s="66">
        <f>IF($AB7="TGD",ROUND($E7*(1+$AD7)^(T$4-$E$4),0),IF($AB7="ALTH",ROUND($AE7+$AF7*T$4,0),IF($AB7="IR",ROUND(Proyeccion_Localidades!AQ7,0),IF($AB7="RT",ROUND(Proyeccion_Localidades!BN7,0),"*****"))))</f>
        <v>442562</v>
      </c>
      <c r="U7" s="66">
        <f>IF($AB7="TGD",ROUND($E7*(1+$AD7)^(U$4-$E$4),0),IF($AB7="ALTH",ROUND($AE7+$AF7*U$4,0),IF($AB7="IR",ROUND(Proyeccion_Localidades!AR7,0),IF($AB7="RT",ROUND(Proyeccion_Localidades!BO7,0),"*****"))))</f>
        <v>446782</v>
      </c>
      <c r="V7" s="66">
        <f>IF($AB7="TGD",ROUND($E7*(1+$AD7)^(V$4-$E$4),0),IF($AB7="ALTH",ROUND($AE7+$AF7*V$4,0),IF($AB7="IR",ROUND(Proyeccion_Localidades!AS7,0),IF($AB7="RT",ROUND(Proyeccion_Localidades!BP7,0),"*****"))))</f>
        <v>451002</v>
      </c>
      <c r="W7" s="66">
        <f>IF($AB7="TGD",ROUND($E7*(1+$AD7)^(W$4-$E$4),0),IF($AB7="ALTH",ROUND($AE7+$AF7*W$4,0),IF($AB7="IR",ROUND(Proyeccion_Localidades!AT7,0),IF($AB7="RT",ROUND(Proyeccion_Localidades!BQ7,0),"*****"))))</f>
        <v>455221</v>
      </c>
      <c r="X7" s="66">
        <f>IF($AB7="TGD",ROUND($E7*(1+$AD7)^(X$4-$E$4),0),IF($AB7="ALTH",ROUND($AE7+$AF7*X$4,0),IF($AB7="IR",ROUND(Proyeccion_Localidades!AU7,0),IF($AB7="RT",ROUND(Proyeccion_Localidades!BR7,0),"*****"))))</f>
        <v>459441</v>
      </c>
      <c r="Y7" s="66">
        <f>IF($AB7="TGD",ROUND($E7*(1+$AD7)^(Y$4-$E$4),0),IF($AB7="ALTH",ROUND($AE7+$AF7*Y$4,0),IF($AB7="IR",ROUND(Proyeccion_Localidades!AV7,0),IF($AB7="RT",ROUND(Proyeccion_Localidades!BS7,0),"*****"))))</f>
        <v>463661</v>
      </c>
      <c r="Z7" s="66">
        <f>IF($AB7="TGD",ROUND($E7*(1+$AD7)^(Z$4-$E$4),0),IF($AB7="ALTH",ROUND($AE7+$AF7*Z$4,0),IF($AB7="IR",ROUND(Proyeccion_Localidades!AW7,0),IF($AB7="RT",ROUND(Proyeccion_Localidades!BT7,0),"*****"))))</f>
        <v>467881</v>
      </c>
      <c r="AA7" s="66">
        <f>IF($AB7="TGD",ROUND($E7*(1+$AD7)^(AA$4-$E$4),0),IF($AB7="ALTH",ROUND($AE7+$AF7*AA$4,0),IF($AB7="IR",ROUND(Proyeccion_Localidades!AX7,0),IF($AB7="RT",ROUND(Proyeccion_Localidades!BU7,0),"*****"))))</f>
        <v>472101</v>
      </c>
      <c r="AB7" s="67" t="str">
        <f>Proyeccion_Localidades!N7</f>
        <v>ALTH</v>
      </c>
      <c r="AC7" s="68" t="s">
        <v>36</v>
      </c>
      <c r="AD7" s="51" t="str">
        <f>IF(AB7="TGD",Proyeccion_Localidades!Z7,"-")</f>
        <v>-</v>
      </c>
      <c r="AE7" s="51">
        <f>IF($AB7="ALTH",Proyeccion_Localidades!AA7,"-")</f>
        <v>-8157497.3653136538</v>
      </c>
      <c r="AF7" s="51">
        <f>IF($AB7="ALTH",Proyeccion_Localidades!AB7,"-")</f>
        <v>4219.8523985239854</v>
      </c>
      <c r="AG7" s="51"/>
      <c r="AH7" s="51"/>
      <c r="AI7" s="66">
        <f t="shared" si="2"/>
        <v>379264</v>
      </c>
    </row>
    <row r="8" spans="1:35" ht="24.95" customHeight="1">
      <c r="A8" s="69" t="str">
        <f>+Proyeccion_Localidades!C8</f>
        <v>Esteban Echeverría</v>
      </c>
      <c r="B8" s="70">
        <v>4</v>
      </c>
      <c r="C8" s="71" t="str">
        <f>+Proyeccion_Localidades!B8</f>
        <v>Esteban Echeverría</v>
      </c>
      <c r="D8" s="261">
        <f t="shared" si="3"/>
        <v>4</v>
      </c>
      <c r="E8" s="72">
        <f>+Proyeccion_Localidades!F8</f>
        <v>300745</v>
      </c>
      <c r="F8" s="66">
        <f>IF($AB8="TGD",ROUND($E8*(1+$AD8)^(F$4-$E$4),0),IF($AB8="ALTH",ROUND($AE8+$AF8*F$4,0),IF($AB8="IR",ROUND(Proyeccion_Localidades!AC8,0),IF($AB8="RT",ROUND(Proyeccion_Localidades!AZ8,0),"*****"))))</f>
        <v>363232</v>
      </c>
      <c r="G8" s="66">
        <f>IF($AB8="TGD",ROUND($E8*(1+$AD8)^(G$4-$E$4),0),IF($AB8="ALTH",ROUND($AE8+$AF8*G$4,0),IF($AB8="IR",ROUND(Proyeccion_Localidades!AD8,0),IF($AB8="RT",ROUND(Proyeccion_Localidades!BA8,0),"*****"))))</f>
        <v>368684</v>
      </c>
      <c r="H8" s="66">
        <f>IF($AB8="TGD",ROUND($E8*(1+$AD8)^(H$4-$E$4),0),IF($AB8="ALTH",ROUND($AE8+$AF8*H$4,0),IF($AB8="IR",ROUND(Proyeccion_Localidades!AE8,0),IF($AB8="RT",ROUND(Proyeccion_Localidades!BB8,0),"*****"))))</f>
        <v>385038</v>
      </c>
      <c r="I8" s="66">
        <f>IF($AB8="TGD",ROUND($E8*(1+$AD8)^(I$4-$E$4),0),IF($AB8="ALTH",ROUND($AE8+$AF8*I$4,0),IF($AB8="IR",ROUND(Proyeccion_Localidades!AF8,0),IF($AB8="RT",ROUND(Proyeccion_Localidades!BC8,0),"*****"))))</f>
        <v>390489</v>
      </c>
      <c r="J8" s="66">
        <f>IF($AB8="TGD",ROUND($E8*(1+$AD8)^(J$4-$E$4),0),IF($AB8="ALTH",ROUND($AE8+$AF8*J$4,0),IF($AB8="IR",ROUND(Proyeccion_Localidades!AG8,0),IF($AB8="RT",ROUND(Proyeccion_Localidades!BD8,0),"*****"))))</f>
        <v>395941</v>
      </c>
      <c r="K8" s="66">
        <f>IF($AB8="TGD",ROUND($E8*(1+$AD8)^(K$4-$E$4),0),IF($AB8="ALTH",ROUND($AE8+$AF8*K$4,0),IF($AB8="IR",ROUND(Proyeccion_Localidades!AH8,0),IF($AB8="RT",ROUND(Proyeccion_Localidades!BE8,0),"*****"))))</f>
        <v>401392</v>
      </c>
      <c r="L8" s="66">
        <f>IF($AB8="TGD",ROUND($E8*(1+$AD8)^(L$4-$E$4),0),IF($AB8="ALTH",ROUND($AE8+$AF8*L$4,0),IF($AB8="IR",ROUND(Proyeccion_Localidades!AI8,0),IF($AB8="RT",ROUND(Proyeccion_Localidades!BF8,0),"*****"))))</f>
        <v>406844</v>
      </c>
      <c r="M8" s="66">
        <f>IF($AB8="TGD",ROUND($E8*(1+$AD8)^(M$4-$E$4),0),IF($AB8="ALTH",ROUND($AE8+$AF8*M$4,0),IF($AB8="IR",ROUND(Proyeccion_Localidades!AJ8,0),IF($AB8="RT",ROUND(Proyeccion_Localidades!BG8,0),"*****"))))</f>
        <v>412295</v>
      </c>
      <c r="N8" s="66">
        <f>IF($AB8="TGD",ROUND($E8*(1+$AD8)^(N$4-$E$4),0),IF($AB8="ALTH",ROUND($AE8+$AF8*N$4,0),IF($AB8="IR",ROUND(Proyeccion_Localidades!AK8,0),IF($AB8="RT",ROUND(Proyeccion_Localidades!BH8,0),"*****"))))</f>
        <v>417747</v>
      </c>
      <c r="O8" s="66">
        <f>IF($AB8="TGD",ROUND($E8*(1+$AD8)^(O$4-$E$4),0),IF($AB8="ALTH",ROUND($AE8+$AF8*O$4,0),IF($AB8="IR",ROUND(Proyeccion_Localidades!AL8,0),IF($AB8="RT",ROUND(Proyeccion_Localidades!BI8,0),"*****"))))</f>
        <v>423198</v>
      </c>
      <c r="P8" s="66">
        <f>IF($AB8="TGD",ROUND($E8*(1+$AD8)^(P$4-$E$4),0),IF($AB8="ALTH",ROUND($AE8+$AF8*P$4,0),IF($AB8="IR",ROUND(Proyeccion_Localidades!AM8,0),IF($AB8="RT",ROUND(Proyeccion_Localidades!BJ8,0),"*****"))))</f>
        <v>428649</v>
      </c>
      <c r="Q8" s="66">
        <f>IF($AB8="TGD",ROUND($E8*(1+$AD8)^(Q$4-$E$4),0),IF($AB8="ALTH",ROUND($AE8+$AF8*Q$4,0),IF($AB8="IR",ROUND(Proyeccion_Localidades!AN8,0),IF($AB8="RT",ROUND(Proyeccion_Localidades!BK8,0),"*****"))))</f>
        <v>434101</v>
      </c>
      <c r="R8" s="66">
        <f>IF($AB8="TGD",ROUND($E8*(1+$AD8)^(R$4-$E$4),0),IF($AB8="ALTH",ROUND($AE8+$AF8*R$4,0),IF($AB8="IR",ROUND(Proyeccion_Localidades!AO8,0),IF($AB8="RT",ROUND(Proyeccion_Localidades!BL8,0),"*****"))))</f>
        <v>439552</v>
      </c>
      <c r="S8" s="66">
        <f>IF($AB8="TGD",ROUND($E8*(1+$AD8)^(S$4-$E$4),0),IF($AB8="ALTH",ROUND($AE8+$AF8*S$4,0),IF($AB8="IR",ROUND(Proyeccion_Localidades!AP8,0),IF($AB8="RT",ROUND(Proyeccion_Localidades!BM8,0),"*****"))))</f>
        <v>445004</v>
      </c>
      <c r="T8" s="66">
        <f>IF($AB8="TGD",ROUND($E8*(1+$AD8)^(T$4-$E$4),0),IF($AB8="ALTH",ROUND($AE8+$AF8*T$4,0),IF($AB8="IR",ROUND(Proyeccion_Localidades!AQ8,0),IF($AB8="RT",ROUND(Proyeccion_Localidades!BN8,0),"*****"))))</f>
        <v>450455</v>
      </c>
      <c r="U8" s="66">
        <f>IF($AB8="TGD",ROUND($E8*(1+$AD8)^(U$4-$E$4),0),IF($AB8="ALTH",ROUND($AE8+$AF8*U$4,0),IF($AB8="IR",ROUND(Proyeccion_Localidades!AR8,0),IF($AB8="RT",ROUND(Proyeccion_Localidades!BO8,0),"*****"))))</f>
        <v>455907</v>
      </c>
      <c r="V8" s="66">
        <f>IF($AB8="TGD",ROUND($E8*(1+$AD8)^(V$4-$E$4),0),IF($AB8="ALTH",ROUND($AE8+$AF8*V$4,0),IF($AB8="IR",ROUND(Proyeccion_Localidades!AS8,0),IF($AB8="RT",ROUND(Proyeccion_Localidades!BP8,0),"*****"))))</f>
        <v>461358</v>
      </c>
      <c r="W8" s="66">
        <f>IF($AB8="TGD",ROUND($E8*(1+$AD8)^(W$4-$E$4),0),IF($AB8="ALTH",ROUND($AE8+$AF8*W$4,0),IF($AB8="IR",ROUND(Proyeccion_Localidades!AT8,0),IF($AB8="RT",ROUND(Proyeccion_Localidades!BQ8,0),"*****"))))</f>
        <v>466809</v>
      </c>
      <c r="X8" s="66">
        <f>IF($AB8="TGD",ROUND($E8*(1+$AD8)^(X$4-$E$4),0),IF($AB8="ALTH",ROUND($AE8+$AF8*X$4,0),IF($AB8="IR",ROUND(Proyeccion_Localidades!AU8,0),IF($AB8="RT",ROUND(Proyeccion_Localidades!BR8,0),"*****"))))</f>
        <v>472261</v>
      </c>
      <c r="Y8" s="66">
        <f>IF($AB8="TGD",ROUND($E8*(1+$AD8)^(Y$4-$E$4),0),IF($AB8="ALTH",ROUND($AE8+$AF8*Y$4,0),IF($AB8="IR",ROUND(Proyeccion_Localidades!AV8,0),IF($AB8="RT",ROUND(Proyeccion_Localidades!BS8,0),"*****"))))</f>
        <v>477712</v>
      </c>
      <c r="Z8" s="66">
        <f>IF($AB8="TGD",ROUND($E8*(1+$AD8)^(Z$4-$E$4),0),IF($AB8="ALTH",ROUND($AE8+$AF8*Z$4,0),IF($AB8="IR",ROUND(Proyeccion_Localidades!AW8,0),IF($AB8="RT",ROUND(Proyeccion_Localidades!BT8,0),"*****"))))</f>
        <v>483164</v>
      </c>
      <c r="AA8" s="66">
        <f>IF($AB8="TGD",ROUND($E8*(1+$AD8)^(AA$4-$E$4),0),IF($AB8="ALTH",ROUND($AE8+$AF8*AA$4,0),IF($AB8="IR",ROUND(Proyeccion_Localidades!AX8,0),IF($AB8="RT",ROUND(Proyeccion_Localidades!BU8,0),"*****"))))</f>
        <v>488615</v>
      </c>
      <c r="AB8" s="67" t="str">
        <f>Proyeccion_Localidades!N8</f>
        <v>ALTH</v>
      </c>
      <c r="AC8" s="68" t="s">
        <v>36</v>
      </c>
      <c r="AD8" s="51" t="str">
        <f>IF(AB8="TGD",Proyeccion_Localidades!Z8,"-")</f>
        <v>-</v>
      </c>
      <c r="AE8" s="51">
        <f>IF($AB8="ALTH",Proyeccion_Localidades!AA8,"-")</f>
        <v>-10659543.966789665</v>
      </c>
      <c r="AF8" s="51">
        <f>IF($AB8="ALTH",Proyeccion_Localidades!AB8,"-")</f>
        <v>5451.4225092250908</v>
      </c>
      <c r="AG8" s="51"/>
      <c r="AH8" s="51"/>
      <c r="AI8" s="66">
        <f t="shared" si="2"/>
        <v>368684</v>
      </c>
    </row>
    <row r="9" spans="1:35" ht="24.95" customHeight="1">
      <c r="A9" s="69" t="str">
        <f>+Proyeccion_Localidades!C9</f>
        <v>Ezeiza</v>
      </c>
      <c r="B9" s="70">
        <v>5</v>
      </c>
      <c r="C9" s="71" t="str">
        <f>+Proyeccion_Localidades!B9</f>
        <v>Ezeiza</v>
      </c>
      <c r="D9" s="261">
        <f t="shared" si="3"/>
        <v>5</v>
      </c>
      <c r="E9" s="72">
        <f>+Proyeccion_Localidades!F9</f>
        <v>163722</v>
      </c>
      <c r="F9" s="66">
        <f>IF($AB9="TGD",ROUND($E9*(1+$AD9)^(F$4-$E$4),0),IF($AB9="ALTH",ROUND($AE9+$AF9*F$4,0),IF($AB9="IR",ROUND(Proyeccion_Localidades!AC9,0),IF($AB9="RT",ROUND(Proyeccion_Localidades!AZ9,0),"*****"))))</f>
        <v>219098</v>
      </c>
      <c r="G9" s="66">
        <f>IF($AB9="TGD",ROUND($E9*(1+$AD9)^(G$4-$E$4),0),IF($AB9="ALTH",ROUND($AE9+$AF9*G$4,0),IF($AB9="IR",ROUND(Proyeccion_Localidades!AD9,0),IF($AB9="RT",ROUND(Proyeccion_Localidades!BA9,0),"*****"))))</f>
        <v>223807</v>
      </c>
      <c r="H9" s="66">
        <f>IF($AB9="TGD",ROUND($E9*(1+$AD9)^(H$4-$E$4),0),IF($AB9="ALTH",ROUND($AE9+$AF9*H$4,0),IF($AB9="IR",ROUND(Proyeccion_Localidades!AE9,0),IF($AB9="RT",ROUND(Proyeccion_Localidades!BB9,0),"*****"))))</f>
        <v>237933</v>
      </c>
      <c r="I9" s="66">
        <f>IF($AB9="TGD",ROUND($E9*(1+$AD9)^(I$4-$E$4),0),IF($AB9="ALTH",ROUND($AE9+$AF9*I$4,0),IF($AB9="IR",ROUND(Proyeccion_Localidades!AF9,0),IF($AB9="RT",ROUND(Proyeccion_Localidades!BC9,0),"*****"))))</f>
        <v>242642</v>
      </c>
      <c r="J9" s="66">
        <f>IF($AB9="TGD",ROUND($E9*(1+$AD9)^(J$4-$E$4),0),IF($AB9="ALTH",ROUND($AE9+$AF9*J$4,0),IF($AB9="IR",ROUND(Proyeccion_Localidades!AG9,0),IF($AB9="RT",ROUND(Proyeccion_Localidades!BD9,0),"*****"))))</f>
        <v>247350</v>
      </c>
      <c r="K9" s="66">
        <f>IF($AB9="TGD",ROUND($E9*(1+$AD9)^(K$4-$E$4),0),IF($AB9="ALTH",ROUND($AE9+$AF9*K$4,0),IF($AB9="IR",ROUND(Proyeccion_Localidades!AH9,0),IF($AB9="RT",ROUND(Proyeccion_Localidades!BE9,0),"*****"))))</f>
        <v>252059</v>
      </c>
      <c r="L9" s="66">
        <f>IF($AB9="TGD",ROUND($E9*(1+$AD9)^(L$4-$E$4),0),IF($AB9="ALTH",ROUND($AE9+$AF9*L$4,0),IF($AB9="IR",ROUND(Proyeccion_Localidades!AI9,0),IF($AB9="RT",ROUND(Proyeccion_Localidades!BF9,0),"*****"))))</f>
        <v>256768</v>
      </c>
      <c r="M9" s="66">
        <f>IF($AB9="TGD",ROUND($E9*(1+$AD9)^(M$4-$E$4),0),IF($AB9="ALTH",ROUND($AE9+$AF9*M$4,0),IF($AB9="IR",ROUND(Proyeccion_Localidades!AJ9,0),IF($AB9="RT",ROUND(Proyeccion_Localidades!BG9,0),"*****"))))</f>
        <v>261476</v>
      </c>
      <c r="N9" s="66">
        <f>IF($AB9="TGD",ROUND($E9*(1+$AD9)^(N$4-$E$4),0),IF($AB9="ALTH",ROUND($AE9+$AF9*N$4,0),IF($AB9="IR",ROUND(Proyeccion_Localidades!AK9,0),IF($AB9="RT",ROUND(Proyeccion_Localidades!BH9,0),"*****"))))</f>
        <v>266185</v>
      </c>
      <c r="O9" s="66">
        <f>IF($AB9="TGD",ROUND($E9*(1+$AD9)^(O$4-$E$4),0),IF($AB9="ALTH",ROUND($AE9+$AF9*O$4,0),IF($AB9="IR",ROUND(Proyeccion_Localidades!AL9,0),IF($AB9="RT",ROUND(Proyeccion_Localidades!BI9,0),"*****"))))</f>
        <v>270894</v>
      </c>
      <c r="P9" s="66">
        <f>IF($AB9="TGD",ROUND($E9*(1+$AD9)^(P$4-$E$4),0),IF($AB9="ALTH",ROUND($AE9+$AF9*P$4,0),IF($AB9="IR",ROUND(Proyeccion_Localidades!AM9,0),IF($AB9="RT",ROUND(Proyeccion_Localidades!BJ9,0),"*****"))))</f>
        <v>275602</v>
      </c>
      <c r="Q9" s="66">
        <f>IF($AB9="TGD",ROUND($E9*(1+$AD9)^(Q$4-$E$4),0),IF($AB9="ALTH",ROUND($AE9+$AF9*Q$4,0),IF($AB9="IR",ROUND(Proyeccion_Localidades!AN9,0),IF($AB9="RT",ROUND(Proyeccion_Localidades!BK9,0),"*****"))))</f>
        <v>280311</v>
      </c>
      <c r="R9" s="66">
        <f>IF($AB9="TGD",ROUND($E9*(1+$AD9)^(R$4-$E$4),0),IF($AB9="ALTH",ROUND($AE9+$AF9*R$4,0),IF($AB9="IR",ROUND(Proyeccion_Localidades!AO9,0),IF($AB9="RT",ROUND(Proyeccion_Localidades!BL9,0),"*****"))))</f>
        <v>285020</v>
      </c>
      <c r="S9" s="66">
        <f>IF($AB9="TGD",ROUND($E9*(1+$AD9)^(S$4-$E$4),0),IF($AB9="ALTH",ROUND($AE9+$AF9*S$4,0),IF($AB9="IR",ROUND(Proyeccion_Localidades!AP9,0),IF($AB9="RT",ROUND(Proyeccion_Localidades!BM9,0),"*****"))))</f>
        <v>289729</v>
      </c>
      <c r="T9" s="66">
        <f>IF($AB9="TGD",ROUND($E9*(1+$AD9)^(T$4-$E$4),0),IF($AB9="ALTH",ROUND($AE9+$AF9*T$4,0),IF($AB9="IR",ROUND(Proyeccion_Localidades!AQ9,0),IF($AB9="RT",ROUND(Proyeccion_Localidades!BN9,0),"*****"))))</f>
        <v>294437</v>
      </c>
      <c r="U9" s="66">
        <f>IF($AB9="TGD",ROUND($E9*(1+$AD9)^(U$4-$E$4),0),IF($AB9="ALTH",ROUND($AE9+$AF9*U$4,0),IF($AB9="IR",ROUND(Proyeccion_Localidades!AR9,0),IF($AB9="RT",ROUND(Proyeccion_Localidades!BO9,0),"*****"))))</f>
        <v>299146</v>
      </c>
      <c r="V9" s="66">
        <f>IF($AB9="TGD",ROUND($E9*(1+$AD9)^(V$4-$E$4),0),IF($AB9="ALTH",ROUND($AE9+$AF9*V$4,0),IF($AB9="IR",ROUND(Proyeccion_Localidades!AS9,0),IF($AB9="RT",ROUND(Proyeccion_Localidades!BP9,0),"*****"))))</f>
        <v>303855</v>
      </c>
      <c r="W9" s="66">
        <f>IF($AB9="TGD",ROUND($E9*(1+$AD9)^(W$4-$E$4),0),IF($AB9="ALTH",ROUND($AE9+$AF9*W$4,0),IF($AB9="IR",ROUND(Proyeccion_Localidades!AT9,0),IF($AB9="RT",ROUND(Proyeccion_Localidades!BQ9,0),"*****"))))</f>
        <v>308563</v>
      </c>
      <c r="X9" s="66">
        <f>IF($AB9="TGD",ROUND($E9*(1+$AD9)^(X$4-$E$4),0),IF($AB9="ALTH",ROUND($AE9+$AF9*X$4,0),IF($AB9="IR",ROUND(Proyeccion_Localidades!AU9,0),IF($AB9="RT",ROUND(Proyeccion_Localidades!BR9,0),"*****"))))</f>
        <v>313272</v>
      </c>
      <c r="Y9" s="66">
        <f>IF($AB9="TGD",ROUND($E9*(1+$AD9)^(Y$4-$E$4),0),IF($AB9="ALTH",ROUND($AE9+$AF9*Y$4,0),IF($AB9="IR",ROUND(Proyeccion_Localidades!AV9,0),IF($AB9="RT",ROUND(Proyeccion_Localidades!BS9,0),"*****"))))</f>
        <v>317981</v>
      </c>
      <c r="Z9" s="66">
        <f>IF($AB9="TGD",ROUND($E9*(1+$AD9)^(Z$4-$E$4),0),IF($AB9="ALTH",ROUND($AE9+$AF9*Z$4,0),IF($AB9="IR",ROUND(Proyeccion_Localidades!AW9,0),IF($AB9="RT",ROUND(Proyeccion_Localidades!BT9,0),"*****"))))</f>
        <v>322689</v>
      </c>
      <c r="AA9" s="66">
        <f>IF($AB9="TGD",ROUND($E9*(1+$AD9)^(AA$4-$E$4),0),IF($AB9="ALTH",ROUND($AE9+$AF9*AA$4,0),IF($AB9="IR",ROUND(Proyeccion_Localidades!AX9,0),IF($AB9="RT",ROUND(Proyeccion_Localidades!BU9,0),"*****"))))</f>
        <v>327398</v>
      </c>
      <c r="AB9" s="67" t="str">
        <f>Proyeccion_Localidades!N9</f>
        <v>ALTH</v>
      </c>
      <c r="AC9" s="68" t="s">
        <v>36</v>
      </c>
      <c r="AD9" s="51" t="str">
        <f>IF(AB9="TGD",Proyeccion_Localidades!Z9,"-")</f>
        <v>-</v>
      </c>
      <c r="AE9" s="51">
        <f>IF($AB9="ALTH",Proyeccion_Localidades!AA9,"-")</f>
        <v>-9301880.5830258299</v>
      </c>
      <c r="AF9" s="51">
        <f>IF($AB9="ALTH",Proyeccion_Localidades!AB9,"-")</f>
        <v>4708.6937269372693</v>
      </c>
      <c r="AG9" s="51"/>
      <c r="AH9" s="51"/>
      <c r="AI9" s="66">
        <f t="shared" si="2"/>
        <v>223807</v>
      </c>
    </row>
    <row r="10" spans="1:35" ht="24.95" customHeight="1">
      <c r="A10" s="69" t="str">
        <f>+Proyeccion_Localidades!C10</f>
        <v>Florencio Varela</v>
      </c>
      <c r="B10" s="70">
        <v>6</v>
      </c>
      <c r="C10" s="71" t="str">
        <f>+Proyeccion_Localidades!B10</f>
        <v>Florencio Varela</v>
      </c>
      <c r="D10" s="261">
        <f t="shared" si="3"/>
        <v>6</v>
      </c>
      <c r="E10" s="72">
        <f>+Proyeccion_Localidades!F10</f>
        <v>426005</v>
      </c>
      <c r="F10" s="66">
        <f>IF($AB10="TGD",ROUND($E10*(1+$AD10)^(F$4-$E$4),0),IF($AB10="ALTH",ROUND($AE10+$AF10*F$4,0),IF($AB10="IR",ROUND(Proyeccion_Localidades!AC10,0),IF($AB10="RT",ROUND(Proyeccion_Localidades!AZ10,0),"*****"))))</f>
        <v>537049</v>
      </c>
      <c r="G10" s="66">
        <f>IF($AB10="TGD",ROUND($E10*(1+$AD10)^(G$4-$E$4),0),IF($AB10="ALTH",ROUND($AE10+$AF10*G$4,0),IF($AB10="IR",ROUND(Proyeccion_Localidades!AD10,0),IF($AB10="RT",ROUND(Proyeccion_Localidades!BA10,0),"*****"))))</f>
        <v>546330</v>
      </c>
      <c r="H10" s="66">
        <f>IF($AB10="TGD",ROUND($E10*(1+$AD10)^(H$4-$E$4),0),IF($AB10="ALTH",ROUND($AE10+$AF10*H$4,0),IF($AB10="IR",ROUND(Proyeccion_Localidades!AE10,0),IF($AB10="RT",ROUND(Proyeccion_Localidades!BB10,0),"*****"))))</f>
        <v>574175</v>
      </c>
      <c r="I10" s="66">
        <f>IF($AB10="TGD",ROUND($E10*(1+$AD10)^(I$4-$E$4),0),IF($AB10="ALTH",ROUND($AE10+$AF10*I$4,0),IF($AB10="IR",ROUND(Proyeccion_Localidades!AF10,0),IF($AB10="RT",ROUND(Proyeccion_Localidades!BC10,0),"*****"))))</f>
        <v>583456</v>
      </c>
      <c r="J10" s="66">
        <f>IF($AB10="TGD",ROUND($E10*(1+$AD10)^(J$4-$E$4),0),IF($AB10="ALTH",ROUND($AE10+$AF10*J$4,0),IF($AB10="IR",ROUND(Proyeccion_Localidades!AG10,0),IF($AB10="RT",ROUND(Proyeccion_Localidades!BD10,0),"*****"))))</f>
        <v>592737</v>
      </c>
      <c r="K10" s="66">
        <f>IF($AB10="TGD",ROUND($E10*(1+$AD10)^(K$4-$E$4),0),IF($AB10="ALTH",ROUND($AE10+$AF10*K$4,0),IF($AB10="IR",ROUND(Proyeccion_Localidades!AH10,0),IF($AB10="RT",ROUND(Proyeccion_Localidades!BE10,0),"*****"))))</f>
        <v>602019</v>
      </c>
      <c r="L10" s="66">
        <f>IF($AB10="TGD",ROUND($E10*(1+$AD10)^(L$4-$E$4),0),IF($AB10="ALTH",ROUND($AE10+$AF10*L$4,0),IF($AB10="IR",ROUND(Proyeccion_Localidades!AI10,0),IF($AB10="RT",ROUND(Proyeccion_Localidades!BF10,0),"*****"))))</f>
        <v>611300</v>
      </c>
      <c r="M10" s="66">
        <f>IF($AB10="TGD",ROUND($E10*(1+$AD10)^(M$4-$E$4),0),IF($AB10="ALTH",ROUND($AE10+$AF10*M$4,0),IF($AB10="IR",ROUND(Proyeccion_Localidades!AJ10,0),IF($AB10="RT",ROUND(Proyeccion_Localidades!BG10,0),"*****"))))</f>
        <v>620582</v>
      </c>
      <c r="N10" s="66">
        <f>IF($AB10="TGD",ROUND($E10*(1+$AD10)^(N$4-$E$4),0),IF($AB10="ALTH",ROUND($AE10+$AF10*N$4,0),IF($AB10="IR",ROUND(Proyeccion_Localidades!AK10,0),IF($AB10="RT",ROUND(Proyeccion_Localidades!BH10,0),"*****"))))</f>
        <v>629863</v>
      </c>
      <c r="O10" s="66">
        <f>IF($AB10="TGD",ROUND($E10*(1+$AD10)^(O$4-$E$4),0),IF($AB10="ALTH",ROUND($AE10+$AF10*O$4,0),IF($AB10="IR",ROUND(Proyeccion_Localidades!AL10,0),IF($AB10="RT",ROUND(Proyeccion_Localidades!BI10,0),"*****"))))</f>
        <v>639144</v>
      </c>
      <c r="P10" s="66">
        <f>IF($AB10="TGD",ROUND($E10*(1+$AD10)^(P$4-$E$4),0),IF($AB10="ALTH",ROUND($AE10+$AF10*P$4,0),IF($AB10="IR",ROUND(Proyeccion_Localidades!AM10,0),IF($AB10="RT",ROUND(Proyeccion_Localidades!BJ10,0),"*****"))))</f>
        <v>648426</v>
      </c>
      <c r="Q10" s="66">
        <f>IF($AB10="TGD",ROUND($E10*(1+$AD10)^(Q$4-$E$4),0),IF($AB10="ALTH",ROUND($AE10+$AF10*Q$4,0),IF($AB10="IR",ROUND(Proyeccion_Localidades!AN10,0),IF($AB10="RT",ROUND(Proyeccion_Localidades!BK10,0),"*****"))))</f>
        <v>657707</v>
      </c>
      <c r="R10" s="66">
        <f>IF($AB10="TGD",ROUND($E10*(1+$AD10)^(R$4-$E$4),0),IF($AB10="ALTH",ROUND($AE10+$AF10*R$4,0),IF($AB10="IR",ROUND(Proyeccion_Localidades!AO10,0),IF($AB10="RT",ROUND(Proyeccion_Localidades!BL10,0),"*****"))))</f>
        <v>666989</v>
      </c>
      <c r="S10" s="66">
        <f>IF($AB10="TGD",ROUND($E10*(1+$AD10)^(S$4-$E$4),0),IF($AB10="ALTH",ROUND($AE10+$AF10*S$4,0),IF($AB10="IR",ROUND(Proyeccion_Localidades!AP10,0),IF($AB10="RT",ROUND(Proyeccion_Localidades!BM10,0),"*****"))))</f>
        <v>676270</v>
      </c>
      <c r="T10" s="66">
        <f>IF($AB10="TGD",ROUND($E10*(1+$AD10)^(T$4-$E$4),0),IF($AB10="ALTH",ROUND($AE10+$AF10*T$4,0),IF($AB10="IR",ROUND(Proyeccion_Localidades!AQ10,0),IF($AB10="RT",ROUND(Proyeccion_Localidades!BN10,0),"*****"))))</f>
        <v>685551</v>
      </c>
      <c r="U10" s="66">
        <f>IF($AB10="TGD",ROUND($E10*(1+$AD10)^(U$4-$E$4),0),IF($AB10="ALTH",ROUND($AE10+$AF10*U$4,0),IF($AB10="IR",ROUND(Proyeccion_Localidades!AR10,0),IF($AB10="RT",ROUND(Proyeccion_Localidades!BO10,0),"*****"))))</f>
        <v>694833</v>
      </c>
      <c r="V10" s="66">
        <f>IF($AB10="TGD",ROUND($E10*(1+$AD10)^(V$4-$E$4),0),IF($AB10="ALTH",ROUND($AE10+$AF10*V$4,0),IF($AB10="IR",ROUND(Proyeccion_Localidades!AS10,0),IF($AB10="RT",ROUND(Proyeccion_Localidades!BP10,0),"*****"))))</f>
        <v>704114</v>
      </c>
      <c r="W10" s="66">
        <f>IF($AB10="TGD",ROUND($E10*(1+$AD10)^(W$4-$E$4),0),IF($AB10="ALTH",ROUND($AE10+$AF10*W$4,0),IF($AB10="IR",ROUND(Proyeccion_Localidades!AT10,0),IF($AB10="RT",ROUND(Proyeccion_Localidades!BQ10,0),"*****"))))</f>
        <v>713396</v>
      </c>
      <c r="X10" s="66">
        <f>IF($AB10="TGD",ROUND($E10*(1+$AD10)^(X$4-$E$4),0),IF($AB10="ALTH",ROUND($AE10+$AF10*X$4,0),IF($AB10="IR",ROUND(Proyeccion_Localidades!AU10,0),IF($AB10="RT",ROUND(Proyeccion_Localidades!BR10,0),"*****"))))</f>
        <v>722677</v>
      </c>
      <c r="Y10" s="66">
        <f>IF($AB10="TGD",ROUND($E10*(1+$AD10)^(Y$4-$E$4),0),IF($AB10="ALTH",ROUND($AE10+$AF10*Y$4,0),IF($AB10="IR",ROUND(Proyeccion_Localidades!AV10,0),IF($AB10="RT",ROUND(Proyeccion_Localidades!BS10,0),"*****"))))</f>
        <v>731959</v>
      </c>
      <c r="Z10" s="66">
        <f>IF($AB10="TGD",ROUND($E10*(1+$AD10)^(Z$4-$E$4),0),IF($AB10="ALTH",ROUND($AE10+$AF10*Z$4,0),IF($AB10="IR",ROUND(Proyeccion_Localidades!AW10,0),IF($AB10="RT",ROUND(Proyeccion_Localidades!BT10,0),"*****"))))</f>
        <v>741240</v>
      </c>
      <c r="AA10" s="66">
        <f>IF($AB10="TGD",ROUND($E10*(1+$AD10)^(AA$4-$E$4),0),IF($AB10="ALTH",ROUND($AE10+$AF10*AA$4,0),IF($AB10="IR",ROUND(Proyeccion_Localidades!AX10,0),IF($AB10="RT",ROUND(Proyeccion_Localidades!BU10,0),"*****"))))</f>
        <v>750521</v>
      </c>
      <c r="AB10" s="67" t="str">
        <f>Proyeccion_Localidades!N10</f>
        <v>ALTH</v>
      </c>
      <c r="AC10" s="68" t="s">
        <v>36</v>
      </c>
      <c r="AD10" s="51" t="str">
        <f>IF(AB10="TGD",Proyeccion_Localidades!Z10,"-")</f>
        <v>-</v>
      </c>
      <c r="AE10" s="51">
        <f>IF($AB10="ALTH",Proyeccion_Localidades!AA10,"-")</f>
        <v>-18229953.745387454</v>
      </c>
      <c r="AF10" s="51">
        <f>IF($AB10="ALTH",Proyeccion_Localidades!AB10,"-")</f>
        <v>9281.40590405904</v>
      </c>
      <c r="AG10" s="51"/>
      <c r="AH10" s="51"/>
      <c r="AI10" s="66">
        <f t="shared" si="2"/>
        <v>546330</v>
      </c>
    </row>
    <row r="11" spans="1:35" ht="24.95" customHeight="1">
      <c r="A11" s="69" t="str">
        <f>+Proyeccion_Localidades!C11</f>
        <v>General San Martín</v>
      </c>
      <c r="B11" s="70">
        <v>7</v>
      </c>
      <c r="C11" s="71" t="str">
        <f>+Proyeccion_Localidades!B11</f>
        <v>General San Martín</v>
      </c>
      <c r="D11" s="261">
        <f t="shared" si="3"/>
        <v>7</v>
      </c>
      <c r="E11" s="72">
        <f>+Proyeccion_Localidades!F11</f>
        <v>414196</v>
      </c>
      <c r="F11" s="66">
        <f>IF($AB11="TGD",ROUND($E11*(1+$AD11)^(F$4-$E$4),0),IF($AB11="ALTH",ROUND($AE11+$AF11*F$4,0),IF($AB11="IR",ROUND(Proyeccion_Localidades!AC11,0),IF($AB11="RT",ROUND(Proyeccion_Localidades!AZ11,0),"*****"))))</f>
        <v>438914</v>
      </c>
      <c r="G11" s="66">
        <f>IF($AB11="TGD",ROUND($E11*(1+$AD11)^(G$4-$E$4),0),IF($AB11="ALTH",ROUND($AE11+$AF11*G$4,0),IF($AB11="IR",ROUND(Proyeccion_Localidades!AD11,0),IF($AB11="RT",ROUND(Proyeccion_Localidades!BA11,0),"*****"))))</f>
        <v>441198</v>
      </c>
      <c r="H11" s="66">
        <f>IF($AB11="TGD",ROUND($E11*(1+$AD11)^(H$4-$E$4),0),IF($AB11="ALTH",ROUND($AE11+$AF11*H$4,0),IF($AB11="IR",ROUND(Proyeccion_Localidades!AE11,0),IF($AB11="RT",ROUND(Proyeccion_Localidades!BB11,0),"*****"))))</f>
        <v>448279</v>
      </c>
      <c r="I11" s="66">
        <f>IF($AB11="TGD",ROUND($E11*(1+$AD11)^(I$4-$E$4),0),IF($AB11="ALTH",ROUND($AE11+$AF11*I$4,0),IF($AB11="IR",ROUND(Proyeccion_Localidades!AF11,0),IF($AB11="RT",ROUND(Proyeccion_Localidades!BC11,0),"*****"))))</f>
        <v>450716</v>
      </c>
      <c r="J11" s="66">
        <f>IF($AB11="TGD",ROUND($E11*(1+$AD11)^(J$4-$E$4),0),IF($AB11="ALTH",ROUND($AE11+$AF11*J$4,0),IF($AB11="IR",ROUND(Proyeccion_Localidades!AG11,0),IF($AB11="RT",ROUND(Proyeccion_Localidades!BD11,0),"*****"))))</f>
        <v>453193</v>
      </c>
      <c r="K11" s="66">
        <f>IF($AB11="TGD",ROUND($E11*(1+$AD11)^(K$4-$E$4),0),IF($AB11="ALTH",ROUND($AE11+$AF11*K$4,0),IF($AB11="IR",ROUND(Proyeccion_Localidades!AH11,0),IF($AB11="RT",ROUND(Proyeccion_Localidades!BE11,0),"*****"))))</f>
        <v>455711</v>
      </c>
      <c r="L11" s="66">
        <f>IF($AB11="TGD",ROUND($E11*(1+$AD11)^(L$4-$E$4),0),IF($AB11="ALTH",ROUND($AE11+$AF11*L$4,0),IF($AB11="IR",ROUND(Proyeccion_Localidades!AI11,0),IF($AB11="RT",ROUND(Proyeccion_Localidades!BF11,0),"*****"))))</f>
        <v>458270</v>
      </c>
      <c r="M11" s="66">
        <f>IF($AB11="TGD",ROUND($E11*(1+$AD11)^(M$4-$E$4),0),IF($AB11="ALTH",ROUND($AE11+$AF11*M$4,0),IF($AB11="IR",ROUND(Proyeccion_Localidades!AJ11,0),IF($AB11="RT",ROUND(Proyeccion_Localidades!BG11,0),"*****"))))</f>
        <v>460870</v>
      </c>
      <c r="N11" s="66">
        <f>IF($AB11="TGD",ROUND($E11*(1+$AD11)^(N$4-$E$4),0),IF($AB11="ALTH",ROUND($AE11+$AF11*N$4,0),IF($AB11="IR",ROUND(Proyeccion_Localidades!AK11,0),IF($AB11="RT",ROUND(Proyeccion_Localidades!BH11,0),"*****"))))</f>
        <v>463513</v>
      </c>
      <c r="O11" s="66">
        <f>IF($AB11="TGD",ROUND($E11*(1+$AD11)^(O$4-$E$4),0),IF($AB11="ALTH",ROUND($AE11+$AF11*O$4,0),IF($AB11="IR",ROUND(Proyeccion_Localidades!AL11,0),IF($AB11="RT",ROUND(Proyeccion_Localidades!BI11,0),"*****"))))</f>
        <v>466199</v>
      </c>
      <c r="P11" s="66">
        <f>IF($AB11="TGD",ROUND($E11*(1+$AD11)^(P$4-$E$4),0),IF($AB11="ALTH",ROUND($AE11+$AF11*P$4,0),IF($AB11="IR",ROUND(Proyeccion_Localidades!AM11,0),IF($AB11="RT",ROUND(Proyeccion_Localidades!BJ11,0),"*****"))))</f>
        <v>468929</v>
      </c>
      <c r="Q11" s="66">
        <f>IF($AB11="TGD",ROUND($E11*(1+$AD11)^(Q$4-$E$4),0),IF($AB11="ALTH",ROUND($AE11+$AF11*Q$4,0),IF($AB11="IR",ROUND(Proyeccion_Localidades!AN11,0),IF($AB11="RT",ROUND(Proyeccion_Localidades!BK11,0),"*****"))))</f>
        <v>471703</v>
      </c>
      <c r="R11" s="66">
        <f>IF($AB11="TGD",ROUND($E11*(1+$AD11)^(R$4-$E$4),0),IF($AB11="ALTH",ROUND($AE11+$AF11*R$4,0),IF($AB11="IR",ROUND(Proyeccion_Localidades!AO11,0),IF($AB11="RT",ROUND(Proyeccion_Localidades!BL11,0),"*****"))))</f>
        <v>474523</v>
      </c>
      <c r="S11" s="66">
        <f>IF($AB11="TGD",ROUND($E11*(1+$AD11)^(S$4-$E$4),0),IF($AB11="ALTH",ROUND($AE11+$AF11*S$4,0),IF($AB11="IR",ROUND(Proyeccion_Localidades!AP11,0),IF($AB11="RT",ROUND(Proyeccion_Localidades!BM11,0),"*****"))))</f>
        <v>477388</v>
      </c>
      <c r="T11" s="66">
        <f>IF($AB11="TGD",ROUND($E11*(1+$AD11)^(T$4-$E$4),0),IF($AB11="ALTH",ROUND($AE11+$AF11*T$4,0),IF($AB11="IR",ROUND(Proyeccion_Localidades!AQ11,0),IF($AB11="RT",ROUND(Proyeccion_Localidades!BN11,0),"*****"))))</f>
        <v>480300</v>
      </c>
      <c r="U11" s="66">
        <f>IF($AB11="TGD",ROUND($E11*(1+$AD11)^(U$4-$E$4),0),IF($AB11="ALTH",ROUND($AE11+$AF11*U$4,0),IF($AB11="IR",ROUND(Proyeccion_Localidades!AR11,0),IF($AB11="RT",ROUND(Proyeccion_Localidades!BO11,0),"*****"))))</f>
        <v>483260</v>
      </c>
      <c r="V11" s="66">
        <f>IF($AB11="TGD",ROUND($E11*(1+$AD11)^(V$4-$E$4),0),IF($AB11="ALTH",ROUND($AE11+$AF11*V$4,0),IF($AB11="IR",ROUND(Proyeccion_Localidades!AS11,0),IF($AB11="RT",ROUND(Proyeccion_Localidades!BP11,0),"*****"))))</f>
        <v>486268</v>
      </c>
      <c r="W11" s="66">
        <f>IF($AB11="TGD",ROUND($E11*(1+$AD11)^(W$4-$E$4),0),IF($AB11="ALTH",ROUND($AE11+$AF11*W$4,0),IF($AB11="IR",ROUND(Proyeccion_Localidades!AT11,0),IF($AB11="RT",ROUND(Proyeccion_Localidades!BQ11,0),"*****"))))</f>
        <v>489326</v>
      </c>
      <c r="X11" s="66">
        <f>IF($AB11="TGD",ROUND($E11*(1+$AD11)^(X$4-$E$4),0),IF($AB11="ALTH",ROUND($AE11+$AF11*X$4,0),IF($AB11="IR",ROUND(Proyeccion_Localidades!AU11,0),IF($AB11="RT",ROUND(Proyeccion_Localidades!BR11,0),"*****"))))</f>
        <v>492433</v>
      </c>
      <c r="Y11" s="66">
        <f>IF($AB11="TGD",ROUND($E11*(1+$AD11)^(Y$4-$E$4),0),IF($AB11="ALTH",ROUND($AE11+$AF11*Y$4,0),IF($AB11="IR",ROUND(Proyeccion_Localidades!AV11,0),IF($AB11="RT",ROUND(Proyeccion_Localidades!BS11,0),"*****"))))</f>
        <v>495590</v>
      </c>
      <c r="Z11" s="66">
        <f>IF($AB11="TGD",ROUND($E11*(1+$AD11)^(Z$4-$E$4),0),IF($AB11="ALTH",ROUND($AE11+$AF11*Z$4,0),IF($AB11="IR",ROUND(Proyeccion_Localidades!AW11,0),IF($AB11="RT",ROUND(Proyeccion_Localidades!BT11,0),"*****"))))</f>
        <v>498800</v>
      </c>
      <c r="AA11" s="66">
        <f>IF($AB11="TGD",ROUND($E11*(1+$AD11)^(AA$4-$E$4),0),IF($AB11="ALTH",ROUND($AE11+$AF11*AA$4,0),IF($AB11="IR",ROUND(Proyeccion_Localidades!AX11,0),IF($AB11="RT",ROUND(Proyeccion_Localidades!BU11,0),"*****"))))</f>
        <v>502061</v>
      </c>
      <c r="AB11" s="67" t="str">
        <f>Proyeccion_Localidades!N11</f>
        <v>IR</v>
      </c>
      <c r="AC11" s="68"/>
      <c r="AD11" s="51" t="str">
        <f>IF(AB11="TGD",Proyeccion_Localidades!Z11,"-")</f>
        <v>-</v>
      </c>
      <c r="AE11" s="51" t="str">
        <f>IF($AB11="ALTH",Proyeccion_Localidades!AA11,"-")</f>
        <v>-</v>
      </c>
      <c r="AF11" s="51" t="str">
        <f>IF($AB11="ALTH",Proyeccion_Localidades!AB11,"-")</f>
        <v>-</v>
      </c>
      <c r="AG11" s="51"/>
      <c r="AH11" s="51"/>
      <c r="AI11" s="66">
        <f t="shared" si="2"/>
        <v>441198</v>
      </c>
    </row>
    <row r="12" spans="1:35" ht="24.95" customHeight="1">
      <c r="A12" s="69" t="str">
        <f>+Proyeccion_Localidades!C12</f>
        <v>Hurlingham</v>
      </c>
      <c r="B12" s="70">
        <v>8</v>
      </c>
      <c r="C12" s="71" t="str">
        <f>+Proyeccion_Localidades!B12</f>
        <v>Hurlingham</v>
      </c>
      <c r="D12" s="261">
        <f t="shared" si="3"/>
        <v>8</v>
      </c>
      <c r="E12" s="72">
        <f>+Proyeccion_Localidades!F12</f>
        <v>181241</v>
      </c>
      <c r="F12" s="66">
        <f>IF($AB12="TGD",ROUND($E12*(1+$AD12)^(F$4-$E$4),0),IF($AB12="ALTH",ROUND($AE12+$AF12*F$4,0),IF($AB12="IR",ROUND(Proyeccion_Localidades!AC12,0),IF($AB12="RT",ROUND(Proyeccion_Localidades!AZ12,0),"*****"))))</f>
        <v>189449</v>
      </c>
      <c r="G12" s="66">
        <f>IF($AB12="TGD",ROUND($E12*(1+$AD12)^(G$4-$E$4),0),IF($AB12="ALTH",ROUND($AE12+$AF12*G$4,0),IF($AB12="IR",ROUND(Proyeccion_Localidades!AD12,0),IF($AB12="RT",ROUND(Proyeccion_Localidades!BA12,0),"*****"))))</f>
        <v>190198</v>
      </c>
      <c r="H12" s="66">
        <f>IF($AB12="TGD",ROUND($E12*(1+$AD12)^(H$4-$E$4),0),IF($AB12="ALTH",ROUND($AE12+$AF12*H$4,0),IF($AB12="IR",ROUND(Proyeccion_Localidades!AE12,0),IF($AB12="RT",ROUND(Proyeccion_Localidades!BB12,0),"*****"))))</f>
        <v>192445</v>
      </c>
      <c r="I12" s="66">
        <f>IF($AB12="TGD",ROUND($E12*(1+$AD12)^(I$4-$E$4),0),IF($AB12="ALTH",ROUND($AE12+$AF12*I$4,0),IF($AB12="IR",ROUND(Proyeccion_Localidades!AF12,0),IF($AB12="RT",ROUND(Proyeccion_Localidades!BC12,0),"*****"))))</f>
        <v>193193</v>
      </c>
      <c r="J12" s="66">
        <f>IF($AB12="TGD",ROUND($E12*(1+$AD12)^(J$4-$E$4),0),IF($AB12="ALTH",ROUND($AE12+$AF12*J$4,0),IF($AB12="IR",ROUND(Proyeccion_Localidades!AG12,0),IF($AB12="RT",ROUND(Proyeccion_Localidades!BD12,0),"*****"))))</f>
        <v>193942</v>
      </c>
      <c r="K12" s="66">
        <f>IF($AB12="TGD",ROUND($E12*(1+$AD12)^(K$4-$E$4),0),IF($AB12="ALTH",ROUND($AE12+$AF12*K$4,0),IF($AB12="IR",ROUND(Proyeccion_Localidades!AH12,0),IF($AB12="RT",ROUND(Proyeccion_Localidades!BE12,0),"*****"))))</f>
        <v>194691</v>
      </c>
      <c r="L12" s="66">
        <f>IF($AB12="TGD",ROUND($E12*(1+$AD12)^(L$4-$E$4),0),IF($AB12="ALTH",ROUND($AE12+$AF12*L$4,0),IF($AB12="IR",ROUND(Proyeccion_Localidades!AI12,0),IF($AB12="RT",ROUND(Proyeccion_Localidades!BF12,0),"*****"))))</f>
        <v>195440</v>
      </c>
      <c r="M12" s="66">
        <f>IF($AB12="TGD",ROUND($E12*(1+$AD12)^(M$4-$E$4),0),IF($AB12="ALTH",ROUND($AE12+$AF12*M$4,0),IF($AB12="IR",ROUND(Proyeccion_Localidades!AJ12,0),IF($AB12="RT",ROUND(Proyeccion_Localidades!BG12,0),"*****"))))</f>
        <v>196189</v>
      </c>
      <c r="N12" s="66">
        <f>IF($AB12="TGD",ROUND($E12*(1+$AD12)^(N$4-$E$4),0),IF($AB12="ALTH",ROUND($AE12+$AF12*N$4,0),IF($AB12="IR",ROUND(Proyeccion_Localidades!AK12,0),IF($AB12="RT",ROUND(Proyeccion_Localidades!BH12,0),"*****"))))</f>
        <v>196938</v>
      </c>
      <c r="O12" s="66">
        <f>IF($AB12="TGD",ROUND($E12*(1+$AD12)^(O$4-$E$4),0),IF($AB12="ALTH",ROUND($AE12+$AF12*O$4,0),IF($AB12="IR",ROUND(Proyeccion_Localidades!AL12,0),IF($AB12="RT",ROUND(Proyeccion_Localidades!BI12,0),"*****"))))</f>
        <v>197687</v>
      </c>
      <c r="P12" s="66">
        <f>IF($AB12="TGD",ROUND($E12*(1+$AD12)^(P$4-$E$4),0),IF($AB12="ALTH",ROUND($AE12+$AF12*P$4,0),IF($AB12="IR",ROUND(Proyeccion_Localidades!AM12,0),IF($AB12="RT",ROUND(Proyeccion_Localidades!BJ12,0),"*****"))))</f>
        <v>198435</v>
      </c>
      <c r="Q12" s="66">
        <f>IF($AB12="TGD",ROUND($E12*(1+$AD12)^(Q$4-$E$4),0),IF($AB12="ALTH",ROUND($AE12+$AF12*Q$4,0),IF($AB12="IR",ROUND(Proyeccion_Localidades!AN12,0),IF($AB12="RT",ROUND(Proyeccion_Localidades!BK12,0),"*****"))))</f>
        <v>199184</v>
      </c>
      <c r="R12" s="66">
        <f>IF($AB12="TGD",ROUND($E12*(1+$AD12)^(R$4-$E$4),0),IF($AB12="ALTH",ROUND($AE12+$AF12*R$4,0),IF($AB12="IR",ROUND(Proyeccion_Localidades!AO12,0),IF($AB12="RT",ROUND(Proyeccion_Localidades!BL12,0),"*****"))))</f>
        <v>199933</v>
      </c>
      <c r="S12" s="66">
        <f>IF($AB12="TGD",ROUND($E12*(1+$AD12)^(S$4-$E$4),0),IF($AB12="ALTH",ROUND($AE12+$AF12*S$4,0),IF($AB12="IR",ROUND(Proyeccion_Localidades!AP12,0),IF($AB12="RT",ROUND(Proyeccion_Localidades!BM12,0),"*****"))))</f>
        <v>200682</v>
      </c>
      <c r="T12" s="66">
        <f>IF($AB12="TGD",ROUND($E12*(1+$AD12)^(T$4-$E$4),0),IF($AB12="ALTH",ROUND($AE12+$AF12*T$4,0),IF($AB12="IR",ROUND(Proyeccion_Localidades!AQ12,0),IF($AB12="RT",ROUND(Proyeccion_Localidades!BN12,0),"*****"))))</f>
        <v>201431</v>
      </c>
      <c r="U12" s="66">
        <f>IF($AB12="TGD",ROUND($E12*(1+$AD12)^(U$4-$E$4),0),IF($AB12="ALTH",ROUND($AE12+$AF12*U$4,0),IF($AB12="IR",ROUND(Proyeccion_Localidades!AR12,0),IF($AB12="RT",ROUND(Proyeccion_Localidades!BO12,0),"*****"))))</f>
        <v>202180</v>
      </c>
      <c r="V12" s="66">
        <f>IF($AB12="TGD",ROUND($E12*(1+$AD12)^(V$4-$E$4),0),IF($AB12="ALTH",ROUND($AE12+$AF12*V$4,0),IF($AB12="IR",ROUND(Proyeccion_Localidades!AS12,0),IF($AB12="RT",ROUND(Proyeccion_Localidades!BP12,0),"*****"))))</f>
        <v>202929</v>
      </c>
      <c r="W12" s="66">
        <f>IF($AB12="TGD",ROUND($E12*(1+$AD12)^(W$4-$E$4),0),IF($AB12="ALTH",ROUND($AE12+$AF12*W$4,0),IF($AB12="IR",ROUND(Proyeccion_Localidades!AT12,0),IF($AB12="RT",ROUND(Proyeccion_Localidades!BQ12,0),"*****"))))</f>
        <v>203677</v>
      </c>
      <c r="X12" s="66">
        <f>IF($AB12="TGD",ROUND($E12*(1+$AD12)^(X$4-$E$4),0),IF($AB12="ALTH",ROUND($AE12+$AF12*X$4,0),IF($AB12="IR",ROUND(Proyeccion_Localidades!AU12,0),IF($AB12="RT",ROUND(Proyeccion_Localidades!BR12,0),"*****"))))</f>
        <v>204426</v>
      </c>
      <c r="Y12" s="66">
        <f>IF($AB12="TGD",ROUND($E12*(1+$AD12)^(Y$4-$E$4),0),IF($AB12="ALTH",ROUND($AE12+$AF12*Y$4,0),IF($AB12="IR",ROUND(Proyeccion_Localidades!AV12,0),IF($AB12="RT",ROUND(Proyeccion_Localidades!BS12,0),"*****"))))</f>
        <v>205175</v>
      </c>
      <c r="Z12" s="66">
        <f>IF($AB12="TGD",ROUND($E12*(1+$AD12)^(Z$4-$E$4),0),IF($AB12="ALTH",ROUND($AE12+$AF12*Z$4,0),IF($AB12="IR",ROUND(Proyeccion_Localidades!AW12,0),IF($AB12="RT",ROUND(Proyeccion_Localidades!BT12,0),"*****"))))</f>
        <v>205924</v>
      </c>
      <c r="AA12" s="66">
        <f>IF($AB12="TGD",ROUND($E12*(1+$AD12)^(AA$4-$E$4),0),IF($AB12="ALTH",ROUND($AE12+$AF12*AA$4,0),IF($AB12="IR",ROUND(Proyeccion_Localidades!AX12,0),IF($AB12="RT",ROUND(Proyeccion_Localidades!BU12,0),"*****"))))</f>
        <v>206673</v>
      </c>
      <c r="AB12" s="67" t="str">
        <f>Proyeccion_Localidades!N12</f>
        <v>ALTH</v>
      </c>
      <c r="AC12" s="68" t="s">
        <v>36</v>
      </c>
      <c r="AD12" s="51" t="str">
        <f>IF(AB12="TGD",Proyeccion_Localidades!Z12,"-")</f>
        <v>-</v>
      </c>
      <c r="AE12" s="51">
        <f>IF($AB12="ALTH",Proyeccion_Localidades!AA12,"-")</f>
        <v>-1324730.3653136531</v>
      </c>
      <c r="AF12" s="51">
        <f>IF($AB12="ALTH",Proyeccion_Localidades!AB12,"-")</f>
        <v>748.85239852398524</v>
      </c>
      <c r="AG12" s="51"/>
      <c r="AH12" s="51"/>
      <c r="AI12" s="66">
        <f t="shared" si="2"/>
        <v>190198</v>
      </c>
    </row>
    <row r="13" spans="1:35" ht="24.95" customHeight="1">
      <c r="A13" s="69" t="str">
        <f>+Proyeccion_Localidades!C13</f>
        <v>Ituzaingó</v>
      </c>
      <c r="B13" s="70">
        <v>9</v>
      </c>
      <c r="C13" s="71" t="str">
        <f>+Proyeccion_Localidades!B13</f>
        <v>Ituzaingó</v>
      </c>
      <c r="D13" s="261">
        <f t="shared" si="3"/>
        <v>9</v>
      </c>
      <c r="E13" s="72">
        <f>+Proyeccion_Localidades!F13</f>
        <v>167824</v>
      </c>
      <c r="F13" s="66">
        <f>IF($AB13="TGD",ROUND($E13*(1+$AD13)^(F$4-$E$4),0),IF($AB13="ALTH",ROUND($AE13+$AF13*F$4,0),IF($AB13="IR",ROUND(Proyeccion_Localidades!AC13,0),IF($AB13="RT",ROUND(Proyeccion_Localidades!AZ13,0),"*****"))))</f>
        <v>181694</v>
      </c>
      <c r="G13" s="66">
        <f>IF($AB13="TGD",ROUND($E13*(1+$AD13)^(G$4-$E$4),0),IF($AB13="ALTH",ROUND($AE13+$AF13*G$4,0),IF($AB13="IR",ROUND(Proyeccion_Localidades!AD13,0),IF($AB13="RT",ROUND(Proyeccion_Localidades!BA13,0),"*****"))))</f>
        <v>182900</v>
      </c>
      <c r="H13" s="66">
        <f>IF($AB13="TGD",ROUND($E13*(1+$AD13)^(H$4-$E$4),0),IF($AB13="ALTH",ROUND($AE13+$AF13*H$4,0),IF($AB13="IR",ROUND(Proyeccion_Localidades!AE13,0),IF($AB13="RT",ROUND(Proyeccion_Localidades!BB13,0),"*****"))))</f>
        <v>186567</v>
      </c>
      <c r="I13" s="66">
        <f>IF($AB13="TGD",ROUND($E13*(1+$AD13)^(I$4-$E$4),0),IF($AB13="ALTH",ROUND($AE13+$AF13*I$4,0),IF($AB13="IR",ROUND(Proyeccion_Localidades!AF13,0),IF($AB13="RT",ROUND(Proyeccion_Localidades!BC13,0),"*****"))))</f>
        <v>187806</v>
      </c>
      <c r="J13" s="66">
        <f>IF($AB13="TGD",ROUND($E13*(1+$AD13)^(J$4-$E$4),0),IF($AB13="ALTH",ROUND($AE13+$AF13*J$4,0),IF($AB13="IR",ROUND(Proyeccion_Localidades!AG13,0),IF($AB13="RT",ROUND(Proyeccion_Localidades!BD13,0),"*****"))))</f>
        <v>189053</v>
      </c>
      <c r="K13" s="66">
        <f>IF($AB13="TGD",ROUND($E13*(1+$AD13)^(K$4-$E$4),0),IF($AB13="ALTH",ROUND($AE13+$AF13*K$4,0),IF($AB13="IR",ROUND(Proyeccion_Localidades!AH13,0),IF($AB13="RT",ROUND(Proyeccion_Localidades!BE13,0),"*****"))))</f>
        <v>190308</v>
      </c>
      <c r="L13" s="66">
        <f>IF($AB13="TGD",ROUND($E13*(1+$AD13)^(L$4-$E$4),0),IF($AB13="ALTH",ROUND($AE13+$AF13*L$4,0),IF($AB13="IR",ROUND(Proyeccion_Localidades!AI13,0),IF($AB13="RT",ROUND(Proyeccion_Localidades!BF13,0),"*****"))))</f>
        <v>191571</v>
      </c>
      <c r="M13" s="66">
        <f>IF($AB13="TGD",ROUND($E13*(1+$AD13)^(M$4-$E$4),0),IF($AB13="ALTH",ROUND($AE13+$AF13*M$4,0),IF($AB13="IR",ROUND(Proyeccion_Localidades!AJ13,0),IF($AB13="RT",ROUND(Proyeccion_Localidades!BG13,0),"*****"))))</f>
        <v>192843</v>
      </c>
      <c r="N13" s="66">
        <f>IF($AB13="TGD",ROUND($E13*(1+$AD13)^(N$4-$E$4),0),IF($AB13="ALTH",ROUND($AE13+$AF13*N$4,0),IF($AB13="IR",ROUND(Proyeccion_Localidades!AK13,0),IF($AB13="RT",ROUND(Proyeccion_Localidades!BH13,0),"*****"))))</f>
        <v>194124</v>
      </c>
      <c r="O13" s="66">
        <f>IF($AB13="TGD",ROUND($E13*(1+$AD13)^(O$4-$E$4),0),IF($AB13="ALTH",ROUND($AE13+$AF13*O$4,0),IF($AB13="IR",ROUND(Proyeccion_Localidades!AL13,0),IF($AB13="RT",ROUND(Proyeccion_Localidades!BI13,0),"*****"))))</f>
        <v>195412</v>
      </c>
      <c r="P13" s="66">
        <f>IF($AB13="TGD",ROUND($E13*(1+$AD13)^(P$4-$E$4),0),IF($AB13="ALTH",ROUND($AE13+$AF13*P$4,0),IF($AB13="IR",ROUND(Proyeccion_Localidades!AM13,0),IF($AB13="RT",ROUND(Proyeccion_Localidades!BJ13,0),"*****"))))</f>
        <v>196710</v>
      </c>
      <c r="Q13" s="66">
        <f>IF($AB13="TGD",ROUND($E13*(1+$AD13)^(Q$4-$E$4),0),IF($AB13="ALTH",ROUND($AE13+$AF13*Q$4,0),IF($AB13="IR",ROUND(Proyeccion_Localidades!AN13,0),IF($AB13="RT",ROUND(Proyeccion_Localidades!BK13,0),"*****"))))</f>
        <v>198016</v>
      </c>
      <c r="R13" s="66">
        <f>IF($AB13="TGD",ROUND($E13*(1+$AD13)^(R$4-$E$4),0),IF($AB13="ALTH",ROUND($AE13+$AF13*R$4,0),IF($AB13="IR",ROUND(Proyeccion_Localidades!AO13,0),IF($AB13="RT",ROUND(Proyeccion_Localidades!BL13,0),"*****"))))</f>
        <v>199331</v>
      </c>
      <c r="S13" s="66">
        <f>IF($AB13="TGD",ROUND($E13*(1+$AD13)^(S$4-$E$4),0),IF($AB13="ALTH",ROUND($AE13+$AF13*S$4,0),IF($AB13="IR",ROUND(Proyeccion_Localidades!AP13,0),IF($AB13="RT",ROUND(Proyeccion_Localidades!BM13,0),"*****"))))</f>
        <v>200654</v>
      </c>
      <c r="T13" s="66">
        <f>IF($AB13="TGD",ROUND($E13*(1+$AD13)^(T$4-$E$4),0),IF($AB13="ALTH",ROUND($AE13+$AF13*T$4,0),IF($AB13="IR",ROUND(Proyeccion_Localidades!AQ13,0),IF($AB13="RT",ROUND(Proyeccion_Localidades!BN13,0),"*****"))))</f>
        <v>201986</v>
      </c>
      <c r="U13" s="66">
        <f>IF($AB13="TGD",ROUND($E13*(1+$AD13)^(U$4-$E$4),0),IF($AB13="ALTH",ROUND($AE13+$AF13*U$4,0),IF($AB13="IR",ROUND(Proyeccion_Localidades!AR13,0),IF($AB13="RT",ROUND(Proyeccion_Localidades!BO13,0),"*****"))))</f>
        <v>203327</v>
      </c>
      <c r="V13" s="66">
        <f>IF($AB13="TGD",ROUND($E13*(1+$AD13)^(V$4-$E$4),0),IF($AB13="ALTH",ROUND($AE13+$AF13*V$4,0),IF($AB13="IR",ROUND(Proyeccion_Localidades!AS13,0),IF($AB13="RT",ROUND(Proyeccion_Localidades!BP13,0),"*****"))))</f>
        <v>204677</v>
      </c>
      <c r="W13" s="66">
        <f>IF($AB13="TGD",ROUND($E13*(1+$AD13)^(W$4-$E$4),0),IF($AB13="ALTH",ROUND($AE13+$AF13*W$4,0),IF($AB13="IR",ROUND(Proyeccion_Localidades!AT13,0),IF($AB13="RT",ROUND(Proyeccion_Localidades!BQ13,0),"*****"))))</f>
        <v>206036</v>
      </c>
      <c r="X13" s="66">
        <f>IF($AB13="TGD",ROUND($E13*(1+$AD13)^(X$4-$E$4),0),IF($AB13="ALTH",ROUND($AE13+$AF13*X$4,0),IF($AB13="IR",ROUND(Proyeccion_Localidades!AU13,0),IF($AB13="RT",ROUND(Proyeccion_Localidades!BR13,0),"*****"))))</f>
        <v>207404</v>
      </c>
      <c r="Y13" s="66">
        <f>IF($AB13="TGD",ROUND($E13*(1+$AD13)^(Y$4-$E$4),0),IF($AB13="ALTH",ROUND($AE13+$AF13*Y$4,0),IF($AB13="IR",ROUND(Proyeccion_Localidades!AV13,0),IF($AB13="RT",ROUND(Proyeccion_Localidades!BS13,0),"*****"))))</f>
        <v>208781</v>
      </c>
      <c r="Z13" s="66">
        <f>IF($AB13="TGD",ROUND($E13*(1+$AD13)^(Z$4-$E$4),0),IF($AB13="ALTH",ROUND($AE13+$AF13*Z$4,0),IF($AB13="IR",ROUND(Proyeccion_Localidades!AW13,0),IF($AB13="RT",ROUND(Proyeccion_Localidades!BT13,0),"*****"))))</f>
        <v>210167</v>
      </c>
      <c r="AA13" s="66">
        <f>IF($AB13="TGD",ROUND($E13*(1+$AD13)^(AA$4-$E$4),0),IF($AB13="ALTH",ROUND($AE13+$AF13*AA$4,0),IF($AB13="IR",ROUND(Proyeccion_Localidades!AX13,0),IF($AB13="RT",ROUND(Proyeccion_Localidades!BU13,0),"*****"))))</f>
        <v>211562</v>
      </c>
      <c r="AB13" s="67" t="str">
        <f>Proyeccion_Localidades!N13</f>
        <v>TGD</v>
      </c>
      <c r="AC13" s="68" t="s">
        <v>35</v>
      </c>
      <c r="AD13" s="51">
        <f>IF(AB13="TGD",Proyeccion_Localidades!Z13,"-")</f>
        <v>6.6391922037054574E-3</v>
      </c>
      <c r="AE13" s="51" t="str">
        <f>IF($AB13="ALTH",Proyeccion_Localidades!AA13,"-")</f>
        <v>-</v>
      </c>
      <c r="AF13" s="51" t="str">
        <f>IF($AB13="ALTH",Proyeccion_Localidades!AB13,"-")</f>
        <v>-</v>
      </c>
      <c r="AG13" s="51"/>
      <c r="AH13" s="51"/>
      <c r="AI13" s="66">
        <f t="shared" si="2"/>
        <v>182900</v>
      </c>
    </row>
    <row r="14" spans="1:35" ht="24.95" customHeight="1">
      <c r="A14" s="69" t="str">
        <f>+Proyeccion_Localidades!C14</f>
        <v>José C. Paz</v>
      </c>
      <c r="B14" s="70">
        <v>10</v>
      </c>
      <c r="C14" s="71" t="str">
        <f>+Proyeccion_Localidades!B14</f>
        <v>José C. Paz</v>
      </c>
      <c r="D14" s="261">
        <f t="shared" si="3"/>
        <v>10</v>
      </c>
      <c r="E14" s="72">
        <f>+Proyeccion_Localidades!F14</f>
        <v>265981</v>
      </c>
      <c r="F14" s="66">
        <f>IF($AB14="TGD",ROUND($E14*(1+$AD14)^(F$4-$E$4),0),IF($AB14="ALTH",ROUND($AE14+$AF14*F$4,0),IF($AB14="IR",ROUND(Proyeccion_Localidades!AC14,0),IF($AB14="RT",ROUND(Proyeccion_Localidades!AZ14,0),"*****"))))</f>
        <v>322471</v>
      </c>
      <c r="G14" s="66">
        <f>IF($AB14="TGD",ROUND($E14*(1+$AD14)^(G$4-$E$4),0),IF($AB14="ALTH",ROUND($AE14+$AF14*G$4,0),IF($AB14="IR",ROUND(Proyeccion_Localidades!AD14,0),IF($AB14="RT",ROUND(Proyeccion_Localidades!BA14,0),"*****"))))</f>
        <v>327688</v>
      </c>
      <c r="H14" s="66">
        <f>IF($AB14="TGD",ROUND($E14*(1+$AD14)^(H$4-$E$4),0),IF($AB14="ALTH",ROUND($AE14+$AF14*H$4,0),IF($AB14="IR",ROUND(Proyeccion_Localidades!AE14,0),IF($AB14="RT",ROUND(Proyeccion_Localidades!BB14,0),"*****"))))</f>
        <v>343852</v>
      </c>
      <c r="I14" s="66">
        <f>IF($AB14="TGD",ROUND($E14*(1+$AD14)^(I$4-$E$4),0),IF($AB14="ALTH",ROUND($AE14+$AF14*I$4,0),IF($AB14="IR",ROUND(Proyeccion_Localidades!AF14,0),IF($AB14="RT",ROUND(Proyeccion_Localidades!BC14,0),"*****"))))</f>
        <v>349415</v>
      </c>
      <c r="J14" s="66">
        <f>IF($AB14="TGD",ROUND($E14*(1+$AD14)^(J$4-$E$4),0),IF($AB14="ALTH",ROUND($AE14+$AF14*J$4,0),IF($AB14="IR",ROUND(Proyeccion_Localidades!AG14,0),IF($AB14="RT",ROUND(Proyeccion_Localidades!BD14,0),"*****"))))</f>
        <v>355068</v>
      </c>
      <c r="K14" s="66">
        <f>IF($AB14="TGD",ROUND($E14*(1+$AD14)^(K$4-$E$4),0),IF($AB14="ALTH",ROUND($AE14+$AF14*K$4,0),IF($AB14="IR",ROUND(Proyeccion_Localidades!AH14,0),IF($AB14="RT",ROUND(Proyeccion_Localidades!BE14,0),"*****"))))</f>
        <v>360812</v>
      </c>
      <c r="L14" s="66">
        <f>IF($AB14="TGD",ROUND($E14*(1+$AD14)^(L$4-$E$4),0),IF($AB14="ALTH",ROUND($AE14+$AF14*L$4,0),IF($AB14="IR",ROUND(Proyeccion_Localidades!AI14,0),IF($AB14="RT",ROUND(Proyeccion_Localidades!BF14,0),"*****"))))</f>
        <v>366649</v>
      </c>
      <c r="M14" s="66">
        <f>IF($AB14="TGD",ROUND($E14*(1+$AD14)^(M$4-$E$4),0),IF($AB14="ALTH",ROUND($AE14+$AF14*M$4,0),IF($AB14="IR",ROUND(Proyeccion_Localidades!AJ14,0),IF($AB14="RT",ROUND(Proyeccion_Localidades!BG14,0),"*****"))))</f>
        <v>372581</v>
      </c>
      <c r="N14" s="66">
        <f>IF($AB14="TGD",ROUND($E14*(1+$AD14)^(N$4-$E$4),0),IF($AB14="ALTH",ROUND($AE14+$AF14*N$4,0),IF($AB14="IR",ROUND(Proyeccion_Localidades!AK14,0),IF($AB14="RT",ROUND(Proyeccion_Localidades!BH14,0),"*****"))))</f>
        <v>378609</v>
      </c>
      <c r="O14" s="66">
        <f>IF($AB14="TGD",ROUND($E14*(1+$AD14)^(O$4-$E$4),0),IF($AB14="ALTH",ROUND($AE14+$AF14*O$4,0),IF($AB14="IR",ROUND(Proyeccion_Localidades!AL14,0),IF($AB14="RT",ROUND(Proyeccion_Localidades!BI14,0),"*****"))))</f>
        <v>384735</v>
      </c>
      <c r="P14" s="66">
        <f>IF($AB14="TGD",ROUND($E14*(1+$AD14)^(P$4-$E$4),0),IF($AB14="ALTH",ROUND($AE14+$AF14*P$4,0),IF($AB14="IR",ROUND(Proyeccion_Localidades!AM14,0),IF($AB14="RT",ROUND(Proyeccion_Localidades!BJ14,0),"*****"))))</f>
        <v>390959</v>
      </c>
      <c r="Q14" s="66">
        <f>IF($AB14="TGD",ROUND($E14*(1+$AD14)^(Q$4-$E$4),0),IF($AB14="ALTH",ROUND($AE14+$AF14*Q$4,0),IF($AB14="IR",ROUND(Proyeccion_Localidades!AN14,0),IF($AB14="RT",ROUND(Proyeccion_Localidades!BK14,0),"*****"))))</f>
        <v>397284</v>
      </c>
      <c r="R14" s="66">
        <f>IF($AB14="TGD",ROUND($E14*(1+$AD14)^(R$4-$E$4),0),IF($AB14="ALTH",ROUND($AE14+$AF14*R$4,0),IF($AB14="IR",ROUND(Proyeccion_Localidades!AO14,0),IF($AB14="RT",ROUND(Proyeccion_Localidades!BL14,0),"*****"))))</f>
        <v>403712</v>
      </c>
      <c r="S14" s="66">
        <f>IF($AB14="TGD",ROUND($E14*(1+$AD14)^(S$4-$E$4),0),IF($AB14="ALTH",ROUND($AE14+$AF14*S$4,0),IF($AB14="IR",ROUND(Proyeccion_Localidades!AP14,0),IF($AB14="RT",ROUND(Proyeccion_Localidades!BM14,0),"*****"))))</f>
        <v>410243</v>
      </c>
      <c r="T14" s="66">
        <f>IF($AB14="TGD",ROUND($E14*(1+$AD14)^(T$4-$E$4),0),IF($AB14="ALTH",ROUND($AE14+$AF14*T$4,0),IF($AB14="IR",ROUND(Proyeccion_Localidades!AQ14,0),IF($AB14="RT",ROUND(Proyeccion_Localidades!BN14,0),"*****"))))</f>
        <v>416880</v>
      </c>
      <c r="U14" s="66">
        <f>IF($AB14="TGD",ROUND($E14*(1+$AD14)^(U$4-$E$4),0),IF($AB14="ALTH",ROUND($AE14+$AF14*U$4,0),IF($AB14="IR",ROUND(Proyeccion_Localidades!AR14,0),IF($AB14="RT",ROUND(Proyeccion_Localidades!BO14,0),"*****"))))</f>
        <v>423625</v>
      </c>
      <c r="V14" s="66">
        <f>IF($AB14="TGD",ROUND($E14*(1+$AD14)^(V$4-$E$4),0),IF($AB14="ALTH",ROUND($AE14+$AF14*V$4,0),IF($AB14="IR",ROUND(Proyeccion_Localidades!AS14,0),IF($AB14="RT",ROUND(Proyeccion_Localidades!BP14,0),"*****"))))</f>
        <v>430478</v>
      </c>
      <c r="W14" s="66">
        <f>IF($AB14="TGD",ROUND($E14*(1+$AD14)^(W$4-$E$4),0),IF($AB14="ALTH",ROUND($AE14+$AF14*W$4,0),IF($AB14="IR",ROUND(Proyeccion_Localidades!AT14,0),IF($AB14="RT",ROUND(Proyeccion_Localidades!BQ14,0),"*****"))))</f>
        <v>437443</v>
      </c>
      <c r="X14" s="66">
        <f>IF($AB14="TGD",ROUND($E14*(1+$AD14)^(X$4-$E$4),0),IF($AB14="ALTH",ROUND($AE14+$AF14*X$4,0),IF($AB14="IR",ROUND(Proyeccion_Localidades!AU14,0),IF($AB14="RT",ROUND(Proyeccion_Localidades!BR14,0),"*****"))))</f>
        <v>444520</v>
      </c>
      <c r="Y14" s="66">
        <f>IF($AB14="TGD",ROUND($E14*(1+$AD14)^(Y$4-$E$4),0),IF($AB14="ALTH",ROUND($AE14+$AF14*Y$4,0),IF($AB14="IR",ROUND(Proyeccion_Localidades!AV14,0),IF($AB14="RT",ROUND(Proyeccion_Localidades!BS14,0),"*****"))))</f>
        <v>451712</v>
      </c>
      <c r="Z14" s="66">
        <f>IF($AB14="TGD",ROUND($E14*(1+$AD14)^(Z$4-$E$4),0),IF($AB14="ALTH",ROUND($AE14+$AF14*Z$4,0),IF($AB14="IR",ROUND(Proyeccion_Localidades!AW14,0),IF($AB14="RT",ROUND(Proyeccion_Localidades!BT14,0),"*****"))))</f>
        <v>459020</v>
      </c>
      <c r="AA14" s="66">
        <f>IF($AB14="TGD",ROUND($E14*(1+$AD14)^(AA$4-$E$4),0),IF($AB14="ALTH",ROUND($AE14+$AF14*AA$4,0),IF($AB14="IR",ROUND(Proyeccion_Localidades!AX14,0),IF($AB14="RT",ROUND(Proyeccion_Localidades!BU14,0),"*****"))))</f>
        <v>466446</v>
      </c>
      <c r="AB14" s="67" t="str">
        <f>Proyeccion_Localidades!N14</f>
        <v>TGD</v>
      </c>
      <c r="AC14" s="68" t="s">
        <v>35</v>
      </c>
      <c r="AD14" s="51">
        <f>IF(AB14="TGD",Proyeccion_Localidades!Z14,"-")</f>
        <v>1.6178548017310446E-2</v>
      </c>
      <c r="AE14" s="51" t="str">
        <f>IF($AB14="ALTH",Proyeccion_Localidades!AA14,"-")</f>
        <v>-</v>
      </c>
      <c r="AF14" s="51" t="str">
        <f>IF($AB14="ALTH",Proyeccion_Localidades!AB14,"-")</f>
        <v>-</v>
      </c>
      <c r="AG14" s="51"/>
      <c r="AH14" s="51"/>
      <c r="AI14" s="66">
        <f t="shared" si="2"/>
        <v>327688</v>
      </c>
    </row>
    <row r="15" spans="1:35" ht="24.95" customHeight="1">
      <c r="A15" s="69" t="str">
        <f>+Proyeccion_Localidades!C15</f>
        <v>La Matanza</v>
      </c>
      <c r="B15" s="70">
        <v>11</v>
      </c>
      <c r="C15" s="71" t="str">
        <f>+Proyeccion_Localidades!B15</f>
        <v>La Matanza</v>
      </c>
      <c r="D15" s="261">
        <f t="shared" si="3"/>
        <v>11</v>
      </c>
      <c r="E15" s="72">
        <f>+Proyeccion_Localidades!F15</f>
        <v>1775816</v>
      </c>
      <c r="F15" s="66">
        <f>IF($AB15="TGD",ROUND($E15*(1+$AD15)^(F$4-$E$4),0),IF($AB15="ALTH",ROUND($AE15+$AF15*F$4,0),IF($AB15="IR",ROUND(Proyeccion_Localidades!AC15,0),IF($AB15="RT",ROUND(Proyeccion_Localidades!AZ15,0),"*****"))))</f>
        <v>2111215</v>
      </c>
      <c r="G15" s="66">
        <f>IF($AB15="TGD",ROUND($E15*(1+$AD15)^(G$4-$E$4),0),IF($AB15="ALTH",ROUND($AE15+$AF15*G$4,0),IF($AB15="IR",ROUND(Proyeccion_Localidades!AD15,0),IF($AB15="RT",ROUND(Proyeccion_Localidades!BA15,0),"*****"))))</f>
        <v>2145337</v>
      </c>
      <c r="H15" s="66">
        <f>IF($AB15="TGD",ROUND($E15*(1+$AD15)^(H$4-$E$4),0),IF($AB15="ALTH",ROUND($AE15+$AF15*H$4,0),IF($AB15="IR",ROUND(Proyeccion_Localidades!AE15,0),IF($AB15="RT",ROUND(Proyeccion_Localidades!BB15,0),"*****"))))</f>
        <v>2247703</v>
      </c>
      <c r="I15" s="66">
        <f>IF($AB15="TGD",ROUND($E15*(1+$AD15)^(I$4-$E$4),0),IF($AB15="ALTH",ROUND($AE15+$AF15*I$4,0),IF($AB15="IR",ROUND(Proyeccion_Localidades!AF15,0),IF($AB15="RT",ROUND(Proyeccion_Localidades!BC15,0),"*****"))))</f>
        <v>2281826</v>
      </c>
      <c r="J15" s="66">
        <f>IF($AB15="TGD",ROUND($E15*(1+$AD15)^(J$4-$E$4),0),IF($AB15="ALTH",ROUND($AE15+$AF15*J$4,0),IF($AB15="IR",ROUND(Proyeccion_Localidades!AG15,0),IF($AB15="RT",ROUND(Proyeccion_Localidades!BD15,0),"*****"))))</f>
        <v>2315948</v>
      </c>
      <c r="K15" s="66">
        <f>IF($AB15="TGD",ROUND($E15*(1+$AD15)^(K$4-$E$4),0),IF($AB15="ALTH",ROUND($AE15+$AF15*K$4,0),IF($AB15="IR",ROUND(Proyeccion_Localidades!AH15,0),IF($AB15="RT",ROUND(Proyeccion_Localidades!BE15,0),"*****"))))</f>
        <v>2350070</v>
      </c>
      <c r="L15" s="66">
        <f>IF($AB15="TGD",ROUND($E15*(1+$AD15)^(L$4-$E$4),0),IF($AB15="ALTH",ROUND($AE15+$AF15*L$4,0),IF($AB15="IR",ROUND(Proyeccion_Localidades!AI15,0),IF($AB15="RT",ROUND(Proyeccion_Localidades!BF15,0),"*****"))))</f>
        <v>2384192</v>
      </c>
      <c r="M15" s="66">
        <f>IF($AB15="TGD",ROUND($E15*(1+$AD15)^(M$4-$E$4),0),IF($AB15="ALTH",ROUND($AE15+$AF15*M$4,0),IF($AB15="IR",ROUND(Proyeccion_Localidades!AJ15,0),IF($AB15="RT",ROUND(Proyeccion_Localidades!BG15,0),"*****"))))</f>
        <v>2418314</v>
      </c>
      <c r="N15" s="66">
        <f>IF($AB15="TGD",ROUND($E15*(1+$AD15)^(N$4-$E$4),0),IF($AB15="ALTH",ROUND($AE15+$AF15*N$4,0),IF($AB15="IR",ROUND(Proyeccion_Localidades!AK15,0),IF($AB15="RT",ROUND(Proyeccion_Localidades!BH15,0),"*****"))))</f>
        <v>2452436</v>
      </c>
      <c r="O15" s="66">
        <f>IF($AB15="TGD",ROUND($E15*(1+$AD15)^(O$4-$E$4),0),IF($AB15="ALTH",ROUND($AE15+$AF15*O$4,0),IF($AB15="IR",ROUND(Proyeccion_Localidades!AL15,0),IF($AB15="RT",ROUND(Proyeccion_Localidades!BI15,0),"*****"))))</f>
        <v>2486559</v>
      </c>
      <c r="P15" s="66">
        <f>IF($AB15="TGD",ROUND($E15*(1+$AD15)^(P$4-$E$4),0),IF($AB15="ALTH",ROUND($AE15+$AF15*P$4,0),IF($AB15="IR",ROUND(Proyeccion_Localidades!AM15,0),IF($AB15="RT",ROUND(Proyeccion_Localidades!BJ15,0),"*****"))))</f>
        <v>2520681</v>
      </c>
      <c r="Q15" s="66">
        <f>IF($AB15="TGD",ROUND($E15*(1+$AD15)^(Q$4-$E$4),0),IF($AB15="ALTH",ROUND($AE15+$AF15*Q$4,0),IF($AB15="IR",ROUND(Proyeccion_Localidades!AN15,0),IF($AB15="RT",ROUND(Proyeccion_Localidades!BK15,0),"*****"))))</f>
        <v>2554803</v>
      </c>
      <c r="R15" s="66">
        <f>IF($AB15="TGD",ROUND($E15*(1+$AD15)^(R$4-$E$4),0),IF($AB15="ALTH",ROUND($AE15+$AF15*R$4,0),IF($AB15="IR",ROUND(Proyeccion_Localidades!AO15,0),IF($AB15="RT",ROUND(Proyeccion_Localidades!BL15,0),"*****"))))</f>
        <v>2588925</v>
      </c>
      <c r="S15" s="66">
        <f>IF($AB15="TGD",ROUND($E15*(1+$AD15)^(S$4-$E$4),0),IF($AB15="ALTH",ROUND($AE15+$AF15*S$4,0),IF($AB15="IR",ROUND(Proyeccion_Localidades!AP15,0),IF($AB15="RT",ROUND(Proyeccion_Localidades!BM15,0),"*****"))))</f>
        <v>2623047</v>
      </c>
      <c r="T15" s="66">
        <f>IF($AB15="TGD",ROUND($E15*(1+$AD15)^(T$4-$E$4),0),IF($AB15="ALTH",ROUND($AE15+$AF15*T$4,0),IF($AB15="IR",ROUND(Proyeccion_Localidades!AQ15,0),IF($AB15="RT",ROUND(Proyeccion_Localidades!BN15,0),"*****"))))</f>
        <v>2657169</v>
      </c>
      <c r="U15" s="66">
        <f>IF($AB15="TGD",ROUND($E15*(1+$AD15)^(U$4-$E$4),0),IF($AB15="ALTH",ROUND($AE15+$AF15*U$4,0),IF($AB15="IR",ROUND(Proyeccion_Localidades!AR15,0),IF($AB15="RT",ROUND(Proyeccion_Localidades!BO15,0),"*****"))))</f>
        <v>2691292</v>
      </c>
      <c r="V15" s="66">
        <f>IF($AB15="TGD",ROUND($E15*(1+$AD15)^(V$4-$E$4),0),IF($AB15="ALTH",ROUND($AE15+$AF15*V$4,0),IF($AB15="IR",ROUND(Proyeccion_Localidades!AS15,0),IF($AB15="RT",ROUND(Proyeccion_Localidades!BP15,0),"*****"))))</f>
        <v>2725414</v>
      </c>
      <c r="W15" s="66">
        <f>IF($AB15="TGD",ROUND($E15*(1+$AD15)^(W$4-$E$4),0),IF($AB15="ALTH",ROUND($AE15+$AF15*W$4,0),IF($AB15="IR",ROUND(Proyeccion_Localidades!AT15,0),IF($AB15="RT",ROUND(Proyeccion_Localidades!BQ15,0),"*****"))))</f>
        <v>2759536</v>
      </c>
      <c r="X15" s="66">
        <f>IF($AB15="TGD",ROUND($E15*(1+$AD15)^(X$4-$E$4),0),IF($AB15="ALTH",ROUND($AE15+$AF15*X$4,0),IF($AB15="IR",ROUND(Proyeccion_Localidades!AU15,0),IF($AB15="RT",ROUND(Proyeccion_Localidades!BR15,0),"*****"))))</f>
        <v>2793658</v>
      </c>
      <c r="Y15" s="66">
        <f>IF($AB15="TGD",ROUND($E15*(1+$AD15)^(Y$4-$E$4),0),IF($AB15="ALTH",ROUND($AE15+$AF15*Y$4,0),IF($AB15="IR",ROUND(Proyeccion_Localidades!AV15,0),IF($AB15="RT",ROUND(Proyeccion_Localidades!BS15,0),"*****"))))</f>
        <v>2827780</v>
      </c>
      <c r="Z15" s="66">
        <f>IF($AB15="TGD",ROUND($E15*(1+$AD15)^(Z$4-$E$4),0),IF($AB15="ALTH",ROUND($AE15+$AF15*Z$4,0),IF($AB15="IR",ROUND(Proyeccion_Localidades!AW15,0),IF($AB15="RT",ROUND(Proyeccion_Localidades!BT15,0),"*****"))))</f>
        <v>2861902</v>
      </c>
      <c r="AA15" s="66">
        <f>IF($AB15="TGD",ROUND($E15*(1+$AD15)^(AA$4-$E$4),0),IF($AB15="ALTH",ROUND($AE15+$AF15*AA$4,0),IF($AB15="IR",ROUND(Proyeccion_Localidades!AX15,0),IF($AB15="RT",ROUND(Proyeccion_Localidades!BU15,0),"*****"))))</f>
        <v>2896025</v>
      </c>
      <c r="AB15" s="67" t="str">
        <f>Proyeccion_Localidades!N15</f>
        <v>ALTH</v>
      </c>
      <c r="AC15" s="68" t="s">
        <v>36</v>
      </c>
      <c r="AD15" s="51" t="str">
        <f>IF(AB15="TGD",Proyeccion_Localidades!Z15,"-")</f>
        <v>-</v>
      </c>
      <c r="AE15" s="51">
        <f>IF($AB15="ALTH",Proyeccion_Localidades!AA15,"-")</f>
        <v>-66883816.287822872</v>
      </c>
      <c r="AF15" s="51">
        <f>IF($AB15="ALTH",Proyeccion_Localidades!AB15,"-")</f>
        <v>34122.171586715864</v>
      </c>
      <c r="AG15" s="51"/>
      <c r="AH15" s="51"/>
      <c r="AI15" s="66">
        <f t="shared" si="2"/>
        <v>2145337</v>
      </c>
    </row>
    <row r="16" spans="1:35" ht="24.95" customHeight="1">
      <c r="A16" s="69" t="str">
        <f>+Proyeccion_Localidades!C16</f>
        <v>Lanús</v>
      </c>
      <c r="B16" s="70">
        <v>12</v>
      </c>
      <c r="C16" s="71" t="str">
        <f>+Proyeccion_Localidades!B16</f>
        <v>Lanús</v>
      </c>
      <c r="D16" s="261">
        <f t="shared" si="3"/>
        <v>12</v>
      </c>
      <c r="E16" s="72">
        <f>+Proyeccion_Localidades!F16</f>
        <v>459263</v>
      </c>
      <c r="F16" s="66">
        <f>IF($AB16="TGD",ROUND($E16*(1+$AD16)^(F$4-$E$4),0),IF($AB16="ALTH",ROUND($AE16+$AF16*F$4,0),IF($AB16="IR",ROUND(Proyeccion_Localidades!AC16,0),IF($AB16="RT",ROUND(Proyeccion_Localidades!AZ16,0),"*****"))))</f>
        <v>454199</v>
      </c>
      <c r="G16" s="66">
        <f>IF($AB16="TGD",ROUND($E16*(1+$AD16)^(G$4-$E$4),0),IF($AB16="ALTH",ROUND($AE16+$AF16*G$4,0),IF($AB16="IR",ROUND(Proyeccion_Localidades!AD16,0),IF($AB16="RT",ROUND(Proyeccion_Localidades!BA16,0),"*****"))))</f>
        <v>453780</v>
      </c>
      <c r="H16" s="66">
        <f>IF($AB16="TGD",ROUND($E16*(1+$AD16)^(H$4-$E$4),0),IF($AB16="ALTH",ROUND($AE16+$AF16*H$4,0),IF($AB16="IR",ROUND(Proyeccion_Localidades!AE16,0),IF($AB16="RT",ROUND(Proyeccion_Localidades!BB16,0),"*****"))))</f>
        <v>452524</v>
      </c>
      <c r="I16" s="66">
        <f>IF($AB16="TGD",ROUND($E16*(1+$AD16)^(I$4-$E$4),0),IF($AB16="ALTH",ROUND($AE16+$AF16*I$4,0),IF($AB16="IR",ROUND(Proyeccion_Localidades!AF16,0),IF($AB16="RT",ROUND(Proyeccion_Localidades!BC16,0),"*****"))))</f>
        <v>452106</v>
      </c>
      <c r="J16" s="66">
        <f>IF($AB16="TGD",ROUND($E16*(1+$AD16)^(J$4-$E$4),0),IF($AB16="ALTH",ROUND($AE16+$AF16*J$4,0),IF($AB16="IR",ROUND(Proyeccion_Localidades!AG16,0),IF($AB16="RT",ROUND(Proyeccion_Localidades!BD16,0),"*****"))))</f>
        <v>451688</v>
      </c>
      <c r="K16" s="66">
        <f>IF($AB16="TGD",ROUND($E16*(1+$AD16)^(K$4-$E$4),0),IF($AB16="ALTH",ROUND($AE16+$AF16*K$4,0),IF($AB16="IR",ROUND(Proyeccion_Localidades!AH16,0),IF($AB16="RT",ROUND(Proyeccion_Localidades!BE16,0),"*****"))))</f>
        <v>451271</v>
      </c>
      <c r="L16" s="66">
        <f>IF($AB16="TGD",ROUND($E16*(1+$AD16)^(L$4-$E$4),0),IF($AB16="ALTH",ROUND($AE16+$AF16*L$4,0),IF($AB16="IR",ROUND(Proyeccion_Localidades!AI16,0),IF($AB16="RT",ROUND(Proyeccion_Localidades!BF16,0),"*****"))))</f>
        <v>450854</v>
      </c>
      <c r="M16" s="66">
        <f>IF($AB16="TGD",ROUND($E16*(1+$AD16)^(M$4-$E$4),0),IF($AB16="ALTH",ROUND($AE16+$AF16*M$4,0),IF($AB16="IR",ROUND(Proyeccion_Localidades!AJ16,0),IF($AB16="RT",ROUND(Proyeccion_Localidades!BG16,0),"*****"))))</f>
        <v>450438</v>
      </c>
      <c r="N16" s="66">
        <f>IF($AB16="TGD",ROUND($E16*(1+$AD16)^(N$4-$E$4),0),IF($AB16="ALTH",ROUND($AE16+$AF16*N$4,0),IF($AB16="IR",ROUND(Proyeccion_Localidades!AK16,0),IF($AB16="RT",ROUND(Proyeccion_Localidades!BH16,0),"*****"))))</f>
        <v>450022</v>
      </c>
      <c r="O16" s="66">
        <f>IF($AB16="TGD",ROUND($E16*(1+$AD16)^(O$4-$E$4),0),IF($AB16="ALTH",ROUND($AE16+$AF16*O$4,0),IF($AB16="IR",ROUND(Proyeccion_Localidades!AL16,0),IF($AB16="RT",ROUND(Proyeccion_Localidades!BI16,0),"*****"))))</f>
        <v>449606</v>
      </c>
      <c r="P16" s="66">
        <f>IF($AB16="TGD",ROUND($E16*(1+$AD16)^(P$4-$E$4),0),IF($AB16="ALTH",ROUND($AE16+$AF16*P$4,0),IF($AB16="IR",ROUND(Proyeccion_Localidades!AM16,0),IF($AB16="RT",ROUND(Proyeccion_Localidades!BJ16,0),"*****"))))</f>
        <v>449191</v>
      </c>
      <c r="Q16" s="66">
        <f>IF($AB16="TGD",ROUND($E16*(1+$AD16)^(Q$4-$E$4),0),IF($AB16="ALTH",ROUND($AE16+$AF16*Q$4,0),IF($AB16="IR",ROUND(Proyeccion_Localidades!AN16,0),IF($AB16="RT",ROUND(Proyeccion_Localidades!BK16,0),"*****"))))</f>
        <v>448776</v>
      </c>
      <c r="R16" s="66">
        <f>IF($AB16="TGD",ROUND($E16*(1+$AD16)^(R$4-$E$4),0),IF($AB16="ALTH",ROUND($AE16+$AF16*R$4,0),IF($AB16="IR",ROUND(Proyeccion_Localidades!AO16,0),IF($AB16="RT",ROUND(Proyeccion_Localidades!BL16,0),"*****"))))</f>
        <v>448362</v>
      </c>
      <c r="S16" s="66">
        <f>IF($AB16="TGD",ROUND($E16*(1+$AD16)^(S$4-$E$4),0),IF($AB16="ALTH",ROUND($AE16+$AF16*S$4,0),IF($AB16="IR",ROUND(Proyeccion_Localidades!AP16,0),IF($AB16="RT",ROUND(Proyeccion_Localidades!BM16,0),"*****"))))</f>
        <v>447948</v>
      </c>
      <c r="T16" s="66">
        <f>IF($AB16="TGD",ROUND($E16*(1+$AD16)^(T$4-$E$4),0),IF($AB16="ALTH",ROUND($AE16+$AF16*T$4,0),IF($AB16="IR",ROUND(Proyeccion_Localidades!AQ16,0),IF($AB16="RT",ROUND(Proyeccion_Localidades!BN16,0),"*****"))))</f>
        <v>447534</v>
      </c>
      <c r="U16" s="66">
        <f>IF($AB16="TGD",ROUND($E16*(1+$AD16)^(U$4-$E$4),0),IF($AB16="ALTH",ROUND($AE16+$AF16*U$4,0),IF($AB16="IR",ROUND(Proyeccion_Localidades!AR16,0),IF($AB16="RT",ROUND(Proyeccion_Localidades!BO16,0),"*****"))))</f>
        <v>447121</v>
      </c>
      <c r="V16" s="66">
        <f>IF($AB16="TGD",ROUND($E16*(1+$AD16)^(V$4-$E$4),0),IF($AB16="ALTH",ROUND($AE16+$AF16*V$4,0),IF($AB16="IR",ROUND(Proyeccion_Localidades!AS16,0),IF($AB16="RT",ROUND(Proyeccion_Localidades!BP16,0),"*****"))))</f>
        <v>446708</v>
      </c>
      <c r="W16" s="66">
        <f>IF($AB16="TGD",ROUND($E16*(1+$AD16)^(W$4-$E$4),0),IF($AB16="ALTH",ROUND($AE16+$AF16*W$4,0),IF($AB16="IR",ROUND(Proyeccion_Localidades!AT16,0),IF($AB16="RT",ROUND(Proyeccion_Localidades!BQ16,0),"*****"))))</f>
        <v>446295</v>
      </c>
      <c r="X16" s="66">
        <f>IF($AB16="TGD",ROUND($E16*(1+$AD16)^(X$4-$E$4),0),IF($AB16="ALTH",ROUND($AE16+$AF16*X$4,0),IF($AB16="IR",ROUND(Proyeccion_Localidades!AU16,0),IF($AB16="RT",ROUND(Proyeccion_Localidades!BR16,0),"*****"))))</f>
        <v>445883</v>
      </c>
      <c r="Y16" s="66">
        <f>IF($AB16="TGD",ROUND($E16*(1+$AD16)^(Y$4-$E$4),0),IF($AB16="ALTH",ROUND($AE16+$AF16*Y$4,0),IF($AB16="IR",ROUND(Proyeccion_Localidades!AV16,0),IF($AB16="RT",ROUND(Proyeccion_Localidades!BS16,0),"*****"))))</f>
        <v>445472</v>
      </c>
      <c r="Z16" s="66">
        <f>IF($AB16="TGD",ROUND($E16*(1+$AD16)^(Z$4-$E$4),0),IF($AB16="ALTH",ROUND($AE16+$AF16*Z$4,0),IF($AB16="IR",ROUND(Proyeccion_Localidades!AW16,0),IF($AB16="RT",ROUND(Proyeccion_Localidades!BT16,0),"*****"))))</f>
        <v>445060</v>
      </c>
      <c r="AA16" s="66">
        <f>IF($AB16="TGD",ROUND($E16*(1+$AD16)^(AA$4-$E$4),0),IF($AB16="ALTH",ROUND($AE16+$AF16*AA$4,0),IF($AB16="IR",ROUND(Proyeccion_Localidades!AX16,0),IF($AB16="RT",ROUND(Proyeccion_Localidades!BU16,0),"*****"))))</f>
        <v>444649</v>
      </c>
      <c r="AB16" s="67" t="str">
        <f>Proyeccion_Localidades!N16</f>
        <v>TGD</v>
      </c>
      <c r="AC16" s="68" t="s">
        <v>35</v>
      </c>
      <c r="AD16" s="51">
        <f>IF(AB16="TGD",Proyeccion_Localidades!Z16,"-")</f>
        <v>-9.2350095914933705E-4</v>
      </c>
      <c r="AE16" s="51" t="str">
        <f>IF($AB16="ALTH",Proyeccion_Localidades!AA16,"-")</f>
        <v>-</v>
      </c>
      <c r="AF16" s="51" t="str">
        <f>IF($AB16="ALTH",Proyeccion_Localidades!AB16,"-")</f>
        <v>-</v>
      </c>
      <c r="AG16" s="51"/>
      <c r="AH16" s="51"/>
      <c r="AI16" s="66">
        <f t="shared" si="2"/>
        <v>453780</v>
      </c>
    </row>
    <row r="17" spans="1:35" ht="24.95" customHeight="1">
      <c r="A17" s="69" t="str">
        <f>+Proyeccion_Localidades!C17</f>
        <v>Lomas de Zamora</v>
      </c>
      <c r="B17" s="70">
        <v>13</v>
      </c>
      <c r="C17" s="71" t="str">
        <f>+Proyeccion_Localidades!B17</f>
        <v>Lomas de Zamora</v>
      </c>
      <c r="D17" s="261">
        <f t="shared" si="3"/>
        <v>13</v>
      </c>
      <c r="E17" s="72">
        <f>+Proyeccion_Localidades!F17</f>
        <v>616279</v>
      </c>
      <c r="F17" s="66">
        <f>IF($AB17="TGD",ROUND($E17*(1+$AD17)^(F$4-$E$4),0),IF($AB17="ALTH",ROUND($AE17+$AF17*F$4,0),IF($AB17="IR",ROUND(Proyeccion_Localidades!AC17,0),IF($AB17="RT",ROUND(Proyeccion_Localidades!AZ17,0),"*****"))))</f>
        <v>671858</v>
      </c>
      <c r="G17" s="66">
        <f>IF($AB17="TGD",ROUND($E17*(1+$AD17)^(G$4-$E$4),0),IF($AB17="ALTH",ROUND($AE17+$AF17*G$4,0),IF($AB17="IR",ROUND(Proyeccion_Localidades!AD17,0),IF($AB17="RT",ROUND(Proyeccion_Localidades!BA17,0),"*****"))))</f>
        <v>676995</v>
      </c>
      <c r="H17" s="66">
        <f>IF($AB17="TGD",ROUND($E17*(1+$AD17)^(H$4-$E$4),0),IF($AB17="ALTH",ROUND($AE17+$AF17*H$4,0),IF($AB17="IR",ROUND(Proyeccion_Localidades!AE17,0),IF($AB17="RT",ROUND(Proyeccion_Localidades!BB17,0),"*****"))))</f>
        <v>692915</v>
      </c>
      <c r="I17" s="66">
        <f>IF($AB17="TGD",ROUND($E17*(1+$AD17)^(I$4-$E$4),0),IF($AB17="ALTH",ROUND($AE17+$AF17*I$4,0),IF($AB17="IR",ROUND(Proyeccion_Localidades!AF17,0),IF($AB17="RT",ROUND(Proyeccion_Localidades!BC17,0),"*****"))))</f>
        <v>698396</v>
      </c>
      <c r="J17" s="66">
        <f>IF($AB17="TGD",ROUND($E17*(1+$AD17)^(J$4-$E$4),0),IF($AB17="ALTH",ROUND($AE17+$AF17*J$4,0),IF($AB17="IR",ROUND(Proyeccion_Localidades!AG17,0),IF($AB17="RT",ROUND(Proyeccion_Localidades!BD17,0),"*****"))))</f>
        <v>703966</v>
      </c>
      <c r="K17" s="66">
        <f>IF($AB17="TGD",ROUND($E17*(1+$AD17)^(K$4-$E$4),0),IF($AB17="ALTH",ROUND($AE17+$AF17*K$4,0),IF($AB17="IR",ROUND(Proyeccion_Localidades!AH17,0),IF($AB17="RT",ROUND(Proyeccion_Localidades!BE17,0),"*****"))))</f>
        <v>709627</v>
      </c>
      <c r="L17" s="66">
        <f>IF($AB17="TGD",ROUND($E17*(1+$AD17)^(L$4-$E$4),0),IF($AB17="ALTH",ROUND($AE17+$AF17*L$4,0),IF($AB17="IR",ROUND(Proyeccion_Localidades!AI17,0),IF($AB17="RT",ROUND(Proyeccion_Localidades!BF17,0),"*****"))))</f>
        <v>715380</v>
      </c>
      <c r="M17" s="66">
        <f>IF($AB17="TGD",ROUND($E17*(1+$AD17)^(M$4-$E$4),0),IF($AB17="ALTH",ROUND($AE17+$AF17*M$4,0),IF($AB17="IR",ROUND(Proyeccion_Localidades!AJ17,0),IF($AB17="RT",ROUND(Proyeccion_Localidades!BG17,0),"*****"))))</f>
        <v>721227</v>
      </c>
      <c r="N17" s="66">
        <f>IF($AB17="TGD",ROUND($E17*(1+$AD17)^(N$4-$E$4),0),IF($AB17="ALTH",ROUND($AE17+$AF17*N$4,0),IF($AB17="IR",ROUND(Proyeccion_Localidades!AK17,0),IF($AB17="RT",ROUND(Proyeccion_Localidades!BH17,0),"*****"))))</f>
        <v>727170</v>
      </c>
      <c r="O17" s="66">
        <f>IF($AB17="TGD",ROUND($E17*(1+$AD17)^(O$4-$E$4),0),IF($AB17="ALTH",ROUND($AE17+$AF17*O$4,0),IF($AB17="IR",ROUND(Proyeccion_Localidades!AL17,0),IF($AB17="RT",ROUND(Proyeccion_Localidades!BI17,0),"*****"))))</f>
        <v>733209</v>
      </c>
      <c r="P17" s="66">
        <f>IF($AB17="TGD",ROUND($E17*(1+$AD17)^(P$4-$E$4),0),IF($AB17="ALTH",ROUND($AE17+$AF17*P$4,0),IF($AB17="IR",ROUND(Proyeccion_Localidades!AM17,0),IF($AB17="RT",ROUND(Proyeccion_Localidades!BJ17,0),"*****"))))</f>
        <v>739347</v>
      </c>
      <c r="Q17" s="66">
        <f>IF($AB17="TGD",ROUND($E17*(1+$AD17)^(Q$4-$E$4),0),IF($AB17="ALTH",ROUND($AE17+$AF17*Q$4,0),IF($AB17="IR",ROUND(Proyeccion_Localidades!AN17,0),IF($AB17="RT",ROUND(Proyeccion_Localidades!BK17,0),"*****"))))</f>
        <v>745585</v>
      </c>
      <c r="R17" s="66">
        <f>IF($AB17="TGD",ROUND($E17*(1+$AD17)^(R$4-$E$4),0),IF($AB17="ALTH",ROUND($AE17+$AF17*R$4,0),IF($AB17="IR",ROUND(Proyeccion_Localidades!AO17,0),IF($AB17="RT",ROUND(Proyeccion_Localidades!BL17,0),"*****"))))</f>
        <v>751925</v>
      </c>
      <c r="S17" s="66">
        <f>IF($AB17="TGD",ROUND($E17*(1+$AD17)^(S$4-$E$4),0),IF($AB17="ALTH",ROUND($AE17+$AF17*S$4,0),IF($AB17="IR",ROUND(Proyeccion_Localidades!AP17,0),IF($AB17="RT",ROUND(Proyeccion_Localidades!BM17,0),"*****"))))</f>
        <v>758369</v>
      </c>
      <c r="T17" s="66">
        <f>IF($AB17="TGD",ROUND($E17*(1+$AD17)^(T$4-$E$4),0),IF($AB17="ALTH",ROUND($AE17+$AF17*T$4,0),IF($AB17="IR",ROUND(Proyeccion_Localidades!AQ17,0),IF($AB17="RT",ROUND(Proyeccion_Localidades!BN17,0),"*****"))))</f>
        <v>764917</v>
      </c>
      <c r="U17" s="66">
        <f>IF($AB17="TGD",ROUND($E17*(1+$AD17)^(U$4-$E$4),0),IF($AB17="ALTH",ROUND($AE17+$AF17*U$4,0),IF($AB17="IR",ROUND(Proyeccion_Localidades!AR17,0),IF($AB17="RT",ROUND(Proyeccion_Localidades!BO17,0),"*****"))))</f>
        <v>771572</v>
      </c>
      <c r="V17" s="66">
        <f>IF($AB17="TGD",ROUND($E17*(1+$AD17)^(V$4-$E$4),0),IF($AB17="ALTH",ROUND($AE17+$AF17*V$4,0),IF($AB17="IR",ROUND(Proyeccion_Localidades!AS17,0),IF($AB17="RT",ROUND(Proyeccion_Localidades!BP17,0),"*****"))))</f>
        <v>778336</v>
      </c>
      <c r="W17" s="66">
        <f>IF($AB17="TGD",ROUND($E17*(1+$AD17)^(W$4-$E$4),0),IF($AB17="ALTH",ROUND($AE17+$AF17*W$4,0),IF($AB17="IR",ROUND(Proyeccion_Localidades!AT17,0),IF($AB17="RT",ROUND(Proyeccion_Localidades!BQ17,0),"*****"))))</f>
        <v>785210</v>
      </c>
      <c r="X17" s="66">
        <f>IF($AB17="TGD",ROUND($E17*(1+$AD17)^(X$4-$E$4),0),IF($AB17="ALTH",ROUND($AE17+$AF17*X$4,0),IF($AB17="IR",ROUND(Proyeccion_Localidades!AU17,0),IF($AB17="RT",ROUND(Proyeccion_Localidades!BR17,0),"*****"))))</f>
        <v>792197</v>
      </c>
      <c r="Y17" s="66">
        <f>IF($AB17="TGD",ROUND($E17*(1+$AD17)^(Y$4-$E$4),0),IF($AB17="ALTH",ROUND($AE17+$AF17*Y$4,0),IF($AB17="IR",ROUND(Proyeccion_Localidades!AV17,0),IF($AB17="RT",ROUND(Proyeccion_Localidades!BS17,0),"*****"))))</f>
        <v>799297</v>
      </c>
      <c r="Z17" s="66">
        <f>IF($AB17="TGD",ROUND($E17*(1+$AD17)^(Z$4-$E$4),0),IF($AB17="ALTH",ROUND($AE17+$AF17*Z$4,0),IF($AB17="IR",ROUND(Proyeccion_Localidades!AW17,0),IF($AB17="RT",ROUND(Proyeccion_Localidades!BT17,0),"*****"))))</f>
        <v>806513</v>
      </c>
      <c r="AA17" s="66">
        <f>IF($AB17="TGD",ROUND($E17*(1+$AD17)^(AA$4-$E$4),0),IF($AB17="ALTH",ROUND($AE17+$AF17*AA$4,0),IF($AB17="IR",ROUND(Proyeccion_Localidades!AX17,0),IF($AB17="RT",ROUND(Proyeccion_Localidades!BU17,0),"*****"))))</f>
        <v>813847</v>
      </c>
      <c r="AB17" s="67" t="str">
        <f>Proyeccion_Localidades!N17</f>
        <v>IR</v>
      </c>
      <c r="AC17" s="68"/>
      <c r="AD17" s="51" t="str">
        <f>IF(AB17="TGD",Proyeccion_Localidades!Z17,"-")</f>
        <v>-</v>
      </c>
      <c r="AE17" s="51" t="str">
        <f>IF($AB17="ALTH",Proyeccion_Localidades!AA17,"-")</f>
        <v>-</v>
      </c>
      <c r="AF17" s="51" t="str">
        <f>IF($AB17="ALTH",Proyeccion_Localidades!AB17,"-")</f>
        <v>-</v>
      </c>
      <c r="AG17" s="51"/>
      <c r="AH17" s="51"/>
      <c r="AI17" s="66">
        <f t="shared" si="2"/>
        <v>676995</v>
      </c>
    </row>
    <row r="18" spans="1:35" ht="24.95" customHeight="1">
      <c r="A18" s="69" t="str">
        <f>+Proyeccion_Localidades!C18</f>
        <v>Malvinas Argentinas</v>
      </c>
      <c r="B18" s="70">
        <v>14</v>
      </c>
      <c r="C18" s="71" t="str">
        <f>+Proyeccion_Localidades!B18</f>
        <v>Malvinas Argentinas</v>
      </c>
      <c r="D18" s="261">
        <f t="shared" si="3"/>
        <v>14</v>
      </c>
      <c r="E18" s="72">
        <f>+Proyeccion_Localidades!F18</f>
        <v>322375</v>
      </c>
      <c r="F18" s="66">
        <f>IF($AB18="TGD",ROUND($E18*(1+$AD18)^(F$4-$E$4),0),IF($AB18="ALTH",ROUND($AE18+$AF18*F$4,0),IF($AB18="IR",ROUND(Proyeccion_Localidades!AC18,0),IF($AB18="RT",ROUND(Proyeccion_Localidades!AZ18,0),"*****"))))</f>
        <v>370056</v>
      </c>
      <c r="G18" s="66">
        <f>IF($AB18="TGD",ROUND($E18*(1+$AD18)^(G$4-$E$4),0),IF($AB18="ALTH",ROUND($AE18+$AF18*G$4,0),IF($AB18="IR",ROUND(Proyeccion_Localidades!AD18,0),IF($AB18="RT",ROUND(Proyeccion_Localidades!BA18,0),"*****"))))</f>
        <v>374335</v>
      </c>
      <c r="H18" s="66">
        <f>IF($AB18="TGD",ROUND($E18*(1+$AD18)^(H$4-$E$4),0),IF($AB18="ALTH",ROUND($AE18+$AF18*H$4,0),IF($AB18="IR",ROUND(Proyeccion_Localidades!AE18,0),IF($AB18="RT",ROUND(Proyeccion_Localidades!BB18,0),"*****"))))</f>
        <v>387469</v>
      </c>
      <c r="I18" s="66">
        <f>IF($AB18="TGD",ROUND($E18*(1+$AD18)^(I$4-$E$4),0),IF($AB18="ALTH",ROUND($AE18+$AF18*I$4,0),IF($AB18="IR",ROUND(Proyeccion_Localidades!AF18,0),IF($AB18="RT",ROUND(Proyeccion_Localidades!BC18,0),"*****"))))</f>
        <v>391948</v>
      </c>
      <c r="J18" s="66">
        <f>IF($AB18="TGD",ROUND($E18*(1+$AD18)^(J$4-$E$4),0),IF($AB18="ALTH",ROUND($AE18+$AF18*J$4,0),IF($AB18="IR",ROUND(Proyeccion_Localidades!AG18,0),IF($AB18="RT",ROUND(Proyeccion_Localidades!BD18,0),"*****"))))</f>
        <v>396480</v>
      </c>
      <c r="K18" s="66">
        <f>IF($AB18="TGD",ROUND($E18*(1+$AD18)^(K$4-$E$4),0),IF($AB18="ALTH",ROUND($AE18+$AF18*K$4,0),IF($AB18="IR",ROUND(Proyeccion_Localidades!AH18,0),IF($AB18="RT",ROUND(Proyeccion_Localidades!BE18,0),"*****"))))</f>
        <v>401063</v>
      </c>
      <c r="L18" s="66">
        <f>IF($AB18="TGD",ROUND($E18*(1+$AD18)^(L$4-$E$4),0),IF($AB18="ALTH",ROUND($AE18+$AF18*L$4,0),IF($AB18="IR",ROUND(Proyeccion_Localidades!AI18,0),IF($AB18="RT",ROUND(Proyeccion_Localidades!BF18,0),"*****"))))</f>
        <v>405700</v>
      </c>
      <c r="M18" s="66">
        <f>IF($AB18="TGD",ROUND($E18*(1+$AD18)^(M$4-$E$4),0),IF($AB18="ALTH",ROUND($AE18+$AF18*M$4,0),IF($AB18="IR",ROUND(Proyeccion_Localidades!AJ18,0),IF($AB18="RT",ROUND(Proyeccion_Localidades!BG18,0),"*****"))))</f>
        <v>410391</v>
      </c>
      <c r="N18" s="66">
        <f>IF($AB18="TGD",ROUND($E18*(1+$AD18)^(N$4-$E$4),0),IF($AB18="ALTH",ROUND($AE18+$AF18*N$4,0),IF($AB18="IR",ROUND(Proyeccion_Localidades!AK18,0),IF($AB18="RT",ROUND(Proyeccion_Localidades!BH18,0),"*****"))))</f>
        <v>415135</v>
      </c>
      <c r="O18" s="66">
        <f>IF($AB18="TGD",ROUND($E18*(1+$AD18)^(O$4-$E$4),0),IF($AB18="ALTH",ROUND($AE18+$AF18*O$4,0),IF($AB18="IR",ROUND(Proyeccion_Localidades!AL18,0),IF($AB18="RT",ROUND(Proyeccion_Localidades!BI18,0),"*****"))))</f>
        <v>419935</v>
      </c>
      <c r="P18" s="66">
        <f>IF($AB18="TGD",ROUND($E18*(1+$AD18)^(P$4-$E$4),0),IF($AB18="ALTH",ROUND($AE18+$AF18*P$4,0),IF($AB18="IR",ROUND(Proyeccion_Localidades!AM18,0),IF($AB18="RT",ROUND(Proyeccion_Localidades!BJ18,0),"*****"))))</f>
        <v>424790</v>
      </c>
      <c r="Q18" s="66">
        <f>IF($AB18="TGD",ROUND($E18*(1+$AD18)^(Q$4-$E$4),0),IF($AB18="ALTH",ROUND($AE18+$AF18*Q$4,0),IF($AB18="IR",ROUND(Proyeccion_Localidades!AN18,0),IF($AB18="RT",ROUND(Proyeccion_Localidades!BK18,0),"*****"))))</f>
        <v>429701</v>
      </c>
      <c r="R18" s="66">
        <f>IF($AB18="TGD",ROUND($E18*(1+$AD18)^(R$4-$E$4),0),IF($AB18="ALTH",ROUND($AE18+$AF18*R$4,0),IF($AB18="IR",ROUND(Proyeccion_Localidades!AO18,0),IF($AB18="RT",ROUND(Proyeccion_Localidades!BL18,0),"*****"))))</f>
        <v>434669</v>
      </c>
      <c r="S18" s="66">
        <f>IF($AB18="TGD",ROUND($E18*(1+$AD18)^(S$4-$E$4),0),IF($AB18="ALTH",ROUND($AE18+$AF18*S$4,0),IF($AB18="IR",ROUND(Proyeccion_Localidades!AP18,0),IF($AB18="RT",ROUND(Proyeccion_Localidades!BM18,0),"*****"))))</f>
        <v>439694</v>
      </c>
      <c r="T18" s="66">
        <f>IF($AB18="TGD",ROUND($E18*(1+$AD18)^(T$4-$E$4),0),IF($AB18="ALTH",ROUND($AE18+$AF18*T$4,0),IF($AB18="IR",ROUND(Proyeccion_Localidades!AQ18,0),IF($AB18="RT",ROUND(Proyeccion_Localidades!BN18,0),"*****"))))</f>
        <v>444778</v>
      </c>
      <c r="U18" s="66">
        <f>IF($AB18="TGD",ROUND($E18*(1+$AD18)^(U$4-$E$4),0),IF($AB18="ALTH",ROUND($AE18+$AF18*U$4,0),IF($AB18="IR",ROUND(Proyeccion_Localidades!AR18,0),IF($AB18="RT",ROUND(Proyeccion_Localidades!BO18,0),"*****"))))</f>
        <v>449920</v>
      </c>
      <c r="V18" s="66">
        <f>IF($AB18="TGD",ROUND($E18*(1+$AD18)^(V$4-$E$4),0),IF($AB18="ALTH",ROUND($AE18+$AF18*V$4,0),IF($AB18="IR",ROUND(Proyeccion_Localidades!AS18,0),IF($AB18="RT",ROUND(Proyeccion_Localidades!BP18,0),"*****"))))</f>
        <v>455121</v>
      </c>
      <c r="W18" s="66">
        <f>IF($AB18="TGD",ROUND($E18*(1+$AD18)^(W$4-$E$4),0),IF($AB18="ALTH",ROUND($AE18+$AF18*W$4,0),IF($AB18="IR",ROUND(Proyeccion_Localidades!AT18,0),IF($AB18="RT",ROUND(Proyeccion_Localidades!BQ18,0),"*****"))))</f>
        <v>460383</v>
      </c>
      <c r="X18" s="66">
        <f>IF($AB18="TGD",ROUND($E18*(1+$AD18)^(X$4-$E$4),0),IF($AB18="ALTH",ROUND($AE18+$AF18*X$4,0),IF($AB18="IR",ROUND(Proyeccion_Localidades!AU18,0),IF($AB18="RT",ROUND(Proyeccion_Localidades!BR18,0),"*****"))))</f>
        <v>465706</v>
      </c>
      <c r="Y18" s="66">
        <f>IF($AB18="TGD",ROUND($E18*(1+$AD18)^(Y$4-$E$4),0),IF($AB18="ALTH",ROUND($AE18+$AF18*Y$4,0),IF($AB18="IR",ROUND(Proyeccion_Localidades!AV18,0),IF($AB18="RT",ROUND(Proyeccion_Localidades!BS18,0),"*****"))))</f>
        <v>471090</v>
      </c>
      <c r="Z18" s="66">
        <f>IF($AB18="TGD",ROUND($E18*(1+$AD18)^(Z$4-$E$4),0),IF($AB18="ALTH",ROUND($AE18+$AF18*Z$4,0),IF($AB18="IR",ROUND(Proyeccion_Localidades!AW18,0),IF($AB18="RT",ROUND(Proyeccion_Localidades!BT18,0),"*****"))))</f>
        <v>476536</v>
      </c>
      <c r="AA18" s="66">
        <f>IF($AB18="TGD",ROUND($E18*(1+$AD18)^(AA$4-$E$4),0),IF($AB18="ALTH",ROUND($AE18+$AF18*AA$4,0),IF($AB18="IR",ROUND(Proyeccion_Localidades!AX18,0),IF($AB18="RT",ROUND(Proyeccion_Localidades!BU18,0),"*****"))))</f>
        <v>482046</v>
      </c>
      <c r="AB18" s="67" t="str">
        <f>Proyeccion_Localidades!N18</f>
        <v>TGD</v>
      </c>
      <c r="AC18" s="68" t="s">
        <v>35</v>
      </c>
      <c r="AD18" s="51">
        <f>IF(AB18="TGD",Proyeccion_Localidades!Z18,"-")</f>
        <v>1.1561278327987479E-2</v>
      </c>
      <c r="AE18" s="51" t="str">
        <f>IF($AB18="ALTH",Proyeccion_Localidades!AA18,"-")</f>
        <v>-</v>
      </c>
      <c r="AF18" s="51" t="str">
        <f>IF($AB18="ALTH",Proyeccion_Localidades!AB18,"-")</f>
        <v>-</v>
      </c>
      <c r="AG18" s="51"/>
      <c r="AH18" s="51"/>
      <c r="AI18" s="66">
        <f t="shared" si="2"/>
        <v>374335</v>
      </c>
    </row>
    <row r="19" spans="1:35" ht="24.95" customHeight="1">
      <c r="A19" s="69" t="str">
        <f>+Proyeccion_Localidades!C19</f>
        <v>Merlo</v>
      </c>
      <c r="B19" s="70">
        <v>15</v>
      </c>
      <c r="C19" s="71" t="str">
        <f>+Proyeccion_Localidades!B19</f>
        <v>Merlo</v>
      </c>
      <c r="D19" s="261">
        <f t="shared" si="3"/>
        <v>15</v>
      </c>
      <c r="E19" s="72">
        <f>+Proyeccion_Localidades!F19</f>
        <v>528494</v>
      </c>
      <c r="F19" s="66">
        <f>IF($AB19="TGD",ROUND($E19*(1+$AD19)^(F$4-$E$4),0),IF($AB19="ALTH",ROUND($AE19+$AF19*F$4,0),IF($AB19="IR",ROUND(Proyeccion_Localidades!AC19,0),IF($AB19="RT",ROUND(Proyeccion_Localidades!AZ19,0),"*****"))))</f>
        <v>618111</v>
      </c>
      <c r="G19" s="66">
        <f>IF($AB19="TGD",ROUND($E19*(1+$AD19)^(G$4-$E$4),0),IF($AB19="ALTH",ROUND($AE19+$AF19*G$4,0),IF($AB19="IR",ROUND(Proyeccion_Localidades!AD19,0),IF($AB19="RT",ROUND(Proyeccion_Localidades!BA19,0),"*****"))))</f>
        <v>625409</v>
      </c>
      <c r="H19" s="66">
        <f>IF($AB19="TGD",ROUND($E19*(1+$AD19)^(H$4-$E$4),0),IF($AB19="ALTH",ROUND($AE19+$AF19*H$4,0),IF($AB19="IR",ROUND(Proyeccion_Localidades!AE19,0),IF($AB19="RT",ROUND(Proyeccion_Localidades!BB19,0),"*****"))))</f>
        <v>647302</v>
      </c>
      <c r="I19" s="66">
        <f>IF($AB19="TGD",ROUND($E19*(1+$AD19)^(I$4-$E$4),0),IF($AB19="ALTH",ROUND($AE19+$AF19*I$4,0),IF($AB19="IR",ROUND(Proyeccion_Localidades!AF19,0),IF($AB19="RT",ROUND(Proyeccion_Localidades!BC19,0),"*****"))))</f>
        <v>654600</v>
      </c>
      <c r="J19" s="66">
        <f>IF($AB19="TGD",ROUND($E19*(1+$AD19)^(J$4-$E$4),0),IF($AB19="ALTH",ROUND($AE19+$AF19*J$4,0),IF($AB19="IR",ROUND(Proyeccion_Localidades!AG19,0),IF($AB19="RT",ROUND(Proyeccion_Localidades!BD19,0),"*****"))))</f>
        <v>661898</v>
      </c>
      <c r="K19" s="66">
        <f>IF($AB19="TGD",ROUND($E19*(1+$AD19)^(K$4-$E$4),0),IF($AB19="ALTH",ROUND($AE19+$AF19*K$4,0),IF($AB19="IR",ROUND(Proyeccion_Localidades!AH19,0),IF($AB19="RT",ROUND(Proyeccion_Localidades!BE19,0),"*****"))))</f>
        <v>669195</v>
      </c>
      <c r="L19" s="66">
        <f>IF($AB19="TGD",ROUND($E19*(1+$AD19)^(L$4-$E$4),0),IF($AB19="ALTH",ROUND($AE19+$AF19*L$4,0),IF($AB19="IR",ROUND(Proyeccion_Localidades!AI19,0),IF($AB19="RT",ROUND(Proyeccion_Localidades!BF19,0),"*****"))))</f>
        <v>676493</v>
      </c>
      <c r="M19" s="66">
        <f>IF($AB19="TGD",ROUND($E19*(1+$AD19)^(M$4-$E$4),0),IF($AB19="ALTH",ROUND($AE19+$AF19*M$4,0),IF($AB19="IR",ROUND(Proyeccion_Localidades!AJ19,0),IF($AB19="RT",ROUND(Proyeccion_Localidades!BG19,0),"*****"))))</f>
        <v>683791</v>
      </c>
      <c r="N19" s="66">
        <f>IF($AB19="TGD",ROUND($E19*(1+$AD19)^(N$4-$E$4),0),IF($AB19="ALTH",ROUND($AE19+$AF19*N$4,0),IF($AB19="IR",ROUND(Proyeccion_Localidades!AK19,0),IF($AB19="RT",ROUND(Proyeccion_Localidades!BH19,0),"*****"))))</f>
        <v>691089</v>
      </c>
      <c r="O19" s="66">
        <f>IF($AB19="TGD",ROUND($E19*(1+$AD19)^(O$4-$E$4),0),IF($AB19="ALTH",ROUND($AE19+$AF19*O$4,0),IF($AB19="IR",ROUND(Proyeccion_Localidades!AL19,0),IF($AB19="RT",ROUND(Proyeccion_Localidades!BI19,0),"*****"))))</f>
        <v>698386</v>
      </c>
      <c r="P19" s="66">
        <f>IF($AB19="TGD",ROUND($E19*(1+$AD19)^(P$4-$E$4),0),IF($AB19="ALTH",ROUND($AE19+$AF19*P$4,0),IF($AB19="IR",ROUND(Proyeccion_Localidades!AM19,0),IF($AB19="RT",ROUND(Proyeccion_Localidades!BJ19,0),"*****"))))</f>
        <v>705684</v>
      </c>
      <c r="Q19" s="66">
        <f>IF($AB19="TGD",ROUND($E19*(1+$AD19)^(Q$4-$E$4),0),IF($AB19="ALTH",ROUND($AE19+$AF19*Q$4,0),IF($AB19="IR",ROUND(Proyeccion_Localidades!AN19,0),IF($AB19="RT",ROUND(Proyeccion_Localidades!BK19,0),"*****"))))</f>
        <v>712982</v>
      </c>
      <c r="R19" s="66">
        <f>IF($AB19="TGD",ROUND($E19*(1+$AD19)^(R$4-$E$4),0),IF($AB19="ALTH",ROUND($AE19+$AF19*R$4,0),IF($AB19="IR",ROUND(Proyeccion_Localidades!AO19,0),IF($AB19="RT",ROUND(Proyeccion_Localidades!BL19,0),"*****"))))</f>
        <v>720279</v>
      </c>
      <c r="S19" s="66">
        <f>IF($AB19="TGD",ROUND($E19*(1+$AD19)^(S$4-$E$4),0),IF($AB19="ALTH",ROUND($AE19+$AF19*S$4,0),IF($AB19="IR",ROUND(Proyeccion_Localidades!AP19,0),IF($AB19="RT",ROUND(Proyeccion_Localidades!BM19,0),"*****"))))</f>
        <v>727577</v>
      </c>
      <c r="T19" s="66">
        <f>IF($AB19="TGD",ROUND($E19*(1+$AD19)^(T$4-$E$4),0),IF($AB19="ALTH",ROUND($AE19+$AF19*T$4,0),IF($AB19="IR",ROUND(Proyeccion_Localidades!AQ19,0),IF($AB19="RT",ROUND(Proyeccion_Localidades!BN19,0),"*****"))))</f>
        <v>734875</v>
      </c>
      <c r="U19" s="66">
        <f>IF($AB19="TGD",ROUND($E19*(1+$AD19)^(U$4-$E$4),0),IF($AB19="ALTH",ROUND($AE19+$AF19*U$4,0),IF($AB19="IR",ROUND(Proyeccion_Localidades!AR19,0),IF($AB19="RT",ROUND(Proyeccion_Localidades!BO19,0),"*****"))))</f>
        <v>742173</v>
      </c>
      <c r="V19" s="66">
        <f>IF($AB19="TGD",ROUND($E19*(1+$AD19)^(V$4-$E$4),0),IF($AB19="ALTH",ROUND($AE19+$AF19*V$4,0),IF($AB19="IR",ROUND(Proyeccion_Localidades!AS19,0),IF($AB19="RT",ROUND(Proyeccion_Localidades!BP19,0),"*****"))))</f>
        <v>749470</v>
      </c>
      <c r="W19" s="66">
        <f>IF($AB19="TGD",ROUND($E19*(1+$AD19)^(W$4-$E$4),0),IF($AB19="ALTH",ROUND($AE19+$AF19*W$4,0),IF($AB19="IR",ROUND(Proyeccion_Localidades!AT19,0),IF($AB19="RT",ROUND(Proyeccion_Localidades!BQ19,0),"*****"))))</f>
        <v>756768</v>
      </c>
      <c r="X19" s="66">
        <f>IF($AB19="TGD",ROUND($E19*(1+$AD19)^(X$4-$E$4),0),IF($AB19="ALTH",ROUND($AE19+$AF19*X$4,0),IF($AB19="IR",ROUND(Proyeccion_Localidades!AU19,0),IF($AB19="RT",ROUND(Proyeccion_Localidades!BR19,0),"*****"))))</f>
        <v>764066</v>
      </c>
      <c r="Y19" s="66">
        <f>IF($AB19="TGD",ROUND($E19*(1+$AD19)^(Y$4-$E$4),0),IF($AB19="ALTH",ROUND($AE19+$AF19*Y$4,0),IF($AB19="IR",ROUND(Proyeccion_Localidades!AV19,0),IF($AB19="RT",ROUND(Proyeccion_Localidades!BS19,0),"*****"))))</f>
        <v>771363</v>
      </c>
      <c r="Z19" s="66">
        <f>IF($AB19="TGD",ROUND($E19*(1+$AD19)^(Z$4-$E$4),0),IF($AB19="ALTH",ROUND($AE19+$AF19*Z$4,0),IF($AB19="IR",ROUND(Proyeccion_Localidades!AW19,0),IF($AB19="RT",ROUND(Proyeccion_Localidades!BT19,0),"*****"))))</f>
        <v>778661</v>
      </c>
      <c r="AA19" s="66">
        <f>IF($AB19="TGD",ROUND($E19*(1+$AD19)^(AA$4-$E$4),0),IF($AB19="ALTH",ROUND($AE19+$AF19*AA$4,0),IF($AB19="IR",ROUND(Proyeccion_Localidades!AX19,0),IF($AB19="RT",ROUND(Proyeccion_Localidades!BU19,0),"*****"))))</f>
        <v>785959</v>
      </c>
      <c r="AB19" s="67" t="str">
        <f>Proyeccion_Localidades!N19</f>
        <v>ALTH</v>
      </c>
      <c r="AC19" s="68" t="s">
        <v>36</v>
      </c>
      <c r="AD19" s="51" t="str">
        <f>IF(AB19="TGD",Proyeccion_Localidades!Z19,"-")</f>
        <v>-</v>
      </c>
      <c r="AE19" s="51">
        <f>IF($AB19="ALTH",Proyeccion_Localidades!AA19,"-")</f>
        <v>-14137858.804428047</v>
      </c>
      <c r="AF19" s="51">
        <f>IF($AB19="ALTH",Proyeccion_Localidades!AB19,"-")</f>
        <v>7297.7103321033219</v>
      </c>
      <c r="AG19" s="51"/>
      <c r="AH19" s="51"/>
      <c r="AI19" s="66">
        <f t="shared" si="2"/>
        <v>625409</v>
      </c>
    </row>
    <row r="20" spans="1:35" ht="24.95" customHeight="1">
      <c r="A20" s="69" t="str">
        <f>+Proyeccion_Localidades!C20</f>
        <v>Moreno</v>
      </c>
      <c r="B20" s="70">
        <v>16</v>
      </c>
      <c r="C20" s="71" t="str">
        <f>+Proyeccion_Localidades!B20</f>
        <v>Moreno</v>
      </c>
      <c r="D20" s="261">
        <f t="shared" si="3"/>
        <v>16</v>
      </c>
      <c r="E20" s="72">
        <f>+Proyeccion_Localidades!F20</f>
        <v>452505</v>
      </c>
      <c r="F20" s="66">
        <f>IF($AB20="TGD",ROUND($E20*(1+$AD20)^(F$4-$E$4),0),IF($AB20="ALTH",ROUND($AE20+$AF20*F$4,0),IF($AB20="IR",ROUND(Proyeccion_Localidades!AC20,0),IF($AB20="RT",ROUND(Proyeccion_Localidades!AZ20,0),"*****"))))</f>
        <v>572547</v>
      </c>
      <c r="G20" s="66">
        <f>IF($AB20="TGD",ROUND($E20*(1+$AD20)^(G$4-$E$4),0),IF($AB20="ALTH",ROUND($AE20+$AF20*G$4,0),IF($AB20="IR",ROUND(Proyeccion_Localidades!AD20,0),IF($AB20="RT",ROUND(Proyeccion_Localidades!BA20,0),"*****"))))</f>
        <v>583884</v>
      </c>
      <c r="H20" s="66">
        <f>IF($AB20="TGD",ROUND($E20*(1+$AD20)^(H$4-$E$4),0),IF($AB20="ALTH",ROUND($AE20+$AF20*H$4,0),IF($AB20="IR",ROUND(Proyeccion_Localidades!AE20,0),IF($AB20="RT",ROUND(Proyeccion_Localidades!BB20,0),"*****"))))</f>
        <v>619260</v>
      </c>
      <c r="I20" s="66">
        <f>IF($AB20="TGD",ROUND($E20*(1+$AD20)^(I$4-$E$4),0),IF($AB20="ALTH",ROUND($AE20+$AF20*I$4,0),IF($AB20="IR",ROUND(Proyeccion_Localidades!AF20,0),IF($AB20="RT",ROUND(Proyeccion_Localidades!BC20,0),"*****"))))</f>
        <v>631523</v>
      </c>
      <c r="J20" s="66">
        <f>IF($AB20="TGD",ROUND($E20*(1+$AD20)^(J$4-$E$4),0),IF($AB20="ALTH",ROUND($AE20+$AF20*J$4,0),IF($AB20="IR",ROUND(Proyeccion_Localidades!AG20,0),IF($AB20="RT",ROUND(Proyeccion_Localidades!BD20,0),"*****"))))</f>
        <v>644028</v>
      </c>
      <c r="K20" s="66">
        <f>IF($AB20="TGD",ROUND($E20*(1+$AD20)^(K$4-$E$4),0),IF($AB20="ALTH",ROUND($AE20+$AF20*K$4,0),IF($AB20="IR",ROUND(Proyeccion_Localidades!AH20,0),IF($AB20="RT",ROUND(Proyeccion_Localidades!BE20,0),"*****"))))</f>
        <v>656780</v>
      </c>
      <c r="L20" s="66">
        <f>IF($AB20="TGD",ROUND($E20*(1+$AD20)^(L$4-$E$4),0),IF($AB20="ALTH",ROUND($AE20+$AF20*L$4,0),IF($AB20="IR",ROUND(Proyeccion_Localidades!AI20,0),IF($AB20="RT",ROUND(Proyeccion_Localidades!BF20,0),"*****"))))</f>
        <v>669785</v>
      </c>
      <c r="M20" s="66">
        <f>IF($AB20="TGD",ROUND($E20*(1+$AD20)^(M$4-$E$4),0),IF($AB20="ALTH",ROUND($AE20+$AF20*M$4,0),IF($AB20="IR",ROUND(Proyeccion_Localidades!AJ20,0),IF($AB20="RT",ROUND(Proyeccion_Localidades!BG20,0),"*****"))))</f>
        <v>683048</v>
      </c>
      <c r="N20" s="66">
        <f>IF($AB20="TGD",ROUND($E20*(1+$AD20)^(N$4-$E$4),0),IF($AB20="ALTH",ROUND($AE20+$AF20*N$4,0),IF($AB20="IR",ROUND(Proyeccion_Localidades!AK20,0),IF($AB20="RT",ROUND(Proyeccion_Localidades!BH20,0),"*****"))))</f>
        <v>696573</v>
      </c>
      <c r="O20" s="66">
        <f>IF($AB20="TGD",ROUND($E20*(1+$AD20)^(O$4-$E$4),0),IF($AB20="ALTH",ROUND($AE20+$AF20*O$4,0),IF($AB20="IR",ROUND(Proyeccion_Localidades!AL20,0),IF($AB20="RT",ROUND(Proyeccion_Localidades!BI20,0),"*****"))))</f>
        <v>710367</v>
      </c>
      <c r="P20" s="66">
        <f>IF($AB20="TGD",ROUND($E20*(1+$AD20)^(P$4-$E$4),0),IF($AB20="ALTH",ROUND($AE20+$AF20*P$4,0),IF($AB20="IR",ROUND(Proyeccion_Localidades!AM20,0),IF($AB20="RT",ROUND(Proyeccion_Localidades!BJ20,0),"*****"))))</f>
        <v>724433</v>
      </c>
      <c r="Q20" s="66">
        <f>IF($AB20="TGD",ROUND($E20*(1+$AD20)^(Q$4-$E$4),0),IF($AB20="ALTH",ROUND($AE20+$AF20*Q$4,0),IF($AB20="IR",ROUND(Proyeccion_Localidades!AN20,0),IF($AB20="RT",ROUND(Proyeccion_Localidades!BK20,0),"*****"))))</f>
        <v>738778</v>
      </c>
      <c r="R20" s="66">
        <f>IF($AB20="TGD",ROUND($E20*(1+$AD20)^(R$4-$E$4),0),IF($AB20="ALTH",ROUND($AE20+$AF20*R$4,0),IF($AB20="IR",ROUND(Proyeccion_Localidades!AO20,0),IF($AB20="RT",ROUND(Proyeccion_Localidades!BL20,0),"*****"))))</f>
        <v>753407</v>
      </c>
      <c r="S20" s="66">
        <f>IF($AB20="TGD",ROUND($E20*(1+$AD20)^(S$4-$E$4),0),IF($AB20="ALTH",ROUND($AE20+$AF20*S$4,0),IF($AB20="IR",ROUND(Proyeccion_Localidades!AP20,0),IF($AB20="RT",ROUND(Proyeccion_Localidades!BM20,0),"*****"))))</f>
        <v>768325</v>
      </c>
      <c r="T20" s="66">
        <f>IF($AB20="TGD",ROUND($E20*(1+$AD20)^(T$4-$E$4),0),IF($AB20="ALTH",ROUND($AE20+$AF20*T$4,0),IF($AB20="IR",ROUND(Proyeccion_Localidades!AQ20,0),IF($AB20="RT",ROUND(Proyeccion_Localidades!BN20,0),"*****"))))</f>
        <v>783539</v>
      </c>
      <c r="U20" s="66">
        <f>IF($AB20="TGD",ROUND($E20*(1+$AD20)^(U$4-$E$4),0),IF($AB20="ALTH",ROUND($AE20+$AF20*U$4,0),IF($AB20="IR",ROUND(Proyeccion_Localidades!AR20,0),IF($AB20="RT",ROUND(Proyeccion_Localidades!BO20,0),"*****"))))</f>
        <v>799054</v>
      </c>
      <c r="V20" s="66">
        <f>IF($AB20="TGD",ROUND($E20*(1+$AD20)^(V$4-$E$4),0),IF($AB20="ALTH",ROUND($AE20+$AF20*V$4,0),IF($AB20="IR",ROUND(Proyeccion_Localidades!AS20,0),IF($AB20="RT",ROUND(Proyeccion_Localidades!BP20,0),"*****"))))</f>
        <v>814877</v>
      </c>
      <c r="W20" s="66">
        <f>IF($AB20="TGD",ROUND($E20*(1+$AD20)^(W$4-$E$4),0),IF($AB20="ALTH",ROUND($AE20+$AF20*W$4,0),IF($AB20="IR",ROUND(Proyeccion_Localidades!AT20,0),IF($AB20="RT",ROUND(Proyeccion_Localidades!BQ20,0),"*****"))))</f>
        <v>831012</v>
      </c>
      <c r="X20" s="66">
        <f>IF($AB20="TGD",ROUND($E20*(1+$AD20)^(X$4-$E$4),0),IF($AB20="ALTH",ROUND($AE20+$AF20*X$4,0),IF($AB20="IR",ROUND(Proyeccion_Localidades!AU20,0),IF($AB20="RT",ROUND(Proyeccion_Localidades!BR20,0),"*****"))))</f>
        <v>847468</v>
      </c>
      <c r="Y20" s="66">
        <f>IF($AB20="TGD",ROUND($E20*(1+$AD20)^(Y$4-$E$4),0),IF($AB20="ALTH",ROUND($AE20+$AF20*Y$4,0),IF($AB20="IR",ROUND(Proyeccion_Localidades!AV20,0),IF($AB20="RT",ROUND(Proyeccion_Localidades!BS20,0),"*****"))))</f>
        <v>864249</v>
      </c>
      <c r="Z20" s="66">
        <f>IF($AB20="TGD",ROUND($E20*(1+$AD20)^(Z$4-$E$4),0),IF($AB20="ALTH",ROUND($AE20+$AF20*Z$4,0),IF($AB20="IR",ROUND(Proyeccion_Localidades!AW20,0),IF($AB20="RT",ROUND(Proyeccion_Localidades!BT20,0),"*****"))))</f>
        <v>881362</v>
      </c>
      <c r="AA20" s="66">
        <f>IF($AB20="TGD",ROUND($E20*(1+$AD20)^(AA$4-$E$4),0),IF($AB20="ALTH",ROUND($AE20+$AF20*AA$4,0),IF($AB20="IR",ROUND(Proyeccion_Localidades!AX20,0),IF($AB20="RT",ROUND(Proyeccion_Localidades!BU20,0),"*****"))))</f>
        <v>898814</v>
      </c>
      <c r="AB20" s="67" t="str">
        <f>Proyeccion_Localidades!N20</f>
        <v>TGD</v>
      </c>
      <c r="AC20" s="68" t="s">
        <v>35</v>
      </c>
      <c r="AD20" s="51">
        <f>IF(AB20="TGD",Proyeccion_Localidades!Z20,"-")</f>
        <v>1.9801427421582529E-2</v>
      </c>
      <c r="AE20" s="51" t="str">
        <f>IF($AB20="ALTH",Proyeccion_Localidades!AA20,"-")</f>
        <v>-</v>
      </c>
      <c r="AF20" s="51" t="str">
        <f>IF($AB20="ALTH",Proyeccion_Localidades!AB20,"-")</f>
        <v>-</v>
      </c>
      <c r="AG20" s="51"/>
      <c r="AH20" s="51"/>
      <c r="AI20" s="66">
        <f t="shared" si="2"/>
        <v>583884</v>
      </c>
    </row>
    <row r="21" spans="1:35" ht="24.95" customHeight="1">
      <c r="A21" s="69" t="str">
        <f>+Proyeccion_Localidades!C21</f>
        <v>Morón</v>
      </c>
      <c r="B21" s="70">
        <v>17</v>
      </c>
      <c r="C21" s="71" t="str">
        <f>+Proyeccion_Localidades!B21</f>
        <v>Morón</v>
      </c>
      <c r="D21" s="261">
        <f t="shared" si="3"/>
        <v>17</v>
      </c>
      <c r="E21" s="72">
        <f>+Proyeccion_Localidades!F21</f>
        <v>321109</v>
      </c>
      <c r="F21" s="66">
        <f>IF($AB21="TGD",ROUND($E21*(1+$AD21)^(F$4-$E$4),0),IF($AB21="ALTH",ROUND($AE21+$AF21*F$4,0),IF($AB21="IR",ROUND(Proyeccion_Localidades!AC21,0),IF($AB21="RT",ROUND(Proyeccion_Localidades!AZ21,0),"*****"))))</f>
        <v>347253</v>
      </c>
      <c r="G21" s="66">
        <f>IF($AB21="TGD",ROUND($E21*(1+$AD21)^(G$4-$E$4),0),IF($AB21="ALTH",ROUND($AE21+$AF21*G$4,0),IF($AB21="IR",ROUND(Proyeccion_Localidades!AD21,0),IF($AB21="RT",ROUND(Proyeccion_Localidades!BA21,0),"*****"))))</f>
        <v>349670</v>
      </c>
      <c r="H21" s="66">
        <f>IF($AB21="TGD",ROUND($E21*(1+$AD21)^(H$4-$E$4),0),IF($AB21="ALTH",ROUND($AE21+$AF21*H$4,0),IF($AB21="IR",ROUND(Proyeccion_Localidades!AE21,0),IF($AB21="RT",ROUND(Proyeccion_Localidades!BB21,0),"*****"))))</f>
        <v>357159</v>
      </c>
      <c r="I21" s="66">
        <f>IF($AB21="TGD",ROUND($E21*(1+$AD21)^(I$4-$E$4),0),IF($AB21="ALTH",ROUND($AE21+$AF21*I$4,0),IF($AB21="IR",ROUND(Proyeccion_Localidades!AF21,0),IF($AB21="RT",ROUND(Proyeccion_Localidades!BC21,0),"*****"))))</f>
        <v>359737</v>
      </c>
      <c r="J21" s="66">
        <f>IF($AB21="TGD",ROUND($E21*(1+$AD21)^(J$4-$E$4),0),IF($AB21="ALTH",ROUND($AE21+$AF21*J$4,0),IF($AB21="IR",ROUND(Proyeccion_Localidades!AG21,0),IF($AB21="RT",ROUND(Proyeccion_Localidades!BD21,0),"*****"))))</f>
        <v>362357</v>
      </c>
      <c r="K21" s="66">
        <f>IF($AB21="TGD",ROUND($E21*(1+$AD21)^(K$4-$E$4),0),IF($AB21="ALTH",ROUND($AE21+$AF21*K$4,0),IF($AB21="IR",ROUND(Proyeccion_Localidades!AH21,0),IF($AB21="RT",ROUND(Proyeccion_Localidades!BE21,0),"*****"))))</f>
        <v>365020</v>
      </c>
      <c r="L21" s="66">
        <f>IF($AB21="TGD",ROUND($E21*(1+$AD21)^(L$4-$E$4),0),IF($AB21="ALTH",ROUND($AE21+$AF21*L$4,0),IF($AB21="IR",ROUND(Proyeccion_Localidades!AI21,0),IF($AB21="RT",ROUND(Proyeccion_Localidades!BF21,0),"*****"))))</f>
        <v>367726</v>
      </c>
      <c r="M21" s="66">
        <f>IF($AB21="TGD",ROUND($E21*(1+$AD21)^(M$4-$E$4),0),IF($AB21="ALTH",ROUND($AE21+$AF21*M$4,0),IF($AB21="IR",ROUND(Proyeccion_Localidades!AJ21,0),IF($AB21="RT",ROUND(Proyeccion_Localidades!BG21,0),"*****"))))</f>
        <v>370477</v>
      </c>
      <c r="N21" s="66">
        <f>IF($AB21="TGD",ROUND($E21*(1+$AD21)^(N$4-$E$4),0),IF($AB21="ALTH",ROUND($AE21+$AF21*N$4,0),IF($AB21="IR",ROUND(Proyeccion_Localidades!AK21,0),IF($AB21="RT",ROUND(Proyeccion_Localidades!BH21,0),"*****"))))</f>
        <v>373272</v>
      </c>
      <c r="O21" s="66">
        <f>IF($AB21="TGD",ROUND($E21*(1+$AD21)^(O$4-$E$4),0),IF($AB21="ALTH",ROUND($AE21+$AF21*O$4,0),IF($AB21="IR",ROUND(Proyeccion_Localidades!AL21,0),IF($AB21="RT",ROUND(Proyeccion_Localidades!BI21,0),"*****"))))</f>
        <v>376113</v>
      </c>
      <c r="P21" s="66">
        <f>IF($AB21="TGD",ROUND($E21*(1+$AD21)^(P$4-$E$4),0),IF($AB21="ALTH",ROUND($AE21+$AF21*P$4,0),IF($AB21="IR",ROUND(Proyeccion_Localidades!AM21,0),IF($AB21="RT",ROUND(Proyeccion_Localidades!BJ21,0),"*****"))))</f>
        <v>379001</v>
      </c>
      <c r="Q21" s="66">
        <f>IF($AB21="TGD",ROUND($E21*(1+$AD21)^(Q$4-$E$4),0),IF($AB21="ALTH",ROUND($AE21+$AF21*Q$4,0),IF($AB21="IR",ROUND(Proyeccion_Localidades!AN21,0),IF($AB21="RT",ROUND(Proyeccion_Localidades!BK21,0),"*****"))))</f>
        <v>381935</v>
      </c>
      <c r="R21" s="66">
        <f>IF($AB21="TGD",ROUND($E21*(1+$AD21)^(R$4-$E$4),0),IF($AB21="ALTH",ROUND($AE21+$AF21*R$4,0),IF($AB21="IR",ROUND(Proyeccion_Localidades!AO21,0),IF($AB21="RT",ROUND(Proyeccion_Localidades!BL21,0),"*****"))))</f>
        <v>384917</v>
      </c>
      <c r="S21" s="66">
        <f>IF($AB21="TGD",ROUND($E21*(1+$AD21)^(S$4-$E$4),0),IF($AB21="ALTH",ROUND($AE21+$AF21*S$4,0),IF($AB21="IR",ROUND(Proyeccion_Localidades!AP21,0),IF($AB21="RT",ROUND(Proyeccion_Localidades!BM21,0),"*****"))))</f>
        <v>387948</v>
      </c>
      <c r="T21" s="66">
        <f>IF($AB21="TGD",ROUND($E21*(1+$AD21)^(T$4-$E$4),0),IF($AB21="ALTH",ROUND($AE21+$AF21*T$4,0),IF($AB21="IR",ROUND(Proyeccion_Localidades!AQ21,0),IF($AB21="RT",ROUND(Proyeccion_Localidades!BN21,0),"*****"))))</f>
        <v>391029</v>
      </c>
      <c r="U21" s="66">
        <f>IF($AB21="TGD",ROUND($E21*(1+$AD21)^(U$4-$E$4),0),IF($AB21="ALTH",ROUND($AE21+$AF21*U$4,0),IF($AB21="IR",ROUND(Proyeccion_Localidades!AR21,0),IF($AB21="RT",ROUND(Proyeccion_Localidades!BO21,0),"*****"))))</f>
        <v>394159</v>
      </c>
      <c r="V21" s="66">
        <f>IF($AB21="TGD",ROUND($E21*(1+$AD21)^(V$4-$E$4),0),IF($AB21="ALTH",ROUND($AE21+$AF21*V$4,0),IF($AB21="IR",ROUND(Proyeccion_Localidades!AS21,0),IF($AB21="RT",ROUND(Proyeccion_Localidades!BP21,0),"*****"))))</f>
        <v>397341</v>
      </c>
      <c r="W21" s="66">
        <f>IF($AB21="TGD",ROUND($E21*(1+$AD21)^(W$4-$E$4),0),IF($AB21="ALTH",ROUND($AE21+$AF21*W$4,0),IF($AB21="IR",ROUND(Proyeccion_Localidades!AT21,0),IF($AB21="RT",ROUND(Proyeccion_Localidades!BQ21,0),"*****"))))</f>
        <v>400575</v>
      </c>
      <c r="X21" s="66">
        <f>IF($AB21="TGD",ROUND($E21*(1+$AD21)^(X$4-$E$4),0),IF($AB21="ALTH",ROUND($AE21+$AF21*X$4,0),IF($AB21="IR",ROUND(Proyeccion_Localidades!AU21,0),IF($AB21="RT",ROUND(Proyeccion_Localidades!BR21,0),"*****"))))</f>
        <v>403861</v>
      </c>
      <c r="Y21" s="66">
        <f>IF($AB21="TGD",ROUND($E21*(1+$AD21)^(Y$4-$E$4),0),IF($AB21="ALTH",ROUND($AE21+$AF21*Y$4,0),IF($AB21="IR",ROUND(Proyeccion_Localidades!AV21,0),IF($AB21="RT",ROUND(Proyeccion_Localidades!BS21,0),"*****"))))</f>
        <v>407201</v>
      </c>
      <c r="Z21" s="66">
        <f>IF($AB21="TGD",ROUND($E21*(1+$AD21)^(Z$4-$E$4),0),IF($AB21="ALTH",ROUND($AE21+$AF21*Z$4,0),IF($AB21="IR",ROUND(Proyeccion_Localidades!AW21,0),IF($AB21="RT",ROUND(Proyeccion_Localidades!BT21,0),"*****"))))</f>
        <v>410595</v>
      </c>
      <c r="AA21" s="66">
        <f>IF($AB21="TGD",ROUND($E21*(1+$AD21)^(AA$4-$E$4),0),IF($AB21="ALTH",ROUND($AE21+$AF21*AA$4,0),IF($AB21="IR",ROUND(Proyeccion_Localidades!AX21,0),IF($AB21="RT",ROUND(Proyeccion_Localidades!BU21,0),"*****"))))</f>
        <v>414045</v>
      </c>
      <c r="AB21" s="67" t="str">
        <f>Proyeccion_Localidades!N21</f>
        <v>IR</v>
      </c>
      <c r="AC21" s="68"/>
      <c r="AD21" s="51" t="str">
        <f>IF(AB21="TGD",Proyeccion_Localidades!Z21,"-")</f>
        <v>-</v>
      </c>
      <c r="AE21" s="51" t="str">
        <f>IF($AB21="ALTH",Proyeccion_Localidades!AA21,"-")</f>
        <v>-</v>
      </c>
      <c r="AF21" s="51" t="str">
        <f>IF($AB21="ALTH",Proyeccion_Localidades!AB21,"-")</f>
        <v>-</v>
      </c>
      <c r="AG21" s="51"/>
      <c r="AH21" s="51"/>
      <c r="AI21" s="66">
        <f t="shared" si="2"/>
        <v>349670</v>
      </c>
    </row>
    <row r="22" spans="1:35" ht="24.95" customHeight="1">
      <c r="A22" s="69" t="str">
        <f>+Proyeccion_Localidades!C22</f>
        <v>Quilmes</v>
      </c>
      <c r="B22" s="70">
        <v>18</v>
      </c>
      <c r="C22" s="71" t="str">
        <f>+Proyeccion_Localidades!B22</f>
        <v>Quilmes</v>
      </c>
      <c r="D22" s="261">
        <f t="shared" si="3"/>
        <v>18</v>
      </c>
      <c r="E22" s="72">
        <f>+Proyeccion_Localidades!F22</f>
        <v>582943</v>
      </c>
      <c r="F22" s="66">
        <f>IF($AB22="TGD",ROUND($E22*(1+$AD22)^(F$4-$E$4),0),IF($AB22="ALTH",ROUND($AE22+$AF22*F$4,0),IF($AB22="IR",ROUND(Proyeccion_Localidades!AC22,0),IF($AB22="RT",ROUND(Proyeccion_Localidades!AZ22,0),"*****"))))</f>
        <v>635758</v>
      </c>
      <c r="G22" s="66">
        <f>IF($AB22="TGD",ROUND($E22*(1+$AD22)^(G$4-$E$4),0),IF($AB22="ALTH",ROUND($AE22+$AF22*G$4,0),IF($AB22="IR",ROUND(Proyeccion_Localidades!AD22,0),IF($AB22="RT",ROUND(Proyeccion_Localidades!BA22,0),"*****"))))</f>
        <v>640369</v>
      </c>
      <c r="H22" s="66">
        <f>IF($AB22="TGD",ROUND($E22*(1+$AD22)^(H$4-$E$4),0),IF($AB22="ALTH",ROUND($AE22+$AF22*H$4,0),IF($AB22="IR",ROUND(Proyeccion_Localidades!AE22,0),IF($AB22="RT",ROUND(Proyeccion_Localidades!BB22,0),"*****"))))</f>
        <v>654405</v>
      </c>
      <c r="I22" s="66">
        <f>IF($AB22="TGD",ROUND($E22*(1+$AD22)^(I$4-$E$4),0),IF($AB22="ALTH",ROUND($AE22+$AF22*I$4,0),IF($AB22="IR",ROUND(Proyeccion_Localidades!AF22,0),IF($AB22="RT",ROUND(Proyeccion_Localidades!BC22,0),"*****"))))</f>
        <v>659152</v>
      </c>
      <c r="J22" s="66">
        <f>IF($AB22="TGD",ROUND($E22*(1+$AD22)^(J$4-$E$4),0),IF($AB22="ALTH",ROUND($AE22+$AF22*J$4,0),IF($AB22="IR",ROUND(Proyeccion_Localidades!AG22,0),IF($AB22="RT",ROUND(Proyeccion_Localidades!BD22,0),"*****"))))</f>
        <v>663933</v>
      </c>
      <c r="K22" s="66">
        <f>IF($AB22="TGD",ROUND($E22*(1+$AD22)^(K$4-$E$4),0),IF($AB22="ALTH",ROUND($AE22+$AF22*K$4,0),IF($AB22="IR",ROUND(Proyeccion_Localidades!AH22,0),IF($AB22="RT",ROUND(Proyeccion_Localidades!BE22,0),"*****"))))</f>
        <v>668749</v>
      </c>
      <c r="L22" s="66">
        <f>IF($AB22="TGD",ROUND($E22*(1+$AD22)^(L$4-$E$4),0),IF($AB22="ALTH",ROUND($AE22+$AF22*L$4,0),IF($AB22="IR",ROUND(Proyeccion_Localidades!AI22,0),IF($AB22="RT",ROUND(Proyeccion_Localidades!BF22,0),"*****"))))</f>
        <v>673600</v>
      </c>
      <c r="M22" s="66">
        <f>IF($AB22="TGD",ROUND($E22*(1+$AD22)^(M$4-$E$4),0),IF($AB22="ALTH",ROUND($AE22+$AF22*M$4,0),IF($AB22="IR",ROUND(Proyeccion_Localidades!AJ22,0),IF($AB22="RT",ROUND(Proyeccion_Localidades!BG22,0),"*****"))))</f>
        <v>678486</v>
      </c>
      <c r="N22" s="66">
        <f>IF($AB22="TGD",ROUND($E22*(1+$AD22)^(N$4-$E$4),0),IF($AB22="ALTH",ROUND($AE22+$AF22*N$4,0),IF($AB22="IR",ROUND(Proyeccion_Localidades!AK22,0),IF($AB22="RT",ROUND(Proyeccion_Localidades!BH22,0),"*****"))))</f>
        <v>683407</v>
      </c>
      <c r="O22" s="66">
        <f>IF($AB22="TGD",ROUND($E22*(1+$AD22)^(O$4-$E$4),0),IF($AB22="ALTH",ROUND($AE22+$AF22*O$4,0),IF($AB22="IR",ROUND(Proyeccion_Localidades!AL22,0),IF($AB22="RT",ROUND(Proyeccion_Localidades!BI22,0),"*****"))))</f>
        <v>688364</v>
      </c>
      <c r="P22" s="66">
        <f>IF($AB22="TGD",ROUND($E22*(1+$AD22)^(P$4-$E$4),0),IF($AB22="ALTH",ROUND($AE22+$AF22*P$4,0),IF($AB22="IR",ROUND(Proyeccion_Localidades!AM22,0),IF($AB22="RT",ROUND(Proyeccion_Localidades!BJ22,0),"*****"))))</f>
        <v>693357</v>
      </c>
      <c r="Q22" s="66">
        <f>IF($AB22="TGD",ROUND($E22*(1+$AD22)^(Q$4-$E$4),0),IF($AB22="ALTH",ROUND($AE22+$AF22*Q$4,0),IF($AB22="IR",ROUND(Proyeccion_Localidades!AN22,0),IF($AB22="RT",ROUND(Proyeccion_Localidades!BK22,0),"*****"))))</f>
        <v>698387</v>
      </c>
      <c r="R22" s="66">
        <f>IF($AB22="TGD",ROUND($E22*(1+$AD22)^(R$4-$E$4),0),IF($AB22="ALTH",ROUND($AE22+$AF22*R$4,0),IF($AB22="IR",ROUND(Proyeccion_Localidades!AO22,0),IF($AB22="RT",ROUND(Proyeccion_Localidades!BL22,0),"*****"))))</f>
        <v>703452</v>
      </c>
      <c r="S22" s="66">
        <f>IF($AB22="TGD",ROUND($E22*(1+$AD22)^(S$4-$E$4),0),IF($AB22="ALTH",ROUND($AE22+$AF22*S$4,0),IF($AB22="IR",ROUND(Proyeccion_Localidades!AP22,0),IF($AB22="RT",ROUND(Proyeccion_Localidades!BM22,0),"*****"))))</f>
        <v>708555</v>
      </c>
      <c r="T22" s="66">
        <f>IF($AB22="TGD",ROUND($E22*(1+$AD22)^(T$4-$E$4),0),IF($AB22="ALTH",ROUND($AE22+$AF22*T$4,0),IF($AB22="IR",ROUND(Proyeccion_Localidades!AQ22,0),IF($AB22="RT",ROUND(Proyeccion_Localidades!BN22,0),"*****"))))</f>
        <v>713694</v>
      </c>
      <c r="U22" s="66">
        <f>IF($AB22="TGD",ROUND($E22*(1+$AD22)^(U$4-$E$4),0),IF($AB22="ALTH",ROUND($AE22+$AF22*U$4,0),IF($AB22="IR",ROUND(Proyeccion_Localidades!AR22,0),IF($AB22="RT",ROUND(Proyeccion_Localidades!BO22,0),"*****"))))</f>
        <v>718871</v>
      </c>
      <c r="V22" s="66">
        <f>IF($AB22="TGD",ROUND($E22*(1+$AD22)^(V$4-$E$4),0),IF($AB22="ALTH",ROUND($AE22+$AF22*V$4,0),IF($AB22="IR",ROUND(Proyeccion_Localidades!AS22,0),IF($AB22="RT",ROUND(Proyeccion_Localidades!BP22,0),"*****"))))</f>
        <v>724086</v>
      </c>
      <c r="W22" s="66">
        <f>IF($AB22="TGD",ROUND($E22*(1+$AD22)^(W$4-$E$4),0),IF($AB22="ALTH",ROUND($AE22+$AF22*W$4,0),IF($AB22="IR",ROUND(Proyeccion_Localidades!AT22,0),IF($AB22="RT",ROUND(Proyeccion_Localidades!BQ22,0),"*****"))))</f>
        <v>729338</v>
      </c>
      <c r="X22" s="66">
        <f>IF($AB22="TGD",ROUND($E22*(1+$AD22)^(X$4-$E$4),0),IF($AB22="ALTH",ROUND($AE22+$AF22*X$4,0),IF($AB22="IR",ROUND(Proyeccion_Localidades!AU22,0),IF($AB22="RT",ROUND(Proyeccion_Localidades!BR22,0),"*****"))))</f>
        <v>734628</v>
      </c>
      <c r="Y22" s="66">
        <f>IF($AB22="TGD",ROUND($E22*(1+$AD22)^(Y$4-$E$4),0),IF($AB22="ALTH",ROUND($AE22+$AF22*Y$4,0),IF($AB22="IR",ROUND(Proyeccion_Localidades!AV22,0),IF($AB22="RT",ROUND(Proyeccion_Localidades!BS22,0),"*****"))))</f>
        <v>739957</v>
      </c>
      <c r="Z22" s="66">
        <f>IF($AB22="TGD",ROUND($E22*(1+$AD22)^(Z$4-$E$4),0),IF($AB22="ALTH",ROUND($AE22+$AF22*Z$4,0),IF($AB22="IR",ROUND(Proyeccion_Localidades!AW22,0),IF($AB22="RT",ROUND(Proyeccion_Localidades!BT22,0),"*****"))))</f>
        <v>745324</v>
      </c>
      <c r="AA22" s="66">
        <f>IF($AB22="TGD",ROUND($E22*(1+$AD22)^(AA$4-$E$4),0),IF($AB22="ALTH",ROUND($AE22+$AF22*AA$4,0),IF($AB22="IR",ROUND(Proyeccion_Localidades!AX22,0),IF($AB22="RT",ROUND(Proyeccion_Localidades!BU22,0),"*****"))))</f>
        <v>750730</v>
      </c>
      <c r="AB22" s="67" t="str">
        <f>Proyeccion_Localidades!N22</f>
        <v>TGD</v>
      </c>
      <c r="AC22" s="68" t="s">
        <v>35</v>
      </c>
      <c r="AD22" s="51">
        <f>IF(AB22="TGD",Proyeccion_Localidades!Z22,"-")</f>
        <v>7.2535222173454317E-3</v>
      </c>
      <c r="AE22" s="51" t="str">
        <f>IF($AB22="ALTH",Proyeccion_Localidades!AA22,"-")</f>
        <v>-</v>
      </c>
      <c r="AF22" s="51" t="str">
        <f>IF($AB22="ALTH",Proyeccion_Localidades!AB22,"-")</f>
        <v>-</v>
      </c>
      <c r="AG22" s="51"/>
      <c r="AH22" s="51"/>
      <c r="AI22" s="66">
        <f t="shared" si="2"/>
        <v>640369</v>
      </c>
    </row>
    <row r="23" spans="1:35" ht="24.95" customHeight="1">
      <c r="A23" s="69" t="str">
        <f>+Proyeccion_Localidades!C23</f>
        <v>San Fernando</v>
      </c>
      <c r="B23" s="70">
        <v>19</v>
      </c>
      <c r="C23" s="71" t="str">
        <f>+Proyeccion_Localidades!B23</f>
        <v>San Fernando</v>
      </c>
      <c r="D23" s="261">
        <f t="shared" si="3"/>
        <v>19</v>
      </c>
      <c r="E23" s="72">
        <f>+Proyeccion_Localidades!F23</f>
        <v>160284</v>
      </c>
      <c r="F23" s="66">
        <f>IF($AB23="TGD",ROUND($E23*(1+$AD23)^(F$4-$E$4),0),IF($AB23="ALTH",ROUND($AE23+$AF23*F$4,0),IF($AB23="IR",ROUND(Proyeccion_Localidades!AC23,0),IF($AB23="RT",ROUND(Proyeccion_Localidades!AZ23,0),"*****"))))</f>
        <v>171263</v>
      </c>
      <c r="G23" s="66">
        <f>IF($AB23="TGD",ROUND($E23*(1+$AD23)^(G$4-$E$4),0),IF($AB23="ALTH",ROUND($AE23+$AF23*G$4,0),IF($AB23="IR",ROUND(Proyeccion_Localidades!AD23,0),IF($AB23="RT",ROUND(Proyeccion_Localidades!BA23,0),"*****"))))</f>
        <v>172268</v>
      </c>
      <c r="H23" s="66">
        <f>IF($AB23="TGD",ROUND($E23*(1+$AD23)^(H$4-$E$4),0),IF($AB23="ALTH",ROUND($AE23+$AF23*H$4,0),IF($AB23="IR",ROUND(Proyeccion_Localidades!AE23,0),IF($AB23="RT",ROUND(Proyeccion_Localidades!BB23,0),"*****"))))</f>
        <v>175286</v>
      </c>
      <c r="I23" s="66">
        <f>IF($AB23="TGD",ROUND($E23*(1+$AD23)^(I$4-$E$4),0),IF($AB23="ALTH",ROUND($AE23+$AF23*I$4,0),IF($AB23="IR",ROUND(Proyeccion_Localidades!AF23,0),IF($AB23="RT",ROUND(Proyeccion_Localidades!BC23,0),"*****"))))</f>
        <v>176292</v>
      </c>
      <c r="J23" s="66">
        <f>IF($AB23="TGD",ROUND($E23*(1+$AD23)^(J$4-$E$4),0),IF($AB23="ALTH",ROUND($AE23+$AF23*J$4,0),IF($AB23="IR",ROUND(Proyeccion_Localidades!AG23,0),IF($AB23="RT",ROUND(Proyeccion_Localidades!BD23,0),"*****"))))</f>
        <v>177298</v>
      </c>
      <c r="K23" s="66">
        <f>IF($AB23="TGD",ROUND($E23*(1+$AD23)^(K$4-$E$4),0),IF($AB23="ALTH",ROUND($AE23+$AF23*K$4,0),IF($AB23="IR",ROUND(Proyeccion_Localidades!AH23,0),IF($AB23="RT",ROUND(Proyeccion_Localidades!BE23,0),"*****"))))</f>
        <v>178304</v>
      </c>
      <c r="L23" s="66">
        <f>IF($AB23="TGD",ROUND($E23*(1+$AD23)^(L$4-$E$4),0),IF($AB23="ALTH",ROUND($AE23+$AF23*L$4,0),IF($AB23="IR",ROUND(Proyeccion_Localidades!AI23,0),IF($AB23="RT",ROUND(Proyeccion_Localidades!BF23,0),"*****"))))</f>
        <v>179310</v>
      </c>
      <c r="M23" s="66">
        <f>IF($AB23="TGD",ROUND($E23*(1+$AD23)^(M$4-$E$4),0),IF($AB23="ALTH",ROUND($AE23+$AF23*M$4,0),IF($AB23="IR",ROUND(Proyeccion_Localidades!AJ23,0),IF($AB23="RT",ROUND(Proyeccion_Localidades!BG23,0),"*****"))))</f>
        <v>180315</v>
      </c>
      <c r="N23" s="66">
        <f>IF($AB23="TGD",ROUND($E23*(1+$AD23)^(N$4-$E$4),0),IF($AB23="ALTH",ROUND($AE23+$AF23*N$4,0),IF($AB23="IR",ROUND(Proyeccion_Localidades!AK23,0),IF($AB23="RT",ROUND(Proyeccion_Localidades!BH23,0),"*****"))))</f>
        <v>181321</v>
      </c>
      <c r="O23" s="66">
        <f>IF($AB23="TGD",ROUND($E23*(1+$AD23)^(O$4-$E$4),0),IF($AB23="ALTH",ROUND($AE23+$AF23*O$4,0),IF($AB23="IR",ROUND(Proyeccion_Localidades!AL23,0),IF($AB23="RT",ROUND(Proyeccion_Localidades!BI23,0),"*****"))))</f>
        <v>182327</v>
      </c>
      <c r="P23" s="66">
        <f>IF($AB23="TGD",ROUND($E23*(1+$AD23)^(P$4-$E$4),0),IF($AB23="ALTH",ROUND($AE23+$AF23*P$4,0),IF($AB23="IR",ROUND(Proyeccion_Localidades!AM23,0),IF($AB23="RT",ROUND(Proyeccion_Localidades!BJ23,0),"*****"))))</f>
        <v>183333</v>
      </c>
      <c r="Q23" s="66">
        <f>IF($AB23="TGD",ROUND($E23*(1+$AD23)^(Q$4-$E$4),0),IF($AB23="ALTH",ROUND($AE23+$AF23*Q$4,0),IF($AB23="IR",ROUND(Proyeccion_Localidades!AN23,0),IF($AB23="RT",ROUND(Proyeccion_Localidades!BK23,0),"*****"))))</f>
        <v>184339</v>
      </c>
      <c r="R23" s="66">
        <f>IF($AB23="TGD",ROUND($E23*(1+$AD23)^(R$4-$E$4),0),IF($AB23="ALTH",ROUND($AE23+$AF23*R$4,0),IF($AB23="IR",ROUND(Proyeccion_Localidades!AO23,0),IF($AB23="RT",ROUND(Proyeccion_Localidades!BL23,0),"*****"))))</f>
        <v>185345</v>
      </c>
      <c r="S23" s="66">
        <f>IF($AB23="TGD",ROUND($E23*(1+$AD23)^(S$4-$E$4),0),IF($AB23="ALTH",ROUND($AE23+$AF23*S$4,0),IF($AB23="IR",ROUND(Proyeccion_Localidades!AP23,0),IF($AB23="RT",ROUND(Proyeccion_Localidades!BM23,0),"*****"))))</f>
        <v>186351</v>
      </c>
      <c r="T23" s="66">
        <f>IF($AB23="TGD",ROUND($E23*(1+$AD23)^(T$4-$E$4),0),IF($AB23="ALTH",ROUND($AE23+$AF23*T$4,0),IF($AB23="IR",ROUND(Proyeccion_Localidades!AQ23,0),IF($AB23="RT",ROUND(Proyeccion_Localidades!BN23,0),"*****"))))</f>
        <v>187357</v>
      </c>
      <c r="U23" s="66">
        <f>IF($AB23="TGD",ROUND($E23*(1+$AD23)^(U$4-$E$4),0),IF($AB23="ALTH",ROUND($AE23+$AF23*U$4,0),IF($AB23="IR",ROUND(Proyeccion_Localidades!AR23,0),IF($AB23="RT",ROUND(Proyeccion_Localidades!BO23,0),"*****"))))</f>
        <v>188363</v>
      </c>
      <c r="V23" s="66">
        <f>IF($AB23="TGD",ROUND($E23*(1+$AD23)^(V$4-$E$4),0),IF($AB23="ALTH",ROUND($AE23+$AF23*V$4,0),IF($AB23="IR",ROUND(Proyeccion_Localidades!AS23,0),IF($AB23="RT",ROUND(Proyeccion_Localidades!BP23,0),"*****"))))</f>
        <v>189368</v>
      </c>
      <c r="W23" s="66">
        <f>IF($AB23="TGD",ROUND($E23*(1+$AD23)^(W$4-$E$4),0),IF($AB23="ALTH",ROUND($AE23+$AF23*W$4,0),IF($AB23="IR",ROUND(Proyeccion_Localidades!AT23,0),IF($AB23="RT",ROUND(Proyeccion_Localidades!BQ23,0),"*****"))))</f>
        <v>190374</v>
      </c>
      <c r="X23" s="66">
        <f>IF($AB23="TGD",ROUND($E23*(1+$AD23)^(X$4-$E$4),0),IF($AB23="ALTH",ROUND($AE23+$AF23*X$4,0),IF($AB23="IR",ROUND(Proyeccion_Localidades!AU23,0),IF($AB23="RT",ROUND(Proyeccion_Localidades!BR23,0),"*****"))))</f>
        <v>191380</v>
      </c>
      <c r="Y23" s="66">
        <f>IF($AB23="TGD",ROUND($E23*(1+$AD23)^(Y$4-$E$4),0),IF($AB23="ALTH",ROUND($AE23+$AF23*Y$4,0),IF($AB23="IR",ROUND(Proyeccion_Localidades!AV23,0),IF($AB23="RT",ROUND(Proyeccion_Localidades!BS23,0),"*****"))))</f>
        <v>192386</v>
      </c>
      <c r="Z23" s="66">
        <f>IF($AB23="TGD",ROUND($E23*(1+$AD23)^(Z$4-$E$4),0),IF($AB23="ALTH",ROUND($AE23+$AF23*Z$4,0),IF($AB23="IR",ROUND(Proyeccion_Localidades!AW23,0),IF($AB23="RT",ROUND(Proyeccion_Localidades!BT23,0),"*****"))))</f>
        <v>193392</v>
      </c>
      <c r="AA23" s="66">
        <f>IF($AB23="TGD",ROUND($E23*(1+$AD23)^(AA$4-$E$4),0),IF($AB23="ALTH",ROUND($AE23+$AF23*AA$4,0),IF($AB23="IR",ROUND(Proyeccion_Localidades!AX23,0),IF($AB23="RT",ROUND(Proyeccion_Localidades!BU23,0),"*****"))))</f>
        <v>194398</v>
      </c>
      <c r="AB23" s="67" t="str">
        <f>Proyeccion_Localidades!N23</f>
        <v>ALTH</v>
      </c>
      <c r="AC23" s="68" t="s">
        <v>36</v>
      </c>
      <c r="AD23" s="51" t="str">
        <f>IF(AB23="TGD",Proyeccion_Localidades!Z23,"-")</f>
        <v>-</v>
      </c>
      <c r="AE23" s="51">
        <f>IF($AB23="ALTH",Proyeccion_Localidades!AA23,"-")</f>
        <v>-1862634.4501845017</v>
      </c>
      <c r="AF23" s="51">
        <f>IF($AB23="ALTH",Proyeccion_Localidades!AB23,"-")</f>
        <v>1005.8837638376383</v>
      </c>
      <c r="AG23" s="51"/>
      <c r="AH23" s="51"/>
      <c r="AI23" s="66">
        <f t="shared" si="2"/>
        <v>172268</v>
      </c>
    </row>
    <row r="24" spans="1:35" ht="24.95" customHeight="1">
      <c r="A24" s="69" t="str">
        <f>+Proyeccion_Localidades!C24</f>
        <v>San Isidro</v>
      </c>
      <c r="B24" s="70">
        <v>20</v>
      </c>
      <c r="C24" s="71" t="str">
        <f>+Proyeccion_Localidades!B24</f>
        <v>San Isidro</v>
      </c>
      <c r="D24" s="261">
        <f t="shared" si="3"/>
        <v>20</v>
      </c>
      <c r="E24" s="72">
        <f>+Proyeccion_Localidades!F24</f>
        <v>292878</v>
      </c>
      <c r="F24" s="66">
        <f>IF($AB24="TGD",ROUND($E24*(1+$AD24)^(F$4-$E$4),0),IF($AB24="ALTH",ROUND($AE24+$AF24*F$4,0),IF($AB24="IR",ROUND(Proyeccion_Localidades!AC24,0),IF($AB24="RT",ROUND(Proyeccion_Localidades!AZ24,0),"*****"))))</f>
        <v>295938</v>
      </c>
      <c r="G24" s="66">
        <f>IF($AB24="TGD",ROUND($E24*(1+$AD24)^(G$4-$E$4),0),IF($AB24="ALTH",ROUND($AE24+$AF24*G$4,0),IF($AB24="IR",ROUND(Proyeccion_Localidades!AD24,0),IF($AB24="RT",ROUND(Proyeccion_Localidades!BA24,0),"*****"))))</f>
        <v>296221</v>
      </c>
      <c r="H24" s="66">
        <f>IF($AB24="TGD",ROUND($E24*(1+$AD24)^(H$4-$E$4),0),IF($AB24="ALTH",ROUND($AE24+$AF24*H$4,0),IF($AB24="IR",ROUND(Proyeccion_Localidades!AE24,0),IF($AB24="RT",ROUND(Proyeccion_Localidades!BB24,0),"*****"))))</f>
        <v>297098</v>
      </c>
      <c r="I24" s="66">
        <f>IF($AB24="TGD",ROUND($E24*(1+$AD24)^(I$4-$E$4),0),IF($AB24="ALTH",ROUND($AE24+$AF24*I$4,0),IF($AB24="IR",ROUND(Proyeccion_Localidades!AF24,0),IF($AB24="RT",ROUND(Proyeccion_Localidades!BC24,0),"*****"))))</f>
        <v>297400</v>
      </c>
      <c r="J24" s="66">
        <f>IF($AB24="TGD",ROUND($E24*(1+$AD24)^(J$4-$E$4),0),IF($AB24="ALTH",ROUND($AE24+$AF24*J$4,0),IF($AB24="IR",ROUND(Proyeccion_Localidades!AG24,0),IF($AB24="RT",ROUND(Proyeccion_Localidades!BD24,0),"*****"))))</f>
        <v>297706</v>
      </c>
      <c r="K24" s="66">
        <f>IF($AB24="TGD",ROUND($E24*(1+$AD24)^(K$4-$E$4),0),IF($AB24="ALTH",ROUND($AE24+$AF24*K$4,0),IF($AB24="IR",ROUND(Proyeccion_Localidades!AH24,0),IF($AB24="RT",ROUND(Proyeccion_Localidades!BE24,0),"*****"))))</f>
        <v>298018</v>
      </c>
      <c r="L24" s="66">
        <f>IF($AB24="TGD",ROUND($E24*(1+$AD24)^(L$4-$E$4),0),IF($AB24="ALTH",ROUND($AE24+$AF24*L$4,0),IF($AB24="IR",ROUND(Proyeccion_Localidades!AI24,0),IF($AB24="RT",ROUND(Proyeccion_Localidades!BF24,0),"*****"))))</f>
        <v>298335</v>
      </c>
      <c r="M24" s="66">
        <f>IF($AB24="TGD",ROUND($E24*(1+$AD24)^(M$4-$E$4),0),IF($AB24="ALTH",ROUND($AE24+$AF24*M$4,0),IF($AB24="IR",ROUND(Proyeccion_Localidades!AJ24,0),IF($AB24="RT",ROUND(Proyeccion_Localidades!BG24,0),"*****"))))</f>
        <v>298657</v>
      </c>
      <c r="N24" s="66">
        <f>IF($AB24="TGD",ROUND($E24*(1+$AD24)^(N$4-$E$4),0),IF($AB24="ALTH",ROUND($AE24+$AF24*N$4,0),IF($AB24="IR",ROUND(Proyeccion_Localidades!AK24,0),IF($AB24="RT",ROUND(Proyeccion_Localidades!BH24,0),"*****"))))</f>
        <v>298984</v>
      </c>
      <c r="O24" s="66">
        <f>IF($AB24="TGD",ROUND($E24*(1+$AD24)^(O$4-$E$4),0),IF($AB24="ALTH",ROUND($AE24+$AF24*O$4,0),IF($AB24="IR",ROUND(Proyeccion_Localidades!AL24,0),IF($AB24="RT",ROUND(Proyeccion_Localidades!BI24,0),"*****"))))</f>
        <v>299317</v>
      </c>
      <c r="P24" s="66">
        <f>IF($AB24="TGD",ROUND($E24*(1+$AD24)^(P$4-$E$4),0),IF($AB24="ALTH",ROUND($AE24+$AF24*P$4,0),IF($AB24="IR",ROUND(Proyeccion_Localidades!AM24,0),IF($AB24="RT",ROUND(Proyeccion_Localidades!BJ24,0),"*****"))))</f>
        <v>299655</v>
      </c>
      <c r="Q24" s="66">
        <f>IF($AB24="TGD",ROUND($E24*(1+$AD24)^(Q$4-$E$4),0),IF($AB24="ALTH",ROUND($AE24+$AF24*Q$4,0),IF($AB24="IR",ROUND(Proyeccion_Localidades!AN24,0),IF($AB24="RT",ROUND(Proyeccion_Localidades!BK24,0),"*****"))))</f>
        <v>299998</v>
      </c>
      <c r="R24" s="66">
        <f>IF($AB24="TGD",ROUND($E24*(1+$AD24)^(R$4-$E$4),0),IF($AB24="ALTH",ROUND($AE24+$AF24*R$4,0),IF($AB24="IR",ROUND(Proyeccion_Localidades!AO24,0),IF($AB24="RT",ROUND(Proyeccion_Localidades!BL24,0),"*****"))))</f>
        <v>300347</v>
      </c>
      <c r="S24" s="66">
        <f>IF($AB24="TGD",ROUND($E24*(1+$AD24)^(S$4-$E$4),0),IF($AB24="ALTH",ROUND($AE24+$AF24*S$4,0),IF($AB24="IR",ROUND(Proyeccion_Localidades!AP24,0),IF($AB24="RT",ROUND(Proyeccion_Localidades!BM24,0),"*****"))))</f>
        <v>300702</v>
      </c>
      <c r="T24" s="66">
        <f>IF($AB24="TGD",ROUND($E24*(1+$AD24)^(T$4-$E$4),0),IF($AB24="ALTH",ROUND($AE24+$AF24*T$4,0),IF($AB24="IR",ROUND(Proyeccion_Localidades!AQ24,0),IF($AB24="RT",ROUND(Proyeccion_Localidades!BN24,0),"*****"))))</f>
        <v>301063</v>
      </c>
      <c r="U24" s="66">
        <f>IF($AB24="TGD",ROUND($E24*(1+$AD24)^(U$4-$E$4),0),IF($AB24="ALTH",ROUND($AE24+$AF24*U$4,0),IF($AB24="IR",ROUND(Proyeccion_Localidades!AR24,0),IF($AB24="RT",ROUND(Proyeccion_Localidades!BO24,0),"*****"))))</f>
        <v>301429</v>
      </c>
      <c r="V24" s="66">
        <f>IF($AB24="TGD",ROUND($E24*(1+$AD24)^(V$4-$E$4),0),IF($AB24="ALTH",ROUND($AE24+$AF24*V$4,0),IF($AB24="IR",ROUND(Proyeccion_Localidades!AS24,0),IF($AB24="RT",ROUND(Proyeccion_Localidades!BP24,0),"*****"))))</f>
        <v>301802</v>
      </c>
      <c r="W24" s="66">
        <f>IF($AB24="TGD",ROUND($E24*(1+$AD24)^(W$4-$E$4),0),IF($AB24="ALTH",ROUND($AE24+$AF24*W$4,0),IF($AB24="IR",ROUND(Proyeccion_Localidades!AT24,0),IF($AB24="RT",ROUND(Proyeccion_Localidades!BQ24,0),"*****"))))</f>
        <v>302180</v>
      </c>
      <c r="X24" s="66">
        <f>IF($AB24="TGD",ROUND($E24*(1+$AD24)^(X$4-$E$4),0),IF($AB24="ALTH",ROUND($AE24+$AF24*X$4,0),IF($AB24="IR",ROUND(Proyeccion_Localidades!AU24,0),IF($AB24="RT",ROUND(Proyeccion_Localidades!BR24,0),"*****"))))</f>
        <v>302565</v>
      </c>
      <c r="Y24" s="66">
        <f>IF($AB24="TGD",ROUND($E24*(1+$AD24)^(Y$4-$E$4),0),IF($AB24="ALTH",ROUND($AE24+$AF24*Y$4,0),IF($AB24="IR",ROUND(Proyeccion_Localidades!AV24,0),IF($AB24="RT",ROUND(Proyeccion_Localidades!BS24,0),"*****"))))</f>
        <v>302956</v>
      </c>
      <c r="Z24" s="66">
        <f>IF($AB24="TGD",ROUND($E24*(1+$AD24)^(Z$4-$E$4),0),IF($AB24="ALTH",ROUND($AE24+$AF24*Z$4,0),IF($AB24="IR",ROUND(Proyeccion_Localidades!AW24,0),IF($AB24="RT",ROUND(Proyeccion_Localidades!BT24,0),"*****"))))</f>
        <v>303353</v>
      </c>
      <c r="AA24" s="66">
        <f>IF($AB24="TGD",ROUND($E24*(1+$AD24)^(AA$4-$E$4),0),IF($AB24="ALTH",ROUND($AE24+$AF24*AA$4,0),IF($AB24="IR",ROUND(Proyeccion_Localidades!AX24,0),IF($AB24="RT",ROUND(Proyeccion_Localidades!BU24,0),"*****"))))</f>
        <v>303757</v>
      </c>
      <c r="AB24" s="67" t="str">
        <f>Proyeccion_Localidades!N24</f>
        <v>IR</v>
      </c>
      <c r="AC24" s="68"/>
      <c r="AD24" s="51" t="str">
        <f>IF(AB24="TGD",Proyeccion_Localidades!Z24,"-")</f>
        <v>-</v>
      </c>
      <c r="AE24" s="51" t="str">
        <f>IF($AB24="ALTH",Proyeccion_Localidades!AA24,"-")</f>
        <v>-</v>
      </c>
      <c r="AF24" s="51" t="str">
        <f>IF($AB24="ALTH",Proyeccion_Localidades!AB24,"-")</f>
        <v>-</v>
      </c>
      <c r="AG24" s="51"/>
      <c r="AH24" s="51"/>
      <c r="AI24" s="66">
        <f t="shared" si="2"/>
        <v>296221</v>
      </c>
    </row>
    <row r="25" spans="1:35" ht="24.95" customHeight="1">
      <c r="A25" s="69" t="str">
        <f>+Proyeccion_Localidades!C25</f>
        <v>San Miguel</v>
      </c>
      <c r="B25" s="70">
        <v>21</v>
      </c>
      <c r="C25" s="71" t="str">
        <f>+Proyeccion_Localidades!B25</f>
        <v>San Miguel</v>
      </c>
      <c r="D25" s="261">
        <f t="shared" si="3"/>
        <v>21</v>
      </c>
      <c r="E25" s="72">
        <f>+Proyeccion_Localidades!F25</f>
        <v>276190</v>
      </c>
      <c r="F25" s="66">
        <f>IF($AB25="TGD",ROUND($E25*(1+$AD25)^(F$4-$E$4),0),IF($AB25="ALTH",ROUND($AE25+$AF25*F$4,0),IF($AB25="IR",ROUND(Proyeccion_Localidades!AC25,0),IF($AB25="RT",ROUND(Proyeccion_Localidades!AZ25,0),"*****"))))</f>
        <v>327690</v>
      </c>
      <c r="G25" s="66">
        <f>IF($AB25="TGD",ROUND($E25*(1+$AD25)^(G$4-$E$4),0),IF($AB25="ALTH",ROUND($AE25+$AF25*G$4,0),IF($AB25="IR",ROUND(Proyeccion_Localidades!AD25,0),IF($AB25="RT",ROUND(Proyeccion_Localidades!BA25,0),"*****"))))</f>
        <v>332450</v>
      </c>
      <c r="H25" s="66">
        <f>IF($AB25="TGD",ROUND($E25*(1+$AD25)^(H$4-$E$4),0),IF($AB25="ALTH",ROUND($AE25+$AF25*H$4,0),IF($AB25="IR",ROUND(Proyeccion_Localidades!AE25,0),IF($AB25="RT",ROUND(Proyeccion_Localidades!BB25,0),"*****"))))</f>
        <v>347201</v>
      </c>
      <c r="I25" s="66">
        <f>IF($AB25="TGD",ROUND($E25*(1+$AD25)^(I$4-$E$4),0),IF($AB25="ALTH",ROUND($AE25+$AF25*I$4,0),IF($AB25="IR",ROUND(Proyeccion_Localidades!AF25,0),IF($AB25="RT",ROUND(Proyeccion_Localidades!BC25,0),"*****"))))</f>
        <v>352280</v>
      </c>
      <c r="J25" s="66">
        <f>IF($AB25="TGD",ROUND($E25*(1+$AD25)^(J$4-$E$4),0),IF($AB25="ALTH",ROUND($AE25+$AF25*J$4,0),IF($AB25="IR",ROUND(Proyeccion_Localidades!AG25,0),IF($AB25="RT",ROUND(Proyeccion_Localidades!BD25,0),"*****"))))</f>
        <v>357441</v>
      </c>
      <c r="K25" s="66">
        <f>IF($AB25="TGD",ROUND($E25*(1+$AD25)^(K$4-$E$4),0),IF($AB25="ALTH",ROUND($AE25+$AF25*K$4,0),IF($AB25="IR",ROUND(Proyeccion_Localidades!AH25,0),IF($AB25="RT",ROUND(Proyeccion_Localidades!BE25,0),"*****"))))</f>
        <v>362687</v>
      </c>
      <c r="L25" s="66">
        <f>IF($AB25="TGD",ROUND($E25*(1+$AD25)^(L$4-$E$4),0),IF($AB25="ALTH",ROUND($AE25+$AF25*L$4,0),IF($AB25="IR",ROUND(Proyeccion_Localidades!AI25,0),IF($AB25="RT",ROUND(Proyeccion_Localidades!BF25,0),"*****"))))</f>
        <v>368018</v>
      </c>
      <c r="M25" s="66">
        <f>IF($AB25="TGD",ROUND($E25*(1+$AD25)^(M$4-$E$4),0),IF($AB25="ALTH",ROUND($AE25+$AF25*M$4,0),IF($AB25="IR",ROUND(Proyeccion_Localidades!AJ25,0),IF($AB25="RT",ROUND(Proyeccion_Localidades!BG25,0),"*****"))))</f>
        <v>373436</v>
      </c>
      <c r="N25" s="66">
        <f>IF($AB25="TGD",ROUND($E25*(1+$AD25)^(N$4-$E$4),0),IF($AB25="ALTH",ROUND($AE25+$AF25*N$4,0),IF($AB25="IR",ROUND(Proyeccion_Localidades!AK25,0),IF($AB25="RT",ROUND(Proyeccion_Localidades!BH25,0),"*****"))))</f>
        <v>378942</v>
      </c>
      <c r="O25" s="66">
        <f>IF($AB25="TGD",ROUND($E25*(1+$AD25)^(O$4-$E$4),0),IF($AB25="ALTH",ROUND($AE25+$AF25*O$4,0),IF($AB25="IR",ROUND(Proyeccion_Localidades!AL25,0),IF($AB25="RT",ROUND(Proyeccion_Localidades!BI25,0),"*****"))))</f>
        <v>384538</v>
      </c>
      <c r="P25" s="66">
        <f>IF($AB25="TGD",ROUND($E25*(1+$AD25)^(P$4-$E$4),0),IF($AB25="ALTH",ROUND($AE25+$AF25*P$4,0),IF($AB25="IR",ROUND(Proyeccion_Localidades!AM25,0),IF($AB25="RT",ROUND(Proyeccion_Localidades!BJ25,0),"*****"))))</f>
        <v>390226</v>
      </c>
      <c r="Q25" s="66">
        <f>IF($AB25="TGD",ROUND($E25*(1+$AD25)^(Q$4-$E$4),0),IF($AB25="ALTH",ROUND($AE25+$AF25*Q$4,0),IF($AB25="IR",ROUND(Proyeccion_Localidades!AN25,0),IF($AB25="RT",ROUND(Proyeccion_Localidades!BK25,0),"*****"))))</f>
        <v>396006</v>
      </c>
      <c r="R25" s="66">
        <f>IF($AB25="TGD",ROUND($E25*(1+$AD25)^(R$4-$E$4),0),IF($AB25="ALTH",ROUND($AE25+$AF25*R$4,0),IF($AB25="IR",ROUND(Proyeccion_Localidades!AO25,0),IF($AB25="RT",ROUND(Proyeccion_Localidades!BL25,0),"*****"))))</f>
        <v>401881</v>
      </c>
      <c r="S25" s="66">
        <f>IF($AB25="TGD",ROUND($E25*(1+$AD25)^(S$4-$E$4),0),IF($AB25="ALTH",ROUND($AE25+$AF25*S$4,0),IF($AB25="IR",ROUND(Proyeccion_Localidades!AP25,0),IF($AB25="RT",ROUND(Proyeccion_Localidades!BM25,0),"*****"))))</f>
        <v>407851</v>
      </c>
      <c r="T25" s="66">
        <f>IF($AB25="TGD",ROUND($E25*(1+$AD25)^(T$4-$E$4),0),IF($AB25="ALTH",ROUND($AE25+$AF25*T$4,0),IF($AB25="IR",ROUND(Proyeccion_Localidades!AQ25,0),IF($AB25="RT",ROUND(Proyeccion_Localidades!BN25,0),"*****"))))</f>
        <v>413919</v>
      </c>
      <c r="U25" s="66">
        <f>IF($AB25="TGD",ROUND($E25*(1+$AD25)^(U$4-$E$4),0),IF($AB25="ALTH",ROUND($AE25+$AF25*U$4,0),IF($AB25="IR",ROUND(Proyeccion_Localidades!AR25,0),IF($AB25="RT",ROUND(Proyeccion_Localidades!BO25,0),"*****"))))</f>
        <v>420086</v>
      </c>
      <c r="V25" s="66">
        <f>IF($AB25="TGD",ROUND($E25*(1+$AD25)^(V$4-$E$4),0),IF($AB25="ALTH",ROUND($AE25+$AF25*V$4,0),IF($AB25="IR",ROUND(Proyeccion_Localidades!AS25,0),IF($AB25="RT",ROUND(Proyeccion_Localidades!BP25,0),"*****"))))</f>
        <v>426353</v>
      </c>
      <c r="W25" s="66">
        <f>IF($AB25="TGD",ROUND($E25*(1+$AD25)^(W$4-$E$4),0),IF($AB25="ALTH",ROUND($AE25+$AF25*W$4,0),IF($AB25="IR",ROUND(Proyeccion_Localidades!AT25,0),IF($AB25="RT",ROUND(Proyeccion_Localidades!BQ25,0),"*****"))))</f>
        <v>432723</v>
      </c>
      <c r="X25" s="66">
        <f>IF($AB25="TGD",ROUND($E25*(1+$AD25)^(X$4-$E$4),0),IF($AB25="ALTH",ROUND($AE25+$AF25*X$4,0),IF($AB25="IR",ROUND(Proyeccion_Localidades!AU25,0),IF($AB25="RT",ROUND(Proyeccion_Localidades!BR25,0),"*****"))))</f>
        <v>439196</v>
      </c>
      <c r="Y25" s="66">
        <f>IF($AB25="TGD",ROUND($E25*(1+$AD25)^(Y$4-$E$4),0),IF($AB25="ALTH",ROUND($AE25+$AF25*Y$4,0),IF($AB25="IR",ROUND(Proyeccion_Localidades!AV25,0),IF($AB25="RT",ROUND(Proyeccion_Localidades!BS25,0),"*****"))))</f>
        <v>445776</v>
      </c>
      <c r="Z25" s="66">
        <f>IF($AB25="TGD",ROUND($E25*(1+$AD25)^(Z$4-$E$4),0),IF($AB25="ALTH",ROUND($AE25+$AF25*Z$4,0),IF($AB25="IR",ROUND(Proyeccion_Localidades!AW25,0),IF($AB25="RT",ROUND(Proyeccion_Localidades!BT25,0),"*****"))))</f>
        <v>452462</v>
      </c>
      <c r="AA25" s="66">
        <f>IF($AB25="TGD",ROUND($E25*(1+$AD25)^(AA$4-$E$4),0),IF($AB25="ALTH",ROUND($AE25+$AF25*AA$4,0),IF($AB25="IR",ROUND(Proyeccion_Localidades!AX25,0),IF($AB25="RT",ROUND(Proyeccion_Localidades!BU25,0),"*****"))))</f>
        <v>459258</v>
      </c>
      <c r="AB25" s="67" t="str">
        <f>Proyeccion_Localidades!N25</f>
        <v>IR</v>
      </c>
      <c r="AC25" s="68"/>
      <c r="AD25" s="51" t="str">
        <f>IF(AB25="TGD",Proyeccion_Localidades!Z25,"-")</f>
        <v>-</v>
      </c>
      <c r="AE25" s="51" t="str">
        <f>IF($AB25="ALTH",Proyeccion_Localidades!AA25,"-")</f>
        <v>-</v>
      </c>
      <c r="AF25" s="51" t="str">
        <f>IF($AB25="ALTH",Proyeccion_Localidades!AB25,"-")</f>
        <v>-</v>
      </c>
      <c r="AG25" s="51"/>
      <c r="AH25" s="51"/>
      <c r="AI25" s="66">
        <f t="shared" si="2"/>
        <v>332450</v>
      </c>
    </row>
    <row r="26" spans="1:35" ht="24.95" customHeight="1">
      <c r="A26" s="69" t="str">
        <f>+Proyeccion_Localidades!C26</f>
        <v>Tigre</v>
      </c>
      <c r="B26" s="70">
        <v>22</v>
      </c>
      <c r="C26" s="71" t="str">
        <f>+Proyeccion_Localidades!B26</f>
        <v>Tigre</v>
      </c>
      <c r="D26" s="261">
        <f t="shared" si="3"/>
        <v>22</v>
      </c>
      <c r="E26" s="72">
        <f>+Proyeccion_Localidades!F26</f>
        <v>370913</v>
      </c>
      <c r="F26" s="66">
        <f>IF($AB26="TGD",ROUND($E26*(1+$AD26)^(F$4-$E$4),0),IF($AB26="ALTH",ROUND($AE26+$AF26*F$4,0),IF($AB26="IR",ROUND(Proyeccion_Localidades!AC26,0),IF($AB26="RT",ROUND(Proyeccion_Localidades!AZ26,0),"*****"))))</f>
        <v>436959</v>
      </c>
      <c r="G26" s="66">
        <f>IF($AB26="TGD",ROUND($E26*(1+$AD26)^(G$4-$E$4),0),IF($AB26="ALTH",ROUND($AE26+$AF26*G$4,0),IF($AB26="IR",ROUND(Proyeccion_Localidades!AD26,0),IF($AB26="RT",ROUND(Proyeccion_Localidades!BA26,0),"*****"))))</f>
        <v>443038</v>
      </c>
      <c r="H26" s="66">
        <f>IF($AB26="TGD",ROUND($E26*(1+$AD26)^(H$4-$E$4),0),IF($AB26="ALTH",ROUND($AE26+$AF26*H$4,0),IF($AB26="IR",ROUND(Proyeccion_Localidades!AE26,0),IF($AB26="RT",ROUND(Proyeccion_Localidades!BB26,0),"*****"))))</f>
        <v>461275</v>
      </c>
      <c r="I26" s="66">
        <f>IF($AB26="TGD",ROUND($E26*(1+$AD26)^(I$4-$E$4),0),IF($AB26="ALTH",ROUND($AE26+$AF26*I$4,0),IF($AB26="IR",ROUND(Proyeccion_Localidades!AF26,0),IF($AB26="RT",ROUND(Proyeccion_Localidades!BC26,0),"*****"))))</f>
        <v>467354</v>
      </c>
      <c r="J26" s="66">
        <f>IF($AB26="TGD",ROUND($E26*(1+$AD26)^(J$4-$E$4),0),IF($AB26="ALTH",ROUND($AE26+$AF26*J$4,0),IF($AB26="IR",ROUND(Proyeccion_Localidades!AG26,0),IF($AB26="RT",ROUND(Proyeccion_Localidades!BD26,0),"*****"))))</f>
        <v>473433</v>
      </c>
      <c r="K26" s="66">
        <f>IF($AB26="TGD",ROUND($E26*(1+$AD26)^(K$4-$E$4),0),IF($AB26="ALTH",ROUND($AE26+$AF26*K$4,0),IF($AB26="IR",ROUND(Proyeccion_Localidades!AH26,0),IF($AB26="RT",ROUND(Proyeccion_Localidades!BE26,0),"*****"))))</f>
        <v>479512</v>
      </c>
      <c r="L26" s="66">
        <f>IF($AB26="TGD",ROUND($E26*(1+$AD26)^(L$4-$E$4),0),IF($AB26="ALTH",ROUND($AE26+$AF26*L$4,0),IF($AB26="IR",ROUND(Proyeccion_Localidades!AI26,0),IF($AB26="RT",ROUND(Proyeccion_Localidades!BF26,0),"*****"))))</f>
        <v>485591</v>
      </c>
      <c r="M26" s="66">
        <f>IF($AB26="TGD",ROUND($E26*(1+$AD26)^(M$4-$E$4),0),IF($AB26="ALTH",ROUND($AE26+$AF26*M$4,0),IF($AB26="IR",ROUND(Proyeccion_Localidades!AJ26,0),IF($AB26="RT",ROUND(Proyeccion_Localidades!BG26,0),"*****"))))</f>
        <v>491670</v>
      </c>
      <c r="N26" s="66">
        <f>IF($AB26="TGD",ROUND($E26*(1+$AD26)^(N$4-$E$4),0),IF($AB26="ALTH",ROUND($AE26+$AF26*N$4,0),IF($AB26="IR",ROUND(Proyeccion_Localidades!AK26,0),IF($AB26="RT",ROUND(Proyeccion_Localidades!BH26,0),"*****"))))</f>
        <v>497748</v>
      </c>
      <c r="O26" s="66">
        <f>IF($AB26="TGD",ROUND($E26*(1+$AD26)^(O$4-$E$4),0),IF($AB26="ALTH",ROUND($AE26+$AF26*O$4,0),IF($AB26="IR",ROUND(Proyeccion_Localidades!AL26,0),IF($AB26="RT",ROUND(Proyeccion_Localidades!BI26,0),"*****"))))</f>
        <v>503827</v>
      </c>
      <c r="P26" s="66">
        <f>IF($AB26="TGD",ROUND($E26*(1+$AD26)^(P$4-$E$4),0),IF($AB26="ALTH",ROUND($AE26+$AF26*P$4,0),IF($AB26="IR",ROUND(Proyeccion_Localidades!AM26,0),IF($AB26="RT",ROUND(Proyeccion_Localidades!BJ26,0),"*****"))))</f>
        <v>509906</v>
      </c>
      <c r="Q26" s="66">
        <f>IF($AB26="TGD",ROUND($E26*(1+$AD26)^(Q$4-$E$4),0),IF($AB26="ALTH",ROUND($AE26+$AF26*Q$4,0),IF($AB26="IR",ROUND(Proyeccion_Localidades!AN26,0),IF($AB26="RT",ROUND(Proyeccion_Localidades!BK26,0),"*****"))))</f>
        <v>515985</v>
      </c>
      <c r="R26" s="66">
        <f>IF($AB26="TGD",ROUND($E26*(1+$AD26)^(R$4-$E$4),0),IF($AB26="ALTH",ROUND($AE26+$AF26*R$4,0),IF($AB26="IR",ROUND(Proyeccion_Localidades!AO26,0),IF($AB26="RT",ROUND(Proyeccion_Localidades!BL26,0),"*****"))))</f>
        <v>522064</v>
      </c>
      <c r="S26" s="66">
        <f>IF($AB26="TGD",ROUND($E26*(1+$AD26)^(S$4-$E$4),0),IF($AB26="ALTH",ROUND($AE26+$AF26*S$4,0),IF($AB26="IR",ROUND(Proyeccion_Localidades!AP26,0),IF($AB26="RT",ROUND(Proyeccion_Localidades!BM26,0),"*****"))))</f>
        <v>528143</v>
      </c>
      <c r="T26" s="66">
        <f>IF($AB26="TGD",ROUND($E26*(1+$AD26)^(T$4-$E$4),0),IF($AB26="ALTH",ROUND($AE26+$AF26*T$4,0),IF($AB26="IR",ROUND(Proyeccion_Localidades!AQ26,0),IF($AB26="RT",ROUND(Proyeccion_Localidades!BN26,0),"*****"))))</f>
        <v>534222</v>
      </c>
      <c r="U26" s="66">
        <f>IF($AB26="TGD",ROUND($E26*(1+$AD26)^(U$4-$E$4),0),IF($AB26="ALTH",ROUND($AE26+$AF26*U$4,0),IF($AB26="IR",ROUND(Proyeccion_Localidades!AR26,0),IF($AB26="RT",ROUND(Proyeccion_Localidades!BO26,0),"*****"))))</f>
        <v>540301</v>
      </c>
      <c r="V26" s="66">
        <f>IF($AB26="TGD",ROUND($E26*(1+$AD26)^(V$4-$E$4),0),IF($AB26="ALTH",ROUND($AE26+$AF26*V$4,0),IF($AB26="IR",ROUND(Proyeccion_Localidades!AS26,0),IF($AB26="RT",ROUND(Proyeccion_Localidades!BP26,0),"*****"))))</f>
        <v>546380</v>
      </c>
      <c r="W26" s="66">
        <f>IF($AB26="TGD",ROUND($E26*(1+$AD26)^(W$4-$E$4),0),IF($AB26="ALTH",ROUND($AE26+$AF26*W$4,0),IF($AB26="IR",ROUND(Proyeccion_Localidades!AT26,0),IF($AB26="RT",ROUND(Proyeccion_Localidades!BQ26,0),"*****"))))</f>
        <v>552459</v>
      </c>
      <c r="X26" s="66">
        <f>IF($AB26="TGD",ROUND($E26*(1+$AD26)^(X$4-$E$4),0),IF($AB26="ALTH",ROUND($AE26+$AF26*X$4,0),IF($AB26="IR",ROUND(Proyeccion_Localidades!AU26,0),IF($AB26="RT",ROUND(Proyeccion_Localidades!BR26,0),"*****"))))</f>
        <v>558538</v>
      </c>
      <c r="Y26" s="66">
        <f>IF($AB26="TGD",ROUND($E26*(1+$AD26)^(Y$4-$E$4),0),IF($AB26="ALTH",ROUND($AE26+$AF26*Y$4,0),IF($AB26="IR",ROUND(Proyeccion_Localidades!AV26,0),IF($AB26="RT",ROUND(Proyeccion_Localidades!BS26,0),"*****"))))</f>
        <v>564617</v>
      </c>
      <c r="Z26" s="66">
        <f>IF($AB26="TGD",ROUND($E26*(1+$AD26)^(Z$4-$E$4),0),IF($AB26="ALTH",ROUND($AE26+$AF26*Z$4,0),IF($AB26="IR",ROUND(Proyeccion_Localidades!AW26,0),IF($AB26="RT",ROUND(Proyeccion_Localidades!BT26,0),"*****"))))</f>
        <v>570696</v>
      </c>
      <c r="AA26" s="66">
        <f>IF($AB26="TGD",ROUND($E26*(1+$AD26)^(AA$4-$E$4),0),IF($AB26="ALTH",ROUND($AE26+$AF26*AA$4,0),IF($AB26="IR",ROUND(Proyeccion_Localidades!AX26,0),IF($AB26="RT",ROUND(Proyeccion_Localidades!BU26,0),"*****"))))</f>
        <v>576775</v>
      </c>
      <c r="AB26" s="67" t="str">
        <f>Proyeccion_Localidades!N26</f>
        <v>ALTH</v>
      </c>
      <c r="AC26" s="68" t="s">
        <v>36</v>
      </c>
      <c r="AD26" s="51" t="str">
        <f>IF(AB26="TGD",Proyeccion_Localidades!Z26,"-")</f>
        <v>-</v>
      </c>
      <c r="AE26" s="51">
        <f>IF($AB26="ALTH",Proyeccion_Localidades!AA26,"-")</f>
        <v>-11854659.546125464</v>
      </c>
      <c r="AF26" s="51">
        <f>IF($AB26="ALTH",Proyeccion_Localidades!AB26,"-")</f>
        <v>6078.9409594095951</v>
      </c>
      <c r="AG26" s="51"/>
      <c r="AH26" s="51"/>
      <c r="AI26" s="66">
        <f t="shared" si="2"/>
        <v>443038</v>
      </c>
    </row>
    <row r="27" spans="1:35" ht="24.95" customHeight="1">
      <c r="A27" s="69" t="str">
        <f>+Proyeccion_Localidades!C27</f>
        <v>Tres de Febrero</v>
      </c>
      <c r="B27" s="70">
        <v>23</v>
      </c>
      <c r="C27" s="71" t="str">
        <f>+Proyeccion_Localidades!B27</f>
        <v>Tres de Febrero</v>
      </c>
      <c r="D27" s="261">
        <f t="shared" si="3"/>
        <v>23</v>
      </c>
      <c r="E27" s="72">
        <f>+Proyeccion_Localidades!F27</f>
        <v>340071</v>
      </c>
      <c r="F27" s="66">
        <f>IF($AB27="TGD",ROUND($E27*(1+$AD27)^(F$4-$E$4),0),IF($AB27="ALTH",ROUND($AE27+$AF27*F$4,0),IF($AB27="IR",ROUND(Proyeccion_Localidades!AC27,0),IF($AB27="RT",ROUND(Proyeccion_Localidades!AZ27,0),"*****"))))</f>
        <v>348104</v>
      </c>
      <c r="G27" s="66">
        <f>IF($AB27="TGD",ROUND($E27*(1+$AD27)^(G$4-$E$4),0),IF($AB27="ALTH",ROUND($AE27+$AF27*G$4,0),IF($AB27="IR",ROUND(Proyeccion_Localidades!AD27,0),IF($AB27="RT",ROUND(Proyeccion_Localidades!BA27,0),"*****"))))</f>
        <v>348847</v>
      </c>
      <c r="H27" s="66">
        <f>IF($AB27="TGD",ROUND($E27*(1+$AD27)^(H$4-$E$4),0),IF($AB27="ALTH",ROUND($AE27+$AF27*H$4,0),IF($AB27="IR",ROUND(Proyeccion_Localidades!AE27,0),IF($AB27="RT",ROUND(Proyeccion_Localidades!BB27,0),"*****"))))</f>
        <v>351148</v>
      </c>
      <c r="I27" s="66">
        <f>IF($AB27="TGD",ROUND($E27*(1+$AD27)^(I$4-$E$4),0),IF($AB27="ALTH",ROUND($AE27+$AF27*I$4,0),IF($AB27="IR",ROUND(Proyeccion_Localidades!AF27,0),IF($AB27="RT",ROUND(Proyeccion_Localidades!BC27,0),"*****"))))</f>
        <v>351940</v>
      </c>
      <c r="J27" s="66">
        <f>IF($AB27="TGD",ROUND($E27*(1+$AD27)^(J$4-$E$4),0),IF($AB27="ALTH",ROUND($AE27+$AF27*J$4,0),IF($AB27="IR",ROUND(Proyeccion_Localidades!AG27,0),IF($AB27="RT",ROUND(Proyeccion_Localidades!BD27,0),"*****"))))</f>
        <v>352745</v>
      </c>
      <c r="K27" s="66">
        <f>IF($AB27="TGD",ROUND($E27*(1+$AD27)^(K$4-$E$4),0),IF($AB27="ALTH",ROUND($AE27+$AF27*K$4,0),IF($AB27="IR",ROUND(Proyeccion_Localidades!AH27,0),IF($AB27="RT",ROUND(Proyeccion_Localidades!BE27,0),"*****"))))</f>
        <v>353564</v>
      </c>
      <c r="L27" s="66">
        <f>IF($AB27="TGD",ROUND($E27*(1+$AD27)^(L$4-$E$4),0),IF($AB27="ALTH",ROUND($AE27+$AF27*L$4,0),IF($AB27="IR",ROUND(Proyeccion_Localidades!AI27,0),IF($AB27="RT",ROUND(Proyeccion_Localidades!BF27,0),"*****"))))</f>
        <v>354395</v>
      </c>
      <c r="M27" s="66">
        <f>IF($AB27="TGD",ROUND($E27*(1+$AD27)^(M$4-$E$4),0),IF($AB27="ALTH",ROUND($AE27+$AF27*M$4,0),IF($AB27="IR",ROUND(Proyeccion_Localidades!AJ27,0),IF($AB27="RT",ROUND(Proyeccion_Localidades!BG27,0),"*****"))))</f>
        <v>355240</v>
      </c>
      <c r="N27" s="66">
        <f>IF($AB27="TGD",ROUND($E27*(1+$AD27)^(N$4-$E$4),0),IF($AB27="ALTH",ROUND($AE27+$AF27*N$4,0),IF($AB27="IR",ROUND(Proyeccion_Localidades!AK27,0),IF($AB27="RT",ROUND(Proyeccion_Localidades!BH27,0),"*****"))))</f>
        <v>356099</v>
      </c>
      <c r="O27" s="66">
        <f>IF($AB27="TGD",ROUND($E27*(1+$AD27)^(O$4-$E$4),0),IF($AB27="ALTH",ROUND($AE27+$AF27*O$4,0),IF($AB27="IR",ROUND(Proyeccion_Localidades!AL27,0),IF($AB27="RT",ROUND(Proyeccion_Localidades!BI27,0),"*****"))))</f>
        <v>356972</v>
      </c>
      <c r="P27" s="66">
        <f>IF($AB27="TGD",ROUND($E27*(1+$AD27)^(P$4-$E$4),0),IF($AB27="ALTH",ROUND($AE27+$AF27*P$4,0),IF($AB27="IR",ROUND(Proyeccion_Localidades!AM27,0),IF($AB27="RT",ROUND(Proyeccion_Localidades!BJ27,0),"*****"))))</f>
        <v>357859</v>
      </c>
      <c r="Q27" s="66">
        <f>IF($AB27="TGD",ROUND($E27*(1+$AD27)^(Q$4-$E$4),0),IF($AB27="ALTH",ROUND($AE27+$AF27*Q$4,0),IF($AB27="IR",ROUND(Proyeccion_Localidades!AN27,0),IF($AB27="RT",ROUND(Proyeccion_Localidades!BK27,0),"*****"))))</f>
        <v>358761</v>
      </c>
      <c r="R27" s="66">
        <f>IF($AB27="TGD",ROUND($E27*(1+$AD27)^(R$4-$E$4),0),IF($AB27="ALTH",ROUND($AE27+$AF27*R$4,0),IF($AB27="IR",ROUND(Proyeccion_Localidades!AO27,0),IF($AB27="RT",ROUND(Proyeccion_Localidades!BL27,0),"*****"))))</f>
        <v>359678</v>
      </c>
      <c r="S27" s="66">
        <f>IF($AB27="TGD",ROUND($E27*(1+$AD27)^(S$4-$E$4),0),IF($AB27="ALTH",ROUND($AE27+$AF27*S$4,0),IF($AB27="IR",ROUND(Proyeccion_Localidades!AP27,0),IF($AB27="RT",ROUND(Proyeccion_Localidades!BM27,0),"*****"))))</f>
        <v>360609</v>
      </c>
      <c r="T27" s="66">
        <f>IF($AB27="TGD",ROUND($E27*(1+$AD27)^(T$4-$E$4),0),IF($AB27="ALTH",ROUND($AE27+$AF27*T$4,0),IF($AB27="IR",ROUND(Proyeccion_Localidades!AQ27,0),IF($AB27="RT",ROUND(Proyeccion_Localidades!BN27,0),"*****"))))</f>
        <v>361555</v>
      </c>
      <c r="U27" s="66">
        <f>IF($AB27="TGD",ROUND($E27*(1+$AD27)^(U$4-$E$4),0),IF($AB27="ALTH",ROUND($AE27+$AF27*U$4,0),IF($AB27="IR",ROUND(Proyeccion_Localidades!AR27,0),IF($AB27="RT",ROUND(Proyeccion_Localidades!BO27,0),"*****"))))</f>
        <v>362517</v>
      </c>
      <c r="V27" s="66">
        <f>IF($AB27="TGD",ROUND($E27*(1+$AD27)^(V$4-$E$4),0),IF($AB27="ALTH",ROUND($AE27+$AF27*V$4,0),IF($AB27="IR",ROUND(Proyeccion_Localidades!AS27,0),IF($AB27="RT",ROUND(Proyeccion_Localidades!BP27,0),"*****"))))</f>
        <v>363495</v>
      </c>
      <c r="W27" s="66">
        <f>IF($AB27="TGD",ROUND($E27*(1+$AD27)^(W$4-$E$4),0),IF($AB27="ALTH",ROUND($AE27+$AF27*W$4,0),IF($AB27="IR",ROUND(Proyeccion_Localidades!AT27,0),IF($AB27="RT",ROUND(Proyeccion_Localidades!BQ27,0),"*****"))))</f>
        <v>364489</v>
      </c>
      <c r="X27" s="66">
        <f>IF($AB27="TGD",ROUND($E27*(1+$AD27)^(X$4-$E$4),0),IF($AB27="ALTH",ROUND($AE27+$AF27*X$4,0),IF($AB27="IR",ROUND(Proyeccion_Localidades!AU27,0),IF($AB27="RT",ROUND(Proyeccion_Localidades!BR27,0),"*****"))))</f>
        <v>365498</v>
      </c>
      <c r="Y27" s="66">
        <f>IF($AB27="TGD",ROUND($E27*(1+$AD27)^(Y$4-$E$4),0),IF($AB27="ALTH",ROUND($AE27+$AF27*Y$4,0),IF($AB27="IR",ROUND(Proyeccion_Localidades!AV27,0),IF($AB27="RT",ROUND(Proyeccion_Localidades!BS27,0),"*****"))))</f>
        <v>366525</v>
      </c>
      <c r="Z27" s="66">
        <f>IF($AB27="TGD",ROUND($E27*(1+$AD27)^(Z$4-$E$4),0),IF($AB27="ALTH",ROUND($AE27+$AF27*Z$4,0),IF($AB27="IR",ROUND(Proyeccion_Localidades!AW27,0),IF($AB27="RT",ROUND(Proyeccion_Localidades!BT27,0),"*****"))))</f>
        <v>367568</v>
      </c>
      <c r="AA27" s="66">
        <f>IF($AB27="TGD",ROUND($E27*(1+$AD27)^(AA$4-$E$4),0),IF($AB27="ALTH",ROUND($AE27+$AF27*AA$4,0),IF($AB27="IR",ROUND(Proyeccion_Localidades!AX27,0),IF($AB27="RT",ROUND(Proyeccion_Localidades!BU27,0),"*****"))))</f>
        <v>368628</v>
      </c>
      <c r="AB27" s="67" t="str">
        <f>Proyeccion_Localidades!N27</f>
        <v>IR</v>
      </c>
      <c r="AC27" s="68"/>
      <c r="AD27" s="51" t="str">
        <f>IF(AB27="TGD",Proyeccion_Localidades!Z27,"-")</f>
        <v>-</v>
      </c>
      <c r="AE27" s="51" t="str">
        <f>IF($AB27="ALTH",Proyeccion_Localidades!AA27,"-")</f>
        <v>-</v>
      </c>
      <c r="AF27" s="51" t="str">
        <f>IF($AB27="ALTH",Proyeccion_Localidades!AB27,"-")</f>
        <v>-</v>
      </c>
      <c r="AG27" s="51"/>
      <c r="AH27" s="51"/>
      <c r="AI27" s="66">
        <f t="shared" si="2"/>
        <v>348847</v>
      </c>
    </row>
    <row r="28" spans="1:35" ht="24.95" customHeight="1">
      <c r="A28" s="69" t="str">
        <f>+Proyeccion_Localidades!C28</f>
        <v>Vicente López</v>
      </c>
      <c r="B28" s="70">
        <v>24</v>
      </c>
      <c r="C28" s="71" t="str">
        <f>+Proyeccion_Localidades!B28</f>
        <v>Vicente López</v>
      </c>
      <c r="D28" s="261">
        <f t="shared" si="3"/>
        <v>24</v>
      </c>
      <c r="E28" s="72">
        <f>+Proyeccion_Localidades!F28</f>
        <v>269420</v>
      </c>
      <c r="F28" s="66">
        <f>IF($AB28="TGD",ROUND($E28*(1+$AD28)^(F$4-$E$4),0),IF($AB28="ALTH",ROUND($AE28+$AF28*F$4,0),IF($AB28="IR",ROUND(Proyeccion_Localidades!AC28,0),IF($AB28="RT",ROUND(Proyeccion_Localidades!AZ28,0),"*****"))))</f>
        <v>259028</v>
      </c>
      <c r="G28" s="66">
        <f>IF($AB28="TGD",ROUND($E28*(1+$AD28)^(G$4-$E$4),0),IF($AB28="ALTH",ROUND($AE28+$AF28*G$4,0),IF($AB28="IR",ROUND(Proyeccion_Localidades!AD28,0),IF($AB28="RT",ROUND(Proyeccion_Localidades!BA28,0),"*****"))))</f>
        <v>258068</v>
      </c>
      <c r="H28" s="66">
        <f>IF($AB28="TGD",ROUND($E28*(1+$AD28)^(H$4-$E$4),0),IF($AB28="ALTH",ROUND($AE28+$AF28*H$4,0),IF($AB28="IR",ROUND(Proyeccion_Localidades!AE28,0),IF($AB28="RT",ROUND(Proyeccion_Localidades!BB28,0),"*****"))))</f>
        <v>255091</v>
      </c>
      <c r="I28" s="66">
        <f>IF($AB28="TGD",ROUND($E28*(1+$AD28)^(I$4-$E$4),0),IF($AB28="ALTH",ROUND($AE28+$AF28*I$4,0),IF($AB28="IR",ROUND(Proyeccion_Localidades!AF28,0),IF($AB28="RT",ROUND(Proyeccion_Localidades!BC28,0),"*****"))))</f>
        <v>254066</v>
      </c>
      <c r="J28" s="66">
        <f>IF($AB28="TGD",ROUND($E28*(1+$AD28)^(J$4-$E$4),0),IF($AB28="ALTH",ROUND($AE28+$AF28*J$4,0),IF($AB28="IR",ROUND(Proyeccion_Localidades!AG28,0),IF($AB28="RT",ROUND(Proyeccion_Localidades!BD28,0),"*****"))))</f>
        <v>253025</v>
      </c>
      <c r="K28" s="66">
        <f>IF($AB28="TGD",ROUND($E28*(1+$AD28)^(K$4-$E$4),0),IF($AB28="ALTH",ROUND($AE28+$AF28*K$4,0),IF($AB28="IR",ROUND(Proyeccion_Localidades!AH28,0),IF($AB28="RT",ROUND(Proyeccion_Localidades!BE28,0),"*****"))))</f>
        <v>251966</v>
      </c>
      <c r="L28" s="66">
        <f>IF($AB28="TGD",ROUND($E28*(1+$AD28)^(L$4-$E$4),0),IF($AB28="ALTH",ROUND($AE28+$AF28*L$4,0),IF($AB28="IR",ROUND(Proyeccion_Localidades!AI28,0),IF($AB28="RT",ROUND(Proyeccion_Localidades!BF28,0),"*****"))))</f>
        <v>250891</v>
      </c>
      <c r="M28" s="66">
        <f>IF($AB28="TGD",ROUND($E28*(1+$AD28)^(M$4-$E$4),0),IF($AB28="ALTH",ROUND($AE28+$AF28*M$4,0),IF($AB28="IR",ROUND(Proyeccion_Localidades!AJ28,0),IF($AB28="RT",ROUND(Proyeccion_Localidades!BG28,0),"*****"))))</f>
        <v>249797</v>
      </c>
      <c r="N28" s="66">
        <f>IF($AB28="TGD",ROUND($E28*(1+$AD28)^(N$4-$E$4),0),IF($AB28="ALTH",ROUND($AE28+$AF28*N$4,0),IF($AB28="IR",ROUND(Proyeccion_Localidades!AK28,0),IF($AB28="RT",ROUND(Proyeccion_Localidades!BH28,0),"*****"))))</f>
        <v>248686</v>
      </c>
      <c r="O28" s="66">
        <f>IF($AB28="TGD",ROUND($E28*(1+$AD28)^(O$4-$E$4),0),IF($AB28="ALTH",ROUND($AE28+$AF28*O$4,0),IF($AB28="IR",ROUND(Proyeccion_Localidades!AL28,0),IF($AB28="RT",ROUND(Proyeccion_Localidades!BI28,0),"*****"))))</f>
        <v>247557</v>
      </c>
      <c r="P28" s="66">
        <f>IF($AB28="TGD",ROUND($E28*(1+$AD28)^(P$4-$E$4),0),IF($AB28="ALTH",ROUND($AE28+$AF28*P$4,0),IF($AB28="IR",ROUND(Proyeccion_Localidades!AM28,0),IF($AB28="RT",ROUND(Proyeccion_Localidades!BJ28,0),"*****"))))</f>
        <v>246409</v>
      </c>
      <c r="Q28" s="66">
        <f>IF($AB28="TGD",ROUND($E28*(1+$AD28)^(Q$4-$E$4),0),IF($AB28="ALTH",ROUND($AE28+$AF28*Q$4,0),IF($AB28="IR",ROUND(Proyeccion_Localidades!AN28,0),IF($AB28="RT",ROUND(Proyeccion_Localidades!BK28,0),"*****"))))</f>
        <v>245243</v>
      </c>
      <c r="R28" s="66">
        <f>IF($AB28="TGD",ROUND($E28*(1+$AD28)^(R$4-$E$4),0),IF($AB28="ALTH",ROUND($AE28+$AF28*R$4,0),IF($AB28="IR",ROUND(Proyeccion_Localidades!AO28,0),IF($AB28="RT",ROUND(Proyeccion_Localidades!BL28,0),"*****"))))</f>
        <v>244058</v>
      </c>
      <c r="S28" s="66">
        <f>IF($AB28="TGD",ROUND($E28*(1+$AD28)^(S$4-$E$4),0),IF($AB28="ALTH",ROUND($AE28+$AF28*S$4,0),IF($AB28="IR",ROUND(Proyeccion_Localidades!AP28,0),IF($AB28="RT",ROUND(Proyeccion_Localidades!BM28,0),"*****"))))</f>
        <v>242853</v>
      </c>
      <c r="T28" s="66">
        <f>IF($AB28="TGD",ROUND($E28*(1+$AD28)^(T$4-$E$4),0),IF($AB28="ALTH",ROUND($AE28+$AF28*T$4,0),IF($AB28="IR",ROUND(Proyeccion_Localidades!AQ28,0),IF($AB28="RT",ROUND(Proyeccion_Localidades!BN28,0),"*****"))))</f>
        <v>241629</v>
      </c>
      <c r="U28" s="66">
        <f>IF($AB28="TGD",ROUND($E28*(1+$AD28)^(U$4-$E$4),0),IF($AB28="ALTH",ROUND($AE28+$AF28*U$4,0),IF($AB28="IR",ROUND(Proyeccion_Localidades!AR28,0),IF($AB28="RT",ROUND(Proyeccion_Localidades!BO28,0),"*****"))))</f>
        <v>240384</v>
      </c>
      <c r="V28" s="66">
        <f>IF($AB28="TGD",ROUND($E28*(1+$AD28)^(V$4-$E$4),0),IF($AB28="ALTH",ROUND($AE28+$AF28*V$4,0),IF($AB28="IR",ROUND(Proyeccion_Localidades!AS28,0),IF($AB28="RT",ROUND(Proyeccion_Localidades!BP28,0),"*****"))))</f>
        <v>239120</v>
      </c>
      <c r="W28" s="66">
        <f>IF($AB28="TGD",ROUND($E28*(1+$AD28)^(W$4-$E$4),0),IF($AB28="ALTH",ROUND($AE28+$AF28*W$4,0),IF($AB28="IR",ROUND(Proyeccion_Localidades!AT28,0),IF($AB28="RT",ROUND(Proyeccion_Localidades!BQ28,0),"*****"))))</f>
        <v>237834</v>
      </c>
      <c r="X28" s="66">
        <f>IF($AB28="TGD",ROUND($E28*(1+$AD28)^(X$4-$E$4),0),IF($AB28="ALTH",ROUND($AE28+$AF28*X$4,0),IF($AB28="IR",ROUND(Proyeccion_Localidades!AU28,0),IF($AB28="RT",ROUND(Proyeccion_Localidades!BR28,0),"*****"))))</f>
        <v>236528</v>
      </c>
      <c r="Y28" s="66">
        <f>IF($AB28="TGD",ROUND($E28*(1+$AD28)^(Y$4-$E$4),0),IF($AB28="ALTH",ROUND($AE28+$AF28*Y$4,0),IF($AB28="IR",ROUND(Proyeccion_Localidades!AV28,0),IF($AB28="RT",ROUND(Proyeccion_Localidades!BS28,0),"*****"))))</f>
        <v>235200</v>
      </c>
      <c r="Z28" s="66">
        <f>IF($AB28="TGD",ROUND($E28*(1+$AD28)^(Z$4-$E$4),0),IF($AB28="ALTH",ROUND($AE28+$AF28*Z$4,0),IF($AB28="IR",ROUND(Proyeccion_Localidades!AW28,0),IF($AB28="RT",ROUND(Proyeccion_Localidades!BT28,0),"*****"))))</f>
        <v>233851</v>
      </c>
      <c r="AA28" s="66">
        <f>IF($AB28="TGD",ROUND($E28*(1+$AD28)^(AA$4-$E$4),0),IF($AB28="ALTH",ROUND($AE28+$AF28*AA$4,0),IF($AB28="IR",ROUND(Proyeccion_Localidades!AX28,0),IF($AB28="RT",ROUND(Proyeccion_Localidades!BU28,0),"*****"))))</f>
        <v>232480</v>
      </c>
      <c r="AB28" s="67" t="str">
        <f>Proyeccion_Localidades!N28</f>
        <v>IR</v>
      </c>
      <c r="AC28" s="68"/>
      <c r="AD28" s="51" t="str">
        <f>IF(AB28="TGD",Proyeccion_Localidades!Z28,"-")</f>
        <v>-</v>
      </c>
      <c r="AE28" s="51" t="str">
        <f>IF($AB28="ALTH",Proyeccion_Localidades!AA28,"-")</f>
        <v>-</v>
      </c>
      <c r="AF28" s="51" t="str">
        <f>IF($AB28="ALTH",Proyeccion_Localidades!AB28,"-")</f>
        <v>-</v>
      </c>
      <c r="AG28" s="51"/>
      <c r="AH28" s="51"/>
      <c r="AI28" s="66">
        <f t="shared" si="2"/>
        <v>258068</v>
      </c>
    </row>
    <row r="29" spans="1:35" ht="24.95" customHeight="1">
      <c r="A29" s="69" t="str">
        <f>+Proyeccion_Localidades!C29</f>
        <v>25 de Mayo</v>
      </c>
      <c r="B29" s="70">
        <v>25</v>
      </c>
      <c r="C29" s="71" t="str">
        <f>+Proyeccion_Localidades!B29</f>
        <v>25 de Mayo</v>
      </c>
      <c r="D29" s="261">
        <f t="shared" si="3"/>
        <v>25</v>
      </c>
      <c r="E29" s="72">
        <f>+Proyeccion_Localidades!F29</f>
        <v>23408</v>
      </c>
      <c r="F29" s="66">
        <f>IF($AB29="TGD",ROUND($E29*(1+$AD29)^(F$4-$E$4),0),IF($AB29="ALTH",ROUND($AE29+$AF29*F$4,0),IF($AB29="IR",ROUND(Proyeccion_Localidades!AC29,0),IF($AB29="RT",ROUND(Proyeccion_Localidades!AZ29,0),"*****"))))</f>
        <v>24558</v>
      </c>
      <c r="G29" s="66">
        <f>IF($AB29="TGD",ROUND($E29*(1+$AD29)^(G$4-$E$4),0),IF($AB29="ALTH",ROUND($AE29+$AF29*G$4,0),IF($AB29="IR",ROUND(Proyeccion_Localidades!AD29,0),IF($AB29="RT",ROUND(Proyeccion_Localidades!BA29,0),"*****"))))</f>
        <v>24656</v>
      </c>
      <c r="H29" s="66">
        <f>IF($AB29="TGD",ROUND($E29*(1+$AD29)^(H$4-$E$4),0),IF($AB29="ALTH",ROUND($AE29+$AF29*H$4,0),IF($AB29="IR",ROUND(Proyeccion_Localidades!AE29,0),IF($AB29="RT",ROUND(Proyeccion_Localidades!BB29,0),"*****"))))</f>
        <v>24954</v>
      </c>
      <c r="I29" s="66">
        <f>IF($AB29="TGD",ROUND($E29*(1+$AD29)^(I$4-$E$4),0),IF($AB29="ALTH",ROUND($AE29+$AF29*I$4,0),IF($AB29="IR",ROUND(Proyeccion_Localidades!AF29,0),IF($AB29="RT",ROUND(Proyeccion_Localidades!BC29,0),"*****"))))</f>
        <v>25054</v>
      </c>
      <c r="J29" s="66">
        <f>IF($AB29="TGD",ROUND($E29*(1+$AD29)^(J$4-$E$4),0),IF($AB29="ALTH",ROUND($AE29+$AF29*J$4,0),IF($AB29="IR",ROUND(Proyeccion_Localidades!AG29,0),IF($AB29="RT",ROUND(Proyeccion_Localidades!BD29,0),"*****"))))</f>
        <v>25154</v>
      </c>
      <c r="K29" s="66">
        <f>IF($AB29="TGD",ROUND($E29*(1+$AD29)^(K$4-$E$4),0),IF($AB29="ALTH",ROUND($AE29+$AF29*K$4,0),IF($AB29="IR",ROUND(Proyeccion_Localidades!AH29,0),IF($AB29="RT",ROUND(Proyeccion_Localidades!BE29,0),"*****"))))</f>
        <v>25255</v>
      </c>
      <c r="L29" s="66">
        <f>IF($AB29="TGD",ROUND($E29*(1+$AD29)^(L$4-$E$4),0),IF($AB29="ALTH",ROUND($AE29+$AF29*L$4,0),IF($AB29="IR",ROUND(Proyeccion_Localidades!AI29,0),IF($AB29="RT",ROUND(Proyeccion_Localidades!BF29,0),"*****"))))</f>
        <v>25356</v>
      </c>
      <c r="M29" s="66">
        <f>IF($AB29="TGD",ROUND($E29*(1+$AD29)^(M$4-$E$4),0),IF($AB29="ALTH",ROUND($AE29+$AF29*M$4,0),IF($AB29="IR",ROUND(Proyeccion_Localidades!AJ29,0),IF($AB29="RT",ROUND(Proyeccion_Localidades!BG29,0),"*****"))))</f>
        <v>25457</v>
      </c>
      <c r="N29" s="66">
        <f>IF($AB29="TGD",ROUND($E29*(1+$AD29)^(N$4-$E$4),0),IF($AB29="ALTH",ROUND($AE29+$AF29*N$4,0),IF($AB29="IR",ROUND(Proyeccion_Localidades!AK29,0),IF($AB29="RT",ROUND(Proyeccion_Localidades!BH29,0),"*****"))))</f>
        <v>25559</v>
      </c>
      <c r="O29" s="66">
        <f>IF($AB29="TGD",ROUND($E29*(1+$AD29)^(O$4-$E$4),0),IF($AB29="ALTH",ROUND($AE29+$AF29*O$4,0),IF($AB29="IR",ROUND(Proyeccion_Localidades!AL29,0),IF($AB29="RT",ROUND(Proyeccion_Localidades!BI29,0),"*****"))))</f>
        <v>25662</v>
      </c>
      <c r="P29" s="66">
        <f>IF($AB29="TGD",ROUND($E29*(1+$AD29)^(P$4-$E$4),0),IF($AB29="ALTH",ROUND($AE29+$AF29*P$4,0),IF($AB29="IR",ROUND(Proyeccion_Localidades!AM29,0),IF($AB29="RT",ROUND(Proyeccion_Localidades!BJ29,0),"*****"))))</f>
        <v>25764</v>
      </c>
      <c r="Q29" s="66">
        <f>IF($AB29="TGD",ROUND($E29*(1+$AD29)^(Q$4-$E$4),0),IF($AB29="ALTH",ROUND($AE29+$AF29*Q$4,0),IF($AB29="IR",ROUND(Proyeccion_Localidades!AN29,0),IF($AB29="RT",ROUND(Proyeccion_Localidades!BK29,0),"*****"))))</f>
        <v>25868</v>
      </c>
      <c r="R29" s="66">
        <f>IF($AB29="TGD",ROUND($E29*(1+$AD29)^(R$4-$E$4),0),IF($AB29="ALTH",ROUND($AE29+$AF29*R$4,0),IF($AB29="IR",ROUND(Proyeccion_Localidades!AO29,0),IF($AB29="RT",ROUND(Proyeccion_Localidades!BL29,0),"*****"))))</f>
        <v>25971</v>
      </c>
      <c r="S29" s="66">
        <f>IF($AB29="TGD",ROUND($E29*(1+$AD29)^(S$4-$E$4),0),IF($AB29="ALTH",ROUND($AE29+$AF29*S$4,0),IF($AB29="IR",ROUND(Proyeccion_Localidades!AP29,0),IF($AB29="RT",ROUND(Proyeccion_Localidades!BM29,0),"*****"))))</f>
        <v>26075</v>
      </c>
      <c r="T29" s="66">
        <f>IF($AB29="TGD",ROUND($E29*(1+$AD29)^(T$4-$E$4),0),IF($AB29="ALTH",ROUND($AE29+$AF29*T$4,0),IF($AB29="IR",ROUND(Proyeccion_Localidades!AQ29,0),IF($AB29="RT",ROUND(Proyeccion_Localidades!BN29,0),"*****"))))</f>
        <v>26180</v>
      </c>
      <c r="U29" s="66">
        <f>IF($AB29="TGD",ROUND($E29*(1+$AD29)^(U$4-$E$4),0),IF($AB29="ALTH",ROUND($AE29+$AF29*U$4,0),IF($AB29="IR",ROUND(Proyeccion_Localidades!AR29,0),IF($AB29="RT",ROUND(Proyeccion_Localidades!BO29,0),"*****"))))</f>
        <v>26284</v>
      </c>
      <c r="V29" s="66">
        <f>IF($AB29="TGD",ROUND($E29*(1+$AD29)^(V$4-$E$4),0),IF($AB29="ALTH",ROUND($AE29+$AF29*V$4,0),IF($AB29="IR",ROUND(Proyeccion_Localidades!AS29,0),IF($AB29="RT",ROUND(Proyeccion_Localidades!BP29,0),"*****"))))</f>
        <v>26390</v>
      </c>
      <c r="W29" s="66">
        <f>IF($AB29="TGD",ROUND($E29*(1+$AD29)^(W$4-$E$4),0),IF($AB29="ALTH",ROUND($AE29+$AF29*W$4,0),IF($AB29="IR",ROUND(Proyeccion_Localidades!AT29,0),IF($AB29="RT",ROUND(Proyeccion_Localidades!BQ29,0),"*****"))))</f>
        <v>26495</v>
      </c>
      <c r="X29" s="66">
        <f>IF($AB29="TGD",ROUND($E29*(1+$AD29)^(X$4-$E$4),0),IF($AB29="ALTH",ROUND($AE29+$AF29*X$4,0),IF($AB29="IR",ROUND(Proyeccion_Localidades!AU29,0),IF($AB29="RT",ROUND(Proyeccion_Localidades!BR29,0),"*****"))))</f>
        <v>26602</v>
      </c>
      <c r="Y29" s="66">
        <f>IF($AB29="TGD",ROUND($E29*(1+$AD29)^(Y$4-$E$4),0),IF($AB29="ALTH",ROUND($AE29+$AF29*Y$4,0),IF($AB29="IR",ROUND(Proyeccion_Localidades!AV29,0),IF($AB29="RT",ROUND(Proyeccion_Localidades!BS29,0),"*****"))))</f>
        <v>26708</v>
      </c>
      <c r="Z29" s="66">
        <f>IF($AB29="TGD",ROUND($E29*(1+$AD29)^(Z$4-$E$4),0),IF($AB29="ALTH",ROUND($AE29+$AF29*Z$4,0),IF($AB29="IR",ROUND(Proyeccion_Localidades!AW29,0),IF($AB29="RT",ROUND(Proyeccion_Localidades!BT29,0),"*****"))))</f>
        <v>26815</v>
      </c>
      <c r="AA29" s="66">
        <f>IF($AB29="TGD",ROUND($E29*(1+$AD29)^(AA$4-$E$4),0),IF($AB29="ALTH",ROUND($AE29+$AF29*AA$4,0),IF($AB29="IR",ROUND(Proyeccion_Localidades!AX29,0),IF($AB29="RT",ROUND(Proyeccion_Localidades!BU29,0),"*****"))))</f>
        <v>26922</v>
      </c>
      <c r="AB29" s="67" t="str">
        <f>Proyeccion_Localidades!N29</f>
        <v>TGD</v>
      </c>
      <c r="AC29" s="68" t="s">
        <v>35</v>
      </c>
      <c r="AD29" s="51">
        <f>IF(AB29="TGD",Proyeccion_Localidades!Z29,"-")</f>
        <v>4.0045523840932518E-3</v>
      </c>
      <c r="AE29" s="51" t="str">
        <f>IF($AB29="ALTH",Proyeccion_Localidades!AA29,"-")</f>
        <v>-</v>
      </c>
      <c r="AF29" s="51" t="str">
        <f>IF($AB29="ALTH",Proyeccion_Localidades!AB29,"-")</f>
        <v>-</v>
      </c>
      <c r="AG29" s="51"/>
      <c r="AH29" s="51"/>
      <c r="AI29" s="66">
        <f t="shared" si="2"/>
        <v>24656</v>
      </c>
    </row>
    <row r="30" spans="1:35" ht="24.95" customHeight="1">
      <c r="A30" s="69" t="str">
        <f>+Proyeccion_Localidades!C30</f>
        <v>9 de Julio</v>
      </c>
      <c r="B30" s="70">
        <v>26</v>
      </c>
      <c r="C30" s="71" t="str">
        <f>+Proyeccion_Localidades!B30</f>
        <v>9 de Julio</v>
      </c>
      <c r="D30" s="261">
        <f t="shared" si="3"/>
        <v>26</v>
      </c>
      <c r="E30" s="72">
        <f>+Proyeccion_Localidades!F30</f>
        <v>36494</v>
      </c>
      <c r="F30" s="66">
        <f>IF($AB30="TGD",ROUND($E30*(1+$AD30)^(F$4-$E$4),0),IF($AB30="ALTH",ROUND($AE30+$AF30*F$4,0),IF($AB30="IR",ROUND(Proyeccion_Localidades!AC30,0),IF($AB30="RT",ROUND(Proyeccion_Localidades!AZ30,0),"*****"))))</f>
        <v>40655</v>
      </c>
      <c r="G30" s="66">
        <f>IF($AB30="TGD",ROUND($E30*(1+$AD30)^(G$4-$E$4),0),IF($AB30="ALTH",ROUND($AE30+$AF30*G$4,0),IF($AB30="IR",ROUND(Proyeccion_Localidades!AD30,0),IF($AB30="RT",ROUND(Proyeccion_Localidades!BA30,0),"*****"))))</f>
        <v>40980</v>
      </c>
      <c r="H30" s="66">
        <f>IF($AB30="TGD",ROUND($E30*(1+$AD30)^(H$4-$E$4),0),IF($AB30="ALTH",ROUND($AE30+$AF30*H$4,0),IF($AB30="IR",ROUND(Proyeccion_Localidades!AE30,0),IF($AB30="RT",ROUND(Proyeccion_Localidades!BB30,0),"*****"))))</f>
        <v>41953</v>
      </c>
      <c r="I30" s="66">
        <f>IF($AB30="TGD",ROUND($E30*(1+$AD30)^(I$4-$E$4),0),IF($AB30="ALTH",ROUND($AE30+$AF30*I$4,0),IF($AB30="IR",ROUND(Proyeccion_Localidades!AF30,0),IF($AB30="RT",ROUND(Proyeccion_Localidades!BC30,0),"*****"))))</f>
        <v>42277</v>
      </c>
      <c r="J30" s="66">
        <f>IF($AB30="TGD",ROUND($E30*(1+$AD30)^(J$4-$E$4),0),IF($AB30="ALTH",ROUND($AE30+$AF30*J$4,0),IF($AB30="IR",ROUND(Proyeccion_Localidades!AG30,0),IF($AB30="RT",ROUND(Proyeccion_Localidades!BD30,0),"*****"))))</f>
        <v>42602</v>
      </c>
      <c r="K30" s="66">
        <f>IF($AB30="TGD",ROUND($E30*(1+$AD30)^(K$4-$E$4),0),IF($AB30="ALTH",ROUND($AE30+$AF30*K$4,0),IF($AB30="IR",ROUND(Proyeccion_Localidades!AH30,0),IF($AB30="RT",ROUND(Proyeccion_Localidades!BE30,0),"*****"))))</f>
        <v>42926</v>
      </c>
      <c r="L30" s="66">
        <f>IF($AB30="TGD",ROUND($E30*(1+$AD30)^(L$4-$E$4),0),IF($AB30="ALTH",ROUND($AE30+$AF30*L$4,0),IF($AB30="IR",ROUND(Proyeccion_Localidades!AI30,0),IF($AB30="RT",ROUND(Proyeccion_Localidades!BF30,0),"*****"))))</f>
        <v>43251</v>
      </c>
      <c r="M30" s="66">
        <f>IF($AB30="TGD",ROUND($E30*(1+$AD30)^(M$4-$E$4),0),IF($AB30="ALTH",ROUND($AE30+$AF30*M$4,0),IF($AB30="IR",ROUND(Proyeccion_Localidades!AJ30,0),IF($AB30="RT",ROUND(Proyeccion_Localidades!BG30,0),"*****"))))</f>
        <v>43575</v>
      </c>
      <c r="N30" s="66">
        <f>IF($AB30="TGD",ROUND($E30*(1+$AD30)^(N$4-$E$4),0),IF($AB30="ALTH",ROUND($AE30+$AF30*N$4,0),IF($AB30="IR",ROUND(Proyeccion_Localidades!AK30,0),IF($AB30="RT",ROUND(Proyeccion_Localidades!BH30,0),"*****"))))</f>
        <v>43900</v>
      </c>
      <c r="O30" s="66">
        <f>IF($AB30="TGD",ROUND($E30*(1+$AD30)^(O$4-$E$4),0),IF($AB30="ALTH",ROUND($AE30+$AF30*O$4,0),IF($AB30="IR",ROUND(Proyeccion_Localidades!AL30,0),IF($AB30="RT",ROUND(Proyeccion_Localidades!BI30,0),"*****"))))</f>
        <v>44224</v>
      </c>
      <c r="P30" s="66">
        <f>IF($AB30="TGD",ROUND($E30*(1+$AD30)^(P$4-$E$4),0),IF($AB30="ALTH",ROUND($AE30+$AF30*P$4,0),IF($AB30="IR",ROUND(Proyeccion_Localidades!AM30,0),IF($AB30="RT",ROUND(Proyeccion_Localidades!BJ30,0),"*****"))))</f>
        <v>44549</v>
      </c>
      <c r="Q30" s="66">
        <f>IF($AB30="TGD",ROUND($E30*(1+$AD30)^(Q$4-$E$4),0),IF($AB30="ALTH",ROUND($AE30+$AF30*Q$4,0),IF($AB30="IR",ROUND(Proyeccion_Localidades!AN30,0),IF($AB30="RT",ROUND(Proyeccion_Localidades!BK30,0),"*****"))))</f>
        <v>44873</v>
      </c>
      <c r="R30" s="66">
        <f>IF($AB30="TGD",ROUND($E30*(1+$AD30)^(R$4-$E$4),0),IF($AB30="ALTH",ROUND($AE30+$AF30*R$4,0),IF($AB30="IR",ROUND(Proyeccion_Localidades!AO30,0),IF($AB30="RT",ROUND(Proyeccion_Localidades!BL30,0),"*****"))))</f>
        <v>45198</v>
      </c>
      <c r="S30" s="66">
        <f>IF($AB30="TGD",ROUND($E30*(1+$AD30)^(S$4-$E$4),0),IF($AB30="ALTH",ROUND($AE30+$AF30*S$4,0),IF($AB30="IR",ROUND(Proyeccion_Localidades!AP30,0),IF($AB30="RT",ROUND(Proyeccion_Localidades!BM30,0),"*****"))))</f>
        <v>45522</v>
      </c>
      <c r="T30" s="66">
        <f>IF($AB30="TGD",ROUND($E30*(1+$AD30)^(T$4-$E$4),0),IF($AB30="ALTH",ROUND($AE30+$AF30*T$4,0),IF($AB30="IR",ROUND(Proyeccion_Localidades!AQ30,0),IF($AB30="RT",ROUND(Proyeccion_Localidades!BN30,0),"*****"))))</f>
        <v>45847</v>
      </c>
      <c r="U30" s="66">
        <f>IF($AB30="TGD",ROUND($E30*(1+$AD30)^(U$4-$E$4),0),IF($AB30="ALTH",ROUND($AE30+$AF30*U$4,0),IF($AB30="IR",ROUND(Proyeccion_Localidades!AR30,0),IF($AB30="RT",ROUND(Proyeccion_Localidades!BO30,0),"*****"))))</f>
        <v>46171</v>
      </c>
      <c r="V30" s="66">
        <f>IF($AB30="TGD",ROUND($E30*(1+$AD30)^(V$4-$E$4),0),IF($AB30="ALTH",ROUND($AE30+$AF30*V$4,0),IF($AB30="IR",ROUND(Proyeccion_Localidades!AS30,0),IF($AB30="RT",ROUND(Proyeccion_Localidades!BP30,0),"*****"))))</f>
        <v>46495</v>
      </c>
      <c r="W30" s="66">
        <f>IF($AB30="TGD",ROUND($E30*(1+$AD30)^(W$4-$E$4),0),IF($AB30="ALTH",ROUND($AE30+$AF30*W$4,0),IF($AB30="IR",ROUND(Proyeccion_Localidades!AT30,0),IF($AB30="RT",ROUND(Proyeccion_Localidades!BQ30,0),"*****"))))</f>
        <v>46820</v>
      </c>
      <c r="X30" s="66">
        <f>IF($AB30="TGD",ROUND($E30*(1+$AD30)^(X$4-$E$4),0),IF($AB30="ALTH",ROUND($AE30+$AF30*X$4,0),IF($AB30="IR",ROUND(Proyeccion_Localidades!AU30,0),IF($AB30="RT",ROUND(Proyeccion_Localidades!BR30,0),"*****"))))</f>
        <v>47144</v>
      </c>
      <c r="Y30" s="66">
        <f>IF($AB30="TGD",ROUND($E30*(1+$AD30)^(Y$4-$E$4),0),IF($AB30="ALTH",ROUND($AE30+$AF30*Y$4,0),IF($AB30="IR",ROUND(Proyeccion_Localidades!AV30,0),IF($AB30="RT",ROUND(Proyeccion_Localidades!BS30,0),"*****"))))</f>
        <v>47469</v>
      </c>
      <c r="Z30" s="66">
        <f>IF($AB30="TGD",ROUND($E30*(1+$AD30)^(Z$4-$E$4),0),IF($AB30="ALTH",ROUND($AE30+$AF30*Z$4,0),IF($AB30="IR",ROUND(Proyeccion_Localidades!AW30,0),IF($AB30="RT",ROUND(Proyeccion_Localidades!BT30,0),"*****"))))</f>
        <v>47793</v>
      </c>
      <c r="AA30" s="66">
        <f>IF($AB30="TGD",ROUND($E30*(1+$AD30)^(AA$4-$E$4),0),IF($AB30="ALTH",ROUND($AE30+$AF30*AA$4,0),IF($AB30="IR",ROUND(Proyeccion_Localidades!AX30,0),IF($AB30="RT",ROUND(Proyeccion_Localidades!BU30,0),"*****"))))</f>
        <v>48118</v>
      </c>
      <c r="AB30" s="67" t="str">
        <f>Proyeccion_Localidades!N30</f>
        <v>ALTH</v>
      </c>
      <c r="AC30" s="68" t="s">
        <v>36</v>
      </c>
      <c r="AD30" s="51" t="str">
        <f>IF(AB30="TGD",Proyeccion_Localidades!Z30,"-")</f>
        <v>-</v>
      </c>
      <c r="AE30" s="51">
        <f>IF($AB30="ALTH",Proyeccion_Localidades!AA30,"-")</f>
        <v>-615405.48339483398</v>
      </c>
      <c r="AF30" s="51">
        <f>IF($AB30="ALTH",Proyeccion_Localidades!AB30,"-")</f>
        <v>324.46125461254616</v>
      </c>
      <c r="AG30" s="51"/>
      <c r="AH30" s="51"/>
      <c r="AI30" s="66">
        <f t="shared" si="2"/>
        <v>40980</v>
      </c>
    </row>
    <row r="31" spans="1:35" ht="24.95" customHeight="1">
      <c r="A31" s="69" t="str">
        <f>+Proyeccion_Localidades!C31</f>
        <v>Adolfo Alsina</v>
      </c>
      <c r="B31" s="70">
        <v>27</v>
      </c>
      <c r="C31" s="71" t="str">
        <f>+Proyeccion_Localidades!B31</f>
        <v>Carhué</v>
      </c>
      <c r="D31" s="261">
        <f t="shared" si="3"/>
        <v>27</v>
      </c>
      <c r="E31" s="72">
        <f>+Proyeccion_Localidades!F31</f>
        <v>9660</v>
      </c>
      <c r="F31" s="66">
        <f>IF($AB31="TGD",ROUND($E31*(1+$AD31)^(F$4-$E$4),0),IF($AB31="ALTH",ROUND($AE31+$AF31*F$4,0),IF($AB31="IR",ROUND(Proyeccion_Localidades!AC31,0),IF($AB31="RT",ROUND(Proyeccion_Localidades!AZ31,0),"*****"))))</f>
        <v>10160</v>
      </c>
      <c r="G31" s="66">
        <f>IF($AB31="TGD",ROUND($E31*(1+$AD31)^(G$4-$E$4),0),IF($AB31="ALTH",ROUND($AE31+$AF31*G$4,0),IF($AB31="IR",ROUND(Proyeccion_Localidades!AD31,0),IF($AB31="RT",ROUND(Proyeccion_Localidades!BA31,0),"*****"))))</f>
        <v>10218</v>
      </c>
      <c r="H31" s="66">
        <f>IF($AB31="TGD",ROUND($E31*(1+$AD31)^(H$4-$E$4),0),IF($AB31="ALTH",ROUND($AE31+$AF31*H$4,0),IF($AB31="IR",ROUND(Proyeccion_Localidades!AE31,0),IF($AB31="RT",ROUND(Proyeccion_Localidades!BB31,0),"*****"))))</f>
        <v>10391</v>
      </c>
      <c r="I31" s="66">
        <f>IF($AB31="TGD",ROUND($E31*(1+$AD31)^(I$4-$E$4),0),IF($AB31="ALTH",ROUND($AE31+$AF31*I$4,0),IF($AB31="IR",ROUND(Proyeccion_Localidades!AF31,0),IF($AB31="RT",ROUND(Proyeccion_Localidades!BC31,0),"*****"))))</f>
        <v>10448</v>
      </c>
      <c r="J31" s="66">
        <f>IF($AB31="TGD",ROUND($E31*(1+$AD31)^(J$4-$E$4),0),IF($AB31="ALTH",ROUND($AE31+$AF31*J$4,0),IF($AB31="IR",ROUND(Proyeccion_Localidades!AG31,0),IF($AB31="RT",ROUND(Proyeccion_Localidades!BD31,0),"*****"))))</f>
        <v>10506</v>
      </c>
      <c r="K31" s="66">
        <f>IF($AB31="TGD",ROUND($E31*(1+$AD31)^(K$4-$E$4),0),IF($AB31="ALTH",ROUND($AE31+$AF31*K$4,0),IF($AB31="IR",ROUND(Proyeccion_Localidades!AH31,0),IF($AB31="RT",ROUND(Proyeccion_Localidades!BE31,0),"*****"))))</f>
        <v>10564</v>
      </c>
      <c r="L31" s="66">
        <f>IF($AB31="TGD",ROUND($E31*(1+$AD31)^(L$4-$E$4),0),IF($AB31="ALTH",ROUND($AE31+$AF31*L$4,0),IF($AB31="IR",ROUND(Proyeccion_Localidades!AI31,0),IF($AB31="RT",ROUND(Proyeccion_Localidades!BF31,0),"*****"))))</f>
        <v>10621</v>
      </c>
      <c r="M31" s="66">
        <f>IF($AB31="TGD",ROUND($E31*(1+$AD31)^(M$4-$E$4),0),IF($AB31="ALTH",ROUND($AE31+$AF31*M$4,0),IF($AB31="IR",ROUND(Proyeccion_Localidades!AJ31,0),IF($AB31="RT",ROUND(Proyeccion_Localidades!BG31,0),"*****"))))</f>
        <v>10679</v>
      </c>
      <c r="N31" s="66">
        <f>IF($AB31="TGD",ROUND($E31*(1+$AD31)^(N$4-$E$4),0),IF($AB31="ALTH",ROUND($AE31+$AF31*N$4,0),IF($AB31="IR",ROUND(Proyeccion_Localidades!AK31,0),IF($AB31="RT",ROUND(Proyeccion_Localidades!BH31,0),"*****"))))</f>
        <v>10737</v>
      </c>
      <c r="O31" s="66">
        <f>IF($AB31="TGD",ROUND($E31*(1+$AD31)^(O$4-$E$4),0),IF($AB31="ALTH",ROUND($AE31+$AF31*O$4,0),IF($AB31="IR",ROUND(Proyeccion_Localidades!AL31,0),IF($AB31="RT",ROUND(Proyeccion_Localidades!BI31,0),"*****"))))</f>
        <v>10794</v>
      </c>
      <c r="P31" s="66">
        <f>IF($AB31="TGD",ROUND($E31*(1+$AD31)^(P$4-$E$4),0),IF($AB31="ALTH",ROUND($AE31+$AF31*P$4,0),IF($AB31="IR",ROUND(Proyeccion_Localidades!AM31,0),IF($AB31="RT",ROUND(Proyeccion_Localidades!BJ31,0),"*****"))))</f>
        <v>10852</v>
      </c>
      <c r="Q31" s="66">
        <f>IF($AB31="TGD",ROUND($E31*(1+$AD31)^(Q$4-$E$4),0),IF($AB31="ALTH",ROUND($AE31+$AF31*Q$4,0),IF($AB31="IR",ROUND(Proyeccion_Localidades!AN31,0),IF($AB31="RT",ROUND(Proyeccion_Localidades!BK31,0),"*****"))))</f>
        <v>10910</v>
      </c>
      <c r="R31" s="66">
        <f>IF($AB31="TGD",ROUND($E31*(1+$AD31)^(R$4-$E$4),0),IF($AB31="ALTH",ROUND($AE31+$AF31*R$4,0),IF($AB31="IR",ROUND(Proyeccion_Localidades!AO31,0),IF($AB31="RT",ROUND(Proyeccion_Localidades!BL31,0),"*****"))))</f>
        <v>10967</v>
      </c>
      <c r="S31" s="66">
        <f>IF($AB31="TGD",ROUND($E31*(1+$AD31)^(S$4-$E$4),0),IF($AB31="ALTH",ROUND($AE31+$AF31*S$4,0),IF($AB31="IR",ROUND(Proyeccion_Localidades!AP31,0),IF($AB31="RT",ROUND(Proyeccion_Localidades!BM31,0),"*****"))))</f>
        <v>11025</v>
      </c>
      <c r="T31" s="66">
        <f>IF($AB31="TGD",ROUND($E31*(1+$AD31)^(T$4-$E$4),0),IF($AB31="ALTH",ROUND($AE31+$AF31*T$4,0),IF($AB31="IR",ROUND(Proyeccion_Localidades!AQ31,0),IF($AB31="RT",ROUND(Proyeccion_Localidades!BN31,0),"*****"))))</f>
        <v>11083</v>
      </c>
      <c r="U31" s="66">
        <f>IF($AB31="TGD",ROUND($E31*(1+$AD31)^(U$4-$E$4),0),IF($AB31="ALTH",ROUND($AE31+$AF31*U$4,0),IF($AB31="IR",ROUND(Proyeccion_Localidades!AR31,0),IF($AB31="RT",ROUND(Proyeccion_Localidades!BO31,0),"*****"))))</f>
        <v>11140</v>
      </c>
      <c r="V31" s="66">
        <f>IF($AB31="TGD",ROUND($E31*(1+$AD31)^(V$4-$E$4),0),IF($AB31="ALTH",ROUND($AE31+$AF31*V$4,0),IF($AB31="IR",ROUND(Proyeccion_Localidades!AS31,0),IF($AB31="RT",ROUND(Proyeccion_Localidades!BP31,0),"*****"))))</f>
        <v>11198</v>
      </c>
      <c r="W31" s="66">
        <f>IF($AB31="TGD",ROUND($E31*(1+$AD31)^(W$4-$E$4),0),IF($AB31="ALTH",ROUND($AE31+$AF31*W$4,0),IF($AB31="IR",ROUND(Proyeccion_Localidades!AT31,0),IF($AB31="RT",ROUND(Proyeccion_Localidades!BQ31,0),"*****"))))</f>
        <v>11256</v>
      </c>
      <c r="X31" s="66">
        <f>IF($AB31="TGD",ROUND($E31*(1+$AD31)^(X$4-$E$4),0),IF($AB31="ALTH",ROUND($AE31+$AF31*X$4,0),IF($AB31="IR",ROUND(Proyeccion_Localidades!AU31,0),IF($AB31="RT",ROUND(Proyeccion_Localidades!BR31,0),"*****"))))</f>
        <v>11314</v>
      </c>
      <c r="Y31" s="66">
        <f>IF($AB31="TGD",ROUND($E31*(1+$AD31)^(Y$4-$E$4),0),IF($AB31="ALTH",ROUND($AE31+$AF31*Y$4,0),IF($AB31="IR",ROUND(Proyeccion_Localidades!AV31,0),IF($AB31="RT",ROUND(Proyeccion_Localidades!BS31,0),"*****"))))</f>
        <v>11371</v>
      </c>
      <c r="Z31" s="66">
        <f>IF($AB31="TGD",ROUND($E31*(1+$AD31)^(Z$4-$E$4),0),IF($AB31="ALTH",ROUND($AE31+$AF31*Z$4,0),IF($AB31="IR",ROUND(Proyeccion_Localidades!AW31,0),IF($AB31="RT",ROUND(Proyeccion_Localidades!BT31,0),"*****"))))</f>
        <v>11429</v>
      </c>
      <c r="AA31" s="66">
        <f>IF($AB31="TGD",ROUND($E31*(1+$AD31)^(AA$4-$E$4),0),IF($AB31="ALTH",ROUND($AE31+$AF31*AA$4,0),IF($AB31="IR",ROUND(Proyeccion_Localidades!AX31,0),IF($AB31="RT",ROUND(Proyeccion_Localidades!BU31,0),"*****"))))</f>
        <v>11487</v>
      </c>
      <c r="AB31" s="67" t="str">
        <f>Proyeccion_Localidades!N31</f>
        <v>ALTH</v>
      </c>
      <c r="AC31" s="68" t="s">
        <v>36</v>
      </c>
      <c r="AD31" s="51" t="str">
        <f>IF(AB31="TGD",Proyeccion_Localidades!Z31,"-")</f>
        <v>-</v>
      </c>
      <c r="AE31" s="51">
        <f>IF($AB31="ALTH",Proyeccion_Localidades!AA31,"-")</f>
        <v>-106455.64575645755</v>
      </c>
      <c r="AF31" s="51">
        <f>IF($AB31="ALTH",Proyeccion_Localidades!AB31,"-")</f>
        <v>57.67343173431734</v>
      </c>
      <c r="AG31" s="51"/>
      <c r="AH31" s="51"/>
      <c r="AI31" s="66">
        <f t="shared" si="2"/>
        <v>10218</v>
      </c>
    </row>
    <row r="32" spans="1:35" ht="24.95" customHeight="1">
      <c r="A32" s="69" t="str">
        <f>+Proyeccion_Localidades!C32</f>
        <v>Adolfo Gonzáles Chaves</v>
      </c>
      <c r="B32" s="70">
        <v>28</v>
      </c>
      <c r="C32" s="71" t="str">
        <f>+Proyeccion_Localidades!B32</f>
        <v>Adolfo Gonzáles Chaves</v>
      </c>
      <c r="D32" s="261">
        <f t="shared" si="3"/>
        <v>28</v>
      </c>
      <c r="E32" s="72">
        <f>+Proyeccion_Localidades!F32</f>
        <v>9066</v>
      </c>
      <c r="F32" s="66">
        <f>IF($AB32="TGD",ROUND($E32*(1+$AD32)^(F$4-$E$4),0),IF($AB32="ALTH",ROUND($AE32+$AF32*F$4,0),IF($AB32="IR",ROUND(Proyeccion_Localidades!AC32,0),IF($AB32="RT",ROUND(Proyeccion_Localidades!AZ32,0),"*****"))))</f>
        <v>9364</v>
      </c>
      <c r="G32" s="66">
        <f>IF($AB32="TGD",ROUND($E32*(1+$AD32)^(G$4-$E$4),0),IF($AB32="ALTH",ROUND($AE32+$AF32*G$4,0),IF($AB32="IR",ROUND(Proyeccion_Localidades!AD32,0),IF($AB32="RT",ROUND(Proyeccion_Localidades!BA32,0),"*****"))))</f>
        <v>9444</v>
      </c>
      <c r="H32" s="66">
        <f>IF($AB32="TGD",ROUND($E32*(1+$AD32)^(H$4-$E$4),0),IF($AB32="ALTH",ROUND($AE32+$AF32*H$4,0),IF($AB32="IR",ROUND(Proyeccion_Localidades!AE32,0),IF($AB32="RT",ROUND(Proyeccion_Localidades!BB32,0),"*****"))))</f>
        <v>9683</v>
      </c>
      <c r="I32" s="66">
        <f>IF($AB32="TGD",ROUND($E32*(1+$AD32)^(I$4-$E$4),0),IF($AB32="ALTH",ROUND($AE32+$AF32*I$4,0),IF($AB32="IR",ROUND(Proyeccion_Localidades!AF32,0),IF($AB32="RT",ROUND(Proyeccion_Localidades!BC32,0),"*****"))))</f>
        <v>9763</v>
      </c>
      <c r="J32" s="66">
        <f>IF($AB32="TGD",ROUND($E32*(1+$AD32)^(J$4-$E$4),0),IF($AB32="ALTH",ROUND($AE32+$AF32*J$4,0),IF($AB32="IR",ROUND(Proyeccion_Localidades!AG32,0),IF($AB32="RT",ROUND(Proyeccion_Localidades!BD32,0),"*****"))))</f>
        <v>9843</v>
      </c>
      <c r="K32" s="66">
        <f>IF($AB32="TGD",ROUND($E32*(1+$AD32)^(K$4-$E$4),0),IF($AB32="ALTH",ROUND($AE32+$AF32*K$4,0),IF($AB32="IR",ROUND(Proyeccion_Localidades!AH32,0),IF($AB32="RT",ROUND(Proyeccion_Localidades!BE32,0),"*****"))))</f>
        <v>9923</v>
      </c>
      <c r="L32" s="66">
        <f>IF($AB32="TGD",ROUND($E32*(1+$AD32)^(L$4-$E$4),0),IF($AB32="ALTH",ROUND($AE32+$AF32*L$4,0),IF($AB32="IR",ROUND(Proyeccion_Localidades!AI32,0),IF($AB32="RT",ROUND(Proyeccion_Localidades!BF32,0),"*****"))))</f>
        <v>10003</v>
      </c>
      <c r="M32" s="66">
        <f>IF($AB32="TGD",ROUND($E32*(1+$AD32)^(M$4-$E$4),0),IF($AB32="ALTH",ROUND($AE32+$AF32*M$4,0),IF($AB32="IR",ROUND(Proyeccion_Localidades!AJ32,0),IF($AB32="RT",ROUND(Proyeccion_Localidades!BG32,0),"*****"))))</f>
        <v>10120</v>
      </c>
      <c r="N32" s="66">
        <f>IF($AB32="TGD",ROUND($E32*(1+$AD32)^(N$4-$E$4),0),IF($AB32="ALTH",ROUND($AE32+$AF32*N$4,0),IF($AB32="IR",ROUND(Proyeccion_Localidades!AK32,0),IF($AB32="RT",ROUND(Proyeccion_Localidades!BH32,0),"*****"))))</f>
        <v>10237</v>
      </c>
      <c r="O32" s="66">
        <f>IF($AB32="TGD",ROUND($E32*(1+$AD32)^(O$4-$E$4),0),IF($AB32="ALTH",ROUND($AE32+$AF32*O$4,0),IF($AB32="IR",ROUND(Proyeccion_Localidades!AL32,0),IF($AB32="RT",ROUND(Proyeccion_Localidades!BI32,0),"*****"))))</f>
        <v>10354</v>
      </c>
      <c r="P32" s="66">
        <f>IF($AB32="TGD",ROUND($E32*(1+$AD32)^(P$4-$E$4),0),IF($AB32="ALTH",ROUND($AE32+$AF32*P$4,0),IF($AB32="IR",ROUND(Proyeccion_Localidades!AM32,0),IF($AB32="RT",ROUND(Proyeccion_Localidades!BJ32,0),"*****"))))</f>
        <v>10471</v>
      </c>
      <c r="Q32" s="66">
        <f>IF($AB32="TGD",ROUND($E32*(1+$AD32)^(Q$4-$E$4),0),IF($AB32="ALTH",ROUND($AE32+$AF32*Q$4,0),IF($AB32="IR",ROUND(Proyeccion_Localidades!AN32,0),IF($AB32="RT",ROUND(Proyeccion_Localidades!BK32,0),"*****"))))</f>
        <v>10588</v>
      </c>
      <c r="R32" s="66">
        <f>IF($AB32="TGD",ROUND($E32*(1+$AD32)^(R$4-$E$4),0),IF($AB32="ALTH",ROUND($AE32+$AF32*R$4,0),IF($AB32="IR",ROUND(Proyeccion_Localidades!AO32,0),IF($AB32="RT",ROUND(Proyeccion_Localidades!BL32,0),"*****"))))</f>
        <v>10705</v>
      </c>
      <c r="S32" s="66">
        <f>IF($AB32="TGD",ROUND($E32*(1+$AD32)^(S$4-$E$4),0),IF($AB32="ALTH",ROUND($AE32+$AF32*S$4,0),IF($AB32="IR",ROUND(Proyeccion_Localidades!AP32,0),IF($AB32="RT",ROUND(Proyeccion_Localidades!BM32,0),"*****"))))</f>
        <v>10822</v>
      </c>
      <c r="T32" s="66">
        <f>IF($AB32="TGD",ROUND($E32*(1+$AD32)^(T$4-$E$4),0),IF($AB32="ALTH",ROUND($AE32+$AF32*T$4,0),IF($AB32="IR",ROUND(Proyeccion_Localidades!AQ32,0),IF($AB32="RT",ROUND(Proyeccion_Localidades!BN32,0),"*****"))))</f>
        <v>10939</v>
      </c>
      <c r="U32" s="66">
        <f>IF($AB32="TGD",ROUND($E32*(1+$AD32)^(U$4-$E$4),0),IF($AB32="ALTH",ROUND($AE32+$AF32*U$4,0),IF($AB32="IR",ROUND(Proyeccion_Localidades!AR32,0),IF($AB32="RT",ROUND(Proyeccion_Localidades!BO32,0),"*****"))))</f>
        <v>11056</v>
      </c>
      <c r="V32" s="66">
        <f>IF($AB32="TGD",ROUND($E32*(1+$AD32)^(V$4-$E$4),0),IF($AB32="ALTH",ROUND($AE32+$AF32*V$4,0),IF($AB32="IR",ROUND(Proyeccion_Localidades!AS32,0),IF($AB32="RT",ROUND(Proyeccion_Localidades!BP32,0),"*****"))))</f>
        <v>11173</v>
      </c>
      <c r="W32" s="66">
        <f>IF($AB32="TGD",ROUND($E32*(1+$AD32)^(W$4-$E$4),0),IF($AB32="ALTH",ROUND($AE32+$AF32*W$4,0),IF($AB32="IR",ROUND(Proyeccion_Localidades!AT32,0),IF($AB32="RT",ROUND(Proyeccion_Localidades!BQ32,0),"*****"))))</f>
        <v>11290</v>
      </c>
      <c r="X32" s="66">
        <f>IF($AB32="TGD",ROUND($E32*(1+$AD32)^(X$4-$E$4),0),IF($AB32="ALTH",ROUND($AE32+$AF32*X$4,0),IF($AB32="IR",ROUND(Proyeccion_Localidades!AU32,0),IF($AB32="RT",ROUND(Proyeccion_Localidades!BR32,0),"*****"))))</f>
        <v>11407</v>
      </c>
      <c r="Y32" s="66">
        <f>IF($AB32="TGD",ROUND($E32*(1+$AD32)^(Y$4-$E$4),0),IF($AB32="ALTH",ROUND($AE32+$AF32*Y$4,0),IF($AB32="IR",ROUND(Proyeccion_Localidades!AV32,0),IF($AB32="RT",ROUND(Proyeccion_Localidades!BS32,0),"*****"))))</f>
        <v>11524</v>
      </c>
      <c r="Z32" s="66">
        <f>IF($AB32="TGD",ROUND($E32*(1+$AD32)^(Z$4-$E$4),0),IF($AB32="ALTH",ROUND($AE32+$AF32*Z$4,0),IF($AB32="IR",ROUND(Proyeccion_Localidades!AW32,0),IF($AB32="RT",ROUND(Proyeccion_Localidades!BT32,0),"*****"))))</f>
        <v>11641</v>
      </c>
      <c r="AA32" s="66">
        <f>IF($AB32="TGD",ROUND($E32*(1+$AD32)^(AA$4-$E$4),0),IF($AB32="ALTH",ROUND($AE32+$AF32*AA$4,0),IF($AB32="IR",ROUND(Proyeccion_Localidades!AX32,0),IF($AB32="RT",ROUND(Proyeccion_Localidades!BU32,0),"*****"))))</f>
        <v>11758</v>
      </c>
      <c r="AB32" s="67" t="str">
        <f>Proyeccion_Localidades!N32</f>
        <v>RT</v>
      </c>
      <c r="AC32" s="73" t="s">
        <v>36</v>
      </c>
      <c r="AD32" s="51" t="str">
        <f>IF(AB32="TGD",Proyeccion_Localidades!Z32,"-")</f>
        <v>-</v>
      </c>
      <c r="AE32" s="51" t="str">
        <f>IF($AB32="ALTH",Proyeccion_Localidades!AA32,"-")</f>
        <v>-</v>
      </c>
      <c r="AF32" s="51" t="str">
        <f>IF($AB32="ALTH",Proyeccion_Localidades!AB32,"-")</f>
        <v>-</v>
      </c>
      <c r="AG32" s="51"/>
      <c r="AH32" s="51"/>
      <c r="AI32" s="66">
        <f t="shared" si="2"/>
        <v>9444</v>
      </c>
    </row>
    <row r="33" spans="1:35" ht="24.95" customHeight="1">
      <c r="A33" s="69" t="str">
        <f>+Proyeccion_Localidades!C33</f>
        <v>Alberti</v>
      </c>
      <c r="B33" s="70">
        <v>29</v>
      </c>
      <c r="C33" s="71" t="str">
        <f>+Proyeccion_Localidades!B33</f>
        <v>Alberti</v>
      </c>
      <c r="D33" s="261">
        <f t="shared" si="3"/>
        <v>29</v>
      </c>
      <c r="E33" s="72">
        <f>+Proyeccion_Localidades!F33</f>
        <v>8260</v>
      </c>
      <c r="F33" s="66">
        <f>IF($AB33="TGD",ROUND($E33*(1+$AD33)^(F$4-$E$4),0),IF($AB33="ALTH",ROUND($AE33+$AF33*F$4,0),IF($AB33="IR",ROUND(Proyeccion_Localidades!AC33,0),IF($AB33="RT",ROUND(Proyeccion_Localidades!AZ33,0),"*****"))))</f>
        <v>9710</v>
      </c>
      <c r="G33" s="66">
        <f>IF($AB33="TGD",ROUND($E33*(1+$AD33)^(G$4-$E$4),0),IF($AB33="ALTH",ROUND($AE33+$AF33*G$4,0),IF($AB33="IR",ROUND(Proyeccion_Localidades!AD33,0),IF($AB33="RT",ROUND(Proyeccion_Localidades!BA33,0),"*****"))))</f>
        <v>9856</v>
      </c>
      <c r="H33" s="66">
        <f>IF($AB33="TGD",ROUND($E33*(1+$AD33)^(H$4-$E$4),0),IF($AB33="ALTH",ROUND($AE33+$AF33*H$4,0),IF($AB33="IR",ROUND(Proyeccion_Localidades!AE33,0),IF($AB33="RT",ROUND(Proyeccion_Localidades!BB33,0),"*****"))))</f>
        <v>10293</v>
      </c>
      <c r="I33" s="66">
        <f>IF($AB33="TGD",ROUND($E33*(1+$AD33)^(I$4-$E$4),0),IF($AB33="ALTH",ROUND($AE33+$AF33*I$4,0),IF($AB33="IR",ROUND(Proyeccion_Localidades!AF33,0),IF($AB33="RT",ROUND(Proyeccion_Localidades!BC33,0),"*****"))))</f>
        <v>10439</v>
      </c>
      <c r="J33" s="66">
        <f>IF($AB33="TGD",ROUND($E33*(1+$AD33)^(J$4-$E$4),0),IF($AB33="ALTH",ROUND($AE33+$AF33*J$4,0),IF($AB33="IR",ROUND(Proyeccion_Localidades!AG33,0),IF($AB33="RT",ROUND(Proyeccion_Localidades!BD33,0),"*****"))))</f>
        <v>10585</v>
      </c>
      <c r="K33" s="66">
        <f>IF($AB33="TGD",ROUND($E33*(1+$AD33)^(K$4-$E$4),0),IF($AB33="ALTH",ROUND($AE33+$AF33*K$4,0),IF($AB33="IR",ROUND(Proyeccion_Localidades!AH33,0),IF($AB33="RT",ROUND(Proyeccion_Localidades!BE33,0),"*****"))))</f>
        <v>10730</v>
      </c>
      <c r="L33" s="66">
        <f>IF($AB33="TGD",ROUND($E33*(1+$AD33)^(L$4-$E$4),0),IF($AB33="ALTH",ROUND($AE33+$AF33*L$4,0),IF($AB33="IR",ROUND(Proyeccion_Localidades!AI33,0),IF($AB33="RT",ROUND(Proyeccion_Localidades!BF33,0),"*****"))))</f>
        <v>10876</v>
      </c>
      <c r="M33" s="66">
        <f>IF($AB33="TGD",ROUND($E33*(1+$AD33)^(M$4-$E$4),0),IF($AB33="ALTH",ROUND($AE33+$AF33*M$4,0),IF($AB33="IR",ROUND(Proyeccion_Localidades!AJ33,0),IF($AB33="RT",ROUND(Proyeccion_Localidades!BG33,0),"*****"))))</f>
        <v>11058</v>
      </c>
      <c r="N33" s="66">
        <f>IF($AB33="TGD",ROUND($E33*(1+$AD33)^(N$4-$E$4),0),IF($AB33="ALTH",ROUND($AE33+$AF33*N$4,0),IF($AB33="IR",ROUND(Proyeccion_Localidades!AK33,0),IF($AB33="RT",ROUND(Proyeccion_Localidades!BH33,0),"*****"))))</f>
        <v>11239</v>
      </c>
      <c r="O33" s="66">
        <f>IF($AB33="TGD",ROUND($E33*(1+$AD33)^(O$4-$E$4),0),IF($AB33="ALTH",ROUND($AE33+$AF33*O$4,0),IF($AB33="IR",ROUND(Proyeccion_Localidades!AL33,0),IF($AB33="RT",ROUND(Proyeccion_Localidades!BI33,0),"*****"))))</f>
        <v>11421</v>
      </c>
      <c r="P33" s="66">
        <f>IF($AB33="TGD",ROUND($E33*(1+$AD33)^(P$4-$E$4),0),IF($AB33="ALTH",ROUND($AE33+$AF33*P$4,0),IF($AB33="IR",ROUND(Proyeccion_Localidades!AM33,0),IF($AB33="RT",ROUND(Proyeccion_Localidades!BJ33,0),"*****"))))</f>
        <v>11603</v>
      </c>
      <c r="Q33" s="66">
        <f>IF($AB33="TGD",ROUND($E33*(1+$AD33)^(Q$4-$E$4),0),IF($AB33="ALTH",ROUND($AE33+$AF33*Q$4,0),IF($AB33="IR",ROUND(Proyeccion_Localidades!AN33,0),IF($AB33="RT",ROUND(Proyeccion_Localidades!BK33,0),"*****"))))</f>
        <v>11785</v>
      </c>
      <c r="R33" s="66">
        <f>IF($AB33="TGD",ROUND($E33*(1+$AD33)^(R$4-$E$4),0),IF($AB33="ALTH",ROUND($AE33+$AF33*R$4,0),IF($AB33="IR",ROUND(Proyeccion_Localidades!AO33,0),IF($AB33="RT",ROUND(Proyeccion_Localidades!BL33,0),"*****"))))</f>
        <v>11966</v>
      </c>
      <c r="S33" s="66">
        <f>IF($AB33="TGD",ROUND($E33*(1+$AD33)^(S$4-$E$4),0),IF($AB33="ALTH",ROUND($AE33+$AF33*S$4,0),IF($AB33="IR",ROUND(Proyeccion_Localidades!AP33,0),IF($AB33="RT",ROUND(Proyeccion_Localidades!BM33,0),"*****"))))</f>
        <v>12148</v>
      </c>
      <c r="T33" s="66">
        <f>IF($AB33="TGD",ROUND($E33*(1+$AD33)^(T$4-$E$4),0),IF($AB33="ALTH",ROUND($AE33+$AF33*T$4,0),IF($AB33="IR",ROUND(Proyeccion_Localidades!AQ33,0),IF($AB33="RT",ROUND(Proyeccion_Localidades!BN33,0),"*****"))))</f>
        <v>12330</v>
      </c>
      <c r="U33" s="66">
        <f>IF($AB33="TGD",ROUND($E33*(1+$AD33)^(U$4-$E$4),0),IF($AB33="ALTH",ROUND($AE33+$AF33*U$4,0),IF($AB33="IR",ROUND(Proyeccion_Localidades!AR33,0),IF($AB33="RT",ROUND(Proyeccion_Localidades!BO33,0),"*****"))))</f>
        <v>12511</v>
      </c>
      <c r="V33" s="66">
        <f>IF($AB33="TGD",ROUND($E33*(1+$AD33)^(V$4-$E$4),0),IF($AB33="ALTH",ROUND($AE33+$AF33*V$4,0),IF($AB33="IR",ROUND(Proyeccion_Localidades!AS33,0),IF($AB33="RT",ROUND(Proyeccion_Localidades!BP33,0),"*****"))))</f>
        <v>12693</v>
      </c>
      <c r="W33" s="66">
        <f>IF($AB33="TGD",ROUND($E33*(1+$AD33)^(W$4-$E$4),0),IF($AB33="ALTH",ROUND($AE33+$AF33*W$4,0),IF($AB33="IR",ROUND(Proyeccion_Localidades!AT33,0),IF($AB33="RT",ROUND(Proyeccion_Localidades!BQ33,0),"*****"))))</f>
        <v>12875</v>
      </c>
      <c r="X33" s="66">
        <f>IF($AB33="TGD",ROUND($E33*(1+$AD33)^(X$4-$E$4),0),IF($AB33="ALTH",ROUND($AE33+$AF33*X$4,0),IF($AB33="IR",ROUND(Proyeccion_Localidades!AU33,0),IF($AB33="RT",ROUND(Proyeccion_Localidades!BR33,0),"*****"))))</f>
        <v>13056</v>
      </c>
      <c r="Y33" s="66">
        <f>IF($AB33="TGD",ROUND($E33*(1+$AD33)^(Y$4-$E$4),0),IF($AB33="ALTH",ROUND($AE33+$AF33*Y$4,0),IF($AB33="IR",ROUND(Proyeccion_Localidades!AV33,0),IF($AB33="RT",ROUND(Proyeccion_Localidades!BS33,0),"*****"))))</f>
        <v>13238</v>
      </c>
      <c r="Z33" s="66">
        <f>IF($AB33="TGD",ROUND($E33*(1+$AD33)^(Z$4-$E$4),0),IF($AB33="ALTH",ROUND($AE33+$AF33*Z$4,0),IF($AB33="IR",ROUND(Proyeccion_Localidades!AW33,0),IF($AB33="RT",ROUND(Proyeccion_Localidades!BT33,0),"*****"))))</f>
        <v>13420</v>
      </c>
      <c r="AA33" s="66">
        <f>IF($AB33="TGD",ROUND($E33*(1+$AD33)^(AA$4-$E$4),0),IF($AB33="ALTH",ROUND($AE33+$AF33*AA$4,0),IF($AB33="IR",ROUND(Proyeccion_Localidades!AX33,0),IF($AB33="RT",ROUND(Proyeccion_Localidades!BU33,0),"*****"))))</f>
        <v>13602</v>
      </c>
      <c r="AB33" s="67" t="str">
        <f>Proyeccion_Localidades!N33</f>
        <v>RT</v>
      </c>
      <c r="AC33" s="73" t="s">
        <v>36</v>
      </c>
      <c r="AD33" s="51" t="str">
        <f>IF(AB33="TGD",Proyeccion_Localidades!Z33,"-")</f>
        <v>-</v>
      </c>
      <c r="AE33" s="51" t="str">
        <f>IF($AB33="ALTH",Proyeccion_Localidades!AA33,"-")</f>
        <v>-</v>
      </c>
      <c r="AF33" s="51" t="str">
        <f>IF($AB33="ALTH",Proyeccion_Localidades!AB33,"-")</f>
        <v>-</v>
      </c>
      <c r="AG33" s="51"/>
      <c r="AH33" s="51"/>
      <c r="AI33" s="66">
        <f t="shared" si="2"/>
        <v>9856</v>
      </c>
    </row>
    <row r="34" spans="1:35" ht="24.95" customHeight="1">
      <c r="A34" s="69" t="str">
        <f>+Proyeccion_Localidades!C34</f>
        <v>Arrecifes</v>
      </c>
      <c r="B34" s="70">
        <v>30</v>
      </c>
      <c r="C34" s="71" t="str">
        <f>+Proyeccion_Localidades!B34</f>
        <v>Arrecifes</v>
      </c>
      <c r="D34" s="261">
        <f t="shared" si="3"/>
        <v>30</v>
      </c>
      <c r="E34" s="72">
        <f>+Proyeccion_Localidades!F34</f>
        <v>26400</v>
      </c>
      <c r="F34" s="66">
        <f>IF($AB34="TGD",ROUND($E34*(1+$AD34)^(F$4-$E$4),0),IF($AB34="ALTH",ROUND($AE34+$AF34*F$4,0),IF($AB34="IR",ROUND(Proyeccion_Localidades!AC34,0),IF($AB34="RT",ROUND(Proyeccion_Localidades!AZ34,0),"*****"))))</f>
        <v>29427</v>
      </c>
      <c r="G34" s="66">
        <f>IF($AB34="TGD",ROUND($E34*(1+$AD34)^(G$4-$E$4),0),IF($AB34="ALTH",ROUND($AE34+$AF34*G$4,0),IF($AB34="IR",ROUND(Proyeccion_Localidades!AD34,0),IF($AB34="RT",ROUND(Proyeccion_Localidades!BA34,0),"*****"))))</f>
        <v>29694</v>
      </c>
      <c r="H34" s="66">
        <f>IF($AB34="TGD",ROUND($E34*(1+$AD34)^(H$4-$E$4),0),IF($AB34="ALTH",ROUND($AE34+$AF34*H$4,0),IF($AB34="IR",ROUND(Proyeccion_Localidades!AE34,0),IF($AB34="RT",ROUND(Proyeccion_Localidades!BB34,0),"*****"))))</f>
        <v>30511</v>
      </c>
      <c r="I34" s="66">
        <f>IF($AB34="TGD",ROUND($E34*(1+$AD34)^(I$4-$E$4),0),IF($AB34="ALTH",ROUND($AE34+$AF34*I$4,0),IF($AB34="IR",ROUND(Proyeccion_Localidades!AF34,0),IF($AB34="RT",ROUND(Proyeccion_Localidades!BC34,0),"*****"))))</f>
        <v>30788</v>
      </c>
      <c r="J34" s="66">
        <f>IF($AB34="TGD",ROUND($E34*(1+$AD34)^(J$4-$E$4),0),IF($AB34="ALTH",ROUND($AE34+$AF34*J$4,0),IF($AB34="IR",ROUND(Proyeccion_Localidades!AG34,0),IF($AB34="RT",ROUND(Proyeccion_Localidades!BD34,0),"*****"))))</f>
        <v>31068</v>
      </c>
      <c r="K34" s="66">
        <f>IF($AB34="TGD",ROUND($E34*(1+$AD34)^(K$4-$E$4),0),IF($AB34="ALTH",ROUND($AE34+$AF34*K$4,0),IF($AB34="IR",ROUND(Proyeccion_Localidades!AH34,0),IF($AB34="RT",ROUND(Proyeccion_Localidades!BE34,0),"*****"))))</f>
        <v>31350</v>
      </c>
      <c r="L34" s="66">
        <f>IF($AB34="TGD",ROUND($E34*(1+$AD34)^(L$4-$E$4),0),IF($AB34="ALTH",ROUND($AE34+$AF34*L$4,0),IF($AB34="IR",ROUND(Proyeccion_Localidades!AI34,0),IF($AB34="RT",ROUND(Proyeccion_Localidades!BF34,0),"*****"))))</f>
        <v>31635</v>
      </c>
      <c r="M34" s="66">
        <f>IF($AB34="TGD",ROUND($E34*(1+$AD34)^(M$4-$E$4),0),IF($AB34="ALTH",ROUND($AE34+$AF34*M$4,0),IF($AB34="IR",ROUND(Proyeccion_Localidades!AJ34,0),IF($AB34="RT",ROUND(Proyeccion_Localidades!BG34,0),"*****"))))</f>
        <v>31923</v>
      </c>
      <c r="N34" s="66">
        <f>IF($AB34="TGD",ROUND($E34*(1+$AD34)^(N$4-$E$4),0),IF($AB34="ALTH",ROUND($AE34+$AF34*N$4,0),IF($AB34="IR",ROUND(Proyeccion_Localidades!AK34,0),IF($AB34="RT",ROUND(Proyeccion_Localidades!BH34,0),"*****"))))</f>
        <v>32213</v>
      </c>
      <c r="O34" s="66">
        <f>IF($AB34="TGD",ROUND($E34*(1+$AD34)^(O$4-$E$4),0),IF($AB34="ALTH",ROUND($AE34+$AF34*O$4,0),IF($AB34="IR",ROUND(Proyeccion_Localidades!AL34,0),IF($AB34="RT",ROUND(Proyeccion_Localidades!BI34,0),"*****"))))</f>
        <v>32505</v>
      </c>
      <c r="P34" s="66">
        <f>IF($AB34="TGD",ROUND($E34*(1+$AD34)^(P$4-$E$4),0),IF($AB34="ALTH",ROUND($AE34+$AF34*P$4,0),IF($AB34="IR",ROUND(Proyeccion_Localidades!AM34,0),IF($AB34="RT",ROUND(Proyeccion_Localidades!BJ34,0),"*****"))))</f>
        <v>32801</v>
      </c>
      <c r="Q34" s="66">
        <f>IF($AB34="TGD",ROUND($E34*(1+$AD34)^(Q$4-$E$4),0),IF($AB34="ALTH",ROUND($AE34+$AF34*Q$4,0),IF($AB34="IR",ROUND(Proyeccion_Localidades!AN34,0),IF($AB34="RT",ROUND(Proyeccion_Localidades!BK34,0),"*****"))))</f>
        <v>33099</v>
      </c>
      <c r="R34" s="66">
        <f>IF($AB34="TGD",ROUND($E34*(1+$AD34)^(R$4-$E$4),0),IF($AB34="ALTH",ROUND($AE34+$AF34*R$4,0),IF($AB34="IR",ROUND(Proyeccion_Localidades!AO34,0),IF($AB34="RT",ROUND(Proyeccion_Localidades!BL34,0),"*****"))))</f>
        <v>33399</v>
      </c>
      <c r="S34" s="66">
        <f>IF($AB34="TGD",ROUND($E34*(1+$AD34)^(S$4-$E$4),0),IF($AB34="ALTH",ROUND($AE34+$AF34*S$4,0),IF($AB34="IR",ROUND(Proyeccion_Localidades!AP34,0),IF($AB34="RT",ROUND(Proyeccion_Localidades!BM34,0),"*****"))))</f>
        <v>33703</v>
      </c>
      <c r="T34" s="66">
        <f>IF($AB34="TGD",ROUND($E34*(1+$AD34)^(T$4-$E$4),0),IF($AB34="ALTH",ROUND($AE34+$AF34*T$4,0),IF($AB34="IR",ROUND(Proyeccion_Localidades!AQ34,0),IF($AB34="RT",ROUND(Proyeccion_Localidades!BN34,0),"*****"))))</f>
        <v>34009</v>
      </c>
      <c r="U34" s="66">
        <f>IF($AB34="TGD",ROUND($E34*(1+$AD34)^(U$4-$E$4),0),IF($AB34="ALTH",ROUND($AE34+$AF34*U$4,0),IF($AB34="IR",ROUND(Proyeccion_Localidades!AR34,0),IF($AB34="RT",ROUND(Proyeccion_Localidades!BO34,0),"*****"))))</f>
        <v>34318</v>
      </c>
      <c r="V34" s="66">
        <f>IF($AB34="TGD",ROUND($E34*(1+$AD34)^(V$4-$E$4),0),IF($AB34="ALTH",ROUND($AE34+$AF34*V$4,0),IF($AB34="IR",ROUND(Proyeccion_Localidades!AS34,0),IF($AB34="RT",ROUND(Proyeccion_Localidades!BP34,0),"*****"))))</f>
        <v>34630</v>
      </c>
      <c r="W34" s="66">
        <f>IF($AB34="TGD",ROUND($E34*(1+$AD34)^(W$4-$E$4),0),IF($AB34="ALTH",ROUND($AE34+$AF34*W$4,0),IF($AB34="IR",ROUND(Proyeccion_Localidades!AT34,0),IF($AB34="RT",ROUND(Proyeccion_Localidades!BQ34,0),"*****"))))</f>
        <v>34945</v>
      </c>
      <c r="X34" s="66">
        <f>IF($AB34="TGD",ROUND($E34*(1+$AD34)^(X$4-$E$4),0),IF($AB34="ALTH",ROUND($AE34+$AF34*X$4,0),IF($AB34="IR",ROUND(Proyeccion_Localidades!AU34,0),IF($AB34="RT",ROUND(Proyeccion_Localidades!BR34,0),"*****"))))</f>
        <v>35262</v>
      </c>
      <c r="Y34" s="66">
        <f>IF($AB34="TGD",ROUND($E34*(1+$AD34)^(Y$4-$E$4),0),IF($AB34="ALTH",ROUND($AE34+$AF34*Y$4,0),IF($AB34="IR",ROUND(Proyeccion_Localidades!AV34,0),IF($AB34="RT",ROUND(Proyeccion_Localidades!BS34,0),"*****"))))</f>
        <v>35583</v>
      </c>
      <c r="Z34" s="66">
        <f>IF($AB34="TGD",ROUND($E34*(1+$AD34)^(Z$4-$E$4),0),IF($AB34="ALTH",ROUND($AE34+$AF34*Z$4,0),IF($AB34="IR",ROUND(Proyeccion_Localidades!AW34,0),IF($AB34="RT",ROUND(Proyeccion_Localidades!BT34,0),"*****"))))</f>
        <v>35906</v>
      </c>
      <c r="AA34" s="66">
        <f>IF($AB34="TGD",ROUND($E34*(1+$AD34)^(AA$4-$E$4),0),IF($AB34="ALTH",ROUND($AE34+$AF34*AA$4,0),IF($AB34="IR",ROUND(Proyeccion_Localidades!AX34,0),IF($AB34="RT",ROUND(Proyeccion_Localidades!BU34,0),"*****"))))</f>
        <v>36232</v>
      </c>
      <c r="AB34" s="67" t="str">
        <f>Proyeccion_Localidades!N34</f>
        <v>TGD</v>
      </c>
      <c r="AC34" s="73" t="s">
        <v>35</v>
      </c>
      <c r="AD34" s="51">
        <f>IF(AB34="TGD",Proyeccion_Localidades!Z34,"-")</f>
        <v>9.0862846571864164E-3</v>
      </c>
      <c r="AE34" s="51" t="str">
        <f>IF($AB34="ALTH",Proyeccion_Localidades!AA34,"-")</f>
        <v>-</v>
      </c>
      <c r="AF34" s="51" t="str">
        <f>IF($AB34="ALTH",Proyeccion_Localidades!AB34,"-")</f>
        <v>-</v>
      </c>
      <c r="AG34" s="51"/>
      <c r="AH34" s="51"/>
      <c r="AI34" s="66">
        <f t="shared" si="2"/>
        <v>29694</v>
      </c>
    </row>
    <row r="35" spans="1:35" ht="24.95" customHeight="1">
      <c r="A35" s="69" t="str">
        <f>+Proyeccion_Localidades!C35</f>
        <v>Ayacucho</v>
      </c>
      <c r="B35" s="70">
        <v>31</v>
      </c>
      <c r="C35" s="71" t="str">
        <f>+Proyeccion_Localidades!B35</f>
        <v>Ayacucho</v>
      </c>
      <c r="D35" s="261">
        <f t="shared" si="3"/>
        <v>31</v>
      </c>
      <c r="E35" s="72">
        <f>+Proyeccion_Localidades!F35</f>
        <v>17364</v>
      </c>
      <c r="F35" s="66">
        <f>IF($AB35="TGD",ROUND($E35*(1+$AD35)^(F$4-$E$4),0),IF($AB35="ALTH",ROUND($AE35+$AF35*F$4,0),IF($AB35="IR",ROUND(Proyeccion_Localidades!AC35,0),IF($AB35="RT",ROUND(Proyeccion_Localidades!AZ35,0),"*****"))))</f>
        <v>18671</v>
      </c>
      <c r="G35" s="66">
        <f>IF($AB35="TGD",ROUND($E35*(1+$AD35)^(G$4-$E$4),0),IF($AB35="ALTH",ROUND($AE35+$AF35*G$4,0),IF($AB35="IR",ROUND(Proyeccion_Localidades!AD35,0),IF($AB35="RT",ROUND(Proyeccion_Localidades!BA35,0),"*****"))))</f>
        <v>18785</v>
      </c>
      <c r="H35" s="66">
        <f>IF($AB35="TGD",ROUND($E35*(1+$AD35)^(H$4-$E$4),0),IF($AB35="ALTH",ROUND($AE35+$AF35*H$4,0),IF($AB35="IR",ROUND(Proyeccion_Localidades!AE35,0),IF($AB35="RT",ROUND(Proyeccion_Localidades!BB35,0),"*****"))))</f>
        <v>19128</v>
      </c>
      <c r="I35" s="66">
        <f>IF($AB35="TGD",ROUND($E35*(1+$AD35)^(I$4-$E$4),0),IF($AB35="ALTH",ROUND($AE35+$AF35*I$4,0),IF($AB35="IR",ROUND(Proyeccion_Localidades!AF35,0),IF($AB35="RT",ROUND(Proyeccion_Localidades!BC35,0),"*****"))))</f>
        <v>19245</v>
      </c>
      <c r="J35" s="66">
        <f>IF($AB35="TGD",ROUND($E35*(1+$AD35)^(J$4-$E$4),0),IF($AB35="ALTH",ROUND($AE35+$AF35*J$4,0),IF($AB35="IR",ROUND(Proyeccion_Localidades!AG35,0),IF($AB35="RT",ROUND(Proyeccion_Localidades!BD35,0),"*****"))))</f>
        <v>19361</v>
      </c>
      <c r="K35" s="66">
        <f>IF($AB35="TGD",ROUND($E35*(1+$AD35)^(K$4-$E$4),0),IF($AB35="ALTH",ROUND($AE35+$AF35*K$4,0),IF($AB35="IR",ROUND(Proyeccion_Localidades!AH35,0),IF($AB35="RT",ROUND(Proyeccion_Localidades!BE35,0),"*****"))))</f>
        <v>19479</v>
      </c>
      <c r="L35" s="66">
        <f>IF($AB35="TGD",ROUND($E35*(1+$AD35)^(L$4-$E$4),0),IF($AB35="ALTH",ROUND($AE35+$AF35*L$4,0),IF($AB35="IR",ROUND(Proyeccion_Localidades!AI35,0),IF($AB35="RT",ROUND(Proyeccion_Localidades!BF35,0),"*****"))))</f>
        <v>19597</v>
      </c>
      <c r="M35" s="66">
        <f>IF($AB35="TGD",ROUND($E35*(1+$AD35)^(M$4-$E$4),0),IF($AB35="ALTH",ROUND($AE35+$AF35*M$4,0),IF($AB35="IR",ROUND(Proyeccion_Localidades!AJ35,0),IF($AB35="RT",ROUND(Proyeccion_Localidades!BG35,0),"*****"))))</f>
        <v>19716</v>
      </c>
      <c r="N35" s="66">
        <f>IF($AB35="TGD",ROUND($E35*(1+$AD35)^(N$4-$E$4),0),IF($AB35="ALTH",ROUND($AE35+$AF35*N$4,0),IF($AB35="IR",ROUND(Proyeccion_Localidades!AK35,0),IF($AB35="RT",ROUND(Proyeccion_Localidades!BH35,0),"*****"))))</f>
        <v>19835</v>
      </c>
      <c r="O35" s="66">
        <f>IF($AB35="TGD",ROUND($E35*(1+$AD35)^(O$4-$E$4),0),IF($AB35="ALTH",ROUND($AE35+$AF35*O$4,0),IF($AB35="IR",ROUND(Proyeccion_Localidades!AL35,0),IF($AB35="RT",ROUND(Proyeccion_Localidades!BI35,0),"*****"))))</f>
        <v>19956</v>
      </c>
      <c r="P35" s="66">
        <f>IF($AB35="TGD",ROUND($E35*(1+$AD35)^(P$4-$E$4),0),IF($AB35="ALTH",ROUND($AE35+$AF35*P$4,0),IF($AB35="IR",ROUND(Proyeccion_Localidades!AM35,0),IF($AB35="RT",ROUND(Proyeccion_Localidades!BJ35,0),"*****"))))</f>
        <v>20077</v>
      </c>
      <c r="Q35" s="66">
        <f>IF($AB35="TGD",ROUND($E35*(1+$AD35)^(Q$4-$E$4),0),IF($AB35="ALTH",ROUND($AE35+$AF35*Q$4,0),IF($AB35="IR",ROUND(Proyeccion_Localidades!AN35,0),IF($AB35="RT",ROUND(Proyeccion_Localidades!BK35,0),"*****"))))</f>
        <v>20199</v>
      </c>
      <c r="R35" s="66">
        <f>IF($AB35="TGD",ROUND($E35*(1+$AD35)^(R$4-$E$4),0),IF($AB35="ALTH",ROUND($AE35+$AF35*R$4,0),IF($AB35="IR",ROUND(Proyeccion_Localidades!AO35,0),IF($AB35="RT",ROUND(Proyeccion_Localidades!BL35,0),"*****"))))</f>
        <v>20321</v>
      </c>
      <c r="S35" s="66">
        <f>IF($AB35="TGD",ROUND($E35*(1+$AD35)^(S$4-$E$4),0),IF($AB35="ALTH",ROUND($AE35+$AF35*S$4,0),IF($AB35="IR",ROUND(Proyeccion_Localidades!AP35,0),IF($AB35="RT",ROUND(Proyeccion_Localidades!BM35,0),"*****"))))</f>
        <v>20445</v>
      </c>
      <c r="T35" s="66">
        <f>IF($AB35="TGD",ROUND($E35*(1+$AD35)^(T$4-$E$4),0),IF($AB35="ALTH",ROUND($AE35+$AF35*T$4,0),IF($AB35="IR",ROUND(Proyeccion_Localidades!AQ35,0),IF($AB35="RT",ROUND(Proyeccion_Localidades!BN35,0),"*****"))))</f>
        <v>20569</v>
      </c>
      <c r="U35" s="66">
        <f>IF($AB35="TGD",ROUND($E35*(1+$AD35)^(U$4-$E$4),0),IF($AB35="ALTH",ROUND($AE35+$AF35*U$4,0),IF($AB35="IR",ROUND(Proyeccion_Localidades!AR35,0),IF($AB35="RT",ROUND(Proyeccion_Localidades!BO35,0),"*****"))))</f>
        <v>20693</v>
      </c>
      <c r="V35" s="66">
        <f>IF($AB35="TGD",ROUND($E35*(1+$AD35)^(V$4-$E$4),0),IF($AB35="ALTH",ROUND($AE35+$AF35*V$4,0),IF($AB35="IR",ROUND(Proyeccion_Localidades!AS35,0),IF($AB35="RT",ROUND(Proyeccion_Localidades!BP35,0),"*****"))))</f>
        <v>20819</v>
      </c>
      <c r="W35" s="66">
        <f>IF($AB35="TGD",ROUND($E35*(1+$AD35)^(W$4-$E$4),0),IF($AB35="ALTH",ROUND($AE35+$AF35*W$4,0),IF($AB35="IR",ROUND(Proyeccion_Localidades!AT35,0),IF($AB35="RT",ROUND(Proyeccion_Localidades!BQ35,0),"*****"))))</f>
        <v>20945</v>
      </c>
      <c r="X35" s="66">
        <f>IF($AB35="TGD",ROUND($E35*(1+$AD35)^(X$4-$E$4),0),IF($AB35="ALTH",ROUND($AE35+$AF35*X$4,0),IF($AB35="IR",ROUND(Proyeccion_Localidades!AU35,0),IF($AB35="RT",ROUND(Proyeccion_Localidades!BR35,0),"*****"))))</f>
        <v>21072</v>
      </c>
      <c r="Y35" s="66">
        <f>IF($AB35="TGD",ROUND($E35*(1+$AD35)^(Y$4-$E$4),0),IF($AB35="ALTH",ROUND($AE35+$AF35*Y$4,0),IF($AB35="IR",ROUND(Proyeccion_Localidades!AV35,0),IF($AB35="RT",ROUND(Proyeccion_Localidades!BS35,0),"*****"))))</f>
        <v>21200</v>
      </c>
      <c r="Z35" s="66">
        <f>IF($AB35="TGD",ROUND($E35*(1+$AD35)^(Z$4-$E$4),0),IF($AB35="ALTH",ROUND($AE35+$AF35*Z$4,0),IF($AB35="IR",ROUND(Proyeccion_Localidades!AW35,0),IF($AB35="RT",ROUND(Proyeccion_Localidades!BT35,0),"*****"))))</f>
        <v>21329</v>
      </c>
      <c r="AA35" s="66">
        <f>IF($AB35="TGD",ROUND($E35*(1+$AD35)^(AA$4-$E$4),0),IF($AB35="ALTH",ROUND($AE35+$AF35*AA$4,0),IF($AB35="IR",ROUND(Proyeccion_Localidades!AX35,0),IF($AB35="RT",ROUND(Proyeccion_Localidades!BU35,0),"*****"))))</f>
        <v>21458</v>
      </c>
      <c r="AB35" s="67" t="str">
        <f>Proyeccion_Localidades!N35</f>
        <v>TGD</v>
      </c>
      <c r="AC35" s="73" t="s">
        <v>35</v>
      </c>
      <c r="AD35" s="51">
        <f>IF(AB35="TGD",Proyeccion_Localidades!Z35,"-")</f>
        <v>6.0670446788362309E-3</v>
      </c>
      <c r="AE35" s="51" t="str">
        <f>IF($AB35="ALTH",Proyeccion_Localidades!AA35,"-")</f>
        <v>-</v>
      </c>
      <c r="AF35" s="51" t="str">
        <f>IF($AB35="ALTH",Proyeccion_Localidades!AB35,"-")</f>
        <v>-</v>
      </c>
      <c r="AG35" s="51"/>
      <c r="AH35" s="51"/>
      <c r="AI35" s="66">
        <f t="shared" si="2"/>
        <v>18785</v>
      </c>
    </row>
    <row r="36" spans="1:35" ht="24.95" customHeight="1">
      <c r="A36" s="69" t="str">
        <f>+Proyeccion_Localidades!C36</f>
        <v>Azul</v>
      </c>
      <c r="B36" s="70">
        <v>32</v>
      </c>
      <c r="C36" s="71" t="str">
        <f>+Proyeccion_Localidades!B36</f>
        <v>Azul</v>
      </c>
      <c r="D36" s="261">
        <f t="shared" si="3"/>
        <v>32</v>
      </c>
      <c r="E36" s="72">
        <f>+Proyeccion_Localidades!F36</f>
        <v>55728</v>
      </c>
      <c r="F36" s="66">
        <f>IF($AB36="TGD",ROUND($E36*(1+$AD36)^(F$4-$E$4),0),IF($AB36="ALTH",ROUND($AE36+$AF36*F$4,0),IF($AB36="IR",ROUND(Proyeccion_Localidades!AC36,0),IF($AB36="RT",ROUND(Proyeccion_Localidades!AZ36,0),"*****"))))</f>
        <v>61776</v>
      </c>
      <c r="G36" s="66">
        <f>IF($AB36="TGD",ROUND($E36*(1+$AD36)^(G$4-$E$4),0),IF($AB36="ALTH",ROUND($AE36+$AF36*G$4,0),IF($AB36="IR",ROUND(Proyeccion_Localidades!AD36,0),IF($AB36="RT",ROUND(Proyeccion_Localidades!BA36,0),"*****"))))</f>
        <v>62556</v>
      </c>
      <c r="H36" s="66">
        <f>IF($AB36="TGD",ROUND($E36*(1+$AD36)^(H$4-$E$4),0),IF($AB36="ALTH",ROUND($AE36+$AF36*H$4,0),IF($AB36="IR",ROUND(Proyeccion_Localidades!AE36,0),IF($AB36="RT",ROUND(Proyeccion_Localidades!BB36,0),"*****"))))</f>
        <v>64896</v>
      </c>
      <c r="I36" s="66">
        <f>IF($AB36="TGD",ROUND($E36*(1+$AD36)^(I$4-$E$4),0),IF($AB36="ALTH",ROUND($AE36+$AF36*I$4,0),IF($AB36="IR",ROUND(Proyeccion_Localidades!AF36,0),IF($AB36="RT",ROUND(Proyeccion_Localidades!BC36,0),"*****"))))</f>
        <v>65677</v>
      </c>
      <c r="J36" s="66">
        <f>IF($AB36="TGD",ROUND($E36*(1+$AD36)^(J$4-$E$4),0),IF($AB36="ALTH",ROUND($AE36+$AF36*J$4,0),IF($AB36="IR",ROUND(Proyeccion_Localidades!AG36,0),IF($AB36="RT",ROUND(Proyeccion_Localidades!BD36,0),"*****"))))</f>
        <v>66457</v>
      </c>
      <c r="K36" s="66">
        <f>IF($AB36="TGD",ROUND($E36*(1+$AD36)^(K$4-$E$4),0),IF($AB36="ALTH",ROUND($AE36+$AF36*K$4,0),IF($AB36="IR",ROUND(Proyeccion_Localidades!AH36,0),IF($AB36="RT",ROUND(Proyeccion_Localidades!BE36,0),"*****"))))</f>
        <v>67237</v>
      </c>
      <c r="L36" s="66">
        <f>IF($AB36="TGD",ROUND($E36*(1+$AD36)^(L$4-$E$4),0),IF($AB36="ALTH",ROUND($AE36+$AF36*L$4,0),IF($AB36="IR",ROUND(Proyeccion_Localidades!AI36,0),IF($AB36="RT",ROUND(Proyeccion_Localidades!BF36,0),"*****"))))</f>
        <v>68017</v>
      </c>
      <c r="M36" s="66">
        <f>IF($AB36="TGD",ROUND($E36*(1+$AD36)^(M$4-$E$4),0),IF($AB36="ALTH",ROUND($AE36+$AF36*M$4,0),IF($AB36="IR",ROUND(Proyeccion_Localidades!AJ36,0),IF($AB36="RT",ROUND(Proyeccion_Localidades!BG36,0),"*****"))))</f>
        <v>69042</v>
      </c>
      <c r="N36" s="66">
        <f>IF($AB36="TGD",ROUND($E36*(1+$AD36)^(N$4-$E$4),0),IF($AB36="ALTH",ROUND($AE36+$AF36*N$4,0),IF($AB36="IR",ROUND(Proyeccion_Localidades!AK36,0),IF($AB36="RT",ROUND(Proyeccion_Localidades!BH36,0),"*****"))))</f>
        <v>70066</v>
      </c>
      <c r="O36" s="66">
        <f>IF($AB36="TGD",ROUND($E36*(1+$AD36)^(O$4-$E$4),0),IF($AB36="ALTH",ROUND($AE36+$AF36*O$4,0),IF($AB36="IR",ROUND(Proyeccion_Localidades!AL36,0),IF($AB36="RT",ROUND(Proyeccion_Localidades!BI36,0),"*****"))))</f>
        <v>71091</v>
      </c>
      <c r="P36" s="66">
        <f>IF($AB36="TGD",ROUND($E36*(1+$AD36)^(P$4-$E$4),0),IF($AB36="ALTH",ROUND($AE36+$AF36*P$4,0),IF($AB36="IR",ROUND(Proyeccion_Localidades!AM36,0),IF($AB36="RT",ROUND(Proyeccion_Localidades!BJ36,0),"*****"))))</f>
        <v>72115</v>
      </c>
      <c r="Q36" s="66">
        <f>IF($AB36="TGD",ROUND($E36*(1+$AD36)^(Q$4-$E$4),0),IF($AB36="ALTH",ROUND($AE36+$AF36*Q$4,0),IF($AB36="IR",ROUND(Proyeccion_Localidades!AN36,0),IF($AB36="RT",ROUND(Proyeccion_Localidades!BK36,0),"*****"))))</f>
        <v>73140</v>
      </c>
      <c r="R36" s="66">
        <f>IF($AB36="TGD",ROUND($E36*(1+$AD36)^(R$4-$E$4),0),IF($AB36="ALTH",ROUND($AE36+$AF36*R$4,0),IF($AB36="IR",ROUND(Proyeccion_Localidades!AO36,0),IF($AB36="RT",ROUND(Proyeccion_Localidades!BL36,0),"*****"))))</f>
        <v>74164</v>
      </c>
      <c r="S36" s="66">
        <f>IF($AB36="TGD",ROUND($E36*(1+$AD36)^(S$4-$E$4),0),IF($AB36="ALTH",ROUND($AE36+$AF36*S$4,0),IF($AB36="IR",ROUND(Proyeccion_Localidades!AP36,0),IF($AB36="RT",ROUND(Proyeccion_Localidades!BM36,0),"*****"))))</f>
        <v>75189</v>
      </c>
      <c r="T36" s="66">
        <f>IF($AB36="TGD",ROUND($E36*(1+$AD36)^(T$4-$E$4),0),IF($AB36="ALTH",ROUND($AE36+$AF36*T$4,0),IF($AB36="IR",ROUND(Proyeccion_Localidades!AQ36,0),IF($AB36="RT",ROUND(Proyeccion_Localidades!BN36,0),"*****"))))</f>
        <v>76214</v>
      </c>
      <c r="U36" s="66">
        <f>IF($AB36="TGD",ROUND($E36*(1+$AD36)^(U$4-$E$4),0),IF($AB36="ALTH",ROUND($AE36+$AF36*U$4,0),IF($AB36="IR",ROUND(Proyeccion_Localidades!AR36,0),IF($AB36="RT",ROUND(Proyeccion_Localidades!BO36,0),"*****"))))</f>
        <v>77238</v>
      </c>
      <c r="V36" s="66">
        <f>IF($AB36="TGD",ROUND($E36*(1+$AD36)^(V$4-$E$4),0),IF($AB36="ALTH",ROUND($AE36+$AF36*V$4,0),IF($AB36="IR",ROUND(Proyeccion_Localidades!AS36,0),IF($AB36="RT",ROUND(Proyeccion_Localidades!BP36,0),"*****"))))</f>
        <v>78263</v>
      </c>
      <c r="W36" s="66">
        <f>IF($AB36="TGD",ROUND($E36*(1+$AD36)^(W$4-$E$4),0),IF($AB36="ALTH",ROUND($AE36+$AF36*W$4,0),IF($AB36="IR",ROUND(Proyeccion_Localidades!AT36,0),IF($AB36="RT",ROUND(Proyeccion_Localidades!BQ36,0),"*****"))))</f>
        <v>79287</v>
      </c>
      <c r="X36" s="66">
        <f>IF($AB36="TGD",ROUND($E36*(1+$AD36)^(X$4-$E$4),0),IF($AB36="ALTH",ROUND($AE36+$AF36*X$4,0),IF($AB36="IR",ROUND(Proyeccion_Localidades!AU36,0),IF($AB36="RT",ROUND(Proyeccion_Localidades!BR36,0),"*****"))))</f>
        <v>80312</v>
      </c>
      <c r="Y36" s="66">
        <f>IF($AB36="TGD",ROUND($E36*(1+$AD36)^(Y$4-$E$4),0),IF($AB36="ALTH",ROUND($AE36+$AF36*Y$4,0),IF($AB36="IR",ROUND(Proyeccion_Localidades!AV36,0),IF($AB36="RT",ROUND(Proyeccion_Localidades!BS36,0),"*****"))))</f>
        <v>81336</v>
      </c>
      <c r="Z36" s="66">
        <f>IF($AB36="TGD",ROUND($E36*(1+$AD36)^(Z$4-$E$4),0),IF($AB36="ALTH",ROUND($AE36+$AF36*Z$4,0),IF($AB36="IR",ROUND(Proyeccion_Localidades!AW36,0),IF($AB36="RT",ROUND(Proyeccion_Localidades!BT36,0),"*****"))))</f>
        <v>82361</v>
      </c>
      <c r="AA36" s="66">
        <f>IF($AB36="TGD",ROUND($E36*(1+$AD36)^(AA$4-$E$4),0),IF($AB36="ALTH",ROUND($AE36+$AF36*AA$4,0),IF($AB36="IR",ROUND(Proyeccion_Localidades!AX36,0),IF($AB36="RT",ROUND(Proyeccion_Localidades!BU36,0),"*****"))))</f>
        <v>83386</v>
      </c>
      <c r="AB36" s="67" t="str">
        <f>Proyeccion_Localidades!N36</f>
        <v>RT</v>
      </c>
      <c r="AC36" s="73" t="s">
        <v>36</v>
      </c>
      <c r="AD36" s="51" t="str">
        <f>IF(AB36="TGD",Proyeccion_Localidades!Z36,"-")</f>
        <v>-</v>
      </c>
      <c r="AE36" s="51" t="str">
        <f>IF($AB36="ALTH",Proyeccion_Localidades!AA36,"-")</f>
        <v>-</v>
      </c>
      <c r="AF36" s="51" t="str">
        <f>IF($AB36="ALTH",Proyeccion_Localidades!AB36,"-")</f>
        <v>-</v>
      </c>
      <c r="AG36" s="51"/>
      <c r="AH36" s="51"/>
      <c r="AI36" s="66">
        <f t="shared" si="2"/>
        <v>62556</v>
      </c>
    </row>
    <row r="37" spans="1:35" ht="24.95" customHeight="1">
      <c r="A37" s="69" t="str">
        <f>+Proyeccion_Localidades!C37</f>
        <v>Bahía Blanca</v>
      </c>
      <c r="B37" s="70">
        <v>33</v>
      </c>
      <c r="C37" s="71" t="str">
        <f>+Proyeccion_Localidades!B37</f>
        <v>Bahía Blanca</v>
      </c>
      <c r="D37" s="261">
        <f t="shared" si="3"/>
        <v>33</v>
      </c>
      <c r="E37" s="72">
        <f>+Proyeccion_Localidades!F37</f>
        <v>291327</v>
      </c>
      <c r="F37" s="66">
        <f>IF($AB37="TGD",ROUND($E37*(1+$AD37)^(F$4-$E$4),0),IF($AB37="ALTH",ROUND($AE37+$AF37*F$4,0),IF($AB37="IR",ROUND(Proyeccion_Localidades!AC37,0),IF($AB37="RT",ROUND(Proyeccion_Localidades!AZ37,0),"*****"))))</f>
        <v>320702</v>
      </c>
      <c r="G37" s="66">
        <f>IF($AB37="TGD",ROUND($E37*(1+$AD37)^(G$4-$E$4),0),IF($AB37="ALTH",ROUND($AE37+$AF37*G$4,0),IF($AB37="IR",ROUND(Proyeccion_Localidades!AD37,0),IF($AB37="RT",ROUND(Proyeccion_Localidades!BA37,0),"*****"))))</f>
        <v>324552</v>
      </c>
      <c r="H37" s="66">
        <f>IF($AB37="TGD",ROUND($E37*(1+$AD37)^(H$4-$E$4),0),IF($AB37="ALTH",ROUND($AE37+$AF37*H$4,0),IF($AB37="IR",ROUND(Proyeccion_Localidades!AE37,0),IF($AB37="RT",ROUND(Proyeccion_Localidades!BB37,0),"*****"))))</f>
        <v>336103</v>
      </c>
      <c r="I37" s="66">
        <f>IF($AB37="TGD",ROUND($E37*(1+$AD37)^(I$4-$E$4),0),IF($AB37="ALTH",ROUND($AE37+$AF37*I$4,0),IF($AB37="IR",ROUND(Proyeccion_Localidades!AF37,0),IF($AB37="RT",ROUND(Proyeccion_Localidades!BC37,0),"*****"))))</f>
        <v>339954</v>
      </c>
      <c r="J37" s="66">
        <f>IF($AB37="TGD",ROUND($E37*(1+$AD37)^(J$4-$E$4),0),IF($AB37="ALTH",ROUND($AE37+$AF37*J$4,0),IF($AB37="IR",ROUND(Proyeccion_Localidades!AG37,0),IF($AB37="RT",ROUND(Proyeccion_Localidades!BD37,0),"*****"))))</f>
        <v>343804</v>
      </c>
      <c r="K37" s="66">
        <f>IF($AB37="TGD",ROUND($E37*(1+$AD37)^(K$4-$E$4),0),IF($AB37="ALTH",ROUND($AE37+$AF37*K$4,0),IF($AB37="IR",ROUND(Proyeccion_Localidades!AH37,0),IF($AB37="RT",ROUND(Proyeccion_Localidades!BE37,0),"*****"))))</f>
        <v>347654</v>
      </c>
      <c r="L37" s="66">
        <f>IF($AB37="TGD",ROUND($E37*(1+$AD37)^(L$4-$E$4),0),IF($AB37="ALTH",ROUND($AE37+$AF37*L$4,0),IF($AB37="IR",ROUND(Proyeccion_Localidades!AI37,0),IF($AB37="RT",ROUND(Proyeccion_Localidades!BF37,0),"*****"))))</f>
        <v>351505</v>
      </c>
      <c r="M37" s="66">
        <f>IF($AB37="TGD",ROUND($E37*(1+$AD37)^(M$4-$E$4),0),IF($AB37="ALTH",ROUND($AE37+$AF37*M$4,0),IF($AB37="IR",ROUND(Proyeccion_Localidades!AJ37,0),IF($AB37="RT",ROUND(Proyeccion_Localidades!BG37,0),"*****"))))</f>
        <v>356595</v>
      </c>
      <c r="N37" s="66">
        <f>IF($AB37="TGD",ROUND($E37*(1+$AD37)^(N$4-$E$4),0),IF($AB37="ALTH",ROUND($AE37+$AF37*N$4,0),IF($AB37="IR",ROUND(Proyeccion_Localidades!AK37,0),IF($AB37="RT",ROUND(Proyeccion_Localidades!BH37,0),"*****"))))</f>
        <v>361686</v>
      </c>
      <c r="O37" s="66">
        <f>IF($AB37="TGD",ROUND($E37*(1+$AD37)^(O$4-$E$4),0),IF($AB37="ALTH",ROUND($AE37+$AF37*O$4,0),IF($AB37="IR",ROUND(Proyeccion_Localidades!AL37,0),IF($AB37="RT",ROUND(Proyeccion_Localidades!BI37,0),"*****"))))</f>
        <v>366776</v>
      </c>
      <c r="P37" s="66">
        <f>IF($AB37="TGD",ROUND($E37*(1+$AD37)^(P$4-$E$4),0),IF($AB37="ALTH",ROUND($AE37+$AF37*P$4,0),IF($AB37="IR",ROUND(Proyeccion_Localidades!AM37,0),IF($AB37="RT",ROUND(Proyeccion_Localidades!BJ37,0),"*****"))))</f>
        <v>371867</v>
      </c>
      <c r="Q37" s="66">
        <f>IF($AB37="TGD",ROUND($E37*(1+$AD37)^(Q$4-$E$4),0),IF($AB37="ALTH",ROUND($AE37+$AF37*Q$4,0),IF($AB37="IR",ROUND(Proyeccion_Localidades!AN37,0),IF($AB37="RT",ROUND(Proyeccion_Localidades!BK37,0),"*****"))))</f>
        <v>376957</v>
      </c>
      <c r="R37" s="66">
        <f>IF($AB37="TGD",ROUND($E37*(1+$AD37)^(R$4-$E$4),0),IF($AB37="ALTH",ROUND($AE37+$AF37*R$4,0),IF($AB37="IR",ROUND(Proyeccion_Localidades!AO37,0),IF($AB37="RT",ROUND(Proyeccion_Localidades!BL37,0),"*****"))))</f>
        <v>382048</v>
      </c>
      <c r="S37" s="66">
        <f>IF($AB37="TGD",ROUND($E37*(1+$AD37)^(S$4-$E$4),0),IF($AB37="ALTH",ROUND($AE37+$AF37*S$4,0),IF($AB37="IR",ROUND(Proyeccion_Localidades!AP37,0),IF($AB37="RT",ROUND(Proyeccion_Localidades!BM37,0),"*****"))))</f>
        <v>387138</v>
      </c>
      <c r="T37" s="66">
        <f>IF($AB37="TGD",ROUND($E37*(1+$AD37)^(T$4-$E$4),0),IF($AB37="ALTH",ROUND($AE37+$AF37*T$4,0),IF($AB37="IR",ROUND(Proyeccion_Localidades!AQ37,0),IF($AB37="RT",ROUND(Proyeccion_Localidades!BN37,0),"*****"))))</f>
        <v>392228</v>
      </c>
      <c r="U37" s="66">
        <f>IF($AB37="TGD",ROUND($E37*(1+$AD37)^(U$4-$E$4),0),IF($AB37="ALTH",ROUND($AE37+$AF37*U$4,0),IF($AB37="IR",ROUND(Proyeccion_Localidades!AR37,0),IF($AB37="RT",ROUND(Proyeccion_Localidades!BO37,0),"*****"))))</f>
        <v>397319</v>
      </c>
      <c r="V37" s="66">
        <f>IF($AB37="TGD",ROUND($E37*(1+$AD37)^(V$4-$E$4),0),IF($AB37="ALTH",ROUND($AE37+$AF37*V$4,0),IF($AB37="IR",ROUND(Proyeccion_Localidades!AS37,0),IF($AB37="RT",ROUND(Proyeccion_Localidades!BP37,0),"*****"))))</f>
        <v>402409</v>
      </c>
      <c r="W37" s="66">
        <f>IF($AB37="TGD",ROUND($E37*(1+$AD37)^(W$4-$E$4),0),IF($AB37="ALTH",ROUND($AE37+$AF37*W$4,0),IF($AB37="IR",ROUND(Proyeccion_Localidades!AT37,0),IF($AB37="RT",ROUND(Proyeccion_Localidades!BQ37,0),"*****"))))</f>
        <v>407500</v>
      </c>
      <c r="X37" s="66">
        <f>IF($AB37="TGD",ROUND($E37*(1+$AD37)^(X$4-$E$4),0),IF($AB37="ALTH",ROUND($AE37+$AF37*X$4,0),IF($AB37="IR",ROUND(Proyeccion_Localidades!AU37,0),IF($AB37="RT",ROUND(Proyeccion_Localidades!BR37,0),"*****"))))</f>
        <v>412590</v>
      </c>
      <c r="Y37" s="66">
        <f>IF($AB37="TGD",ROUND($E37*(1+$AD37)^(Y$4-$E$4),0),IF($AB37="ALTH",ROUND($AE37+$AF37*Y$4,0),IF($AB37="IR",ROUND(Proyeccion_Localidades!AV37,0),IF($AB37="RT",ROUND(Proyeccion_Localidades!BS37,0),"*****"))))</f>
        <v>417681</v>
      </c>
      <c r="Z37" s="66">
        <f>IF($AB37="TGD",ROUND($E37*(1+$AD37)^(Z$4-$E$4),0),IF($AB37="ALTH",ROUND($AE37+$AF37*Z$4,0),IF($AB37="IR",ROUND(Proyeccion_Localidades!AW37,0),IF($AB37="RT",ROUND(Proyeccion_Localidades!BT37,0),"*****"))))</f>
        <v>422771</v>
      </c>
      <c r="AA37" s="66">
        <f>IF($AB37="TGD",ROUND($E37*(1+$AD37)^(AA$4-$E$4),0),IF($AB37="ALTH",ROUND($AE37+$AF37*AA$4,0),IF($AB37="IR",ROUND(Proyeccion_Localidades!AX37,0),IF($AB37="RT",ROUND(Proyeccion_Localidades!BU37,0),"*****"))))</f>
        <v>427862</v>
      </c>
      <c r="AB37" s="67" t="str">
        <f>Proyeccion_Localidades!N37</f>
        <v>RT</v>
      </c>
      <c r="AC37" s="73" t="s">
        <v>36</v>
      </c>
      <c r="AD37" s="51" t="str">
        <f>IF(AB37="TGD",Proyeccion_Localidades!Z37,"-")</f>
        <v>-</v>
      </c>
      <c r="AE37" s="51" t="str">
        <f>IF($AB37="ALTH",Proyeccion_Localidades!AA37,"-")</f>
        <v>-</v>
      </c>
      <c r="AF37" s="51" t="str">
        <f>IF($AB37="ALTH",Proyeccion_Localidades!AB37,"-")</f>
        <v>-</v>
      </c>
      <c r="AG37" s="51"/>
      <c r="AH37" s="51"/>
      <c r="AI37" s="66">
        <f t="shared" si="2"/>
        <v>324552</v>
      </c>
    </row>
    <row r="38" spans="1:35" ht="24.95" customHeight="1">
      <c r="A38" s="69" t="str">
        <f>+Proyeccion_Localidades!C38</f>
        <v>Balcarce</v>
      </c>
      <c r="B38" s="70">
        <v>34</v>
      </c>
      <c r="C38" s="71" t="str">
        <f>+Proyeccion_Localidades!B38</f>
        <v>Balcarce</v>
      </c>
      <c r="D38" s="261">
        <f t="shared" si="3"/>
        <v>34</v>
      </c>
      <c r="E38" s="72">
        <f>+Proyeccion_Localidades!F38</f>
        <v>38376</v>
      </c>
      <c r="F38" s="66">
        <f>IF($AB38="TGD",ROUND($E38*(1+$AD38)^(F$4-$E$4),0),IF($AB38="ALTH",ROUND($AE38+$AF38*F$4,0),IF($AB38="IR",ROUND(Proyeccion_Localidades!AC38,0),IF($AB38="RT",ROUND(Proyeccion_Localidades!AZ38,0),"*****"))))</f>
        <v>45567</v>
      </c>
      <c r="G38" s="66">
        <f>IF($AB38="TGD",ROUND($E38*(1+$AD38)^(G$4-$E$4),0),IF($AB38="ALTH",ROUND($AE38+$AF38*G$4,0),IF($AB38="IR",ROUND(Proyeccion_Localidades!AD38,0),IF($AB38="RT",ROUND(Proyeccion_Localidades!BA38,0),"*****"))))</f>
        <v>46232</v>
      </c>
      <c r="H38" s="66">
        <f>IF($AB38="TGD",ROUND($E38*(1+$AD38)^(H$4-$E$4),0),IF($AB38="ALTH",ROUND($AE38+$AF38*H$4,0),IF($AB38="IR",ROUND(Proyeccion_Localidades!AE38,0),IF($AB38="RT",ROUND(Proyeccion_Localidades!BB38,0),"*****"))))</f>
        <v>48291</v>
      </c>
      <c r="I38" s="66">
        <f>IF($AB38="TGD",ROUND($E38*(1+$AD38)^(I$4-$E$4),0),IF($AB38="ALTH",ROUND($AE38+$AF38*I$4,0),IF($AB38="IR",ROUND(Proyeccion_Localidades!AF38,0),IF($AB38="RT",ROUND(Proyeccion_Localidades!BC38,0),"*****"))))</f>
        <v>49000</v>
      </c>
      <c r="J38" s="66">
        <f>IF($AB38="TGD",ROUND($E38*(1+$AD38)^(J$4-$E$4),0),IF($AB38="ALTH",ROUND($AE38+$AF38*J$4,0),IF($AB38="IR",ROUND(Proyeccion_Localidades!AG38,0),IF($AB38="RT",ROUND(Proyeccion_Localidades!BD38,0),"*****"))))</f>
        <v>49721</v>
      </c>
      <c r="K38" s="66">
        <f>IF($AB38="TGD",ROUND($E38*(1+$AD38)^(K$4-$E$4),0),IF($AB38="ALTH",ROUND($AE38+$AF38*K$4,0),IF($AB38="IR",ROUND(Proyeccion_Localidades!AH38,0),IF($AB38="RT",ROUND(Proyeccion_Localidades!BE38,0),"*****"))))</f>
        <v>50453</v>
      </c>
      <c r="L38" s="66">
        <f>IF($AB38="TGD",ROUND($E38*(1+$AD38)^(L$4-$E$4),0),IF($AB38="ALTH",ROUND($AE38+$AF38*L$4,0),IF($AB38="IR",ROUND(Proyeccion_Localidades!AI38,0),IF($AB38="RT",ROUND(Proyeccion_Localidades!BF38,0),"*****"))))</f>
        <v>51198</v>
      </c>
      <c r="M38" s="66">
        <f>IF($AB38="TGD",ROUND($E38*(1+$AD38)^(M$4-$E$4),0),IF($AB38="ALTH",ROUND($AE38+$AF38*M$4,0),IF($AB38="IR",ROUND(Proyeccion_Localidades!AJ38,0),IF($AB38="RT",ROUND(Proyeccion_Localidades!BG38,0),"*****"))))</f>
        <v>51954</v>
      </c>
      <c r="N38" s="66">
        <f>IF($AB38="TGD",ROUND($E38*(1+$AD38)^(N$4-$E$4),0),IF($AB38="ALTH",ROUND($AE38+$AF38*N$4,0),IF($AB38="IR",ROUND(Proyeccion_Localidades!AK38,0),IF($AB38="RT",ROUND(Proyeccion_Localidades!BH38,0),"*****"))))</f>
        <v>52723</v>
      </c>
      <c r="O38" s="66">
        <f>IF($AB38="TGD",ROUND($E38*(1+$AD38)^(O$4-$E$4),0),IF($AB38="ALTH",ROUND($AE38+$AF38*O$4,0),IF($AB38="IR",ROUND(Proyeccion_Localidades!AL38,0),IF($AB38="RT",ROUND(Proyeccion_Localidades!BI38,0),"*****"))))</f>
        <v>53505</v>
      </c>
      <c r="P38" s="66">
        <f>IF($AB38="TGD",ROUND($E38*(1+$AD38)^(P$4-$E$4),0),IF($AB38="ALTH",ROUND($AE38+$AF38*P$4,0),IF($AB38="IR",ROUND(Proyeccion_Localidades!AM38,0),IF($AB38="RT",ROUND(Proyeccion_Localidades!BJ38,0),"*****"))))</f>
        <v>54299</v>
      </c>
      <c r="Q38" s="66">
        <f>IF($AB38="TGD",ROUND($E38*(1+$AD38)^(Q$4-$E$4),0),IF($AB38="ALTH",ROUND($AE38+$AF38*Q$4,0),IF($AB38="IR",ROUND(Proyeccion_Localidades!AN38,0),IF($AB38="RT",ROUND(Proyeccion_Localidades!BK38,0),"*****"))))</f>
        <v>55106</v>
      </c>
      <c r="R38" s="66">
        <f>IF($AB38="TGD",ROUND($E38*(1+$AD38)^(R$4-$E$4),0),IF($AB38="ALTH",ROUND($AE38+$AF38*R$4,0),IF($AB38="IR",ROUND(Proyeccion_Localidades!AO38,0),IF($AB38="RT",ROUND(Proyeccion_Localidades!BL38,0),"*****"))))</f>
        <v>55926</v>
      </c>
      <c r="S38" s="66">
        <f>IF($AB38="TGD",ROUND($E38*(1+$AD38)^(S$4-$E$4),0),IF($AB38="ALTH",ROUND($AE38+$AF38*S$4,0),IF($AB38="IR",ROUND(Proyeccion_Localidades!AP38,0),IF($AB38="RT",ROUND(Proyeccion_Localidades!BM38,0),"*****"))))</f>
        <v>56760</v>
      </c>
      <c r="T38" s="66">
        <f>IF($AB38="TGD",ROUND($E38*(1+$AD38)^(T$4-$E$4),0),IF($AB38="ALTH",ROUND($AE38+$AF38*T$4,0),IF($AB38="IR",ROUND(Proyeccion_Localidades!AQ38,0),IF($AB38="RT",ROUND(Proyeccion_Localidades!BN38,0),"*****"))))</f>
        <v>57607</v>
      </c>
      <c r="U38" s="66">
        <f>IF($AB38="TGD",ROUND($E38*(1+$AD38)^(U$4-$E$4),0),IF($AB38="ALTH",ROUND($AE38+$AF38*U$4,0),IF($AB38="IR",ROUND(Proyeccion_Localidades!AR38,0),IF($AB38="RT",ROUND(Proyeccion_Localidades!BO38,0),"*****"))))</f>
        <v>58468</v>
      </c>
      <c r="V38" s="66">
        <f>IF($AB38="TGD",ROUND($E38*(1+$AD38)^(V$4-$E$4),0),IF($AB38="ALTH",ROUND($AE38+$AF38*V$4,0),IF($AB38="IR",ROUND(Proyeccion_Localidades!AS38,0),IF($AB38="RT",ROUND(Proyeccion_Localidades!BP38,0),"*****"))))</f>
        <v>59343</v>
      </c>
      <c r="W38" s="66">
        <f>IF($AB38="TGD",ROUND($E38*(1+$AD38)^(W$4-$E$4),0),IF($AB38="ALTH",ROUND($AE38+$AF38*W$4,0),IF($AB38="IR",ROUND(Proyeccion_Localidades!AT38,0),IF($AB38="RT",ROUND(Proyeccion_Localidades!BQ38,0),"*****"))))</f>
        <v>60233</v>
      </c>
      <c r="X38" s="66">
        <f>IF($AB38="TGD",ROUND($E38*(1+$AD38)^(X$4-$E$4),0),IF($AB38="ALTH",ROUND($AE38+$AF38*X$4,0),IF($AB38="IR",ROUND(Proyeccion_Localidades!AU38,0),IF($AB38="RT",ROUND(Proyeccion_Localidades!BR38,0),"*****"))))</f>
        <v>61137</v>
      </c>
      <c r="Y38" s="66">
        <f>IF($AB38="TGD",ROUND($E38*(1+$AD38)^(Y$4-$E$4),0),IF($AB38="ALTH",ROUND($AE38+$AF38*Y$4,0),IF($AB38="IR",ROUND(Proyeccion_Localidades!AV38,0),IF($AB38="RT",ROUND(Proyeccion_Localidades!BS38,0),"*****"))))</f>
        <v>62055</v>
      </c>
      <c r="Z38" s="66">
        <f>IF($AB38="TGD",ROUND($E38*(1+$AD38)^(Z$4-$E$4),0),IF($AB38="ALTH",ROUND($AE38+$AF38*Z$4,0),IF($AB38="IR",ROUND(Proyeccion_Localidades!AW38,0),IF($AB38="RT",ROUND(Proyeccion_Localidades!BT38,0),"*****"))))</f>
        <v>62989</v>
      </c>
      <c r="AA38" s="66">
        <f>IF($AB38="TGD",ROUND($E38*(1+$AD38)^(AA$4-$E$4),0),IF($AB38="ALTH",ROUND($AE38+$AF38*AA$4,0),IF($AB38="IR",ROUND(Proyeccion_Localidades!AX38,0),IF($AB38="RT",ROUND(Proyeccion_Localidades!BU38,0),"*****"))))</f>
        <v>63938</v>
      </c>
      <c r="AB38" s="67" t="str">
        <f>Proyeccion_Localidades!N38</f>
        <v>IR</v>
      </c>
      <c r="AC38" s="73"/>
      <c r="AD38" s="51" t="str">
        <f>IF(AB38="TGD",Proyeccion_Localidades!Z38,"-")</f>
        <v>-</v>
      </c>
      <c r="AE38" s="51" t="str">
        <f>IF($AB38="ALTH",Proyeccion_Localidades!AA38,"-")</f>
        <v>-</v>
      </c>
      <c r="AF38" s="51" t="str">
        <f>IF($AB38="ALTH",Proyeccion_Localidades!AB38,"-")</f>
        <v>-</v>
      </c>
      <c r="AG38" s="51"/>
      <c r="AH38" s="51"/>
      <c r="AI38" s="66">
        <f t="shared" si="2"/>
        <v>46232</v>
      </c>
    </row>
    <row r="39" spans="1:35" ht="24.95" customHeight="1">
      <c r="A39" s="69" t="str">
        <f>+Proyeccion_Localidades!C39</f>
        <v>Baradero</v>
      </c>
      <c r="B39" s="70">
        <v>35</v>
      </c>
      <c r="C39" s="71" t="str">
        <f>+Proyeccion_Localidades!B39</f>
        <v>Baradero</v>
      </c>
      <c r="D39" s="261">
        <f t="shared" si="3"/>
        <v>35</v>
      </c>
      <c r="E39" s="72">
        <f>+Proyeccion_Localidades!F39</f>
        <v>28537</v>
      </c>
      <c r="F39" s="66">
        <f>IF($AB39="TGD",ROUND($E39*(1+$AD39)^(F$4-$E$4),0),IF($AB39="ALTH",ROUND($AE39+$AF39*F$4,0),IF($AB39="IR",ROUND(Proyeccion_Localidades!AC39,0),IF($AB39="RT",ROUND(Proyeccion_Localidades!AZ39,0),"*****"))))</f>
        <v>32205</v>
      </c>
      <c r="G39" s="66">
        <f>IF($AB39="TGD",ROUND($E39*(1+$AD39)^(G$4-$E$4),0),IF($AB39="ALTH",ROUND($AE39+$AF39*G$4,0),IF($AB39="IR",ROUND(Proyeccion_Localidades!AD39,0),IF($AB39="RT",ROUND(Proyeccion_Localidades!BA39,0),"*****"))))</f>
        <v>32532</v>
      </c>
      <c r="H39" s="66">
        <f>IF($AB39="TGD",ROUND($E39*(1+$AD39)^(H$4-$E$4),0),IF($AB39="ALTH",ROUND($AE39+$AF39*H$4,0),IF($AB39="IR",ROUND(Proyeccion_Localidades!AE39,0),IF($AB39="RT",ROUND(Proyeccion_Localidades!BB39,0),"*****"))))</f>
        <v>33530</v>
      </c>
      <c r="I39" s="66">
        <f>IF($AB39="TGD",ROUND($E39*(1+$AD39)^(I$4-$E$4),0),IF($AB39="ALTH",ROUND($AE39+$AF39*I$4,0),IF($AB39="IR",ROUND(Proyeccion_Localidades!AF39,0),IF($AB39="RT",ROUND(Proyeccion_Localidades!BC39,0),"*****"))))</f>
        <v>33870</v>
      </c>
      <c r="J39" s="66">
        <f>IF($AB39="TGD",ROUND($E39*(1+$AD39)^(J$4-$E$4),0),IF($AB39="ALTH",ROUND($AE39+$AF39*J$4,0),IF($AB39="IR",ROUND(Proyeccion_Localidades!AG39,0),IF($AB39="RT",ROUND(Proyeccion_Localidades!BD39,0),"*****"))))</f>
        <v>34213</v>
      </c>
      <c r="K39" s="66">
        <f>IF($AB39="TGD",ROUND($E39*(1+$AD39)^(K$4-$E$4),0),IF($AB39="ALTH",ROUND($AE39+$AF39*K$4,0),IF($AB39="IR",ROUND(Proyeccion_Localidades!AH39,0),IF($AB39="RT",ROUND(Proyeccion_Localidades!BE39,0),"*****"))))</f>
        <v>34559</v>
      </c>
      <c r="L39" s="66">
        <f>IF($AB39="TGD",ROUND($E39*(1+$AD39)^(L$4-$E$4),0),IF($AB39="ALTH",ROUND($AE39+$AF39*L$4,0),IF($AB39="IR",ROUND(Proyeccion_Localidades!AI39,0),IF($AB39="RT",ROUND(Proyeccion_Localidades!BF39,0),"*****"))))</f>
        <v>34909</v>
      </c>
      <c r="M39" s="66">
        <f>IF($AB39="TGD",ROUND($E39*(1+$AD39)^(M$4-$E$4),0),IF($AB39="ALTH",ROUND($AE39+$AF39*M$4,0),IF($AB39="IR",ROUND(Proyeccion_Localidades!AJ39,0),IF($AB39="RT",ROUND(Proyeccion_Localidades!BG39,0),"*****"))))</f>
        <v>35263</v>
      </c>
      <c r="N39" s="66">
        <f>IF($AB39="TGD",ROUND($E39*(1+$AD39)^(N$4-$E$4),0),IF($AB39="ALTH",ROUND($AE39+$AF39*N$4,0),IF($AB39="IR",ROUND(Proyeccion_Localidades!AK39,0),IF($AB39="RT",ROUND(Proyeccion_Localidades!BH39,0),"*****"))))</f>
        <v>35620</v>
      </c>
      <c r="O39" s="66">
        <f>IF($AB39="TGD",ROUND($E39*(1+$AD39)^(O$4-$E$4),0),IF($AB39="ALTH",ROUND($AE39+$AF39*O$4,0),IF($AB39="IR",ROUND(Proyeccion_Localidades!AL39,0),IF($AB39="RT",ROUND(Proyeccion_Localidades!BI39,0),"*****"))))</f>
        <v>35981</v>
      </c>
      <c r="P39" s="66">
        <f>IF($AB39="TGD",ROUND($E39*(1+$AD39)^(P$4-$E$4),0),IF($AB39="ALTH",ROUND($AE39+$AF39*P$4,0),IF($AB39="IR",ROUND(Proyeccion_Localidades!AM39,0),IF($AB39="RT",ROUND(Proyeccion_Localidades!BJ39,0),"*****"))))</f>
        <v>36345</v>
      </c>
      <c r="Q39" s="66">
        <f>IF($AB39="TGD",ROUND($E39*(1+$AD39)^(Q$4-$E$4),0),IF($AB39="ALTH",ROUND($AE39+$AF39*Q$4,0),IF($AB39="IR",ROUND(Proyeccion_Localidades!AN39,0),IF($AB39="RT",ROUND(Proyeccion_Localidades!BK39,0),"*****"))))</f>
        <v>36713</v>
      </c>
      <c r="R39" s="66">
        <f>IF($AB39="TGD",ROUND($E39*(1+$AD39)^(R$4-$E$4),0),IF($AB39="ALTH",ROUND($AE39+$AF39*R$4,0),IF($AB39="IR",ROUND(Proyeccion_Localidades!AO39,0),IF($AB39="RT",ROUND(Proyeccion_Localidades!BL39,0),"*****"))))</f>
        <v>37085</v>
      </c>
      <c r="S39" s="66">
        <f>IF($AB39="TGD",ROUND($E39*(1+$AD39)^(S$4-$E$4),0),IF($AB39="ALTH",ROUND($AE39+$AF39*S$4,0),IF($AB39="IR",ROUND(Proyeccion_Localidades!AP39,0),IF($AB39="RT",ROUND(Proyeccion_Localidades!BM39,0),"*****"))))</f>
        <v>37461</v>
      </c>
      <c r="T39" s="66">
        <f>IF($AB39="TGD",ROUND($E39*(1+$AD39)^(T$4-$E$4),0),IF($AB39="ALTH",ROUND($AE39+$AF39*T$4,0),IF($AB39="IR",ROUND(Proyeccion_Localidades!AQ39,0),IF($AB39="RT",ROUND(Proyeccion_Localidades!BN39,0),"*****"))))</f>
        <v>37840</v>
      </c>
      <c r="U39" s="66">
        <f>IF($AB39="TGD",ROUND($E39*(1+$AD39)^(U$4-$E$4),0),IF($AB39="ALTH",ROUND($AE39+$AF39*U$4,0),IF($AB39="IR",ROUND(Proyeccion_Localidades!AR39,0),IF($AB39="RT",ROUND(Proyeccion_Localidades!BO39,0),"*****"))))</f>
        <v>38223</v>
      </c>
      <c r="V39" s="66">
        <f>IF($AB39="TGD",ROUND($E39*(1+$AD39)^(V$4-$E$4),0),IF($AB39="ALTH",ROUND($AE39+$AF39*V$4,0),IF($AB39="IR",ROUND(Proyeccion_Localidades!AS39,0),IF($AB39="RT",ROUND(Proyeccion_Localidades!BP39,0),"*****"))))</f>
        <v>38611</v>
      </c>
      <c r="W39" s="66">
        <f>IF($AB39="TGD",ROUND($E39*(1+$AD39)^(W$4-$E$4),0),IF($AB39="ALTH",ROUND($AE39+$AF39*W$4,0),IF($AB39="IR",ROUND(Proyeccion_Localidades!AT39,0),IF($AB39="RT",ROUND(Proyeccion_Localidades!BQ39,0),"*****"))))</f>
        <v>39002</v>
      </c>
      <c r="X39" s="66">
        <f>IF($AB39="TGD",ROUND($E39*(1+$AD39)^(X$4-$E$4),0),IF($AB39="ALTH",ROUND($AE39+$AF39*X$4,0),IF($AB39="IR",ROUND(Proyeccion_Localidades!AU39,0),IF($AB39="RT",ROUND(Proyeccion_Localidades!BR39,0),"*****"))))</f>
        <v>39397</v>
      </c>
      <c r="Y39" s="66">
        <f>IF($AB39="TGD",ROUND($E39*(1+$AD39)^(Y$4-$E$4),0),IF($AB39="ALTH",ROUND($AE39+$AF39*Y$4,0),IF($AB39="IR",ROUND(Proyeccion_Localidades!AV39,0),IF($AB39="RT",ROUND(Proyeccion_Localidades!BS39,0),"*****"))))</f>
        <v>39796</v>
      </c>
      <c r="Z39" s="66">
        <f>IF($AB39="TGD",ROUND($E39*(1+$AD39)^(Z$4-$E$4),0),IF($AB39="ALTH",ROUND($AE39+$AF39*Z$4,0),IF($AB39="IR",ROUND(Proyeccion_Localidades!AW39,0),IF($AB39="RT",ROUND(Proyeccion_Localidades!BT39,0),"*****"))))</f>
        <v>40199</v>
      </c>
      <c r="AA39" s="66">
        <f>IF($AB39="TGD",ROUND($E39*(1+$AD39)^(AA$4-$E$4),0),IF($AB39="ALTH",ROUND($AE39+$AF39*AA$4,0),IF($AB39="IR",ROUND(Proyeccion_Localidades!AX39,0),IF($AB39="RT",ROUND(Proyeccion_Localidades!BU39,0),"*****"))))</f>
        <v>40606</v>
      </c>
      <c r="AB39" s="67" t="str">
        <f>Proyeccion_Localidades!N39</f>
        <v>TGD</v>
      </c>
      <c r="AC39" s="73" t="s">
        <v>35</v>
      </c>
      <c r="AD39" s="51">
        <f>IF(AB39="TGD",Proyeccion_Localidades!Z39,"-")</f>
        <v>1.0128457643893252E-2</v>
      </c>
      <c r="AE39" s="51" t="str">
        <f>IF($AB39="ALTH",Proyeccion_Localidades!AA39,"-")</f>
        <v>-</v>
      </c>
      <c r="AF39" s="51" t="str">
        <f>IF($AB39="ALTH",Proyeccion_Localidades!AB39,"-")</f>
        <v>-</v>
      </c>
      <c r="AG39" s="51"/>
      <c r="AH39" s="51"/>
      <c r="AI39" s="66">
        <f t="shared" si="2"/>
        <v>32532</v>
      </c>
    </row>
    <row r="40" spans="1:35" ht="24.95" customHeight="1">
      <c r="A40" s="69" t="str">
        <f>+Proyeccion_Localidades!C40</f>
        <v>Benito Juárez</v>
      </c>
      <c r="B40" s="70">
        <v>36</v>
      </c>
      <c r="C40" s="71" t="str">
        <f>+Proyeccion_Localidades!B40</f>
        <v>Benito Juárez</v>
      </c>
      <c r="D40" s="261">
        <f t="shared" si="3"/>
        <v>36</v>
      </c>
      <c r="E40" s="72">
        <f>+Proyeccion_Localidades!F40</f>
        <v>14279</v>
      </c>
      <c r="F40" s="66">
        <f>IF($AB40="TGD",ROUND($E40*(1+$AD40)^(F$4-$E$4),0),IF($AB40="ALTH",ROUND($AE40+$AF40*F$4,0),IF($AB40="IR",ROUND(Proyeccion_Localidades!AC40,0),IF($AB40="RT",ROUND(Proyeccion_Localidades!AZ40,0),"*****"))))</f>
        <v>15195</v>
      </c>
      <c r="G40" s="66">
        <f>IF($AB40="TGD",ROUND($E40*(1+$AD40)^(G$4-$E$4),0),IF($AB40="ALTH",ROUND($AE40+$AF40*G$4,0),IF($AB40="IR",ROUND(Proyeccion_Localidades!AD40,0),IF($AB40="RT",ROUND(Proyeccion_Localidades!BA40,0),"*****"))))</f>
        <v>15280</v>
      </c>
      <c r="H40" s="66">
        <f>IF($AB40="TGD",ROUND($E40*(1+$AD40)^(H$4-$E$4),0),IF($AB40="ALTH",ROUND($AE40+$AF40*H$4,0),IF($AB40="IR",ROUND(Proyeccion_Localidades!AE40,0),IF($AB40="RT",ROUND(Proyeccion_Localidades!BB40,0),"*****"))))</f>
        <v>15542</v>
      </c>
      <c r="I40" s="66">
        <f>IF($AB40="TGD",ROUND($E40*(1+$AD40)^(I$4-$E$4),0),IF($AB40="ALTH",ROUND($AE40+$AF40*I$4,0),IF($AB40="IR",ROUND(Proyeccion_Localidades!AF40,0),IF($AB40="RT",ROUND(Proyeccion_Localidades!BC40,0),"*****"))))</f>
        <v>15633</v>
      </c>
      <c r="J40" s="66">
        <f>IF($AB40="TGD",ROUND($E40*(1+$AD40)^(J$4-$E$4),0),IF($AB40="ALTH",ROUND($AE40+$AF40*J$4,0),IF($AB40="IR",ROUND(Proyeccion_Localidades!AG40,0),IF($AB40="RT",ROUND(Proyeccion_Localidades!BD40,0),"*****"))))</f>
        <v>15724</v>
      </c>
      <c r="K40" s="66">
        <f>IF($AB40="TGD",ROUND($E40*(1+$AD40)^(K$4-$E$4),0),IF($AB40="ALTH",ROUND($AE40+$AF40*K$4,0),IF($AB40="IR",ROUND(Proyeccion_Localidades!AH40,0),IF($AB40="RT",ROUND(Proyeccion_Localidades!BE40,0),"*****"))))</f>
        <v>15818</v>
      </c>
      <c r="L40" s="66">
        <f>IF($AB40="TGD",ROUND($E40*(1+$AD40)^(L$4-$E$4),0),IF($AB40="ALTH",ROUND($AE40+$AF40*L$4,0),IF($AB40="IR",ROUND(Proyeccion_Localidades!AI40,0),IF($AB40="RT",ROUND(Proyeccion_Localidades!BF40,0),"*****"))))</f>
        <v>15913</v>
      </c>
      <c r="M40" s="66">
        <f>IF($AB40="TGD",ROUND($E40*(1+$AD40)^(M$4-$E$4),0),IF($AB40="ALTH",ROUND($AE40+$AF40*M$4,0),IF($AB40="IR",ROUND(Proyeccion_Localidades!AJ40,0),IF($AB40="RT",ROUND(Proyeccion_Localidades!BG40,0),"*****"))))</f>
        <v>16009</v>
      </c>
      <c r="N40" s="66">
        <f>IF($AB40="TGD",ROUND($E40*(1+$AD40)^(N$4-$E$4),0),IF($AB40="ALTH",ROUND($AE40+$AF40*N$4,0),IF($AB40="IR",ROUND(Proyeccion_Localidades!AK40,0),IF($AB40="RT",ROUND(Proyeccion_Localidades!BH40,0),"*****"))))</f>
        <v>16107</v>
      </c>
      <c r="O40" s="66">
        <f>IF($AB40="TGD",ROUND($E40*(1+$AD40)^(O$4-$E$4),0),IF($AB40="ALTH",ROUND($AE40+$AF40*O$4,0),IF($AB40="IR",ROUND(Proyeccion_Localidades!AL40,0),IF($AB40="RT",ROUND(Proyeccion_Localidades!BI40,0),"*****"))))</f>
        <v>16206</v>
      </c>
      <c r="P40" s="66">
        <f>IF($AB40="TGD",ROUND($E40*(1+$AD40)^(P$4-$E$4),0),IF($AB40="ALTH",ROUND($AE40+$AF40*P$4,0),IF($AB40="IR",ROUND(Proyeccion_Localidades!AM40,0),IF($AB40="RT",ROUND(Proyeccion_Localidades!BJ40,0),"*****"))))</f>
        <v>16308</v>
      </c>
      <c r="Q40" s="66">
        <f>IF($AB40="TGD",ROUND($E40*(1+$AD40)^(Q$4-$E$4),0),IF($AB40="ALTH",ROUND($AE40+$AF40*Q$4,0),IF($AB40="IR",ROUND(Proyeccion_Localidades!AN40,0),IF($AB40="RT",ROUND(Proyeccion_Localidades!BK40,0),"*****"))))</f>
        <v>16410</v>
      </c>
      <c r="R40" s="66">
        <f>IF($AB40="TGD",ROUND($E40*(1+$AD40)^(R$4-$E$4),0),IF($AB40="ALTH",ROUND($AE40+$AF40*R$4,0),IF($AB40="IR",ROUND(Proyeccion_Localidades!AO40,0),IF($AB40="RT",ROUND(Proyeccion_Localidades!BL40,0),"*****"))))</f>
        <v>16515</v>
      </c>
      <c r="S40" s="66">
        <f>IF($AB40="TGD",ROUND($E40*(1+$AD40)^(S$4-$E$4),0),IF($AB40="ALTH",ROUND($AE40+$AF40*S$4,0),IF($AB40="IR",ROUND(Proyeccion_Localidades!AP40,0),IF($AB40="RT",ROUND(Proyeccion_Localidades!BM40,0),"*****"))))</f>
        <v>16621</v>
      </c>
      <c r="T40" s="66">
        <f>IF($AB40="TGD",ROUND($E40*(1+$AD40)^(T$4-$E$4),0),IF($AB40="ALTH",ROUND($AE40+$AF40*T$4,0),IF($AB40="IR",ROUND(Proyeccion_Localidades!AQ40,0),IF($AB40="RT",ROUND(Proyeccion_Localidades!BN40,0),"*****"))))</f>
        <v>16729</v>
      </c>
      <c r="U40" s="66">
        <f>IF($AB40="TGD",ROUND($E40*(1+$AD40)^(U$4-$E$4),0),IF($AB40="ALTH",ROUND($AE40+$AF40*U$4,0),IF($AB40="IR",ROUND(Proyeccion_Localidades!AR40,0),IF($AB40="RT",ROUND(Proyeccion_Localidades!BO40,0),"*****"))))</f>
        <v>16839</v>
      </c>
      <c r="V40" s="66">
        <f>IF($AB40="TGD",ROUND($E40*(1+$AD40)^(V$4-$E$4),0),IF($AB40="ALTH",ROUND($AE40+$AF40*V$4,0),IF($AB40="IR",ROUND(Proyeccion_Localidades!AS40,0),IF($AB40="RT",ROUND(Proyeccion_Localidades!BP40,0),"*****"))))</f>
        <v>16950</v>
      </c>
      <c r="W40" s="66">
        <f>IF($AB40="TGD",ROUND($E40*(1+$AD40)^(W$4-$E$4),0),IF($AB40="ALTH",ROUND($AE40+$AF40*W$4,0),IF($AB40="IR",ROUND(Proyeccion_Localidades!AT40,0),IF($AB40="RT",ROUND(Proyeccion_Localidades!BQ40,0),"*****"))))</f>
        <v>17064</v>
      </c>
      <c r="X40" s="66">
        <f>IF($AB40="TGD",ROUND($E40*(1+$AD40)^(X$4-$E$4),0),IF($AB40="ALTH",ROUND($AE40+$AF40*X$4,0),IF($AB40="IR",ROUND(Proyeccion_Localidades!AU40,0),IF($AB40="RT",ROUND(Proyeccion_Localidades!BR40,0),"*****"))))</f>
        <v>17179</v>
      </c>
      <c r="Y40" s="66">
        <f>IF($AB40="TGD",ROUND($E40*(1+$AD40)^(Y$4-$E$4),0),IF($AB40="ALTH",ROUND($AE40+$AF40*Y$4,0),IF($AB40="IR",ROUND(Proyeccion_Localidades!AV40,0),IF($AB40="RT",ROUND(Proyeccion_Localidades!BS40,0),"*****"))))</f>
        <v>17296</v>
      </c>
      <c r="Z40" s="66">
        <f>IF($AB40="TGD",ROUND($E40*(1+$AD40)^(Z$4-$E$4),0),IF($AB40="ALTH",ROUND($AE40+$AF40*Z$4,0),IF($AB40="IR",ROUND(Proyeccion_Localidades!AW40,0),IF($AB40="RT",ROUND(Proyeccion_Localidades!BT40,0),"*****"))))</f>
        <v>17415</v>
      </c>
      <c r="AA40" s="66">
        <f>IF($AB40="TGD",ROUND($E40*(1+$AD40)^(AA$4-$E$4),0),IF($AB40="ALTH",ROUND($AE40+$AF40*AA$4,0),IF($AB40="IR",ROUND(Proyeccion_Localidades!AX40,0),IF($AB40="RT",ROUND(Proyeccion_Localidades!BU40,0),"*****"))))</f>
        <v>17536</v>
      </c>
      <c r="AB40" s="67" t="str">
        <f>Proyeccion_Localidades!N40</f>
        <v>IR</v>
      </c>
      <c r="AC40" s="73"/>
      <c r="AD40" s="51" t="str">
        <f>IF(AB40="TGD",Proyeccion_Localidades!Z40,"-")</f>
        <v>-</v>
      </c>
      <c r="AE40" s="51" t="str">
        <f>IF($AB40="ALTH",Proyeccion_Localidades!AA40,"-")</f>
        <v>-</v>
      </c>
      <c r="AF40" s="51" t="str">
        <f>IF($AB40="ALTH",Proyeccion_Localidades!AB40,"-")</f>
        <v>-</v>
      </c>
      <c r="AG40" s="51"/>
      <c r="AH40" s="51"/>
      <c r="AI40" s="66">
        <f t="shared" si="2"/>
        <v>15280</v>
      </c>
    </row>
    <row r="41" spans="1:35" ht="24.95" customHeight="1">
      <c r="A41" s="69" t="str">
        <f>+Proyeccion_Localidades!C41</f>
        <v>Berisso</v>
      </c>
      <c r="B41" s="70">
        <v>37</v>
      </c>
      <c r="C41" s="71" t="str">
        <f>+Proyeccion_Localidades!B41</f>
        <v>Berisso</v>
      </c>
      <c r="D41" s="261">
        <f t="shared" si="3"/>
        <v>37</v>
      </c>
      <c r="E41" s="72">
        <f>+Proyeccion_Localidades!F41</f>
        <v>87698</v>
      </c>
      <c r="F41" s="66">
        <f>IF($AB41="TGD",ROUND($E41*(1+$AD41)^(F$4-$E$4),0),IF($AB41="ALTH",ROUND($AE41+$AF41*F$4,0),IF($AB41="IR",ROUND(Proyeccion_Localidades!AC41,0),IF($AB41="RT",ROUND(Proyeccion_Localidades!AZ41,0),"*****"))))</f>
        <v>98562</v>
      </c>
      <c r="G41" s="66">
        <f>IF($AB41="TGD",ROUND($E41*(1+$AD41)^(G$4-$E$4),0),IF($AB41="ALTH",ROUND($AE41+$AF41*G$4,0),IF($AB41="IR",ROUND(Proyeccion_Localidades!AD41,0),IF($AB41="RT",ROUND(Proyeccion_Localidades!BA41,0),"*****"))))</f>
        <v>99526</v>
      </c>
      <c r="H41" s="66">
        <f>IF($AB41="TGD",ROUND($E41*(1+$AD41)^(H$4-$E$4),0),IF($AB41="ALTH",ROUND($AE41+$AF41*H$4,0),IF($AB41="IR",ROUND(Proyeccion_Localidades!AE41,0),IF($AB41="RT",ROUND(Proyeccion_Localidades!BB41,0),"*****"))))</f>
        <v>102475</v>
      </c>
      <c r="I41" s="66">
        <f>IF($AB41="TGD",ROUND($E41*(1+$AD41)^(I$4-$E$4),0),IF($AB41="ALTH",ROUND($AE41+$AF41*I$4,0),IF($AB41="IR",ROUND(Proyeccion_Localidades!AF41,0),IF($AB41="RT",ROUND(Proyeccion_Localidades!BC41,0),"*****"))))</f>
        <v>103477</v>
      </c>
      <c r="J41" s="66">
        <f>IF($AB41="TGD",ROUND($E41*(1+$AD41)^(J$4-$E$4),0),IF($AB41="ALTH",ROUND($AE41+$AF41*J$4,0),IF($AB41="IR",ROUND(Proyeccion_Localidades!AG41,0),IF($AB41="RT",ROUND(Proyeccion_Localidades!BD41,0),"*****"))))</f>
        <v>104489</v>
      </c>
      <c r="K41" s="66">
        <f>IF($AB41="TGD",ROUND($E41*(1+$AD41)^(K$4-$E$4),0),IF($AB41="ALTH",ROUND($AE41+$AF41*K$4,0),IF($AB41="IR",ROUND(Proyeccion_Localidades!AH41,0),IF($AB41="RT",ROUND(Proyeccion_Localidades!BE41,0),"*****"))))</f>
        <v>105511</v>
      </c>
      <c r="L41" s="66">
        <f>IF($AB41="TGD",ROUND($E41*(1+$AD41)^(L$4-$E$4),0),IF($AB41="ALTH",ROUND($AE41+$AF41*L$4,0),IF($AB41="IR",ROUND(Proyeccion_Localidades!AI41,0),IF($AB41="RT",ROUND(Proyeccion_Localidades!BF41,0),"*****"))))</f>
        <v>106543</v>
      </c>
      <c r="M41" s="66">
        <f>IF($AB41="TGD",ROUND($E41*(1+$AD41)^(M$4-$E$4),0),IF($AB41="ALTH",ROUND($AE41+$AF41*M$4,0),IF($AB41="IR",ROUND(Proyeccion_Localidades!AJ41,0),IF($AB41="RT",ROUND(Proyeccion_Localidades!BG41,0),"*****"))))</f>
        <v>107585</v>
      </c>
      <c r="N41" s="66">
        <f>IF($AB41="TGD",ROUND($E41*(1+$AD41)^(N$4-$E$4),0),IF($AB41="ALTH",ROUND($AE41+$AF41*N$4,0),IF($AB41="IR",ROUND(Proyeccion_Localidades!AK41,0),IF($AB41="RT",ROUND(Proyeccion_Localidades!BH41,0),"*****"))))</f>
        <v>108637</v>
      </c>
      <c r="O41" s="66">
        <f>IF($AB41="TGD",ROUND($E41*(1+$AD41)^(O$4-$E$4),0),IF($AB41="ALTH",ROUND($AE41+$AF41*O$4,0),IF($AB41="IR",ROUND(Proyeccion_Localidades!AL41,0),IF($AB41="RT",ROUND(Proyeccion_Localidades!BI41,0),"*****"))))</f>
        <v>109699</v>
      </c>
      <c r="P41" s="66">
        <f>IF($AB41="TGD",ROUND($E41*(1+$AD41)^(P$4-$E$4),0),IF($AB41="ALTH",ROUND($AE41+$AF41*P$4,0),IF($AB41="IR",ROUND(Proyeccion_Localidades!AM41,0),IF($AB41="RT",ROUND(Proyeccion_Localidades!BJ41,0),"*****"))))</f>
        <v>110772</v>
      </c>
      <c r="Q41" s="66">
        <f>IF($AB41="TGD",ROUND($E41*(1+$AD41)^(Q$4-$E$4),0),IF($AB41="ALTH",ROUND($AE41+$AF41*Q$4,0),IF($AB41="IR",ROUND(Proyeccion_Localidades!AN41,0),IF($AB41="RT",ROUND(Proyeccion_Localidades!BK41,0),"*****"))))</f>
        <v>111855</v>
      </c>
      <c r="R41" s="66">
        <f>IF($AB41="TGD",ROUND($E41*(1+$AD41)^(R$4-$E$4),0),IF($AB41="ALTH",ROUND($AE41+$AF41*R$4,0),IF($AB41="IR",ROUND(Proyeccion_Localidades!AO41,0),IF($AB41="RT",ROUND(Proyeccion_Localidades!BL41,0),"*****"))))</f>
        <v>112949</v>
      </c>
      <c r="S41" s="66">
        <f>IF($AB41="TGD",ROUND($E41*(1+$AD41)^(S$4-$E$4),0),IF($AB41="ALTH",ROUND($AE41+$AF41*S$4,0),IF($AB41="IR",ROUND(Proyeccion_Localidades!AP41,0),IF($AB41="RT",ROUND(Proyeccion_Localidades!BM41,0),"*****"))))</f>
        <v>114054</v>
      </c>
      <c r="T41" s="66">
        <f>IF($AB41="TGD",ROUND($E41*(1+$AD41)^(T$4-$E$4),0),IF($AB41="ALTH",ROUND($AE41+$AF41*T$4,0),IF($AB41="IR",ROUND(Proyeccion_Localidades!AQ41,0),IF($AB41="RT",ROUND(Proyeccion_Localidades!BN41,0),"*****"))))</f>
        <v>115169</v>
      </c>
      <c r="U41" s="66">
        <f>IF($AB41="TGD",ROUND($E41*(1+$AD41)^(U$4-$E$4),0),IF($AB41="ALTH",ROUND($AE41+$AF41*U$4,0),IF($AB41="IR",ROUND(Proyeccion_Localidades!AR41,0),IF($AB41="RT",ROUND(Proyeccion_Localidades!BO41,0),"*****"))))</f>
        <v>116296</v>
      </c>
      <c r="V41" s="66">
        <f>IF($AB41="TGD",ROUND($E41*(1+$AD41)^(V$4-$E$4),0),IF($AB41="ALTH",ROUND($AE41+$AF41*V$4,0),IF($AB41="IR",ROUND(Proyeccion_Localidades!AS41,0),IF($AB41="RT",ROUND(Proyeccion_Localidades!BP41,0),"*****"))))</f>
        <v>117433</v>
      </c>
      <c r="W41" s="66">
        <f>IF($AB41="TGD",ROUND($E41*(1+$AD41)^(W$4-$E$4),0),IF($AB41="ALTH",ROUND($AE41+$AF41*W$4,0),IF($AB41="IR",ROUND(Proyeccion_Localidades!AT41,0),IF($AB41="RT",ROUND(Proyeccion_Localidades!BQ41,0),"*****"))))</f>
        <v>118582</v>
      </c>
      <c r="X41" s="66">
        <f>IF($AB41="TGD",ROUND($E41*(1+$AD41)^(X$4-$E$4),0),IF($AB41="ALTH",ROUND($AE41+$AF41*X$4,0),IF($AB41="IR",ROUND(Proyeccion_Localidades!AU41,0),IF($AB41="RT",ROUND(Proyeccion_Localidades!BR41,0),"*****"))))</f>
        <v>119741</v>
      </c>
      <c r="Y41" s="66">
        <f>IF($AB41="TGD",ROUND($E41*(1+$AD41)^(Y$4-$E$4),0),IF($AB41="ALTH",ROUND($AE41+$AF41*Y$4,0),IF($AB41="IR",ROUND(Proyeccion_Localidades!AV41,0),IF($AB41="RT",ROUND(Proyeccion_Localidades!BS41,0),"*****"))))</f>
        <v>120912</v>
      </c>
      <c r="Z41" s="66">
        <f>IF($AB41="TGD",ROUND($E41*(1+$AD41)^(Z$4-$E$4),0),IF($AB41="ALTH",ROUND($AE41+$AF41*Z$4,0),IF($AB41="IR",ROUND(Proyeccion_Localidades!AW41,0),IF($AB41="RT",ROUND(Proyeccion_Localidades!BT41,0),"*****"))))</f>
        <v>122095</v>
      </c>
      <c r="AA41" s="66">
        <f>IF($AB41="TGD",ROUND($E41*(1+$AD41)^(AA$4-$E$4),0),IF($AB41="ALTH",ROUND($AE41+$AF41*AA$4,0),IF($AB41="IR",ROUND(Proyeccion_Localidades!AX41,0),IF($AB41="RT",ROUND(Proyeccion_Localidades!BU41,0),"*****"))))</f>
        <v>123289</v>
      </c>
      <c r="AB41" s="67" t="str">
        <f>Proyeccion_Localidades!N41</f>
        <v>TGD</v>
      </c>
      <c r="AC41" s="73" t="s">
        <v>35</v>
      </c>
      <c r="AD41" s="51">
        <f>IF(AB41="TGD",Proyeccion_Localidades!Z41,"-")</f>
        <v>9.7798164570530588E-3</v>
      </c>
      <c r="AE41" s="51" t="str">
        <f>IF($AB41="ALTH",Proyeccion_Localidades!AA41,"-")</f>
        <v>-</v>
      </c>
      <c r="AF41" s="51" t="str">
        <f>IF($AB41="ALTH",Proyeccion_Localidades!AB41,"-")</f>
        <v>-</v>
      </c>
      <c r="AG41" s="51"/>
      <c r="AH41" s="51"/>
      <c r="AI41" s="66">
        <f t="shared" si="2"/>
        <v>99526</v>
      </c>
    </row>
    <row r="42" spans="1:35" ht="24.95" customHeight="1">
      <c r="A42" s="69" t="str">
        <f>+Proyeccion_Localidades!C42</f>
        <v>Bolívar</v>
      </c>
      <c r="B42" s="70">
        <v>38</v>
      </c>
      <c r="C42" s="71" t="str">
        <f>+Proyeccion_Localidades!B42</f>
        <v>San Carlos de Bolívar</v>
      </c>
      <c r="D42" s="261">
        <f t="shared" si="3"/>
        <v>38</v>
      </c>
      <c r="E42" s="72">
        <f>+Proyeccion_Localidades!F42</f>
        <v>26242</v>
      </c>
      <c r="F42" s="66">
        <f>IF($AB42="TGD",ROUND($E42*(1+$AD42)^(F$4-$E$4),0),IF($AB42="ALTH",ROUND($AE42+$AF42*F$4,0),IF($AB42="IR",ROUND(Proyeccion_Localidades!AC42,0),IF($AB42="RT",ROUND(Proyeccion_Localidades!AZ42,0),"*****"))))</f>
        <v>28482</v>
      </c>
      <c r="G42" s="66">
        <f>IF($AB42="TGD",ROUND($E42*(1+$AD42)^(G$4-$E$4),0),IF($AB42="ALTH",ROUND($AE42+$AF42*G$4,0),IF($AB42="IR",ROUND(Proyeccion_Localidades!AD42,0),IF($AB42="RT",ROUND(Proyeccion_Localidades!BA42,0),"*****"))))</f>
        <v>28677</v>
      </c>
      <c r="H42" s="66">
        <f>IF($AB42="TGD",ROUND($E42*(1+$AD42)^(H$4-$E$4),0),IF($AB42="ALTH",ROUND($AE42+$AF42*H$4,0),IF($AB42="IR",ROUND(Proyeccion_Localidades!AE42,0),IF($AB42="RT",ROUND(Proyeccion_Localidades!BB42,0),"*****"))))</f>
        <v>29271</v>
      </c>
      <c r="I42" s="66">
        <f>IF($AB42="TGD",ROUND($E42*(1+$AD42)^(I$4-$E$4),0),IF($AB42="ALTH",ROUND($AE42+$AF42*I$4,0),IF($AB42="IR",ROUND(Proyeccion_Localidades!AF42,0),IF($AB42="RT",ROUND(Proyeccion_Localidades!BC42,0),"*****"))))</f>
        <v>29471</v>
      </c>
      <c r="J42" s="66">
        <f>IF($AB42="TGD",ROUND($E42*(1+$AD42)^(J$4-$E$4),0),IF($AB42="ALTH",ROUND($AE42+$AF42*J$4,0),IF($AB42="IR",ROUND(Proyeccion_Localidades!AG42,0),IF($AB42="RT",ROUND(Proyeccion_Localidades!BD42,0),"*****"))))</f>
        <v>29673</v>
      </c>
      <c r="K42" s="66">
        <f>IF($AB42="TGD",ROUND($E42*(1+$AD42)^(K$4-$E$4),0),IF($AB42="ALTH",ROUND($AE42+$AF42*K$4,0),IF($AB42="IR",ROUND(Proyeccion_Localidades!AH42,0),IF($AB42="RT",ROUND(Proyeccion_Localidades!BE42,0),"*****"))))</f>
        <v>29876</v>
      </c>
      <c r="L42" s="66">
        <f>IF($AB42="TGD",ROUND($E42*(1+$AD42)^(L$4-$E$4),0),IF($AB42="ALTH",ROUND($AE42+$AF42*L$4,0),IF($AB42="IR",ROUND(Proyeccion_Localidades!AI42,0),IF($AB42="RT",ROUND(Proyeccion_Localidades!BF42,0),"*****"))))</f>
        <v>30081</v>
      </c>
      <c r="M42" s="66">
        <f>IF($AB42="TGD",ROUND($E42*(1+$AD42)^(M$4-$E$4),0),IF($AB42="ALTH",ROUND($AE42+$AF42*M$4,0),IF($AB42="IR",ROUND(Proyeccion_Localidades!AJ42,0),IF($AB42="RT",ROUND(Proyeccion_Localidades!BG42,0),"*****"))))</f>
        <v>30287</v>
      </c>
      <c r="N42" s="66">
        <f>IF($AB42="TGD",ROUND($E42*(1+$AD42)^(N$4-$E$4),0),IF($AB42="ALTH",ROUND($AE42+$AF42*N$4,0),IF($AB42="IR",ROUND(Proyeccion_Localidades!AK42,0),IF($AB42="RT",ROUND(Proyeccion_Localidades!BH42,0),"*****"))))</f>
        <v>30494</v>
      </c>
      <c r="O42" s="66">
        <f>IF($AB42="TGD",ROUND($E42*(1+$AD42)^(O$4-$E$4),0),IF($AB42="ALTH",ROUND($AE42+$AF42*O$4,0),IF($AB42="IR",ROUND(Proyeccion_Localidades!AL42,0),IF($AB42="RT",ROUND(Proyeccion_Localidades!BI42,0),"*****"))))</f>
        <v>30703</v>
      </c>
      <c r="P42" s="66">
        <f>IF($AB42="TGD",ROUND($E42*(1+$AD42)^(P$4-$E$4),0),IF($AB42="ALTH",ROUND($AE42+$AF42*P$4,0),IF($AB42="IR",ROUND(Proyeccion_Localidades!AM42,0),IF($AB42="RT",ROUND(Proyeccion_Localidades!BJ42,0),"*****"))))</f>
        <v>30913</v>
      </c>
      <c r="Q42" s="66">
        <f>IF($AB42="TGD",ROUND($E42*(1+$AD42)^(Q$4-$E$4),0),IF($AB42="ALTH",ROUND($AE42+$AF42*Q$4,0),IF($AB42="IR",ROUND(Proyeccion_Localidades!AN42,0),IF($AB42="RT",ROUND(Proyeccion_Localidades!BK42,0),"*****"))))</f>
        <v>31125</v>
      </c>
      <c r="R42" s="66">
        <f>IF($AB42="TGD",ROUND($E42*(1+$AD42)^(R$4-$E$4),0),IF($AB42="ALTH",ROUND($AE42+$AF42*R$4,0),IF($AB42="IR",ROUND(Proyeccion_Localidades!AO42,0),IF($AB42="RT",ROUND(Proyeccion_Localidades!BL42,0),"*****"))))</f>
        <v>31338</v>
      </c>
      <c r="S42" s="66">
        <f>IF($AB42="TGD",ROUND($E42*(1+$AD42)^(S$4-$E$4),0),IF($AB42="ALTH",ROUND($AE42+$AF42*S$4,0),IF($AB42="IR",ROUND(Proyeccion_Localidades!AP42,0),IF($AB42="RT",ROUND(Proyeccion_Localidades!BM42,0),"*****"))))</f>
        <v>31553</v>
      </c>
      <c r="T42" s="66">
        <f>IF($AB42="TGD",ROUND($E42*(1+$AD42)^(T$4-$E$4),0),IF($AB42="ALTH",ROUND($AE42+$AF42*T$4,0),IF($AB42="IR",ROUND(Proyeccion_Localidades!AQ42,0),IF($AB42="RT",ROUND(Proyeccion_Localidades!BN42,0),"*****"))))</f>
        <v>31769</v>
      </c>
      <c r="U42" s="66">
        <f>IF($AB42="TGD",ROUND($E42*(1+$AD42)^(U$4-$E$4),0),IF($AB42="ALTH",ROUND($AE42+$AF42*U$4,0),IF($AB42="IR",ROUND(Proyeccion_Localidades!AR42,0),IF($AB42="RT",ROUND(Proyeccion_Localidades!BO42,0),"*****"))))</f>
        <v>31987</v>
      </c>
      <c r="V42" s="66">
        <f>IF($AB42="TGD",ROUND($E42*(1+$AD42)^(V$4-$E$4),0),IF($AB42="ALTH",ROUND($AE42+$AF42*V$4,0),IF($AB42="IR",ROUND(Proyeccion_Localidades!AS42,0),IF($AB42="RT",ROUND(Proyeccion_Localidades!BP42,0),"*****"))))</f>
        <v>32206</v>
      </c>
      <c r="W42" s="66">
        <f>IF($AB42="TGD",ROUND($E42*(1+$AD42)^(W$4-$E$4),0),IF($AB42="ALTH",ROUND($AE42+$AF42*W$4,0),IF($AB42="IR",ROUND(Proyeccion_Localidades!AT42,0),IF($AB42="RT",ROUND(Proyeccion_Localidades!BQ42,0),"*****"))))</f>
        <v>32427</v>
      </c>
      <c r="X42" s="66">
        <f>IF($AB42="TGD",ROUND($E42*(1+$AD42)^(X$4-$E$4),0),IF($AB42="ALTH",ROUND($AE42+$AF42*X$4,0),IF($AB42="IR",ROUND(Proyeccion_Localidades!AU42,0),IF($AB42="RT",ROUND(Proyeccion_Localidades!BR42,0),"*****"))))</f>
        <v>32649</v>
      </c>
      <c r="Y42" s="66">
        <f>IF($AB42="TGD",ROUND($E42*(1+$AD42)^(Y$4-$E$4),0),IF($AB42="ALTH",ROUND($AE42+$AF42*Y$4,0),IF($AB42="IR",ROUND(Proyeccion_Localidades!AV42,0),IF($AB42="RT",ROUND(Proyeccion_Localidades!BS42,0),"*****"))))</f>
        <v>32872</v>
      </c>
      <c r="Z42" s="66">
        <f>IF($AB42="TGD",ROUND($E42*(1+$AD42)^(Z$4-$E$4),0),IF($AB42="ALTH",ROUND($AE42+$AF42*Z$4,0),IF($AB42="IR",ROUND(Proyeccion_Localidades!AW42,0),IF($AB42="RT",ROUND(Proyeccion_Localidades!BT42,0),"*****"))))</f>
        <v>33097</v>
      </c>
      <c r="AA42" s="66">
        <f>IF($AB42="TGD",ROUND($E42*(1+$AD42)^(AA$4-$E$4),0),IF($AB42="ALTH",ROUND($AE42+$AF42*AA$4,0),IF($AB42="IR",ROUND(Proyeccion_Localidades!AX42,0),IF($AB42="RT",ROUND(Proyeccion_Localidades!BU42,0),"*****"))))</f>
        <v>33324</v>
      </c>
      <c r="AB42" s="67" t="str">
        <f>Proyeccion_Localidades!N42</f>
        <v>TGD</v>
      </c>
      <c r="AC42" s="73" t="s">
        <v>35</v>
      </c>
      <c r="AD42" s="51">
        <f>IF(AB42="TGD",Proyeccion_Localidades!Z42,"-")</f>
        <v>6.8496386282238531E-3</v>
      </c>
      <c r="AE42" s="51" t="str">
        <f>IF($AB42="ALTH",Proyeccion_Localidades!AA42,"-")</f>
        <v>-</v>
      </c>
      <c r="AF42" s="51" t="str">
        <f>IF($AB42="ALTH",Proyeccion_Localidades!AB42,"-")</f>
        <v>-</v>
      </c>
      <c r="AG42" s="51"/>
      <c r="AH42" s="51"/>
      <c r="AI42" s="66">
        <f t="shared" si="2"/>
        <v>28677</v>
      </c>
    </row>
    <row r="43" spans="1:35" ht="24.95" customHeight="1">
      <c r="A43" s="69" t="str">
        <f>+Proyeccion_Localidades!C43</f>
        <v>Bragado</v>
      </c>
      <c r="B43" s="70">
        <v>39</v>
      </c>
      <c r="C43" s="71" t="str">
        <f>+Proyeccion_Localidades!B43</f>
        <v>Bragado</v>
      </c>
      <c r="D43" s="261">
        <f t="shared" si="3"/>
        <v>39</v>
      </c>
      <c r="E43" s="72">
        <f>+Proyeccion_Localidades!F43</f>
        <v>33222</v>
      </c>
      <c r="F43" s="66">
        <f>IF($AB43="TGD",ROUND($E43*(1+$AD43)^(F$4-$E$4),0),IF($AB43="ALTH",ROUND($AE43+$AF43*F$4,0),IF($AB43="IR",ROUND(Proyeccion_Localidades!AC43,0),IF($AB43="RT",ROUND(Proyeccion_Localidades!AZ43,0),"*****"))))</f>
        <v>34691</v>
      </c>
      <c r="G43" s="66">
        <f>IF($AB43="TGD",ROUND($E43*(1+$AD43)^(G$4-$E$4),0),IF($AB43="ALTH",ROUND($AE43+$AF43*G$4,0),IF($AB43="IR",ROUND(Proyeccion_Localidades!AD43,0),IF($AB43="RT",ROUND(Proyeccion_Localidades!BA43,0),"*****"))))</f>
        <v>34797</v>
      </c>
      <c r="H43" s="66">
        <f>IF($AB43="TGD",ROUND($E43*(1+$AD43)^(H$4-$E$4),0),IF($AB43="ALTH",ROUND($AE43+$AF43*H$4,0),IF($AB43="IR",ROUND(Proyeccion_Localidades!AE43,0),IF($AB43="RT",ROUND(Proyeccion_Localidades!BB43,0),"*****"))))</f>
        <v>35115</v>
      </c>
      <c r="I43" s="66">
        <f>IF($AB43="TGD",ROUND($E43*(1+$AD43)^(I$4-$E$4),0),IF($AB43="ALTH",ROUND($AE43+$AF43*I$4,0),IF($AB43="IR",ROUND(Proyeccion_Localidades!AF43,0),IF($AB43="RT",ROUND(Proyeccion_Localidades!BC43,0),"*****"))))</f>
        <v>35221</v>
      </c>
      <c r="J43" s="66">
        <f>IF($AB43="TGD",ROUND($E43*(1+$AD43)^(J$4-$E$4),0),IF($AB43="ALTH",ROUND($AE43+$AF43*J$4,0),IF($AB43="IR",ROUND(Proyeccion_Localidades!AG43,0),IF($AB43="RT",ROUND(Proyeccion_Localidades!BD43,0),"*****"))))</f>
        <v>35328</v>
      </c>
      <c r="K43" s="66">
        <f>IF($AB43="TGD",ROUND($E43*(1+$AD43)^(K$4-$E$4),0),IF($AB43="ALTH",ROUND($AE43+$AF43*K$4,0),IF($AB43="IR",ROUND(Proyeccion_Localidades!AH43,0),IF($AB43="RT",ROUND(Proyeccion_Localidades!BE43,0),"*****"))))</f>
        <v>35434</v>
      </c>
      <c r="L43" s="66">
        <f>IF($AB43="TGD",ROUND($E43*(1+$AD43)^(L$4-$E$4),0),IF($AB43="ALTH",ROUND($AE43+$AF43*L$4,0),IF($AB43="IR",ROUND(Proyeccion_Localidades!AI43,0),IF($AB43="RT",ROUND(Proyeccion_Localidades!BF43,0),"*****"))))</f>
        <v>35540</v>
      </c>
      <c r="M43" s="66">
        <f>IF($AB43="TGD",ROUND($E43*(1+$AD43)^(M$4-$E$4),0),IF($AB43="ALTH",ROUND($AE43+$AF43*M$4,0),IF($AB43="IR",ROUND(Proyeccion_Localidades!AJ43,0),IF($AB43="RT",ROUND(Proyeccion_Localidades!BG43,0),"*****"))))</f>
        <v>35646</v>
      </c>
      <c r="N43" s="66">
        <f>IF($AB43="TGD",ROUND($E43*(1+$AD43)^(N$4-$E$4),0),IF($AB43="ALTH",ROUND($AE43+$AF43*N$4,0),IF($AB43="IR",ROUND(Proyeccion_Localidades!AK43,0),IF($AB43="RT",ROUND(Proyeccion_Localidades!BH43,0),"*****"))))</f>
        <v>35752</v>
      </c>
      <c r="O43" s="66">
        <f>IF($AB43="TGD",ROUND($E43*(1+$AD43)^(O$4-$E$4),0),IF($AB43="ALTH",ROUND($AE43+$AF43*O$4,0),IF($AB43="IR",ROUND(Proyeccion_Localidades!AL43,0),IF($AB43="RT",ROUND(Proyeccion_Localidades!BI43,0),"*****"))))</f>
        <v>35859</v>
      </c>
      <c r="P43" s="66">
        <f>IF($AB43="TGD",ROUND($E43*(1+$AD43)^(P$4-$E$4),0),IF($AB43="ALTH",ROUND($AE43+$AF43*P$4,0),IF($AB43="IR",ROUND(Proyeccion_Localidades!AM43,0),IF($AB43="RT",ROUND(Proyeccion_Localidades!BJ43,0),"*****"))))</f>
        <v>35965</v>
      </c>
      <c r="Q43" s="66">
        <f>IF($AB43="TGD",ROUND($E43*(1+$AD43)^(Q$4-$E$4),0),IF($AB43="ALTH",ROUND($AE43+$AF43*Q$4,0),IF($AB43="IR",ROUND(Proyeccion_Localidades!AN43,0),IF($AB43="RT",ROUND(Proyeccion_Localidades!BK43,0),"*****"))))</f>
        <v>36071</v>
      </c>
      <c r="R43" s="66">
        <f>IF($AB43="TGD",ROUND($E43*(1+$AD43)^(R$4-$E$4),0),IF($AB43="ALTH",ROUND($AE43+$AF43*R$4,0),IF($AB43="IR",ROUND(Proyeccion_Localidades!AO43,0),IF($AB43="RT",ROUND(Proyeccion_Localidades!BL43,0),"*****"))))</f>
        <v>36177</v>
      </c>
      <c r="S43" s="66">
        <f>IF($AB43="TGD",ROUND($E43*(1+$AD43)^(S$4-$E$4),0),IF($AB43="ALTH",ROUND($AE43+$AF43*S$4,0),IF($AB43="IR",ROUND(Proyeccion_Localidades!AP43,0),IF($AB43="RT",ROUND(Proyeccion_Localidades!BM43,0),"*****"))))</f>
        <v>36283</v>
      </c>
      <c r="T43" s="66">
        <f>IF($AB43="TGD",ROUND($E43*(1+$AD43)^(T$4-$E$4),0),IF($AB43="ALTH",ROUND($AE43+$AF43*T$4,0),IF($AB43="IR",ROUND(Proyeccion_Localidades!AQ43,0),IF($AB43="RT",ROUND(Proyeccion_Localidades!BN43,0),"*****"))))</f>
        <v>36389</v>
      </c>
      <c r="U43" s="66">
        <f>IF($AB43="TGD",ROUND($E43*(1+$AD43)^(U$4-$E$4),0),IF($AB43="ALTH",ROUND($AE43+$AF43*U$4,0),IF($AB43="IR",ROUND(Proyeccion_Localidades!AR43,0),IF($AB43="RT",ROUND(Proyeccion_Localidades!BO43,0),"*****"))))</f>
        <v>36496</v>
      </c>
      <c r="V43" s="66">
        <f>IF($AB43="TGD",ROUND($E43*(1+$AD43)^(V$4-$E$4),0),IF($AB43="ALTH",ROUND($AE43+$AF43*V$4,0),IF($AB43="IR",ROUND(Proyeccion_Localidades!AS43,0),IF($AB43="RT",ROUND(Proyeccion_Localidades!BP43,0),"*****"))))</f>
        <v>36602</v>
      </c>
      <c r="W43" s="66">
        <f>IF($AB43="TGD",ROUND($E43*(1+$AD43)^(W$4-$E$4),0),IF($AB43="ALTH",ROUND($AE43+$AF43*W$4,0),IF($AB43="IR",ROUND(Proyeccion_Localidades!AT43,0),IF($AB43="RT",ROUND(Proyeccion_Localidades!BQ43,0),"*****"))))</f>
        <v>36708</v>
      </c>
      <c r="X43" s="66">
        <f>IF($AB43="TGD",ROUND($E43*(1+$AD43)^(X$4-$E$4),0),IF($AB43="ALTH",ROUND($AE43+$AF43*X$4,0),IF($AB43="IR",ROUND(Proyeccion_Localidades!AU43,0),IF($AB43="RT",ROUND(Proyeccion_Localidades!BR43,0),"*****"))))</f>
        <v>36814</v>
      </c>
      <c r="Y43" s="66">
        <f>IF($AB43="TGD",ROUND($E43*(1+$AD43)^(Y$4-$E$4),0),IF($AB43="ALTH",ROUND($AE43+$AF43*Y$4,0),IF($AB43="IR",ROUND(Proyeccion_Localidades!AV43,0),IF($AB43="RT",ROUND(Proyeccion_Localidades!BS43,0),"*****"))))</f>
        <v>36920</v>
      </c>
      <c r="Z43" s="66">
        <f>IF($AB43="TGD",ROUND($E43*(1+$AD43)^(Z$4-$E$4),0),IF($AB43="ALTH",ROUND($AE43+$AF43*Z$4,0),IF($AB43="IR",ROUND(Proyeccion_Localidades!AW43,0),IF($AB43="RT",ROUND(Proyeccion_Localidades!BT43,0),"*****"))))</f>
        <v>37027</v>
      </c>
      <c r="AA43" s="66">
        <f>IF($AB43="TGD",ROUND($E43*(1+$AD43)^(AA$4-$E$4),0),IF($AB43="ALTH",ROUND($AE43+$AF43*AA$4,0),IF($AB43="IR",ROUND(Proyeccion_Localidades!AX43,0),IF($AB43="RT",ROUND(Proyeccion_Localidades!BU43,0),"*****"))))</f>
        <v>37133</v>
      </c>
      <c r="AB43" s="67" t="str">
        <f>Proyeccion_Localidades!N43</f>
        <v>ALTH</v>
      </c>
      <c r="AC43" s="73" t="s">
        <v>36</v>
      </c>
      <c r="AD43" s="51" t="str">
        <f>IF(AB43="TGD",Proyeccion_Localidades!Z43,"-")</f>
        <v>-</v>
      </c>
      <c r="AE43" s="51">
        <f>IF($AB43="ALTH",Proyeccion_Localidades!AA43,"-")</f>
        <v>-180007.07749077497</v>
      </c>
      <c r="AF43" s="51">
        <f>IF($AB43="ALTH",Proyeccion_Localidades!AB43,"-")</f>
        <v>106.18081180811811</v>
      </c>
      <c r="AG43" s="51"/>
      <c r="AH43" s="51"/>
      <c r="AI43" s="66">
        <f t="shared" si="2"/>
        <v>34797</v>
      </c>
    </row>
    <row r="44" spans="1:35" ht="24.95" customHeight="1">
      <c r="A44" s="69" t="str">
        <f>+Proyeccion_Localidades!C44</f>
        <v>Brandsen</v>
      </c>
      <c r="B44" s="70">
        <v>40</v>
      </c>
      <c r="C44" s="71" t="str">
        <f>+Proyeccion_Localidades!B44</f>
        <v>Coronel Brandsen</v>
      </c>
      <c r="D44" s="261">
        <f t="shared" si="3"/>
        <v>40</v>
      </c>
      <c r="E44" s="72">
        <f>+Proyeccion_Localidades!F44</f>
        <v>19877</v>
      </c>
      <c r="F44" s="66">
        <f>IF($AB44="TGD",ROUND($E44*(1+$AD44)^(F$4-$E$4),0),IF($AB44="ALTH",ROUND($AE44+$AF44*F$4,0),IF($AB44="IR",ROUND(Proyeccion_Localidades!AC44,0),IF($AB44="RT",ROUND(Proyeccion_Localidades!AZ44,0),"*****"))))</f>
        <v>25009</v>
      </c>
      <c r="G44" s="66">
        <f>IF($AB44="TGD",ROUND($E44*(1+$AD44)^(G$4-$E$4),0),IF($AB44="ALTH",ROUND($AE44+$AF44*G$4,0),IF($AB44="IR",ROUND(Proyeccion_Localidades!AD44,0),IF($AB44="RT",ROUND(Proyeccion_Localidades!BA44,0),"*****"))))</f>
        <v>25492</v>
      </c>
      <c r="H44" s="66">
        <f>IF($AB44="TGD",ROUND($E44*(1+$AD44)^(H$4-$E$4),0),IF($AB44="ALTH",ROUND($AE44+$AF44*H$4,0),IF($AB44="IR",ROUND(Proyeccion_Localidades!AE44,0),IF($AB44="RT",ROUND(Proyeccion_Localidades!BB44,0),"*****"))))</f>
        <v>26998</v>
      </c>
      <c r="I44" s="66">
        <f>IF($AB44="TGD",ROUND($E44*(1+$AD44)^(I$4-$E$4),0),IF($AB44="ALTH",ROUND($AE44+$AF44*I$4,0),IF($AB44="IR",ROUND(Proyeccion_Localidades!AF44,0),IF($AB44="RT",ROUND(Proyeccion_Localidades!BC44,0),"*****"))))</f>
        <v>27520</v>
      </c>
      <c r="J44" s="66">
        <f>IF($AB44="TGD",ROUND($E44*(1+$AD44)^(J$4-$E$4),0),IF($AB44="ALTH",ROUND($AE44+$AF44*J$4,0),IF($AB44="IR",ROUND(Proyeccion_Localidades!AG44,0),IF($AB44="RT",ROUND(Proyeccion_Localidades!BD44,0),"*****"))))</f>
        <v>28052</v>
      </c>
      <c r="K44" s="66">
        <f>IF($AB44="TGD",ROUND($E44*(1+$AD44)^(K$4-$E$4),0),IF($AB44="ALTH",ROUND($AE44+$AF44*K$4,0),IF($AB44="IR",ROUND(Proyeccion_Localidades!AH44,0),IF($AB44="RT",ROUND(Proyeccion_Localidades!BE44,0),"*****"))))</f>
        <v>28594</v>
      </c>
      <c r="L44" s="66">
        <f>IF($AB44="TGD",ROUND($E44*(1+$AD44)^(L$4-$E$4),0),IF($AB44="ALTH",ROUND($AE44+$AF44*L$4,0),IF($AB44="IR",ROUND(Proyeccion_Localidades!AI44,0),IF($AB44="RT",ROUND(Proyeccion_Localidades!BF44,0),"*****"))))</f>
        <v>29146</v>
      </c>
      <c r="M44" s="66">
        <f>IF($AB44="TGD",ROUND($E44*(1+$AD44)^(M$4-$E$4),0),IF($AB44="ALTH",ROUND($AE44+$AF44*M$4,0),IF($AB44="IR",ROUND(Proyeccion_Localidades!AJ44,0),IF($AB44="RT",ROUND(Proyeccion_Localidades!BG44,0),"*****"))))</f>
        <v>29709</v>
      </c>
      <c r="N44" s="66">
        <f>IF($AB44="TGD",ROUND($E44*(1+$AD44)^(N$4-$E$4),0),IF($AB44="ALTH",ROUND($AE44+$AF44*N$4,0),IF($AB44="IR",ROUND(Proyeccion_Localidades!AK44,0),IF($AB44="RT",ROUND(Proyeccion_Localidades!BH44,0),"*****"))))</f>
        <v>30283</v>
      </c>
      <c r="O44" s="66">
        <f>IF($AB44="TGD",ROUND($E44*(1+$AD44)^(O$4-$E$4),0),IF($AB44="ALTH",ROUND($AE44+$AF44*O$4,0),IF($AB44="IR",ROUND(Proyeccion_Localidades!AL44,0),IF($AB44="RT",ROUND(Proyeccion_Localidades!BI44,0),"*****"))))</f>
        <v>30868</v>
      </c>
      <c r="P44" s="66">
        <f>IF($AB44="TGD",ROUND($E44*(1+$AD44)^(P$4-$E$4),0),IF($AB44="ALTH",ROUND($AE44+$AF44*P$4,0),IF($AB44="IR",ROUND(Proyeccion_Localidades!AM44,0),IF($AB44="RT",ROUND(Proyeccion_Localidades!BJ44,0),"*****"))))</f>
        <v>31465</v>
      </c>
      <c r="Q44" s="66">
        <f>IF($AB44="TGD",ROUND($E44*(1+$AD44)^(Q$4-$E$4),0),IF($AB44="ALTH",ROUND($AE44+$AF44*Q$4,0),IF($AB44="IR",ROUND(Proyeccion_Localidades!AN44,0),IF($AB44="RT",ROUND(Proyeccion_Localidades!BK44,0),"*****"))))</f>
        <v>32073</v>
      </c>
      <c r="R44" s="66">
        <f>IF($AB44="TGD",ROUND($E44*(1+$AD44)^(R$4-$E$4),0),IF($AB44="ALTH",ROUND($AE44+$AF44*R$4,0),IF($AB44="IR",ROUND(Proyeccion_Localidades!AO44,0),IF($AB44="RT",ROUND(Proyeccion_Localidades!BL44,0),"*****"))))</f>
        <v>32693</v>
      </c>
      <c r="S44" s="66">
        <f>IF($AB44="TGD",ROUND($E44*(1+$AD44)^(S$4-$E$4),0),IF($AB44="ALTH",ROUND($AE44+$AF44*S$4,0),IF($AB44="IR",ROUND(Proyeccion_Localidades!AP44,0),IF($AB44="RT",ROUND(Proyeccion_Localidades!BM44,0),"*****"))))</f>
        <v>33324</v>
      </c>
      <c r="T44" s="66">
        <f>IF($AB44="TGD",ROUND($E44*(1+$AD44)^(T$4-$E$4),0),IF($AB44="ALTH",ROUND($AE44+$AF44*T$4,0),IF($AB44="IR",ROUND(Proyeccion_Localidades!AQ44,0),IF($AB44="RT",ROUND(Proyeccion_Localidades!BN44,0),"*****"))))</f>
        <v>33968</v>
      </c>
      <c r="U44" s="66">
        <f>IF($AB44="TGD",ROUND($E44*(1+$AD44)^(U$4-$E$4),0),IF($AB44="ALTH",ROUND($AE44+$AF44*U$4,0),IF($AB44="IR",ROUND(Proyeccion_Localidades!AR44,0),IF($AB44="RT",ROUND(Proyeccion_Localidades!BO44,0),"*****"))))</f>
        <v>34624</v>
      </c>
      <c r="V44" s="66">
        <f>IF($AB44="TGD",ROUND($E44*(1+$AD44)^(V$4-$E$4),0),IF($AB44="ALTH",ROUND($AE44+$AF44*V$4,0),IF($AB44="IR",ROUND(Proyeccion_Localidades!AS44,0),IF($AB44="RT",ROUND(Proyeccion_Localidades!BP44,0),"*****"))))</f>
        <v>35293</v>
      </c>
      <c r="W44" s="66">
        <f>IF($AB44="TGD",ROUND($E44*(1+$AD44)^(W$4-$E$4),0),IF($AB44="ALTH",ROUND($AE44+$AF44*W$4,0),IF($AB44="IR",ROUND(Proyeccion_Localidades!AT44,0),IF($AB44="RT",ROUND(Proyeccion_Localidades!BQ44,0),"*****"))))</f>
        <v>35975</v>
      </c>
      <c r="X44" s="66">
        <f>IF($AB44="TGD",ROUND($E44*(1+$AD44)^(X$4-$E$4),0),IF($AB44="ALTH",ROUND($AE44+$AF44*X$4,0),IF($AB44="IR",ROUND(Proyeccion_Localidades!AU44,0),IF($AB44="RT",ROUND(Proyeccion_Localidades!BR44,0),"*****"))))</f>
        <v>36671</v>
      </c>
      <c r="Y44" s="66">
        <f>IF($AB44="TGD",ROUND($E44*(1+$AD44)^(Y$4-$E$4),0),IF($AB44="ALTH",ROUND($AE44+$AF44*Y$4,0),IF($AB44="IR",ROUND(Proyeccion_Localidades!AV44,0),IF($AB44="RT",ROUND(Proyeccion_Localidades!BS44,0),"*****"))))</f>
        <v>37379</v>
      </c>
      <c r="Z44" s="66">
        <f>IF($AB44="TGD",ROUND($E44*(1+$AD44)^(Z$4-$E$4),0),IF($AB44="ALTH",ROUND($AE44+$AF44*Z$4,0),IF($AB44="IR",ROUND(Proyeccion_Localidades!AW44,0),IF($AB44="RT",ROUND(Proyeccion_Localidades!BT44,0),"*****"))))</f>
        <v>38101</v>
      </c>
      <c r="AA44" s="66">
        <f>IF($AB44="TGD",ROUND($E44*(1+$AD44)^(AA$4-$E$4),0),IF($AB44="ALTH",ROUND($AE44+$AF44*AA$4,0),IF($AB44="IR",ROUND(Proyeccion_Localidades!AX44,0),IF($AB44="RT",ROUND(Proyeccion_Localidades!BU44,0),"*****"))))</f>
        <v>38838</v>
      </c>
      <c r="AB44" s="67" t="str">
        <f>Proyeccion_Localidades!N44</f>
        <v>TGD</v>
      </c>
      <c r="AC44" s="68" t="s">
        <v>35</v>
      </c>
      <c r="AD44" s="51">
        <f>IF(AB44="TGD",Proyeccion_Localidades!Z44,"-")</f>
        <v>1.9322105017146374E-2</v>
      </c>
      <c r="AE44" s="51" t="str">
        <f>IF($AB44="ALTH",Proyeccion_Localidades!AA44,"-")</f>
        <v>-</v>
      </c>
      <c r="AF44" s="51" t="str">
        <f>IF($AB44="ALTH",Proyeccion_Localidades!AB44,"-")</f>
        <v>-</v>
      </c>
      <c r="AG44" s="51"/>
      <c r="AH44" s="51"/>
      <c r="AI44" s="66">
        <f t="shared" si="2"/>
        <v>25492</v>
      </c>
    </row>
    <row r="45" spans="1:35" ht="24.95" customHeight="1">
      <c r="A45" s="69" t="str">
        <f>+Proyeccion_Localidades!C45</f>
        <v>Campana</v>
      </c>
      <c r="B45" s="70">
        <v>41</v>
      </c>
      <c r="C45" s="71" t="str">
        <f>+Proyeccion_Localidades!B45</f>
        <v>Campana</v>
      </c>
      <c r="D45" s="261">
        <f t="shared" si="3"/>
        <v>41</v>
      </c>
      <c r="E45" s="72">
        <f>+Proyeccion_Localidades!F45</f>
        <v>86860</v>
      </c>
      <c r="F45" s="66">
        <f>IF($AB45="TGD",ROUND($E45*(1+$AD45)^(F$4-$E$4),0),IF($AB45="ALTH",ROUND($AE45+$AF45*F$4,0),IF($AB45="IR",ROUND(Proyeccion_Localidades!AC45,0),IF($AB45="RT",ROUND(Proyeccion_Localidades!AZ45,0),"*****"))))</f>
        <v>98914</v>
      </c>
      <c r="G45" s="66">
        <f>IF($AB45="TGD",ROUND($E45*(1+$AD45)^(G$4-$E$4),0),IF($AB45="ALTH",ROUND($AE45+$AF45*G$4,0),IF($AB45="IR",ROUND(Proyeccion_Localidades!AD45,0),IF($AB45="RT",ROUND(Proyeccion_Localidades!BA45,0),"*****"))))</f>
        <v>99918</v>
      </c>
      <c r="H45" s="66">
        <f>IF($AB45="TGD",ROUND($E45*(1+$AD45)^(H$4-$E$4),0),IF($AB45="ALTH",ROUND($AE45+$AF45*H$4,0),IF($AB45="IR",ROUND(Proyeccion_Localidades!AE45,0),IF($AB45="RT",ROUND(Proyeccion_Localidades!BB45,0),"*****"))))</f>
        <v>102930</v>
      </c>
      <c r="I45" s="66">
        <f>IF($AB45="TGD",ROUND($E45*(1+$AD45)^(I$4-$E$4),0),IF($AB45="ALTH",ROUND($AE45+$AF45*I$4,0),IF($AB45="IR",ROUND(Proyeccion_Localidades!AF45,0),IF($AB45="RT",ROUND(Proyeccion_Localidades!BC45,0),"*****"))))</f>
        <v>103934</v>
      </c>
      <c r="J45" s="66">
        <f>IF($AB45="TGD",ROUND($E45*(1+$AD45)^(J$4-$E$4),0),IF($AB45="ALTH",ROUND($AE45+$AF45*J$4,0),IF($AB45="IR",ROUND(Proyeccion_Localidades!AG45,0),IF($AB45="RT",ROUND(Proyeccion_Localidades!BD45,0),"*****"))))</f>
        <v>104939</v>
      </c>
      <c r="K45" s="66">
        <f>IF($AB45="TGD",ROUND($E45*(1+$AD45)^(K$4-$E$4),0),IF($AB45="ALTH",ROUND($AE45+$AF45*K$4,0),IF($AB45="IR",ROUND(Proyeccion_Localidades!AH45,0),IF($AB45="RT",ROUND(Proyeccion_Localidades!BE45,0),"*****"))))</f>
        <v>105943</v>
      </c>
      <c r="L45" s="66">
        <f>IF($AB45="TGD",ROUND($E45*(1+$AD45)^(L$4-$E$4),0),IF($AB45="ALTH",ROUND($AE45+$AF45*L$4,0),IF($AB45="IR",ROUND(Proyeccion_Localidades!AI45,0),IF($AB45="RT",ROUND(Proyeccion_Localidades!BF45,0),"*****"))))</f>
        <v>106947</v>
      </c>
      <c r="M45" s="66">
        <f>IF($AB45="TGD",ROUND($E45*(1+$AD45)^(M$4-$E$4),0),IF($AB45="ALTH",ROUND($AE45+$AF45*M$4,0),IF($AB45="IR",ROUND(Proyeccion_Localidades!AJ45,0),IF($AB45="RT",ROUND(Proyeccion_Localidades!BG45,0),"*****"))))</f>
        <v>107951</v>
      </c>
      <c r="N45" s="66">
        <f>IF($AB45="TGD",ROUND($E45*(1+$AD45)^(N$4-$E$4),0),IF($AB45="ALTH",ROUND($AE45+$AF45*N$4,0),IF($AB45="IR",ROUND(Proyeccion_Localidades!AK45,0),IF($AB45="RT",ROUND(Proyeccion_Localidades!BH45,0),"*****"))))</f>
        <v>108955</v>
      </c>
      <c r="O45" s="66">
        <f>IF($AB45="TGD",ROUND($E45*(1+$AD45)^(O$4-$E$4),0),IF($AB45="ALTH",ROUND($AE45+$AF45*O$4,0),IF($AB45="IR",ROUND(Proyeccion_Localidades!AL45,0),IF($AB45="RT",ROUND(Proyeccion_Localidades!BI45,0),"*****"))))</f>
        <v>109959</v>
      </c>
      <c r="P45" s="66">
        <f>IF($AB45="TGD",ROUND($E45*(1+$AD45)^(P$4-$E$4),0),IF($AB45="ALTH",ROUND($AE45+$AF45*P$4,0),IF($AB45="IR",ROUND(Proyeccion_Localidades!AM45,0),IF($AB45="RT",ROUND(Proyeccion_Localidades!BJ45,0),"*****"))))</f>
        <v>110963</v>
      </c>
      <c r="Q45" s="66">
        <f>IF($AB45="TGD",ROUND($E45*(1+$AD45)^(Q$4-$E$4),0),IF($AB45="ALTH",ROUND($AE45+$AF45*Q$4,0),IF($AB45="IR",ROUND(Proyeccion_Localidades!AN45,0),IF($AB45="RT",ROUND(Proyeccion_Localidades!BK45,0),"*****"))))</f>
        <v>111967</v>
      </c>
      <c r="R45" s="66">
        <f>IF($AB45="TGD",ROUND($E45*(1+$AD45)^(R$4-$E$4),0),IF($AB45="ALTH",ROUND($AE45+$AF45*R$4,0),IF($AB45="IR",ROUND(Proyeccion_Localidades!AO45,0),IF($AB45="RT",ROUND(Proyeccion_Localidades!BL45,0),"*****"))))</f>
        <v>112971</v>
      </c>
      <c r="S45" s="66">
        <f>IF($AB45="TGD",ROUND($E45*(1+$AD45)^(S$4-$E$4),0),IF($AB45="ALTH",ROUND($AE45+$AF45*S$4,0),IF($AB45="IR",ROUND(Proyeccion_Localidades!AP45,0),IF($AB45="RT",ROUND(Proyeccion_Localidades!BM45,0),"*****"))))</f>
        <v>113975</v>
      </c>
      <c r="T45" s="66">
        <f>IF($AB45="TGD",ROUND($E45*(1+$AD45)^(T$4-$E$4),0),IF($AB45="ALTH",ROUND($AE45+$AF45*T$4,0),IF($AB45="IR",ROUND(Proyeccion_Localidades!AQ45,0),IF($AB45="RT",ROUND(Proyeccion_Localidades!BN45,0),"*****"))))</f>
        <v>114979</v>
      </c>
      <c r="U45" s="66">
        <f>IF($AB45="TGD",ROUND($E45*(1+$AD45)^(U$4-$E$4),0),IF($AB45="ALTH",ROUND($AE45+$AF45*U$4,0),IF($AB45="IR",ROUND(Proyeccion_Localidades!AR45,0),IF($AB45="RT",ROUND(Proyeccion_Localidades!BO45,0),"*****"))))</f>
        <v>115983</v>
      </c>
      <c r="V45" s="66">
        <f>IF($AB45="TGD",ROUND($E45*(1+$AD45)^(V$4-$E$4),0),IF($AB45="ALTH",ROUND($AE45+$AF45*V$4,0),IF($AB45="IR",ROUND(Proyeccion_Localidades!AS45,0),IF($AB45="RT",ROUND(Proyeccion_Localidades!BP45,0),"*****"))))</f>
        <v>116987</v>
      </c>
      <c r="W45" s="66">
        <f>IF($AB45="TGD",ROUND($E45*(1+$AD45)^(W$4-$E$4),0),IF($AB45="ALTH",ROUND($AE45+$AF45*W$4,0),IF($AB45="IR",ROUND(Proyeccion_Localidades!AT45,0),IF($AB45="RT",ROUND(Proyeccion_Localidades!BQ45,0),"*****"))))</f>
        <v>117992</v>
      </c>
      <c r="X45" s="66">
        <f>IF($AB45="TGD",ROUND($E45*(1+$AD45)^(X$4-$E$4),0),IF($AB45="ALTH",ROUND($AE45+$AF45*X$4,0),IF($AB45="IR",ROUND(Proyeccion_Localidades!AU45,0),IF($AB45="RT",ROUND(Proyeccion_Localidades!BR45,0),"*****"))))</f>
        <v>118996</v>
      </c>
      <c r="Y45" s="66">
        <f>IF($AB45="TGD",ROUND($E45*(1+$AD45)^(Y$4-$E$4),0),IF($AB45="ALTH",ROUND($AE45+$AF45*Y$4,0),IF($AB45="IR",ROUND(Proyeccion_Localidades!AV45,0),IF($AB45="RT",ROUND(Proyeccion_Localidades!BS45,0),"*****"))))</f>
        <v>120000</v>
      </c>
      <c r="Z45" s="66">
        <f>IF($AB45="TGD",ROUND($E45*(1+$AD45)^(Z$4-$E$4),0),IF($AB45="ALTH",ROUND($AE45+$AF45*Z$4,0),IF($AB45="IR",ROUND(Proyeccion_Localidades!AW45,0),IF($AB45="RT",ROUND(Proyeccion_Localidades!BT45,0),"*****"))))</f>
        <v>121004</v>
      </c>
      <c r="AA45" s="66">
        <f>IF($AB45="TGD",ROUND($E45*(1+$AD45)^(AA$4-$E$4),0),IF($AB45="ALTH",ROUND($AE45+$AF45*AA$4,0),IF($AB45="IR",ROUND(Proyeccion_Localidades!AX45,0),IF($AB45="RT",ROUND(Proyeccion_Localidades!BU45,0),"*****"))))</f>
        <v>122008</v>
      </c>
      <c r="AB45" s="67" t="str">
        <f>Proyeccion_Localidades!N45</f>
        <v>ALTH</v>
      </c>
      <c r="AC45" s="68" t="s">
        <v>36</v>
      </c>
      <c r="AD45" s="51" t="str">
        <f>IF(AB45="TGD",Proyeccion_Localidades!Z45,"-")</f>
        <v>-</v>
      </c>
      <c r="AE45" s="51">
        <f>IF($AB45="ALTH",Proyeccion_Localidades!AA45,"-")</f>
        <v>-1931334.3911439111</v>
      </c>
      <c r="AF45" s="51">
        <f>IF($AB45="ALTH",Proyeccion_Localidades!AB45,"-")</f>
        <v>1004.0793357933577</v>
      </c>
      <c r="AG45" s="51"/>
      <c r="AH45" s="51"/>
      <c r="AI45" s="66">
        <f t="shared" si="2"/>
        <v>99918</v>
      </c>
    </row>
    <row r="46" spans="1:35" ht="24.95" customHeight="1">
      <c r="A46" s="69" t="str">
        <f>+Proyeccion_Localidades!C46</f>
        <v>Cañuelas</v>
      </c>
      <c r="B46" s="70">
        <v>42</v>
      </c>
      <c r="C46" s="71" t="str">
        <f>+Proyeccion_Localidades!B46</f>
        <v>Cañuelas</v>
      </c>
      <c r="D46" s="261">
        <f t="shared" si="3"/>
        <v>42</v>
      </c>
      <c r="E46" s="72">
        <f>+Proyeccion_Localidades!F46</f>
        <v>29974</v>
      </c>
      <c r="F46" s="66">
        <f>IF($AB46="TGD",ROUND($E46*(1+$AD46)^(F$4-$E$4),0),IF($AB46="ALTH",ROUND($AE46+$AF46*F$4,0),IF($AB46="IR",ROUND(Proyeccion_Localidades!AC46,0),IF($AB46="RT",ROUND(Proyeccion_Localidades!AZ46,0),"*****"))))</f>
        <v>42443</v>
      </c>
      <c r="G46" s="66">
        <f>IF($AB46="TGD",ROUND($E46*(1+$AD46)^(G$4-$E$4),0),IF($AB46="ALTH",ROUND($AE46+$AF46*G$4,0),IF($AB46="IR",ROUND(Proyeccion_Localidades!AD46,0),IF($AB46="RT",ROUND(Proyeccion_Localidades!BA46,0),"*****"))))</f>
        <v>43596</v>
      </c>
      <c r="H46" s="66">
        <f>IF($AB46="TGD",ROUND($E46*(1+$AD46)^(H$4-$E$4),0),IF($AB46="ALTH",ROUND($AE46+$AF46*H$4,0),IF($AB46="IR",ROUND(Proyeccion_Localidades!AE46,0),IF($AB46="RT",ROUND(Proyeccion_Localidades!BB46,0),"*****"))))</f>
        <v>47167</v>
      </c>
      <c r="I46" s="66">
        <f>IF($AB46="TGD",ROUND($E46*(1+$AD46)^(I$4-$E$4),0),IF($AB46="ALTH",ROUND($AE46+$AF46*I$4,0),IF($AB46="IR",ROUND(Proyeccion_Localidades!AF46,0),IF($AB46="RT",ROUND(Proyeccion_Localidades!BC46,0),"*****"))))</f>
        <v>48397</v>
      </c>
      <c r="J46" s="66">
        <f>IF($AB46="TGD",ROUND($E46*(1+$AD46)^(J$4-$E$4),0),IF($AB46="ALTH",ROUND($AE46+$AF46*J$4,0),IF($AB46="IR",ROUND(Proyeccion_Localidades!AG46,0),IF($AB46="RT",ROUND(Proyeccion_Localidades!BD46,0),"*****"))))</f>
        <v>49647</v>
      </c>
      <c r="K46" s="66">
        <f>IF($AB46="TGD",ROUND($E46*(1+$AD46)^(K$4-$E$4),0),IF($AB46="ALTH",ROUND($AE46+$AF46*K$4,0),IF($AB46="IR",ROUND(Proyeccion_Localidades!AH46,0),IF($AB46="RT",ROUND(Proyeccion_Localidades!BE46,0),"*****"))))</f>
        <v>50917</v>
      </c>
      <c r="L46" s="66">
        <f>IF($AB46="TGD",ROUND($E46*(1+$AD46)^(L$4-$E$4),0),IF($AB46="ALTH",ROUND($AE46+$AF46*L$4,0),IF($AB46="IR",ROUND(Proyeccion_Localidades!AI46,0),IF($AB46="RT",ROUND(Proyeccion_Localidades!BF46,0),"*****"))))</f>
        <v>52208</v>
      </c>
      <c r="M46" s="66">
        <f>IF($AB46="TGD",ROUND($E46*(1+$AD46)^(M$4-$E$4),0),IF($AB46="ALTH",ROUND($AE46+$AF46*M$4,0),IF($AB46="IR",ROUND(Proyeccion_Localidades!AJ46,0),IF($AB46="RT",ROUND(Proyeccion_Localidades!BG46,0),"*****"))))</f>
        <v>53519</v>
      </c>
      <c r="N46" s="66">
        <f>IF($AB46="TGD",ROUND($E46*(1+$AD46)^(N$4-$E$4),0),IF($AB46="ALTH",ROUND($AE46+$AF46*N$4,0),IF($AB46="IR",ROUND(Proyeccion_Localidades!AK46,0),IF($AB46="RT",ROUND(Proyeccion_Localidades!BH46,0),"*****"))))</f>
        <v>54853</v>
      </c>
      <c r="O46" s="66">
        <f>IF($AB46="TGD",ROUND($E46*(1+$AD46)^(O$4-$E$4),0),IF($AB46="ALTH",ROUND($AE46+$AF46*O$4,0),IF($AB46="IR",ROUND(Proyeccion_Localidades!AL46,0),IF($AB46="RT",ROUND(Proyeccion_Localidades!BI46,0),"*****"))))</f>
        <v>56208</v>
      </c>
      <c r="P46" s="66">
        <f>IF($AB46="TGD",ROUND($E46*(1+$AD46)^(P$4-$E$4),0),IF($AB46="ALTH",ROUND($AE46+$AF46*P$4,0),IF($AB46="IR",ROUND(Proyeccion_Localidades!AM46,0),IF($AB46="RT",ROUND(Proyeccion_Localidades!BJ46,0),"*****"))))</f>
        <v>57585</v>
      </c>
      <c r="Q46" s="66">
        <f>IF($AB46="TGD",ROUND($E46*(1+$AD46)^(Q$4-$E$4),0),IF($AB46="ALTH",ROUND($AE46+$AF46*Q$4,0),IF($AB46="IR",ROUND(Proyeccion_Localidades!AN46,0),IF($AB46="RT",ROUND(Proyeccion_Localidades!BK46,0),"*****"))))</f>
        <v>58984</v>
      </c>
      <c r="R46" s="66">
        <f>IF($AB46="TGD",ROUND($E46*(1+$AD46)^(R$4-$E$4),0),IF($AB46="ALTH",ROUND($AE46+$AF46*R$4,0),IF($AB46="IR",ROUND(Proyeccion_Localidades!AO46,0),IF($AB46="RT",ROUND(Proyeccion_Localidades!BL46,0),"*****"))))</f>
        <v>60407</v>
      </c>
      <c r="S46" s="66">
        <f>IF($AB46="TGD",ROUND($E46*(1+$AD46)^(S$4-$E$4),0),IF($AB46="ALTH",ROUND($AE46+$AF46*S$4,0),IF($AB46="IR",ROUND(Proyeccion_Localidades!AP46,0),IF($AB46="RT",ROUND(Proyeccion_Localidades!BM46,0),"*****"))))</f>
        <v>61852</v>
      </c>
      <c r="T46" s="66">
        <f>IF($AB46="TGD",ROUND($E46*(1+$AD46)^(T$4-$E$4),0),IF($AB46="ALTH",ROUND($AE46+$AF46*T$4,0),IF($AB46="IR",ROUND(Proyeccion_Localidades!AQ46,0),IF($AB46="RT",ROUND(Proyeccion_Localidades!BN46,0),"*****"))))</f>
        <v>63321</v>
      </c>
      <c r="U46" s="66">
        <f>IF($AB46="TGD",ROUND($E46*(1+$AD46)^(U$4-$E$4),0),IF($AB46="ALTH",ROUND($AE46+$AF46*U$4,0),IF($AB46="IR",ROUND(Proyeccion_Localidades!AR46,0),IF($AB46="RT",ROUND(Proyeccion_Localidades!BO46,0),"*****"))))</f>
        <v>64814</v>
      </c>
      <c r="V46" s="66">
        <f>IF($AB46="TGD",ROUND($E46*(1+$AD46)^(V$4-$E$4),0),IF($AB46="ALTH",ROUND($AE46+$AF46*V$4,0),IF($AB46="IR",ROUND(Proyeccion_Localidades!AS46,0),IF($AB46="RT",ROUND(Proyeccion_Localidades!BP46,0),"*****"))))</f>
        <v>66332</v>
      </c>
      <c r="W46" s="66">
        <f>IF($AB46="TGD",ROUND($E46*(1+$AD46)^(W$4-$E$4),0),IF($AB46="ALTH",ROUND($AE46+$AF46*W$4,0),IF($AB46="IR",ROUND(Proyeccion_Localidades!AT46,0),IF($AB46="RT",ROUND(Proyeccion_Localidades!BQ46,0),"*****"))))</f>
        <v>67874</v>
      </c>
      <c r="X46" s="66">
        <f>IF($AB46="TGD",ROUND($E46*(1+$AD46)^(X$4-$E$4),0),IF($AB46="ALTH",ROUND($AE46+$AF46*X$4,0),IF($AB46="IR",ROUND(Proyeccion_Localidades!AU46,0),IF($AB46="RT",ROUND(Proyeccion_Localidades!BR46,0),"*****"))))</f>
        <v>69442</v>
      </c>
      <c r="Y46" s="66">
        <f>IF($AB46="TGD",ROUND($E46*(1+$AD46)^(Y$4-$E$4),0),IF($AB46="ALTH",ROUND($AE46+$AF46*Y$4,0),IF($AB46="IR",ROUND(Proyeccion_Localidades!AV46,0),IF($AB46="RT",ROUND(Proyeccion_Localidades!BS46,0),"*****"))))</f>
        <v>71034</v>
      </c>
      <c r="Z46" s="66">
        <f>IF($AB46="TGD",ROUND($E46*(1+$AD46)^(Z$4-$E$4),0),IF($AB46="ALTH",ROUND($AE46+$AF46*Z$4,0),IF($AB46="IR",ROUND(Proyeccion_Localidades!AW46,0),IF($AB46="RT",ROUND(Proyeccion_Localidades!BT46,0),"*****"))))</f>
        <v>72653</v>
      </c>
      <c r="AA46" s="66">
        <f>IF($AB46="TGD",ROUND($E46*(1+$AD46)^(AA$4-$E$4),0),IF($AB46="ALTH",ROUND($AE46+$AF46*AA$4,0),IF($AB46="IR",ROUND(Proyeccion_Localidades!AX46,0),IF($AB46="RT",ROUND(Proyeccion_Localidades!BU46,0),"*****"))))</f>
        <v>74299</v>
      </c>
      <c r="AB46" s="67" t="str">
        <f>Proyeccion_Localidades!N46</f>
        <v>IR</v>
      </c>
      <c r="AC46" s="73"/>
      <c r="AD46" s="51" t="str">
        <f>IF(AB46="TGD",Proyeccion_Localidades!Z46,"-")</f>
        <v>-</v>
      </c>
      <c r="AE46" s="51" t="str">
        <f>IF($AB46="ALTH",Proyeccion_Localidades!AA46,"-")</f>
        <v>-</v>
      </c>
      <c r="AF46" s="51" t="str">
        <f>IF($AB46="ALTH",Proyeccion_Localidades!AB46,"-")</f>
        <v>-</v>
      </c>
      <c r="AG46" s="51"/>
      <c r="AH46" s="51"/>
      <c r="AI46" s="66">
        <f t="shared" si="2"/>
        <v>43596</v>
      </c>
    </row>
    <row r="47" spans="1:35" ht="24.95" customHeight="1">
      <c r="A47" s="69" t="str">
        <f>+Proyeccion_Localidades!C47</f>
        <v>Capitán Sarmiento</v>
      </c>
      <c r="B47" s="70">
        <v>43</v>
      </c>
      <c r="C47" s="71" t="str">
        <f>+Proyeccion_Localidades!B47</f>
        <v>Capitán Sarmiento</v>
      </c>
      <c r="D47" s="261">
        <f t="shared" si="3"/>
        <v>43</v>
      </c>
      <c r="E47" s="72">
        <f>+Proyeccion_Localidades!F47</f>
        <v>13088</v>
      </c>
      <c r="F47" s="66">
        <f>IF($AB47="TGD",ROUND($E47*(1+$AD47)^(F$4-$E$4),0),IF($AB47="ALTH",ROUND($AE47+$AF47*F$4,0),IF($AB47="IR",ROUND(Proyeccion_Localidades!AC47,0),IF($AB47="RT",ROUND(Proyeccion_Localidades!AZ47,0),"*****"))))</f>
        <v>15212</v>
      </c>
      <c r="G47" s="66">
        <f>IF($AB47="TGD",ROUND($E47*(1+$AD47)^(G$4-$E$4),0),IF($AB47="ALTH",ROUND($AE47+$AF47*G$4,0),IF($AB47="IR",ROUND(Proyeccion_Localidades!AD47,0),IF($AB47="RT",ROUND(Proyeccion_Localidades!BA47,0),"*****"))))</f>
        <v>15393</v>
      </c>
      <c r="H47" s="66">
        <f>IF($AB47="TGD",ROUND($E47*(1+$AD47)^(H$4-$E$4),0),IF($AB47="ALTH",ROUND($AE47+$AF47*H$4,0),IF($AB47="IR",ROUND(Proyeccion_Localidades!AE47,0),IF($AB47="RT",ROUND(Proyeccion_Localidades!BB47,0),"*****"))))</f>
        <v>15937</v>
      </c>
      <c r="I47" s="66">
        <f>IF($AB47="TGD",ROUND($E47*(1+$AD47)^(I$4-$E$4),0),IF($AB47="ALTH",ROUND($AE47+$AF47*I$4,0),IF($AB47="IR",ROUND(Proyeccion_Localidades!AF47,0),IF($AB47="RT",ROUND(Proyeccion_Localidades!BC47,0),"*****"))))</f>
        <v>16118</v>
      </c>
      <c r="J47" s="66">
        <f>IF($AB47="TGD",ROUND($E47*(1+$AD47)^(J$4-$E$4),0),IF($AB47="ALTH",ROUND($AE47+$AF47*J$4,0),IF($AB47="IR",ROUND(Proyeccion_Localidades!AG47,0),IF($AB47="RT",ROUND(Proyeccion_Localidades!BD47,0),"*****"))))</f>
        <v>16299</v>
      </c>
      <c r="K47" s="66">
        <f>IF($AB47="TGD",ROUND($E47*(1+$AD47)^(K$4-$E$4),0),IF($AB47="ALTH",ROUND($AE47+$AF47*K$4,0),IF($AB47="IR",ROUND(Proyeccion_Localidades!AH47,0),IF($AB47="RT",ROUND(Proyeccion_Localidades!BE47,0),"*****"))))</f>
        <v>16480</v>
      </c>
      <c r="L47" s="66">
        <f>IF($AB47="TGD",ROUND($E47*(1+$AD47)^(L$4-$E$4),0),IF($AB47="ALTH",ROUND($AE47+$AF47*L$4,0),IF($AB47="IR",ROUND(Proyeccion_Localidades!AI47,0),IF($AB47="RT",ROUND(Proyeccion_Localidades!BF47,0),"*****"))))</f>
        <v>16661</v>
      </c>
      <c r="M47" s="66">
        <f>IF($AB47="TGD",ROUND($E47*(1+$AD47)^(M$4-$E$4),0),IF($AB47="ALTH",ROUND($AE47+$AF47*M$4,0),IF($AB47="IR",ROUND(Proyeccion_Localidades!AJ47,0),IF($AB47="RT",ROUND(Proyeccion_Localidades!BG47,0),"*****"))))</f>
        <v>16842</v>
      </c>
      <c r="N47" s="66">
        <f>IF($AB47="TGD",ROUND($E47*(1+$AD47)^(N$4-$E$4),0),IF($AB47="ALTH",ROUND($AE47+$AF47*N$4,0),IF($AB47="IR",ROUND(Proyeccion_Localidades!AK47,0),IF($AB47="RT",ROUND(Proyeccion_Localidades!BH47,0),"*****"))))</f>
        <v>17023</v>
      </c>
      <c r="O47" s="66">
        <f>IF($AB47="TGD",ROUND($E47*(1+$AD47)^(O$4-$E$4),0),IF($AB47="ALTH",ROUND($AE47+$AF47*O$4,0),IF($AB47="IR",ROUND(Proyeccion_Localidades!AL47,0),IF($AB47="RT",ROUND(Proyeccion_Localidades!BI47,0),"*****"))))</f>
        <v>17205</v>
      </c>
      <c r="P47" s="66">
        <f>IF($AB47="TGD",ROUND($E47*(1+$AD47)^(P$4-$E$4),0),IF($AB47="ALTH",ROUND($AE47+$AF47*P$4,0),IF($AB47="IR",ROUND(Proyeccion_Localidades!AM47,0),IF($AB47="RT",ROUND(Proyeccion_Localidades!BJ47,0),"*****"))))</f>
        <v>17386</v>
      </c>
      <c r="Q47" s="66">
        <f>IF($AB47="TGD",ROUND($E47*(1+$AD47)^(Q$4-$E$4),0),IF($AB47="ALTH",ROUND($AE47+$AF47*Q$4,0),IF($AB47="IR",ROUND(Proyeccion_Localidades!AN47,0),IF($AB47="RT",ROUND(Proyeccion_Localidades!BK47,0),"*****"))))</f>
        <v>17567</v>
      </c>
      <c r="R47" s="66">
        <f>IF($AB47="TGD",ROUND($E47*(1+$AD47)^(R$4-$E$4),0),IF($AB47="ALTH",ROUND($AE47+$AF47*R$4,0),IF($AB47="IR",ROUND(Proyeccion_Localidades!AO47,0),IF($AB47="RT",ROUND(Proyeccion_Localidades!BL47,0),"*****"))))</f>
        <v>17748</v>
      </c>
      <c r="S47" s="66">
        <f>IF($AB47="TGD",ROUND($E47*(1+$AD47)^(S$4-$E$4),0),IF($AB47="ALTH",ROUND($AE47+$AF47*S$4,0),IF($AB47="IR",ROUND(Proyeccion_Localidades!AP47,0),IF($AB47="RT",ROUND(Proyeccion_Localidades!BM47,0),"*****"))))</f>
        <v>17929</v>
      </c>
      <c r="T47" s="66">
        <f>IF($AB47="TGD",ROUND($E47*(1+$AD47)^(T$4-$E$4),0),IF($AB47="ALTH",ROUND($AE47+$AF47*T$4,0),IF($AB47="IR",ROUND(Proyeccion_Localidades!AQ47,0),IF($AB47="RT",ROUND(Proyeccion_Localidades!BN47,0),"*****"))))</f>
        <v>18110</v>
      </c>
      <c r="U47" s="66">
        <f>IF($AB47="TGD",ROUND($E47*(1+$AD47)^(U$4-$E$4),0),IF($AB47="ALTH",ROUND($AE47+$AF47*U$4,0),IF($AB47="IR",ROUND(Proyeccion_Localidades!AR47,0),IF($AB47="RT",ROUND(Proyeccion_Localidades!BO47,0),"*****"))))</f>
        <v>18291</v>
      </c>
      <c r="V47" s="66">
        <f>IF($AB47="TGD",ROUND($E47*(1+$AD47)^(V$4-$E$4),0),IF($AB47="ALTH",ROUND($AE47+$AF47*V$4,0),IF($AB47="IR",ROUND(Proyeccion_Localidades!AS47,0),IF($AB47="RT",ROUND(Proyeccion_Localidades!BP47,0),"*****"))))</f>
        <v>18472</v>
      </c>
      <c r="W47" s="66">
        <f>IF($AB47="TGD",ROUND($E47*(1+$AD47)^(W$4-$E$4),0),IF($AB47="ALTH",ROUND($AE47+$AF47*W$4,0),IF($AB47="IR",ROUND(Proyeccion_Localidades!AT47,0),IF($AB47="RT",ROUND(Proyeccion_Localidades!BQ47,0),"*****"))))</f>
        <v>18653</v>
      </c>
      <c r="X47" s="66">
        <f>IF($AB47="TGD",ROUND($E47*(1+$AD47)^(X$4-$E$4),0),IF($AB47="ALTH",ROUND($AE47+$AF47*X$4,0),IF($AB47="IR",ROUND(Proyeccion_Localidades!AU47,0),IF($AB47="RT",ROUND(Proyeccion_Localidades!BR47,0),"*****"))))</f>
        <v>18835</v>
      </c>
      <c r="Y47" s="66">
        <f>IF($AB47="TGD",ROUND($E47*(1+$AD47)^(Y$4-$E$4),0),IF($AB47="ALTH",ROUND($AE47+$AF47*Y$4,0),IF($AB47="IR",ROUND(Proyeccion_Localidades!AV47,0),IF($AB47="RT",ROUND(Proyeccion_Localidades!BS47,0),"*****"))))</f>
        <v>19016</v>
      </c>
      <c r="Z47" s="66">
        <f>IF($AB47="TGD",ROUND($E47*(1+$AD47)^(Z$4-$E$4),0),IF($AB47="ALTH",ROUND($AE47+$AF47*Z$4,0),IF($AB47="IR",ROUND(Proyeccion_Localidades!AW47,0),IF($AB47="RT",ROUND(Proyeccion_Localidades!BT47,0),"*****"))))</f>
        <v>19197</v>
      </c>
      <c r="AA47" s="66">
        <f>IF($AB47="TGD",ROUND($E47*(1+$AD47)^(AA$4-$E$4),0),IF($AB47="ALTH",ROUND($AE47+$AF47*AA$4,0),IF($AB47="IR",ROUND(Proyeccion_Localidades!AX47,0),IF($AB47="RT",ROUND(Proyeccion_Localidades!BU47,0),"*****"))))</f>
        <v>19378</v>
      </c>
      <c r="AB47" s="67" t="str">
        <f>Proyeccion_Localidades!N47</f>
        <v>ALTH</v>
      </c>
      <c r="AC47" s="73" t="s">
        <v>36</v>
      </c>
      <c r="AD47" s="51" t="str">
        <f>IF(AB47="TGD",Proyeccion_Localidades!Z47,"-")</f>
        <v>-</v>
      </c>
      <c r="AE47" s="51">
        <f>IF($AB47="ALTH",Proyeccion_Localidades!AA47,"-")</f>
        <v>-350993.47601476026</v>
      </c>
      <c r="AF47" s="51">
        <f>IF($AB47="ALTH",Proyeccion_Localidades!AB47,"-")</f>
        <v>181.11070110701112</v>
      </c>
      <c r="AG47" s="51"/>
      <c r="AH47" s="51"/>
      <c r="AI47" s="66">
        <f t="shared" si="2"/>
        <v>15393</v>
      </c>
    </row>
    <row r="48" spans="1:35" ht="24.95" customHeight="1">
      <c r="A48" s="69" t="str">
        <f>+Proyeccion_Localidades!C48</f>
        <v>Carlos Casares</v>
      </c>
      <c r="B48" s="70">
        <v>44</v>
      </c>
      <c r="C48" s="71" t="str">
        <f>+Proyeccion_Localidades!B48</f>
        <v>Carlos Casares</v>
      </c>
      <c r="D48" s="261">
        <f t="shared" si="3"/>
        <v>44</v>
      </c>
      <c r="E48" s="72">
        <f>+Proyeccion_Localidades!F48</f>
        <v>18347</v>
      </c>
      <c r="F48" s="66">
        <f>IF($AB48="TGD",ROUND($E48*(1+$AD48)^(F$4-$E$4),0),IF($AB48="ALTH",ROUND($AE48+$AF48*F$4,0),IF($AB48="IR",ROUND(Proyeccion_Localidades!AC48,0),IF($AB48="RT",ROUND(Proyeccion_Localidades!AZ48,0),"*****"))))</f>
        <v>20066</v>
      </c>
      <c r="G48" s="66">
        <f>IF($AB48="TGD",ROUND($E48*(1+$AD48)^(G$4-$E$4),0),IF($AB48="ALTH",ROUND($AE48+$AF48*G$4,0),IF($AB48="IR",ROUND(Proyeccion_Localidades!AD48,0),IF($AB48="RT",ROUND(Proyeccion_Localidades!BA48,0),"*****"))))</f>
        <v>20216</v>
      </c>
      <c r="H48" s="66">
        <f>IF($AB48="TGD",ROUND($E48*(1+$AD48)^(H$4-$E$4),0),IF($AB48="ALTH",ROUND($AE48+$AF48*H$4,0),IF($AB48="IR",ROUND(Proyeccion_Localidades!AE48,0),IF($AB48="RT",ROUND(Proyeccion_Localidades!BB48,0),"*****"))))</f>
        <v>20674</v>
      </c>
      <c r="I48" s="66">
        <f>IF($AB48="TGD",ROUND($E48*(1+$AD48)^(I$4-$E$4),0),IF($AB48="ALTH",ROUND($AE48+$AF48*I$4,0),IF($AB48="IR",ROUND(Proyeccion_Localidades!AF48,0),IF($AB48="RT",ROUND(Proyeccion_Localidades!BC48,0),"*****"))))</f>
        <v>20829</v>
      </c>
      <c r="J48" s="66">
        <f>IF($AB48="TGD",ROUND($E48*(1+$AD48)^(J$4-$E$4),0),IF($AB48="ALTH",ROUND($AE48+$AF48*J$4,0),IF($AB48="IR",ROUND(Proyeccion_Localidades!AG48,0),IF($AB48="RT",ROUND(Proyeccion_Localidades!BD48,0),"*****"))))</f>
        <v>20985</v>
      </c>
      <c r="K48" s="66">
        <f>IF($AB48="TGD",ROUND($E48*(1+$AD48)^(K$4-$E$4),0),IF($AB48="ALTH",ROUND($AE48+$AF48*K$4,0),IF($AB48="IR",ROUND(Proyeccion_Localidades!AH48,0),IF($AB48="RT",ROUND(Proyeccion_Localidades!BE48,0),"*****"))))</f>
        <v>21142</v>
      </c>
      <c r="L48" s="66">
        <f>IF($AB48="TGD",ROUND($E48*(1+$AD48)^(L$4-$E$4),0),IF($AB48="ALTH",ROUND($AE48+$AF48*L$4,0),IF($AB48="IR",ROUND(Proyeccion_Localidades!AI48,0),IF($AB48="RT",ROUND(Proyeccion_Localidades!BF48,0),"*****"))))</f>
        <v>21301</v>
      </c>
      <c r="M48" s="66">
        <f>IF($AB48="TGD",ROUND($E48*(1+$AD48)^(M$4-$E$4),0),IF($AB48="ALTH",ROUND($AE48+$AF48*M$4,0),IF($AB48="IR",ROUND(Proyeccion_Localidades!AJ48,0),IF($AB48="RT",ROUND(Proyeccion_Localidades!BG48,0),"*****"))))</f>
        <v>21460</v>
      </c>
      <c r="N48" s="66">
        <f>IF($AB48="TGD",ROUND($E48*(1+$AD48)^(N$4-$E$4),0),IF($AB48="ALTH",ROUND($AE48+$AF48*N$4,0),IF($AB48="IR",ROUND(Proyeccion_Localidades!AK48,0),IF($AB48="RT",ROUND(Proyeccion_Localidades!BH48,0),"*****"))))</f>
        <v>21621</v>
      </c>
      <c r="O48" s="66">
        <f>IF($AB48="TGD",ROUND($E48*(1+$AD48)^(O$4-$E$4),0),IF($AB48="ALTH",ROUND($AE48+$AF48*O$4,0),IF($AB48="IR",ROUND(Proyeccion_Localidades!AL48,0),IF($AB48="RT",ROUND(Proyeccion_Localidades!BI48,0),"*****"))))</f>
        <v>21783</v>
      </c>
      <c r="P48" s="66">
        <f>IF($AB48="TGD",ROUND($E48*(1+$AD48)^(P$4-$E$4),0),IF($AB48="ALTH",ROUND($AE48+$AF48*P$4,0),IF($AB48="IR",ROUND(Proyeccion_Localidades!AM48,0),IF($AB48="RT",ROUND(Proyeccion_Localidades!BJ48,0),"*****"))))</f>
        <v>21946</v>
      </c>
      <c r="Q48" s="66">
        <f>IF($AB48="TGD",ROUND($E48*(1+$AD48)^(Q$4-$E$4),0),IF($AB48="ALTH",ROUND($AE48+$AF48*Q$4,0),IF($AB48="IR",ROUND(Proyeccion_Localidades!AN48,0),IF($AB48="RT",ROUND(Proyeccion_Localidades!BK48,0),"*****"))))</f>
        <v>22111</v>
      </c>
      <c r="R48" s="66">
        <f>IF($AB48="TGD",ROUND($E48*(1+$AD48)^(R$4-$E$4),0),IF($AB48="ALTH",ROUND($AE48+$AF48*R$4,0),IF($AB48="IR",ROUND(Proyeccion_Localidades!AO48,0),IF($AB48="RT",ROUND(Proyeccion_Localidades!BL48,0),"*****"))))</f>
        <v>22276</v>
      </c>
      <c r="S48" s="66">
        <f>IF($AB48="TGD",ROUND($E48*(1+$AD48)^(S$4-$E$4),0),IF($AB48="ALTH",ROUND($AE48+$AF48*S$4,0),IF($AB48="IR",ROUND(Proyeccion_Localidades!AP48,0),IF($AB48="RT",ROUND(Proyeccion_Localidades!BM48,0),"*****"))))</f>
        <v>22443</v>
      </c>
      <c r="T48" s="66">
        <f>IF($AB48="TGD",ROUND($E48*(1+$AD48)^(T$4-$E$4),0),IF($AB48="ALTH",ROUND($AE48+$AF48*T$4,0),IF($AB48="IR",ROUND(Proyeccion_Localidades!AQ48,0),IF($AB48="RT",ROUND(Proyeccion_Localidades!BN48,0),"*****"))))</f>
        <v>22612</v>
      </c>
      <c r="U48" s="66">
        <f>IF($AB48="TGD",ROUND($E48*(1+$AD48)^(U$4-$E$4),0),IF($AB48="ALTH",ROUND($AE48+$AF48*U$4,0),IF($AB48="IR",ROUND(Proyeccion_Localidades!AR48,0),IF($AB48="RT",ROUND(Proyeccion_Localidades!BO48,0),"*****"))))</f>
        <v>22781</v>
      </c>
      <c r="V48" s="66">
        <f>IF($AB48="TGD",ROUND($E48*(1+$AD48)^(V$4-$E$4),0),IF($AB48="ALTH",ROUND($AE48+$AF48*V$4,0),IF($AB48="IR",ROUND(Proyeccion_Localidades!AS48,0),IF($AB48="RT",ROUND(Proyeccion_Localidades!BP48,0),"*****"))))</f>
        <v>22952</v>
      </c>
      <c r="W48" s="66">
        <f>IF($AB48="TGD",ROUND($E48*(1+$AD48)^(W$4-$E$4),0),IF($AB48="ALTH",ROUND($AE48+$AF48*W$4,0),IF($AB48="IR",ROUND(Proyeccion_Localidades!AT48,0),IF($AB48="RT",ROUND(Proyeccion_Localidades!BQ48,0),"*****"))))</f>
        <v>23124</v>
      </c>
      <c r="X48" s="66">
        <f>IF($AB48="TGD",ROUND($E48*(1+$AD48)^(X$4-$E$4),0),IF($AB48="ALTH",ROUND($AE48+$AF48*X$4,0),IF($AB48="IR",ROUND(Proyeccion_Localidades!AU48,0),IF($AB48="RT",ROUND(Proyeccion_Localidades!BR48,0),"*****"))))</f>
        <v>23297</v>
      </c>
      <c r="Y48" s="66">
        <f>IF($AB48="TGD",ROUND($E48*(1+$AD48)^(Y$4-$E$4),0),IF($AB48="ALTH",ROUND($AE48+$AF48*Y$4,0),IF($AB48="IR",ROUND(Proyeccion_Localidades!AV48,0),IF($AB48="RT",ROUND(Proyeccion_Localidades!BS48,0),"*****"))))</f>
        <v>23471</v>
      </c>
      <c r="Z48" s="66">
        <f>IF($AB48="TGD",ROUND($E48*(1+$AD48)^(Z$4-$E$4),0),IF($AB48="ALTH",ROUND($AE48+$AF48*Z$4,0),IF($AB48="IR",ROUND(Proyeccion_Localidades!AW48,0),IF($AB48="RT",ROUND(Proyeccion_Localidades!BT48,0),"*****"))))</f>
        <v>23647</v>
      </c>
      <c r="AA48" s="66">
        <f>IF($AB48="TGD",ROUND($E48*(1+$AD48)^(AA$4-$E$4),0),IF($AB48="ALTH",ROUND($AE48+$AF48*AA$4,0),IF($AB48="IR",ROUND(Proyeccion_Localidades!AX48,0),IF($AB48="RT",ROUND(Proyeccion_Localidades!BU48,0),"*****"))))</f>
        <v>23824</v>
      </c>
      <c r="AB48" s="67" t="str">
        <f>Proyeccion_Localidades!N48</f>
        <v>TGD</v>
      </c>
      <c r="AC48" s="68" t="s">
        <v>35</v>
      </c>
      <c r="AD48" s="51">
        <f>IF(AB48="TGD",Proyeccion_Localidades!Z48,"-")</f>
        <v>7.4919695336037595E-3</v>
      </c>
      <c r="AE48" s="51" t="str">
        <f>IF($AB48="ALTH",Proyeccion_Localidades!AA48,"-")</f>
        <v>-</v>
      </c>
      <c r="AF48" s="51" t="str">
        <f>IF($AB48="ALTH",Proyeccion_Localidades!AB48,"-")</f>
        <v>-</v>
      </c>
      <c r="AG48" s="51"/>
      <c r="AH48" s="51"/>
      <c r="AI48" s="66">
        <f t="shared" si="2"/>
        <v>20216</v>
      </c>
    </row>
    <row r="49" spans="1:35" ht="24.95" customHeight="1">
      <c r="A49" s="69" t="str">
        <f>+Proyeccion_Localidades!C49</f>
        <v>Carlos Tejedor</v>
      </c>
      <c r="B49" s="70">
        <v>45</v>
      </c>
      <c r="C49" s="71" t="str">
        <f>+Proyeccion_Localidades!B49</f>
        <v>Carlos Tejedor</v>
      </c>
      <c r="D49" s="261">
        <f t="shared" si="3"/>
        <v>45</v>
      </c>
      <c r="E49" s="72">
        <f>+Proyeccion_Localidades!F49</f>
        <v>5178</v>
      </c>
      <c r="F49" s="66">
        <f>IF($AB49="TGD",ROUND($E49*(1+$AD49)^(F$4-$E$4),0),IF($AB49="ALTH",ROUND($AE49+$AF49*F$4,0),IF($AB49="IR",ROUND(Proyeccion_Localidades!AC49,0),IF($AB49="RT",ROUND(Proyeccion_Localidades!AZ49,0),"*****"))))</f>
        <v>5466</v>
      </c>
      <c r="G49" s="66">
        <f>IF($AB49="TGD",ROUND($E49*(1+$AD49)^(G$4-$E$4),0),IF($AB49="ALTH",ROUND($AE49+$AF49*G$4,0),IF($AB49="IR",ROUND(Proyeccion_Localidades!AD49,0),IF($AB49="RT",ROUND(Proyeccion_Localidades!BA49,0),"*****"))))</f>
        <v>5486</v>
      </c>
      <c r="H49" s="66">
        <f>IF($AB49="TGD",ROUND($E49*(1+$AD49)^(H$4-$E$4),0),IF($AB49="ALTH",ROUND($AE49+$AF49*H$4,0),IF($AB49="IR",ROUND(Proyeccion_Localidades!AE49,0),IF($AB49="RT",ROUND(Proyeccion_Localidades!BB49,0),"*****"))))</f>
        <v>5547</v>
      </c>
      <c r="I49" s="66">
        <f>IF($AB49="TGD",ROUND($E49*(1+$AD49)^(I$4-$E$4),0),IF($AB49="ALTH",ROUND($AE49+$AF49*I$4,0),IF($AB49="IR",ROUND(Proyeccion_Localidades!AF49,0),IF($AB49="RT",ROUND(Proyeccion_Localidades!BC49,0),"*****"))))</f>
        <v>5567</v>
      </c>
      <c r="J49" s="66">
        <f>IF($AB49="TGD",ROUND($E49*(1+$AD49)^(J$4-$E$4),0),IF($AB49="ALTH",ROUND($AE49+$AF49*J$4,0),IF($AB49="IR",ROUND(Proyeccion_Localidades!AG49,0),IF($AB49="RT",ROUND(Proyeccion_Localidades!BD49,0),"*****"))))</f>
        <v>5588</v>
      </c>
      <c r="K49" s="66">
        <f>IF($AB49="TGD",ROUND($E49*(1+$AD49)^(K$4-$E$4),0),IF($AB49="ALTH",ROUND($AE49+$AF49*K$4,0),IF($AB49="IR",ROUND(Proyeccion_Localidades!AH49,0),IF($AB49="RT",ROUND(Proyeccion_Localidades!BE49,0),"*****"))))</f>
        <v>5608</v>
      </c>
      <c r="L49" s="66">
        <f>IF($AB49="TGD",ROUND($E49*(1+$AD49)^(L$4-$E$4),0),IF($AB49="ALTH",ROUND($AE49+$AF49*L$4,0),IF($AB49="IR",ROUND(Proyeccion_Localidades!AI49,0),IF($AB49="RT",ROUND(Proyeccion_Localidades!BF49,0),"*****"))))</f>
        <v>5628</v>
      </c>
      <c r="M49" s="66">
        <f>IF($AB49="TGD",ROUND($E49*(1+$AD49)^(M$4-$E$4),0),IF($AB49="ALTH",ROUND($AE49+$AF49*M$4,0),IF($AB49="IR",ROUND(Proyeccion_Localidades!AJ49,0),IF($AB49="RT",ROUND(Proyeccion_Localidades!BG49,0),"*****"))))</f>
        <v>5648</v>
      </c>
      <c r="N49" s="66">
        <f>IF($AB49="TGD",ROUND($E49*(1+$AD49)^(N$4-$E$4),0),IF($AB49="ALTH",ROUND($AE49+$AF49*N$4,0),IF($AB49="IR",ROUND(Proyeccion_Localidades!AK49,0),IF($AB49="RT",ROUND(Proyeccion_Localidades!BH49,0),"*****"))))</f>
        <v>5668</v>
      </c>
      <c r="O49" s="66">
        <f>IF($AB49="TGD",ROUND($E49*(1+$AD49)^(O$4-$E$4),0),IF($AB49="ALTH",ROUND($AE49+$AF49*O$4,0),IF($AB49="IR",ROUND(Proyeccion_Localidades!AL49,0),IF($AB49="RT",ROUND(Proyeccion_Localidades!BI49,0),"*****"))))</f>
        <v>5689</v>
      </c>
      <c r="P49" s="66">
        <f>IF($AB49="TGD",ROUND($E49*(1+$AD49)^(P$4-$E$4),0),IF($AB49="ALTH",ROUND($AE49+$AF49*P$4,0),IF($AB49="IR",ROUND(Proyeccion_Localidades!AM49,0),IF($AB49="RT",ROUND(Proyeccion_Localidades!BJ49,0),"*****"))))</f>
        <v>5709</v>
      </c>
      <c r="Q49" s="66">
        <f>IF($AB49="TGD",ROUND($E49*(1+$AD49)^(Q$4-$E$4),0),IF($AB49="ALTH",ROUND($AE49+$AF49*Q$4,0),IF($AB49="IR",ROUND(Proyeccion_Localidades!AN49,0),IF($AB49="RT",ROUND(Proyeccion_Localidades!BK49,0),"*****"))))</f>
        <v>5729</v>
      </c>
      <c r="R49" s="66">
        <f>IF($AB49="TGD",ROUND($E49*(1+$AD49)^(R$4-$E$4),0),IF($AB49="ALTH",ROUND($AE49+$AF49*R$4,0),IF($AB49="IR",ROUND(Proyeccion_Localidades!AO49,0),IF($AB49="RT",ROUND(Proyeccion_Localidades!BL49,0),"*****"))))</f>
        <v>5749</v>
      </c>
      <c r="S49" s="66">
        <f>IF($AB49="TGD",ROUND($E49*(1+$AD49)^(S$4-$E$4),0),IF($AB49="ALTH",ROUND($AE49+$AF49*S$4,0),IF($AB49="IR",ROUND(Proyeccion_Localidades!AP49,0),IF($AB49="RT",ROUND(Proyeccion_Localidades!BM49,0),"*****"))))</f>
        <v>5770</v>
      </c>
      <c r="T49" s="66">
        <f>IF($AB49="TGD",ROUND($E49*(1+$AD49)^(T$4-$E$4),0),IF($AB49="ALTH",ROUND($AE49+$AF49*T$4,0),IF($AB49="IR",ROUND(Proyeccion_Localidades!AQ49,0),IF($AB49="RT",ROUND(Proyeccion_Localidades!BN49,0),"*****"))))</f>
        <v>5790</v>
      </c>
      <c r="U49" s="66">
        <f>IF($AB49="TGD",ROUND($E49*(1+$AD49)^(U$4-$E$4),0),IF($AB49="ALTH",ROUND($AE49+$AF49*U$4,0),IF($AB49="IR",ROUND(Proyeccion_Localidades!AR49,0),IF($AB49="RT",ROUND(Proyeccion_Localidades!BO49,0),"*****"))))</f>
        <v>5810</v>
      </c>
      <c r="V49" s="66">
        <f>IF($AB49="TGD",ROUND($E49*(1+$AD49)^(V$4-$E$4),0),IF($AB49="ALTH",ROUND($AE49+$AF49*V$4,0),IF($AB49="IR",ROUND(Proyeccion_Localidades!AS49,0),IF($AB49="RT",ROUND(Proyeccion_Localidades!BP49,0),"*****"))))</f>
        <v>5830</v>
      </c>
      <c r="W49" s="66">
        <f>IF($AB49="TGD",ROUND($E49*(1+$AD49)^(W$4-$E$4),0),IF($AB49="ALTH",ROUND($AE49+$AF49*W$4,0),IF($AB49="IR",ROUND(Proyeccion_Localidades!AT49,0),IF($AB49="RT",ROUND(Proyeccion_Localidades!BQ49,0),"*****"))))</f>
        <v>5851</v>
      </c>
      <c r="X49" s="66">
        <f>IF($AB49="TGD",ROUND($E49*(1+$AD49)^(X$4-$E$4),0),IF($AB49="ALTH",ROUND($AE49+$AF49*X$4,0),IF($AB49="IR",ROUND(Proyeccion_Localidades!AU49,0),IF($AB49="RT",ROUND(Proyeccion_Localidades!BR49,0),"*****"))))</f>
        <v>5871</v>
      </c>
      <c r="Y49" s="66">
        <f>IF($AB49="TGD",ROUND($E49*(1+$AD49)^(Y$4-$E$4),0),IF($AB49="ALTH",ROUND($AE49+$AF49*Y$4,0),IF($AB49="IR",ROUND(Proyeccion_Localidades!AV49,0),IF($AB49="RT",ROUND(Proyeccion_Localidades!BS49,0),"*****"))))</f>
        <v>5891</v>
      </c>
      <c r="Z49" s="66">
        <f>IF($AB49="TGD",ROUND($E49*(1+$AD49)^(Z$4-$E$4),0),IF($AB49="ALTH",ROUND($AE49+$AF49*Z$4,0),IF($AB49="IR",ROUND(Proyeccion_Localidades!AW49,0),IF($AB49="RT",ROUND(Proyeccion_Localidades!BT49,0),"*****"))))</f>
        <v>5911</v>
      </c>
      <c r="AA49" s="66">
        <f>IF($AB49="TGD",ROUND($E49*(1+$AD49)^(AA$4-$E$4),0),IF($AB49="ALTH",ROUND($AE49+$AF49*AA$4,0),IF($AB49="IR",ROUND(Proyeccion_Localidades!AX49,0),IF($AB49="RT",ROUND(Proyeccion_Localidades!BU49,0),"*****"))))</f>
        <v>5932</v>
      </c>
      <c r="AB49" s="67" t="str">
        <f>Proyeccion_Localidades!N49</f>
        <v>ALTH</v>
      </c>
      <c r="AC49" s="73" t="s">
        <v>36</v>
      </c>
      <c r="AD49" s="51" t="str">
        <f>IF(AB49="TGD",Proyeccion_Localidades!Z49,"-")</f>
        <v>-</v>
      </c>
      <c r="AE49" s="51">
        <f>IF($AB49="ALTH",Proyeccion_Localidades!AA49,"-")</f>
        <v>-35455.173431734322</v>
      </c>
      <c r="AF49" s="51">
        <f>IF($AB49="ALTH",Proyeccion_Localidades!AB49,"-")</f>
        <v>20.238007380073803</v>
      </c>
      <c r="AG49" s="51"/>
      <c r="AH49" s="51"/>
      <c r="AI49" s="66">
        <f t="shared" si="2"/>
        <v>5486</v>
      </c>
    </row>
    <row r="50" spans="1:35" ht="24.95" customHeight="1">
      <c r="A50" s="69" t="str">
        <f>+Proyeccion_Localidades!C50</f>
        <v>Carmen de Areco</v>
      </c>
      <c r="B50" s="70">
        <v>46</v>
      </c>
      <c r="C50" s="71" t="str">
        <f>+Proyeccion_Localidades!B50</f>
        <v>Carmen de Areco</v>
      </c>
      <c r="D50" s="261">
        <f t="shared" si="3"/>
        <v>46</v>
      </c>
      <c r="E50" s="72">
        <f>+Proyeccion_Localidades!F50</f>
        <v>12775</v>
      </c>
      <c r="F50" s="66">
        <f>IF($AB50="TGD",ROUND($E50*(1+$AD50)^(F$4-$E$4),0),IF($AB50="ALTH",ROUND($AE50+$AF50*F$4,0),IF($AB50="IR",ROUND(Proyeccion_Localidades!AC50,0),IF($AB50="RT",ROUND(Proyeccion_Localidades!AZ50,0),"*****"))))</f>
        <v>15061</v>
      </c>
      <c r="G50" s="66">
        <f>IF($AB50="TGD",ROUND($E50*(1+$AD50)^(G$4-$E$4),0),IF($AB50="ALTH",ROUND($AE50+$AF50*G$4,0),IF($AB50="IR",ROUND(Proyeccion_Localidades!AD50,0),IF($AB50="RT",ROUND(Proyeccion_Localidades!BA50,0),"*****"))))</f>
        <v>15229</v>
      </c>
      <c r="H50" s="66">
        <f>IF($AB50="TGD",ROUND($E50*(1+$AD50)^(H$4-$E$4),0),IF($AB50="ALTH",ROUND($AE50+$AF50*H$4,0),IF($AB50="IR",ROUND(Proyeccion_Localidades!AE50,0),IF($AB50="RT",ROUND(Proyeccion_Localidades!BB50,0),"*****"))))</f>
        <v>15736</v>
      </c>
      <c r="I50" s="66">
        <f>IF($AB50="TGD",ROUND($E50*(1+$AD50)^(I$4-$E$4),0),IF($AB50="ALTH",ROUND($AE50+$AF50*I$4,0),IF($AB50="IR",ROUND(Proyeccion_Localidades!AF50,0),IF($AB50="RT",ROUND(Proyeccion_Localidades!BC50,0),"*****"))))</f>
        <v>15905</v>
      </c>
      <c r="J50" s="66">
        <f>IF($AB50="TGD",ROUND($E50*(1+$AD50)^(J$4-$E$4),0),IF($AB50="ALTH",ROUND($AE50+$AF50*J$4,0),IF($AB50="IR",ROUND(Proyeccion_Localidades!AG50,0),IF($AB50="RT",ROUND(Proyeccion_Localidades!BD50,0),"*****"))))</f>
        <v>16074</v>
      </c>
      <c r="K50" s="66">
        <f>IF($AB50="TGD",ROUND($E50*(1+$AD50)^(K$4-$E$4),0),IF($AB50="ALTH",ROUND($AE50+$AF50*K$4,0),IF($AB50="IR",ROUND(Proyeccion_Localidades!AH50,0),IF($AB50="RT",ROUND(Proyeccion_Localidades!BE50,0),"*****"))))</f>
        <v>16242</v>
      </c>
      <c r="L50" s="66">
        <f>IF($AB50="TGD",ROUND($E50*(1+$AD50)^(L$4-$E$4),0),IF($AB50="ALTH",ROUND($AE50+$AF50*L$4,0),IF($AB50="IR",ROUND(Proyeccion_Localidades!AI50,0),IF($AB50="RT",ROUND(Proyeccion_Localidades!BF50,0),"*****"))))</f>
        <v>16411</v>
      </c>
      <c r="M50" s="66">
        <f>IF($AB50="TGD",ROUND($E50*(1+$AD50)^(M$4-$E$4),0),IF($AB50="ALTH",ROUND($AE50+$AF50*M$4,0),IF($AB50="IR",ROUND(Proyeccion_Localidades!AJ50,0),IF($AB50="RT",ROUND(Proyeccion_Localidades!BG50,0),"*****"))))</f>
        <v>16580</v>
      </c>
      <c r="N50" s="66">
        <f>IF($AB50="TGD",ROUND($E50*(1+$AD50)^(N$4-$E$4),0),IF($AB50="ALTH",ROUND($AE50+$AF50*N$4,0),IF($AB50="IR",ROUND(Proyeccion_Localidades!AK50,0),IF($AB50="RT",ROUND(Proyeccion_Localidades!BH50,0),"*****"))))</f>
        <v>16749</v>
      </c>
      <c r="O50" s="66">
        <f>IF($AB50="TGD",ROUND($E50*(1+$AD50)^(O$4-$E$4),0),IF($AB50="ALTH",ROUND($AE50+$AF50*O$4,0),IF($AB50="IR",ROUND(Proyeccion_Localidades!AL50,0),IF($AB50="RT",ROUND(Proyeccion_Localidades!BI50,0),"*****"))))</f>
        <v>16918</v>
      </c>
      <c r="P50" s="66">
        <f>IF($AB50="TGD",ROUND($E50*(1+$AD50)^(P$4-$E$4),0),IF($AB50="ALTH",ROUND($AE50+$AF50*P$4,0),IF($AB50="IR",ROUND(Proyeccion_Localidades!AM50,0),IF($AB50="RT",ROUND(Proyeccion_Localidades!BJ50,0),"*****"))))</f>
        <v>17087</v>
      </c>
      <c r="Q50" s="66">
        <f>IF($AB50="TGD",ROUND($E50*(1+$AD50)^(Q$4-$E$4),0),IF($AB50="ALTH",ROUND($AE50+$AF50*Q$4,0),IF($AB50="IR",ROUND(Proyeccion_Localidades!AN50,0),IF($AB50="RT",ROUND(Proyeccion_Localidades!BK50,0),"*****"))))</f>
        <v>17255</v>
      </c>
      <c r="R50" s="66">
        <f>IF($AB50="TGD",ROUND($E50*(1+$AD50)^(R$4-$E$4),0),IF($AB50="ALTH",ROUND($AE50+$AF50*R$4,0),IF($AB50="IR",ROUND(Proyeccion_Localidades!AO50,0),IF($AB50="RT",ROUND(Proyeccion_Localidades!BL50,0),"*****"))))</f>
        <v>17424</v>
      </c>
      <c r="S50" s="66">
        <f>IF($AB50="TGD",ROUND($E50*(1+$AD50)^(S$4-$E$4),0),IF($AB50="ALTH",ROUND($AE50+$AF50*S$4,0),IF($AB50="IR",ROUND(Proyeccion_Localidades!AP50,0),IF($AB50="RT",ROUND(Proyeccion_Localidades!BM50,0),"*****"))))</f>
        <v>17593</v>
      </c>
      <c r="T50" s="66">
        <f>IF($AB50="TGD",ROUND($E50*(1+$AD50)^(T$4-$E$4),0),IF($AB50="ALTH",ROUND($AE50+$AF50*T$4,0),IF($AB50="IR",ROUND(Proyeccion_Localidades!AQ50,0),IF($AB50="RT",ROUND(Proyeccion_Localidades!BN50,0),"*****"))))</f>
        <v>17762</v>
      </c>
      <c r="U50" s="66">
        <f>IF($AB50="TGD",ROUND($E50*(1+$AD50)^(U$4-$E$4),0),IF($AB50="ALTH",ROUND($AE50+$AF50*U$4,0),IF($AB50="IR",ROUND(Proyeccion_Localidades!AR50,0),IF($AB50="RT",ROUND(Proyeccion_Localidades!BO50,0),"*****"))))</f>
        <v>17931</v>
      </c>
      <c r="V50" s="66">
        <f>IF($AB50="TGD",ROUND($E50*(1+$AD50)^(V$4-$E$4),0),IF($AB50="ALTH",ROUND($AE50+$AF50*V$4,0),IF($AB50="IR",ROUND(Proyeccion_Localidades!AS50,0),IF($AB50="RT",ROUND(Proyeccion_Localidades!BP50,0),"*****"))))</f>
        <v>18100</v>
      </c>
      <c r="W50" s="66">
        <f>IF($AB50="TGD",ROUND($E50*(1+$AD50)^(W$4-$E$4),0),IF($AB50="ALTH",ROUND($AE50+$AF50*W$4,0),IF($AB50="IR",ROUND(Proyeccion_Localidades!AT50,0),IF($AB50="RT",ROUND(Proyeccion_Localidades!BQ50,0),"*****"))))</f>
        <v>18269</v>
      </c>
      <c r="X50" s="66">
        <f>IF($AB50="TGD",ROUND($E50*(1+$AD50)^(X$4-$E$4),0),IF($AB50="ALTH",ROUND($AE50+$AF50*X$4,0),IF($AB50="IR",ROUND(Proyeccion_Localidades!AU50,0),IF($AB50="RT",ROUND(Proyeccion_Localidades!BR50,0),"*****"))))</f>
        <v>18437</v>
      </c>
      <c r="Y50" s="66">
        <f>IF($AB50="TGD",ROUND($E50*(1+$AD50)^(Y$4-$E$4),0),IF($AB50="ALTH",ROUND($AE50+$AF50*Y$4,0),IF($AB50="IR",ROUND(Proyeccion_Localidades!AV50,0),IF($AB50="RT",ROUND(Proyeccion_Localidades!BS50,0),"*****"))))</f>
        <v>18606</v>
      </c>
      <c r="Z50" s="66">
        <f>IF($AB50="TGD",ROUND($E50*(1+$AD50)^(Z$4-$E$4),0),IF($AB50="ALTH",ROUND($AE50+$AF50*Z$4,0),IF($AB50="IR",ROUND(Proyeccion_Localidades!AW50,0),IF($AB50="RT",ROUND(Proyeccion_Localidades!BT50,0),"*****"))))</f>
        <v>18775</v>
      </c>
      <c r="AA50" s="66">
        <f>IF($AB50="TGD",ROUND($E50*(1+$AD50)^(AA$4-$E$4),0),IF($AB50="ALTH",ROUND($AE50+$AF50*AA$4,0),IF($AB50="IR",ROUND(Proyeccion_Localidades!AX50,0),IF($AB50="RT",ROUND(Proyeccion_Localidades!BU50,0),"*****"))))</f>
        <v>18944</v>
      </c>
      <c r="AB50" s="67" t="str">
        <f>Proyeccion_Localidades!N50</f>
        <v>ALTH</v>
      </c>
      <c r="AC50" s="68" t="s">
        <v>36</v>
      </c>
      <c r="AD50" s="51" t="str">
        <f>IF(AB50="TGD",Proyeccion_Localidades!Z50,"-")</f>
        <v>-</v>
      </c>
      <c r="AE50" s="51">
        <f>IF($AB50="ALTH",Proyeccion_Localidades!AA50,"-")</f>
        <v>-326332.85977859772</v>
      </c>
      <c r="AF50" s="51">
        <f>IF($AB50="ALTH",Proyeccion_Localidades!AB50,"-")</f>
        <v>168.83948339483391</v>
      </c>
      <c r="AG50" s="51"/>
      <c r="AH50" s="51"/>
      <c r="AI50" s="66">
        <f t="shared" si="2"/>
        <v>15229</v>
      </c>
    </row>
    <row r="51" spans="1:35" ht="24.95" customHeight="1">
      <c r="A51" s="69" t="str">
        <f>+Proyeccion_Localidades!C51</f>
        <v>Castelli</v>
      </c>
      <c r="B51" s="70">
        <v>47</v>
      </c>
      <c r="C51" s="71" t="str">
        <f>+Proyeccion_Localidades!B51</f>
        <v>Castelli</v>
      </c>
      <c r="D51" s="261">
        <f t="shared" si="3"/>
        <v>47</v>
      </c>
      <c r="E51" s="72">
        <f>+Proyeccion_Localidades!F51</f>
        <v>6859</v>
      </c>
      <c r="F51" s="66">
        <f>IF($AB51="TGD",ROUND($E51*(1+$AD51)^(F$4-$E$4),0),IF($AB51="ALTH",ROUND($AE51+$AF51*F$4,0),IF($AB51="IR",ROUND(Proyeccion_Localidades!AC51,0),IF($AB51="RT",ROUND(Proyeccion_Localidades!AZ51,0),"*****"))))</f>
        <v>8615</v>
      </c>
      <c r="G51" s="66">
        <f>IF($AB51="TGD",ROUND($E51*(1+$AD51)^(G$4-$E$4),0),IF($AB51="ALTH",ROUND($AE51+$AF51*G$4,0),IF($AB51="IR",ROUND(Proyeccion_Localidades!AD51,0),IF($AB51="RT",ROUND(Proyeccion_Localidades!BA51,0),"*****"))))</f>
        <v>8784</v>
      </c>
      <c r="H51" s="66">
        <f>IF($AB51="TGD",ROUND($E51*(1+$AD51)^(H$4-$E$4),0),IF($AB51="ALTH",ROUND($AE51+$AF51*H$4,0),IF($AB51="IR",ROUND(Proyeccion_Localidades!AE51,0),IF($AB51="RT",ROUND(Proyeccion_Localidades!BB51,0),"*****"))))</f>
        <v>9289</v>
      </c>
      <c r="I51" s="66">
        <f>IF($AB51="TGD",ROUND($E51*(1+$AD51)^(I$4-$E$4),0),IF($AB51="ALTH",ROUND($AE51+$AF51*I$4,0),IF($AB51="IR",ROUND(Proyeccion_Localidades!AF51,0),IF($AB51="RT",ROUND(Proyeccion_Localidades!BC51,0),"*****"))))</f>
        <v>9457</v>
      </c>
      <c r="J51" s="66">
        <f>IF($AB51="TGD",ROUND($E51*(1+$AD51)^(J$4-$E$4),0),IF($AB51="ALTH",ROUND($AE51+$AF51*J$4,0),IF($AB51="IR",ROUND(Proyeccion_Localidades!AG51,0),IF($AB51="RT",ROUND(Proyeccion_Localidades!BD51,0),"*****"))))</f>
        <v>9626</v>
      </c>
      <c r="K51" s="66">
        <f>IF($AB51="TGD",ROUND($E51*(1+$AD51)^(K$4-$E$4),0),IF($AB51="ALTH",ROUND($AE51+$AF51*K$4,0),IF($AB51="IR",ROUND(Proyeccion_Localidades!AH51,0),IF($AB51="RT",ROUND(Proyeccion_Localidades!BE51,0),"*****"))))</f>
        <v>9794</v>
      </c>
      <c r="L51" s="66">
        <f>IF($AB51="TGD",ROUND($E51*(1+$AD51)^(L$4-$E$4),0),IF($AB51="ALTH",ROUND($AE51+$AF51*L$4,0),IF($AB51="IR",ROUND(Proyeccion_Localidades!AI51,0),IF($AB51="RT",ROUND(Proyeccion_Localidades!BF51,0),"*****"))))</f>
        <v>9962</v>
      </c>
      <c r="M51" s="66">
        <f>IF($AB51="TGD",ROUND($E51*(1+$AD51)^(M$4-$E$4),0),IF($AB51="ALTH",ROUND($AE51+$AF51*M$4,0),IF($AB51="IR",ROUND(Proyeccion_Localidades!AJ51,0),IF($AB51="RT",ROUND(Proyeccion_Localidades!BG51,0),"*****"))))</f>
        <v>10169</v>
      </c>
      <c r="N51" s="66">
        <f>IF($AB51="TGD",ROUND($E51*(1+$AD51)^(N$4-$E$4),0),IF($AB51="ALTH",ROUND($AE51+$AF51*N$4,0),IF($AB51="IR",ROUND(Proyeccion_Localidades!AK51,0),IF($AB51="RT",ROUND(Proyeccion_Localidades!BH51,0),"*****"))))</f>
        <v>10375</v>
      </c>
      <c r="O51" s="66">
        <f>IF($AB51="TGD",ROUND($E51*(1+$AD51)^(O$4-$E$4),0),IF($AB51="ALTH",ROUND($AE51+$AF51*O$4,0),IF($AB51="IR",ROUND(Proyeccion_Localidades!AL51,0),IF($AB51="RT",ROUND(Proyeccion_Localidades!BI51,0),"*****"))))</f>
        <v>10582</v>
      </c>
      <c r="P51" s="66">
        <f>IF($AB51="TGD",ROUND($E51*(1+$AD51)^(P$4-$E$4),0),IF($AB51="ALTH",ROUND($AE51+$AF51*P$4,0),IF($AB51="IR",ROUND(Proyeccion_Localidades!AM51,0),IF($AB51="RT",ROUND(Proyeccion_Localidades!BJ51,0),"*****"))))</f>
        <v>10788</v>
      </c>
      <c r="Q51" s="66">
        <f>IF($AB51="TGD",ROUND($E51*(1+$AD51)^(Q$4-$E$4),0),IF($AB51="ALTH",ROUND($AE51+$AF51*Q$4,0),IF($AB51="IR",ROUND(Proyeccion_Localidades!AN51,0),IF($AB51="RT",ROUND(Proyeccion_Localidades!BK51,0),"*****"))))</f>
        <v>10995</v>
      </c>
      <c r="R51" s="66">
        <f>IF($AB51="TGD",ROUND($E51*(1+$AD51)^(R$4-$E$4),0),IF($AB51="ALTH",ROUND($AE51+$AF51*R$4,0),IF($AB51="IR",ROUND(Proyeccion_Localidades!AO51,0),IF($AB51="RT",ROUND(Proyeccion_Localidades!BL51,0),"*****"))))</f>
        <v>11201</v>
      </c>
      <c r="S51" s="66">
        <f>IF($AB51="TGD",ROUND($E51*(1+$AD51)^(S$4-$E$4),0),IF($AB51="ALTH",ROUND($AE51+$AF51*S$4,0),IF($AB51="IR",ROUND(Proyeccion_Localidades!AP51,0),IF($AB51="RT",ROUND(Proyeccion_Localidades!BM51,0),"*****"))))</f>
        <v>11408</v>
      </c>
      <c r="T51" s="66">
        <f>IF($AB51="TGD",ROUND($E51*(1+$AD51)^(T$4-$E$4),0),IF($AB51="ALTH",ROUND($AE51+$AF51*T$4,0),IF($AB51="IR",ROUND(Proyeccion_Localidades!AQ51,0),IF($AB51="RT",ROUND(Proyeccion_Localidades!BN51,0),"*****"))))</f>
        <v>11614</v>
      </c>
      <c r="U51" s="66">
        <f>IF($AB51="TGD",ROUND($E51*(1+$AD51)^(U$4-$E$4),0),IF($AB51="ALTH",ROUND($AE51+$AF51*U$4,0),IF($AB51="IR",ROUND(Proyeccion_Localidades!AR51,0),IF($AB51="RT",ROUND(Proyeccion_Localidades!BO51,0),"*****"))))</f>
        <v>11820</v>
      </c>
      <c r="V51" s="66">
        <f>IF($AB51="TGD",ROUND($E51*(1+$AD51)^(V$4-$E$4),0),IF($AB51="ALTH",ROUND($AE51+$AF51*V$4,0),IF($AB51="IR",ROUND(Proyeccion_Localidades!AS51,0),IF($AB51="RT",ROUND(Proyeccion_Localidades!BP51,0),"*****"))))</f>
        <v>12027</v>
      </c>
      <c r="W51" s="66">
        <f>IF($AB51="TGD",ROUND($E51*(1+$AD51)^(W$4-$E$4),0),IF($AB51="ALTH",ROUND($AE51+$AF51*W$4,0),IF($AB51="IR",ROUND(Proyeccion_Localidades!AT51,0),IF($AB51="RT",ROUND(Proyeccion_Localidades!BQ51,0),"*****"))))</f>
        <v>12233</v>
      </c>
      <c r="X51" s="66">
        <f>IF($AB51="TGD",ROUND($E51*(1+$AD51)^(X$4-$E$4),0),IF($AB51="ALTH",ROUND($AE51+$AF51*X$4,0),IF($AB51="IR",ROUND(Proyeccion_Localidades!AU51,0),IF($AB51="RT",ROUND(Proyeccion_Localidades!BR51,0),"*****"))))</f>
        <v>12440</v>
      </c>
      <c r="Y51" s="66">
        <f>IF($AB51="TGD",ROUND($E51*(1+$AD51)^(Y$4-$E$4),0),IF($AB51="ALTH",ROUND($AE51+$AF51*Y$4,0),IF($AB51="IR",ROUND(Proyeccion_Localidades!AV51,0),IF($AB51="RT",ROUND(Proyeccion_Localidades!BS51,0),"*****"))))</f>
        <v>12646</v>
      </c>
      <c r="Z51" s="66">
        <f>IF($AB51="TGD",ROUND($E51*(1+$AD51)^(Z$4-$E$4),0),IF($AB51="ALTH",ROUND($AE51+$AF51*Z$4,0),IF($AB51="IR",ROUND(Proyeccion_Localidades!AW51,0),IF($AB51="RT",ROUND(Proyeccion_Localidades!BT51,0),"*****"))))</f>
        <v>12853</v>
      </c>
      <c r="AA51" s="66">
        <f>IF($AB51="TGD",ROUND($E51*(1+$AD51)^(AA$4-$E$4),0),IF($AB51="ALTH",ROUND($AE51+$AF51*AA$4,0),IF($AB51="IR",ROUND(Proyeccion_Localidades!AX51,0),IF($AB51="RT",ROUND(Proyeccion_Localidades!BU51,0),"*****"))))</f>
        <v>13059</v>
      </c>
      <c r="AB51" s="67" t="str">
        <f>Proyeccion_Localidades!N51</f>
        <v>RT</v>
      </c>
      <c r="AC51" s="73" t="s">
        <v>35</v>
      </c>
      <c r="AD51" s="51" t="str">
        <f>IF(AB51="TGD",Proyeccion_Localidades!Z51,"-")</f>
        <v>-</v>
      </c>
      <c r="AE51" s="51" t="str">
        <f>IF($AB51="ALTH",Proyeccion_Localidades!AA51,"-")</f>
        <v>-</v>
      </c>
      <c r="AF51" s="51" t="str">
        <f>IF($AB51="ALTH",Proyeccion_Localidades!AB51,"-")</f>
        <v>-</v>
      </c>
      <c r="AG51" s="51"/>
      <c r="AH51" s="51"/>
      <c r="AI51" s="66">
        <f t="shared" si="2"/>
        <v>8784</v>
      </c>
    </row>
    <row r="52" spans="1:35" ht="24.95" customHeight="1">
      <c r="A52" s="69" t="str">
        <f>+Proyeccion_Localidades!C52</f>
        <v>Chacabuco</v>
      </c>
      <c r="B52" s="70">
        <v>48</v>
      </c>
      <c r="C52" s="71" t="str">
        <f>+Proyeccion_Localidades!B52</f>
        <v>Chacabuco</v>
      </c>
      <c r="D52" s="261">
        <f t="shared" si="3"/>
        <v>48</v>
      </c>
      <c r="E52" s="72">
        <f>+Proyeccion_Localidades!F52</f>
        <v>38418</v>
      </c>
      <c r="F52" s="66">
        <f>IF($AB52="TGD",ROUND($E52*(1+$AD52)^(F$4-$E$4),0),IF($AB52="ALTH",ROUND($AE52+$AF52*F$4,0),IF($AB52="IR",ROUND(Proyeccion_Localidades!AC52,0),IF($AB52="RT",ROUND(Proyeccion_Localidades!AZ52,0),"*****"))))</f>
        <v>43499</v>
      </c>
      <c r="G52" s="66">
        <f>IF($AB52="TGD",ROUND($E52*(1+$AD52)^(G$4-$E$4),0),IF($AB52="ALTH",ROUND($AE52+$AF52*G$4,0),IF($AB52="IR",ROUND(Proyeccion_Localidades!AD52,0),IF($AB52="RT",ROUND(Proyeccion_Localidades!BA52,0),"*****"))))</f>
        <v>43914</v>
      </c>
      <c r="H52" s="66">
        <f>IF($AB52="TGD",ROUND($E52*(1+$AD52)^(H$4-$E$4),0),IF($AB52="ALTH",ROUND($AE52+$AF52*H$4,0),IF($AB52="IR",ROUND(Proyeccion_Localidades!AE52,0),IF($AB52="RT",ROUND(Proyeccion_Localidades!BB52,0),"*****"))))</f>
        <v>45160</v>
      </c>
      <c r="I52" s="66">
        <f>IF($AB52="TGD",ROUND($E52*(1+$AD52)^(I$4-$E$4),0),IF($AB52="ALTH",ROUND($AE52+$AF52*I$4,0),IF($AB52="IR",ROUND(Proyeccion_Localidades!AF52,0),IF($AB52="RT",ROUND(Proyeccion_Localidades!BC52,0),"*****"))))</f>
        <v>45576</v>
      </c>
      <c r="J52" s="66">
        <f>IF($AB52="TGD",ROUND($E52*(1+$AD52)^(J$4-$E$4),0),IF($AB52="ALTH",ROUND($AE52+$AF52*J$4,0),IF($AB52="IR",ROUND(Proyeccion_Localidades!AG52,0),IF($AB52="RT",ROUND(Proyeccion_Localidades!BD52,0),"*****"))))</f>
        <v>45991</v>
      </c>
      <c r="K52" s="66">
        <f>IF($AB52="TGD",ROUND($E52*(1+$AD52)^(K$4-$E$4),0),IF($AB52="ALTH",ROUND($AE52+$AF52*K$4,0),IF($AB52="IR",ROUND(Proyeccion_Localidades!AH52,0),IF($AB52="RT",ROUND(Proyeccion_Localidades!BE52,0),"*****"))))</f>
        <v>46407</v>
      </c>
      <c r="L52" s="66">
        <f>IF($AB52="TGD",ROUND($E52*(1+$AD52)^(L$4-$E$4),0),IF($AB52="ALTH",ROUND($AE52+$AF52*L$4,0),IF($AB52="IR",ROUND(Proyeccion_Localidades!AI52,0),IF($AB52="RT",ROUND(Proyeccion_Localidades!BF52,0),"*****"))))</f>
        <v>46822</v>
      </c>
      <c r="M52" s="66">
        <f>IF($AB52="TGD",ROUND($E52*(1+$AD52)^(M$4-$E$4),0),IF($AB52="ALTH",ROUND($AE52+$AF52*M$4,0),IF($AB52="IR",ROUND(Proyeccion_Localidades!AJ52,0),IF($AB52="RT",ROUND(Proyeccion_Localidades!BG52,0),"*****"))))</f>
        <v>47237</v>
      </c>
      <c r="N52" s="66">
        <f>IF($AB52="TGD",ROUND($E52*(1+$AD52)^(N$4-$E$4),0),IF($AB52="ALTH",ROUND($AE52+$AF52*N$4,0),IF($AB52="IR",ROUND(Proyeccion_Localidades!AK52,0),IF($AB52="RT",ROUND(Proyeccion_Localidades!BH52,0),"*****"))))</f>
        <v>47653</v>
      </c>
      <c r="O52" s="66">
        <f>IF($AB52="TGD",ROUND($E52*(1+$AD52)^(O$4-$E$4),0),IF($AB52="ALTH",ROUND($AE52+$AF52*O$4,0),IF($AB52="IR",ROUND(Proyeccion_Localidades!AL52,0),IF($AB52="RT",ROUND(Proyeccion_Localidades!BI52,0),"*****"))))</f>
        <v>48068</v>
      </c>
      <c r="P52" s="66">
        <f>IF($AB52="TGD",ROUND($E52*(1+$AD52)^(P$4-$E$4),0),IF($AB52="ALTH",ROUND($AE52+$AF52*P$4,0),IF($AB52="IR",ROUND(Proyeccion_Localidades!AM52,0),IF($AB52="RT",ROUND(Proyeccion_Localidades!BJ52,0),"*****"))))</f>
        <v>48484</v>
      </c>
      <c r="Q52" s="66">
        <f>IF($AB52="TGD",ROUND($E52*(1+$AD52)^(Q$4-$E$4),0),IF($AB52="ALTH",ROUND($AE52+$AF52*Q$4,0),IF($AB52="IR",ROUND(Proyeccion_Localidades!AN52,0),IF($AB52="RT",ROUND(Proyeccion_Localidades!BK52,0),"*****"))))</f>
        <v>48899</v>
      </c>
      <c r="R52" s="66">
        <f>IF($AB52="TGD",ROUND($E52*(1+$AD52)^(R$4-$E$4),0),IF($AB52="ALTH",ROUND($AE52+$AF52*R$4,0),IF($AB52="IR",ROUND(Proyeccion_Localidades!AO52,0),IF($AB52="RT",ROUND(Proyeccion_Localidades!BL52,0),"*****"))))</f>
        <v>49314</v>
      </c>
      <c r="S52" s="66">
        <f>IF($AB52="TGD",ROUND($E52*(1+$AD52)^(S$4-$E$4),0),IF($AB52="ALTH",ROUND($AE52+$AF52*S$4,0),IF($AB52="IR",ROUND(Proyeccion_Localidades!AP52,0),IF($AB52="RT",ROUND(Proyeccion_Localidades!BM52,0),"*****"))))</f>
        <v>49730</v>
      </c>
      <c r="T52" s="66">
        <f>IF($AB52="TGD",ROUND($E52*(1+$AD52)^(T$4-$E$4),0),IF($AB52="ALTH",ROUND($AE52+$AF52*T$4,0),IF($AB52="IR",ROUND(Proyeccion_Localidades!AQ52,0),IF($AB52="RT",ROUND(Proyeccion_Localidades!BN52,0),"*****"))))</f>
        <v>50145</v>
      </c>
      <c r="U52" s="66">
        <f>IF($AB52="TGD",ROUND($E52*(1+$AD52)^(U$4-$E$4),0),IF($AB52="ALTH",ROUND($AE52+$AF52*U$4,0),IF($AB52="IR",ROUND(Proyeccion_Localidades!AR52,0),IF($AB52="RT",ROUND(Proyeccion_Localidades!BO52,0),"*****"))))</f>
        <v>50561</v>
      </c>
      <c r="V52" s="66">
        <f>IF($AB52="TGD",ROUND($E52*(1+$AD52)^(V$4-$E$4),0),IF($AB52="ALTH",ROUND($AE52+$AF52*V$4,0),IF($AB52="IR",ROUND(Proyeccion_Localidades!AS52,0),IF($AB52="RT",ROUND(Proyeccion_Localidades!BP52,0),"*****"))))</f>
        <v>50976</v>
      </c>
      <c r="W52" s="66">
        <f>IF($AB52="TGD",ROUND($E52*(1+$AD52)^(W$4-$E$4),0),IF($AB52="ALTH",ROUND($AE52+$AF52*W$4,0),IF($AB52="IR",ROUND(Proyeccion_Localidades!AT52,0),IF($AB52="RT",ROUND(Proyeccion_Localidades!BQ52,0),"*****"))))</f>
        <v>51391</v>
      </c>
      <c r="X52" s="66">
        <f>IF($AB52="TGD",ROUND($E52*(1+$AD52)^(X$4-$E$4),0),IF($AB52="ALTH",ROUND($AE52+$AF52*X$4,0),IF($AB52="IR",ROUND(Proyeccion_Localidades!AU52,0),IF($AB52="RT",ROUND(Proyeccion_Localidades!BR52,0),"*****"))))</f>
        <v>51807</v>
      </c>
      <c r="Y52" s="66">
        <f>IF($AB52="TGD",ROUND($E52*(1+$AD52)^(Y$4-$E$4),0),IF($AB52="ALTH",ROUND($AE52+$AF52*Y$4,0),IF($AB52="IR",ROUND(Proyeccion_Localidades!AV52,0),IF($AB52="RT",ROUND(Proyeccion_Localidades!BS52,0),"*****"))))</f>
        <v>52222</v>
      </c>
      <c r="Z52" s="66">
        <f>IF($AB52="TGD",ROUND($E52*(1+$AD52)^(Z$4-$E$4),0),IF($AB52="ALTH",ROUND($AE52+$AF52*Z$4,0),IF($AB52="IR",ROUND(Proyeccion_Localidades!AW52,0),IF($AB52="RT",ROUND(Proyeccion_Localidades!BT52,0),"*****"))))</f>
        <v>52638</v>
      </c>
      <c r="AA52" s="66">
        <f>IF($AB52="TGD",ROUND($E52*(1+$AD52)^(AA$4-$E$4),0),IF($AB52="ALTH",ROUND($AE52+$AF52*AA$4,0),IF($AB52="IR",ROUND(Proyeccion_Localidades!AX52,0),IF($AB52="RT",ROUND(Proyeccion_Localidades!BU52,0),"*****"))))</f>
        <v>53053</v>
      </c>
      <c r="AB52" s="67" t="str">
        <f>Proyeccion_Localidades!N52</f>
        <v>ALTH</v>
      </c>
      <c r="AC52" s="73" t="s">
        <v>36</v>
      </c>
      <c r="AD52" s="51" t="str">
        <f>IF(AB52="TGD",Proyeccion_Localidades!Z52,"-")</f>
        <v>-</v>
      </c>
      <c r="AE52" s="51">
        <f>IF($AB52="ALTH",Proyeccion_Localidades!AA52,"-")</f>
        <v>-796440.67158671597</v>
      </c>
      <c r="AF52" s="51">
        <f>IF($AB52="ALTH",Proyeccion_Localidades!AB52,"-")</f>
        <v>415.40036900369006</v>
      </c>
      <c r="AG52" s="51"/>
      <c r="AH52" s="51"/>
      <c r="AI52" s="66">
        <f t="shared" si="2"/>
        <v>43914</v>
      </c>
    </row>
    <row r="53" spans="1:35" ht="24.95" customHeight="1">
      <c r="A53" s="69" t="str">
        <f>+Proyeccion_Localidades!C53</f>
        <v>Chascomús</v>
      </c>
      <c r="B53" s="70">
        <f>+B52+1</f>
        <v>49</v>
      </c>
      <c r="C53" s="71" t="str">
        <f>+Proyeccion_Localidades!B53</f>
        <v>Chascomús</v>
      </c>
      <c r="D53" s="261">
        <f t="shared" si="3"/>
        <v>49</v>
      </c>
      <c r="E53" s="72">
        <f>+Proyeccion_Localidades!F53</f>
        <v>33607</v>
      </c>
      <c r="F53" s="66">
        <f>IF($AB53="TGD",ROUND($E53*(1+$AD53)^(F$4-$E$4),0),IF($AB53="ALTH",ROUND($AE53+$AF53*F$4,0),IF($AB53="IR",ROUND(Proyeccion_Localidades!AC53,0),IF($AB53="RT",ROUND(Proyeccion_Localidades!AZ53,0),"*****"))))</f>
        <v>37965</v>
      </c>
      <c r="G53" s="66">
        <f>IF($AB53="TGD",ROUND($E53*(1+$AD53)^(G$4-$E$4),0),IF($AB53="ALTH",ROUND($AE53+$AF53*G$4,0),IF($AB53="IR",ROUND(Proyeccion_Localidades!AD53,0),IF($AB53="RT",ROUND(Proyeccion_Localidades!BA53,0),"*****"))))</f>
        <v>38353</v>
      </c>
      <c r="H53" s="66">
        <f>IF($AB53="TGD",ROUND($E53*(1+$AD53)^(H$4-$E$4),0),IF($AB53="ALTH",ROUND($AE53+$AF53*H$4,0),IF($AB53="IR",ROUND(Proyeccion_Localidades!AE53,0),IF($AB53="RT",ROUND(Proyeccion_Localidades!BB53,0),"*****"))))</f>
        <v>39540</v>
      </c>
      <c r="I53" s="66">
        <f>IF($AB53="TGD",ROUND($E53*(1+$AD53)^(I$4-$E$4),0),IF($AB53="ALTH",ROUND($AE53+$AF53*I$4,0),IF($AB53="IR",ROUND(Proyeccion_Localidades!AF53,0),IF($AB53="RT",ROUND(Proyeccion_Localidades!BC53,0),"*****"))))</f>
        <v>39944</v>
      </c>
      <c r="J53" s="66">
        <f>IF($AB53="TGD",ROUND($E53*(1+$AD53)^(J$4-$E$4),0),IF($AB53="ALTH",ROUND($AE53+$AF53*J$4,0),IF($AB53="IR",ROUND(Proyeccion_Localidades!AG53,0),IF($AB53="RT",ROUND(Proyeccion_Localidades!BD53,0),"*****"))))</f>
        <v>40352</v>
      </c>
      <c r="K53" s="66">
        <f>IF($AB53="TGD",ROUND($E53*(1+$AD53)^(K$4-$E$4),0),IF($AB53="ALTH",ROUND($AE53+$AF53*K$4,0),IF($AB53="IR",ROUND(Proyeccion_Localidades!AH53,0),IF($AB53="RT",ROUND(Proyeccion_Localidades!BE53,0),"*****"))))</f>
        <v>40764</v>
      </c>
      <c r="L53" s="66">
        <f>IF($AB53="TGD",ROUND($E53*(1+$AD53)^(L$4-$E$4),0),IF($AB53="ALTH",ROUND($AE53+$AF53*L$4,0),IF($AB53="IR",ROUND(Proyeccion_Localidades!AI53,0),IF($AB53="RT",ROUND(Proyeccion_Localidades!BF53,0),"*****"))))</f>
        <v>41180</v>
      </c>
      <c r="M53" s="66">
        <f>IF($AB53="TGD",ROUND($E53*(1+$AD53)^(M$4-$E$4),0),IF($AB53="ALTH",ROUND($AE53+$AF53*M$4,0),IF($AB53="IR",ROUND(Proyeccion_Localidades!AJ53,0),IF($AB53="RT",ROUND(Proyeccion_Localidades!BG53,0),"*****"))))</f>
        <v>41601</v>
      </c>
      <c r="N53" s="66">
        <f>IF($AB53="TGD",ROUND($E53*(1+$AD53)^(N$4-$E$4),0),IF($AB53="ALTH",ROUND($AE53+$AF53*N$4,0),IF($AB53="IR",ROUND(Proyeccion_Localidades!AK53,0),IF($AB53="RT",ROUND(Proyeccion_Localidades!BH53,0),"*****"))))</f>
        <v>42026</v>
      </c>
      <c r="O53" s="66">
        <f>IF($AB53="TGD",ROUND($E53*(1+$AD53)^(O$4-$E$4),0),IF($AB53="ALTH",ROUND($AE53+$AF53*O$4,0),IF($AB53="IR",ROUND(Proyeccion_Localidades!AL53,0),IF($AB53="RT",ROUND(Proyeccion_Localidades!BI53,0),"*****"))))</f>
        <v>42455</v>
      </c>
      <c r="P53" s="66">
        <f>IF($AB53="TGD",ROUND($E53*(1+$AD53)^(P$4-$E$4),0),IF($AB53="ALTH",ROUND($AE53+$AF53*P$4,0),IF($AB53="IR",ROUND(Proyeccion_Localidades!AM53,0),IF($AB53="RT",ROUND(Proyeccion_Localidades!BJ53,0),"*****"))))</f>
        <v>42888</v>
      </c>
      <c r="Q53" s="66">
        <f>IF($AB53="TGD",ROUND($E53*(1+$AD53)^(Q$4-$E$4),0),IF($AB53="ALTH",ROUND($AE53+$AF53*Q$4,0),IF($AB53="IR",ROUND(Proyeccion_Localidades!AN53,0),IF($AB53="RT",ROUND(Proyeccion_Localidades!BK53,0),"*****"))))</f>
        <v>43326</v>
      </c>
      <c r="R53" s="66">
        <f>IF($AB53="TGD",ROUND($E53*(1+$AD53)^(R$4-$E$4),0),IF($AB53="ALTH",ROUND($AE53+$AF53*R$4,0),IF($AB53="IR",ROUND(Proyeccion_Localidades!AO53,0),IF($AB53="RT",ROUND(Proyeccion_Localidades!BL53,0),"*****"))))</f>
        <v>43769</v>
      </c>
      <c r="S53" s="66">
        <f>IF($AB53="TGD",ROUND($E53*(1+$AD53)^(S$4-$E$4),0),IF($AB53="ALTH",ROUND($AE53+$AF53*S$4,0),IF($AB53="IR",ROUND(Proyeccion_Localidades!AP53,0),IF($AB53="RT",ROUND(Proyeccion_Localidades!BM53,0),"*****"))))</f>
        <v>44216</v>
      </c>
      <c r="T53" s="66">
        <f>IF($AB53="TGD",ROUND($E53*(1+$AD53)^(T$4-$E$4),0),IF($AB53="ALTH",ROUND($AE53+$AF53*T$4,0),IF($AB53="IR",ROUND(Proyeccion_Localidades!AQ53,0),IF($AB53="RT",ROUND(Proyeccion_Localidades!BN53,0),"*****"))))</f>
        <v>44667</v>
      </c>
      <c r="U53" s="66">
        <f>IF($AB53="TGD",ROUND($E53*(1+$AD53)^(U$4-$E$4),0),IF($AB53="ALTH",ROUND($AE53+$AF53*U$4,0),IF($AB53="IR",ROUND(Proyeccion_Localidades!AR53,0),IF($AB53="RT",ROUND(Proyeccion_Localidades!BO53,0),"*****"))))</f>
        <v>45124</v>
      </c>
      <c r="V53" s="66">
        <f>IF($AB53="TGD",ROUND($E53*(1+$AD53)^(V$4-$E$4),0),IF($AB53="ALTH",ROUND($AE53+$AF53*V$4,0),IF($AB53="IR",ROUND(Proyeccion_Localidades!AS53,0),IF($AB53="RT",ROUND(Proyeccion_Localidades!BP53,0),"*****"))))</f>
        <v>45584</v>
      </c>
      <c r="W53" s="66">
        <f>IF($AB53="TGD",ROUND($E53*(1+$AD53)^(W$4-$E$4),0),IF($AB53="ALTH",ROUND($AE53+$AF53*W$4,0),IF($AB53="IR",ROUND(Proyeccion_Localidades!AT53,0),IF($AB53="RT",ROUND(Proyeccion_Localidades!BQ53,0),"*****"))))</f>
        <v>46050</v>
      </c>
      <c r="X53" s="66">
        <f>IF($AB53="TGD",ROUND($E53*(1+$AD53)^(X$4-$E$4),0),IF($AB53="ALTH",ROUND($AE53+$AF53*X$4,0),IF($AB53="IR",ROUND(Proyeccion_Localidades!AU53,0),IF($AB53="RT",ROUND(Proyeccion_Localidades!BR53,0),"*****"))))</f>
        <v>46520</v>
      </c>
      <c r="Y53" s="66">
        <f>IF($AB53="TGD",ROUND($E53*(1+$AD53)^(Y$4-$E$4),0),IF($AB53="ALTH",ROUND($AE53+$AF53*Y$4,0),IF($AB53="IR",ROUND(Proyeccion_Localidades!AV53,0),IF($AB53="RT",ROUND(Proyeccion_Localidades!BS53,0),"*****"))))</f>
        <v>46995</v>
      </c>
      <c r="Z53" s="66">
        <f>IF($AB53="TGD",ROUND($E53*(1+$AD53)^(Z$4-$E$4),0),IF($AB53="ALTH",ROUND($AE53+$AF53*Z$4,0),IF($AB53="IR",ROUND(Proyeccion_Localidades!AW53,0),IF($AB53="RT",ROUND(Proyeccion_Localidades!BT53,0),"*****"))))</f>
        <v>47475</v>
      </c>
      <c r="AA53" s="66">
        <f>IF($AB53="TGD",ROUND($E53*(1+$AD53)^(AA$4-$E$4),0),IF($AB53="ALTH",ROUND($AE53+$AF53*AA$4,0),IF($AB53="IR",ROUND(Proyeccion_Localidades!AX53,0),IF($AB53="RT",ROUND(Proyeccion_Localidades!BU53,0),"*****"))))</f>
        <v>47960</v>
      </c>
      <c r="AB53" s="67" t="str">
        <f>Proyeccion_Localidades!N53</f>
        <v>TGD</v>
      </c>
      <c r="AC53" s="68" t="s">
        <v>35</v>
      </c>
      <c r="AD53" s="51">
        <f>IF(AB53="TGD",Proyeccion_Localidades!Z53,"-")</f>
        <v>1.0212843204522537E-2</v>
      </c>
      <c r="AE53" s="51" t="str">
        <f>IF($AB53="ALTH",Proyeccion_Localidades!AA53,"-")</f>
        <v>-</v>
      </c>
      <c r="AF53" s="51" t="str">
        <f>IF($AB53="ALTH",Proyeccion_Localidades!AB53,"-")</f>
        <v>-</v>
      </c>
      <c r="AG53" s="51"/>
      <c r="AH53" s="51"/>
      <c r="AI53" s="66">
        <f t="shared" si="2"/>
        <v>38353</v>
      </c>
    </row>
    <row r="54" spans="1:35" ht="24.95" customHeight="1">
      <c r="A54" s="69" t="str">
        <f>+Proyeccion_Localidades!C54</f>
        <v>Chivilcoy</v>
      </c>
      <c r="B54" s="70">
        <f t="shared" ref="B54:B110" si="4">+B53+1</f>
        <v>50</v>
      </c>
      <c r="C54" s="71" t="str">
        <f>+Proyeccion_Localidades!B54</f>
        <v>Chivilcoy</v>
      </c>
      <c r="D54" s="261">
        <f t="shared" si="3"/>
        <v>50</v>
      </c>
      <c r="E54" s="72">
        <f>+Proyeccion_Localidades!F54</f>
        <v>58152</v>
      </c>
      <c r="F54" s="66">
        <f>IF($AB54="TGD",ROUND($E54*(1+$AD54)^(F$4-$E$4),0),IF($AB54="ALTH",ROUND($AE54+$AF54*F$4,0),IF($AB54="IR",ROUND(Proyeccion_Localidades!AC54,0),IF($AB54="RT",ROUND(Proyeccion_Localidades!AZ54,0),"*****"))))</f>
        <v>64679</v>
      </c>
      <c r="G54" s="66">
        <f>IF($AB54="TGD",ROUND($E54*(1+$AD54)^(G$4-$E$4),0),IF($AB54="ALTH",ROUND($AE54+$AF54*G$4,0),IF($AB54="IR",ROUND(Proyeccion_Localidades!AD54,0),IF($AB54="RT",ROUND(Proyeccion_Localidades!BA54,0),"*****"))))</f>
        <v>65230</v>
      </c>
      <c r="H54" s="66">
        <f>IF($AB54="TGD",ROUND($E54*(1+$AD54)^(H$4-$E$4),0),IF($AB54="ALTH",ROUND($AE54+$AF54*H$4,0),IF($AB54="IR",ROUND(Proyeccion_Localidades!AE54,0),IF($AB54="RT",ROUND(Proyeccion_Localidades!BB54,0),"*****"))))</f>
        <v>66883</v>
      </c>
      <c r="I54" s="66">
        <f>IF($AB54="TGD",ROUND($E54*(1+$AD54)^(I$4-$E$4),0),IF($AB54="ALTH",ROUND($AE54+$AF54*I$4,0),IF($AB54="IR",ROUND(Proyeccion_Localidades!AF54,0),IF($AB54="RT",ROUND(Proyeccion_Localidades!BC54,0),"*****"))))</f>
        <v>67435</v>
      </c>
      <c r="J54" s="66">
        <f>IF($AB54="TGD",ROUND($E54*(1+$AD54)^(J$4-$E$4),0),IF($AB54="ALTH",ROUND($AE54+$AF54*J$4,0),IF($AB54="IR",ROUND(Proyeccion_Localidades!AG54,0),IF($AB54="RT",ROUND(Proyeccion_Localidades!BD54,0),"*****"))))</f>
        <v>67986</v>
      </c>
      <c r="K54" s="66">
        <f>IF($AB54="TGD",ROUND($E54*(1+$AD54)^(K$4-$E$4),0),IF($AB54="ALTH",ROUND($AE54+$AF54*K$4,0),IF($AB54="IR",ROUND(Proyeccion_Localidades!AH54,0),IF($AB54="RT",ROUND(Proyeccion_Localidades!BE54,0),"*****"))))</f>
        <v>68537</v>
      </c>
      <c r="L54" s="66">
        <f>IF($AB54="TGD",ROUND($E54*(1+$AD54)^(L$4-$E$4),0),IF($AB54="ALTH",ROUND($AE54+$AF54*L$4,0),IF($AB54="IR",ROUND(Proyeccion_Localidades!AI54,0),IF($AB54="RT",ROUND(Proyeccion_Localidades!BF54,0),"*****"))))</f>
        <v>69088</v>
      </c>
      <c r="M54" s="66">
        <f>IF($AB54="TGD",ROUND($E54*(1+$AD54)^(M$4-$E$4),0),IF($AB54="ALTH",ROUND($AE54+$AF54*M$4,0),IF($AB54="IR",ROUND(Proyeccion_Localidades!AJ54,0),IF($AB54="RT",ROUND(Proyeccion_Localidades!BG54,0),"*****"))))</f>
        <v>69639</v>
      </c>
      <c r="N54" s="66">
        <f>IF($AB54="TGD",ROUND($E54*(1+$AD54)^(N$4-$E$4),0),IF($AB54="ALTH",ROUND($AE54+$AF54*N$4,0),IF($AB54="IR",ROUND(Proyeccion_Localidades!AK54,0),IF($AB54="RT",ROUND(Proyeccion_Localidades!BH54,0),"*****"))))</f>
        <v>70190</v>
      </c>
      <c r="O54" s="66">
        <f>IF($AB54="TGD",ROUND($E54*(1+$AD54)^(O$4-$E$4),0),IF($AB54="ALTH",ROUND($AE54+$AF54*O$4,0),IF($AB54="IR",ROUND(Proyeccion_Localidades!AL54,0),IF($AB54="RT",ROUND(Proyeccion_Localidades!BI54,0),"*****"))))</f>
        <v>70742</v>
      </c>
      <c r="P54" s="66">
        <f>IF($AB54="TGD",ROUND($E54*(1+$AD54)^(P$4-$E$4),0),IF($AB54="ALTH",ROUND($AE54+$AF54*P$4,0),IF($AB54="IR",ROUND(Proyeccion_Localidades!AM54,0),IF($AB54="RT",ROUND(Proyeccion_Localidades!BJ54,0),"*****"))))</f>
        <v>71293</v>
      </c>
      <c r="Q54" s="66">
        <f>IF($AB54="TGD",ROUND($E54*(1+$AD54)^(Q$4-$E$4),0),IF($AB54="ALTH",ROUND($AE54+$AF54*Q$4,0),IF($AB54="IR",ROUND(Proyeccion_Localidades!AN54,0),IF($AB54="RT",ROUND(Proyeccion_Localidades!BK54,0),"*****"))))</f>
        <v>71844</v>
      </c>
      <c r="R54" s="66">
        <f>IF($AB54="TGD",ROUND($E54*(1+$AD54)^(R$4-$E$4),0),IF($AB54="ALTH",ROUND($AE54+$AF54*R$4,0),IF($AB54="IR",ROUND(Proyeccion_Localidades!AO54,0),IF($AB54="RT",ROUND(Proyeccion_Localidades!BL54,0),"*****"))))</f>
        <v>72395</v>
      </c>
      <c r="S54" s="66">
        <f>IF($AB54="TGD",ROUND($E54*(1+$AD54)^(S$4-$E$4),0),IF($AB54="ALTH",ROUND($AE54+$AF54*S$4,0),IF($AB54="IR",ROUND(Proyeccion_Localidades!AP54,0),IF($AB54="RT",ROUND(Proyeccion_Localidades!BM54,0),"*****"))))</f>
        <v>72946</v>
      </c>
      <c r="T54" s="66">
        <f>IF($AB54="TGD",ROUND($E54*(1+$AD54)^(T$4-$E$4),0),IF($AB54="ALTH",ROUND($AE54+$AF54*T$4,0),IF($AB54="IR",ROUND(Proyeccion_Localidades!AQ54,0),IF($AB54="RT",ROUND(Proyeccion_Localidades!BN54,0),"*****"))))</f>
        <v>73497</v>
      </c>
      <c r="U54" s="66">
        <f>IF($AB54="TGD",ROUND($E54*(1+$AD54)^(U$4-$E$4),0),IF($AB54="ALTH",ROUND($AE54+$AF54*U$4,0),IF($AB54="IR",ROUND(Proyeccion_Localidades!AR54,0),IF($AB54="RT",ROUND(Proyeccion_Localidades!BO54,0),"*****"))))</f>
        <v>74049</v>
      </c>
      <c r="V54" s="66">
        <f>IF($AB54="TGD",ROUND($E54*(1+$AD54)^(V$4-$E$4),0),IF($AB54="ALTH",ROUND($AE54+$AF54*V$4,0),IF($AB54="IR",ROUND(Proyeccion_Localidades!AS54,0),IF($AB54="RT",ROUND(Proyeccion_Localidades!BP54,0),"*****"))))</f>
        <v>74600</v>
      </c>
      <c r="W54" s="66">
        <f>IF($AB54="TGD",ROUND($E54*(1+$AD54)^(W$4-$E$4),0),IF($AB54="ALTH",ROUND($AE54+$AF54*W$4,0),IF($AB54="IR",ROUND(Proyeccion_Localidades!AT54,0),IF($AB54="RT",ROUND(Proyeccion_Localidades!BQ54,0),"*****"))))</f>
        <v>75151</v>
      </c>
      <c r="X54" s="66">
        <f>IF($AB54="TGD",ROUND($E54*(1+$AD54)^(X$4-$E$4),0),IF($AB54="ALTH",ROUND($AE54+$AF54*X$4,0),IF($AB54="IR",ROUND(Proyeccion_Localidades!AU54,0),IF($AB54="RT",ROUND(Proyeccion_Localidades!BR54,0),"*****"))))</f>
        <v>75702</v>
      </c>
      <c r="Y54" s="66">
        <f>IF($AB54="TGD",ROUND($E54*(1+$AD54)^(Y$4-$E$4),0),IF($AB54="ALTH",ROUND($AE54+$AF54*Y$4,0),IF($AB54="IR",ROUND(Proyeccion_Localidades!AV54,0),IF($AB54="RT",ROUND(Proyeccion_Localidades!BS54,0),"*****"))))</f>
        <v>76253</v>
      </c>
      <c r="Z54" s="66">
        <f>IF($AB54="TGD",ROUND($E54*(1+$AD54)^(Z$4-$E$4),0),IF($AB54="ALTH",ROUND($AE54+$AF54*Z$4,0),IF($AB54="IR",ROUND(Proyeccion_Localidades!AW54,0),IF($AB54="RT",ROUND(Proyeccion_Localidades!BT54,0),"*****"))))</f>
        <v>76804</v>
      </c>
      <c r="AA54" s="66">
        <f>IF($AB54="TGD",ROUND($E54*(1+$AD54)^(AA$4-$E$4),0),IF($AB54="ALTH",ROUND($AE54+$AF54*AA$4,0),IF($AB54="IR",ROUND(Proyeccion_Localidades!AX54,0),IF($AB54="RT",ROUND(Proyeccion_Localidades!BU54,0),"*****"))))</f>
        <v>77356</v>
      </c>
      <c r="AB54" s="67" t="str">
        <f>Proyeccion_Localidades!N54</f>
        <v>ALTH</v>
      </c>
      <c r="AC54" s="68" t="s">
        <v>36</v>
      </c>
      <c r="AD54" s="51" t="str">
        <f>IF(AB54="TGD",Proyeccion_Localidades!Z54,"-")</f>
        <v>-</v>
      </c>
      <c r="AE54" s="51">
        <f>IF($AB54="ALTH",Proyeccion_Localidades!AA54,"-")</f>
        <v>-1049790.2878228785</v>
      </c>
      <c r="AF54" s="51">
        <f>IF($AB54="ALTH",Proyeccion_Localidades!AB54,"-")</f>
        <v>551.17158671586719</v>
      </c>
      <c r="AG54" s="51"/>
      <c r="AH54" s="51"/>
      <c r="AI54" s="66">
        <f t="shared" si="2"/>
        <v>65230</v>
      </c>
    </row>
    <row r="55" spans="1:35" ht="24.95" customHeight="1">
      <c r="A55" s="69" t="str">
        <f>+Proyeccion_Localidades!C55</f>
        <v>Colón</v>
      </c>
      <c r="B55" s="70">
        <f t="shared" si="4"/>
        <v>51</v>
      </c>
      <c r="C55" s="71" t="str">
        <f>+Proyeccion_Localidades!B55</f>
        <v>Colón</v>
      </c>
      <c r="D55" s="261">
        <f t="shared" si="3"/>
        <v>51</v>
      </c>
      <c r="E55" s="72">
        <f>+Proyeccion_Localidades!F55</f>
        <v>23206</v>
      </c>
      <c r="F55" s="66">
        <f>IF($AB55="TGD",ROUND($E55*(1+$AD55)^(F$4-$E$4),0),IF($AB55="ALTH",ROUND($AE55+$AF55*F$4,0),IF($AB55="IR",ROUND(Proyeccion_Localidades!AC55,0),IF($AB55="RT",ROUND(Proyeccion_Localidades!AZ55,0),"*****"))))</f>
        <v>25860</v>
      </c>
      <c r="G55" s="66">
        <f>IF($AB55="TGD",ROUND($E55*(1+$AD55)^(G$4-$E$4),0),IF($AB55="ALTH",ROUND($AE55+$AF55*G$4,0),IF($AB55="IR",ROUND(Proyeccion_Localidades!AD55,0),IF($AB55="RT",ROUND(Proyeccion_Localidades!BA55,0),"*****"))))</f>
        <v>26094</v>
      </c>
      <c r="H55" s="66">
        <f>IF($AB55="TGD",ROUND($E55*(1+$AD55)^(H$4-$E$4),0),IF($AB55="ALTH",ROUND($AE55+$AF55*H$4,0),IF($AB55="IR",ROUND(Proyeccion_Localidades!AE55,0),IF($AB55="RT",ROUND(Proyeccion_Localidades!BB55,0),"*****"))))</f>
        <v>26810</v>
      </c>
      <c r="I55" s="66">
        <f>IF($AB55="TGD",ROUND($E55*(1+$AD55)^(I$4-$E$4),0),IF($AB55="ALTH",ROUND($AE55+$AF55*I$4,0),IF($AB55="IR",ROUND(Proyeccion_Localidades!AF55,0),IF($AB55="RT",ROUND(Proyeccion_Localidades!BC55,0),"*****"))))</f>
        <v>27053</v>
      </c>
      <c r="J55" s="66">
        <f>IF($AB55="TGD",ROUND($E55*(1+$AD55)^(J$4-$E$4),0),IF($AB55="ALTH",ROUND($AE55+$AF55*J$4,0),IF($AB55="IR",ROUND(Proyeccion_Localidades!AG55,0),IF($AB55="RT",ROUND(Proyeccion_Localidades!BD55,0),"*****"))))</f>
        <v>27298</v>
      </c>
      <c r="K55" s="66">
        <f>IF($AB55="TGD",ROUND($E55*(1+$AD55)^(K$4-$E$4),0),IF($AB55="ALTH",ROUND($AE55+$AF55*K$4,0),IF($AB55="IR",ROUND(Proyeccion_Localidades!AH55,0),IF($AB55="RT",ROUND(Proyeccion_Localidades!BE55,0),"*****"))))</f>
        <v>27546</v>
      </c>
      <c r="L55" s="66">
        <f>IF($AB55="TGD",ROUND($E55*(1+$AD55)^(L$4-$E$4),0),IF($AB55="ALTH",ROUND($AE55+$AF55*L$4,0),IF($AB55="IR",ROUND(Proyeccion_Localidades!AI55,0),IF($AB55="RT",ROUND(Proyeccion_Localidades!BF55,0),"*****"))))</f>
        <v>27795</v>
      </c>
      <c r="M55" s="66">
        <f>IF($AB55="TGD",ROUND($E55*(1+$AD55)^(M$4-$E$4),0),IF($AB55="ALTH",ROUND($AE55+$AF55*M$4,0),IF($AB55="IR",ROUND(Proyeccion_Localidades!AJ55,0),IF($AB55="RT",ROUND(Proyeccion_Localidades!BG55,0),"*****"))))</f>
        <v>28047</v>
      </c>
      <c r="N55" s="66">
        <f>IF($AB55="TGD",ROUND($E55*(1+$AD55)^(N$4-$E$4),0),IF($AB55="ALTH",ROUND($AE55+$AF55*N$4,0),IF($AB55="IR",ROUND(Proyeccion_Localidades!AK55,0),IF($AB55="RT",ROUND(Proyeccion_Localidades!BH55,0),"*****"))))</f>
        <v>28302</v>
      </c>
      <c r="O55" s="66">
        <f>IF($AB55="TGD",ROUND($E55*(1+$AD55)^(O$4-$E$4),0),IF($AB55="ALTH",ROUND($AE55+$AF55*O$4,0),IF($AB55="IR",ROUND(Proyeccion_Localidades!AL55,0),IF($AB55="RT",ROUND(Proyeccion_Localidades!BI55,0),"*****"))))</f>
        <v>28558</v>
      </c>
      <c r="P55" s="66">
        <f>IF($AB55="TGD",ROUND($E55*(1+$AD55)^(P$4-$E$4),0),IF($AB55="ALTH",ROUND($AE55+$AF55*P$4,0),IF($AB55="IR",ROUND(Proyeccion_Localidades!AM55,0),IF($AB55="RT",ROUND(Proyeccion_Localidades!BJ55,0),"*****"))))</f>
        <v>28817</v>
      </c>
      <c r="Q55" s="66">
        <f>IF($AB55="TGD",ROUND($E55*(1+$AD55)^(Q$4-$E$4),0),IF($AB55="ALTH",ROUND($AE55+$AF55*Q$4,0),IF($AB55="IR",ROUND(Proyeccion_Localidades!AN55,0),IF($AB55="RT",ROUND(Proyeccion_Localidades!BK55,0),"*****"))))</f>
        <v>29078</v>
      </c>
      <c r="R55" s="66">
        <f>IF($AB55="TGD",ROUND($E55*(1+$AD55)^(R$4-$E$4),0),IF($AB55="ALTH",ROUND($AE55+$AF55*R$4,0),IF($AB55="IR",ROUND(Proyeccion_Localidades!AO55,0),IF($AB55="RT",ROUND(Proyeccion_Localidades!BL55,0),"*****"))))</f>
        <v>29342</v>
      </c>
      <c r="S55" s="66">
        <f>IF($AB55="TGD",ROUND($E55*(1+$AD55)^(S$4-$E$4),0),IF($AB55="ALTH",ROUND($AE55+$AF55*S$4,0),IF($AB55="IR",ROUND(Proyeccion_Localidades!AP55,0),IF($AB55="RT",ROUND(Proyeccion_Localidades!BM55,0),"*****"))))</f>
        <v>29608</v>
      </c>
      <c r="T55" s="66">
        <f>IF($AB55="TGD",ROUND($E55*(1+$AD55)^(T$4-$E$4),0),IF($AB55="ALTH",ROUND($AE55+$AF55*T$4,0),IF($AB55="IR",ROUND(Proyeccion_Localidades!AQ55,0),IF($AB55="RT",ROUND(Proyeccion_Localidades!BN55,0),"*****"))))</f>
        <v>29876</v>
      </c>
      <c r="U55" s="66">
        <f>IF($AB55="TGD",ROUND($E55*(1+$AD55)^(U$4-$E$4),0),IF($AB55="ALTH",ROUND($AE55+$AF55*U$4,0),IF($AB55="IR",ROUND(Proyeccion_Localidades!AR55,0),IF($AB55="RT",ROUND(Proyeccion_Localidades!BO55,0),"*****"))))</f>
        <v>30147</v>
      </c>
      <c r="V55" s="66">
        <f>IF($AB55="TGD",ROUND($E55*(1+$AD55)^(V$4-$E$4),0),IF($AB55="ALTH",ROUND($AE55+$AF55*V$4,0),IF($AB55="IR",ROUND(Proyeccion_Localidades!AS55,0),IF($AB55="RT",ROUND(Proyeccion_Localidades!BP55,0),"*****"))))</f>
        <v>30420</v>
      </c>
      <c r="W55" s="66">
        <f>IF($AB55="TGD",ROUND($E55*(1+$AD55)^(W$4-$E$4),0),IF($AB55="ALTH",ROUND($AE55+$AF55*W$4,0),IF($AB55="IR",ROUND(Proyeccion_Localidades!AT55,0),IF($AB55="RT",ROUND(Proyeccion_Localidades!BQ55,0),"*****"))))</f>
        <v>30696</v>
      </c>
      <c r="X55" s="66">
        <f>IF($AB55="TGD",ROUND($E55*(1+$AD55)^(X$4-$E$4),0),IF($AB55="ALTH",ROUND($AE55+$AF55*X$4,0),IF($AB55="IR",ROUND(Proyeccion_Localidades!AU55,0),IF($AB55="RT",ROUND(Proyeccion_Localidades!BR55,0),"*****"))))</f>
        <v>30974</v>
      </c>
      <c r="Y55" s="66">
        <f>IF($AB55="TGD",ROUND($E55*(1+$AD55)^(Y$4-$E$4),0),IF($AB55="ALTH",ROUND($AE55+$AF55*Y$4,0),IF($AB55="IR",ROUND(Proyeccion_Localidades!AV55,0),IF($AB55="RT",ROUND(Proyeccion_Localidades!BS55,0),"*****"))))</f>
        <v>31255</v>
      </c>
      <c r="Z55" s="66">
        <f>IF($AB55="TGD",ROUND($E55*(1+$AD55)^(Z$4-$E$4),0),IF($AB55="ALTH",ROUND($AE55+$AF55*Z$4,0),IF($AB55="IR",ROUND(Proyeccion_Localidades!AW55,0),IF($AB55="RT",ROUND(Proyeccion_Localidades!BT55,0),"*****"))))</f>
        <v>31538</v>
      </c>
      <c r="AA55" s="66">
        <f>IF($AB55="TGD",ROUND($E55*(1+$AD55)^(AA$4-$E$4),0),IF($AB55="ALTH",ROUND($AE55+$AF55*AA$4,0),IF($AB55="IR",ROUND(Proyeccion_Localidades!AX55,0),IF($AB55="RT",ROUND(Proyeccion_Localidades!BU55,0),"*****"))))</f>
        <v>31824</v>
      </c>
      <c r="AB55" s="67" t="str">
        <f>Proyeccion_Localidades!N55</f>
        <v>TGD</v>
      </c>
      <c r="AC55" s="68" t="s">
        <v>35</v>
      </c>
      <c r="AD55" s="51">
        <f>IF(AB55="TGD",Proyeccion_Localidades!Z55,"-")</f>
        <v>9.063816213264575E-3</v>
      </c>
      <c r="AE55" s="51" t="str">
        <f>IF($AB55="ALTH",Proyeccion_Localidades!AA55,"-")</f>
        <v>-</v>
      </c>
      <c r="AF55" s="51" t="str">
        <f>IF($AB55="ALTH",Proyeccion_Localidades!AB55,"-")</f>
        <v>-</v>
      </c>
      <c r="AG55" s="51"/>
      <c r="AH55" s="51"/>
      <c r="AI55" s="66">
        <f t="shared" si="2"/>
        <v>26094</v>
      </c>
    </row>
    <row r="56" spans="1:35" ht="24.95" customHeight="1">
      <c r="A56" s="69" t="str">
        <f>+Proyeccion_Localidades!C56</f>
        <v>Coronel de Marina L. Rosales</v>
      </c>
      <c r="B56" s="70">
        <f t="shared" si="4"/>
        <v>52</v>
      </c>
      <c r="C56" s="71" t="str">
        <f>+Proyeccion_Localidades!B56</f>
        <v>Punta Alta</v>
      </c>
      <c r="D56" s="261">
        <f t="shared" si="3"/>
        <v>52</v>
      </c>
      <c r="E56" s="72">
        <f>+Proyeccion_Localidades!F56</f>
        <v>58315</v>
      </c>
      <c r="F56" s="66">
        <f>IF($AB56="TGD",ROUND($E56*(1+$AD56)^(F$4-$E$4),0),IF($AB56="ALTH",ROUND($AE56+$AF56*F$4,0),IF($AB56="IR",ROUND(Proyeccion_Localidades!AC56,0),IF($AB56="RT",ROUND(Proyeccion_Localidades!AZ56,0),"*****"))))</f>
        <v>60586</v>
      </c>
      <c r="G56" s="66">
        <f>IF($AB56="TGD",ROUND($E56*(1+$AD56)^(G$4-$E$4),0),IF($AB56="ALTH",ROUND($AE56+$AF56*G$4,0),IF($AB56="IR",ROUND(Proyeccion_Localidades!AD56,0),IF($AB56="RT",ROUND(Proyeccion_Localidades!BA56,0),"*****"))))</f>
        <v>60796</v>
      </c>
      <c r="H56" s="66">
        <f>IF($AB56="TGD",ROUND($E56*(1+$AD56)^(H$4-$E$4),0),IF($AB56="ALTH",ROUND($AE56+$AF56*H$4,0),IF($AB56="IR",ROUND(Proyeccion_Localidades!AE56,0),IF($AB56="RT",ROUND(Proyeccion_Localidades!BB56,0),"*****"))))</f>
        <v>61447</v>
      </c>
      <c r="I56" s="66">
        <f>IF($AB56="TGD",ROUND($E56*(1+$AD56)^(I$4-$E$4),0),IF($AB56="ALTH",ROUND($AE56+$AF56*I$4,0),IF($AB56="IR",ROUND(Proyeccion_Localidades!AF56,0),IF($AB56="RT",ROUND(Proyeccion_Localidades!BC56,0),"*****"))))</f>
        <v>61671</v>
      </c>
      <c r="J56" s="66">
        <f>IF($AB56="TGD",ROUND($E56*(1+$AD56)^(J$4-$E$4),0),IF($AB56="ALTH",ROUND($AE56+$AF56*J$4,0),IF($AB56="IR",ROUND(Proyeccion_Localidades!AG56,0),IF($AB56="RT",ROUND(Proyeccion_Localidades!BD56,0),"*****"))))</f>
        <v>61899</v>
      </c>
      <c r="K56" s="66">
        <f>IF($AB56="TGD",ROUND($E56*(1+$AD56)^(K$4-$E$4),0),IF($AB56="ALTH",ROUND($AE56+$AF56*K$4,0),IF($AB56="IR",ROUND(Proyeccion_Localidades!AH56,0),IF($AB56="RT",ROUND(Proyeccion_Localidades!BE56,0),"*****"))))</f>
        <v>62130</v>
      </c>
      <c r="L56" s="66">
        <f>IF($AB56="TGD",ROUND($E56*(1+$AD56)^(L$4-$E$4),0),IF($AB56="ALTH",ROUND($AE56+$AF56*L$4,0),IF($AB56="IR",ROUND(Proyeccion_Localidades!AI56,0),IF($AB56="RT",ROUND(Proyeccion_Localidades!BF56,0),"*****"))))</f>
        <v>62365</v>
      </c>
      <c r="M56" s="66">
        <f>IF($AB56="TGD",ROUND($E56*(1+$AD56)^(M$4-$E$4),0),IF($AB56="ALTH",ROUND($AE56+$AF56*M$4,0),IF($AB56="IR",ROUND(Proyeccion_Localidades!AJ56,0),IF($AB56="RT",ROUND(Proyeccion_Localidades!BG56,0),"*****"))))</f>
        <v>62604</v>
      </c>
      <c r="N56" s="66">
        <f>IF($AB56="TGD",ROUND($E56*(1+$AD56)^(N$4-$E$4),0),IF($AB56="ALTH",ROUND($AE56+$AF56*N$4,0),IF($AB56="IR",ROUND(Proyeccion_Localidades!AK56,0),IF($AB56="RT",ROUND(Proyeccion_Localidades!BH56,0),"*****"))))</f>
        <v>62847</v>
      </c>
      <c r="O56" s="66">
        <f>IF($AB56="TGD",ROUND($E56*(1+$AD56)^(O$4-$E$4),0),IF($AB56="ALTH",ROUND($AE56+$AF56*O$4,0),IF($AB56="IR",ROUND(Proyeccion_Localidades!AL56,0),IF($AB56="RT",ROUND(Proyeccion_Localidades!BI56,0),"*****"))))</f>
        <v>63094</v>
      </c>
      <c r="P56" s="66">
        <f>IF($AB56="TGD",ROUND($E56*(1+$AD56)^(P$4-$E$4),0),IF($AB56="ALTH",ROUND($AE56+$AF56*P$4,0),IF($AB56="IR",ROUND(Proyeccion_Localidades!AM56,0),IF($AB56="RT",ROUND(Proyeccion_Localidades!BJ56,0),"*****"))))</f>
        <v>63345</v>
      </c>
      <c r="Q56" s="66">
        <f>IF($AB56="TGD",ROUND($E56*(1+$AD56)^(Q$4-$E$4),0),IF($AB56="ALTH",ROUND($AE56+$AF56*Q$4,0),IF($AB56="IR",ROUND(Proyeccion_Localidades!AN56,0),IF($AB56="RT",ROUND(Proyeccion_Localidades!BK56,0),"*****"))))</f>
        <v>63599</v>
      </c>
      <c r="R56" s="66">
        <f>IF($AB56="TGD",ROUND($E56*(1+$AD56)^(R$4-$E$4),0),IF($AB56="ALTH",ROUND($AE56+$AF56*R$4,0),IF($AB56="IR",ROUND(Proyeccion_Localidades!AO56,0),IF($AB56="RT",ROUND(Proyeccion_Localidades!BL56,0),"*****"))))</f>
        <v>63859</v>
      </c>
      <c r="S56" s="66">
        <f>IF($AB56="TGD",ROUND($E56*(1+$AD56)^(S$4-$E$4),0),IF($AB56="ALTH",ROUND($AE56+$AF56*S$4,0),IF($AB56="IR",ROUND(Proyeccion_Localidades!AP56,0),IF($AB56="RT",ROUND(Proyeccion_Localidades!BM56,0),"*****"))))</f>
        <v>64122</v>
      </c>
      <c r="T56" s="66">
        <f>IF($AB56="TGD",ROUND($E56*(1+$AD56)^(T$4-$E$4),0),IF($AB56="ALTH",ROUND($AE56+$AF56*T$4,0),IF($AB56="IR",ROUND(Proyeccion_Localidades!AQ56,0),IF($AB56="RT",ROUND(Proyeccion_Localidades!BN56,0),"*****"))))</f>
        <v>64390</v>
      </c>
      <c r="U56" s="66">
        <f>IF($AB56="TGD",ROUND($E56*(1+$AD56)^(U$4-$E$4),0),IF($AB56="ALTH",ROUND($AE56+$AF56*U$4,0),IF($AB56="IR",ROUND(Proyeccion_Localidades!AR56,0),IF($AB56="RT",ROUND(Proyeccion_Localidades!BO56,0),"*****"))))</f>
        <v>64662</v>
      </c>
      <c r="V56" s="66">
        <f>IF($AB56="TGD",ROUND($E56*(1+$AD56)^(V$4-$E$4),0),IF($AB56="ALTH",ROUND($AE56+$AF56*V$4,0),IF($AB56="IR",ROUND(Proyeccion_Localidades!AS56,0),IF($AB56="RT",ROUND(Proyeccion_Localidades!BP56,0),"*****"))))</f>
        <v>64938</v>
      </c>
      <c r="W56" s="66">
        <f>IF($AB56="TGD",ROUND($E56*(1+$AD56)^(W$4-$E$4),0),IF($AB56="ALTH",ROUND($AE56+$AF56*W$4,0),IF($AB56="IR",ROUND(Proyeccion_Localidades!AT56,0),IF($AB56="RT",ROUND(Proyeccion_Localidades!BQ56,0),"*****"))))</f>
        <v>65219</v>
      </c>
      <c r="X56" s="66">
        <f>IF($AB56="TGD",ROUND($E56*(1+$AD56)^(X$4-$E$4),0),IF($AB56="ALTH",ROUND($AE56+$AF56*X$4,0),IF($AB56="IR",ROUND(Proyeccion_Localidades!AU56,0),IF($AB56="RT",ROUND(Proyeccion_Localidades!BR56,0),"*****"))))</f>
        <v>65504</v>
      </c>
      <c r="Y56" s="66">
        <f>IF($AB56="TGD",ROUND($E56*(1+$AD56)^(Y$4-$E$4),0),IF($AB56="ALTH",ROUND($AE56+$AF56*Y$4,0),IF($AB56="IR",ROUND(Proyeccion_Localidades!AV56,0),IF($AB56="RT",ROUND(Proyeccion_Localidades!BS56,0),"*****"))))</f>
        <v>65795</v>
      </c>
      <c r="Z56" s="66">
        <f>IF($AB56="TGD",ROUND($E56*(1+$AD56)^(Z$4-$E$4),0),IF($AB56="ALTH",ROUND($AE56+$AF56*Z$4,0),IF($AB56="IR",ROUND(Proyeccion_Localidades!AW56,0),IF($AB56="RT",ROUND(Proyeccion_Localidades!BT56,0),"*****"))))</f>
        <v>66089</v>
      </c>
      <c r="AA56" s="66">
        <f>IF($AB56="TGD",ROUND($E56*(1+$AD56)^(AA$4-$E$4),0),IF($AB56="ALTH",ROUND($AE56+$AF56*AA$4,0),IF($AB56="IR",ROUND(Proyeccion_Localidades!AX56,0),IF($AB56="RT",ROUND(Proyeccion_Localidades!BU56,0),"*****"))))</f>
        <v>66389</v>
      </c>
      <c r="AB56" s="67" t="str">
        <f>Proyeccion_Localidades!N56</f>
        <v>IR</v>
      </c>
      <c r="AC56" s="73"/>
      <c r="AD56" s="51" t="str">
        <f>IF(AB56="TGD",Proyeccion_Localidades!Z56,"-")</f>
        <v>-</v>
      </c>
      <c r="AE56" s="51" t="str">
        <f>IF($AB56="ALTH",Proyeccion_Localidades!AA56,"-")</f>
        <v>-</v>
      </c>
      <c r="AF56" s="51" t="str">
        <f>IF($AB56="ALTH",Proyeccion_Localidades!AB56,"-")</f>
        <v>-</v>
      </c>
      <c r="AG56" s="51"/>
      <c r="AH56" s="51"/>
      <c r="AI56" s="66">
        <f t="shared" si="2"/>
        <v>60796</v>
      </c>
    </row>
    <row r="57" spans="1:35" ht="24.95" customHeight="1">
      <c r="A57" s="69" t="str">
        <f>+Proyeccion_Localidades!C57</f>
        <v>Coronel Dorrego</v>
      </c>
      <c r="B57" s="70">
        <f t="shared" si="4"/>
        <v>53</v>
      </c>
      <c r="C57" s="71" t="str">
        <f>+Proyeccion_Localidades!B57</f>
        <v>Coronel Dorrego</v>
      </c>
      <c r="D57" s="261">
        <f t="shared" si="3"/>
        <v>53</v>
      </c>
      <c r="E57" s="72">
        <f>+Proyeccion_Localidades!F57</f>
        <v>11510</v>
      </c>
      <c r="F57" s="66">
        <f>IF($AB57="TGD",ROUND($E57*(1+$AD57)^(F$4-$E$4),0),IF($AB57="ALTH",ROUND($AE57+$AF57*F$4,0),IF($AB57="IR",ROUND(Proyeccion_Localidades!AC57,0),IF($AB57="RT",ROUND(Proyeccion_Localidades!AZ57,0),"*****"))))</f>
        <v>11634</v>
      </c>
      <c r="G57" s="66">
        <f>IF($AB57="TGD",ROUND($E57*(1+$AD57)^(G$4-$E$4),0),IF($AB57="ALTH",ROUND($AE57+$AF57*G$4,0),IF($AB57="IR",ROUND(Proyeccion_Localidades!AD57,0),IF($AB57="RT",ROUND(Proyeccion_Localidades!BA57,0),"*****"))))</f>
        <v>11639</v>
      </c>
      <c r="H57" s="66">
        <f>IF($AB57="TGD",ROUND($E57*(1+$AD57)^(H$4-$E$4),0),IF($AB57="ALTH",ROUND($AE57+$AF57*H$4,0),IF($AB57="IR",ROUND(Proyeccion_Localidades!AE57,0),IF($AB57="RT",ROUND(Proyeccion_Localidades!BB57,0),"*****"))))</f>
        <v>11655</v>
      </c>
      <c r="I57" s="66">
        <f>IF($AB57="TGD",ROUND($E57*(1+$AD57)^(I$4-$E$4),0),IF($AB57="ALTH",ROUND($AE57+$AF57*I$4,0),IF($AB57="IR",ROUND(Proyeccion_Localidades!AF57,0),IF($AB57="RT",ROUND(Proyeccion_Localidades!BC57,0),"*****"))))</f>
        <v>11660</v>
      </c>
      <c r="J57" s="66">
        <f>IF($AB57="TGD",ROUND($E57*(1+$AD57)^(J$4-$E$4),0),IF($AB57="ALTH",ROUND($AE57+$AF57*J$4,0),IF($AB57="IR",ROUND(Proyeccion_Localidades!AG57,0),IF($AB57="RT",ROUND(Proyeccion_Localidades!BD57,0),"*****"))))</f>
        <v>11665</v>
      </c>
      <c r="K57" s="66">
        <f>IF($AB57="TGD",ROUND($E57*(1+$AD57)^(K$4-$E$4),0),IF($AB57="ALTH",ROUND($AE57+$AF57*K$4,0),IF($AB57="IR",ROUND(Proyeccion_Localidades!AH57,0),IF($AB57="RT",ROUND(Proyeccion_Localidades!BE57,0),"*****"))))</f>
        <v>11670</v>
      </c>
      <c r="L57" s="66">
        <f>IF($AB57="TGD",ROUND($E57*(1+$AD57)^(L$4-$E$4),0),IF($AB57="ALTH",ROUND($AE57+$AF57*L$4,0),IF($AB57="IR",ROUND(Proyeccion_Localidades!AI57,0),IF($AB57="RT",ROUND(Proyeccion_Localidades!BF57,0),"*****"))))</f>
        <v>11676</v>
      </c>
      <c r="M57" s="66">
        <f>IF($AB57="TGD",ROUND($E57*(1+$AD57)^(M$4-$E$4),0),IF($AB57="ALTH",ROUND($AE57+$AF57*M$4,0),IF($AB57="IR",ROUND(Proyeccion_Localidades!AJ57,0),IF($AB57="RT",ROUND(Proyeccion_Localidades!BG57,0),"*****"))))</f>
        <v>11681</v>
      </c>
      <c r="N57" s="66">
        <f>IF($AB57="TGD",ROUND($E57*(1+$AD57)^(N$4-$E$4),0),IF($AB57="ALTH",ROUND($AE57+$AF57*N$4,0),IF($AB57="IR",ROUND(Proyeccion_Localidades!AK57,0),IF($AB57="RT",ROUND(Proyeccion_Localidades!BH57,0),"*****"))))</f>
        <v>11686</v>
      </c>
      <c r="O57" s="66">
        <f>IF($AB57="TGD",ROUND($E57*(1+$AD57)^(O$4-$E$4),0),IF($AB57="ALTH",ROUND($AE57+$AF57*O$4,0),IF($AB57="IR",ROUND(Proyeccion_Localidades!AL57,0),IF($AB57="RT",ROUND(Proyeccion_Localidades!BI57,0),"*****"))))</f>
        <v>11691</v>
      </c>
      <c r="P57" s="66">
        <f>IF($AB57="TGD",ROUND($E57*(1+$AD57)^(P$4-$E$4),0),IF($AB57="ALTH",ROUND($AE57+$AF57*P$4,0),IF($AB57="IR",ROUND(Proyeccion_Localidades!AM57,0),IF($AB57="RT",ROUND(Proyeccion_Localidades!BJ57,0),"*****"))))</f>
        <v>11696</v>
      </c>
      <c r="Q57" s="66">
        <f>IF($AB57="TGD",ROUND($E57*(1+$AD57)^(Q$4-$E$4),0),IF($AB57="ALTH",ROUND($AE57+$AF57*Q$4,0),IF($AB57="IR",ROUND(Proyeccion_Localidades!AN57,0),IF($AB57="RT",ROUND(Proyeccion_Localidades!BK57,0),"*****"))))</f>
        <v>11701</v>
      </c>
      <c r="R57" s="66">
        <f>IF($AB57="TGD",ROUND($E57*(1+$AD57)^(R$4-$E$4),0),IF($AB57="ALTH",ROUND($AE57+$AF57*R$4,0),IF($AB57="IR",ROUND(Proyeccion_Localidades!AO57,0),IF($AB57="RT",ROUND(Proyeccion_Localidades!BL57,0),"*****"))))</f>
        <v>11707</v>
      </c>
      <c r="S57" s="66">
        <f>IF($AB57="TGD",ROUND($E57*(1+$AD57)^(S$4-$E$4),0),IF($AB57="ALTH",ROUND($AE57+$AF57*S$4,0),IF($AB57="IR",ROUND(Proyeccion_Localidades!AP57,0),IF($AB57="RT",ROUND(Proyeccion_Localidades!BM57,0),"*****"))))</f>
        <v>11712</v>
      </c>
      <c r="T57" s="66">
        <f>IF($AB57="TGD",ROUND($E57*(1+$AD57)^(T$4-$E$4),0),IF($AB57="ALTH",ROUND($AE57+$AF57*T$4,0),IF($AB57="IR",ROUND(Proyeccion_Localidades!AQ57,0),IF($AB57="RT",ROUND(Proyeccion_Localidades!BN57,0),"*****"))))</f>
        <v>11717</v>
      </c>
      <c r="U57" s="66">
        <f>IF($AB57="TGD",ROUND($E57*(1+$AD57)^(U$4-$E$4),0),IF($AB57="ALTH",ROUND($AE57+$AF57*U$4,0),IF($AB57="IR",ROUND(Proyeccion_Localidades!AR57,0),IF($AB57="RT",ROUND(Proyeccion_Localidades!BO57,0),"*****"))))</f>
        <v>11722</v>
      </c>
      <c r="V57" s="66">
        <f>IF($AB57="TGD",ROUND($E57*(1+$AD57)^(V$4-$E$4),0),IF($AB57="ALTH",ROUND($AE57+$AF57*V$4,0),IF($AB57="IR",ROUND(Proyeccion_Localidades!AS57,0),IF($AB57="RT",ROUND(Proyeccion_Localidades!BP57,0),"*****"))))</f>
        <v>11727</v>
      </c>
      <c r="W57" s="66">
        <f>IF($AB57="TGD",ROUND($E57*(1+$AD57)^(W$4-$E$4),0),IF($AB57="ALTH",ROUND($AE57+$AF57*W$4,0),IF($AB57="IR",ROUND(Proyeccion_Localidades!AT57,0),IF($AB57="RT",ROUND(Proyeccion_Localidades!BQ57,0),"*****"))))</f>
        <v>11733</v>
      </c>
      <c r="X57" s="66">
        <f>IF($AB57="TGD",ROUND($E57*(1+$AD57)^(X$4-$E$4),0),IF($AB57="ALTH",ROUND($AE57+$AF57*X$4,0),IF($AB57="IR",ROUND(Proyeccion_Localidades!AU57,0),IF($AB57="RT",ROUND(Proyeccion_Localidades!BR57,0),"*****"))))</f>
        <v>11738</v>
      </c>
      <c r="Y57" s="66">
        <f>IF($AB57="TGD",ROUND($E57*(1+$AD57)^(Y$4-$E$4),0),IF($AB57="ALTH",ROUND($AE57+$AF57*Y$4,0),IF($AB57="IR",ROUND(Proyeccion_Localidades!AV57,0),IF($AB57="RT",ROUND(Proyeccion_Localidades!BS57,0),"*****"))))</f>
        <v>11743</v>
      </c>
      <c r="Z57" s="66">
        <f>IF($AB57="TGD",ROUND($E57*(1+$AD57)^(Z$4-$E$4),0),IF($AB57="ALTH",ROUND($AE57+$AF57*Z$4,0),IF($AB57="IR",ROUND(Proyeccion_Localidades!AW57,0),IF($AB57="RT",ROUND(Proyeccion_Localidades!BT57,0),"*****"))))</f>
        <v>11748</v>
      </c>
      <c r="AA57" s="66">
        <f>IF($AB57="TGD",ROUND($E57*(1+$AD57)^(AA$4-$E$4),0),IF($AB57="ALTH",ROUND($AE57+$AF57*AA$4,0),IF($AB57="IR",ROUND(Proyeccion_Localidades!AX57,0),IF($AB57="RT",ROUND(Proyeccion_Localidades!BU57,0),"*****"))))</f>
        <v>11753</v>
      </c>
      <c r="AB57" s="67" t="str">
        <f>Proyeccion_Localidades!N57</f>
        <v>ALTH</v>
      </c>
      <c r="AC57" s="68" t="s">
        <v>36</v>
      </c>
      <c r="AD57" s="51" t="str">
        <f>IF(AB57="TGD",Proyeccion_Localidades!Z57,"-")</f>
        <v>-</v>
      </c>
      <c r="AE57" s="51">
        <f>IF($AB57="ALTH",Proyeccion_Localidades!AA57,"-")</f>
        <v>1181.0701107011064</v>
      </c>
      <c r="AF57" s="51">
        <f>IF($AB57="ALTH",Proyeccion_Localidades!AB57,"-")</f>
        <v>5.1697416974169741</v>
      </c>
      <c r="AG57" s="51"/>
      <c r="AH57" s="51"/>
      <c r="AI57" s="66">
        <f t="shared" si="2"/>
        <v>11639</v>
      </c>
    </row>
    <row r="58" spans="1:35" ht="24.95" customHeight="1">
      <c r="A58" s="69" t="str">
        <f>+Proyeccion_Localidades!C58</f>
        <v>Coronel Pringles</v>
      </c>
      <c r="B58" s="70">
        <f t="shared" si="4"/>
        <v>54</v>
      </c>
      <c r="C58" s="71" t="str">
        <f>+Proyeccion_Localidades!B58</f>
        <v>Coronel Pringles</v>
      </c>
      <c r="D58" s="261">
        <f t="shared" si="3"/>
        <v>54</v>
      </c>
      <c r="E58" s="72">
        <f>+Proyeccion_Localidades!F58</f>
        <v>20263</v>
      </c>
      <c r="F58" s="66">
        <f>IF($AB58="TGD",ROUND($E58*(1+$AD58)^(F$4-$E$4),0),IF($AB58="ALTH",ROUND($AE58+$AF58*F$4,0),IF($AB58="IR",ROUND(Proyeccion_Localidades!AC58,0),IF($AB58="RT",ROUND(Proyeccion_Localidades!AZ58,0),"*****"))))</f>
        <v>20916</v>
      </c>
      <c r="G58" s="66">
        <f>IF($AB58="TGD",ROUND($E58*(1+$AD58)^(G$4-$E$4),0),IF($AB58="ALTH",ROUND($AE58+$AF58*G$4,0),IF($AB58="IR",ROUND(Proyeccion_Localidades!AD58,0),IF($AB58="RT",ROUND(Proyeccion_Localidades!BA58,0),"*****"))))</f>
        <v>21124</v>
      </c>
      <c r="H58" s="66">
        <f>IF($AB58="TGD",ROUND($E58*(1+$AD58)^(H$4-$E$4),0),IF($AB58="ALTH",ROUND($AE58+$AF58*H$4,0),IF($AB58="IR",ROUND(Proyeccion_Localidades!AE58,0),IF($AB58="RT",ROUND(Proyeccion_Localidades!BB58,0),"*****"))))</f>
        <v>21746</v>
      </c>
      <c r="I58" s="66">
        <f>IF($AB58="TGD",ROUND($E58*(1+$AD58)^(I$4-$E$4),0),IF($AB58="ALTH",ROUND($AE58+$AF58*I$4,0),IF($AB58="IR",ROUND(Proyeccion_Localidades!AF58,0),IF($AB58="RT",ROUND(Proyeccion_Localidades!BC58,0),"*****"))))</f>
        <v>21954</v>
      </c>
      <c r="J58" s="66">
        <f>IF($AB58="TGD",ROUND($E58*(1+$AD58)^(J$4-$E$4),0),IF($AB58="ALTH",ROUND($AE58+$AF58*J$4,0),IF($AB58="IR",ROUND(Proyeccion_Localidades!AG58,0),IF($AB58="RT",ROUND(Proyeccion_Localidades!BD58,0),"*****"))))</f>
        <v>22161</v>
      </c>
      <c r="K58" s="66">
        <f>IF($AB58="TGD",ROUND($E58*(1+$AD58)^(K$4-$E$4),0),IF($AB58="ALTH",ROUND($AE58+$AF58*K$4,0),IF($AB58="IR",ROUND(Proyeccion_Localidades!AH58,0),IF($AB58="RT",ROUND(Proyeccion_Localidades!BE58,0),"*****"))))</f>
        <v>22369</v>
      </c>
      <c r="L58" s="66">
        <f>IF($AB58="TGD",ROUND($E58*(1+$AD58)^(L$4-$E$4),0),IF($AB58="ALTH",ROUND($AE58+$AF58*L$4,0),IF($AB58="IR",ROUND(Proyeccion_Localidades!AI58,0),IF($AB58="RT",ROUND(Proyeccion_Localidades!BF58,0),"*****"))))</f>
        <v>22576</v>
      </c>
      <c r="M58" s="66">
        <f>IF($AB58="TGD",ROUND($E58*(1+$AD58)^(M$4-$E$4),0),IF($AB58="ALTH",ROUND($AE58+$AF58*M$4,0),IF($AB58="IR",ROUND(Proyeccion_Localidades!AJ58,0),IF($AB58="RT",ROUND(Proyeccion_Localidades!BG58,0),"*****"))))</f>
        <v>22876</v>
      </c>
      <c r="N58" s="66">
        <f>IF($AB58="TGD",ROUND($E58*(1+$AD58)^(N$4-$E$4),0),IF($AB58="ALTH",ROUND($AE58+$AF58*N$4,0),IF($AB58="IR",ROUND(Proyeccion_Localidades!AK58,0),IF($AB58="RT",ROUND(Proyeccion_Localidades!BH58,0),"*****"))))</f>
        <v>23176</v>
      </c>
      <c r="O58" s="66">
        <f>IF($AB58="TGD",ROUND($E58*(1+$AD58)^(O$4-$E$4),0),IF($AB58="ALTH",ROUND($AE58+$AF58*O$4,0),IF($AB58="IR",ROUND(Proyeccion_Localidades!AL58,0),IF($AB58="RT",ROUND(Proyeccion_Localidades!BI58,0),"*****"))))</f>
        <v>23476</v>
      </c>
      <c r="P58" s="66">
        <f>IF($AB58="TGD",ROUND($E58*(1+$AD58)^(P$4-$E$4),0),IF($AB58="ALTH",ROUND($AE58+$AF58*P$4,0),IF($AB58="IR",ROUND(Proyeccion_Localidades!AM58,0),IF($AB58="RT",ROUND(Proyeccion_Localidades!BJ58,0),"*****"))))</f>
        <v>23775</v>
      </c>
      <c r="Q58" s="66">
        <f>IF($AB58="TGD",ROUND($E58*(1+$AD58)^(Q$4-$E$4),0),IF($AB58="ALTH",ROUND($AE58+$AF58*Q$4,0),IF($AB58="IR",ROUND(Proyeccion_Localidades!AN58,0),IF($AB58="RT",ROUND(Proyeccion_Localidades!BK58,0),"*****"))))</f>
        <v>24075</v>
      </c>
      <c r="R58" s="66">
        <f>IF($AB58="TGD",ROUND($E58*(1+$AD58)^(R$4-$E$4),0),IF($AB58="ALTH",ROUND($AE58+$AF58*R$4,0),IF($AB58="IR",ROUND(Proyeccion_Localidades!AO58,0),IF($AB58="RT",ROUND(Proyeccion_Localidades!BL58,0),"*****"))))</f>
        <v>24375</v>
      </c>
      <c r="S58" s="66">
        <f>IF($AB58="TGD",ROUND($E58*(1+$AD58)^(S$4-$E$4),0),IF($AB58="ALTH",ROUND($AE58+$AF58*S$4,0),IF($AB58="IR",ROUND(Proyeccion_Localidades!AP58,0),IF($AB58="RT",ROUND(Proyeccion_Localidades!BM58,0),"*****"))))</f>
        <v>24675</v>
      </c>
      <c r="T58" s="66">
        <f>IF($AB58="TGD",ROUND($E58*(1+$AD58)^(T$4-$E$4),0),IF($AB58="ALTH",ROUND($AE58+$AF58*T$4,0),IF($AB58="IR",ROUND(Proyeccion_Localidades!AQ58,0),IF($AB58="RT",ROUND(Proyeccion_Localidades!BN58,0),"*****"))))</f>
        <v>24975</v>
      </c>
      <c r="U58" s="66">
        <f>IF($AB58="TGD",ROUND($E58*(1+$AD58)^(U$4-$E$4),0),IF($AB58="ALTH",ROUND($AE58+$AF58*U$4,0),IF($AB58="IR",ROUND(Proyeccion_Localidades!AR58,0),IF($AB58="RT",ROUND(Proyeccion_Localidades!BO58,0),"*****"))))</f>
        <v>25274</v>
      </c>
      <c r="V58" s="66">
        <f>IF($AB58="TGD",ROUND($E58*(1+$AD58)^(V$4-$E$4),0),IF($AB58="ALTH",ROUND($AE58+$AF58*V$4,0),IF($AB58="IR",ROUND(Proyeccion_Localidades!AS58,0),IF($AB58="RT",ROUND(Proyeccion_Localidades!BP58,0),"*****"))))</f>
        <v>25574</v>
      </c>
      <c r="W58" s="66">
        <f>IF($AB58="TGD",ROUND($E58*(1+$AD58)^(W$4-$E$4),0),IF($AB58="ALTH",ROUND($AE58+$AF58*W$4,0),IF($AB58="IR",ROUND(Proyeccion_Localidades!AT58,0),IF($AB58="RT",ROUND(Proyeccion_Localidades!BQ58,0),"*****"))))</f>
        <v>25874</v>
      </c>
      <c r="X58" s="66">
        <f>IF($AB58="TGD",ROUND($E58*(1+$AD58)^(X$4-$E$4),0),IF($AB58="ALTH",ROUND($AE58+$AF58*X$4,0),IF($AB58="IR",ROUND(Proyeccion_Localidades!AU58,0),IF($AB58="RT",ROUND(Proyeccion_Localidades!BR58,0),"*****"))))</f>
        <v>26174</v>
      </c>
      <c r="Y58" s="66">
        <f>IF($AB58="TGD",ROUND($E58*(1+$AD58)^(Y$4-$E$4),0),IF($AB58="ALTH",ROUND($AE58+$AF58*Y$4,0),IF($AB58="IR",ROUND(Proyeccion_Localidades!AV58,0),IF($AB58="RT",ROUND(Proyeccion_Localidades!BS58,0),"*****"))))</f>
        <v>26474</v>
      </c>
      <c r="Z58" s="66">
        <f>IF($AB58="TGD",ROUND($E58*(1+$AD58)^(Z$4-$E$4),0),IF($AB58="ALTH",ROUND($AE58+$AF58*Z$4,0),IF($AB58="IR",ROUND(Proyeccion_Localidades!AW58,0),IF($AB58="RT",ROUND(Proyeccion_Localidades!BT58,0),"*****"))))</f>
        <v>26773</v>
      </c>
      <c r="AA58" s="66">
        <f>IF($AB58="TGD",ROUND($E58*(1+$AD58)^(AA$4-$E$4),0),IF($AB58="ALTH",ROUND($AE58+$AF58*AA$4,0),IF($AB58="IR",ROUND(Proyeccion_Localidades!AX58,0),IF($AB58="RT",ROUND(Proyeccion_Localidades!BU58,0),"*****"))))</f>
        <v>27073</v>
      </c>
      <c r="AB58" s="67" t="str">
        <f>Proyeccion_Localidades!N58</f>
        <v>RT</v>
      </c>
      <c r="AC58" s="73"/>
      <c r="AD58" s="51" t="str">
        <f>IF(AB58="TGD",Proyeccion_Localidades!Z58,"-")</f>
        <v>-</v>
      </c>
      <c r="AE58" s="51" t="str">
        <f>IF($AB58="ALTH",Proyeccion_Localidades!AA58,"-")</f>
        <v>-</v>
      </c>
      <c r="AF58" s="51" t="str">
        <f>IF($AB58="ALTH",Proyeccion_Localidades!AB58,"-")</f>
        <v>-</v>
      </c>
      <c r="AG58" s="51"/>
      <c r="AH58" s="51"/>
      <c r="AI58" s="66">
        <f t="shared" si="2"/>
        <v>21124</v>
      </c>
    </row>
    <row r="59" spans="1:35" ht="24.95" customHeight="1">
      <c r="A59" s="69" t="str">
        <f>+Proyeccion_Localidades!C59</f>
        <v>Coronel Suárez</v>
      </c>
      <c r="B59" s="70">
        <f t="shared" si="4"/>
        <v>55</v>
      </c>
      <c r="C59" s="71" t="str">
        <f>+Proyeccion_Localidades!B59</f>
        <v>Coronel Suárez</v>
      </c>
      <c r="D59" s="261">
        <f t="shared" si="3"/>
        <v>55</v>
      </c>
      <c r="E59" s="72">
        <f>+Proyeccion_Localidades!F59</f>
        <v>23621</v>
      </c>
      <c r="F59" s="66">
        <f>IF($AB59="TGD",ROUND($E59*(1+$AD59)^(F$4-$E$4),0),IF($AB59="ALTH",ROUND($AE59+$AF59*F$4,0),IF($AB59="IR",ROUND(Proyeccion_Localidades!AC59,0),IF($AB59="RT",ROUND(Proyeccion_Localidades!AZ59,0),"*****"))))</f>
        <v>26028</v>
      </c>
      <c r="G59" s="66">
        <f>IF($AB59="TGD",ROUND($E59*(1+$AD59)^(G$4-$E$4),0),IF($AB59="ALTH",ROUND($AE59+$AF59*G$4,0),IF($AB59="IR",ROUND(Proyeccion_Localidades!AD59,0),IF($AB59="RT",ROUND(Proyeccion_Localidades!BA59,0),"*****"))))</f>
        <v>26351</v>
      </c>
      <c r="H59" s="66">
        <f>IF($AB59="TGD",ROUND($E59*(1+$AD59)^(H$4-$E$4),0),IF($AB59="ALTH",ROUND($AE59+$AF59*H$4,0),IF($AB59="IR",ROUND(Proyeccion_Localidades!AE59,0),IF($AB59="RT",ROUND(Proyeccion_Localidades!BB59,0),"*****"))))</f>
        <v>27320</v>
      </c>
      <c r="I59" s="66">
        <f>IF($AB59="TGD",ROUND($E59*(1+$AD59)^(I$4-$E$4),0),IF($AB59="ALTH",ROUND($AE59+$AF59*I$4,0),IF($AB59="IR",ROUND(Proyeccion_Localidades!AF59,0),IF($AB59="RT",ROUND(Proyeccion_Localidades!BC59,0),"*****"))))</f>
        <v>27643</v>
      </c>
      <c r="J59" s="66">
        <f>IF($AB59="TGD",ROUND($E59*(1+$AD59)^(J$4-$E$4),0),IF($AB59="ALTH",ROUND($AE59+$AF59*J$4,0),IF($AB59="IR",ROUND(Proyeccion_Localidades!AG59,0),IF($AB59="RT",ROUND(Proyeccion_Localidades!BD59,0),"*****"))))</f>
        <v>27966</v>
      </c>
      <c r="K59" s="66">
        <f>IF($AB59="TGD",ROUND($E59*(1+$AD59)^(K$4-$E$4),0),IF($AB59="ALTH",ROUND($AE59+$AF59*K$4,0),IF($AB59="IR",ROUND(Proyeccion_Localidades!AH59,0),IF($AB59="RT",ROUND(Proyeccion_Localidades!BE59,0),"*****"))))</f>
        <v>28289</v>
      </c>
      <c r="L59" s="66">
        <f>IF($AB59="TGD",ROUND($E59*(1+$AD59)^(L$4-$E$4),0),IF($AB59="ALTH",ROUND($AE59+$AF59*L$4,0),IF($AB59="IR",ROUND(Proyeccion_Localidades!AI59,0),IF($AB59="RT",ROUND(Proyeccion_Localidades!BF59,0),"*****"))))</f>
        <v>28612</v>
      </c>
      <c r="M59" s="66">
        <f>IF($AB59="TGD",ROUND($E59*(1+$AD59)^(M$4-$E$4),0),IF($AB59="ALTH",ROUND($AE59+$AF59*M$4,0),IF($AB59="IR",ROUND(Proyeccion_Localidades!AJ59,0),IF($AB59="RT",ROUND(Proyeccion_Localidades!BG59,0),"*****"))))</f>
        <v>29039</v>
      </c>
      <c r="N59" s="66">
        <f>IF($AB59="TGD",ROUND($E59*(1+$AD59)^(N$4-$E$4),0),IF($AB59="ALTH",ROUND($AE59+$AF59*N$4,0),IF($AB59="IR",ROUND(Proyeccion_Localidades!AK59,0),IF($AB59="RT",ROUND(Proyeccion_Localidades!BH59,0),"*****"))))</f>
        <v>29466</v>
      </c>
      <c r="O59" s="66">
        <f>IF($AB59="TGD",ROUND($E59*(1+$AD59)^(O$4-$E$4),0),IF($AB59="ALTH",ROUND($AE59+$AF59*O$4,0),IF($AB59="IR",ROUND(Proyeccion_Localidades!AL59,0),IF($AB59="RT",ROUND(Proyeccion_Localidades!BI59,0),"*****"))))</f>
        <v>29893</v>
      </c>
      <c r="P59" s="66">
        <f>IF($AB59="TGD",ROUND($E59*(1+$AD59)^(P$4-$E$4),0),IF($AB59="ALTH",ROUND($AE59+$AF59*P$4,0),IF($AB59="IR",ROUND(Proyeccion_Localidades!AM59,0),IF($AB59="RT",ROUND(Proyeccion_Localidades!BJ59,0),"*****"))))</f>
        <v>30320</v>
      </c>
      <c r="Q59" s="66">
        <f>IF($AB59="TGD",ROUND($E59*(1+$AD59)^(Q$4-$E$4),0),IF($AB59="ALTH",ROUND($AE59+$AF59*Q$4,0),IF($AB59="IR",ROUND(Proyeccion_Localidades!AN59,0),IF($AB59="RT",ROUND(Proyeccion_Localidades!BK59,0),"*****"))))</f>
        <v>30747</v>
      </c>
      <c r="R59" s="66">
        <f>IF($AB59="TGD",ROUND($E59*(1+$AD59)^(R$4-$E$4),0),IF($AB59="ALTH",ROUND($AE59+$AF59*R$4,0),IF($AB59="IR",ROUND(Proyeccion_Localidades!AO59,0),IF($AB59="RT",ROUND(Proyeccion_Localidades!BL59,0),"*****"))))</f>
        <v>31174</v>
      </c>
      <c r="S59" s="66">
        <f>IF($AB59="TGD",ROUND($E59*(1+$AD59)^(S$4-$E$4),0),IF($AB59="ALTH",ROUND($AE59+$AF59*S$4,0),IF($AB59="IR",ROUND(Proyeccion_Localidades!AP59,0),IF($AB59="RT",ROUND(Proyeccion_Localidades!BM59,0),"*****"))))</f>
        <v>31602</v>
      </c>
      <c r="T59" s="66">
        <f>IF($AB59="TGD",ROUND($E59*(1+$AD59)^(T$4-$E$4),0),IF($AB59="ALTH",ROUND($AE59+$AF59*T$4,0),IF($AB59="IR",ROUND(Proyeccion_Localidades!AQ59,0),IF($AB59="RT",ROUND(Proyeccion_Localidades!BN59,0),"*****"))))</f>
        <v>32029</v>
      </c>
      <c r="U59" s="66">
        <f>IF($AB59="TGD",ROUND($E59*(1+$AD59)^(U$4-$E$4),0),IF($AB59="ALTH",ROUND($AE59+$AF59*U$4,0),IF($AB59="IR",ROUND(Proyeccion_Localidades!AR59,0),IF($AB59="RT",ROUND(Proyeccion_Localidades!BO59,0),"*****"))))</f>
        <v>32456</v>
      </c>
      <c r="V59" s="66">
        <f>IF($AB59="TGD",ROUND($E59*(1+$AD59)^(V$4-$E$4),0),IF($AB59="ALTH",ROUND($AE59+$AF59*V$4,0),IF($AB59="IR",ROUND(Proyeccion_Localidades!AS59,0),IF($AB59="RT",ROUND(Proyeccion_Localidades!BP59,0),"*****"))))</f>
        <v>32883</v>
      </c>
      <c r="W59" s="66">
        <f>IF($AB59="TGD",ROUND($E59*(1+$AD59)^(W$4-$E$4),0),IF($AB59="ALTH",ROUND($AE59+$AF59*W$4,0),IF($AB59="IR",ROUND(Proyeccion_Localidades!AT59,0),IF($AB59="RT",ROUND(Proyeccion_Localidades!BQ59,0),"*****"))))</f>
        <v>33310</v>
      </c>
      <c r="X59" s="66">
        <f>IF($AB59="TGD",ROUND($E59*(1+$AD59)^(X$4-$E$4),0),IF($AB59="ALTH",ROUND($AE59+$AF59*X$4,0),IF($AB59="IR",ROUND(Proyeccion_Localidades!AU59,0),IF($AB59="RT",ROUND(Proyeccion_Localidades!BR59,0),"*****"))))</f>
        <v>33737</v>
      </c>
      <c r="Y59" s="66">
        <f>IF($AB59="TGD",ROUND($E59*(1+$AD59)^(Y$4-$E$4),0),IF($AB59="ALTH",ROUND($AE59+$AF59*Y$4,0),IF($AB59="IR",ROUND(Proyeccion_Localidades!AV59,0),IF($AB59="RT",ROUND(Proyeccion_Localidades!BS59,0),"*****"))))</f>
        <v>34164</v>
      </c>
      <c r="Z59" s="66">
        <f>IF($AB59="TGD",ROUND($E59*(1+$AD59)^(Z$4-$E$4),0),IF($AB59="ALTH",ROUND($AE59+$AF59*Z$4,0),IF($AB59="IR",ROUND(Proyeccion_Localidades!AW59,0),IF($AB59="RT",ROUND(Proyeccion_Localidades!BT59,0),"*****"))))</f>
        <v>34591</v>
      </c>
      <c r="AA59" s="66">
        <f>IF($AB59="TGD",ROUND($E59*(1+$AD59)^(AA$4-$E$4),0),IF($AB59="ALTH",ROUND($AE59+$AF59*AA$4,0),IF($AB59="IR",ROUND(Proyeccion_Localidades!AX59,0),IF($AB59="RT",ROUND(Proyeccion_Localidades!BU59,0),"*****"))))</f>
        <v>35018</v>
      </c>
      <c r="AB59" s="67" t="str">
        <f>Proyeccion_Localidades!N59</f>
        <v>RT</v>
      </c>
      <c r="AC59" s="73"/>
      <c r="AD59" s="51" t="str">
        <f>IF(AB59="TGD",Proyeccion_Localidades!Z59,"-")</f>
        <v>-</v>
      </c>
      <c r="AE59" s="51" t="str">
        <f>IF($AB59="ALTH",Proyeccion_Localidades!AA59,"-")</f>
        <v>-</v>
      </c>
      <c r="AF59" s="51" t="str">
        <f>IF($AB59="ALTH",Proyeccion_Localidades!AB59,"-")</f>
        <v>-</v>
      </c>
      <c r="AG59" s="51"/>
      <c r="AH59" s="51"/>
      <c r="AI59" s="66">
        <f t="shared" si="2"/>
        <v>26351</v>
      </c>
    </row>
    <row r="60" spans="1:35" ht="24.95" customHeight="1">
      <c r="A60" s="69" t="str">
        <f>+Proyeccion_Localidades!C60</f>
        <v>Daireaux</v>
      </c>
      <c r="B60" s="70">
        <f t="shared" si="4"/>
        <v>56</v>
      </c>
      <c r="C60" s="71" t="str">
        <f>+Proyeccion_Localidades!B60</f>
        <v>Daireaux</v>
      </c>
      <c r="D60" s="261">
        <f t="shared" si="3"/>
        <v>56</v>
      </c>
      <c r="E60" s="72">
        <f>+Proyeccion_Localidades!F60</f>
        <v>12122</v>
      </c>
      <c r="F60" s="66">
        <f>IF($AB60="TGD",ROUND($E60*(1+$AD60)^(F$4-$E$4),0),IF($AB60="ALTH",ROUND($AE60+$AF60*F$4,0),IF($AB60="IR",ROUND(Proyeccion_Localidades!AC60,0),IF($AB60="RT",ROUND(Proyeccion_Localidades!AZ60,0),"*****"))))</f>
        <v>13531</v>
      </c>
      <c r="G60" s="66">
        <f>IF($AB60="TGD",ROUND($E60*(1+$AD60)^(G$4-$E$4),0),IF($AB60="ALTH",ROUND($AE60+$AF60*G$4,0),IF($AB60="IR",ROUND(Proyeccion_Localidades!AD60,0),IF($AB60="RT",ROUND(Proyeccion_Localidades!BA60,0),"*****"))))</f>
        <v>13651</v>
      </c>
      <c r="H60" s="66">
        <f>IF($AB60="TGD",ROUND($E60*(1+$AD60)^(H$4-$E$4),0),IF($AB60="ALTH",ROUND($AE60+$AF60*H$4,0),IF($AB60="IR",ROUND(Proyeccion_Localidades!AE60,0),IF($AB60="RT",ROUND(Proyeccion_Localidades!BB60,0),"*****"))))</f>
        <v>14012</v>
      </c>
      <c r="I60" s="66">
        <f>IF($AB60="TGD",ROUND($E60*(1+$AD60)^(I$4-$E$4),0),IF($AB60="ALTH",ROUND($AE60+$AF60*I$4,0),IF($AB60="IR",ROUND(Proyeccion_Localidades!AF60,0),IF($AB60="RT",ROUND(Proyeccion_Localidades!BC60,0),"*****"))))</f>
        <v>14133</v>
      </c>
      <c r="J60" s="66">
        <f>IF($AB60="TGD",ROUND($E60*(1+$AD60)^(J$4-$E$4),0),IF($AB60="ALTH",ROUND($AE60+$AF60*J$4,0),IF($AB60="IR",ROUND(Proyeccion_Localidades!AG60,0),IF($AB60="RT",ROUND(Proyeccion_Localidades!BD60,0),"*****"))))</f>
        <v>14253</v>
      </c>
      <c r="K60" s="66">
        <f>IF($AB60="TGD",ROUND($E60*(1+$AD60)^(K$4-$E$4),0),IF($AB60="ALTH",ROUND($AE60+$AF60*K$4,0),IF($AB60="IR",ROUND(Proyeccion_Localidades!AH60,0),IF($AB60="RT",ROUND(Proyeccion_Localidades!BE60,0),"*****"))))</f>
        <v>14374</v>
      </c>
      <c r="L60" s="66">
        <f>IF($AB60="TGD",ROUND($E60*(1+$AD60)^(L$4-$E$4),0),IF($AB60="ALTH",ROUND($AE60+$AF60*L$4,0),IF($AB60="IR",ROUND(Proyeccion_Localidades!AI60,0),IF($AB60="RT",ROUND(Proyeccion_Localidades!BF60,0),"*****"))))</f>
        <v>14494</v>
      </c>
      <c r="M60" s="66">
        <f>IF($AB60="TGD",ROUND($E60*(1+$AD60)^(M$4-$E$4),0),IF($AB60="ALTH",ROUND($AE60+$AF60*M$4,0),IF($AB60="IR",ROUND(Proyeccion_Localidades!AJ60,0),IF($AB60="RT",ROUND(Proyeccion_Localidades!BG60,0),"*****"))))</f>
        <v>14615</v>
      </c>
      <c r="N60" s="66">
        <f>IF($AB60="TGD",ROUND($E60*(1+$AD60)^(N$4-$E$4),0),IF($AB60="ALTH",ROUND($AE60+$AF60*N$4,0),IF($AB60="IR",ROUND(Proyeccion_Localidades!AK60,0),IF($AB60="RT",ROUND(Proyeccion_Localidades!BH60,0),"*****"))))</f>
        <v>14735</v>
      </c>
      <c r="O60" s="66">
        <f>IF($AB60="TGD",ROUND($E60*(1+$AD60)^(O$4-$E$4),0),IF($AB60="ALTH",ROUND($AE60+$AF60*O$4,0),IF($AB60="IR",ROUND(Proyeccion_Localidades!AL60,0),IF($AB60="RT",ROUND(Proyeccion_Localidades!BI60,0),"*****"))))</f>
        <v>14856</v>
      </c>
      <c r="P60" s="66">
        <f>IF($AB60="TGD",ROUND($E60*(1+$AD60)^(P$4-$E$4),0),IF($AB60="ALTH",ROUND($AE60+$AF60*P$4,0),IF($AB60="IR",ROUND(Proyeccion_Localidades!AM60,0),IF($AB60="RT",ROUND(Proyeccion_Localidades!BJ60,0),"*****"))))</f>
        <v>14976</v>
      </c>
      <c r="Q60" s="66">
        <f>IF($AB60="TGD",ROUND($E60*(1+$AD60)^(Q$4-$E$4),0),IF($AB60="ALTH",ROUND($AE60+$AF60*Q$4,0),IF($AB60="IR",ROUND(Proyeccion_Localidades!AN60,0),IF($AB60="RT",ROUND(Proyeccion_Localidades!BK60,0),"*****"))))</f>
        <v>15096</v>
      </c>
      <c r="R60" s="66">
        <f>IF($AB60="TGD",ROUND($E60*(1+$AD60)^(R$4-$E$4),0),IF($AB60="ALTH",ROUND($AE60+$AF60*R$4,0),IF($AB60="IR",ROUND(Proyeccion_Localidades!AO60,0),IF($AB60="RT",ROUND(Proyeccion_Localidades!BL60,0),"*****"))))</f>
        <v>15217</v>
      </c>
      <c r="S60" s="66">
        <f>IF($AB60="TGD",ROUND($E60*(1+$AD60)^(S$4-$E$4),0),IF($AB60="ALTH",ROUND($AE60+$AF60*S$4,0),IF($AB60="IR",ROUND(Proyeccion_Localidades!AP60,0),IF($AB60="RT",ROUND(Proyeccion_Localidades!BM60,0),"*****"))))</f>
        <v>15337</v>
      </c>
      <c r="T60" s="66">
        <f>IF($AB60="TGD",ROUND($E60*(1+$AD60)^(T$4-$E$4),0),IF($AB60="ALTH",ROUND($AE60+$AF60*T$4,0),IF($AB60="IR",ROUND(Proyeccion_Localidades!AQ60,0),IF($AB60="RT",ROUND(Proyeccion_Localidades!BN60,0),"*****"))))</f>
        <v>15458</v>
      </c>
      <c r="U60" s="66">
        <f>IF($AB60="TGD",ROUND($E60*(1+$AD60)^(U$4-$E$4),0),IF($AB60="ALTH",ROUND($AE60+$AF60*U$4,0),IF($AB60="IR",ROUND(Proyeccion_Localidades!AR60,0),IF($AB60="RT",ROUND(Proyeccion_Localidades!BO60,0),"*****"))))</f>
        <v>15578</v>
      </c>
      <c r="V60" s="66">
        <f>IF($AB60="TGD",ROUND($E60*(1+$AD60)^(V$4-$E$4),0),IF($AB60="ALTH",ROUND($AE60+$AF60*V$4,0),IF($AB60="IR",ROUND(Proyeccion_Localidades!AS60,0),IF($AB60="RT",ROUND(Proyeccion_Localidades!BP60,0),"*****"))))</f>
        <v>15699</v>
      </c>
      <c r="W60" s="66">
        <f>IF($AB60="TGD",ROUND($E60*(1+$AD60)^(W$4-$E$4),0),IF($AB60="ALTH",ROUND($AE60+$AF60*W$4,0),IF($AB60="IR",ROUND(Proyeccion_Localidades!AT60,0),IF($AB60="RT",ROUND(Proyeccion_Localidades!BQ60,0),"*****"))))</f>
        <v>15819</v>
      </c>
      <c r="X60" s="66">
        <f>IF($AB60="TGD",ROUND($E60*(1+$AD60)^(X$4-$E$4),0),IF($AB60="ALTH",ROUND($AE60+$AF60*X$4,0),IF($AB60="IR",ROUND(Proyeccion_Localidades!AU60,0),IF($AB60="RT",ROUND(Proyeccion_Localidades!BR60,0),"*****"))))</f>
        <v>15939</v>
      </c>
      <c r="Y60" s="66">
        <f>IF($AB60="TGD",ROUND($E60*(1+$AD60)^(Y$4-$E$4),0),IF($AB60="ALTH",ROUND($AE60+$AF60*Y$4,0),IF($AB60="IR",ROUND(Proyeccion_Localidades!AV60,0),IF($AB60="RT",ROUND(Proyeccion_Localidades!BS60,0),"*****"))))</f>
        <v>16060</v>
      </c>
      <c r="Z60" s="66">
        <f>IF($AB60="TGD",ROUND($E60*(1+$AD60)^(Z$4-$E$4),0),IF($AB60="ALTH",ROUND($AE60+$AF60*Z$4,0),IF($AB60="IR",ROUND(Proyeccion_Localidades!AW60,0),IF($AB60="RT",ROUND(Proyeccion_Localidades!BT60,0),"*****"))))</f>
        <v>16180</v>
      </c>
      <c r="AA60" s="66">
        <f>IF($AB60="TGD",ROUND($E60*(1+$AD60)^(AA$4-$E$4),0),IF($AB60="ALTH",ROUND($AE60+$AF60*AA$4,0),IF($AB60="IR",ROUND(Proyeccion_Localidades!AX60,0),IF($AB60="RT",ROUND(Proyeccion_Localidades!BU60,0),"*****"))))</f>
        <v>16301</v>
      </c>
      <c r="AB60" s="67" t="str">
        <f>Proyeccion_Localidades!N60</f>
        <v>ALTH</v>
      </c>
      <c r="AC60" s="68" t="s">
        <v>36</v>
      </c>
      <c r="AD60" s="51" t="str">
        <f>IF(AB60="TGD",Proyeccion_Localidades!Z60,"-")</f>
        <v>-</v>
      </c>
      <c r="AE60" s="51">
        <f>IF($AB60="ALTH",Proyeccion_Localidades!AA60,"-")</f>
        <v>-229997.1881918819</v>
      </c>
      <c r="AF60" s="51">
        <f>IF($AB60="ALTH",Proyeccion_Localidades!AB60,"-")</f>
        <v>120.4391143911439</v>
      </c>
      <c r="AG60" s="51"/>
      <c r="AH60" s="51"/>
      <c r="AI60" s="66">
        <f t="shared" si="2"/>
        <v>13651</v>
      </c>
    </row>
    <row r="61" spans="1:35" ht="24.95" customHeight="1">
      <c r="A61" s="69" t="str">
        <f>+Proyeccion_Localidades!C61</f>
        <v>Dolores</v>
      </c>
      <c r="B61" s="70">
        <f t="shared" si="4"/>
        <v>57</v>
      </c>
      <c r="C61" s="71" t="str">
        <f>+Proyeccion_Localidades!B61</f>
        <v>Dolores</v>
      </c>
      <c r="D61" s="261">
        <f t="shared" si="3"/>
        <v>57</v>
      </c>
      <c r="E61" s="72">
        <f>+Proyeccion_Localidades!F61</f>
        <v>25940</v>
      </c>
      <c r="F61" s="66">
        <f>IF($AB61="TGD",ROUND($E61*(1+$AD61)^(F$4-$E$4),0),IF($AB61="ALTH",ROUND($AE61+$AF61*F$4,0),IF($AB61="IR",ROUND(Proyeccion_Localidades!AC61,0),IF($AB61="RT",ROUND(Proyeccion_Localidades!AZ61,0),"*****"))))</f>
        <v>29898</v>
      </c>
      <c r="G61" s="66">
        <f>IF($AB61="TGD",ROUND($E61*(1+$AD61)^(G$4-$E$4),0),IF($AB61="ALTH",ROUND($AE61+$AF61*G$4,0),IF($AB61="IR",ROUND(Proyeccion_Localidades!AD61,0),IF($AB61="RT",ROUND(Proyeccion_Localidades!BA61,0),"*****"))))</f>
        <v>30328</v>
      </c>
      <c r="H61" s="66">
        <f>IF($AB61="TGD",ROUND($E61*(1+$AD61)^(H$4-$E$4),0),IF($AB61="ALTH",ROUND($AE61+$AF61*H$4,0),IF($AB61="IR",ROUND(Proyeccion_Localidades!AE61,0),IF($AB61="RT",ROUND(Proyeccion_Localidades!BB61,0),"*****"))))</f>
        <v>31619</v>
      </c>
      <c r="I61" s="66">
        <f>IF($AB61="TGD",ROUND($E61*(1+$AD61)^(I$4-$E$4),0),IF($AB61="ALTH",ROUND($AE61+$AF61*I$4,0),IF($AB61="IR",ROUND(Proyeccion_Localidades!AF61,0),IF($AB61="RT",ROUND(Proyeccion_Localidades!BC61,0),"*****"))))</f>
        <v>32049</v>
      </c>
      <c r="J61" s="66">
        <f>IF($AB61="TGD",ROUND($E61*(1+$AD61)^(J$4-$E$4),0),IF($AB61="ALTH",ROUND($AE61+$AF61*J$4,0),IF($AB61="IR",ROUND(Proyeccion_Localidades!AG61,0),IF($AB61="RT",ROUND(Proyeccion_Localidades!BD61,0),"*****"))))</f>
        <v>32479</v>
      </c>
      <c r="K61" s="66">
        <f>IF($AB61="TGD",ROUND($E61*(1+$AD61)^(K$4-$E$4),0),IF($AB61="ALTH",ROUND($AE61+$AF61*K$4,0),IF($AB61="IR",ROUND(Proyeccion_Localidades!AH61,0),IF($AB61="RT",ROUND(Proyeccion_Localidades!BE61,0),"*****"))))</f>
        <v>32910</v>
      </c>
      <c r="L61" s="66">
        <f>IF($AB61="TGD",ROUND($E61*(1+$AD61)^(L$4-$E$4),0),IF($AB61="ALTH",ROUND($AE61+$AF61*L$4,0),IF($AB61="IR",ROUND(Proyeccion_Localidades!AI61,0),IF($AB61="RT",ROUND(Proyeccion_Localidades!BF61,0),"*****"))))</f>
        <v>33340</v>
      </c>
      <c r="M61" s="66">
        <f>IF($AB61="TGD",ROUND($E61*(1+$AD61)^(M$4-$E$4),0),IF($AB61="ALTH",ROUND($AE61+$AF61*M$4,0),IF($AB61="IR",ROUND(Proyeccion_Localidades!AJ61,0),IF($AB61="RT",ROUND(Proyeccion_Localidades!BG61,0),"*****"))))</f>
        <v>33885</v>
      </c>
      <c r="N61" s="66">
        <f>IF($AB61="TGD",ROUND($E61*(1+$AD61)^(N$4-$E$4),0),IF($AB61="ALTH",ROUND($AE61+$AF61*N$4,0),IF($AB61="IR",ROUND(Proyeccion_Localidades!AK61,0),IF($AB61="RT",ROUND(Proyeccion_Localidades!BH61,0),"*****"))))</f>
        <v>34431</v>
      </c>
      <c r="O61" s="66">
        <f>IF($AB61="TGD",ROUND($E61*(1+$AD61)^(O$4-$E$4),0),IF($AB61="ALTH",ROUND($AE61+$AF61*O$4,0),IF($AB61="IR",ROUND(Proyeccion_Localidades!AL61,0),IF($AB61="RT",ROUND(Proyeccion_Localidades!BI61,0),"*****"))))</f>
        <v>34976</v>
      </c>
      <c r="P61" s="66">
        <f>IF($AB61="TGD",ROUND($E61*(1+$AD61)^(P$4-$E$4),0),IF($AB61="ALTH",ROUND($AE61+$AF61*P$4,0),IF($AB61="IR",ROUND(Proyeccion_Localidades!AM61,0),IF($AB61="RT",ROUND(Proyeccion_Localidades!BJ61,0),"*****"))))</f>
        <v>35522</v>
      </c>
      <c r="Q61" s="66">
        <f>IF($AB61="TGD",ROUND($E61*(1+$AD61)^(Q$4-$E$4),0),IF($AB61="ALTH",ROUND($AE61+$AF61*Q$4,0),IF($AB61="IR",ROUND(Proyeccion_Localidades!AN61,0),IF($AB61="RT",ROUND(Proyeccion_Localidades!BK61,0),"*****"))))</f>
        <v>36067</v>
      </c>
      <c r="R61" s="66">
        <f>IF($AB61="TGD",ROUND($E61*(1+$AD61)^(R$4-$E$4),0),IF($AB61="ALTH",ROUND($AE61+$AF61*R$4,0),IF($AB61="IR",ROUND(Proyeccion_Localidades!AO61,0),IF($AB61="RT",ROUND(Proyeccion_Localidades!BL61,0),"*****"))))</f>
        <v>36613</v>
      </c>
      <c r="S61" s="66">
        <f>IF($AB61="TGD",ROUND($E61*(1+$AD61)^(S$4-$E$4),0),IF($AB61="ALTH",ROUND($AE61+$AF61*S$4,0),IF($AB61="IR",ROUND(Proyeccion_Localidades!AP61,0),IF($AB61="RT",ROUND(Proyeccion_Localidades!BM61,0),"*****"))))</f>
        <v>37158</v>
      </c>
      <c r="T61" s="66">
        <f>IF($AB61="TGD",ROUND($E61*(1+$AD61)^(T$4-$E$4),0),IF($AB61="ALTH",ROUND($AE61+$AF61*T$4,0),IF($AB61="IR",ROUND(Proyeccion_Localidades!AQ61,0),IF($AB61="RT",ROUND(Proyeccion_Localidades!BN61,0),"*****"))))</f>
        <v>37703</v>
      </c>
      <c r="U61" s="66">
        <f>IF($AB61="TGD",ROUND($E61*(1+$AD61)^(U$4-$E$4),0),IF($AB61="ALTH",ROUND($AE61+$AF61*U$4,0),IF($AB61="IR",ROUND(Proyeccion_Localidades!AR61,0),IF($AB61="RT",ROUND(Proyeccion_Localidades!BO61,0),"*****"))))</f>
        <v>38249</v>
      </c>
      <c r="V61" s="66">
        <f>IF($AB61="TGD",ROUND($E61*(1+$AD61)^(V$4-$E$4),0),IF($AB61="ALTH",ROUND($AE61+$AF61*V$4,0),IF($AB61="IR",ROUND(Proyeccion_Localidades!AS61,0),IF($AB61="RT",ROUND(Proyeccion_Localidades!BP61,0),"*****"))))</f>
        <v>38794</v>
      </c>
      <c r="W61" s="66">
        <f>IF($AB61="TGD",ROUND($E61*(1+$AD61)^(W$4-$E$4),0),IF($AB61="ALTH",ROUND($AE61+$AF61*W$4,0),IF($AB61="IR",ROUND(Proyeccion_Localidades!AT61,0),IF($AB61="RT",ROUND(Proyeccion_Localidades!BQ61,0),"*****"))))</f>
        <v>39340</v>
      </c>
      <c r="X61" s="66">
        <f>IF($AB61="TGD",ROUND($E61*(1+$AD61)^(X$4-$E$4),0),IF($AB61="ALTH",ROUND($AE61+$AF61*X$4,0),IF($AB61="IR",ROUND(Proyeccion_Localidades!AU61,0),IF($AB61="RT",ROUND(Proyeccion_Localidades!BR61,0),"*****"))))</f>
        <v>39885</v>
      </c>
      <c r="Y61" s="66">
        <f>IF($AB61="TGD",ROUND($E61*(1+$AD61)^(Y$4-$E$4),0),IF($AB61="ALTH",ROUND($AE61+$AF61*Y$4,0),IF($AB61="IR",ROUND(Proyeccion_Localidades!AV61,0),IF($AB61="RT",ROUND(Proyeccion_Localidades!BS61,0),"*****"))))</f>
        <v>40431</v>
      </c>
      <c r="Z61" s="66">
        <f>IF($AB61="TGD",ROUND($E61*(1+$AD61)^(Z$4-$E$4),0),IF($AB61="ALTH",ROUND($AE61+$AF61*Z$4,0),IF($AB61="IR",ROUND(Proyeccion_Localidades!AW61,0),IF($AB61="RT",ROUND(Proyeccion_Localidades!BT61,0),"*****"))))</f>
        <v>40976</v>
      </c>
      <c r="AA61" s="66">
        <f>IF($AB61="TGD",ROUND($E61*(1+$AD61)^(AA$4-$E$4),0),IF($AB61="ALTH",ROUND($AE61+$AF61*AA$4,0),IF($AB61="IR",ROUND(Proyeccion_Localidades!AX61,0),IF($AB61="RT",ROUND(Proyeccion_Localidades!BU61,0),"*****"))))</f>
        <v>41522</v>
      </c>
      <c r="AB61" s="67" t="str">
        <f>Proyeccion_Localidades!N61</f>
        <v>RT</v>
      </c>
      <c r="AC61" s="73"/>
      <c r="AD61" s="51" t="str">
        <f>IF(AB61="TGD",Proyeccion_Localidades!Z61,"-")</f>
        <v>-</v>
      </c>
      <c r="AE61" s="51" t="str">
        <f>IF($AB61="ALTH",Proyeccion_Localidades!AA61,"-")</f>
        <v>-</v>
      </c>
      <c r="AF61" s="51" t="str">
        <f>IF($AB61="ALTH",Proyeccion_Localidades!AB61,"-")</f>
        <v>-</v>
      </c>
      <c r="AG61" s="51"/>
      <c r="AH61" s="51"/>
      <c r="AI61" s="66">
        <f t="shared" si="2"/>
        <v>30328</v>
      </c>
    </row>
    <row r="62" spans="1:35" ht="24.95" customHeight="1">
      <c r="A62" s="69" t="str">
        <f>+Proyeccion_Localidades!C62</f>
        <v>Ensenada</v>
      </c>
      <c r="B62" s="70">
        <f t="shared" si="4"/>
        <v>58</v>
      </c>
      <c r="C62" s="71" t="str">
        <f>+Proyeccion_Localidades!B62</f>
        <v>Ensenada</v>
      </c>
      <c r="D62" s="261">
        <f t="shared" si="3"/>
        <v>58</v>
      </c>
      <c r="E62" s="72">
        <f>+Proyeccion_Localidades!F62</f>
        <v>56463</v>
      </c>
      <c r="F62" s="66">
        <f>IF($AB62="TGD",ROUND($E62*(1+$AD62)^(F$4-$E$4),0),IF($AB62="ALTH",ROUND($AE62+$AF62*F$4,0),IF($AB62="IR",ROUND(Proyeccion_Localidades!AC62,0),IF($AB62="RT",ROUND(Proyeccion_Localidades!AZ62,0),"*****"))))</f>
        <v>62632</v>
      </c>
      <c r="G62" s="66">
        <f>IF($AB62="TGD",ROUND($E62*(1+$AD62)^(G$4-$E$4),0),IF($AB62="ALTH",ROUND($AE62+$AF62*G$4,0),IF($AB62="IR",ROUND(Proyeccion_Localidades!AD62,0),IF($AB62="RT",ROUND(Proyeccion_Localidades!BA62,0),"*****"))))</f>
        <v>63176</v>
      </c>
      <c r="H62" s="66">
        <f>IF($AB62="TGD",ROUND($E62*(1+$AD62)^(H$4-$E$4),0),IF($AB62="ALTH",ROUND($AE62+$AF62*H$4,0),IF($AB62="IR",ROUND(Proyeccion_Localidades!AE62,0),IF($AB62="RT",ROUND(Proyeccion_Localidades!BB62,0),"*****"))))</f>
        <v>64835</v>
      </c>
      <c r="I62" s="66">
        <f>IF($AB62="TGD",ROUND($E62*(1+$AD62)^(I$4-$E$4),0),IF($AB62="ALTH",ROUND($AE62+$AF62*I$4,0),IF($AB62="IR",ROUND(Proyeccion_Localidades!AF62,0),IF($AB62="RT",ROUND(Proyeccion_Localidades!BC62,0),"*****"))))</f>
        <v>65398</v>
      </c>
      <c r="J62" s="66">
        <f>IF($AB62="TGD",ROUND($E62*(1+$AD62)^(J$4-$E$4),0),IF($AB62="ALTH",ROUND($AE62+$AF62*J$4,0),IF($AB62="IR",ROUND(Proyeccion_Localidades!AG62,0),IF($AB62="RT",ROUND(Proyeccion_Localidades!BD62,0),"*****"))))</f>
        <v>65965</v>
      </c>
      <c r="K62" s="66">
        <f>IF($AB62="TGD",ROUND($E62*(1+$AD62)^(K$4-$E$4),0),IF($AB62="ALTH",ROUND($AE62+$AF62*K$4,0),IF($AB62="IR",ROUND(Proyeccion_Localidades!AH62,0),IF($AB62="RT",ROUND(Proyeccion_Localidades!BE62,0),"*****"))))</f>
        <v>66538</v>
      </c>
      <c r="L62" s="66">
        <f>IF($AB62="TGD",ROUND($E62*(1+$AD62)^(L$4-$E$4),0),IF($AB62="ALTH",ROUND($AE62+$AF62*L$4,0),IF($AB62="IR",ROUND(Proyeccion_Localidades!AI62,0),IF($AB62="RT",ROUND(Proyeccion_Localidades!BF62,0),"*****"))))</f>
        <v>67115</v>
      </c>
      <c r="M62" s="66">
        <f>IF($AB62="TGD",ROUND($E62*(1+$AD62)^(M$4-$E$4),0),IF($AB62="ALTH",ROUND($AE62+$AF62*M$4,0),IF($AB62="IR",ROUND(Proyeccion_Localidades!AJ62,0),IF($AB62="RT",ROUND(Proyeccion_Localidades!BG62,0),"*****"))))</f>
        <v>67697</v>
      </c>
      <c r="N62" s="66">
        <f>IF($AB62="TGD",ROUND($E62*(1+$AD62)^(N$4-$E$4),0),IF($AB62="ALTH",ROUND($AE62+$AF62*N$4,0),IF($AB62="IR",ROUND(Proyeccion_Localidades!AK62,0),IF($AB62="RT",ROUND(Proyeccion_Localidades!BH62,0),"*****"))))</f>
        <v>68285</v>
      </c>
      <c r="O62" s="66">
        <f>IF($AB62="TGD",ROUND($E62*(1+$AD62)^(O$4-$E$4),0),IF($AB62="ALTH",ROUND($AE62+$AF62*O$4,0),IF($AB62="IR",ROUND(Proyeccion_Localidades!AL62,0),IF($AB62="RT",ROUND(Proyeccion_Localidades!BI62,0),"*****"))))</f>
        <v>68878</v>
      </c>
      <c r="P62" s="66">
        <f>IF($AB62="TGD",ROUND($E62*(1+$AD62)^(P$4-$E$4),0),IF($AB62="ALTH",ROUND($AE62+$AF62*P$4,0),IF($AB62="IR",ROUND(Proyeccion_Localidades!AM62,0),IF($AB62="RT",ROUND(Proyeccion_Localidades!BJ62,0),"*****"))))</f>
        <v>69475</v>
      </c>
      <c r="Q62" s="66">
        <f>IF($AB62="TGD",ROUND($E62*(1+$AD62)^(Q$4-$E$4),0),IF($AB62="ALTH",ROUND($AE62+$AF62*Q$4,0),IF($AB62="IR",ROUND(Proyeccion_Localidades!AN62,0),IF($AB62="RT",ROUND(Proyeccion_Localidades!BK62,0),"*****"))))</f>
        <v>70078</v>
      </c>
      <c r="R62" s="66">
        <f>IF($AB62="TGD",ROUND($E62*(1+$AD62)^(R$4-$E$4),0),IF($AB62="ALTH",ROUND($AE62+$AF62*R$4,0),IF($AB62="IR",ROUND(Proyeccion_Localidades!AO62,0),IF($AB62="RT",ROUND(Proyeccion_Localidades!BL62,0),"*****"))))</f>
        <v>70686</v>
      </c>
      <c r="S62" s="66">
        <f>IF($AB62="TGD",ROUND($E62*(1+$AD62)^(S$4-$E$4),0),IF($AB62="ALTH",ROUND($AE62+$AF62*S$4,0),IF($AB62="IR",ROUND(Proyeccion_Localidades!AP62,0),IF($AB62="RT",ROUND(Proyeccion_Localidades!BM62,0),"*****"))))</f>
        <v>71300</v>
      </c>
      <c r="T62" s="66">
        <f>IF($AB62="TGD",ROUND($E62*(1+$AD62)^(T$4-$E$4),0),IF($AB62="ALTH",ROUND($AE62+$AF62*T$4,0),IF($AB62="IR",ROUND(Proyeccion_Localidades!AQ62,0),IF($AB62="RT",ROUND(Proyeccion_Localidades!BN62,0),"*****"))))</f>
        <v>71919</v>
      </c>
      <c r="U62" s="66">
        <f>IF($AB62="TGD",ROUND($E62*(1+$AD62)^(U$4-$E$4),0),IF($AB62="ALTH",ROUND($AE62+$AF62*U$4,0),IF($AB62="IR",ROUND(Proyeccion_Localidades!AR62,0),IF($AB62="RT",ROUND(Proyeccion_Localidades!BO62,0),"*****"))))</f>
        <v>72543</v>
      </c>
      <c r="V62" s="66">
        <f>IF($AB62="TGD",ROUND($E62*(1+$AD62)^(V$4-$E$4),0),IF($AB62="ALTH",ROUND($AE62+$AF62*V$4,0),IF($AB62="IR",ROUND(Proyeccion_Localidades!AS62,0),IF($AB62="RT",ROUND(Proyeccion_Localidades!BP62,0),"*****"))))</f>
        <v>73172</v>
      </c>
      <c r="W62" s="66">
        <f>IF($AB62="TGD",ROUND($E62*(1+$AD62)^(W$4-$E$4),0),IF($AB62="ALTH",ROUND($AE62+$AF62*W$4,0),IF($AB62="IR",ROUND(Proyeccion_Localidades!AT62,0),IF($AB62="RT",ROUND(Proyeccion_Localidades!BQ62,0),"*****"))))</f>
        <v>73807</v>
      </c>
      <c r="X62" s="66">
        <f>IF($AB62="TGD",ROUND($E62*(1+$AD62)^(X$4-$E$4),0),IF($AB62="ALTH",ROUND($AE62+$AF62*X$4,0),IF($AB62="IR",ROUND(Proyeccion_Localidades!AU62,0),IF($AB62="RT",ROUND(Proyeccion_Localidades!BR62,0),"*****"))))</f>
        <v>74448</v>
      </c>
      <c r="Y62" s="66">
        <f>IF($AB62="TGD",ROUND($E62*(1+$AD62)^(Y$4-$E$4),0),IF($AB62="ALTH",ROUND($AE62+$AF62*Y$4,0),IF($AB62="IR",ROUND(Proyeccion_Localidades!AV62,0),IF($AB62="RT",ROUND(Proyeccion_Localidades!BS62,0),"*****"))))</f>
        <v>75094</v>
      </c>
      <c r="Z62" s="66">
        <f>IF($AB62="TGD",ROUND($E62*(1+$AD62)^(Z$4-$E$4),0),IF($AB62="ALTH",ROUND($AE62+$AF62*Z$4,0),IF($AB62="IR",ROUND(Proyeccion_Localidades!AW62,0),IF($AB62="RT",ROUND(Proyeccion_Localidades!BT62,0),"*****"))))</f>
        <v>75746</v>
      </c>
      <c r="AA62" s="66">
        <f>IF($AB62="TGD",ROUND($E62*(1+$AD62)^(AA$4-$E$4),0),IF($AB62="ALTH",ROUND($AE62+$AF62*AA$4,0),IF($AB62="IR",ROUND(Proyeccion_Localidades!AX62,0),IF($AB62="RT",ROUND(Proyeccion_Localidades!BU62,0),"*****"))))</f>
        <v>76403</v>
      </c>
      <c r="AB62" s="67" t="str">
        <f>Proyeccion_Localidades!N62</f>
        <v>TGD</v>
      </c>
      <c r="AC62" s="68" t="s">
        <v>35</v>
      </c>
      <c r="AD62" s="51">
        <f>IF(AB62="TGD",Proyeccion_Localidades!Z62,"-")</f>
        <v>8.6785576483277005E-3</v>
      </c>
      <c r="AE62" s="51" t="str">
        <f>IF($AB62="ALTH",Proyeccion_Localidades!AA62,"-")</f>
        <v>-</v>
      </c>
      <c r="AF62" s="51" t="str">
        <f>IF($AB62="ALTH",Proyeccion_Localidades!AB62,"-")</f>
        <v>-</v>
      </c>
      <c r="AG62" s="51"/>
      <c r="AH62" s="51"/>
      <c r="AI62" s="66">
        <f t="shared" si="2"/>
        <v>63176</v>
      </c>
    </row>
    <row r="63" spans="1:35" ht="24.95" customHeight="1">
      <c r="A63" s="69" t="str">
        <f>+Proyeccion_Localidades!C63</f>
        <v>Escobar</v>
      </c>
      <c r="B63" s="70">
        <f t="shared" si="4"/>
        <v>59</v>
      </c>
      <c r="C63" s="71" t="str">
        <f>+Proyeccion_Localidades!B63</f>
        <v>Escobar</v>
      </c>
      <c r="D63" s="261">
        <f t="shared" si="3"/>
        <v>59</v>
      </c>
      <c r="E63" s="72">
        <f>+Proyeccion_Localidades!F63</f>
        <v>212208</v>
      </c>
      <c r="F63" s="66">
        <f>IF($AB63="TGD",ROUND($E63*(1+$AD63)^(F$4-$E$4),0),IF($AB63="ALTH",ROUND($AE63+$AF63*F$4,0),IF($AB63="IR",ROUND(Proyeccion_Localidades!AC63,0),IF($AB63="RT",ROUND(Proyeccion_Localidades!AZ63,0),"*****"))))</f>
        <v>270687</v>
      </c>
      <c r="G63" s="66">
        <f>IF($AB63="TGD",ROUND($E63*(1+$AD63)^(G$4-$E$4),0),IF($AB63="ALTH",ROUND($AE63+$AF63*G$4,0),IF($AB63="IR",ROUND(Proyeccion_Localidades!AD63,0),IF($AB63="RT",ROUND(Proyeccion_Localidades!BA63,0),"*****"))))</f>
        <v>275450</v>
      </c>
      <c r="H63" s="66">
        <f>IF($AB63="TGD",ROUND($E63*(1+$AD63)^(H$4-$E$4),0),IF($AB63="ALTH",ROUND($AE63+$AF63*H$4,0),IF($AB63="IR",ROUND(Proyeccion_Localidades!AE63,0),IF($AB63="RT",ROUND(Proyeccion_Localidades!BB63,0),"*****"))))</f>
        <v>289741</v>
      </c>
      <c r="I63" s="66">
        <f>IF($AB63="TGD",ROUND($E63*(1+$AD63)^(I$4-$E$4),0),IF($AB63="ALTH",ROUND($AE63+$AF63*I$4,0),IF($AB63="IR",ROUND(Proyeccion_Localidades!AF63,0),IF($AB63="RT",ROUND(Proyeccion_Localidades!BC63,0),"*****"))))</f>
        <v>294504</v>
      </c>
      <c r="J63" s="66">
        <f>IF($AB63="TGD",ROUND($E63*(1+$AD63)^(J$4-$E$4),0),IF($AB63="ALTH",ROUND($AE63+$AF63*J$4,0),IF($AB63="IR",ROUND(Proyeccion_Localidades!AG63,0),IF($AB63="RT",ROUND(Proyeccion_Localidades!BD63,0),"*****"))))</f>
        <v>299268</v>
      </c>
      <c r="K63" s="66">
        <f>IF($AB63="TGD",ROUND($E63*(1+$AD63)^(K$4-$E$4),0),IF($AB63="ALTH",ROUND($AE63+$AF63*K$4,0),IF($AB63="IR",ROUND(Proyeccion_Localidades!AH63,0),IF($AB63="RT",ROUND(Proyeccion_Localidades!BE63,0),"*****"))))</f>
        <v>304031</v>
      </c>
      <c r="L63" s="66">
        <f>IF($AB63="TGD",ROUND($E63*(1+$AD63)^(L$4-$E$4),0),IF($AB63="ALTH",ROUND($AE63+$AF63*L$4,0),IF($AB63="IR",ROUND(Proyeccion_Localidades!AI63,0),IF($AB63="RT",ROUND(Proyeccion_Localidades!BF63,0),"*****"))))</f>
        <v>308795</v>
      </c>
      <c r="M63" s="66">
        <f>IF($AB63="TGD",ROUND($E63*(1+$AD63)^(M$4-$E$4),0),IF($AB63="ALTH",ROUND($AE63+$AF63*M$4,0),IF($AB63="IR",ROUND(Proyeccion_Localidades!AJ63,0),IF($AB63="RT",ROUND(Proyeccion_Localidades!BG63,0),"*****"))))</f>
        <v>313558</v>
      </c>
      <c r="N63" s="66">
        <f>IF($AB63="TGD",ROUND($E63*(1+$AD63)^(N$4-$E$4),0),IF($AB63="ALTH",ROUND($AE63+$AF63*N$4,0),IF($AB63="IR",ROUND(Proyeccion_Localidades!AK63,0),IF($AB63="RT",ROUND(Proyeccion_Localidades!BH63,0),"*****"))))</f>
        <v>318322</v>
      </c>
      <c r="O63" s="66">
        <f>IF($AB63="TGD",ROUND($E63*(1+$AD63)^(O$4-$E$4),0),IF($AB63="ALTH",ROUND($AE63+$AF63*O$4,0),IF($AB63="IR",ROUND(Proyeccion_Localidades!AL63,0),IF($AB63="RT",ROUND(Proyeccion_Localidades!BI63,0),"*****"))))</f>
        <v>323085</v>
      </c>
      <c r="P63" s="66">
        <f>IF($AB63="TGD",ROUND($E63*(1+$AD63)^(P$4-$E$4),0),IF($AB63="ALTH",ROUND($AE63+$AF63*P$4,0),IF($AB63="IR",ROUND(Proyeccion_Localidades!AM63,0),IF($AB63="RT",ROUND(Proyeccion_Localidades!BJ63,0),"*****"))))</f>
        <v>327849</v>
      </c>
      <c r="Q63" s="66">
        <f>IF($AB63="TGD",ROUND($E63*(1+$AD63)^(Q$4-$E$4),0),IF($AB63="ALTH",ROUND($AE63+$AF63*Q$4,0),IF($AB63="IR",ROUND(Proyeccion_Localidades!AN63,0),IF($AB63="RT",ROUND(Proyeccion_Localidades!BK63,0),"*****"))))</f>
        <v>332612</v>
      </c>
      <c r="R63" s="66">
        <f>IF($AB63="TGD",ROUND($E63*(1+$AD63)^(R$4-$E$4),0),IF($AB63="ALTH",ROUND($AE63+$AF63*R$4,0),IF($AB63="IR",ROUND(Proyeccion_Localidades!AO63,0),IF($AB63="RT",ROUND(Proyeccion_Localidades!BL63,0),"*****"))))</f>
        <v>337376</v>
      </c>
      <c r="S63" s="66">
        <f>IF($AB63="TGD",ROUND($E63*(1+$AD63)^(S$4-$E$4),0),IF($AB63="ALTH",ROUND($AE63+$AF63*S$4,0),IF($AB63="IR",ROUND(Proyeccion_Localidades!AP63,0),IF($AB63="RT",ROUND(Proyeccion_Localidades!BM63,0),"*****"))))</f>
        <v>342140</v>
      </c>
      <c r="T63" s="66">
        <f>IF($AB63="TGD",ROUND($E63*(1+$AD63)^(T$4-$E$4),0),IF($AB63="ALTH",ROUND($AE63+$AF63*T$4,0),IF($AB63="IR",ROUND(Proyeccion_Localidades!AQ63,0),IF($AB63="RT",ROUND(Proyeccion_Localidades!BN63,0),"*****"))))</f>
        <v>346903</v>
      </c>
      <c r="U63" s="66">
        <f>IF($AB63="TGD",ROUND($E63*(1+$AD63)^(U$4-$E$4),0),IF($AB63="ALTH",ROUND($AE63+$AF63*U$4,0),IF($AB63="IR",ROUND(Proyeccion_Localidades!AR63,0),IF($AB63="RT",ROUND(Proyeccion_Localidades!BO63,0),"*****"))))</f>
        <v>351667</v>
      </c>
      <c r="V63" s="66">
        <f>IF($AB63="TGD",ROUND($E63*(1+$AD63)^(V$4-$E$4),0),IF($AB63="ALTH",ROUND($AE63+$AF63*V$4,0),IF($AB63="IR",ROUND(Proyeccion_Localidades!AS63,0),IF($AB63="RT",ROUND(Proyeccion_Localidades!BP63,0),"*****"))))</f>
        <v>356430</v>
      </c>
      <c r="W63" s="66">
        <f>IF($AB63="TGD",ROUND($E63*(1+$AD63)^(W$4-$E$4),0),IF($AB63="ALTH",ROUND($AE63+$AF63*W$4,0),IF($AB63="IR",ROUND(Proyeccion_Localidades!AT63,0),IF($AB63="RT",ROUND(Proyeccion_Localidades!BQ63,0),"*****"))))</f>
        <v>361194</v>
      </c>
      <c r="X63" s="66">
        <f>IF($AB63="TGD",ROUND($E63*(1+$AD63)^(X$4-$E$4),0),IF($AB63="ALTH",ROUND($AE63+$AF63*X$4,0),IF($AB63="IR",ROUND(Proyeccion_Localidades!AU63,0),IF($AB63="RT",ROUND(Proyeccion_Localidades!BR63,0),"*****"))))</f>
        <v>365957</v>
      </c>
      <c r="Y63" s="66">
        <f>IF($AB63="TGD",ROUND($E63*(1+$AD63)^(Y$4-$E$4),0),IF($AB63="ALTH",ROUND($AE63+$AF63*Y$4,0),IF($AB63="IR",ROUND(Proyeccion_Localidades!AV63,0),IF($AB63="RT",ROUND(Proyeccion_Localidades!BS63,0),"*****"))))</f>
        <v>370721</v>
      </c>
      <c r="Z63" s="66">
        <f>IF($AB63="TGD",ROUND($E63*(1+$AD63)^(Z$4-$E$4),0),IF($AB63="ALTH",ROUND($AE63+$AF63*Z$4,0),IF($AB63="IR",ROUND(Proyeccion_Localidades!AW63,0),IF($AB63="RT",ROUND(Proyeccion_Localidades!BT63,0),"*****"))))</f>
        <v>375484</v>
      </c>
      <c r="AA63" s="66">
        <f>IF($AB63="TGD",ROUND($E63*(1+$AD63)^(AA$4-$E$4),0),IF($AB63="ALTH",ROUND($AE63+$AF63*AA$4,0),IF($AB63="IR",ROUND(Proyeccion_Localidades!AX63,0),IF($AB63="RT",ROUND(Proyeccion_Localidades!BU63,0),"*****"))))</f>
        <v>380248</v>
      </c>
      <c r="AB63" s="67" t="str">
        <f>Proyeccion_Localidades!N63</f>
        <v>ALTH</v>
      </c>
      <c r="AC63" s="68" t="s">
        <v>36</v>
      </c>
      <c r="AD63" s="51" t="str">
        <f>IF(AB63="TGD",Proyeccion_Localidades!Z63,"-")</f>
        <v>-</v>
      </c>
      <c r="AE63" s="51">
        <f>IF($AB63="ALTH",Proyeccion_Localidades!AA63,"-")</f>
        <v>-9361128.7896678951</v>
      </c>
      <c r="AF63" s="51">
        <f>IF($AB63="ALTH",Proyeccion_Localidades!AB63,"-")</f>
        <v>4763.5092250922498</v>
      </c>
      <c r="AG63" s="51"/>
      <c r="AH63" s="51"/>
      <c r="AI63" s="66">
        <f t="shared" si="2"/>
        <v>275450</v>
      </c>
    </row>
    <row r="64" spans="1:35" ht="24.95" customHeight="1">
      <c r="A64" s="69" t="str">
        <f>+Proyeccion_Localidades!C64</f>
        <v>Exaltación de la Cruz</v>
      </c>
      <c r="B64" s="70">
        <f t="shared" si="4"/>
        <v>60</v>
      </c>
      <c r="C64" s="71" t="str">
        <f>+Proyeccion_Localidades!B64</f>
        <v>Capilla del Señor</v>
      </c>
      <c r="D64" s="261">
        <f t="shared" si="3"/>
        <v>60</v>
      </c>
      <c r="E64" s="72">
        <f>+Proyeccion_Localidades!F64</f>
        <v>9244</v>
      </c>
      <c r="F64" s="66">
        <f>IF($AB64="TGD",ROUND($E64*(1+$AD64)^(F$4-$E$4),0),IF($AB64="ALTH",ROUND($AE64+$AF64*F$4,0),IF($AB64="IR",ROUND(Proyeccion_Localidades!AC64,0),IF($AB64="RT",ROUND(Proyeccion_Localidades!AZ64,0),"*****"))))</f>
        <v>11919</v>
      </c>
      <c r="G64" s="66">
        <f>IF($AB64="TGD",ROUND($E64*(1+$AD64)^(G$4-$E$4),0),IF($AB64="ALTH",ROUND($AE64+$AF64*G$4,0),IF($AB64="IR",ROUND(Proyeccion_Localidades!AD64,0),IF($AB64="RT",ROUND(Proyeccion_Localidades!BA64,0),"*****"))))</f>
        <v>12166</v>
      </c>
      <c r="H64" s="66">
        <f>IF($AB64="TGD",ROUND($E64*(1+$AD64)^(H$4-$E$4),0),IF($AB64="ALTH",ROUND($AE64+$AF64*H$4,0),IF($AB64="IR",ROUND(Proyeccion_Localidades!AE64,0),IF($AB64="RT",ROUND(Proyeccion_Localidades!BB64,0),"*****"))))</f>
        <v>12932</v>
      </c>
      <c r="I64" s="66">
        <f>IF($AB64="TGD",ROUND($E64*(1+$AD64)^(I$4-$E$4),0),IF($AB64="ALTH",ROUND($AE64+$AF64*I$4,0),IF($AB64="IR",ROUND(Proyeccion_Localidades!AF64,0),IF($AB64="RT",ROUND(Proyeccion_Localidades!BC64,0),"*****"))))</f>
        <v>13196</v>
      </c>
      <c r="J64" s="66">
        <f>IF($AB64="TGD",ROUND($E64*(1+$AD64)^(J$4-$E$4),0),IF($AB64="ALTH",ROUND($AE64+$AF64*J$4,0),IF($AB64="IR",ROUND(Proyeccion_Localidades!AG64,0),IF($AB64="RT",ROUND(Proyeccion_Localidades!BD64,0),"*****"))))</f>
        <v>13464</v>
      </c>
      <c r="K64" s="66">
        <f>IF($AB64="TGD",ROUND($E64*(1+$AD64)^(K$4-$E$4),0),IF($AB64="ALTH",ROUND($AE64+$AF64*K$4,0),IF($AB64="IR",ROUND(Proyeccion_Localidades!AH64,0),IF($AB64="RT",ROUND(Proyeccion_Localidades!BE64,0),"*****"))))</f>
        <v>13737</v>
      </c>
      <c r="L64" s="66">
        <f>IF($AB64="TGD",ROUND($E64*(1+$AD64)^(L$4-$E$4),0),IF($AB64="ALTH",ROUND($AE64+$AF64*L$4,0),IF($AB64="IR",ROUND(Proyeccion_Localidades!AI64,0),IF($AB64="RT",ROUND(Proyeccion_Localidades!BF64,0),"*****"))))</f>
        <v>14013</v>
      </c>
      <c r="M64" s="66">
        <f>IF($AB64="TGD",ROUND($E64*(1+$AD64)^(M$4-$E$4),0),IF($AB64="ALTH",ROUND($AE64+$AF64*M$4,0),IF($AB64="IR",ROUND(Proyeccion_Localidades!AJ64,0),IF($AB64="RT",ROUND(Proyeccion_Localidades!BG64,0),"*****"))))</f>
        <v>14295</v>
      </c>
      <c r="N64" s="66">
        <f>IF($AB64="TGD",ROUND($E64*(1+$AD64)^(N$4-$E$4),0),IF($AB64="ALTH",ROUND($AE64+$AF64*N$4,0),IF($AB64="IR",ROUND(Proyeccion_Localidades!AK64,0),IF($AB64="RT",ROUND(Proyeccion_Localidades!BH64,0),"*****"))))</f>
        <v>14581</v>
      </c>
      <c r="O64" s="66">
        <f>IF($AB64="TGD",ROUND($E64*(1+$AD64)^(O$4-$E$4),0),IF($AB64="ALTH",ROUND($AE64+$AF64*O$4,0),IF($AB64="IR",ROUND(Proyeccion_Localidades!AL64,0),IF($AB64="RT",ROUND(Proyeccion_Localidades!BI64,0),"*****"))))</f>
        <v>14872</v>
      </c>
      <c r="P64" s="66">
        <f>IF($AB64="TGD",ROUND($E64*(1+$AD64)^(P$4-$E$4),0),IF($AB64="ALTH",ROUND($AE64+$AF64*P$4,0),IF($AB64="IR",ROUND(Proyeccion_Localidades!AM64,0),IF($AB64="RT",ROUND(Proyeccion_Localidades!BJ64,0),"*****"))))</f>
        <v>15167</v>
      </c>
      <c r="Q64" s="66">
        <f>IF($AB64="TGD",ROUND($E64*(1+$AD64)^(Q$4-$E$4),0),IF($AB64="ALTH",ROUND($AE64+$AF64*Q$4,0),IF($AB64="IR",ROUND(Proyeccion_Localidades!AN64,0),IF($AB64="RT",ROUND(Proyeccion_Localidades!BK64,0),"*****"))))</f>
        <v>15467</v>
      </c>
      <c r="R64" s="66">
        <f>IF($AB64="TGD",ROUND($E64*(1+$AD64)^(R$4-$E$4),0),IF($AB64="ALTH",ROUND($AE64+$AF64*R$4,0),IF($AB64="IR",ROUND(Proyeccion_Localidades!AO64,0),IF($AB64="RT",ROUND(Proyeccion_Localidades!BL64,0),"*****"))))</f>
        <v>15772</v>
      </c>
      <c r="S64" s="66">
        <f>IF($AB64="TGD",ROUND($E64*(1+$AD64)^(S$4-$E$4),0),IF($AB64="ALTH",ROUND($AE64+$AF64*S$4,0),IF($AB64="IR",ROUND(Proyeccion_Localidades!AP64,0),IF($AB64="RT",ROUND(Proyeccion_Localidades!BM64,0),"*****"))))</f>
        <v>16082</v>
      </c>
      <c r="T64" s="66">
        <f>IF($AB64="TGD",ROUND($E64*(1+$AD64)^(T$4-$E$4),0),IF($AB64="ALTH",ROUND($AE64+$AF64*T$4,0),IF($AB64="IR",ROUND(Proyeccion_Localidades!AQ64,0),IF($AB64="RT",ROUND(Proyeccion_Localidades!BN64,0),"*****"))))</f>
        <v>16398</v>
      </c>
      <c r="U64" s="66">
        <f>IF($AB64="TGD",ROUND($E64*(1+$AD64)^(U$4-$E$4),0),IF($AB64="ALTH",ROUND($AE64+$AF64*U$4,0),IF($AB64="IR",ROUND(Proyeccion_Localidades!AR64,0),IF($AB64="RT",ROUND(Proyeccion_Localidades!BO64,0),"*****"))))</f>
        <v>16718</v>
      </c>
      <c r="V64" s="66">
        <f>IF($AB64="TGD",ROUND($E64*(1+$AD64)^(V$4-$E$4),0),IF($AB64="ALTH",ROUND($AE64+$AF64*V$4,0),IF($AB64="IR",ROUND(Proyeccion_Localidades!AS64,0),IF($AB64="RT",ROUND(Proyeccion_Localidades!BP64,0),"*****"))))</f>
        <v>17043</v>
      </c>
      <c r="W64" s="66">
        <f>IF($AB64="TGD",ROUND($E64*(1+$AD64)^(W$4-$E$4),0),IF($AB64="ALTH",ROUND($AE64+$AF64*W$4,0),IF($AB64="IR",ROUND(Proyeccion_Localidades!AT64,0),IF($AB64="RT",ROUND(Proyeccion_Localidades!BQ64,0),"*****"))))</f>
        <v>17374</v>
      </c>
      <c r="X64" s="66">
        <f>IF($AB64="TGD",ROUND($E64*(1+$AD64)^(X$4-$E$4),0),IF($AB64="ALTH",ROUND($AE64+$AF64*X$4,0),IF($AB64="IR",ROUND(Proyeccion_Localidades!AU64,0),IF($AB64="RT",ROUND(Proyeccion_Localidades!BR64,0),"*****"))))</f>
        <v>17710</v>
      </c>
      <c r="Y64" s="66">
        <f>IF($AB64="TGD",ROUND($E64*(1+$AD64)^(Y$4-$E$4),0),IF($AB64="ALTH",ROUND($AE64+$AF64*Y$4,0),IF($AB64="IR",ROUND(Proyeccion_Localidades!AV64,0),IF($AB64="RT",ROUND(Proyeccion_Localidades!BS64,0),"*****"))))</f>
        <v>18052</v>
      </c>
      <c r="Z64" s="66">
        <f>IF($AB64="TGD",ROUND($E64*(1+$AD64)^(Z$4-$E$4),0),IF($AB64="ALTH",ROUND($AE64+$AF64*Z$4,0),IF($AB64="IR",ROUND(Proyeccion_Localidades!AW64,0),IF($AB64="RT",ROUND(Proyeccion_Localidades!BT64,0),"*****"))))</f>
        <v>18399</v>
      </c>
      <c r="AA64" s="66">
        <f>IF($AB64="TGD",ROUND($E64*(1+$AD64)^(AA$4-$E$4),0),IF($AB64="ALTH",ROUND($AE64+$AF64*AA$4,0),IF($AB64="IR",ROUND(Proyeccion_Localidades!AX64,0),IF($AB64="RT",ROUND(Proyeccion_Localidades!BU64,0),"*****"))))</f>
        <v>18752</v>
      </c>
      <c r="AB64" s="67" t="str">
        <f>Proyeccion_Localidades!N64</f>
        <v>IR</v>
      </c>
      <c r="AC64" s="73"/>
      <c r="AD64" s="51" t="str">
        <f>IF(AB64="TGD",Proyeccion_Localidades!Z64,"-")</f>
        <v>-</v>
      </c>
      <c r="AE64" s="51" t="str">
        <f>IF($AB64="ALTH",Proyeccion_Localidades!AA64,"-")</f>
        <v>-</v>
      </c>
      <c r="AF64" s="51" t="str">
        <f>IF($AB64="ALTH",Proyeccion_Localidades!AB64,"-")</f>
        <v>-</v>
      </c>
      <c r="AG64" s="51"/>
      <c r="AH64" s="51"/>
      <c r="AI64" s="66">
        <f t="shared" si="2"/>
        <v>12166</v>
      </c>
    </row>
    <row r="65" spans="1:35" ht="24.95" customHeight="1">
      <c r="A65" s="69" t="str">
        <f>+Proyeccion_Localidades!C65</f>
        <v>Florentino Ameghino</v>
      </c>
      <c r="B65" s="70">
        <f t="shared" si="4"/>
        <v>61</v>
      </c>
      <c r="C65" s="71" t="str">
        <f>+Proyeccion_Localidades!B65</f>
        <v>Florentino Ameghino</v>
      </c>
      <c r="D65" s="261">
        <f t="shared" si="3"/>
        <v>61</v>
      </c>
      <c r="E65" s="72">
        <f>+Proyeccion_Localidades!F65</f>
        <v>7225</v>
      </c>
      <c r="F65" s="66">
        <f>IF($AB65="TGD",ROUND($E65*(1+$AD65)^(F$4-$E$4),0),IF($AB65="ALTH",ROUND($AE65+$AF65*F$4,0),IF($AB65="IR",ROUND(Proyeccion_Localidades!AC65,0),IF($AB65="RT",ROUND(Proyeccion_Localidades!AZ65,0),"*****"))))</f>
        <v>8488</v>
      </c>
      <c r="G65" s="66">
        <f>IF($AB65="TGD",ROUND($E65*(1+$AD65)^(G$4-$E$4),0),IF($AB65="ALTH",ROUND($AE65+$AF65*G$4,0),IF($AB65="IR",ROUND(Proyeccion_Localidades!AD65,0),IF($AB65="RT",ROUND(Proyeccion_Localidades!BA65,0),"*****"))))</f>
        <v>8595</v>
      </c>
      <c r="H65" s="66">
        <f>IF($AB65="TGD",ROUND($E65*(1+$AD65)^(H$4-$E$4),0),IF($AB65="ALTH",ROUND($AE65+$AF65*H$4,0),IF($AB65="IR",ROUND(Proyeccion_Localidades!AE65,0),IF($AB65="RT",ROUND(Proyeccion_Localidades!BB65,0),"*****"))))</f>
        <v>8915</v>
      </c>
      <c r="I65" s="66">
        <f>IF($AB65="TGD",ROUND($E65*(1+$AD65)^(I$4-$E$4),0),IF($AB65="ALTH",ROUND($AE65+$AF65*I$4,0),IF($AB65="IR",ROUND(Proyeccion_Localidades!AF65,0),IF($AB65="RT",ROUND(Proyeccion_Localidades!BC65,0),"*****"))))</f>
        <v>9021</v>
      </c>
      <c r="J65" s="66">
        <f>IF($AB65="TGD",ROUND($E65*(1+$AD65)^(J$4-$E$4),0),IF($AB65="ALTH",ROUND($AE65+$AF65*J$4,0),IF($AB65="IR",ROUND(Proyeccion_Localidades!AG65,0),IF($AB65="RT",ROUND(Proyeccion_Localidades!BD65,0),"*****"))))</f>
        <v>9128</v>
      </c>
      <c r="K65" s="66">
        <f>IF($AB65="TGD",ROUND($E65*(1+$AD65)^(K$4-$E$4),0),IF($AB65="ALTH",ROUND($AE65+$AF65*K$4,0),IF($AB65="IR",ROUND(Proyeccion_Localidades!AH65,0),IF($AB65="RT",ROUND(Proyeccion_Localidades!BE65,0),"*****"))))</f>
        <v>9235</v>
      </c>
      <c r="L65" s="66">
        <f>IF($AB65="TGD",ROUND($E65*(1+$AD65)^(L$4-$E$4),0),IF($AB65="ALTH",ROUND($AE65+$AF65*L$4,0),IF($AB65="IR",ROUND(Proyeccion_Localidades!AI65,0),IF($AB65="RT",ROUND(Proyeccion_Localidades!BF65,0),"*****"))))</f>
        <v>9341</v>
      </c>
      <c r="M65" s="66">
        <f>IF($AB65="TGD",ROUND($E65*(1+$AD65)^(M$4-$E$4),0),IF($AB65="ALTH",ROUND($AE65+$AF65*M$4,0),IF($AB65="IR",ROUND(Proyeccion_Localidades!AJ65,0),IF($AB65="RT",ROUND(Proyeccion_Localidades!BG65,0),"*****"))))</f>
        <v>9448</v>
      </c>
      <c r="N65" s="66">
        <f>IF($AB65="TGD",ROUND($E65*(1+$AD65)^(N$4-$E$4),0),IF($AB65="ALTH",ROUND($AE65+$AF65*N$4,0),IF($AB65="IR",ROUND(Proyeccion_Localidades!AK65,0),IF($AB65="RT",ROUND(Proyeccion_Localidades!BH65,0),"*****"))))</f>
        <v>9555</v>
      </c>
      <c r="O65" s="66">
        <f>IF($AB65="TGD",ROUND($E65*(1+$AD65)^(O$4-$E$4),0),IF($AB65="ALTH",ROUND($AE65+$AF65*O$4,0),IF($AB65="IR",ROUND(Proyeccion_Localidades!AL65,0),IF($AB65="RT",ROUND(Proyeccion_Localidades!BI65,0),"*****"))))</f>
        <v>9661</v>
      </c>
      <c r="P65" s="66">
        <f>IF($AB65="TGD",ROUND($E65*(1+$AD65)^(P$4-$E$4),0),IF($AB65="ALTH",ROUND($AE65+$AF65*P$4,0),IF($AB65="IR",ROUND(Proyeccion_Localidades!AM65,0),IF($AB65="RT",ROUND(Proyeccion_Localidades!BJ65,0),"*****"))))</f>
        <v>9768</v>
      </c>
      <c r="Q65" s="66">
        <f>IF($AB65="TGD",ROUND($E65*(1+$AD65)^(Q$4-$E$4),0),IF($AB65="ALTH",ROUND($AE65+$AF65*Q$4,0),IF($AB65="IR",ROUND(Proyeccion_Localidades!AN65,0),IF($AB65="RT",ROUND(Proyeccion_Localidades!BK65,0),"*****"))))</f>
        <v>9875</v>
      </c>
      <c r="R65" s="66">
        <f>IF($AB65="TGD",ROUND($E65*(1+$AD65)^(R$4-$E$4),0),IF($AB65="ALTH",ROUND($AE65+$AF65*R$4,0),IF($AB65="IR",ROUND(Proyeccion_Localidades!AO65,0),IF($AB65="RT",ROUND(Proyeccion_Localidades!BL65,0),"*****"))))</f>
        <v>9981</v>
      </c>
      <c r="S65" s="66">
        <f>IF($AB65="TGD",ROUND($E65*(1+$AD65)^(S$4-$E$4),0),IF($AB65="ALTH",ROUND($AE65+$AF65*S$4,0),IF($AB65="IR",ROUND(Proyeccion_Localidades!AP65,0),IF($AB65="RT",ROUND(Proyeccion_Localidades!BM65,0),"*****"))))</f>
        <v>10088</v>
      </c>
      <c r="T65" s="66">
        <f>IF($AB65="TGD",ROUND($E65*(1+$AD65)^(T$4-$E$4),0),IF($AB65="ALTH",ROUND($AE65+$AF65*T$4,0),IF($AB65="IR",ROUND(Proyeccion_Localidades!AQ65,0),IF($AB65="RT",ROUND(Proyeccion_Localidades!BN65,0),"*****"))))</f>
        <v>10195</v>
      </c>
      <c r="U65" s="66">
        <f>IF($AB65="TGD",ROUND($E65*(1+$AD65)^(U$4-$E$4),0),IF($AB65="ALTH",ROUND($AE65+$AF65*U$4,0),IF($AB65="IR",ROUND(Proyeccion_Localidades!AR65,0),IF($AB65="RT",ROUND(Proyeccion_Localidades!BO65,0),"*****"))))</f>
        <v>10301</v>
      </c>
      <c r="V65" s="66">
        <f>IF($AB65="TGD",ROUND($E65*(1+$AD65)^(V$4-$E$4),0),IF($AB65="ALTH",ROUND($AE65+$AF65*V$4,0),IF($AB65="IR",ROUND(Proyeccion_Localidades!AS65,0),IF($AB65="RT",ROUND(Proyeccion_Localidades!BP65,0),"*****"))))</f>
        <v>10408</v>
      </c>
      <c r="W65" s="66">
        <f>IF($AB65="TGD",ROUND($E65*(1+$AD65)^(W$4-$E$4),0),IF($AB65="ALTH",ROUND($AE65+$AF65*W$4,0),IF($AB65="IR",ROUND(Proyeccion_Localidades!AT65,0),IF($AB65="RT",ROUND(Proyeccion_Localidades!BQ65,0),"*****"))))</f>
        <v>10515</v>
      </c>
      <c r="X65" s="66">
        <f>IF($AB65="TGD",ROUND($E65*(1+$AD65)^(X$4-$E$4),0),IF($AB65="ALTH",ROUND($AE65+$AF65*X$4,0),IF($AB65="IR",ROUND(Proyeccion_Localidades!AU65,0),IF($AB65="RT",ROUND(Proyeccion_Localidades!BR65,0),"*****"))))</f>
        <v>10621</v>
      </c>
      <c r="Y65" s="66">
        <f>IF($AB65="TGD",ROUND($E65*(1+$AD65)^(Y$4-$E$4),0),IF($AB65="ALTH",ROUND($AE65+$AF65*Y$4,0),IF($AB65="IR",ROUND(Proyeccion_Localidades!AV65,0),IF($AB65="RT",ROUND(Proyeccion_Localidades!BS65,0),"*****"))))</f>
        <v>10728</v>
      </c>
      <c r="Z65" s="66">
        <f>IF($AB65="TGD",ROUND($E65*(1+$AD65)^(Z$4-$E$4),0),IF($AB65="ALTH",ROUND($AE65+$AF65*Z$4,0),IF($AB65="IR",ROUND(Proyeccion_Localidades!AW65,0),IF($AB65="RT",ROUND(Proyeccion_Localidades!BT65,0),"*****"))))</f>
        <v>10834</v>
      </c>
      <c r="AA65" s="66">
        <f>IF($AB65="TGD",ROUND($E65*(1+$AD65)^(AA$4-$E$4),0),IF($AB65="ALTH",ROUND($AE65+$AF65*AA$4,0),IF($AB65="IR",ROUND(Proyeccion_Localidades!AX65,0),IF($AB65="RT",ROUND(Proyeccion_Localidades!BU65,0),"*****"))))</f>
        <v>10941</v>
      </c>
      <c r="AB65" s="67" t="str">
        <f>Proyeccion_Localidades!N65</f>
        <v>ALTH</v>
      </c>
      <c r="AC65" s="68" t="s">
        <v>36</v>
      </c>
      <c r="AD65" s="51" t="str">
        <f>IF(AB65="TGD",Proyeccion_Localidades!Z65,"-")</f>
        <v>-</v>
      </c>
      <c r="AE65" s="51">
        <f>IF($AB65="ALTH",Proyeccion_Localidades!AA65,"-")</f>
        <v>-207156.99261992614</v>
      </c>
      <c r="AF65" s="51">
        <f>IF($AB65="ALTH",Proyeccion_Localidades!AB65,"-")</f>
        <v>106.64944649446491</v>
      </c>
      <c r="AG65" s="51"/>
      <c r="AH65" s="51"/>
      <c r="AI65" s="66">
        <f t="shared" si="2"/>
        <v>8595</v>
      </c>
    </row>
    <row r="66" spans="1:35" ht="24.95" customHeight="1">
      <c r="A66" s="69" t="str">
        <f>+Proyeccion_Localidades!C66</f>
        <v>General Alvarado</v>
      </c>
      <c r="B66" s="70">
        <f t="shared" si="4"/>
        <v>62</v>
      </c>
      <c r="C66" s="71" t="str">
        <f>+Proyeccion_Localidades!B66</f>
        <v>Miramar</v>
      </c>
      <c r="D66" s="261">
        <f t="shared" si="3"/>
        <v>62</v>
      </c>
      <c r="E66" s="72">
        <f>+Verif!E66+ROUND(Verif!E67*122/365,0)</f>
        <v>40460</v>
      </c>
      <c r="F66" s="365">
        <f>+Verif!F66+ROUND(Verif!F67*122/365,0)</f>
        <v>48797</v>
      </c>
      <c r="G66" s="365">
        <f>+Verif!G66+ROUND(Verif!G67*122/365,0)</f>
        <v>49510</v>
      </c>
      <c r="H66" s="365">
        <f>+Verif!H66+ROUND(Verif!H67*122/365,0)</f>
        <v>51647</v>
      </c>
      <c r="I66" s="365">
        <f>+Verif!I66+ROUND(Verif!I67*122/365,0)</f>
        <v>52359</v>
      </c>
      <c r="J66" s="365">
        <f>+Verif!J66+ROUND(Verif!J67*122/365,0)</f>
        <v>53073</v>
      </c>
      <c r="K66" s="365">
        <f>+Verif!K66+ROUND(Verif!K67*122/365,0)</f>
        <v>53785</v>
      </c>
      <c r="L66" s="365">
        <f>+Verif!L66+ROUND(Verif!L67*122/365,0)</f>
        <v>54497</v>
      </c>
      <c r="M66" s="365">
        <f>+Verif!M66+ROUND(Verif!M67*122/365,0)</f>
        <v>55210</v>
      </c>
      <c r="N66" s="365">
        <f>+Verif!N66+ROUND(Verif!N67*122/365,0)</f>
        <v>55922</v>
      </c>
      <c r="O66" s="365">
        <f>+Verif!O66+ROUND(Verif!O67*122/365,0)</f>
        <v>56635</v>
      </c>
      <c r="P66" s="365">
        <f>+Verif!P66+ROUND(Verif!P67*122/365,0)</f>
        <v>57348</v>
      </c>
      <c r="Q66" s="365">
        <f>+Verif!Q66+ROUND(Verif!Q67*122/365,0)</f>
        <v>58060</v>
      </c>
      <c r="R66" s="365">
        <f>+Verif!R66+ROUND(Verif!R67*122/365,0)</f>
        <v>58772</v>
      </c>
      <c r="S66" s="365">
        <f>+Verif!S66+ROUND(Verif!S67*122/365,0)</f>
        <v>59485</v>
      </c>
      <c r="T66" s="365">
        <f>+Verif!T66+ROUND(Verif!T67*122/365,0)</f>
        <v>60197</v>
      </c>
      <c r="U66" s="365">
        <f>+Verif!U66+ROUND(Verif!U67*122/365,0)</f>
        <v>60910</v>
      </c>
      <c r="V66" s="365">
        <f>+Verif!V66+ROUND(Verif!V67*122/365,0)</f>
        <v>61623</v>
      </c>
      <c r="W66" s="365">
        <f>+Verif!W66+ROUND(Verif!W67*122/365,0)</f>
        <v>62335</v>
      </c>
      <c r="X66" s="365">
        <f>+Verif!X66+ROUND(Verif!X67*122/365,0)</f>
        <v>63047</v>
      </c>
      <c r="Y66" s="365">
        <f>+Verif!Y66+ROUND(Verif!Y67*122/365,0)</f>
        <v>63760</v>
      </c>
      <c r="Z66" s="365">
        <f>+Verif!Z66+ROUND(Verif!Z67*122/365,0)</f>
        <v>64473</v>
      </c>
      <c r="AA66" s="365">
        <f>+Verif!AA66+ROUND(Verif!AA67*122/365,0)</f>
        <v>65185</v>
      </c>
      <c r="AB66" s="67" t="str">
        <f>Proyeccion_Localidades!N66</f>
        <v>ALTH</v>
      </c>
      <c r="AC66" s="68" t="s">
        <v>36</v>
      </c>
      <c r="AD66" s="51" t="str">
        <f>IF(AB66="TGD",Proyeccion_Localidades!Z66,"-")</f>
        <v>-</v>
      </c>
      <c r="AE66" s="51">
        <f>IF($AB66="ALTH",Proyeccion_Localidades!AA66,"-")</f>
        <v>-1012584.8597785978</v>
      </c>
      <c r="AF66" s="51">
        <f>IF($AB66="ALTH",Proyeccion_Localidades!AB66,"-")</f>
        <v>518.33948339483391</v>
      </c>
      <c r="AG66" s="51"/>
      <c r="AH66" s="51"/>
      <c r="AI66" s="66">
        <f t="shared" si="2"/>
        <v>49510</v>
      </c>
    </row>
    <row r="67" spans="1:35" ht="24.95" customHeight="1">
      <c r="A67" s="84" t="str">
        <f>+Proyeccion_Localidades!C68</f>
        <v>General Alvear</v>
      </c>
      <c r="B67" s="70">
        <f>+B66+1</f>
        <v>63</v>
      </c>
      <c r="C67" s="71" t="str">
        <f>+Proyeccion_Localidades!B68</f>
        <v>General Alvear</v>
      </c>
      <c r="D67" s="261">
        <f t="shared" si="3"/>
        <v>63</v>
      </c>
      <c r="E67" s="72">
        <f>+Proyeccion_Localidades!F68</f>
        <v>9812</v>
      </c>
      <c r="F67" s="66">
        <f>IF($AB67="TGD",ROUND($E67*(1+$AD67)^(F$4-$E$4),0),IF($AB67="ALTH",ROUND($AE67+$AF67*F$4,0),IF($AB67="IR",ROUND(Proyeccion_Localidades!AC68,0),IF($AB67="RT",ROUND(Proyeccion_Localidades!AZ68,0),"*****"))))</f>
        <v>10175</v>
      </c>
      <c r="G67" s="66">
        <f>IF($AB67="TGD",ROUND($E67*(1+$AD67)^(G$4-$E$4),0),IF($AB67="ALTH",ROUND($AE67+$AF67*G$4,0),IF($AB67="IR",ROUND(Proyeccion_Localidades!AD68,0),IF($AB67="RT",ROUND(Proyeccion_Localidades!BA68,0),"*****"))))</f>
        <v>10206</v>
      </c>
      <c r="H67" s="66">
        <f>IF($AB67="TGD",ROUND($E67*(1+$AD67)^(H$4-$E$4),0),IF($AB67="ALTH",ROUND($AE67+$AF67*H$4,0),IF($AB67="IR",ROUND(Proyeccion_Localidades!AE68,0),IF($AB67="RT",ROUND(Proyeccion_Localidades!BB68,0),"*****"))))</f>
        <v>10299</v>
      </c>
      <c r="I67" s="66">
        <f>IF($AB67="TGD",ROUND($E67*(1+$AD67)^(I$4-$E$4),0),IF($AB67="ALTH",ROUND($AE67+$AF67*I$4,0),IF($AB67="IR",ROUND(Proyeccion_Localidades!AF68,0),IF($AB67="RT",ROUND(Proyeccion_Localidades!BC68,0),"*****"))))</f>
        <v>10331</v>
      </c>
      <c r="J67" s="66">
        <f>IF($AB67="TGD",ROUND($E67*(1+$AD67)^(J$4-$E$4),0),IF($AB67="ALTH",ROUND($AE67+$AF67*J$4,0),IF($AB67="IR",ROUND(Proyeccion_Localidades!AG68,0),IF($AB67="RT",ROUND(Proyeccion_Localidades!BD68,0),"*****"))))</f>
        <v>10362</v>
      </c>
      <c r="K67" s="66">
        <f>IF($AB67="TGD",ROUND($E67*(1+$AD67)^(K$4-$E$4),0),IF($AB67="ALTH",ROUND($AE67+$AF67*K$4,0),IF($AB67="IR",ROUND(Proyeccion_Localidades!AH68,0),IF($AB67="RT",ROUND(Proyeccion_Localidades!BE68,0),"*****"))))</f>
        <v>10394</v>
      </c>
      <c r="L67" s="66">
        <f>IF($AB67="TGD",ROUND($E67*(1+$AD67)^(L$4-$E$4),0),IF($AB67="ALTH",ROUND($AE67+$AF67*L$4,0),IF($AB67="IR",ROUND(Proyeccion_Localidades!AI68,0),IF($AB67="RT",ROUND(Proyeccion_Localidades!BF68,0),"*****"))))</f>
        <v>10425</v>
      </c>
      <c r="M67" s="66">
        <f>IF($AB67="TGD",ROUND($E67*(1+$AD67)^(M$4-$E$4),0),IF($AB67="ALTH",ROUND($AE67+$AF67*M$4,0),IF($AB67="IR",ROUND(Proyeccion_Localidades!AJ68,0),IF($AB67="RT",ROUND(Proyeccion_Localidades!BG68,0),"*****"))))</f>
        <v>10457</v>
      </c>
      <c r="N67" s="66">
        <f>IF($AB67="TGD",ROUND($E67*(1+$AD67)^(N$4-$E$4),0),IF($AB67="ALTH",ROUND($AE67+$AF67*N$4,0),IF($AB67="IR",ROUND(Proyeccion_Localidades!AK68,0),IF($AB67="RT",ROUND(Proyeccion_Localidades!BH68,0),"*****"))))</f>
        <v>10488</v>
      </c>
      <c r="O67" s="66">
        <f>IF($AB67="TGD",ROUND($E67*(1+$AD67)^(O$4-$E$4),0),IF($AB67="ALTH",ROUND($AE67+$AF67*O$4,0),IF($AB67="IR",ROUND(Proyeccion_Localidades!AL68,0),IF($AB67="RT",ROUND(Proyeccion_Localidades!BI68,0),"*****"))))</f>
        <v>10520</v>
      </c>
      <c r="P67" s="66">
        <f>IF($AB67="TGD",ROUND($E67*(1+$AD67)^(P$4-$E$4),0),IF($AB67="ALTH",ROUND($AE67+$AF67*P$4,0),IF($AB67="IR",ROUND(Proyeccion_Localidades!AM68,0),IF($AB67="RT",ROUND(Proyeccion_Localidades!BJ68,0),"*****"))))</f>
        <v>10552</v>
      </c>
      <c r="Q67" s="66">
        <f>IF($AB67="TGD",ROUND($E67*(1+$AD67)^(Q$4-$E$4),0),IF($AB67="ALTH",ROUND($AE67+$AF67*Q$4,0),IF($AB67="IR",ROUND(Proyeccion_Localidades!AN68,0),IF($AB67="RT",ROUND(Proyeccion_Localidades!BK68,0),"*****"))))</f>
        <v>10584</v>
      </c>
      <c r="R67" s="66">
        <f>IF($AB67="TGD",ROUND($E67*(1+$AD67)^(R$4-$E$4),0),IF($AB67="ALTH",ROUND($AE67+$AF67*R$4,0),IF($AB67="IR",ROUND(Proyeccion_Localidades!AO68,0),IF($AB67="RT",ROUND(Proyeccion_Localidades!BL68,0),"*****"))))</f>
        <v>10616</v>
      </c>
      <c r="S67" s="66">
        <f>IF($AB67="TGD",ROUND($E67*(1+$AD67)^(S$4-$E$4),0),IF($AB67="ALTH",ROUND($AE67+$AF67*S$4,0),IF($AB67="IR",ROUND(Proyeccion_Localidades!AP68,0),IF($AB67="RT",ROUND(Proyeccion_Localidades!BM68,0),"*****"))))</f>
        <v>10649</v>
      </c>
      <c r="T67" s="66">
        <f>IF($AB67="TGD",ROUND($E67*(1+$AD67)^(T$4-$E$4),0),IF($AB67="ALTH",ROUND($AE67+$AF67*T$4,0),IF($AB67="IR",ROUND(Proyeccion_Localidades!AQ68,0),IF($AB67="RT",ROUND(Proyeccion_Localidades!BN68,0),"*****"))))</f>
        <v>10681</v>
      </c>
      <c r="U67" s="66">
        <f>IF($AB67="TGD",ROUND($E67*(1+$AD67)^(U$4-$E$4),0),IF($AB67="ALTH",ROUND($AE67+$AF67*U$4,0),IF($AB67="IR",ROUND(Proyeccion_Localidades!AR68,0),IF($AB67="RT",ROUND(Proyeccion_Localidades!BO68,0),"*****"))))</f>
        <v>10713</v>
      </c>
      <c r="V67" s="66">
        <f>IF($AB67="TGD",ROUND($E67*(1+$AD67)^(V$4-$E$4),0),IF($AB67="ALTH",ROUND($AE67+$AF67*V$4,0),IF($AB67="IR",ROUND(Proyeccion_Localidades!AS68,0),IF($AB67="RT",ROUND(Proyeccion_Localidades!BP68,0),"*****"))))</f>
        <v>10746</v>
      </c>
      <c r="W67" s="66">
        <f>IF($AB67="TGD",ROUND($E67*(1+$AD67)^(W$4-$E$4),0),IF($AB67="ALTH",ROUND($AE67+$AF67*W$4,0),IF($AB67="IR",ROUND(Proyeccion_Localidades!AT68,0),IF($AB67="RT",ROUND(Proyeccion_Localidades!BQ68,0),"*****"))))</f>
        <v>10778</v>
      </c>
      <c r="X67" s="66">
        <f>IF($AB67="TGD",ROUND($E67*(1+$AD67)^(X$4-$E$4),0),IF($AB67="ALTH",ROUND($AE67+$AF67*X$4,0),IF($AB67="IR",ROUND(Proyeccion_Localidades!AU68,0),IF($AB67="RT",ROUND(Proyeccion_Localidades!BR68,0),"*****"))))</f>
        <v>10811</v>
      </c>
      <c r="Y67" s="66">
        <f>IF($AB67="TGD",ROUND($E67*(1+$AD67)^(Y$4-$E$4),0),IF($AB67="ALTH",ROUND($AE67+$AF67*Y$4,0),IF($AB67="IR",ROUND(Proyeccion_Localidades!AV68,0),IF($AB67="RT",ROUND(Proyeccion_Localidades!BS68,0),"*****"))))</f>
        <v>10844</v>
      </c>
      <c r="Z67" s="66">
        <f>IF($AB67="TGD",ROUND($E67*(1+$AD67)^(Z$4-$E$4),0),IF($AB67="ALTH",ROUND($AE67+$AF67*Z$4,0),IF($AB67="IR",ROUND(Proyeccion_Localidades!AW68,0),IF($AB67="RT",ROUND(Proyeccion_Localidades!BT68,0),"*****"))))</f>
        <v>10877</v>
      </c>
      <c r="AA67" s="66">
        <f>IF($AB67="TGD",ROUND($E67*(1+$AD67)^(AA$4-$E$4),0),IF($AB67="ALTH",ROUND($AE67+$AF67*AA$4,0),IF($AB67="IR",ROUND(Proyeccion_Localidades!AX68,0),IF($AB67="RT",ROUND(Proyeccion_Localidades!BU68,0),"*****"))))</f>
        <v>10910</v>
      </c>
      <c r="AB67" s="67" t="str">
        <f>Proyeccion_Localidades!N68</f>
        <v>TGD</v>
      </c>
      <c r="AC67" s="68" t="s">
        <v>35</v>
      </c>
      <c r="AD67" s="51">
        <f>IF(AB67="TGD",Proyeccion_Localidades!Z68,"-")</f>
        <v>3.0350874595734822E-3</v>
      </c>
      <c r="AE67" s="51" t="str">
        <f>IF($AB67="ALTH",Proyeccion_Localidades!AA68,"-")</f>
        <v>-</v>
      </c>
      <c r="AF67" s="51" t="str">
        <f>IF($AB67="ALTH",Proyeccion_Localidades!AB68,"-")</f>
        <v>-</v>
      </c>
      <c r="AG67" s="51"/>
      <c r="AH67" s="51"/>
      <c r="AI67" s="66">
        <f t="shared" si="2"/>
        <v>10206</v>
      </c>
    </row>
    <row r="68" spans="1:35" ht="24.95" customHeight="1">
      <c r="A68" s="84" t="str">
        <f>+Proyeccion_Localidades!C69</f>
        <v>General Arenales</v>
      </c>
      <c r="B68" s="70">
        <f t="shared" si="4"/>
        <v>64</v>
      </c>
      <c r="C68" s="71" t="str">
        <f>+Proyeccion_Localidades!B69</f>
        <v>General Arenales</v>
      </c>
      <c r="D68" s="261">
        <f t="shared" si="3"/>
        <v>64</v>
      </c>
      <c r="E68" s="72">
        <f>+Proyeccion_Localidades!F69</f>
        <v>4321</v>
      </c>
      <c r="F68" s="66">
        <f>IF($AB68="TGD",ROUND($E68*(1+$AD68)^(F$4-$E$4),0),IF($AB68="ALTH",ROUND($AE68+$AF68*F$4,0),IF($AB68="IR",ROUND(Proyeccion_Localidades!AC69,0),IF($AB68="RT",ROUND(Proyeccion_Localidades!AZ69,0),"*****"))))</f>
        <v>4823</v>
      </c>
      <c r="G68" s="66">
        <f>IF($AB68="TGD",ROUND($E68*(1+$AD68)^(G$4-$E$4),0),IF($AB68="ALTH",ROUND($AE68+$AF68*G$4,0),IF($AB68="IR",ROUND(Proyeccion_Localidades!AD69,0),IF($AB68="RT",ROUND(Proyeccion_Localidades!BA69,0),"*****"))))</f>
        <v>4864</v>
      </c>
      <c r="H68" s="66">
        <f>IF($AB68="TGD",ROUND($E68*(1+$AD68)^(H$4-$E$4),0),IF($AB68="ALTH",ROUND($AE68+$AF68*H$4,0),IF($AB68="IR",ROUND(Proyeccion_Localidades!AE69,0),IF($AB68="RT",ROUND(Proyeccion_Localidades!BB69,0),"*****"))))</f>
        <v>4988</v>
      </c>
      <c r="I68" s="66">
        <f>IF($AB68="TGD",ROUND($E68*(1+$AD68)^(I$4-$E$4),0),IF($AB68="ALTH",ROUND($AE68+$AF68*I$4,0),IF($AB68="IR",ROUND(Proyeccion_Localidades!AF69,0),IF($AB68="RT",ROUND(Proyeccion_Localidades!BC69,0),"*****"))))</f>
        <v>5029</v>
      </c>
      <c r="J68" s="66">
        <f>IF($AB68="TGD",ROUND($E68*(1+$AD68)^(J$4-$E$4),0),IF($AB68="ALTH",ROUND($AE68+$AF68*J$4,0),IF($AB68="IR",ROUND(Proyeccion_Localidades!AG69,0),IF($AB68="RT",ROUND(Proyeccion_Localidades!BD69,0),"*****"))))</f>
        <v>5070</v>
      </c>
      <c r="K68" s="66">
        <f>IF($AB68="TGD",ROUND($E68*(1+$AD68)^(K$4-$E$4),0),IF($AB68="ALTH",ROUND($AE68+$AF68*K$4,0),IF($AB68="IR",ROUND(Proyeccion_Localidades!AH69,0),IF($AB68="RT",ROUND(Proyeccion_Localidades!BE69,0),"*****"))))</f>
        <v>5112</v>
      </c>
      <c r="L68" s="66">
        <f>IF($AB68="TGD",ROUND($E68*(1+$AD68)^(L$4-$E$4),0),IF($AB68="ALTH",ROUND($AE68+$AF68*L$4,0),IF($AB68="IR",ROUND(Proyeccion_Localidades!AI69,0),IF($AB68="RT",ROUND(Proyeccion_Localidades!BF69,0),"*****"))))</f>
        <v>5153</v>
      </c>
      <c r="M68" s="66">
        <f>IF($AB68="TGD",ROUND($E68*(1+$AD68)^(M$4-$E$4),0),IF($AB68="ALTH",ROUND($AE68+$AF68*M$4,0),IF($AB68="IR",ROUND(Proyeccion_Localidades!AJ69,0),IF($AB68="RT",ROUND(Proyeccion_Localidades!BG69,0),"*****"))))</f>
        <v>5194</v>
      </c>
      <c r="N68" s="66">
        <f>IF($AB68="TGD",ROUND($E68*(1+$AD68)^(N$4-$E$4),0),IF($AB68="ALTH",ROUND($AE68+$AF68*N$4,0),IF($AB68="IR",ROUND(Proyeccion_Localidades!AK69,0),IF($AB68="RT",ROUND(Proyeccion_Localidades!BH69,0),"*****"))))</f>
        <v>5235</v>
      </c>
      <c r="O68" s="66">
        <f>IF($AB68="TGD",ROUND($E68*(1+$AD68)^(O$4-$E$4),0),IF($AB68="ALTH",ROUND($AE68+$AF68*O$4,0),IF($AB68="IR",ROUND(Proyeccion_Localidades!AL69,0),IF($AB68="RT",ROUND(Proyeccion_Localidades!BI69,0),"*****"))))</f>
        <v>5276</v>
      </c>
      <c r="P68" s="66">
        <f>IF($AB68="TGD",ROUND($E68*(1+$AD68)^(P$4-$E$4),0),IF($AB68="ALTH",ROUND($AE68+$AF68*P$4,0),IF($AB68="IR",ROUND(Proyeccion_Localidades!AM69,0),IF($AB68="RT",ROUND(Proyeccion_Localidades!BJ69,0),"*****"))))</f>
        <v>5318</v>
      </c>
      <c r="Q68" s="66">
        <f>IF($AB68="TGD",ROUND($E68*(1+$AD68)^(Q$4-$E$4),0),IF($AB68="ALTH",ROUND($AE68+$AF68*Q$4,0),IF($AB68="IR",ROUND(Proyeccion_Localidades!AN69,0),IF($AB68="RT",ROUND(Proyeccion_Localidades!BK69,0),"*****"))))</f>
        <v>5359</v>
      </c>
      <c r="R68" s="66">
        <f>IF($AB68="TGD",ROUND($E68*(1+$AD68)^(R$4-$E$4),0),IF($AB68="ALTH",ROUND($AE68+$AF68*R$4,0),IF($AB68="IR",ROUND(Proyeccion_Localidades!AO69,0),IF($AB68="RT",ROUND(Proyeccion_Localidades!BL69,0),"*****"))))</f>
        <v>5400</v>
      </c>
      <c r="S68" s="66">
        <f>IF($AB68="TGD",ROUND($E68*(1+$AD68)^(S$4-$E$4),0),IF($AB68="ALTH",ROUND($AE68+$AF68*S$4,0),IF($AB68="IR",ROUND(Proyeccion_Localidades!AP69,0),IF($AB68="RT",ROUND(Proyeccion_Localidades!BM69,0),"*****"))))</f>
        <v>5441</v>
      </c>
      <c r="T68" s="66">
        <f>IF($AB68="TGD",ROUND($E68*(1+$AD68)^(T$4-$E$4),0),IF($AB68="ALTH",ROUND($AE68+$AF68*T$4,0),IF($AB68="IR",ROUND(Proyeccion_Localidades!AQ69,0),IF($AB68="RT",ROUND(Proyeccion_Localidades!BN69,0),"*****"))))</f>
        <v>5482</v>
      </c>
      <c r="U68" s="66">
        <f>IF($AB68="TGD",ROUND($E68*(1+$AD68)^(U$4-$E$4),0),IF($AB68="ALTH",ROUND($AE68+$AF68*U$4,0),IF($AB68="IR",ROUND(Proyeccion_Localidades!AR69,0),IF($AB68="RT",ROUND(Proyeccion_Localidades!BO69,0),"*****"))))</f>
        <v>5524</v>
      </c>
      <c r="V68" s="66">
        <f>IF($AB68="TGD",ROUND($E68*(1+$AD68)^(V$4-$E$4),0),IF($AB68="ALTH",ROUND($AE68+$AF68*V$4,0),IF($AB68="IR",ROUND(Proyeccion_Localidades!AS69,0),IF($AB68="RT",ROUND(Proyeccion_Localidades!BP69,0),"*****"))))</f>
        <v>5565</v>
      </c>
      <c r="W68" s="66">
        <f>IF($AB68="TGD",ROUND($E68*(1+$AD68)^(W$4-$E$4),0),IF($AB68="ALTH",ROUND($AE68+$AF68*W$4,0),IF($AB68="IR",ROUND(Proyeccion_Localidades!AT69,0),IF($AB68="RT",ROUND(Proyeccion_Localidades!BQ69,0),"*****"))))</f>
        <v>5606</v>
      </c>
      <c r="X68" s="66">
        <f>IF($AB68="TGD",ROUND($E68*(1+$AD68)^(X$4-$E$4),0),IF($AB68="ALTH",ROUND($AE68+$AF68*X$4,0),IF($AB68="IR",ROUND(Proyeccion_Localidades!AU69,0),IF($AB68="RT",ROUND(Proyeccion_Localidades!BR69,0),"*****"))))</f>
        <v>5647</v>
      </c>
      <c r="Y68" s="66">
        <f>IF($AB68="TGD",ROUND($E68*(1+$AD68)^(Y$4-$E$4),0),IF($AB68="ALTH",ROUND($AE68+$AF68*Y$4,0),IF($AB68="IR",ROUND(Proyeccion_Localidades!AV69,0),IF($AB68="RT",ROUND(Proyeccion_Localidades!BS69,0),"*****"))))</f>
        <v>5688</v>
      </c>
      <c r="Z68" s="66">
        <f>IF($AB68="TGD",ROUND($E68*(1+$AD68)^(Z$4-$E$4),0),IF($AB68="ALTH",ROUND($AE68+$AF68*Z$4,0),IF($AB68="IR",ROUND(Proyeccion_Localidades!AW69,0),IF($AB68="RT",ROUND(Proyeccion_Localidades!BT69,0),"*****"))))</f>
        <v>5730</v>
      </c>
      <c r="AA68" s="66">
        <f>IF($AB68="TGD",ROUND($E68*(1+$AD68)^(AA$4-$E$4),0),IF($AB68="ALTH",ROUND($AE68+$AF68*AA$4,0),IF($AB68="IR",ROUND(Proyeccion_Localidades!AX69,0),IF($AB68="RT",ROUND(Proyeccion_Localidades!BU69,0),"*****"))))</f>
        <v>5771</v>
      </c>
      <c r="AB68" s="67" t="str">
        <f>Proyeccion_Localidades!N69</f>
        <v>ALTH</v>
      </c>
      <c r="AC68" s="68" t="s">
        <v>36</v>
      </c>
      <c r="AD68" s="51" t="str">
        <f>IF(AB68="TGD",Proyeccion_Localidades!Z69,"-")</f>
        <v>-</v>
      </c>
      <c r="AE68" s="51">
        <f>IF($AB68="ALTH",Proyeccion_Localidades!AA69,"-")</f>
        <v>-78481.656826568273</v>
      </c>
      <c r="AF68" s="51">
        <f>IF($AB68="ALTH",Proyeccion_Localidades!AB69,"-")</f>
        <v>41.199261992619924</v>
      </c>
      <c r="AG68" s="51"/>
      <c r="AH68" s="51"/>
      <c r="AI68" s="66">
        <f t="shared" si="2"/>
        <v>4864</v>
      </c>
    </row>
    <row r="69" spans="1:35" ht="24.95" customHeight="1">
      <c r="A69" s="84" t="str">
        <f>+Proyeccion_Localidades!C70</f>
        <v>General Belgrano</v>
      </c>
      <c r="B69" s="70">
        <f t="shared" si="4"/>
        <v>65</v>
      </c>
      <c r="C69" s="71" t="str">
        <f>+Proyeccion_Localidades!B70</f>
        <v>General Belgrano</v>
      </c>
      <c r="D69" s="261">
        <f t="shared" si="3"/>
        <v>65</v>
      </c>
      <c r="E69" s="72">
        <f>+Proyeccion_Localidades!F70</f>
        <v>15394</v>
      </c>
      <c r="F69" s="66">
        <f>IF($AB69="TGD",ROUND($E69*(1+$AD69)^(F$4-$E$4),0),IF($AB69="ALTH",ROUND($AE69+$AF69*F$4,0),IF($AB69="IR",ROUND(Proyeccion_Localidades!AC70,0),IF($AB69="RT",ROUND(Proyeccion_Localidades!AZ70,0),"*****"))))</f>
        <v>18310</v>
      </c>
      <c r="G69" s="66">
        <f>IF($AB69="TGD",ROUND($E69*(1+$AD69)^(G$4-$E$4),0),IF($AB69="ALTH",ROUND($AE69+$AF69*G$4,0),IF($AB69="IR",ROUND(Proyeccion_Localidades!AD70,0),IF($AB69="RT",ROUND(Proyeccion_Localidades!BA70,0),"*****"))))</f>
        <v>18577</v>
      </c>
      <c r="H69" s="66">
        <f>IF($AB69="TGD",ROUND($E69*(1+$AD69)^(H$4-$E$4),0),IF($AB69="ALTH",ROUND($AE69+$AF69*H$4,0),IF($AB69="IR",ROUND(Proyeccion_Localidades!AE70,0),IF($AB69="RT",ROUND(Proyeccion_Localidades!BB70,0),"*****"))))</f>
        <v>19400</v>
      </c>
      <c r="I69" s="66">
        <f>IF($AB69="TGD",ROUND($E69*(1+$AD69)^(I$4-$E$4),0),IF($AB69="ALTH",ROUND($AE69+$AF69*I$4,0),IF($AB69="IR",ROUND(Proyeccion_Localidades!AF70,0),IF($AB69="RT",ROUND(Proyeccion_Localidades!BC70,0),"*****"))))</f>
        <v>19682</v>
      </c>
      <c r="J69" s="66">
        <f>IF($AB69="TGD",ROUND($E69*(1+$AD69)^(J$4-$E$4),0),IF($AB69="ALTH",ROUND($AE69+$AF69*J$4,0),IF($AB69="IR",ROUND(Proyeccion_Localidades!AG70,0),IF($AB69="RT",ROUND(Proyeccion_Localidades!BD70,0),"*****"))))</f>
        <v>19969</v>
      </c>
      <c r="K69" s="66">
        <f>IF($AB69="TGD",ROUND($E69*(1+$AD69)^(K$4-$E$4),0),IF($AB69="ALTH",ROUND($AE69+$AF69*K$4,0),IF($AB69="IR",ROUND(Proyeccion_Localidades!AH70,0),IF($AB69="RT",ROUND(Proyeccion_Localidades!BE70,0),"*****"))))</f>
        <v>20260</v>
      </c>
      <c r="L69" s="66">
        <f>IF($AB69="TGD",ROUND($E69*(1+$AD69)^(L$4-$E$4),0),IF($AB69="ALTH",ROUND($AE69+$AF69*L$4,0),IF($AB69="IR",ROUND(Proyeccion_Localidades!AI70,0),IF($AB69="RT",ROUND(Proyeccion_Localidades!BF70,0),"*****"))))</f>
        <v>20555</v>
      </c>
      <c r="M69" s="66">
        <f>IF($AB69="TGD",ROUND($E69*(1+$AD69)^(M$4-$E$4),0),IF($AB69="ALTH",ROUND($AE69+$AF69*M$4,0),IF($AB69="IR",ROUND(Proyeccion_Localidades!AJ70,0),IF($AB69="RT",ROUND(Proyeccion_Localidades!BG70,0),"*****"))))</f>
        <v>20854</v>
      </c>
      <c r="N69" s="66">
        <f>IF($AB69="TGD",ROUND($E69*(1+$AD69)^(N$4-$E$4),0),IF($AB69="ALTH",ROUND($AE69+$AF69*N$4,0),IF($AB69="IR",ROUND(Proyeccion_Localidades!AK70,0),IF($AB69="RT",ROUND(Proyeccion_Localidades!BH70,0),"*****"))))</f>
        <v>21158</v>
      </c>
      <c r="O69" s="66">
        <f>IF($AB69="TGD",ROUND($E69*(1+$AD69)^(O$4-$E$4),0),IF($AB69="ALTH",ROUND($AE69+$AF69*O$4,0),IF($AB69="IR",ROUND(Proyeccion_Localidades!AL70,0),IF($AB69="RT",ROUND(Proyeccion_Localidades!BI70,0),"*****"))))</f>
        <v>21466</v>
      </c>
      <c r="P69" s="66">
        <f>IF($AB69="TGD",ROUND($E69*(1+$AD69)^(P$4-$E$4),0),IF($AB69="ALTH",ROUND($AE69+$AF69*P$4,0),IF($AB69="IR",ROUND(Proyeccion_Localidades!AM70,0),IF($AB69="RT",ROUND(Proyeccion_Localidades!BJ70,0),"*****"))))</f>
        <v>21778</v>
      </c>
      <c r="Q69" s="66">
        <f>IF($AB69="TGD",ROUND($E69*(1+$AD69)^(Q$4-$E$4),0),IF($AB69="ALTH",ROUND($AE69+$AF69*Q$4,0),IF($AB69="IR",ROUND(Proyeccion_Localidades!AN70,0),IF($AB69="RT",ROUND(Proyeccion_Localidades!BK70,0),"*****"))))</f>
        <v>22096</v>
      </c>
      <c r="R69" s="66">
        <f>IF($AB69="TGD",ROUND($E69*(1+$AD69)^(R$4-$E$4),0),IF($AB69="ALTH",ROUND($AE69+$AF69*R$4,0),IF($AB69="IR",ROUND(Proyeccion_Localidades!AO70,0),IF($AB69="RT",ROUND(Proyeccion_Localidades!BL70,0),"*****"))))</f>
        <v>22417</v>
      </c>
      <c r="S69" s="66">
        <f>IF($AB69="TGD",ROUND($E69*(1+$AD69)^(S$4-$E$4),0),IF($AB69="ALTH",ROUND($AE69+$AF69*S$4,0),IF($AB69="IR",ROUND(Proyeccion_Localidades!AP70,0),IF($AB69="RT",ROUND(Proyeccion_Localidades!BM70,0),"*****"))))</f>
        <v>22744</v>
      </c>
      <c r="T69" s="66">
        <f>IF($AB69="TGD",ROUND($E69*(1+$AD69)^(T$4-$E$4),0),IF($AB69="ALTH",ROUND($AE69+$AF69*T$4,0),IF($AB69="IR",ROUND(Proyeccion_Localidades!AQ70,0),IF($AB69="RT",ROUND(Proyeccion_Localidades!BN70,0),"*****"))))</f>
        <v>23075</v>
      </c>
      <c r="U69" s="66">
        <f>IF($AB69="TGD",ROUND($E69*(1+$AD69)^(U$4-$E$4),0),IF($AB69="ALTH",ROUND($AE69+$AF69*U$4,0),IF($AB69="IR",ROUND(Proyeccion_Localidades!AR70,0),IF($AB69="RT",ROUND(Proyeccion_Localidades!BO70,0),"*****"))))</f>
        <v>23411</v>
      </c>
      <c r="V69" s="66">
        <f>IF($AB69="TGD",ROUND($E69*(1+$AD69)^(V$4-$E$4),0),IF($AB69="ALTH",ROUND($AE69+$AF69*V$4,0),IF($AB69="IR",ROUND(Proyeccion_Localidades!AS70,0),IF($AB69="RT",ROUND(Proyeccion_Localidades!BP70,0),"*****"))))</f>
        <v>23752</v>
      </c>
      <c r="W69" s="66">
        <f>IF($AB69="TGD",ROUND($E69*(1+$AD69)^(W$4-$E$4),0),IF($AB69="ALTH",ROUND($AE69+$AF69*W$4,0),IF($AB69="IR",ROUND(Proyeccion_Localidades!AT70,0),IF($AB69="RT",ROUND(Proyeccion_Localidades!BQ70,0),"*****"))))</f>
        <v>24098</v>
      </c>
      <c r="X69" s="66">
        <f>IF($AB69="TGD",ROUND($E69*(1+$AD69)^(X$4-$E$4),0),IF($AB69="ALTH",ROUND($AE69+$AF69*X$4,0),IF($AB69="IR",ROUND(Proyeccion_Localidades!AU70,0),IF($AB69="RT",ROUND(Proyeccion_Localidades!BR70,0),"*****"))))</f>
        <v>24448</v>
      </c>
      <c r="Y69" s="66">
        <f>IF($AB69="TGD",ROUND($E69*(1+$AD69)^(Y$4-$E$4),0),IF($AB69="ALTH",ROUND($AE69+$AF69*Y$4,0),IF($AB69="IR",ROUND(Proyeccion_Localidades!AV70,0),IF($AB69="RT",ROUND(Proyeccion_Localidades!BS70,0),"*****"))))</f>
        <v>24804</v>
      </c>
      <c r="Z69" s="66">
        <f>IF($AB69="TGD",ROUND($E69*(1+$AD69)^(Z$4-$E$4),0),IF($AB69="ALTH",ROUND($AE69+$AF69*Z$4,0),IF($AB69="IR",ROUND(Proyeccion_Localidades!AW70,0),IF($AB69="RT",ROUND(Proyeccion_Localidades!BT70,0),"*****"))))</f>
        <v>25166</v>
      </c>
      <c r="AA69" s="66">
        <f>IF($AB69="TGD",ROUND($E69*(1+$AD69)^(AA$4-$E$4),0),IF($AB69="ALTH",ROUND($AE69+$AF69*AA$4,0),IF($AB69="IR",ROUND(Proyeccion_Localidades!AX70,0),IF($AB69="RT",ROUND(Proyeccion_Localidades!BU70,0),"*****"))))</f>
        <v>25532</v>
      </c>
      <c r="AB69" s="67" t="str">
        <f>Proyeccion_Localidades!N70</f>
        <v>TGD</v>
      </c>
      <c r="AC69" s="68" t="s">
        <v>35</v>
      </c>
      <c r="AD69" s="51">
        <f>IF(AB69="TGD",Proyeccion_Localidades!Z70,"-")</f>
        <v>1.4560954310670393E-2</v>
      </c>
      <c r="AE69" s="51" t="str">
        <f>IF($AB69="ALTH",Proyeccion_Localidades!AA70,"-")</f>
        <v>-</v>
      </c>
      <c r="AF69" s="51" t="str">
        <f>IF($AB69="ALTH",Proyeccion_Localidades!AB70,"-")</f>
        <v>-</v>
      </c>
      <c r="AG69" s="51"/>
      <c r="AH69" s="51"/>
      <c r="AI69" s="66">
        <f t="shared" ref="AI69:AI126" si="5">+G69</f>
        <v>18577</v>
      </c>
    </row>
    <row r="70" spans="1:35" ht="24.95" customHeight="1">
      <c r="A70" s="84" t="str">
        <f>+Proyeccion_Localidades!C71</f>
        <v>General Guido</v>
      </c>
      <c r="B70" s="70">
        <f t="shared" si="4"/>
        <v>66</v>
      </c>
      <c r="C70" s="71" t="str">
        <f>+Proyeccion_Localidades!B71</f>
        <v>General Guido</v>
      </c>
      <c r="D70" s="261">
        <f t="shared" ref="D70:D127" si="6">+B70</f>
        <v>66</v>
      </c>
      <c r="E70" s="72">
        <f>+Proyeccion_Localidades!F71</f>
        <v>1291</v>
      </c>
      <c r="F70" s="66">
        <f>IF($AB70="TGD",ROUND($E70*(1+$AD70)^(F$4-$E$4),0),IF($AB70="ALTH",ROUND($AE70+$AF70*F$4,0),IF($AB70="IR",ROUND(Proyeccion_Localidades!AC71,0),IF($AB70="RT",ROUND(Proyeccion_Localidades!AZ71,0),"*****"))))</f>
        <v>1478</v>
      </c>
      <c r="G70" s="66">
        <f>IF($AB70="TGD",ROUND($E70*(1+$AD70)^(G$4-$E$4),0),IF($AB70="ALTH",ROUND($AE70+$AF70*G$4,0),IF($AB70="IR",ROUND(Proyeccion_Localidades!AD71,0),IF($AB70="RT",ROUND(Proyeccion_Localidades!BA71,0),"*****"))))</f>
        <v>1495</v>
      </c>
      <c r="H70" s="66">
        <f>IF($AB70="TGD",ROUND($E70*(1+$AD70)^(H$4-$E$4),0),IF($AB70="ALTH",ROUND($AE70+$AF70*H$4,0),IF($AB70="IR",ROUND(Proyeccion_Localidades!AE71,0),IF($AB70="RT",ROUND(Proyeccion_Localidades!BB71,0),"*****"))))</f>
        <v>1546</v>
      </c>
      <c r="I70" s="66">
        <f>IF($AB70="TGD",ROUND($E70*(1+$AD70)^(I$4-$E$4),0),IF($AB70="ALTH",ROUND($AE70+$AF70*I$4,0),IF($AB70="IR",ROUND(Proyeccion_Localidades!AF71,0),IF($AB70="RT",ROUND(Proyeccion_Localidades!BC71,0),"*****"))))</f>
        <v>1564</v>
      </c>
      <c r="J70" s="66">
        <f>IF($AB70="TGD",ROUND($E70*(1+$AD70)^(J$4-$E$4),0),IF($AB70="ALTH",ROUND($AE70+$AF70*J$4,0),IF($AB70="IR",ROUND(Proyeccion_Localidades!AG71,0),IF($AB70="RT",ROUND(Proyeccion_Localidades!BD71,0),"*****"))))</f>
        <v>1581</v>
      </c>
      <c r="K70" s="66">
        <f>IF($AB70="TGD",ROUND($E70*(1+$AD70)^(K$4-$E$4),0),IF($AB70="ALTH",ROUND($AE70+$AF70*K$4,0),IF($AB70="IR",ROUND(Proyeccion_Localidades!AH71,0),IF($AB70="RT",ROUND(Proyeccion_Localidades!BE71,0),"*****"))))</f>
        <v>1599</v>
      </c>
      <c r="L70" s="66">
        <f>IF($AB70="TGD",ROUND($E70*(1+$AD70)^(L$4-$E$4),0),IF($AB70="ALTH",ROUND($AE70+$AF70*L$4,0),IF($AB70="IR",ROUND(Proyeccion_Localidades!AI71,0),IF($AB70="RT",ROUND(Proyeccion_Localidades!BF71,0),"*****"))))</f>
        <v>1617</v>
      </c>
      <c r="M70" s="66">
        <f>IF($AB70="TGD",ROUND($E70*(1+$AD70)^(M$4-$E$4),0),IF($AB70="ALTH",ROUND($AE70+$AF70*M$4,0),IF($AB70="IR",ROUND(Proyeccion_Localidades!AJ71,0),IF($AB70="RT",ROUND(Proyeccion_Localidades!BG71,0),"*****"))))</f>
        <v>1636</v>
      </c>
      <c r="N70" s="66">
        <f>IF($AB70="TGD",ROUND($E70*(1+$AD70)^(N$4-$E$4),0),IF($AB70="ALTH",ROUND($AE70+$AF70*N$4,0),IF($AB70="IR",ROUND(Proyeccion_Localidades!AK71,0),IF($AB70="RT",ROUND(Proyeccion_Localidades!BH71,0),"*****"))))</f>
        <v>1654</v>
      </c>
      <c r="O70" s="66">
        <f>IF($AB70="TGD",ROUND($E70*(1+$AD70)^(O$4-$E$4),0),IF($AB70="ALTH",ROUND($AE70+$AF70*O$4,0),IF($AB70="IR",ROUND(Proyeccion_Localidades!AL71,0),IF($AB70="RT",ROUND(Proyeccion_Localidades!BI71,0),"*****"))))</f>
        <v>1673</v>
      </c>
      <c r="P70" s="66">
        <f>IF($AB70="TGD",ROUND($E70*(1+$AD70)^(P$4-$E$4),0),IF($AB70="ALTH",ROUND($AE70+$AF70*P$4,0),IF($AB70="IR",ROUND(Proyeccion_Localidades!AM71,0),IF($AB70="RT",ROUND(Proyeccion_Localidades!BJ71,0),"*****"))))</f>
        <v>1692</v>
      </c>
      <c r="Q70" s="66">
        <f>IF($AB70="TGD",ROUND($E70*(1+$AD70)^(Q$4-$E$4),0),IF($AB70="ALTH",ROUND($AE70+$AF70*Q$4,0),IF($AB70="IR",ROUND(Proyeccion_Localidades!AN71,0),IF($AB70="RT",ROUND(Proyeccion_Localidades!BK71,0),"*****"))))</f>
        <v>1711</v>
      </c>
      <c r="R70" s="66">
        <f>IF($AB70="TGD",ROUND($E70*(1+$AD70)^(R$4-$E$4),0),IF($AB70="ALTH",ROUND($AE70+$AF70*R$4,0),IF($AB70="IR",ROUND(Proyeccion_Localidades!AO71,0),IF($AB70="RT",ROUND(Proyeccion_Localidades!BL71,0),"*****"))))</f>
        <v>1730</v>
      </c>
      <c r="S70" s="66">
        <f>IF($AB70="TGD",ROUND($E70*(1+$AD70)^(S$4-$E$4),0),IF($AB70="ALTH",ROUND($AE70+$AF70*S$4,0),IF($AB70="IR",ROUND(Proyeccion_Localidades!AP71,0),IF($AB70="RT",ROUND(Proyeccion_Localidades!BM71,0),"*****"))))</f>
        <v>1750</v>
      </c>
      <c r="T70" s="66">
        <f>IF($AB70="TGD",ROUND($E70*(1+$AD70)^(T$4-$E$4),0),IF($AB70="ALTH",ROUND($AE70+$AF70*T$4,0),IF($AB70="IR",ROUND(Proyeccion_Localidades!AQ71,0),IF($AB70="RT",ROUND(Proyeccion_Localidades!BN71,0),"*****"))))</f>
        <v>1770</v>
      </c>
      <c r="U70" s="66">
        <f>IF($AB70="TGD",ROUND($E70*(1+$AD70)^(U$4-$E$4),0),IF($AB70="ALTH",ROUND($AE70+$AF70*U$4,0),IF($AB70="IR",ROUND(Proyeccion_Localidades!AR71,0),IF($AB70="RT",ROUND(Proyeccion_Localidades!BO71,0),"*****"))))</f>
        <v>1790</v>
      </c>
      <c r="V70" s="66">
        <f>IF($AB70="TGD",ROUND($E70*(1+$AD70)^(V$4-$E$4),0),IF($AB70="ALTH",ROUND($AE70+$AF70*V$4,0),IF($AB70="IR",ROUND(Proyeccion_Localidades!AS71,0),IF($AB70="RT",ROUND(Proyeccion_Localidades!BP71,0),"*****"))))</f>
        <v>1810</v>
      </c>
      <c r="W70" s="66">
        <f>IF($AB70="TGD",ROUND($E70*(1+$AD70)^(W$4-$E$4),0),IF($AB70="ALTH",ROUND($AE70+$AF70*W$4,0),IF($AB70="IR",ROUND(Proyeccion_Localidades!AT71,0),IF($AB70="RT",ROUND(Proyeccion_Localidades!BQ71,0),"*****"))))</f>
        <v>1831</v>
      </c>
      <c r="X70" s="66">
        <f>IF($AB70="TGD",ROUND($E70*(1+$AD70)^(X$4-$E$4),0),IF($AB70="ALTH",ROUND($AE70+$AF70*X$4,0),IF($AB70="IR",ROUND(Proyeccion_Localidades!AU71,0),IF($AB70="RT",ROUND(Proyeccion_Localidades!BR71,0),"*****"))))</f>
        <v>1851</v>
      </c>
      <c r="Y70" s="66">
        <f>IF($AB70="TGD",ROUND($E70*(1+$AD70)^(Y$4-$E$4),0),IF($AB70="ALTH",ROUND($AE70+$AF70*Y$4,0),IF($AB70="IR",ROUND(Proyeccion_Localidades!AV71,0),IF($AB70="RT",ROUND(Proyeccion_Localidades!BS71,0),"*****"))))</f>
        <v>1872</v>
      </c>
      <c r="Z70" s="66">
        <f>IF($AB70="TGD",ROUND($E70*(1+$AD70)^(Z$4-$E$4),0),IF($AB70="ALTH",ROUND($AE70+$AF70*Z$4,0),IF($AB70="IR",ROUND(Proyeccion_Localidades!AW71,0),IF($AB70="RT",ROUND(Proyeccion_Localidades!BT71,0),"*****"))))</f>
        <v>1894</v>
      </c>
      <c r="AA70" s="66">
        <f>IF($AB70="TGD",ROUND($E70*(1+$AD70)^(AA$4-$E$4),0),IF($AB70="ALTH",ROUND($AE70+$AF70*AA$4,0),IF($AB70="IR",ROUND(Proyeccion_Localidades!AX71,0),IF($AB70="RT",ROUND(Proyeccion_Localidades!BU71,0),"*****"))))</f>
        <v>1915</v>
      </c>
      <c r="AB70" s="67" t="str">
        <f>Proyeccion_Localidades!N71</f>
        <v>TGD</v>
      </c>
      <c r="AC70" s="68" t="s">
        <v>35</v>
      </c>
      <c r="AD70" s="51">
        <f>IF(AB70="TGD",Proyeccion_Localidades!Z71,"-")</f>
        <v>1.1330365224628602E-2</v>
      </c>
      <c r="AE70" s="51" t="str">
        <f>IF($AB70="ALTH",Proyeccion_Localidades!AA71,"-")</f>
        <v>-</v>
      </c>
      <c r="AF70" s="51" t="str">
        <f>IF($AB70="ALTH",Proyeccion_Localidades!AB71,"-")</f>
        <v>-</v>
      </c>
      <c r="AG70" s="51"/>
      <c r="AH70" s="51"/>
      <c r="AI70" s="66">
        <f t="shared" si="5"/>
        <v>1495</v>
      </c>
    </row>
    <row r="71" spans="1:35" ht="24.95" customHeight="1">
      <c r="A71" s="84" t="str">
        <f>+Proyeccion_Localidades!C72</f>
        <v>General Juan Madariaga</v>
      </c>
      <c r="B71" s="70">
        <f t="shared" si="4"/>
        <v>67</v>
      </c>
      <c r="C71" s="71" t="str">
        <f>+Proyeccion_Localidades!B72</f>
        <v>General Juan Madariaga</v>
      </c>
      <c r="D71" s="261">
        <f t="shared" si="6"/>
        <v>67</v>
      </c>
      <c r="E71" s="72">
        <f>+Proyeccion_Localidades!F72</f>
        <v>18089</v>
      </c>
      <c r="F71" s="66">
        <f>IF($AB71="TGD",ROUND($E71*(1+$AD71)^(F$4-$E$4),0),IF($AB71="ALTH",ROUND($AE71+$AF71*F$4,0),IF($AB71="IR",ROUND(Proyeccion_Localidades!AC72,0),IF($AB71="RT",ROUND(Proyeccion_Localidades!AZ72,0),"*****"))))</f>
        <v>21045</v>
      </c>
      <c r="G71" s="66">
        <f>IF($AB71="TGD",ROUND($E71*(1+$AD71)^(G$4-$E$4),0),IF($AB71="ALTH",ROUND($AE71+$AF71*G$4,0),IF($AB71="IR",ROUND(Proyeccion_Localidades!AD72,0),IF($AB71="RT",ROUND(Proyeccion_Localidades!BA72,0),"*****"))))</f>
        <v>21318</v>
      </c>
      <c r="H71" s="66">
        <f>IF($AB71="TGD",ROUND($E71*(1+$AD71)^(H$4-$E$4),0),IF($AB71="ALTH",ROUND($AE71+$AF71*H$4,0),IF($AB71="IR",ROUND(Proyeccion_Localidades!AE72,0),IF($AB71="RT",ROUND(Proyeccion_Localidades!BB72,0),"*****"))))</f>
        <v>22165</v>
      </c>
      <c r="I71" s="66">
        <f>IF($AB71="TGD",ROUND($E71*(1+$AD71)^(I$4-$E$4),0),IF($AB71="ALTH",ROUND($AE71+$AF71*I$4,0),IF($AB71="IR",ROUND(Proyeccion_Localidades!AF72,0),IF($AB71="RT",ROUND(Proyeccion_Localidades!BC72,0),"*****"))))</f>
        <v>22456</v>
      </c>
      <c r="J71" s="66">
        <f>IF($AB71="TGD",ROUND($E71*(1+$AD71)^(J$4-$E$4),0),IF($AB71="ALTH",ROUND($AE71+$AF71*J$4,0),IF($AB71="IR",ROUND(Proyeccion_Localidades!AG72,0),IF($AB71="RT",ROUND(Proyeccion_Localidades!BD72,0),"*****"))))</f>
        <v>22752</v>
      </c>
      <c r="K71" s="66">
        <f>IF($AB71="TGD",ROUND($E71*(1+$AD71)^(K$4-$E$4),0),IF($AB71="ALTH",ROUND($AE71+$AF71*K$4,0),IF($AB71="IR",ROUND(Proyeccion_Localidades!AH72,0),IF($AB71="RT",ROUND(Proyeccion_Localidades!BE72,0),"*****"))))</f>
        <v>23053</v>
      </c>
      <c r="L71" s="66">
        <f>IF($AB71="TGD",ROUND($E71*(1+$AD71)^(L$4-$E$4),0),IF($AB71="ALTH",ROUND($AE71+$AF71*L$4,0),IF($AB71="IR",ROUND(Proyeccion_Localidades!AI72,0),IF($AB71="RT",ROUND(Proyeccion_Localidades!BF72,0),"*****"))))</f>
        <v>23359</v>
      </c>
      <c r="M71" s="66">
        <f>IF($AB71="TGD",ROUND($E71*(1+$AD71)^(M$4-$E$4),0),IF($AB71="ALTH",ROUND($AE71+$AF71*M$4,0),IF($AB71="IR",ROUND(Proyeccion_Localidades!AJ72,0),IF($AB71="RT",ROUND(Proyeccion_Localidades!BG72,0),"*****"))))</f>
        <v>23670</v>
      </c>
      <c r="N71" s="66">
        <f>IF($AB71="TGD",ROUND($E71*(1+$AD71)^(N$4-$E$4),0),IF($AB71="ALTH",ROUND($AE71+$AF71*N$4,0),IF($AB71="IR",ROUND(Proyeccion_Localidades!AK72,0),IF($AB71="RT",ROUND(Proyeccion_Localidades!BH72,0),"*****"))))</f>
        <v>23986</v>
      </c>
      <c r="O71" s="66">
        <f>IF($AB71="TGD",ROUND($E71*(1+$AD71)^(O$4-$E$4),0),IF($AB71="ALTH",ROUND($AE71+$AF71*O$4,0),IF($AB71="IR",ROUND(Proyeccion_Localidades!AL72,0),IF($AB71="RT",ROUND(Proyeccion_Localidades!BI72,0),"*****"))))</f>
        <v>24307</v>
      </c>
      <c r="P71" s="66">
        <f>IF($AB71="TGD",ROUND($E71*(1+$AD71)^(P$4-$E$4),0),IF($AB71="ALTH",ROUND($AE71+$AF71*P$4,0),IF($AB71="IR",ROUND(Proyeccion_Localidades!AM72,0),IF($AB71="RT",ROUND(Proyeccion_Localidades!BJ72,0),"*****"))))</f>
        <v>24634</v>
      </c>
      <c r="Q71" s="66">
        <f>IF($AB71="TGD",ROUND($E71*(1+$AD71)^(Q$4-$E$4),0),IF($AB71="ALTH",ROUND($AE71+$AF71*Q$4,0),IF($AB71="IR",ROUND(Proyeccion_Localidades!AN72,0),IF($AB71="RT",ROUND(Proyeccion_Localidades!BK72,0),"*****"))))</f>
        <v>24966</v>
      </c>
      <c r="R71" s="66">
        <f>IF($AB71="TGD",ROUND($E71*(1+$AD71)^(R$4-$E$4),0),IF($AB71="ALTH",ROUND($AE71+$AF71*R$4,0),IF($AB71="IR",ROUND(Proyeccion_Localidades!AO72,0),IF($AB71="RT",ROUND(Proyeccion_Localidades!BL72,0),"*****"))))</f>
        <v>25303</v>
      </c>
      <c r="S71" s="66">
        <f>IF($AB71="TGD",ROUND($E71*(1+$AD71)^(S$4-$E$4),0),IF($AB71="ALTH",ROUND($AE71+$AF71*S$4,0),IF($AB71="IR",ROUND(Proyeccion_Localidades!AP72,0),IF($AB71="RT",ROUND(Proyeccion_Localidades!BM72,0),"*****"))))</f>
        <v>25645</v>
      </c>
      <c r="T71" s="66">
        <f>IF($AB71="TGD",ROUND($E71*(1+$AD71)^(T$4-$E$4),0),IF($AB71="ALTH",ROUND($AE71+$AF71*T$4,0),IF($AB71="IR",ROUND(Proyeccion_Localidades!AQ72,0),IF($AB71="RT",ROUND(Proyeccion_Localidades!BN72,0),"*****"))))</f>
        <v>25994</v>
      </c>
      <c r="U71" s="66">
        <f>IF($AB71="TGD",ROUND($E71*(1+$AD71)^(U$4-$E$4),0),IF($AB71="ALTH",ROUND($AE71+$AF71*U$4,0),IF($AB71="IR",ROUND(Proyeccion_Localidades!AR72,0),IF($AB71="RT",ROUND(Proyeccion_Localidades!BO72,0),"*****"))))</f>
        <v>26348</v>
      </c>
      <c r="V71" s="66">
        <f>IF($AB71="TGD",ROUND($E71*(1+$AD71)^(V$4-$E$4),0),IF($AB71="ALTH",ROUND($AE71+$AF71*V$4,0),IF($AB71="IR",ROUND(Proyeccion_Localidades!AS72,0),IF($AB71="RT",ROUND(Proyeccion_Localidades!BP72,0),"*****"))))</f>
        <v>26707</v>
      </c>
      <c r="W71" s="66">
        <f>IF($AB71="TGD",ROUND($E71*(1+$AD71)^(W$4-$E$4),0),IF($AB71="ALTH",ROUND($AE71+$AF71*W$4,0),IF($AB71="IR",ROUND(Proyeccion_Localidades!AT72,0),IF($AB71="RT",ROUND(Proyeccion_Localidades!BQ72,0),"*****"))))</f>
        <v>27073</v>
      </c>
      <c r="X71" s="66">
        <f>IF($AB71="TGD",ROUND($E71*(1+$AD71)^(X$4-$E$4),0),IF($AB71="ALTH",ROUND($AE71+$AF71*X$4,0),IF($AB71="IR",ROUND(Proyeccion_Localidades!AU72,0),IF($AB71="RT",ROUND(Proyeccion_Localidades!BR72,0),"*****"))))</f>
        <v>27444</v>
      </c>
      <c r="Y71" s="66">
        <f>IF($AB71="TGD",ROUND($E71*(1+$AD71)^(Y$4-$E$4),0),IF($AB71="ALTH",ROUND($AE71+$AF71*Y$4,0),IF($AB71="IR",ROUND(Proyeccion_Localidades!AV72,0),IF($AB71="RT",ROUND(Proyeccion_Localidades!BS72,0),"*****"))))</f>
        <v>27822</v>
      </c>
      <c r="Z71" s="66">
        <f>IF($AB71="TGD",ROUND($E71*(1+$AD71)^(Z$4-$E$4),0),IF($AB71="ALTH",ROUND($AE71+$AF71*Z$4,0),IF($AB71="IR",ROUND(Proyeccion_Localidades!AW72,0),IF($AB71="RT",ROUND(Proyeccion_Localidades!BT72,0),"*****"))))</f>
        <v>28206</v>
      </c>
      <c r="AA71" s="66">
        <f>IF($AB71="TGD",ROUND($E71*(1+$AD71)^(AA$4-$E$4),0),IF($AB71="ALTH",ROUND($AE71+$AF71*AA$4,0),IF($AB71="IR",ROUND(Proyeccion_Localidades!AX72,0),IF($AB71="RT",ROUND(Proyeccion_Localidades!BU72,0),"*****"))))</f>
        <v>28596</v>
      </c>
      <c r="AB71" s="67" t="str">
        <f>Proyeccion_Localidades!N72</f>
        <v>IR</v>
      </c>
      <c r="AC71" s="73"/>
      <c r="AD71" s="51" t="str">
        <f>IF(AB71="TGD",Proyeccion_Localidades!Z72,"-")</f>
        <v>-</v>
      </c>
      <c r="AE71" s="51" t="str">
        <f>IF($AB71="ALTH",Proyeccion_Localidades!AA72,"-")</f>
        <v>-</v>
      </c>
      <c r="AF71" s="51" t="str">
        <f>IF($AB71="ALTH",Proyeccion_Localidades!AB72,"-")</f>
        <v>-</v>
      </c>
      <c r="AG71" s="51"/>
      <c r="AH71" s="51"/>
      <c r="AI71" s="66">
        <f t="shared" si="5"/>
        <v>21318</v>
      </c>
    </row>
    <row r="72" spans="1:35" ht="24.95" customHeight="1">
      <c r="A72" s="84" t="str">
        <f>+Proyeccion_Localidades!C73</f>
        <v>General La Madrid</v>
      </c>
      <c r="B72" s="70">
        <f t="shared" si="4"/>
        <v>68</v>
      </c>
      <c r="C72" s="71" t="str">
        <f>+Proyeccion_Localidades!B73</f>
        <v>General La Madrid</v>
      </c>
      <c r="D72" s="261">
        <f t="shared" si="6"/>
        <v>68</v>
      </c>
      <c r="E72" s="72">
        <f>+Proyeccion_Localidades!F73</f>
        <v>8073</v>
      </c>
      <c r="F72" s="66">
        <f>IF($AB72="TGD",ROUND($E72*(1+$AD72)^(F$4-$E$4),0),IF($AB72="ALTH",ROUND($AE72+$AF72*F$4,0),IF($AB72="IR",ROUND(Proyeccion_Localidades!AC73,0),IF($AB72="RT",ROUND(Proyeccion_Localidades!AZ73,0),"*****"))))</f>
        <v>8869</v>
      </c>
      <c r="G72" s="66">
        <f>IF($AB72="TGD",ROUND($E72*(1+$AD72)^(G$4-$E$4),0),IF($AB72="ALTH",ROUND($AE72+$AF72*G$4,0),IF($AB72="IR",ROUND(Proyeccion_Localidades!AD73,0),IF($AB72="RT",ROUND(Proyeccion_Localidades!BA73,0),"*****"))))</f>
        <v>8982</v>
      </c>
      <c r="H72" s="66">
        <f>IF($AB72="TGD",ROUND($E72*(1+$AD72)^(H$4-$E$4),0),IF($AB72="ALTH",ROUND($AE72+$AF72*H$4,0),IF($AB72="IR",ROUND(Proyeccion_Localidades!AE73,0),IF($AB72="RT",ROUND(Proyeccion_Localidades!BB73,0),"*****"))))</f>
        <v>9322</v>
      </c>
      <c r="I72" s="66">
        <f>IF($AB72="TGD",ROUND($E72*(1+$AD72)^(I$4-$E$4),0),IF($AB72="ALTH",ROUND($AE72+$AF72*I$4,0),IF($AB72="IR",ROUND(Proyeccion_Localidades!AF73,0),IF($AB72="RT",ROUND(Proyeccion_Localidades!BC73,0),"*****"))))</f>
        <v>9435</v>
      </c>
      <c r="J72" s="66">
        <f>IF($AB72="TGD",ROUND($E72*(1+$AD72)^(J$4-$E$4),0),IF($AB72="ALTH",ROUND($AE72+$AF72*J$4,0),IF($AB72="IR",ROUND(Proyeccion_Localidades!AG73,0),IF($AB72="RT",ROUND(Proyeccion_Localidades!BD73,0),"*****"))))</f>
        <v>9548</v>
      </c>
      <c r="K72" s="66">
        <f>IF($AB72="TGD",ROUND($E72*(1+$AD72)^(K$4-$E$4),0),IF($AB72="ALTH",ROUND($AE72+$AF72*K$4,0),IF($AB72="IR",ROUND(Proyeccion_Localidades!AH73,0),IF($AB72="RT",ROUND(Proyeccion_Localidades!BE73,0),"*****"))))</f>
        <v>9661</v>
      </c>
      <c r="L72" s="66">
        <f>IF($AB72="TGD",ROUND($E72*(1+$AD72)^(L$4-$E$4),0),IF($AB72="ALTH",ROUND($AE72+$AF72*L$4,0),IF($AB72="IR",ROUND(Proyeccion_Localidades!AI73,0),IF($AB72="RT",ROUND(Proyeccion_Localidades!BF73,0),"*****"))))</f>
        <v>9774</v>
      </c>
      <c r="M72" s="66">
        <f>IF($AB72="TGD",ROUND($E72*(1+$AD72)^(M$4-$E$4),0),IF($AB72="ALTH",ROUND($AE72+$AF72*M$4,0),IF($AB72="IR",ROUND(Proyeccion_Localidades!AJ73,0),IF($AB72="RT",ROUND(Proyeccion_Localidades!BG73,0),"*****"))))</f>
        <v>9924</v>
      </c>
      <c r="N72" s="66">
        <f>IF($AB72="TGD",ROUND($E72*(1+$AD72)^(N$4-$E$4),0),IF($AB72="ALTH",ROUND($AE72+$AF72*N$4,0),IF($AB72="IR",ROUND(Proyeccion_Localidades!AK73,0),IF($AB72="RT",ROUND(Proyeccion_Localidades!BH73,0),"*****"))))</f>
        <v>10075</v>
      </c>
      <c r="O72" s="66">
        <f>IF($AB72="TGD",ROUND($E72*(1+$AD72)^(O$4-$E$4),0),IF($AB72="ALTH",ROUND($AE72+$AF72*O$4,0),IF($AB72="IR",ROUND(Proyeccion_Localidades!AL73,0),IF($AB72="RT",ROUND(Proyeccion_Localidades!BI73,0),"*****"))))</f>
        <v>10225</v>
      </c>
      <c r="P72" s="66">
        <f>IF($AB72="TGD",ROUND($E72*(1+$AD72)^(P$4-$E$4),0),IF($AB72="ALTH",ROUND($AE72+$AF72*P$4,0),IF($AB72="IR",ROUND(Proyeccion_Localidades!AM73,0),IF($AB72="RT",ROUND(Proyeccion_Localidades!BJ73,0),"*****"))))</f>
        <v>10375</v>
      </c>
      <c r="Q72" s="66">
        <f>IF($AB72="TGD",ROUND($E72*(1+$AD72)^(Q$4-$E$4),0),IF($AB72="ALTH",ROUND($AE72+$AF72*Q$4,0),IF($AB72="IR",ROUND(Proyeccion_Localidades!AN73,0),IF($AB72="RT",ROUND(Proyeccion_Localidades!BK73,0),"*****"))))</f>
        <v>10526</v>
      </c>
      <c r="R72" s="66">
        <f>IF($AB72="TGD",ROUND($E72*(1+$AD72)^(R$4-$E$4),0),IF($AB72="ALTH",ROUND($AE72+$AF72*R$4,0),IF($AB72="IR",ROUND(Proyeccion_Localidades!AO73,0),IF($AB72="RT",ROUND(Proyeccion_Localidades!BL73,0),"*****"))))</f>
        <v>10676</v>
      </c>
      <c r="S72" s="66">
        <f>IF($AB72="TGD",ROUND($E72*(1+$AD72)^(S$4-$E$4),0),IF($AB72="ALTH",ROUND($AE72+$AF72*S$4,0),IF($AB72="IR",ROUND(Proyeccion_Localidades!AP73,0),IF($AB72="RT",ROUND(Proyeccion_Localidades!BM73,0),"*****"))))</f>
        <v>10826</v>
      </c>
      <c r="T72" s="66">
        <f>IF($AB72="TGD",ROUND($E72*(1+$AD72)^(T$4-$E$4),0),IF($AB72="ALTH",ROUND($AE72+$AF72*T$4,0),IF($AB72="IR",ROUND(Proyeccion_Localidades!AQ73,0),IF($AB72="RT",ROUND(Proyeccion_Localidades!BN73,0),"*****"))))</f>
        <v>10976</v>
      </c>
      <c r="U72" s="66">
        <f>IF($AB72="TGD",ROUND($E72*(1+$AD72)^(U$4-$E$4),0),IF($AB72="ALTH",ROUND($AE72+$AF72*U$4,0),IF($AB72="IR",ROUND(Proyeccion_Localidades!AR73,0),IF($AB72="RT",ROUND(Proyeccion_Localidades!BO73,0),"*****"))))</f>
        <v>11127</v>
      </c>
      <c r="V72" s="66">
        <f>IF($AB72="TGD",ROUND($E72*(1+$AD72)^(V$4-$E$4),0),IF($AB72="ALTH",ROUND($AE72+$AF72*V$4,0),IF($AB72="IR",ROUND(Proyeccion_Localidades!AS73,0),IF($AB72="RT",ROUND(Proyeccion_Localidades!BP73,0),"*****"))))</f>
        <v>11277</v>
      </c>
      <c r="W72" s="66">
        <f>IF($AB72="TGD",ROUND($E72*(1+$AD72)^(W$4-$E$4),0),IF($AB72="ALTH",ROUND($AE72+$AF72*W$4,0),IF($AB72="IR",ROUND(Proyeccion_Localidades!AT73,0),IF($AB72="RT",ROUND(Proyeccion_Localidades!BQ73,0),"*****"))))</f>
        <v>11427</v>
      </c>
      <c r="X72" s="66">
        <f>IF($AB72="TGD",ROUND($E72*(1+$AD72)^(X$4-$E$4),0),IF($AB72="ALTH",ROUND($AE72+$AF72*X$4,0),IF($AB72="IR",ROUND(Proyeccion_Localidades!AU73,0),IF($AB72="RT",ROUND(Proyeccion_Localidades!BR73,0),"*****"))))</f>
        <v>11578</v>
      </c>
      <c r="Y72" s="66">
        <f>IF($AB72="TGD",ROUND($E72*(1+$AD72)^(Y$4-$E$4),0),IF($AB72="ALTH",ROUND($AE72+$AF72*Y$4,0),IF($AB72="IR",ROUND(Proyeccion_Localidades!AV73,0),IF($AB72="RT",ROUND(Proyeccion_Localidades!BS73,0),"*****"))))</f>
        <v>11728</v>
      </c>
      <c r="Z72" s="66">
        <f>IF($AB72="TGD",ROUND($E72*(1+$AD72)^(Z$4-$E$4),0),IF($AB72="ALTH",ROUND($AE72+$AF72*Z$4,0),IF($AB72="IR",ROUND(Proyeccion_Localidades!AW73,0),IF($AB72="RT",ROUND(Proyeccion_Localidades!BT73,0),"*****"))))</f>
        <v>11878</v>
      </c>
      <c r="AA72" s="66">
        <f>IF($AB72="TGD",ROUND($E72*(1+$AD72)^(AA$4-$E$4),0),IF($AB72="ALTH",ROUND($AE72+$AF72*AA$4,0),IF($AB72="IR",ROUND(Proyeccion_Localidades!AX73,0),IF($AB72="RT",ROUND(Proyeccion_Localidades!BU73,0),"*****"))))</f>
        <v>12029</v>
      </c>
      <c r="AB72" s="67" t="str">
        <f>Proyeccion_Localidades!N73</f>
        <v>RT</v>
      </c>
      <c r="AC72" s="73"/>
      <c r="AD72" s="51" t="str">
        <f>IF(AB72="TGD",Proyeccion_Localidades!Z73,"-")</f>
        <v>-</v>
      </c>
      <c r="AE72" s="51" t="str">
        <f>IF($AB72="ALTH",Proyeccion_Localidades!AA73,"-")</f>
        <v>-</v>
      </c>
      <c r="AF72" s="51" t="str">
        <f>IF($AB72="ALTH",Proyeccion_Localidades!AB73,"-")</f>
        <v>-</v>
      </c>
      <c r="AG72" s="51"/>
      <c r="AH72" s="51"/>
      <c r="AI72" s="66">
        <f t="shared" si="5"/>
        <v>8982</v>
      </c>
    </row>
    <row r="73" spans="1:35" ht="24.95" customHeight="1">
      <c r="A73" s="84" t="str">
        <f>+Proyeccion_Localidades!C74</f>
        <v>General Las Heras</v>
      </c>
      <c r="B73" s="70">
        <f t="shared" si="4"/>
        <v>69</v>
      </c>
      <c r="C73" s="71" t="str">
        <f>+Proyeccion_Localidades!B74</f>
        <v>General Las Heras</v>
      </c>
      <c r="D73" s="261">
        <f t="shared" si="6"/>
        <v>69</v>
      </c>
      <c r="E73" s="72">
        <f>+Proyeccion_Localidades!F74</f>
        <v>11331</v>
      </c>
      <c r="F73" s="66">
        <f>IF($AB73="TGD",ROUND($E73*(1+$AD73)^(F$4-$E$4),0),IF($AB73="ALTH",ROUND($AE73+$AF73*F$4,0),IF($AB73="IR",ROUND(Proyeccion_Localidades!AC74,0),IF($AB73="RT",ROUND(Proyeccion_Localidades!AZ74,0),"*****"))))</f>
        <v>13577</v>
      </c>
      <c r="G73" s="66">
        <f>IF($AB73="TGD",ROUND($E73*(1+$AD73)^(G$4-$E$4),0),IF($AB73="ALTH",ROUND($AE73+$AF73*G$4,0),IF($AB73="IR",ROUND(Proyeccion_Localidades!AD74,0),IF($AB73="RT",ROUND(Proyeccion_Localidades!BA74,0),"*****"))))</f>
        <v>13762</v>
      </c>
      <c r="H73" s="66">
        <f>IF($AB73="TGD",ROUND($E73*(1+$AD73)^(H$4-$E$4),0),IF($AB73="ALTH",ROUND($AE73+$AF73*H$4,0),IF($AB73="IR",ROUND(Proyeccion_Localidades!AE74,0),IF($AB73="RT",ROUND(Proyeccion_Localidades!BB74,0),"*****"))))</f>
        <v>14317</v>
      </c>
      <c r="I73" s="66">
        <f>IF($AB73="TGD",ROUND($E73*(1+$AD73)^(I$4-$E$4),0),IF($AB73="ALTH",ROUND($AE73+$AF73*I$4,0),IF($AB73="IR",ROUND(Proyeccion_Localidades!AF74,0),IF($AB73="RT",ROUND(Proyeccion_Localidades!BC74,0),"*****"))))</f>
        <v>14502</v>
      </c>
      <c r="J73" s="66">
        <f>IF($AB73="TGD",ROUND($E73*(1+$AD73)^(J$4-$E$4),0),IF($AB73="ALTH",ROUND($AE73+$AF73*J$4,0),IF($AB73="IR",ROUND(Proyeccion_Localidades!AG74,0),IF($AB73="RT",ROUND(Proyeccion_Localidades!BD74,0),"*****"))))</f>
        <v>14687</v>
      </c>
      <c r="K73" s="66">
        <f>IF($AB73="TGD",ROUND($E73*(1+$AD73)^(K$4-$E$4),0),IF($AB73="ALTH",ROUND($AE73+$AF73*K$4,0),IF($AB73="IR",ROUND(Proyeccion_Localidades!AH74,0),IF($AB73="RT",ROUND(Proyeccion_Localidades!BE74,0),"*****"))))</f>
        <v>14873</v>
      </c>
      <c r="L73" s="66">
        <f>IF($AB73="TGD",ROUND($E73*(1+$AD73)^(L$4-$E$4),0),IF($AB73="ALTH",ROUND($AE73+$AF73*L$4,0),IF($AB73="IR",ROUND(Proyeccion_Localidades!AI74,0),IF($AB73="RT",ROUND(Proyeccion_Localidades!BF74,0),"*****"))))</f>
        <v>15058</v>
      </c>
      <c r="M73" s="66">
        <f>IF($AB73="TGD",ROUND($E73*(1+$AD73)^(M$4-$E$4),0),IF($AB73="ALTH",ROUND($AE73+$AF73*M$4,0),IF($AB73="IR",ROUND(Proyeccion_Localidades!AJ74,0),IF($AB73="RT",ROUND(Proyeccion_Localidades!BG74,0),"*****"))))</f>
        <v>15243</v>
      </c>
      <c r="N73" s="66">
        <f>IF($AB73="TGD",ROUND($E73*(1+$AD73)^(N$4-$E$4),0),IF($AB73="ALTH",ROUND($AE73+$AF73*N$4,0),IF($AB73="IR",ROUND(Proyeccion_Localidades!AK74,0),IF($AB73="RT",ROUND(Proyeccion_Localidades!BH74,0),"*****"))))</f>
        <v>15428</v>
      </c>
      <c r="O73" s="66">
        <f>IF($AB73="TGD",ROUND($E73*(1+$AD73)^(O$4-$E$4),0),IF($AB73="ALTH",ROUND($AE73+$AF73*O$4,0),IF($AB73="IR",ROUND(Proyeccion_Localidades!AL74,0),IF($AB73="RT",ROUND(Proyeccion_Localidades!BI74,0),"*****"))))</f>
        <v>15613</v>
      </c>
      <c r="P73" s="66">
        <f>IF($AB73="TGD",ROUND($E73*(1+$AD73)^(P$4-$E$4),0),IF($AB73="ALTH",ROUND($AE73+$AF73*P$4,0),IF($AB73="IR",ROUND(Proyeccion_Localidades!AM74,0),IF($AB73="RT",ROUND(Proyeccion_Localidades!BJ74,0),"*****"))))</f>
        <v>15798</v>
      </c>
      <c r="Q73" s="66">
        <f>IF($AB73="TGD",ROUND($E73*(1+$AD73)^(Q$4-$E$4),0),IF($AB73="ALTH",ROUND($AE73+$AF73*Q$4,0),IF($AB73="IR",ROUND(Proyeccion_Localidades!AN74,0),IF($AB73="RT",ROUND(Proyeccion_Localidades!BK74,0),"*****"))))</f>
        <v>15983</v>
      </c>
      <c r="R73" s="66">
        <f>IF($AB73="TGD",ROUND($E73*(1+$AD73)^(R$4-$E$4),0),IF($AB73="ALTH",ROUND($AE73+$AF73*R$4,0),IF($AB73="IR",ROUND(Proyeccion_Localidades!AO74,0),IF($AB73="RT",ROUND(Proyeccion_Localidades!BL74,0),"*****"))))</f>
        <v>16168</v>
      </c>
      <c r="S73" s="66">
        <f>IF($AB73="TGD",ROUND($E73*(1+$AD73)^(S$4-$E$4),0),IF($AB73="ALTH",ROUND($AE73+$AF73*S$4,0),IF($AB73="IR",ROUND(Proyeccion_Localidades!AP74,0),IF($AB73="RT",ROUND(Proyeccion_Localidades!BM74,0),"*****"))))</f>
        <v>16354</v>
      </c>
      <c r="T73" s="66">
        <f>IF($AB73="TGD",ROUND($E73*(1+$AD73)^(T$4-$E$4),0),IF($AB73="ALTH",ROUND($AE73+$AF73*T$4,0),IF($AB73="IR",ROUND(Proyeccion_Localidades!AQ74,0),IF($AB73="RT",ROUND(Proyeccion_Localidades!BN74,0),"*****"))))</f>
        <v>16539</v>
      </c>
      <c r="U73" s="66">
        <f>IF($AB73="TGD",ROUND($E73*(1+$AD73)^(U$4-$E$4),0),IF($AB73="ALTH",ROUND($AE73+$AF73*U$4,0),IF($AB73="IR",ROUND(Proyeccion_Localidades!AR74,0),IF($AB73="RT",ROUND(Proyeccion_Localidades!BO74,0),"*****"))))</f>
        <v>16724</v>
      </c>
      <c r="V73" s="66">
        <f>IF($AB73="TGD",ROUND($E73*(1+$AD73)^(V$4-$E$4),0),IF($AB73="ALTH",ROUND($AE73+$AF73*V$4,0),IF($AB73="IR",ROUND(Proyeccion_Localidades!AS74,0),IF($AB73="RT",ROUND(Proyeccion_Localidades!BP74,0),"*****"))))</f>
        <v>16909</v>
      </c>
      <c r="W73" s="66">
        <f>IF($AB73="TGD",ROUND($E73*(1+$AD73)^(W$4-$E$4),0),IF($AB73="ALTH",ROUND($AE73+$AF73*W$4,0),IF($AB73="IR",ROUND(Proyeccion_Localidades!AT74,0),IF($AB73="RT",ROUND(Proyeccion_Localidades!BQ74,0),"*****"))))</f>
        <v>17094</v>
      </c>
      <c r="X73" s="66">
        <f>IF($AB73="TGD",ROUND($E73*(1+$AD73)^(X$4-$E$4),0),IF($AB73="ALTH",ROUND($AE73+$AF73*X$4,0),IF($AB73="IR",ROUND(Proyeccion_Localidades!AU74,0),IF($AB73="RT",ROUND(Proyeccion_Localidades!BR74,0),"*****"))))</f>
        <v>17279</v>
      </c>
      <c r="Y73" s="66">
        <f>IF($AB73="TGD",ROUND($E73*(1+$AD73)^(Y$4-$E$4),0),IF($AB73="ALTH",ROUND($AE73+$AF73*Y$4,0),IF($AB73="IR",ROUND(Proyeccion_Localidades!AV74,0),IF($AB73="RT",ROUND(Proyeccion_Localidades!BS74,0),"*****"))))</f>
        <v>17464</v>
      </c>
      <c r="Z73" s="66">
        <f>IF($AB73="TGD",ROUND($E73*(1+$AD73)^(Z$4-$E$4),0),IF($AB73="ALTH",ROUND($AE73+$AF73*Z$4,0),IF($AB73="IR",ROUND(Proyeccion_Localidades!AW74,0),IF($AB73="RT",ROUND(Proyeccion_Localidades!BT74,0),"*****"))))</f>
        <v>17650</v>
      </c>
      <c r="AA73" s="66">
        <f>IF($AB73="TGD",ROUND($E73*(1+$AD73)^(AA$4-$E$4),0),IF($AB73="ALTH",ROUND($AE73+$AF73*AA$4,0),IF($AB73="IR",ROUND(Proyeccion_Localidades!AX74,0),IF($AB73="RT",ROUND(Proyeccion_Localidades!BU74,0),"*****"))))</f>
        <v>17835</v>
      </c>
      <c r="AB73" s="67" t="str">
        <f>Proyeccion_Localidades!N74</f>
        <v>ALTH</v>
      </c>
      <c r="AC73" s="68" t="s">
        <v>36</v>
      </c>
      <c r="AD73" s="51" t="str">
        <f>IF(AB73="TGD",Proyeccion_Localidades!Z74,"-")</f>
        <v>-</v>
      </c>
      <c r="AE73" s="51">
        <f>IF($AB73="ALTH",Proyeccion_Localidades!AA74,"-")</f>
        <v>-360750.69741697412</v>
      </c>
      <c r="AF73" s="51">
        <f>IF($AB73="ALTH",Proyeccion_Localidades!AB74,"-")</f>
        <v>185.12730627306269</v>
      </c>
      <c r="AG73" s="51"/>
      <c r="AH73" s="51"/>
      <c r="AI73" s="66">
        <f t="shared" si="5"/>
        <v>13762</v>
      </c>
    </row>
    <row r="74" spans="1:35" ht="24.95" customHeight="1">
      <c r="A74" s="84" t="str">
        <f>+Proyeccion_Localidades!C75</f>
        <v>General Lavalle</v>
      </c>
      <c r="B74" s="70">
        <f t="shared" si="4"/>
        <v>70</v>
      </c>
      <c r="C74" s="71" t="str">
        <f>+Proyeccion_Localidades!B75</f>
        <v>General Lavalle</v>
      </c>
      <c r="D74" s="261">
        <f t="shared" si="6"/>
        <v>70</v>
      </c>
      <c r="E74" s="72">
        <f>+Proyeccion_Localidades!F75</f>
        <v>1827</v>
      </c>
      <c r="F74" s="66">
        <f>IF($AB74="TGD",ROUND($E74*(1+$AD74)^(F$4-$E$4),0),IF($AB74="ALTH",ROUND($AE74+$AF74*F$4,0),IF($AB74="IR",ROUND(Proyeccion_Localidades!AC75,0),IF($AB74="RT",ROUND(Proyeccion_Localidades!AZ75,0),"*****"))))</f>
        <v>2437</v>
      </c>
      <c r="G74" s="66">
        <f>IF($AB74="TGD",ROUND($E74*(1+$AD74)^(G$4-$E$4),0),IF($AB74="ALTH",ROUND($AE74+$AF74*G$4,0),IF($AB74="IR",ROUND(Proyeccion_Localidades!AD75,0),IF($AB74="RT",ROUND(Proyeccion_Localidades!BA75,0),"*****"))))</f>
        <v>2496</v>
      </c>
      <c r="H74" s="66">
        <f>IF($AB74="TGD",ROUND($E74*(1+$AD74)^(H$4-$E$4),0),IF($AB74="ALTH",ROUND($AE74+$AF74*H$4,0),IF($AB74="IR",ROUND(Proyeccion_Localidades!AE75,0),IF($AB74="RT",ROUND(Proyeccion_Localidades!BB75,0),"*****"))))</f>
        <v>2683</v>
      </c>
      <c r="I74" s="66">
        <f>IF($AB74="TGD",ROUND($E74*(1+$AD74)^(I$4-$E$4),0),IF($AB74="ALTH",ROUND($AE74+$AF74*I$4,0),IF($AB74="IR",ROUND(Proyeccion_Localidades!AF75,0),IF($AB74="RT",ROUND(Proyeccion_Localidades!BC75,0),"*****"))))</f>
        <v>2748</v>
      </c>
      <c r="J74" s="66">
        <f>IF($AB74="TGD",ROUND($E74*(1+$AD74)^(J$4-$E$4),0),IF($AB74="ALTH",ROUND($AE74+$AF74*J$4,0),IF($AB74="IR",ROUND(Proyeccion_Localidades!AG75,0),IF($AB74="RT",ROUND(Proyeccion_Localidades!BD75,0),"*****"))))</f>
        <v>2814</v>
      </c>
      <c r="K74" s="66">
        <f>IF($AB74="TGD",ROUND($E74*(1+$AD74)^(K$4-$E$4),0),IF($AB74="ALTH",ROUND($AE74+$AF74*K$4,0),IF($AB74="IR",ROUND(Proyeccion_Localidades!AH75,0),IF($AB74="RT",ROUND(Proyeccion_Localidades!BE75,0),"*****"))))</f>
        <v>2883</v>
      </c>
      <c r="L74" s="66">
        <f>IF($AB74="TGD",ROUND($E74*(1+$AD74)^(L$4-$E$4),0),IF($AB74="ALTH",ROUND($AE74+$AF74*L$4,0),IF($AB74="IR",ROUND(Proyeccion_Localidades!AI75,0),IF($AB74="RT",ROUND(Proyeccion_Localidades!BF75,0),"*****"))))</f>
        <v>2953</v>
      </c>
      <c r="M74" s="66">
        <f>IF($AB74="TGD",ROUND($E74*(1+$AD74)^(M$4-$E$4),0),IF($AB74="ALTH",ROUND($AE74+$AF74*M$4,0),IF($AB74="IR",ROUND(Proyeccion_Localidades!AJ75,0),IF($AB74="RT",ROUND(Proyeccion_Localidades!BG75,0),"*****"))))</f>
        <v>3025</v>
      </c>
      <c r="N74" s="66">
        <f>IF($AB74="TGD",ROUND($E74*(1+$AD74)^(N$4-$E$4),0),IF($AB74="ALTH",ROUND($AE74+$AF74*N$4,0),IF($AB74="IR",ROUND(Proyeccion_Localidades!AK75,0),IF($AB74="RT",ROUND(Proyeccion_Localidades!BH75,0),"*****"))))</f>
        <v>3098</v>
      </c>
      <c r="O74" s="66">
        <f>IF($AB74="TGD",ROUND($E74*(1+$AD74)^(O$4-$E$4),0),IF($AB74="ALTH",ROUND($AE74+$AF74*O$4,0),IF($AB74="IR",ROUND(Proyeccion_Localidades!AL75,0),IF($AB74="RT",ROUND(Proyeccion_Localidades!BI75,0),"*****"))))</f>
        <v>3173</v>
      </c>
      <c r="P74" s="66">
        <f>IF($AB74="TGD",ROUND($E74*(1+$AD74)^(P$4-$E$4),0),IF($AB74="ALTH",ROUND($AE74+$AF74*P$4,0),IF($AB74="IR",ROUND(Proyeccion_Localidades!AM75,0),IF($AB74="RT",ROUND(Proyeccion_Localidades!BJ75,0),"*****"))))</f>
        <v>3251</v>
      </c>
      <c r="Q74" s="66">
        <f>IF($AB74="TGD",ROUND($E74*(1+$AD74)^(Q$4-$E$4),0),IF($AB74="ALTH",ROUND($AE74+$AF74*Q$4,0),IF($AB74="IR",ROUND(Proyeccion_Localidades!AN75,0),IF($AB74="RT",ROUND(Proyeccion_Localidades!BK75,0),"*****"))))</f>
        <v>3330</v>
      </c>
      <c r="R74" s="66">
        <f>IF($AB74="TGD",ROUND($E74*(1+$AD74)^(R$4-$E$4),0),IF($AB74="ALTH",ROUND($AE74+$AF74*R$4,0),IF($AB74="IR",ROUND(Proyeccion_Localidades!AO75,0),IF($AB74="RT",ROUND(Proyeccion_Localidades!BL75,0),"*****"))))</f>
        <v>3410</v>
      </c>
      <c r="S74" s="66">
        <f>IF($AB74="TGD",ROUND($E74*(1+$AD74)^(S$4-$E$4),0),IF($AB74="ALTH",ROUND($AE74+$AF74*S$4,0),IF($AB74="IR",ROUND(Proyeccion_Localidades!AP75,0),IF($AB74="RT",ROUND(Proyeccion_Localidades!BM75,0),"*****"))))</f>
        <v>3493</v>
      </c>
      <c r="T74" s="66">
        <f>IF($AB74="TGD",ROUND($E74*(1+$AD74)^(T$4-$E$4),0),IF($AB74="ALTH",ROUND($AE74+$AF74*T$4,0),IF($AB74="IR",ROUND(Proyeccion_Localidades!AQ75,0),IF($AB74="RT",ROUND(Proyeccion_Localidades!BN75,0),"*****"))))</f>
        <v>3578</v>
      </c>
      <c r="U74" s="66">
        <f>IF($AB74="TGD",ROUND($E74*(1+$AD74)^(U$4-$E$4),0),IF($AB74="ALTH",ROUND($AE74+$AF74*U$4,0),IF($AB74="IR",ROUND(Proyeccion_Localidades!AR75,0),IF($AB74="RT",ROUND(Proyeccion_Localidades!BO75,0),"*****"))))</f>
        <v>3665</v>
      </c>
      <c r="V74" s="66">
        <f>IF($AB74="TGD",ROUND($E74*(1+$AD74)^(V$4-$E$4),0),IF($AB74="ALTH",ROUND($AE74+$AF74*V$4,0),IF($AB74="IR",ROUND(Proyeccion_Localidades!AS75,0),IF($AB74="RT",ROUND(Proyeccion_Localidades!BP75,0),"*****"))))</f>
        <v>3754</v>
      </c>
      <c r="W74" s="66">
        <f>IF($AB74="TGD",ROUND($E74*(1+$AD74)^(W$4-$E$4),0),IF($AB74="ALTH",ROUND($AE74+$AF74*W$4,0),IF($AB74="IR",ROUND(Proyeccion_Localidades!AT75,0),IF($AB74="RT",ROUND(Proyeccion_Localidades!BQ75,0),"*****"))))</f>
        <v>3845</v>
      </c>
      <c r="X74" s="66">
        <f>IF($AB74="TGD",ROUND($E74*(1+$AD74)^(X$4-$E$4),0),IF($AB74="ALTH",ROUND($AE74+$AF74*X$4,0),IF($AB74="IR",ROUND(Proyeccion_Localidades!AU75,0),IF($AB74="RT",ROUND(Proyeccion_Localidades!BR75,0),"*****"))))</f>
        <v>3939</v>
      </c>
      <c r="Y74" s="66">
        <f>IF($AB74="TGD",ROUND($E74*(1+$AD74)^(Y$4-$E$4),0),IF($AB74="ALTH",ROUND($AE74+$AF74*Y$4,0),IF($AB74="IR",ROUND(Proyeccion_Localidades!AV75,0),IF($AB74="RT",ROUND(Proyeccion_Localidades!BS75,0),"*****"))))</f>
        <v>4034</v>
      </c>
      <c r="Z74" s="66">
        <f>IF($AB74="TGD",ROUND($E74*(1+$AD74)^(Z$4-$E$4),0),IF($AB74="ALTH",ROUND($AE74+$AF74*Z$4,0),IF($AB74="IR",ROUND(Proyeccion_Localidades!AW75,0),IF($AB74="RT",ROUND(Proyeccion_Localidades!BT75,0),"*****"))))</f>
        <v>4132</v>
      </c>
      <c r="AA74" s="66">
        <f>IF($AB74="TGD",ROUND($E74*(1+$AD74)^(AA$4-$E$4),0),IF($AB74="ALTH",ROUND($AE74+$AF74*AA$4,0),IF($AB74="IR",ROUND(Proyeccion_Localidades!AX75,0),IF($AB74="RT",ROUND(Proyeccion_Localidades!BU75,0),"*****"))))</f>
        <v>4233</v>
      </c>
      <c r="AB74" s="67" t="str">
        <f>Proyeccion_Localidades!N75</f>
        <v>TGD</v>
      </c>
      <c r="AC74" s="68" t="s">
        <v>35</v>
      </c>
      <c r="AD74" s="51">
        <f>IF(AB74="TGD",Proyeccion_Localidades!Z75,"-")</f>
        <v>2.4296379099756349E-2</v>
      </c>
      <c r="AE74" s="51" t="str">
        <f>IF($AB74="ALTH",Proyeccion_Localidades!AA75,"-")</f>
        <v>-</v>
      </c>
      <c r="AF74" s="51" t="str">
        <f>IF($AB74="ALTH",Proyeccion_Localidades!AB75,"-")</f>
        <v>-</v>
      </c>
      <c r="AG74" s="51"/>
      <c r="AH74" s="51"/>
      <c r="AI74" s="66">
        <f t="shared" si="5"/>
        <v>2496</v>
      </c>
    </row>
    <row r="75" spans="1:35" ht="24.95" customHeight="1">
      <c r="A75" s="84" t="str">
        <f>+Proyeccion_Localidades!C76</f>
        <v>General Paz</v>
      </c>
      <c r="B75" s="70">
        <f t="shared" si="4"/>
        <v>71</v>
      </c>
      <c r="C75" s="71" t="str">
        <f>+Proyeccion_Localidades!B76</f>
        <v>Ranchos</v>
      </c>
      <c r="D75" s="261">
        <f t="shared" si="6"/>
        <v>71</v>
      </c>
      <c r="E75" s="72">
        <f>+Proyeccion_Localidades!F76</f>
        <v>7916</v>
      </c>
      <c r="F75" s="66">
        <f>IF($AB75="TGD",ROUND($E75*(1+$AD75)^(F$4-$E$4),0),IF($AB75="ALTH",ROUND($AE75+$AF75*F$4,0),IF($AB75="IR",ROUND(Proyeccion_Localidades!AC76,0),IF($AB75="RT",ROUND(Proyeccion_Localidades!AZ76,0),"*****"))))</f>
        <v>9741</v>
      </c>
      <c r="G75" s="66">
        <f>IF($AB75="TGD",ROUND($E75*(1+$AD75)^(G$4-$E$4),0),IF($AB75="ALTH",ROUND($AE75+$AF75*G$4,0),IF($AB75="IR",ROUND(Proyeccion_Localidades!AD76,0),IF($AB75="RT",ROUND(Proyeccion_Localidades!BA76,0),"*****"))))</f>
        <v>9918</v>
      </c>
      <c r="H75" s="66">
        <f>IF($AB75="TGD",ROUND($E75*(1+$AD75)^(H$4-$E$4),0),IF($AB75="ALTH",ROUND($AE75+$AF75*H$4,0),IF($AB75="IR",ROUND(Proyeccion_Localidades!AE76,0),IF($AB75="RT",ROUND(Proyeccion_Localidades!BB76,0),"*****"))))</f>
        <v>10448</v>
      </c>
      <c r="I75" s="66">
        <f>IF($AB75="TGD",ROUND($E75*(1+$AD75)^(I$4-$E$4),0),IF($AB75="ALTH",ROUND($AE75+$AF75*I$4,0),IF($AB75="IR",ROUND(Proyeccion_Localidades!AF76,0),IF($AB75="RT",ROUND(Proyeccion_Localidades!BC76,0),"*****"))))</f>
        <v>10625</v>
      </c>
      <c r="J75" s="66">
        <f>IF($AB75="TGD",ROUND($E75*(1+$AD75)^(J$4-$E$4),0),IF($AB75="ALTH",ROUND($AE75+$AF75*J$4,0),IF($AB75="IR",ROUND(Proyeccion_Localidades!AG76,0),IF($AB75="RT",ROUND(Proyeccion_Localidades!BD76,0),"*****"))))</f>
        <v>10802</v>
      </c>
      <c r="K75" s="66">
        <f>IF($AB75="TGD",ROUND($E75*(1+$AD75)^(K$4-$E$4),0),IF($AB75="ALTH",ROUND($AE75+$AF75*K$4,0),IF($AB75="IR",ROUND(Proyeccion_Localidades!AH76,0),IF($AB75="RT",ROUND(Proyeccion_Localidades!BE76,0),"*****"))))</f>
        <v>10979</v>
      </c>
      <c r="L75" s="66">
        <f>IF($AB75="TGD",ROUND($E75*(1+$AD75)^(L$4-$E$4),0),IF($AB75="ALTH",ROUND($AE75+$AF75*L$4,0),IF($AB75="IR",ROUND(Proyeccion_Localidades!AI76,0),IF($AB75="RT",ROUND(Proyeccion_Localidades!BF76,0),"*****"))))</f>
        <v>11156</v>
      </c>
      <c r="M75" s="66">
        <f>IF($AB75="TGD",ROUND($E75*(1+$AD75)^(M$4-$E$4),0),IF($AB75="ALTH",ROUND($AE75+$AF75*M$4,0),IF($AB75="IR",ROUND(Proyeccion_Localidades!AJ76,0),IF($AB75="RT",ROUND(Proyeccion_Localidades!BG76,0),"*****"))))</f>
        <v>11374</v>
      </c>
      <c r="N75" s="66">
        <f>IF($AB75="TGD",ROUND($E75*(1+$AD75)^(N$4-$E$4),0),IF($AB75="ALTH",ROUND($AE75+$AF75*N$4,0),IF($AB75="IR",ROUND(Proyeccion_Localidades!AK76,0),IF($AB75="RT",ROUND(Proyeccion_Localidades!BH76,0),"*****"))))</f>
        <v>11591</v>
      </c>
      <c r="O75" s="66">
        <f>IF($AB75="TGD",ROUND($E75*(1+$AD75)^(O$4-$E$4),0),IF($AB75="ALTH",ROUND($AE75+$AF75*O$4,0),IF($AB75="IR",ROUND(Proyeccion_Localidades!AL76,0),IF($AB75="RT",ROUND(Proyeccion_Localidades!BI76,0),"*****"))))</f>
        <v>11808</v>
      </c>
      <c r="P75" s="66">
        <f>IF($AB75="TGD",ROUND($E75*(1+$AD75)^(P$4-$E$4),0),IF($AB75="ALTH",ROUND($AE75+$AF75*P$4,0),IF($AB75="IR",ROUND(Proyeccion_Localidades!AM76,0),IF($AB75="RT",ROUND(Proyeccion_Localidades!BJ76,0),"*****"))))</f>
        <v>12026</v>
      </c>
      <c r="Q75" s="66">
        <f>IF($AB75="TGD",ROUND($E75*(1+$AD75)^(Q$4-$E$4),0),IF($AB75="ALTH",ROUND($AE75+$AF75*Q$4,0),IF($AB75="IR",ROUND(Proyeccion_Localidades!AN76,0),IF($AB75="RT",ROUND(Proyeccion_Localidades!BK76,0),"*****"))))</f>
        <v>12243</v>
      </c>
      <c r="R75" s="66">
        <f>IF($AB75="TGD",ROUND($E75*(1+$AD75)^(R$4-$E$4),0),IF($AB75="ALTH",ROUND($AE75+$AF75*R$4,0),IF($AB75="IR",ROUND(Proyeccion_Localidades!AO76,0),IF($AB75="RT",ROUND(Proyeccion_Localidades!BL76,0),"*****"))))</f>
        <v>12461</v>
      </c>
      <c r="S75" s="66">
        <f>IF($AB75="TGD",ROUND($E75*(1+$AD75)^(S$4-$E$4),0),IF($AB75="ALTH",ROUND($AE75+$AF75*S$4,0),IF($AB75="IR",ROUND(Proyeccion_Localidades!AP76,0),IF($AB75="RT",ROUND(Proyeccion_Localidades!BM76,0),"*****"))))</f>
        <v>12678</v>
      </c>
      <c r="T75" s="66">
        <f>IF($AB75="TGD",ROUND($E75*(1+$AD75)^(T$4-$E$4),0),IF($AB75="ALTH",ROUND($AE75+$AF75*T$4,0),IF($AB75="IR",ROUND(Proyeccion_Localidades!AQ76,0),IF($AB75="RT",ROUND(Proyeccion_Localidades!BN76,0),"*****"))))</f>
        <v>12896</v>
      </c>
      <c r="U75" s="66">
        <f>IF($AB75="TGD",ROUND($E75*(1+$AD75)^(U$4-$E$4),0),IF($AB75="ALTH",ROUND($AE75+$AF75*U$4,0),IF($AB75="IR",ROUND(Proyeccion_Localidades!AR76,0),IF($AB75="RT",ROUND(Proyeccion_Localidades!BO76,0),"*****"))))</f>
        <v>13113</v>
      </c>
      <c r="V75" s="66">
        <f>IF($AB75="TGD",ROUND($E75*(1+$AD75)^(V$4-$E$4),0),IF($AB75="ALTH",ROUND($AE75+$AF75*V$4,0),IF($AB75="IR",ROUND(Proyeccion_Localidades!AS76,0),IF($AB75="RT",ROUND(Proyeccion_Localidades!BP76,0),"*****"))))</f>
        <v>13331</v>
      </c>
      <c r="W75" s="66">
        <f>IF($AB75="TGD",ROUND($E75*(1+$AD75)^(W$4-$E$4),0),IF($AB75="ALTH",ROUND($AE75+$AF75*W$4,0),IF($AB75="IR",ROUND(Proyeccion_Localidades!AT76,0),IF($AB75="RT",ROUND(Proyeccion_Localidades!BQ76,0),"*****"))))</f>
        <v>13548</v>
      </c>
      <c r="X75" s="66">
        <f>IF($AB75="TGD",ROUND($E75*(1+$AD75)^(X$4-$E$4),0),IF($AB75="ALTH",ROUND($AE75+$AF75*X$4,0),IF($AB75="IR",ROUND(Proyeccion_Localidades!AU76,0),IF($AB75="RT",ROUND(Proyeccion_Localidades!BR76,0),"*****"))))</f>
        <v>13766</v>
      </c>
      <c r="Y75" s="66">
        <f>IF($AB75="TGD",ROUND($E75*(1+$AD75)^(Y$4-$E$4),0),IF($AB75="ALTH",ROUND($AE75+$AF75*Y$4,0),IF($AB75="IR",ROUND(Proyeccion_Localidades!AV76,0),IF($AB75="RT",ROUND(Proyeccion_Localidades!BS76,0),"*****"))))</f>
        <v>13983</v>
      </c>
      <c r="Z75" s="66">
        <f>IF($AB75="TGD",ROUND($E75*(1+$AD75)^(Z$4-$E$4),0),IF($AB75="ALTH",ROUND($AE75+$AF75*Z$4,0),IF($AB75="IR",ROUND(Proyeccion_Localidades!AW76,0),IF($AB75="RT",ROUND(Proyeccion_Localidades!BT76,0),"*****"))))</f>
        <v>14200</v>
      </c>
      <c r="AA75" s="66">
        <f>IF($AB75="TGD",ROUND($E75*(1+$AD75)^(AA$4-$E$4),0),IF($AB75="ALTH",ROUND($AE75+$AF75*AA$4,0),IF($AB75="IR",ROUND(Proyeccion_Localidades!AX76,0),IF($AB75="RT",ROUND(Proyeccion_Localidades!BU76,0),"*****"))))</f>
        <v>14418</v>
      </c>
      <c r="AB75" s="67" t="str">
        <f>Proyeccion_Localidades!N76</f>
        <v>RT</v>
      </c>
      <c r="AC75" s="73"/>
      <c r="AD75" s="51" t="str">
        <f>IF(AB75="TGD",Proyeccion_Localidades!Z76,"-")</f>
        <v>-</v>
      </c>
      <c r="AE75" s="51" t="str">
        <f>IF($AB75="ALTH",Proyeccion_Localidades!AA76,"-")</f>
        <v>-</v>
      </c>
      <c r="AF75" s="51" t="str">
        <f>IF($AB75="ALTH",Proyeccion_Localidades!AB76,"-")</f>
        <v>-</v>
      </c>
      <c r="AG75" s="51"/>
      <c r="AH75" s="51"/>
      <c r="AI75" s="66">
        <f t="shared" si="5"/>
        <v>9918</v>
      </c>
    </row>
    <row r="76" spans="1:35" ht="24.95" customHeight="1">
      <c r="A76" s="84" t="str">
        <f>+Proyeccion_Localidades!C77</f>
        <v>General Pinto</v>
      </c>
      <c r="B76" s="70">
        <f t="shared" si="4"/>
        <v>72</v>
      </c>
      <c r="C76" s="71" t="str">
        <f>+Proyeccion_Localidades!B77</f>
        <v>General Pinto</v>
      </c>
      <c r="D76" s="261">
        <f t="shared" si="6"/>
        <v>72</v>
      </c>
      <c r="E76" s="72">
        <f>+Proyeccion_Localidades!F77</f>
        <v>6557</v>
      </c>
      <c r="F76" s="66">
        <f>IF($AB76="TGD",ROUND($E76*(1+$AD76)^(F$4-$E$4),0),IF($AB76="ALTH",ROUND($AE76+$AF76*F$4,0),IF($AB76="IR",ROUND(Proyeccion_Localidades!AC77,0),IF($AB76="RT",ROUND(Proyeccion_Localidades!AZ77,0),"*****"))))</f>
        <v>7089</v>
      </c>
      <c r="G76" s="66">
        <f>IF($AB76="TGD",ROUND($E76*(1+$AD76)^(G$4-$E$4),0),IF($AB76="ALTH",ROUND($AE76+$AF76*G$4,0),IF($AB76="IR",ROUND(Proyeccion_Localidades!AD77,0),IF($AB76="RT",ROUND(Proyeccion_Localidades!BA77,0),"*****"))))</f>
        <v>7133</v>
      </c>
      <c r="H76" s="66">
        <f>IF($AB76="TGD",ROUND($E76*(1+$AD76)^(H$4-$E$4),0),IF($AB76="ALTH",ROUND($AE76+$AF76*H$4,0),IF($AB76="IR",ROUND(Proyeccion_Localidades!AE77,0),IF($AB76="RT",ROUND(Proyeccion_Localidades!BB77,0),"*****"))))</f>
        <v>7267</v>
      </c>
      <c r="I76" s="66">
        <f>IF($AB76="TGD",ROUND($E76*(1+$AD76)^(I$4-$E$4),0),IF($AB76="ALTH",ROUND($AE76+$AF76*I$4,0),IF($AB76="IR",ROUND(Proyeccion_Localidades!AF77,0),IF($AB76="RT",ROUND(Proyeccion_Localidades!BC77,0),"*****"))))</f>
        <v>7311</v>
      </c>
      <c r="J76" s="66">
        <f>IF($AB76="TGD",ROUND($E76*(1+$AD76)^(J$4-$E$4),0),IF($AB76="ALTH",ROUND($AE76+$AF76*J$4,0),IF($AB76="IR",ROUND(Proyeccion_Localidades!AG77,0),IF($AB76="RT",ROUND(Proyeccion_Localidades!BD77,0),"*****"))))</f>
        <v>7355</v>
      </c>
      <c r="K76" s="66">
        <f>IF($AB76="TGD",ROUND($E76*(1+$AD76)^(K$4-$E$4),0),IF($AB76="ALTH",ROUND($AE76+$AF76*K$4,0),IF($AB76="IR",ROUND(Proyeccion_Localidades!AH77,0),IF($AB76="RT",ROUND(Proyeccion_Localidades!BE77,0),"*****"))))</f>
        <v>7400</v>
      </c>
      <c r="L76" s="66">
        <f>IF($AB76="TGD",ROUND($E76*(1+$AD76)^(L$4-$E$4),0),IF($AB76="ALTH",ROUND($AE76+$AF76*L$4,0),IF($AB76="IR",ROUND(Proyeccion_Localidades!AI77,0),IF($AB76="RT",ROUND(Proyeccion_Localidades!BF77,0),"*****"))))</f>
        <v>7444</v>
      </c>
      <c r="M76" s="66">
        <f>IF($AB76="TGD",ROUND($E76*(1+$AD76)^(M$4-$E$4),0),IF($AB76="ALTH",ROUND($AE76+$AF76*M$4,0),IF($AB76="IR",ROUND(Proyeccion_Localidades!AJ77,0),IF($AB76="RT",ROUND(Proyeccion_Localidades!BG77,0),"*****"))))</f>
        <v>7489</v>
      </c>
      <c r="N76" s="66">
        <f>IF($AB76="TGD",ROUND($E76*(1+$AD76)^(N$4-$E$4),0),IF($AB76="ALTH",ROUND($AE76+$AF76*N$4,0),IF($AB76="IR",ROUND(Proyeccion_Localidades!AK77,0),IF($AB76="RT",ROUND(Proyeccion_Localidades!BH77,0),"*****"))))</f>
        <v>7533</v>
      </c>
      <c r="O76" s="66">
        <f>IF($AB76="TGD",ROUND($E76*(1+$AD76)^(O$4-$E$4),0),IF($AB76="ALTH",ROUND($AE76+$AF76*O$4,0),IF($AB76="IR",ROUND(Proyeccion_Localidades!AL77,0),IF($AB76="RT",ROUND(Proyeccion_Localidades!BI77,0),"*****"))))</f>
        <v>7577</v>
      </c>
      <c r="P76" s="66">
        <f>IF($AB76="TGD",ROUND($E76*(1+$AD76)^(P$4-$E$4),0),IF($AB76="ALTH",ROUND($AE76+$AF76*P$4,0),IF($AB76="IR",ROUND(Proyeccion_Localidades!AM77,0),IF($AB76="RT",ROUND(Proyeccion_Localidades!BJ77,0),"*****"))))</f>
        <v>7622</v>
      </c>
      <c r="Q76" s="66">
        <f>IF($AB76="TGD",ROUND($E76*(1+$AD76)^(Q$4-$E$4),0),IF($AB76="ALTH",ROUND($AE76+$AF76*Q$4,0),IF($AB76="IR",ROUND(Proyeccion_Localidades!AN77,0),IF($AB76="RT",ROUND(Proyeccion_Localidades!BK77,0),"*****"))))</f>
        <v>7666</v>
      </c>
      <c r="R76" s="66">
        <f>IF($AB76="TGD",ROUND($E76*(1+$AD76)^(R$4-$E$4),0),IF($AB76="ALTH",ROUND($AE76+$AF76*R$4,0),IF($AB76="IR",ROUND(Proyeccion_Localidades!AO77,0),IF($AB76="RT",ROUND(Proyeccion_Localidades!BL77,0),"*****"))))</f>
        <v>7711</v>
      </c>
      <c r="S76" s="66">
        <f>IF($AB76="TGD",ROUND($E76*(1+$AD76)^(S$4-$E$4),0),IF($AB76="ALTH",ROUND($AE76+$AF76*S$4,0),IF($AB76="IR",ROUND(Proyeccion_Localidades!AP77,0),IF($AB76="RT",ROUND(Proyeccion_Localidades!BM77,0),"*****"))))</f>
        <v>7755</v>
      </c>
      <c r="T76" s="66">
        <f>IF($AB76="TGD",ROUND($E76*(1+$AD76)^(T$4-$E$4),0),IF($AB76="ALTH",ROUND($AE76+$AF76*T$4,0),IF($AB76="IR",ROUND(Proyeccion_Localidades!AQ77,0),IF($AB76="RT",ROUND(Proyeccion_Localidades!BN77,0),"*****"))))</f>
        <v>7799</v>
      </c>
      <c r="U76" s="66">
        <f>IF($AB76="TGD",ROUND($E76*(1+$AD76)^(U$4-$E$4),0),IF($AB76="ALTH",ROUND($AE76+$AF76*U$4,0),IF($AB76="IR",ROUND(Proyeccion_Localidades!AR77,0),IF($AB76="RT",ROUND(Proyeccion_Localidades!BO77,0),"*****"))))</f>
        <v>7844</v>
      </c>
      <c r="V76" s="66">
        <f>IF($AB76="TGD",ROUND($E76*(1+$AD76)^(V$4-$E$4),0),IF($AB76="ALTH",ROUND($AE76+$AF76*V$4,0),IF($AB76="IR",ROUND(Proyeccion_Localidades!AS77,0),IF($AB76="RT",ROUND(Proyeccion_Localidades!BP77,0),"*****"))))</f>
        <v>7888</v>
      </c>
      <c r="W76" s="66">
        <f>IF($AB76="TGD",ROUND($E76*(1+$AD76)^(W$4-$E$4),0),IF($AB76="ALTH",ROUND($AE76+$AF76*W$4,0),IF($AB76="IR",ROUND(Proyeccion_Localidades!AT77,0),IF($AB76="RT",ROUND(Proyeccion_Localidades!BQ77,0),"*****"))))</f>
        <v>7933</v>
      </c>
      <c r="X76" s="66">
        <f>IF($AB76="TGD",ROUND($E76*(1+$AD76)^(X$4-$E$4),0),IF($AB76="ALTH",ROUND($AE76+$AF76*X$4,0),IF($AB76="IR",ROUND(Proyeccion_Localidades!AU77,0),IF($AB76="RT",ROUND(Proyeccion_Localidades!BR77,0),"*****"))))</f>
        <v>7977</v>
      </c>
      <c r="Y76" s="66">
        <f>IF($AB76="TGD",ROUND($E76*(1+$AD76)^(Y$4-$E$4),0),IF($AB76="ALTH",ROUND($AE76+$AF76*Y$4,0),IF($AB76="IR",ROUND(Proyeccion_Localidades!AV77,0),IF($AB76="RT",ROUND(Proyeccion_Localidades!BS77,0),"*****"))))</f>
        <v>8022</v>
      </c>
      <c r="Z76" s="66">
        <f>IF($AB76="TGD",ROUND($E76*(1+$AD76)^(Z$4-$E$4),0),IF($AB76="ALTH",ROUND($AE76+$AF76*Z$4,0),IF($AB76="IR",ROUND(Proyeccion_Localidades!AW77,0),IF($AB76="RT",ROUND(Proyeccion_Localidades!BT77,0),"*****"))))</f>
        <v>8066</v>
      </c>
      <c r="AA76" s="66">
        <f>IF($AB76="TGD",ROUND($E76*(1+$AD76)^(AA$4-$E$4),0),IF($AB76="ALTH",ROUND($AE76+$AF76*AA$4,0),IF($AB76="IR",ROUND(Proyeccion_Localidades!AX77,0),IF($AB76="RT",ROUND(Proyeccion_Localidades!BU77,0),"*****"))))</f>
        <v>8110</v>
      </c>
      <c r="AB76" s="67" t="str">
        <f>Proyeccion_Localidades!N77</f>
        <v>ALTH</v>
      </c>
      <c r="AC76" s="68" t="s">
        <v>36</v>
      </c>
      <c r="AD76" s="51" t="str">
        <f>IF(AB76="TGD",Proyeccion_Localidades!Z77,"-")</f>
        <v>-</v>
      </c>
      <c r="AE76" s="51">
        <f>IF($AB76="ALTH",Proyeccion_Localidades!AA77,"-")</f>
        <v>-82718.53505535057</v>
      </c>
      <c r="AF76" s="51">
        <f>IF($AB76="ALTH",Proyeccion_Localidades!AB77,"-")</f>
        <v>44.415129151291517</v>
      </c>
      <c r="AG76" s="51"/>
      <c r="AH76" s="51"/>
      <c r="AI76" s="66">
        <f t="shared" si="5"/>
        <v>7133</v>
      </c>
    </row>
    <row r="77" spans="1:35" ht="24.95" customHeight="1">
      <c r="A77" s="84" t="str">
        <f>+Proyeccion_Localidades!C78</f>
        <v>General Pueyrredón</v>
      </c>
      <c r="B77" s="70">
        <f t="shared" si="4"/>
        <v>73</v>
      </c>
      <c r="C77" s="71" t="str">
        <f>+Proyeccion_Localidades!B78</f>
        <v>Mar del Plata</v>
      </c>
      <c r="D77" s="261">
        <f t="shared" si="6"/>
        <v>73</v>
      </c>
      <c r="E77" s="72">
        <f>+Verif!E78+ROUND(Verif!E79*122/365,0)</f>
        <v>671787</v>
      </c>
      <c r="F77" s="72">
        <f>+Verif!F78+ROUND(Verif!F79*122/365,0)</f>
        <v>737713</v>
      </c>
      <c r="G77" s="72">
        <f>+Verif!G78+ROUND(Verif!G79*122/365,0)</f>
        <v>743491</v>
      </c>
      <c r="H77" s="72">
        <f>+Verif!H78+ROUND(Verif!H79*122/365,0)</f>
        <v>761097</v>
      </c>
      <c r="I77" s="72">
        <f>+Verif!I78+ROUND(Verif!I79*122/365,0)</f>
        <v>767056</v>
      </c>
      <c r="J77" s="72">
        <f>+Verif!J78+ROUND(Verif!J79*122/365,0)</f>
        <v>773064</v>
      </c>
      <c r="K77" s="72">
        <f>+Verif!K78+ROUND(Verif!K79*122/365,0)</f>
        <v>779118</v>
      </c>
      <c r="L77" s="72">
        <f>+Verif!L78+ROUND(Verif!L79*122/365,0)</f>
        <v>785220</v>
      </c>
      <c r="M77" s="72">
        <f>+Verif!M78+ROUND(Verif!M79*122/365,0)</f>
        <v>791370</v>
      </c>
      <c r="N77" s="72">
        <f>+Verif!N78+ROUND(Verif!N79*122/365,0)</f>
        <v>797567</v>
      </c>
      <c r="O77" s="72">
        <f>+Verif!O78+ROUND(Verif!O79*122/365,0)</f>
        <v>803814</v>
      </c>
      <c r="P77" s="72">
        <f>+Verif!P78+ROUND(Verif!P79*122/365,0)</f>
        <v>810109</v>
      </c>
      <c r="Q77" s="72">
        <f>+Verif!Q78+ROUND(Verif!Q79*122/365,0)</f>
        <v>816453</v>
      </c>
      <c r="R77" s="72">
        <f>+Verif!R78+ROUND(Verif!R79*122/365,0)</f>
        <v>822847</v>
      </c>
      <c r="S77" s="72">
        <f>+Verif!S78+ROUND(Verif!S79*122/365,0)</f>
        <v>829291</v>
      </c>
      <c r="T77" s="72">
        <f>+Verif!T78+ROUND(Verif!T79*122/365,0)</f>
        <v>835786</v>
      </c>
      <c r="U77" s="72">
        <f>+Verif!U78+ROUND(Verif!U79*122/365,0)</f>
        <v>842331</v>
      </c>
      <c r="V77" s="72">
        <f>+Verif!V78+ROUND(Verif!V79*122/365,0)</f>
        <v>848928</v>
      </c>
      <c r="W77" s="72">
        <f>+Verif!W78+ROUND(Verif!W79*122/365,0)</f>
        <v>855576</v>
      </c>
      <c r="X77" s="72">
        <f>+Verif!X78+ROUND(Verif!X79*122/365,0)</f>
        <v>862277</v>
      </c>
      <c r="Y77" s="72">
        <f>+Verif!Y78+ROUND(Verif!Y79*122/365,0)</f>
        <v>869031</v>
      </c>
      <c r="Z77" s="72">
        <f>+Verif!Z78+ROUND(Verif!Z79*122/365,0)</f>
        <v>875836</v>
      </c>
      <c r="AA77" s="72">
        <f>+Verif!AA78+ROUND(Verif!AA79*122/365,0)</f>
        <v>882695</v>
      </c>
      <c r="AB77" s="67" t="str">
        <f>Proyeccion_Localidades!N78</f>
        <v>TGD</v>
      </c>
      <c r="AC77" s="68" t="s">
        <v>35</v>
      </c>
      <c r="AD77" s="51">
        <f>IF(AB77="TGD",Proyeccion_Localidades!Z78,"-")</f>
        <v>7.8316293497922018E-3</v>
      </c>
      <c r="AE77" s="51" t="str">
        <f>IF($AB77="ALTH",Proyeccion_Localidades!AA78,"-")</f>
        <v>-</v>
      </c>
      <c r="AF77" s="51" t="str">
        <f>IF($AB77="ALTH",Proyeccion_Localidades!AB78,"-")</f>
        <v>-</v>
      </c>
      <c r="AG77" s="51"/>
      <c r="AH77" s="51"/>
      <c r="AI77" s="66">
        <f t="shared" si="5"/>
        <v>743491</v>
      </c>
    </row>
    <row r="78" spans="1:35" ht="24.95" customHeight="1">
      <c r="A78" s="86" t="str">
        <f>+Proyeccion_Localidades!C80</f>
        <v>General Rodríguez</v>
      </c>
      <c r="B78" s="70">
        <f>+B77+1</f>
        <v>74</v>
      </c>
      <c r="C78" s="71" t="str">
        <f>+Proyeccion_Localidades!B80</f>
        <v>General Rodríguez</v>
      </c>
      <c r="D78" s="261">
        <f t="shared" si="6"/>
        <v>74</v>
      </c>
      <c r="E78" s="72">
        <f>+Proyeccion_Localidades!F80</f>
        <v>85315</v>
      </c>
      <c r="F78" s="66">
        <f>IF($AB78="TGD",ROUND($E78*(1+$AD78)^(F$4-$E$4),0),IF($AB78="ALTH",ROUND($AE78+$AF78*F$4,0),IF($AB78="IR",ROUND(Proyeccion_Localidades!AC80,0),IF($AB78="RT",ROUND(Proyeccion_Localidades!AZ80,0),"*****"))))</f>
        <v>134349</v>
      </c>
      <c r="G78" s="66">
        <f>IF($AB78="TGD",ROUND($E78*(1+$AD78)^(G$4-$E$4),0),IF($AB78="ALTH",ROUND($AE78+$AF78*G$4,0),IF($AB78="IR",ROUND(Proyeccion_Localidades!AD80,0),IF($AB78="RT",ROUND(Proyeccion_Localidades!BA80,0),"*****"))))</f>
        <v>138882</v>
      </c>
      <c r="H78" s="66">
        <f>IF($AB78="TGD",ROUND($E78*(1+$AD78)^(H$4-$E$4),0),IF($AB78="ALTH",ROUND($AE78+$AF78*H$4,0),IF($AB78="IR",ROUND(Proyeccion_Localidades!AE80,0),IF($AB78="RT",ROUND(Proyeccion_Localidades!BB80,0),"*****"))))</f>
        <v>152927</v>
      </c>
      <c r="I78" s="66">
        <f>IF($AB78="TGD",ROUND($E78*(1+$AD78)^(I$4-$E$4),0),IF($AB78="ALTH",ROUND($AE78+$AF78*I$4,0),IF($AB78="IR",ROUND(Proyeccion_Localidades!AF80,0),IF($AB78="RT",ROUND(Proyeccion_Localidades!BC80,0),"*****"))))</f>
        <v>157762</v>
      </c>
      <c r="J78" s="66">
        <f>IF($AB78="TGD",ROUND($E78*(1+$AD78)^(J$4-$E$4),0),IF($AB78="ALTH",ROUND($AE78+$AF78*J$4,0),IF($AB78="IR",ROUND(Proyeccion_Localidades!AG80,0),IF($AB78="RT",ROUND(Proyeccion_Localidades!BD80,0),"*****"))))</f>
        <v>162676</v>
      </c>
      <c r="K78" s="66">
        <f>IF($AB78="TGD",ROUND($E78*(1+$AD78)^(K$4-$E$4),0),IF($AB78="ALTH",ROUND($AE78+$AF78*K$4,0),IF($AB78="IR",ROUND(Proyeccion_Localidades!AH80,0),IF($AB78="RT",ROUND(Proyeccion_Localidades!BE80,0),"*****"))))</f>
        <v>167671</v>
      </c>
      <c r="L78" s="66">
        <f>IF($AB78="TGD",ROUND($E78*(1+$AD78)^(L$4-$E$4),0),IF($AB78="ALTH",ROUND($AE78+$AF78*L$4,0),IF($AB78="IR",ROUND(Proyeccion_Localidades!AI80,0),IF($AB78="RT",ROUND(Proyeccion_Localidades!BF80,0),"*****"))))</f>
        <v>172747</v>
      </c>
      <c r="M78" s="66">
        <f>IF($AB78="TGD",ROUND($E78*(1+$AD78)^(M$4-$E$4),0),IF($AB78="ALTH",ROUND($AE78+$AF78*M$4,0),IF($AB78="IR",ROUND(Proyeccion_Localidades!AJ80,0),IF($AB78="RT",ROUND(Proyeccion_Localidades!BG80,0),"*****"))))</f>
        <v>177905</v>
      </c>
      <c r="N78" s="66">
        <f>IF($AB78="TGD",ROUND($E78*(1+$AD78)^(N$4-$E$4),0),IF($AB78="ALTH",ROUND($AE78+$AF78*N$4,0),IF($AB78="IR",ROUND(Proyeccion_Localidades!AK80,0),IF($AB78="RT",ROUND(Proyeccion_Localidades!BH80,0),"*****"))))</f>
        <v>183148</v>
      </c>
      <c r="O78" s="66">
        <f>IF($AB78="TGD",ROUND($E78*(1+$AD78)^(O$4-$E$4),0),IF($AB78="ALTH",ROUND($AE78+$AF78*O$4,0),IF($AB78="IR",ROUND(Proyeccion_Localidades!AL80,0),IF($AB78="RT",ROUND(Proyeccion_Localidades!BI80,0),"*****"))))</f>
        <v>188477</v>
      </c>
      <c r="P78" s="66">
        <f>IF($AB78="TGD",ROUND($E78*(1+$AD78)^(P$4-$E$4),0),IF($AB78="ALTH",ROUND($AE78+$AF78*P$4,0),IF($AB78="IR",ROUND(Proyeccion_Localidades!AM80,0),IF($AB78="RT",ROUND(Proyeccion_Localidades!BJ80,0),"*****"))))</f>
        <v>193892</v>
      </c>
      <c r="Q78" s="66">
        <f>IF($AB78="TGD",ROUND($E78*(1+$AD78)^(Q$4-$E$4),0),IF($AB78="ALTH",ROUND($AE78+$AF78*Q$4,0),IF($AB78="IR",ROUND(Proyeccion_Localidades!AN80,0),IF($AB78="RT",ROUND(Proyeccion_Localidades!BK80,0),"*****"))))</f>
        <v>199395</v>
      </c>
      <c r="R78" s="66">
        <f>IF($AB78="TGD",ROUND($E78*(1+$AD78)^(R$4-$E$4),0),IF($AB78="ALTH",ROUND($AE78+$AF78*R$4,0),IF($AB78="IR",ROUND(Proyeccion_Localidades!AO80,0),IF($AB78="RT",ROUND(Proyeccion_Localidades!BL80,0),"*****"))))</f>
        <v>204989</v>
      </c>
      <c r="S78" s="66">
        <f>IF($AB78="TGD",ROUND($E78*(1+$AD78)^(S$4-$E$4),0),IF($AB78="ALTH",ROUND($AE78+$AF78*S$4,0),IF($AB78="IR",ROUND(Proyeccion_Localidades!AP80,0),IF($AB78="RT",ROUND(Proyeccion_Localidades!BM80,0),"*****"))))</f>
        <v>210673</v>
      </c>
      <c r="T78" s="66">
        <f>IF($AB78="TGD",ROUND($E78*(1+$AD78)^(T$4-$E$4),0),IF($AB78="ALTH",ROUND($AE78+$AF78*T$4,0),IF($AB78="IR",ROUND(Proyeccion_Localidades!AQ80,0),IF($AB78="RT",ROUND(Proyeccion_Localidades!BN80,0),"*****"))))</f>
        <v>216451</v>
      </c>
      <c r="U78" s="66">
        <f>IF($AB78="TGD",ROUND($E78*(1+$AD78)^(U$4-$E$4),0),IF($AB78="ALTH",ROUND($AE78+$AF78*U$4,0),IF($AB78="IR",ROUND(Proyeccion_Localidades!AR80,0),IF($AB78="RT",ROUND(Proyeccion_Localidades!BO80,0),"*****"))))</f>
        <v>222322</v>
      </c>
      <c r="V78" s="66">
        <f>IF($AB78="TGD",ROUND($E78*(1+$AD78)^(V$4-$E$4),0),IF($AB78="ALTH",ROUND($AE78+$AF78*V$4,0),IF($AB78="IR",ROUND(Proyeccion_Localidades!AS80,0),IF($AB78="RT",ROUND(Proyeccion_Localidades!BP80,0),"*****"))))</f>
        <v>228290</v>
      </c>
      <c r="W78" s="66">
        <f>IF($AB78="TGD",ROUND($E78*(1+$AD78)^(W$4-$E$4),0),IF($AB78="ALTH",ROUND($AE78+$AF78*W$4,0),IF($AB78="IR",ROUND(Proyeccion_Localidades!AT80,0),IF($AB78="RT",ROUND(Proyeccion_Localidades!BQ80,0),"*****"))))</f>
        <v>234355</v>
      </c>
      <c r="X78" s="66">
        <f>IF($AB78="TGD",ROUND($E78*(1+$AD78)^(X$4-$E$4),0),IF($AB78="ALTH",ROUND($AE78+$AF78*X$4,0),IF($AB78="IR",ROUND(Proyeccion_Localidades!AU80,0),IF($AB78="RT",ROUND(Proyeccion_Localidades!BR80,0),"*****"))))</f>
        <v>240518</v>
      </c>
      <c r="Y78" s="66">
        <f>IF($AB78="TGD",ROUND($E78*(1+$AD78)^(Y$4-$E$4),0),IF($AB78="ALTH",ROUND($AE78+$AF78*Y$4,0),IF($AB78="IR",ROUND(Proyeccion_Localidades!AV80,0),IF($AB78="RT",ROUND(Proyeccion_Localidades!BS80,0),"*****"))))</f>
        <v>246782</v>
      </c>
      <c r="Z78" s="66">
        <f>IF($AB78="TGD",ROUND($E78*(1+$AD78)^(Z$4-$E$4),0),IF($AB78="ALTH",ROUND($AE78+$AF78*Z$4,0),IF($AB78="IR",ROUND(Proyeccion_Localidades!AW80,0),IF($AB78="RT",ROUND(Proyeccion_Localidades!BT80,0),"*****"))))</f>
        <v>253149</v>
      </c>
      <c r="AA78" s="66">
        <f>IF($AB78="TGD",ROUND($E78*(1+$AD78)^(AA$4-$E$4),0),IF($AB78="ALTH",ROUND($AE78+$AF78*AA$4,0),IF($AB78="IR",ROUND(Proyeccion_Localidades!AX80,0),IF($AB78="RT",ROUND(Proyeccion_Localidades!BU80,0),"*****"))))</f>
        <v>259619</v>
      </c>
      <c r="AB78" s="67" t="str">
        <f>Proyeccion_Localidades!N80</f>
        <v>IR</v>
      </c>
      <c r="AC78" s="73"/>
      <c r="AD78" s="51" t="str">
        <f>IF(AB78="TGD",Proyeccion_Localidades!Z80,"-")</f>
        <v>-</v>
      </c>
      <c r="AE78" s="51" t="str">
        <f>IF($AB78="ALTH",Proyeccion_Localidades!AA80,"-")</f>
        <v>-</v>
      </c>
      <c r="AF78" s="51" t="str">
        <f>IF($AB78="ALTH",Proyeccion_Localidades!AB80,"-")</f>
        <v>-</v>
      </c>
      <c r="AG78" s="51"/>
      <c r="AH78" s="51"/>
      <c r="AI78" s="66">
        <f t="shared" si="5"/>
        <v>138882</v>
      </c>
    </row>
    <row r="79" spans="1:35" ht="24.95" customHeight="1">
      <c r="A79" s="86" t="str">
        <f>+Proyeccion_Localidades!C81</f>
        <v>General Viamonte</v>
      </c>
      <c r="B79" s="70">
        <f t="shared" si="4"/>
        <v>75</v>
      </c>
      <c r="C79" s="71" t="str">
        <f>+Proyeccion_Localidades!B81</f>
        <v>Los Toldos</v>
      </c>
      <c r="D79" s="261">
        <f t="shared" si="6"/>
        <v>75</v>
      </c>
      <c r="E79" s="72">
        <f>+Proyeccion_Localidades!F81</f>
        <v>14496</v>
      </c>
      <c r="F79" s="66">
        <f>IF($AB79="TGD",ROUND($E79*(1+$AD79)^(F$4-$E$4),0),IF($AB79="ALTH",ROUND($AE79+$AF79*F$4,0),IF($AB79="IR",ROUND(Proyeccion_Localidades!AC81,0),IF($AB79="RT",ROUND(Proyeccion_Localidades!AZ81,0),"*****"))))</f>
        <v>15973</v>
      </c>
      <c r="G79" s="66">
        <f>IF($AB79="TGD",ROUND($E79*(1+$AD79)^(G$4-$E$4),0),IF($AB79="ALTH",ROUND($AE79+$AF79*G$4,0),IF($AB79="IR",ROUND(Proyeccion_Localidades!AD81,0),IF($AB79="RT",ROUND(Proyeccion_Localidades!BA81,0),"*****"))))</f>
        <v>16095</v>
      </c>
      <c r="H79" s="66">
        <f>IF($AB79="TGD",ROUND($E79*(1+$AD79)^(H$4-$E$4),0),IF($AB79="ALTH",ROUND($AE79+$AF79*H$4,0),IF($AB79="IR",ROUND(Proyeccion_Localidades!AE81,0),IF($AB79="RT",ROUND(Proyeccion_Localidades!BB81,0),"*****"))))</f>
        <v>16459</v>
      </c>
      <c r="I79" s="66">
        <f>IF($AB79="TGD",ROUND($E79*(1+$AD79)^(I$4-$E$4),0),IF($AB79="ALTH",ROUND($AE79+$AF79*I$4,0),IF($AB79="IR",ROUND(Proyeccion_Localidades!AF81,0),IF($AB79="RT",ROUND(Proyeccion_Localidades!BC81,0),"*****"))))</f>
        <v>16580</v>
      </c>
      <c r="J79" s="66">
        <f>IF($AB79="TGD",ROUND($E79*(1+$AD79)^(J$4-$E$4),0),IF($AB79="ALTH",ROUND($AE79+$AF79*J$4,0),IF($AB79="IR",ROUND(Proyeccion_Localidades!AG81,0),IF($AB79="RT",ROUND(Proyeccion_Localidades!BD81,0),"*****"))))</f>
        <v>16702</v>
      </c>
      <c r="K79" s="66">
        <f>IF($AB79="TGD",ROUND($E79*(1+$AD79)^(K$4-$E$4),0),IF($AB79="ALTH",ROUND($AE79+$AF79*K$4,0),IF($AB79="IR",ROUND(Proyeccion_Localidades!AH81,0),IF($AB79="RT",ROUND(Proyeccion_Localidades!BE81,0),"*****"))))</f>
        <v>16823</v>
      </c>
      <c r="L79" s="66">
        <f>IF($AB79="TGD",ROUND($E79*(1+$AD79)^(L$4-$E$4),0),IF($AB79="ALTH",ROUND($AE79+$AF79*L$4,0),IF($AB79="IR",ROUND(Proyeccion_Localidades!AI81,0),IF($AB79="RT",ROUND(Proyeccion_Localidades!BF81,0),"*****"))))</f>
        <v>16945</v>
      </c>
      <c r="M79" s="66">
        <f>IF($AB79="TGD",ROUND($E79*(1+$AD79)^(M$4-$E$4),0),IF($AB79="ALTH",ROUND($AE79+$AF79*M$4,0),IF($AB79="IR",ROUND(Proyeccion_Localidades!AJ81,0),IF($AB79="RT",ROUND(Proyeccion_Localidades!BG81,0),"*****"))))</f>
        <v>17066</v>
      </c>
      <c r="N79" s="66">
        <f>IF($AB79="TGD",ROUND($E79*(1+$AD79)^(N$4-$E$4),0),IF($AB79="ALTH",ROUND($AE79+$AF79*N$4,0),IF($AB79="IR",ROUND(Proyeccion_Localidades!AK81,0),IF($AB79="RT",ROUND(Proyeccion_Localidades!BH81,0),"*****"))))</f>
        <v>17188</v>
      </c>
      <c r="O79" s="66">
        <f>IF($AB79="TGD",ROUND($E79*(1+$AD79)^(O$4-$E$4),0),IF($AB79="ALTH",ROUND($AE79+$AF79*O$4,0),IF($AB79="IR",ROUND(Proyeccion_Localidades!AL81,0),IF($AB79="RT",ROUND(Proyeccion_Localidades!BI81,0),"*****"))))</f>
        <v>17309</v>
      </c>
      <c r="P79" s="66">
        <f>IF($AB79="TGD",ROUND($E79*(1+$AD79)^(P$4-$E$4),0),IF($AB79="ALTH",ROUND($AE79+$AF79*P$4,0),IF($AB79="IR",ROUND(Proyeccion_Localidades!AM81,0),IF($AB79="RT",ROUND(Proyeccion_Localidades!BJ81,0),"*****"))))</f>
        <v>17430</v>
      </c>
      <c r="Q79" s="66">
        <f>IF($AB79="TGD",ROUND($E79*(1+$AD79)^(Q$4-$E$4),0),IF($AB79="ALTH",ROUND($AE79+$AF79*Q$4,0),IF($AB79="IR",ROUND(Proyeccion_Localidades!AN81,0),IF($AB79="RT",ROUND(Proyeccion_Localidades!BK81,0),"*****"))))</f>
        <v>17552</v>
      </c>
      <c r="R79" s="66">
        <f>IF($AB79="TGD",ROUND($E79*(1+$AD79)^(R$4-$E$4),0),IF($AB79="ALTH",ROUND($AE79+$AF79*R$4,0),IF($AB79="IR",ROUND(Proyeccion_Localidades!AO81,0),IF($AB79="RT",ROUND(Proyeccion_Localidades!BL81,0),"*****"))))</f>
        <v>17673</v>
      </c>
      <c r="S79" s="66">
        <f>IF($AB79="TGD",ROUND($E79*(1+$AD79)^(S$4-$E$4),0),IF($AB79="ALTH",ROUND($AE79+$AF79*S$4,0),IF($AB79="IR",ROUND(Proyeccion_Localidades!AP81,0),IF($AB79="RT",ROUND(Proyeccion_Localidades!BM81,0),"*****"))))</f>
        <v>17795</v>
      </c>
      <c r="T79" s="66">
        <f>IF($AB79="TGD",ROUND($E79*(1+$AD79)^(T$4-$E$4),0),IF($AB79="ALTH",ROUND($AE79+$AF79*T$4,0),IF($AB79="IR",ROUND(Proyeccion_Localidades!AQ81,0),IF($AB79="RT",ROUND(Proyeccion_Localidades!BN81,0),"*****"))))</f>
        <v>17916</v>
      </c>
      <c r="U79" s="66">
        <f>IF($AB79="TGD",ROUND($E79*(1+$AD79)^(U$4-$E$4),0),IF($AB79="ALTH",ROUND($AE79+$AF79*U$4,0),IF($AB79="IR",ROUND(Proyeccion_Localidades!AR81,0),IF($AB79="RT",ROUND(Proyeccion_Localidades!BO81,0),"*****"))))</f>
        <v>18038</v>
      </c>
      <c r="V79" s="66">
        <f>IF($AB79="TGD",ROUND($E79*(1+$AD79)^(V$4-$E$4),0),IF($AB79="ALTH",ROUND($AE79+$AF79*V$4,0),IF($AB79="IR",ROUND(Proyeccion_Localidades!AS81,0),IF($AB79="RT",ROUND(Proyeccion_Localidades!BP81,0),"*****"))))</f>
        <v>18159</v>
      </c>
      <c r="W79" s="66">
        <f>IF($AB79="TGD",ROUND($E79*(1+$AD79)^(W$4-$E$4),0),IF($AB79="ALTH",ROUND($AE79+$AF79*W$4,0),IF($AB79="IR",ROUND(Proyeccion_Localidades!AT81,0),IF($AB79="RT",ROUND(Proyeccion_Localidades!BQ81,0),"*****"))))</f>
        <v>18280</v>
      </c>
      <c r="X79" s="66">
        <f>IF($AB79="TGD",ROUND($E79*(1+$AD79)^(X$4-$E$4),0),IF($AB79="ALTH",ROUND($AE79+$AF79*X$4,0),IF($AB79="IR",ROUND(Proyeccion_Localidades!AU81,0),IF($AB79="RT",ROUND(Proyeccion_Localidades!BR81,0),"*****"))))</f>
        <v>18402</v>
      </c>
      <c r="Y79" s="66">
        <f>IF($AB79="TGD",ROUND($E79*(1+$AD79)^(Y$4-$E$4),0),IF($AB79="ALTH",ROUND($AE79+$AF79*Y$4,0),IF($AB79="IR",ROUND(Proyeccion_Localidades!AV81,0),IF($AB79="RT",ROUND(Proyeccion_Localidades!BS81,0),"*****"))))</f>
        <v>18523</v>
      </c>
      <c r="Z79" s="66">
        <f>IF($AB79="TGD",ROUND($E79*(1+$AD79)^(Z$4-$E$4),0),IF($AB79="ALTH",ROUND($AE79+$AF79*Z$4,0),IF($AB79="IR",ROUND(Proyeccion_Localidades!AW81,0),IF($AB79="RT",ROUND(Proyeccion_Localidades!BT81,0),"*****"))))</f>
        <v>18645</v>
      </c>
      <c r="AA79" s="66">
        <f>IF($AB79="TGD",ROUND($E79*(1+$AD79)^(AA$4-$E$4),0),IF($AB79="ALTH",ROUND($AE79+$AF79*AA$4,0),IF($AB79="IR",ROUND(Proyeccion_Localidades!AX81,0),IF($AB79="RT",ROUND(Proyeccion_Localidades!BU81,0),"*****"))))</f>
        <v>18766</v>
      </c>
      <c r="AB79" s="67" t="str">
        <f>Proyeccion_Localidades!N81</f>
        <v>ALTH</v>
      </c>
      <c r="AC79" s="68" t="s">
        <v>36</v>
      </c>
      <c r="AD79" s="51" t="str">
        <f>IF(AB79="TGD",Proyeccion_Localidades!Z81,"-")</f>
        <v>-</v>
      </c>
      <c r="AE79" s="51">
        <f>IF($AB79="ALTH",Proyeccion_Localidades!AA81,"-")</f>
        <v>-229542.96678966787</v>
      </c>
      <c r="AF79" s="51">
        <f>IF($AB79="ALTH",Proyeccion_Localidades!AB81,"-")</f>
        <v>121.42250922509223</v>
      </c>
      <c r="AG79" s="51"/>
      <c r="AH79" s="51"/>
      <c r="AI79" s="66">
        <f t="shared" si="5"/>
        <v>16095</v>
      </c>
    </row>
    <row r="80" spans="1:35" ht="24.95" customHeight="1">
      <c r="A80" s="86" t="str">
        <f>+Proyeccion_Localidades!C82</f>
        <v>General Villegas</v>
      </c>
      <c r="B80" s="70">
        <f t="shared" si="4"/>
        <v>76</v>
      </c>
      <c r="C80" s="71" t="str">
        <f>+Proyeccion_Localidades!B82</f>
        <v>General Villegas</v>
      </c>
      <c r="D80" s="261">
        <f t="shared" si="6"/>
        <v>76</v>
      </c>
      <c r="E80" s="72">
        <f>+Proyeccion_Localidades!F82</f>
        <v>18275</v>
      </c>
      <c r="F80" s="66">
        <f>IF($AB80="TGD",ROUND($E80*(1+$AD80)^(F$4-$E$4),0),IF($AB80="ALTH",ROUND($AE80+$AF80*F$4,0),IF($AB80="IR",ROUND(Proyeccion_Localidades!AC82,0),IF($AB80="RT",ROUND(Proyeccion_Localidades!AZ82,0),"*****"))))</f>
        <v>21338</v>
      </c>
      <c r="G80" s="66">
        <f>IF($AB80="TGD",ROUND($E80*(1+$AD80)^(G$4-$E$4),0),IF($AB80="ALTH",ROUND($AE80+$AF80*G$4,0),IF($AB80="IR",ROUND(Proyeccion_Localidades!AD82,0),IF($AB80="RT",ROUND(Proyeccion_Localidades!BA82,0),"*****"))))</f>
        <v>21615</v>
      </c>
      <c r="H80" s="66">
        <f>IF($AB80="TGD",ROUND($E80*(1+$AD80)^(H$4-$E$4),0),IF($AB80="ALTH",ROUND($AE80+$AF80*H$4,0),IF($AB80="IR",ROUND(Proyeccion_Localidades!AE82,0),IF($AB80="RT",ROUND(Proyeccion_Localidades!BB82,0),"*****"))))</f>
        <v>22469</v>
      </c>
      <c r="I80" s="66">
        <f>IF($AB80="TGD",ROUND($E80*(1+$AD80)^(I$4-$E$4),0),IF($AB80="ALTH",ROUND($AE80+$AF80*I$4,0),IF($AB80="IR",ROUND(Proyeccion_Localidades!AF82,0),IF($AB80="RT",ROUND(Proyeccion_Localidades!BC82,0),"*****"))))</f>
        <v>22761</v>
      </c>
      <c r="J80" s="66">
        <f>IF($AB80="TGD",ROUND($E80*(1+$AD80)^(J$4-$E$4),0),IF($AB80="ALTH",ROUND($AE80+$AF80*J$4,0),IF($AB80="IR",ROUND(Proyeccion_Localidades!AG82,0),IF($AB80="RT",ROUND(Proyeccion_Localidades!BD82,0),"*****"))))</f>
        <v>23057</v>
      </c>
      <c r="K80" s="66">
        <f>IF($AB80="TGD",ROUND($E80*(1+$AD80)^(K$4-$E$4),0),IF($AB80="ALTH",ROUND($AE80+$AF80*K$4,0),IF($AB80="IR",ROUND(Proyeccion_Localidades!AH82,0),IF($AB80="RT",ROUND(Proyeccion_Localidades!BE82,0),"*****"))))</f>
        <v>23356</v>
      </c>
      <c r="L80" s="66">
        <f>IF($AB80="TGD",ROUND($E80*(1+$AD80)^(L$4-$E$4),0),IF($AB80="ALTH",ROUND($AE80+$AF80*L$4,0),IF($AB80="IR",ROUND(Proyeccion_Localidades!AI82,0),IF($AB80="RT",ROUND(Proyeccion_Localidades!BF82,0),"*****"))))</f>
        <v>23660</v>
      </c>
      <c r="M80" s="66">
        <f>IF($AB80="TGD",ROUND($E80*(1+$AD80)^(M$4-$E$4),0),IF($AB80="ALTH",ROUND($AE80+$AF80*M$4,0),IF($AB80="IR",ROUND(Proyeccion_Localidades!AJ82,0),IF($AB80="RT",ROUND(Proyeccion_Localidades!BG82,0),"*****"))))</f>
        <v>23967</v>
      </c>
      <c r="N80" s="66">
        <f>IF($AB80="TGD",ROUND($E80*(1+$AD80)^(N$4-$E$4),0),IF($AB80="ALTH",ROUND($AE80+$AF80*N$4,0),IF($AB80="IR",ROUND(Proyeccion_Localidades!AK82,0),IF($AB80="RT",ROUND(Proyeccion_Localidades!BH82,0),"*****"))))</f>
        <v>24279</v>
      </c>
      <c r="O80" s="66">
        <f>IF($AB80="TGD",ROUND($E80*(1+$AD80)^(O$4-$E$4),0),IF($AB80="ALTH",ROUND($AE80+$AF80*O$4,0),IF($AB80="IR",ROUND(Proyeccion_Localidades!AL82,0),IF($AB80="RT",ROUND(Proyeccion_Localidades!BI82,0),"*****"))))</f>
        <v>24594</v>
      </c>
      <c r="P80" s="66">
        <f>IF($AB80="TGD",ROUND($E80*(1+$AD80)^(P$4-$E$4),0),IF($AB80="ALTH",ROUND($AE80+$AF80*P$4,0),IF($AB80="IR",ROUND(Proyeccion_Localidades!AM82,0),IF($AB80="RT",ROUND(Proyeccion_Localidades!BJ82,0),"*****"))))</f>
        <v>24914</v>
      </c>
      <c r="Q80" s="66">
        <f>IF($AB80="TGD",ROUND($E80*(1+$AD80)^(Q$4-$E$4),0),IF($AB80="ALTH",ROUND($AE80+$AF80*Q$4,0),IF($AB80="IR",ROUND(Proyeccion_Localidades!AN82,0),IF($AB80="RT",ROUND(Proyeccion_Localidades!BK82,0),"*****"))))</f>
        <v>25238</v>
      </c>
      <c r="R80" s="66">
        <f>IF($AB80="TGD",ROUND($E80*(1+$AD80)^(R$4-$E$4),0),IF($AB80="ALTH",ROUND($AE80+$AF80*R$4,0),IF($AB80="IR",ROUND(Proyeccion_Localidades!AO82,0),IF($AB80="RT",ROUND(Proyeccion_Localidades!BL82,0),"*****"))))</f>
        <v>25566</v>
      </c>
      <c r="S80" s="66">
        <f>IF($AB80="TGD",ROUND($E80*(1+$AD80)^(S$4-$E$4),0),IF($AB80="ALTH",ROUND($AE80+$AF80*S$4,0),IF($AB80="IR",ROUND(Proyeccion_Localidades!AP82,0),IF($AB80="RT",ROUND(Proyeccion_Localidades!BM82,0),"*****"))))</f>
        <v>25898</v>
      </c>
      <c r="T80" s="66">
        <f>IF($AB80="TGD",ROUND($E80*(1+$AD80)^(T$4-$E$4),0),IF($AB80="ALTH",ROUND($AE80+$AF80*T$4,0),IF($AB80="IR",ROUND(Proyeccion_Localidades!AQ82,0),IF($AB80="RT",ROUND(Proyeccion_Localidades!BN82,0),"*****"))))</f>
        <v>26235</v>
      </c>
      <c r="U80" s="66">
        <f>IF($AB80="TGD",ROUND($E80*(1+$AD80)^(U$4-$E$4),0),IF($AB80="ALTH",ROUND($AE80+$AF80*U$4,0),IF($AB80="IR",ROUND(Proyeccion_Localidades!AR82,0),IF($AB80="RT",ROUND(Proyeccion_Localidades!BO82,0),"*****"))))</f>
        <v>26576</v>
      </c>
      <c r="V80" s="66">
        <f>IF($AB80="TGD",ROUND($E80*(1+$AD80)^(V$4-$E$4),0),IF($AB80="ALTH",ROUND($AE80+$AF80*V$4,0),IF($AB80="IR",ROUND(Proyeccion_Localidades!AS82,0),IF($AB80="RT",ROUND(Proyeccion_Localidades!BP82,0),"*****"))))</f>
        <v>26921</v>
      </c>
      <c r="W80" s="66">
        <f>IF($AB80="TGD",ROUND($E80*(1+$AD80)^(W$4-$E$4),0),IF($AB80="ALTH",ROUND($AE80+$AF80*W$4,0),IF($AB80="IR",ROUND(Proyeccion_Localidades!AT82,0),IF($AB80="RT",ROUND(Proyeccion_Localidades!BQ82,0),"*****"))))</f>
        <v>27271</v>
      </c>
      <c r="X80" s="66">
        <f>IF($AB80="TGD",ROUND($E80*(1+$AD80)^(X$4-$E$4),0),IF($AB80="ALTH",ROUND($AE80+$AF80*X$4,0),IF($AB80="IR",ROUND(Proyeccion_Localidades!AU82,0),IF($AB80="RT",ROUND(Proyeccion_Localidades!BR82,0),"*****"))))</f>
        <v>27625</v>
      </c>
      <c r="Y80" s="66">
        <f>IF($AB80="TGD",ROUND($E80*(1+$AD80)^(Y$4-$E$4),0),IF($AB80="ALTH",ROUND($AE80+$AF80*Y$4,0),IF($AB80="IR",ROUND(Proyeccion_Localidades!AV82,0),IF($AB80="RT",ROUND(Proyeccion_Localidades!BS82,0),"*****"))))</f>
        <v>27984</v>
      </c>
      <c r="Z80" s="66">
        <f>IF($AB80="TGD",ROUND($E80*(1+$AD80)^(Z$4-$E$4),0),IF($AB80="ALTH",ROUND($AE80+$AF80*Z$4,0),IF($AB80="IR",ROUND(Proyeccion_Localidades!AW82,0),IF($AB80="RT",ROUND(Proyeccion_Localidades!BT82,0),"*****"))))</f>
        <v>28348</v>
      </c>
      <c r="AA80" s="66">
        <f>IF($AB80="TGD",ROUND($E80*(1+$AD80)^(AA$4-$E$4),0),IF($AB80="ALTH",ROUND($AE80+$AF80*AA$4,0),IF($AB80="IR",ROUND(Proyeccion_Localidades!AX82,0),IF($AB80="RT",ROUND(Proyeccion_Localidades!BU82,0),"*****"))))</f>
        <v>28716</v>
      </c>
      <c r="AB80" s="67" t="str">
        <f>Proyeccion_Localidades!N82</f>
        <v>TGD</v>
      </c>
      <c r="AC80" s="68" t="s">
        <v>35</v>
      </c>
      <c r="AD80" s="51">
        <f>IF(AB80="TGD",Proyeccion_Localidades!Z82,"-")</f>
        <v>1.2996066979530374E-2</v>
      </c>
      <c r="AE80" s="51" t="str">
        <f>IF($AB80="ALTH",Proyeccion_Localidades!AA82,"-")</f>
        <v>-</v>
      </c>
      <c r="AF80" s="51" t="str">
        <f>IF($AB80="ALTH",Proyeccion_Localidades!AB82,"-")</f>
        <v>-</v>
      </c>
      <c r="AG80" s="51"/>
      <c r="AH80" s="51"/>
      <c r="AI80" s="66">
        <f t="shared" si="5"/>
        <v>21615</v>
      </c>
    </row>
    <row r="81" spans="1:35" ht="24.95" customHeight="1">
      <c r="A81" s="86" t="str">
        <f>+Proyeccion_Localidades!C83</f>
        <v>Guaminí</v>
      </c>
      <c r="B81" s="70">
        <f t="shared" si="4"/>
        <v>77</v>
      </c>
      <c r="C81" s="71" t="str">
        <f>+Proyeccion_Localidades!B83</f>
        <v>Guaminí</v>
      </c>
      <c r="D81" s="261">
        <f t="shared" si="6"/>
        <v>77</v>
      </c>
      <c r="E81" s="72">
        <f>+Proyeccion_Localidades!F83</f>
        <v>2845</v>
      </c>
      <c r="F81" s="66">
        <f>IF($AB81="TGD",ROUND($E81*(1+$AD81)^(F$4-$E$4),0),IF($AB81="ALTH",ROUND($AE81+$AF81*F$4,0),IF($AB81="IR",ROUND(Proyeccion_Localidades!AC83,0),IF($AB81="RT",ROUND(Proyeccion_Localidades!AZ83,0),"*****"))))</f>
        <v>2883</v>
      </c>
      <c r="G81" s="66">
        <f>IF($AB81="TGD",ROUND($E81*(1+$AD81)^(G$4-$E$4),0),IF($AB81="ALTH",ROUND($AE81+$AF81*G$4,0),IF($AB81="IR",ROUND(Proyeccion_Localidades!AD83,0),IF($AB81="RT",ROUND(Proyeccion_Localidades!BA83,0),"*****"))))</f>
        <v>2889</v>
      </c>
      <c r="H81" s="66">
        <f>IF($AB81="TGD",ROUND($E81*(1+$AD81)^(H$4-$E$4),0),IF($AB81="ALTH",ROUND($AE81+$AF81*H$4,0),IF($AB81="IR",ROUND(Proyeccion_Localidades!AE83,0),IF($AB81="RT",ROUND(Proyeccion_Localidades!BB83,0),"*****"))))</f>
        <v>2906</v>
      </c>
      <c r="I81" s="66">
        <f>IF($AB81="TGD",ROUND($E81*(1+$AD81)^(I$4-$E$4),0),IF($AB81="ALTH",ROUND($AE81+$AF81*I$4,0),IF($AB81="IR",ROUND(Proyeccion_Localidades!AF83,0),IF($AB81="RT",ROUND(Proyeccion_Localidades!BC83,0),"*****"))))</f>
        <v>2912</v>
      </c>
      <c r="J81" s="66">
        <f>IF($AB81="TGD",ROUND($E81*(1+$AD81)^(J$4-$E$4),0),IF($AB81="ALTH",ROUND($AE81+$AF81*J$4,0),IF($AB81="IR",ROUND(Proyeccion_Localidades!AG83,0),IF($AB81="RT",ROUND(Proyeccion_Localidades!BD83,0),"*****"))))</f>
        <v>2917</v>
      </c>
      <c r="K81" s="66">
        <f>IF($AB81="TGD",ROUND($E81*(1+$AD81)^(K$4-$E$4),0),IF($AB81="ALTH",ROUND($AE81+$AF81*K$4,0),IF($AB81="IR",ROUND(Proyeccion_Localidades!AH83,0),IF($AB81="RT",ROUND(Proyeccion_Localidades!BE83,0),"*****"))))</f>
        <v>2923</v>
      </c>
      <c r="L81" s="66">
        <f>IF($AB81="TGD",ROUND($E81*(1+$AD81)^(L$4-$E$4),0),IF($AB81="ALTH",ROUND($AE81+$AF81*L$4,0),IF($AB81="IR",ROUND(Proyeccion_Localidades!AI83,0),IF($AB81="RT",ROUND(Proyeccion_Localidades!BF83,0),"*****"))))</f>
        <v>2929</v>
      </c>
      <c r="M81" s="66">
        <f>IF($AB81="TGD",ROUND($E81*(1+$AD81)^(M$4-$E$4),0),IF($AB81="ALTH",ROUND($AE81+$AF81*M$4,0),IF($AB81="IR",ROUND(Proyeccion_Localidades!AJ83,0),IF($AB81="RT",ROUND(Proyeccion_Localidades!BG83,0),"*****"))))</f>
        <v>2935</v>
      </c>
      <c r="N81" s="66">
        <f>IF($AB81="TGD",ROUND($E81*(1+$AD81)^(N$4-$E$4),0),IF($AB81="ALTH",ROUND($AE81+$AF81*N$4,0),IF($AB81="IR",ROUND(Proyeccion_Localidades!AK83,0),IF($AB81="RT",ROUND(Proyeccion_Localidades!BH83,0),"*****"))))</f>
        <v>2940</v>
      </c>
      <c r="O81" s="66">
        <f>IF($AB81="TGD",ROUND($E81*(1+$AD81)^(O$4-$E$4),0),IF($AB81="ALTH",ROUND($AE81+$AF81*O$4,0),IF($AB81="IR",ROUND(Proyeccion_Localidades!AL83,0),IF($AB81="RT",ROUND(Proyeccion_Localidades!BI83,0),"*****"))))</f>
        <v>2946</v>
      </c>
      <c r="P81" s="66">
        <f>IF($AB81="TGD",ROUND($E81*(1+$AD81)^(P$4-$E$4),0),IF($AB81="ALTH",ROUND($AE81+$AF81*P$4,0),IF($AB81="IR",ROUND(Proyeccion_Localidades!AM83,0),IF($AB81="RT",ROUND(Proyeccion_Localidades!BJ83,0),"*****"))))</f>
        <v>2952</v>
      </c>
      <c r="Q81" s="66">
        <f>IF($AB81="TGD",ROUND($E81*(1+$AD81)^(Q$4-$E$4),0),IF($AB81="ALTH",ROUND($AE81+$AF81*Q$4,0),IF($AB81="IR",ROUND(Proyeccion_Localidades!AN83,0),IF($AB81="RT",ROUND(Proyeccion_Localidades!BK83,0),"*****"))))</f>
        <v>2957</v>
      </c>
      <c r="R81" s="66">
        <f>IF($AB81="TGD",ROUND($E81*(1+$AD81)^(R$4-$E$4),0),IF($AB81="ALTH",ROUND($AE81+$AF81*R$4,0),IF($AB81="IR",ROUND(Proyeccion_Localidades!AO83,0),IF($AB81="RT",ROUND(Proyeccion_Localidades!BL83,0),"*****"))))</f>
        <v>2963</v>
      </c>
      <c r="S81" s="66">
        <f>IF($AB81="TGD",ROUND($E81*(1+$AD81)^(S$4-$E$4),0),IF($AB81="ALTH",ROUND($AE81+$AF81*S$4,0),IF($AB81="IR",ROUND(Proyeccion_Localidades!AP83,0),IF($AB81="RT",ROUND(Proyeccion_Localidades!BM83,0),"*****"))))</f>
        <v>2969</v>
      </c>
      <c r="T81" s="66">
        <f>IF($AB81="TGD",ROUND($E81*(1+$AD81)^(T$4-$E$4),0),IF($AB81="ALTH",ROUND($AE81+$AF81*T$4,0),IF($AB81="IR",ROUND(Proyeccion_Localidades!AQ83,0),IF($AB81="RT",ROUND(Proyeccion_Localidades!BN83,0),"*****"))))</f>
        <v>2975</v>
      </c>
      <c r="U81" s="66">
        <f>IF($AB81="TGD",ROUND($E81*(1+$AD81)^(U$4-$E$4),0),IF($AB81="ALTH",ROUND($AE81+$AF81*U$4,0),IF($AB81="IR",ROUND(Proyeccion_Localidades!AR83,0),IF($AB81="RT",ROUND(Proyeccion_Localidades!BO83,0),"*****"))))</f>
        <v>2980</v>
      </c>
      <c r="V81" s="66">
        <f>IF($AB81="TGD",ROUND($E81*(1+$AD81)^(V$4-$E$4),0),IF($AB81="ALTH",ROUND($AE81+$AF81*V$4,0),IF($AB81="IR",ROUND(Proyeccion_Localidades!AS83,0),IF($AB81="RT",ROUND(Proyeccion_Localidades!BP83,0),"*****"))))</f>
        <v>2986</v>
      </c>
      <c r="W81" s="66">
        <f>IF($AB81="TGD",ROUND($E81*(1+$AD81)^(W$4-$E$4),0),IF($AB81="ALTH",ROUND($AE81+$AF81*W$4,0),IF($AB81="IR",ROUND(Proyeccion_Localidades!AT83,0),IF($AB81="RT",ROUND(Proyeccion_Localidades!BQ83,0),"*****"))))</f>
        <v>2992</v>
      </c>
      <c r="X81" s="66">
        <f>IF($AB81="TGD",ROUND($E81*(1+$AD81)^(X$4-$E$4),0),IF($AB81="ALTH",ROUND($AE81+$AF81*X$4,0),IF($AB81="IR",ROUND(Proyeccion_Localidades!AU83,0),IF($AB81="RT",ROUND(Proyeccion_Localidades!BR83,0),"*****"))))</f>
        <v>2998</v>
      </c>
      <c r="Y81" s="66">
        <f>IF($AB81="TGD",ROUND($E81*(1+$AD81)^(Y$4-$E$4),0),IF($AB81="ALTH",ROUND($AE81+$AF81*Y$4,0),IF($AB81="IR",ROUND(Proyeccion_Localidades!AV83,0),IF($AB81="RT",ROUND(Proyeccion_Localidades!BS83,0),"*****"))))</f>
        <v>3003</v>
      </c>
      <c r="Z81" s="66">
        <f>IF($AB81="TGD",ROUND($E81*(1+$AD81)^(Z$4-$E$4),0),IF($AB81="ALTH",ROUND($AE81+$AF81*Z$4,0),IF($AB81="IR",ROUND(Proyeccion_Localidades!AW83,0),IF($AB81="RT",ROUND(Proyeccion_Localidades!BT83,0),"*****"))))</f>
        <v>3009</v>
      </c>
      <c r="AA81" s="66">
        <f>IF($AB81="TGD",ROUND($E81*(1+$AD81)^(AA$4-$E$4),0),IF($AB81="ALTH",ROUND($AE81+$AF81*AA$4,0),IF($AB81="IR",ROUND(Proyeccion_Localidades!AX83,0),IF($AB81="RT",ROUND(Proyeccion_Localidades!BU83,0),"*****"))))</f>
        <v>3015</v>
      </c>
      <c r="AB81" s="67" t="str">
        <f>Proyeccion_Localidades!N83</f>
        <v>ALTH</v>
      </c>
      <c r="AC81" s="68" t="s">
        <v>36</v>
      </c>
      <c r="AD81" s="51" t="str">
        <f>IF(AB81="TGD",Proyeccion_Localidades!Z83,"-")</f>
        <v>-</v>
      </c>
      <c r="AE81" s="51">
        <f>IF($AB81="ALTH",Proyeccion_Localidades!AA83,"-")</f>
        <v>-8708.0996309963102</v>
      </c>
      <c r="AF81" s="51">
        <f>IF($AB81="ALTH",Proyeccion_Localidades!AB83,"-")</f>
        <v>5.732472324723247</v>
      </c>
      <c r="AG81" s="51"/>
      <c r="AH81" s="51"/>
      <c r="AI81" s="66">
        <f t="shared" si="5"/>
        <v>2889</v>
      </c>
    </row>
    <row r="82" spans="1:35" ht="24.95" customHeight="1">
      <c r="A82" s="86" t="str">
        <f>+Proyeccion_Localidades!C84</f>
        <v>Hipólito Yrigoyen</v>
      </c>
      <c r="B82" s="70">
        <f t="shared" si="4"/>
        <v>78</v>
      </c>
      <c r="C82" s="71" t="str">
        <f>+Proyeccion_Localidades!B84</f>
        <v>Henderson</v>
      </c>
      <c r="D82" s="261">
        <f t="shared" si="6"/>
        <v>78</v>
      </c>
      <c r="E82" s="72">
        <f>+Proyeccion_Localidades!F84</f>
        <v>8645</v>
      </c>
      <c r="F82" s="66">
        <f>IF($AB82="TGD",ROUND($E82*(1+$AD82)^(F$4-$E$4),0),IF($AB82="ALTH",ROUND($AE82+$AF82*F$4,0),IF($AB82="IR",ROUND(Proyeccion_Localidades!AC84,0),IF($AB82="RT",ROUND(Proyeccion_Localidades!AZ84,0),"*****"))))</f>
        <v>9263</v>
      </c>
      <c r="G82" s="66">
        <f>IF($AB82="TGD",ROUND($E82*(1+$AD82)^(G$4-$E$4),0),IF($AB82="ALTH",ROUND($AE82+$AF82*G$4,0),IF($AB82="IR",ROUND(Proyeccion_Localidades!AD84,0),IF($AB82="RT",ROUND(Proyeccion_Localidades!BA84,0),"*****"))))</f>
        <v>9317</v>
      </c>
      <c r="H82" s="66">
        <f>IF($AB82="TGD",ROUND($E82*(1+$AD82)^(H$4-$E$4),0),IF($AB82="ALTH",ROUND($AE82+$AF82*H$4,0),IF($AB82="IR",ROUND(Proyeccion_Localidades!AE84,0),IF($AB82="RT",ROUND(Proyeccion_Localidades!BB84,0),"*****"))))</f>
        <v>9479</v>
      </c>
      <c r="I82" s="66">
        <f>IF($AB82="TGD",ROUND($E82*(1+$AD82)^(I$4-$E$4),0),IF($AB82="ALTH",ROUND($AE82+$AF82*I$4,0),IF($AB82="IR",ROUND(Proyeccion_Localidades!AF84,0),IF($AB82="RT",ROUND(Proyeccion_Localidades!BC84,0),"*****"))))</f>
        <v>9534</v>
      </c>
      <c r="J82" s="66">
        <f>IF($AB82="TGD",ROUND($E82*(1+$AD82)^(J$4-$E$4),0),IF($AB82="ALTH",ROUND($AE82+$AF82*J$4,0),IF($AB82="IR",ROUND(Proyeccion_Localidades!AG84,0),IF($AB82="RT",ROUND(Proyeccion_Localidades!BD84,0),"*****"))))</f>
        <v>9589</v>
      </c>
      <c r="K82" s="66">
        <f>IF($AB82="TGD",ROUND($E82*(1+$AD82)^(K$4-$E$4),0),IF($AB82="ALTH",ROUND($AE82+$AF82*K$4,0),IF($AB82="IR",ROUND(Proyeccion_Localidades!AH84,0),IF($AB82="RT",ROUND(Proyeccion_Localidades!BE84,0),"*****"))))</f>
        <v>9644</v>
      </c>
      <c r="L82" s="66">
        <f>IF($AB82="TGD",ROUND($E82*(1+$AD82)^(L$4-$E$4),0),IF($AB82="ALTH",ROUND($AE82+$AF82*L$4,0),IF($AB82="IR",ROUND(Proyeccion_Localidades!AI84,0),IF($AB82="RT",ROUND(Proyeccion_Localidades!BF84,0),"*****"))))</f>
        <v>9700</v>
      </c>
      <c r="M82" s="66">
        <f>IF($AB82="TGD",ROUND($E82*(1+$AD82)^(M$4-$E$4),0),IF($AB82="ALTH",ROUND($AE82+$AF82*M$4,0),IF($AB82="IR",ROUND(Proyeccion_Localidades!AJ84,0),IF($AB82="RT",ROUND(Proyeccion_Localidades!BG84,0),"*****"))))</f>
        <v>9756</v>
      </c>
      <c r="N82" s="66">
        <f>IF($AB82="TGD",ROUND($E82*(1+$AD82)^(N$4-$E$4),0),IF($AB82="ALTH",ROUND($AE82+$AF82*N$4,0),IF($AB82="IR",ROUND(Proyeccion_Localidades!AK84,0),IF($AB82="RT",ROUND(Proyeccion_Localidades!BH84,0),"*****"))))</f>
        <v>9812</v>
      </c>
      <c r="O82" s="66">
        <f>IF($AB82="TGD",ROUND($E82*(1+$AD82)^(O$4-$E$4),0),IF($AB82="ALTH",ROUND($AE82+$AF82*O$4,0),IF($AB82="IR",ROUND(Proyeccion_Localidades!AL84,0),IF($AB82="RT",ROUND(Proyeccion_Localidades!BI84,0),"*****"))))</f>
        <v>9869</v>
      </c>
      <c r="P82" s="66">
        <f>IF($AB82="TGD",ROUND($E82*(1+$AD82)^(P$4-$E$4),0),IF($AB82="ALTH",ROUND($AE82+$AF82*P$4,0),IF($AB82="IR",ROUND(Proyeccion_Localidades!AM84,0),IF($AB82="RT",ROUND(Proyeccion_Localidades!BJ84,0),"*****"))))</f>
        <v>9926</v>
      </c>
      <c r="Q82" s="66">
        <f>IF($AB82="TGD",ROUND($E82*(1+$AD82)^(Q$4-$E$4),0),IF($AB82="ALTH",ROUND($AE82+$AF82*Q$4,0),IF($AB82="IR",ROUND(Proyeccion_Localidades!AN84,0),IF($AB82="RT",ROUND(Proyeccion_Localidades!BK84,0),"*****"))))</f>
        <v>9983</v>
      </c>
      <c r="R82" s="66">
        <f>IF($AB82="TGD",ROUND($E82*(1+$AD82)^(R$4-$E$4),0),IF($AB82="ALTH",ROUND($AE82+$AF82*R$4,0),IF($AB82="IR",ROUND(Proyeccion_Localidades!AO84,0),IF($AB82="RT",ROUND(Proyeccion_Localidades!BL84,0),"*****"))))</f>
        <v>10041</v>
      </c>
      <c r="S82" s="66">
        <f>IF($AB82="TGD",ROUND($E82*(1+$AD82)^(S$4-$E$4),0),IF($AB82="ALTH",ROUND($AE82+$AF82*S$4,0),IF($AB82="IR",ROUND(Proyeccion_Localidades!AP84,0),IF($AB82="RT",ROUND(Proyeccion_Localidades!BM84,0),"*****"))))</f>
        <v>10099</v>
      </c>
      <c r="T82" s="66">
        <f>IF($AB82="TGD",ROUND($E82*(1+$AD82)^(T$4-$E$4),0),IF($AB82="ALTH",ROUND($AE82+$AF82*T$4,0),IF($AB82="IR",ROUND(Proyeccion_Localidades!AQ84,0),IF($AB82="RT",ROUND(Proyeccion_Localidades!BN84,0),"*****"))))</f>
        <v>10157</v>
      </c>
      <c r="U82" s="66">
        <f>IF($AB82="TGD",ROUND($E82*(1+$AD82)^(U$4-$E$4),0),IF($AB82="ALTH",ROUND($AE82+$AF82*U$4,0),IF($AB82="IR",ROUND(Proyeccion_Localidades!AR84,0),IF($AB82="RT",ROUND(Proyeccion_Localidades!BO84,0),"*****"))))</f>
        <v>10216</v>
      </c>
      <c r="V82" s="66">
        <f>IF($AB82="TGD",ROUND($E82*(1+$AD82)^(V$4-$E$4),0),IF($AB82="ALTH",ROUND($AE82+$AF82*V$4,0),IF($AB82="IR",ROUND(Proyeccion_Localidades!AS84,0),IF($AB82="RT",ROUND(Proyeccion_Localidades!BP84,0),"*****"))))</f>
        <v>10275</v>
      </c>
      <c r="W82" s="66">
        <f>IF($AB82="TGD",ROUND($E82*(1+$AD82)^(W$4-$E$4),0),IF($AB82="ALTH",ROUND($AE82+$AF82*W$4,0),IF($AB82="IR",ROUND(Proyeccion_Localidades!AT84,0),IF($AB82="RT",ROUND(Proyeccion_Localidades!BQ84,0),"*****"))))</f>
        <v>10334</v>
      </c>
      <c r="X82" s="66">
        <f>IF($AB82="TGD",ROUND($E82*(1+$AD82)^(X$4-$E$4),0),IF($AB82="ALTH",ROUND($AE82+$AF82*X$4,0),IF($AB82="IR",ROUND(Proyeccion_Localidades!AU84,0),IF($AB82="RT",ROUND(Proyeccion_Localidades!BR84,0),"*****"))))</f>
        <v>10394</v>
      </c>
      <c r="Y82" s="66">
        <f>IF($AB82="TGD",ROUND($E82*(1+$AD82)^(Y$4-$E$4),0),IF($AB82="ALTH",ROUND($AE82+$AF82*Y$4,0),IF($AB82="IR",ROUND(Proyeccion_Localidades!AV84,0),IF($AB82="RT",ROUND(Proyeccion_Localidades!BS84,0),"*****"))))</f>
        <v>10454</v>
      </c>
      <c r="Z82" s="66">
        <f>IF($AB82="TGD",ROUND($E82*(1+$AD82)^(Z$4-$E$4),0),IF($AB82="ALTH",ROUND($AE82+$AF82*Z$4,0),IF($AB82="IR",ROUND(Proyeccion_Localidades!AW84,0),IF($AB82="RT",ROUND(Proyeccion_Localidades!BT84,0),"*****"))))</f>
        <v>10514</v>
      </c>
      <c r="AA82" s="66">
        <f>IF($AB82="TGD",ROUND($E82*(1+$AD82)^(AA$4-$E$4),0),IF($AB82="ALTH",ROUND($AE82+$AF82*AA$4,0),IF($AB82="IR",ROUND(Proyeccion_Localidades!AX84,0),IF($AB82="RT",ROUND(Proyeccion_Localidades!BU84,0),"*****"))))</f>
        <v>10575</v>
      </c>
      <c r="AB82" s="67" t="str">
        <f>Proyeccion_Localidades!N84</f>
        <v>TGD</v>
      </c>
      <c r="AC82" s="68" t="s">
        <v>35</v>
      </c>
      <c r="AD82" s="51">
        <f>IF(AB82="TGD",Proyeccion_Localidades!Z84,"-")</f>
        <v>5.7736712015492575E-3</v>
      </c>
      <c r="AE82" s="51" t="str">
        <f>IF($AB82="ALTH",Proyeccion_Localidades!AA84,"-")</f>
        <v>-</v>
      </c>
      <c r="AF82" s="51" t="str">
        <f>IF($AB82="ALTH",Proyeccion_Localidades!AB84,"-")</f>
        <v>-</v>
      </c>
      <c r="AG82" s="51"/>
      <c r="AH82" s="51"/>
      <c r="AI82" s="66">
        <f t="shared" si="5"/>
        <v>9317</v>
      </c>
    </row>
    <row r="83" spans="1:35" ht="24.95" customHeight="1">
      <c r="A83" s="86" t="str">
        <f>+Proyeccion_Localidades!C85</f>
        <v>Junín</v>
      </c>
      <c r="B83" s="70">
        <f t="shared" si="4"/>
        <v>79</v>
      </c>
      <c r="C83" s="71" t="str">
        <f>+Proyeccion_Localidades!B85</f>
        <v>Junín</v>
      </c>
      <c r="D83" s="261">
        <f t="shared" si="6"/>
        <v>79</v>
      </c>
      <c r="E83" s="72">
        <f>+Proyeccion_Localidades!F85</f>
        <v>87509</v>
      </c>
      <c r="F83" s="66">
        <f>IF($AB83="TGD",ROUND($E83*(1+$AD83)^(F$4-$E$4),0),IF($AB83="ALTH",ROUND($AE83+$AF83*F$4,0),IF($AB83="IR",ROUND(Proyeccion_Localidades!AC85,0),IF($AB83="RT",ROUND(Proyeccion_Localidades!AZ85,0),"*****"))))</f>
        <v>95726</v>
      </c>
      <c r="G83" s="66">
        <f>IF($AB83="TGD",ROUND($E83*(1+$AD83)^(G$4-$E$4),0),IF($AB83="ALTH",ROUND($AE83+$AF83*G$4,0),IF($AB83="IR",ROUND(Proyeccion_Localidades!AD85,0),IF($AB83="RT",ROUND(Proyeccion_Localidades!BA85,0),"*****"))))</f>
        <v>96386</v>
      </c>
      <c r="H83" s="66">
        <f>IF($AB83="TGD",ROUND($E83*(1+$AD83)^(H$4-$E$4),0),IF($AB83="ALTH",ROUND($AE83+$AF83*H$4,0),IF($AB83="IR",ROUND(Proyeccion_Localidades!AE85,0),IF($AB83="RT",ROUND(Proyeccion_Localidades!BB85,0),"*****"))))</f>
        <v>98366</v>
      </c>
      <c r="I83" s="66">
        <f>IF($AB83="TGD",ROUND($E83*(1+$AD83)^(I$4-$E$4),0),IF($AB83="ALTH",ROUND($AE83+$AF83*I$4,0),IF($AB83="IR",ROUND(Proyeccion_Localidades!AF85,0),IF($AB83="RT",ROUND(Proyeccion_Localidades!BC85,0),"*****"))))</f>
        <v>99027</v>
      </c>
      <c r="J83" s="66">
        <f>IF($AB83="TGD",ROUND($E83*(1+$AD83)^(J$4-$E$4),0),IF($AB83="ALTH",ROUND($AE83+$AF83*J$4,0),IF($AB83="IR",ROUND(Proyeccion_Localidades!AG85,0),IF($AB83="RT",ROUND(Proyeccion_Localidades!BD85,0),"*****"))))</f>
        <v>99687</v>
      </c>
      <c r="K83" s="66">
        <f>IF($AB83="TGD",ROUND($E83*(1+$AD83)^(K$4-$E$4),0),IF($AB83="ALTH",ROUND($AE83+$AF83*K$4,0),IF($AB83="IR",ROUND(Proyeccion_Localidades!AH85,0),IF($AB83="RT",ROUND(Proyeccion_Localidades!BE85,0),"*****"))))</f>
        <v>100347</v>
      </c>
      <c r="L83" s="66">
        <f>IF($AB83="TGD",ROUND($E83*(1+$AD83)^(L$4-$E$4),0),IF($AB83="ALTH",ROUND($AE83+$AF83*L$4,0),IF($AB83="IR",ROUND(Proyeccion_Localidades!AI85,0),IF($AB83="RT",ROUND(Proyeccion_Localidades!BF85,0),"*****"))))</f>
        <v>101007</v>
      </c>
      <c r="M83" s="66">
        <f>IF($AB83="TGD",ROUND($E83*(1+$AD83)^(M$4-$E$4),0),IF($AB83="ALTH",ROUND($AE83+$AF83*M$4,0),IF($AB83="IR",ROUND(Proyeccion_Localidades!AJ85,0),IF($AB83="RT",ROUND(Proyeccion_Localidades!BG85,0),"*****"))))</f>
        <v>101667</v>
      </c>
      <c r="N83" s="66">
        <f>IF($AB83="TGD",ROUND($E83*(1+$AD83)^(N$4-$E$4),0),IF($AB83="ALTH",ROUND($AE83+$AF83*N$4,0),IF($AB83="IR",ROUND(Proyeccion_Localidades!AK85,0),IF($AB83="RT",ROUND(Proyeccion_Localidades!BH85,0),"*****"))))</f>
        <v>102327</v>
      </c>
      <c r="O83" s="66">
        <f>IF($AB83="TGD",ROUND($E83*(1+$AD83)^(O$4-$E$4),0),IF($AB83="ALTH",ROUND($AE83+$AF83*O$4,0),IF($AB83="IR",ROUND(Proyeccion_Localidades!AL85,0),IF($AB83="RT",ROUND(Proyeccion_Localidades!BI85,0),"*****"))))</f>
        <v>102987</v>
      </c>
      <c r="P83" s="66">
        <f>IF($AB83="TGD",ROUND($E83*(1+$AD83)^(P$4-$E$4),0),IF($AB83="ALTH",ROUND($AE83+$AF83*P$4,0),IF($AB83="IR",ROUND(Proyeccion_Localidades!AM85,0),IF($AB83="RT",ROUND(Proyeccion_Localidades!BJ85,0),"*****"))))</f>
        <v>103647</v>
      </c>
      <c r="Q83" s="66">
        <f>IF($AB83="TGD",ROUND($E83*(1+$AD83)^(Q$4-$E$4),0),IF($AB83="ALTH",ROUND($AE83+$AF83*Q$4,0),IF($AB83="IR",ROUND(Proyeccion_Localidades!AN85,0),IF($AB83="RT",ROUND(Proyeccion_Localidades!BK85,0),"*****"))))</f>
        <v>104307</v>
      </c>
      <c r="R83" s="66">
        <f>IF($AB83="TGD",ROUND($E83*(1+$AD83)^(R$4-$E$4),0),IF($AB83="ALTH",ROUND($AE83+$AF83*R$4,0),IF($AB83="IR",ROUND(Proyeccion_Localidades!AO85,0),IF($AB83="RT",ROUND(Proyeccion_Localidades!BL85,0),"*****"))))</f>
        <v>104967</v>
      </c>
      <c r="S83" s="66">
        <f>IF($AB83="TGD",ROUND($E83*(1+$AD83)^(S$4-$E$4),0),IF($AB83="ALTH",ROUND($AE83+$AF83*S$4,0),IF($AB83="IR",ROUND(Proyeccion_Localidades!AP85,0),IF($AB83="RT",ROUND(Proyeccion_Localidades!BM85,0),"*****"))))</f>
        <v>105627</v>
      </c>
      <c r="T83" s="66">
        <f>IF($AB83="TGD",ROUND($E83*(1+$AD83)^(T$4-$E$4),0),IF($AB83="ALTH",ROUND($AE83+$AF83*T$4,0),IF($AB83="IR",ROUND(Proyeccion_Localidades!AQ85,0),IF($AB83="RT",ROUND(Proyeccion_Localidades!BN85,0),"*****"))))</f>
        <v>106288</v>
      </c>
      <c r="U83" s="66">
        <f>IF($AB83="TGD",ROUND($E83*(1+$AD83)^(U$4-$E$4),0),IF($AB83="ALTH",ROUND($AE83+$AF83*U$4,0),IF($AB83="IR",ROUND(Proyeccion_Localidades!AR85,0),IF($AB83="RT",ROUND(Proyeccion_Localidades!BO85,0),"*****"))))</f>
        <v>106948</v>
      </c>
      <c r="V83" s="66">
        <f>IF($AB83="TGD",ROUND($E83*(1+$AD83)^(V$4-$E$4),0),IF($AB83="ALTH",ROUND($AE83+$AF83*V$4,0),IF($AB83="IR",ROUND(Proyeccion_Localidades!AS85,0),IF($AB83="RT",ROUND(Proyeccion_Localidades!BP85,0),"*****"))))</f>
        <v>107608</v>
      </c>
      <c r="W83" s="66">
        <f>IF($AB83="TGD",ROUND($E83*(1+$AD83)^(W$4-$E$4),0),IF($AB83="ALTH",ROUND($AE83+$AF83*W$4,0),IF($AB83="IR",ROUND(Proyeccion_Localidades!AT85,0),IF($AB83="RT",ROUND(Proyeccion_Localidades!BQ85,0),"*****"))))</f>
        <v>108268</v>
      </c>
      <c r="X83" s="66">
        <f>IF($AB83="TGD",ROUND($E83*(1+$AD83)^(X$4-$E$4),0),IF($AB83="ALTH",ROUND($AE83+$AF83*X$4,0),IF($AB83="IR",ROUND(Proyeccion_Localidades!AU85,0),IF($AB83="RT",ROUND(Proyeccion_Localidades!BR85,0),"*****"))))</f>
        <v>108928</v>
      </c>
      <c r="Y83" s="66">
        <f>IF($AB83="TGD",ROUND($E83*(1+$AD83)^(Y$4-$E$4),0),IF($AB83="ALTH",ROUND($AE83+$AF83*Y$4,0),IF($AB83="IR",ROUND(Proyeccion_Localidades!AV85,0),IF($AB83="RT",ROUND(Proyeccion_Localidades!BS85,0),"*****"))))</f>
        <v>109588</v>
      </c>
      <c r="Z83" s="66">
        <f>IF($AB83="TGD",ROUND($E83*(1+$AD83)^(Z$4-$E$4),0),IF($AB83="ALTH",ROUND($AE83+$AF83*Z$4,0),IF($AB83="IR",ROUND(Proyeccion_Localidades!AW85,0),IF($AB83="RT",ROUND(Proyeccion_Localidades!BT85,0),"*****"))))</f>
        <v>110248</v>
      </c>
      <c r="AA83" s="66">
        <f>IF($AB83="TGD",ROUND($E83*(1+$AD83)^(AA$4-$E$4),0),IF($AB83="ALTH",ROUND($AE83+$AF83*AA$4,0),IF($AB83="IR",ROUND(Proyeccion_Localidades!AX85,0),IF($AB83="RT",ROUND(Proyeccion_Localidades!BU85,0),"*****"))))</f>
        <v>110908</v>
      </c>
      <c r="AB83" s="67" t="str">
        <f>Proyeccion_Localidades!N85</f>
        <v>ALTH</v>
      </c>
      <c r="AC83" s="68" t="s">
        <v>36</v>
      </c>
      <c r="AD83" s="51" t="str">
        <f>IF(AB83="TGD",Proyeccion_Localidades!Z85,"-")</f>
        <v>-</v>
      </c>
      <c r="AE83" s="51">
        <f>IF($AB83="ALTH",Proyeccion_Localidades!AA85,"-")</f>
        <v>-1238965.4649446495</v>
      </c>
      <c r="AF83" s="51">
        <f>IF($AB83="ALTH",Proyeccion_Localidades!AB85,"-")</f>
        <v>660.08487084870842</v>
      </c>
      <c r="AG83" s="51"/>
      <c r="AH83" s="51"/>
      <c r="AI83" s="66">
        <f t="shared" si="5"/>
        <v>96386</v>
      </c>
    </row>
    <row r="84" spans="1:35" ht="24.95" customHeight="1">
      <c r="A84" s="86" t="str">
        <f>+Proyeccion_Localidades!C86</f>
        <v>La Costa</v>
      </c>
      <c r="B84" s="70">
        <f t="shared" si="4"/>
        <v>80</v>
      </c>
      <c r="C84" s="71" t="str">
        <f>+Proyeccion_Localidades!B86</f>
        <v>Mar de Ajó - San Bernardo</v>
      </c>
      <c r="D84" s="261">
        <f t="shared" si="6"/>
        <v>80</v>
      </c>
      <c r="E84" s="72">
        <f>+Verif!E86+ROUND(Verif!E87*122/365,0)</f>
        <v>57385</v>
      </c>
      <c r="F84" s="72">
        <f>+Verif!F86+ROUND(Verif!F87*122/365,0)</f>
        <v>88647</v>
      </c>
      <c r="G84" s="72">
        <f>+Verif!G86+ROUND(Verif!G87*122/365,0)</f>
        <v>91414</v>
      </c>
      <c r="H84" s="72">
        <f>+Verif!H86+ROUND(Verif!H87*122/365,0)</f>
        <v>99716</v>
      </c>
      <c r="I84" s="72">
        <f>+Verif!I86+ROUND(Verif!I87*122/365,0)</f>
        <v>102484</v>
      </c>
      <c r="J84" s="72">
        <f>+Verif!J86+ROUND(Verif!J87*122/365,0)</f>
        <v>105250</v>
      </c>
      <c r="K84" s="72">
        <f>+Verif!K86+ROUND(Verif!K87*122/365,0)</f>
        <v>108018</v>
      </c>
      <c r="L84" s="72">
        <f>+Verif!L86+ROUND(Verif!L87*122/365,0)</f>
        <v>110785</v>
      </c>
      <c r="M84" s="72">
        <f>+Verif!M86+ROUND(Verif!M87*122/365,0)</f>
        <v>114176</v>
      </c>
      <c r="N84" s="72">
        <f>+Verif!N86+ROUND(Verif!N87*122/365,0)</f>
        <v>117568</v>
      </c>
      <c r="O84" s="72">
        <f>+Verif!O86+ROUND(Verif!O87*122/365,0)</f>
        <v>120959</v>
      </c>
      <c r="P84" s="72">
        <f>+Verif!P86+ROUND(Verif!P87*122/365,0)</f>
        <v>124350</v>
      </c>
      <c r="Q84" s="72">
        <f>+Verif!Q86+ROUND(Verif!Q87*122/365,0)</f>
        <v>127742</v>
      </c>
      <c r="R84" s="72">
        <f>+Verif!R86+ROUND(Verif!R87*122/365,0)</f>
        <v>131133</v>
      </c>
      <c r="S84" s="72">
        <f>+Verif!S86+ROUND(Verif!S87*122/365,0)</f>
        <v>134525</v>
      </c>
      <c r="T84" s="72">
        <f>+Verif!T86+ROUND(Verif!T87*122/365,0)</f>
        <v>137916</v>
      </c>
      <c r="U84" s="72">
        <f>+Verif!U86+ROUND(Verif!U87*122/365,0)</f>
        <v>141307</v>
      </c>
      <c r="V84" s="72">
        <f>+Verif!V86+ROUND(Verif!V87*122/365,0)</f>
        <v>144699</v>
      </c>
      <c r="W84" s="72">
        <f>+Verif!W86+ROUND(Verif!W87*122/365,0)</f>
        <v>148090</v>
      </c>
      <c r="X84" s="72">
        <f>+Verif!X86+ROUND(Verif!X87*122/365,0)</f>
        <v>151482</v>
      </c>
      <c r="Y84" s="72">
        <f>+Verif!Y86+ROUND(Verif!Y87*122/365,0)</f>
        <v>154873</v>
      </c>
      <c r="Z84" s="72">
        <f>+Verif!Z86+ROUND(Verif!Z87*122/365,0)</f>
        <v>158265</v>
      </c>
      <c r="AA84" s="72">
        <f>+Verif!AA86+ROUND(Verif!AA87*122/365,0)</f>
        <v>161656</v>
      </c>
      <c r="AB84" s="67" t="str">
        <f>Proyeccion_Localidades!N86</f>
        <v>RT</v>
      </c>
      <c r="AC84" s="73"/>
      <c r="AD84" s="51" t="str">
        <f>IF(AB84="TGD",Proyeccion_Localidades!Z86,"-")</f>
        <v>-</v>
      </c>
      <c r="AE84" s="51" t="str">
        <f>IF($AB84="ALTH",Proyeccion_Localidades!AA86,"-")</f>
        <v>-</v>
      </c>
      <c r="AF84" s="51" t="str">
        <f>IF($AB84="ALTH",Proyeccion_Localidades!AB86,"-")</f>
        <v>-</v>
      </c>
      <c r="AG84" s="51"/>
      <c r="AH84" s="51"/>
      <c r="AI84" s="66">
        <f t="shared" si="5"/>
        <v>91414</v>
      </c>
    </row>
    <row r="85" spans="1:35" ht="24.95" customHeight="1">
      <c r="A85" s="84" t="str">
        <f>+Proyeccion_Localidades!C88</f>
        <v>La Costa</v>
      </c>
      <c r="B85" s="70">
        <f>+B84+1</f>
        <v>81</v>
      </c>
      <c r="C85" s="87" t="str">
        <f>+Proyeccion_Localidades!B88</f>
        <v>Santa Teresita - Mar del Tuyú</v>
      </c>
      <c r="D85" s="261">
        <f t="shared" si="6"/>
        <v>81</v>
      </c>
      <c r="E85" s="72">
        <f>+Verif!E88+ROUND(Verif!E89*122/365,0)</f>
        <v>43799</v>
      </c>
      <c r="F85" s="72">
        <f>+Verif!F88+ROUND(Verif!F89*122/365,0)</f>
        <v>58875</v>
      </c>
      <c r="G85" s="72">
        <f>+Verif!G88+ROUND(Verif!G89*122/365,0)</f>
        <v>60026</v>
      </c>
      <c r="H85" s="72">
        <f>+Verif!H88+ROUND(Verif!H89*122/365,0)</f>
        <v>63483</v>
      </c>
      <c r="I85" s="72">
        <f>+Verif!I88+ROUND(Verif!I89*122/365,0)</f>
        <v>64636</v>
      </c>
      <c r="J85" s="72">
        <f>+Verif!J88+ROUND(Verif!J89*122/365,0)</f>
        <v>65787</v>
      </c>
      <c r="K85" s="72">
        <f>+Verif!K88+ROUND(Verif!K89*122/365,0)</f>
        <v>66939</v>
      </c>
      <c r="L85" s="72">
        <f>+Verif!L88+ROUND(Verif!L89*122/365,0)</f>
        <v>68092</v>
      </c>
      <c r="M85" s="72">
        <f>+Verif!M88+ROUND(Verif!M89*122/365,0)</f>
        <v>69244</v>
      </c>
      <c r="N85" s="72">
        <f>+Verif!N88+ROUND(Verif!N89*122/365,0)</f>
        <v>70395</v>
      </c>
      <c r="O85" s="72">
        <f>+Verif!O88+ROUND(Verif!O89*122/365,0)</f>
        <v>71548</v>
      </c>
      <c r="P85" s="72">
        <f>+Verif!P88+ROUND(Verif!P89*122/365,0)</f>
        <v>72700</v>
      </c>
      <c r="Q85" s="72">
        <f>+Verif!Q88+ROUND(Verif!Q89*122/365,0)</f>
        <v>73852</v>
      </c>
      <c r="R85" s="72">
        <f>+Verif!R88+ROUND(Verif!R89*122/365,0)</f>
        <v>75005</v>
      </c>
      <c r="S85" s="72">
        <f>+Verif!S88+ROUND(Verif!S89*122/365,0)</f>
        <v>76156</v>
      </c>
      <c r="T85" s="72">
        <f>+Verif!T88+ROUND(Verif!T89*122/365,0)</f>
        <v>77308</v>
      </c>
      <c r="U85" s="72">
        <f>+Verif!U88+ROUND(Verif!U89*122/365,0)</f>
        <v>78461</v>
      </c>
      <c r="V85" s="72">
        <f>+Verif!V88+ROUND(Verif!V89*122/365,0)</f>
        <v>79613</v>
      </c>
      <c r="W85" s="72">
        <f>+Verif!W88+ROUND(Verif!W89*122/365,0)</f>
        <v>80765</v>
      </c>
      <c r="X85" s="72">
        <f>+Verif!X88+ROUND(Verif!X89*122/365,0)</f>
        <v>81917</v>
      </c>
      <c r="Y85" s="72">
        <f>+Verif!Y88+ROUND(Verif!Y89*122/365,0)</f>
        <v>83069</v>
      </c>
      <c r="Z85" s="72">
        <f>+Verif!Z88+ROUND(Verif!Z89*122/365,0)</f>
        <v>84221</v>
      </c>
      <c r="AA85" s="72">
        <f>+Verif!AA88+ROUND(Verif!AA89*122/365,0)</f>
        <v>85374</v>
      </c>
      <c r="AB85" s="67" t="str">
        <f>Proyeccion_Localidades!N88</f>
        <v>ALTH</v>
      </c>
      <c r="AC85" s="68" t="s">
        <v>36</v>
      </c>
      <c r="AD85" s="51" t="str">
        <f>IF(AB85="TGD",Proyeccion_Localidades!Z88,"-")</f>
        <v>-</v>
      </c>
      <c r="AE85" s="51">
        <f>IF($AB85="ALTH",Proyeccion_Localidades!AA88,"-")</f>
        <v>-1222613.4280442807</v>
      </c>
      <c r="AF85" s="51">
        <f>IF($AB85="ALTH",Proyeccion_Localidades!AB88,"-")</f>
        <v>620.33210332103329</v>
      </c>
      <c r="AG85" s="51"/>
      <c r="AH85" s="51"/>
      <c r="AI85" s="66">
        <f t="shared" si="5"/>
        <v>60026</v>
      </c>
    </row>
    <row r="86" spans="1:35" ht="24.95" customHeight="1">
      <c r="A86" s="84" t="str">
        <f>+Proyeccion_Localidades!C90</f>
        <v>La Plata</v>
      </c>
      <c r="B86" s="70">
        <f>+B85+1</f>
        <v>82</v>
      </c>
      <c r="C86" s="88" t="str">
        <f>+Proyeccion_Localidades!B90</f>
        <v>La Plata</v>
      </c>
      <c r="D86" s="261">
        <f t="shared" si="6"/>
        <v>82</v>
      </c>
      <c r="E86" s="72">
        <f>+Proyeccion_Localidades!F90</f>
        <v>643133</v>
      </c>
      <c r="F86" s="66">
        <f>IF($AB86="TGD",ROUND($E86*(1+$AD86)^(F$4-$E$4),0),IF($AB86="ALTH",ROUND($AE86+$AF86*F$4,0),IF($AB86="IR",ROUND(Proyeccion_Localidades!AC90,0),IF($AB86="RT",ROUND(Proyeccion_Localidades!AZ90,0),"*****"))))</f>
        <v>735333</v>
      </c>
      <c r="G86" s="66">
        <f>IF($AB86="TGD",ROUND($E86*(1+$AD86)^(G$4-$E$4),0),IF($AB86="ALTH",ROUND($AE86+$AF86*G$4,0),IF($AB86="IR",ROUND(Proyeccion_Localidades!AD90,0),IF($AB86="RT",ROUND(Proyeccion_Localidades!BA90,0),"*****"))))</f>
        <v>743588</v>
      </c>
      <c r="H86" s="66">
        <f>IF($AB86="TGD",ROUND($E86*(1+$AD86)^(H$4-$E$4),0),IF($AB86="ALTH",ROUND($AE86+$AF86*H$4,0),IF($AB86="IR",ROUND(Proyeccion_Localidades!AE90,0),IF($AB86="RT",ROUND(Proyeccion_Localidades!BB90,0),"*****"))))</f>
        <v>768915</v>
      </c>
      <c r="I86" s="66">
        <f>IF($AB86="TGD",ROUND($E86*(1+$AD86)^(I$4-$E$4),0),IF($AB86="ALTH",ROUND($AE86+$AF86*I$4,0),IF($AB86="IR",ROUND(Proyeccion_Localidades!AF90,0),IF($AB86="RT",ROUND(Proyeccion_Localidades!BC90,0),"*****"))))</f>
        <v>777548</v>
      </c>
      <c r="J86" s="66">
        <f>IF($AB86="TGD",ROUND($E86*(1+$AD86)^(J$4-$E$4),0),IF($AB86="ALTH",ROUND($AE86+$AF86*J$4,0),IF($AB86="IR",ROUND(Proyeccion_Localidades!AG90,0),IF($AB86="RT",ROUND(Proyeccion_Localidades!BD90,0),"*****"))))</f>
        <v>786277</v>
      </c>
      <c r="K86" s="66">
        <f>IF($AB86="TGD",ROUND($E86*(1+$AD86)^(K$4-$E$4),0),IF($AB86="ALTH",ROUND($AE86+$AF86*K$4,0),IF($AB86="IR",ROUND(Proyeccion_Localidades!AH90,0),IF($AB86="RT",ROUND(Proyeccion_Localidades!BE90,0),"*****"))))</f>
        <v>795105</v>
      </c>
      <c r="L86" s="66">
        <f>IF($AB86="TGD",ROUND($E86*(1+$AD86)^(L$4-$E$4),0),IF($AB86="ALTH",ROUND($AE86+$AF86*L$4,0),IF($AB86="IR",ROUND(Proyeccion_Localidades!AI90,0),IF($AB86="RT",ROUND(Proyeccion_Localidades!BF90,0),"*****"))))</f>
        <v>804031</v>
      </c>
      <c r="M86" s="66">
        <f>IF($AB86="TGD",ROUND($E86*(1+$AD86)^(M$4-$E$4),0),IF($AB86="ALTH",ROUND($AE86+$AF86*M$4,0),IF($AB86="IR",ROUND(Proyeccion_Localidades!AJ90,0),IF($AB86="RT",ROUND(Proyeccion_Localidades!BG90,0),"*****"))))</f>
        <v>813058</v>
      </c>
      <c r="N86" s="66">
        <f>IF($AB86="TGD",ROUND($E86*(1+$AD86)^(N$4-$E$4),0),IF($AB86="ALTH",ROUND($AE86+$AF86*N$4,0),IF($AB86="IR",ROUND(Proyeccion_Localidades!AK90,0),IF($AB86="RT",ROUND(Proyeccion_Localidades!BH90,0),"*****"))))</f>
        <v>822186</v>
      </c>
      <c r="O86" s="66">
        <f>IF($AB86="TGD",ROUND($E86*(1+$AD86)^(O$4-$E$4),0),IF($AB86="ALTH",ROUND($AE86+$AF86*O$4,0),IF($AB86="IR",ROUND(Proyeccion_Localidades!AL90,0),IF($AB86="RT",ROUND(Proyeccion_Localidades!BI90,0),"*****"))))</f>
        <v>831417</v>
      </c>
      <c r="P86" s="66">
        <f>IF($AB86="TGD",ROUND($E86*(1+$AD86)^(P$4-$E$4),0),IF($AB86="ALTH",ROUND($AE86+$AF86*P$4,0),IF($AB86="IR",ROUND(Proyeccion_Localidades!AM90,0),IF($AB86="RT",ROUND(Proyeccion_Localidades!BJ90,0),"*****"))))</f>
        <v>840751</v>
      </c>
      <c r="Q86" s="66">
        <f>IF($AB86="TGD",ROUND($E86*(1+$AD86)^(Q$4-$E$4),0),IF($AB86="ALTH",ROUND($AE86+$AF86*Q$4,0),IF($AB86="IR",ROUND(Proyeccion_Localidades!AN90,0),IF($AB86="RT",ROUND(Proyeccion_Localidades!BK90,0),"*****"))))</f>
        <v>850190</v>
      </c>
      <c r="R86" s="66">
        <f>IF($AB86="TGD",ROUND($E86*(1+$AD86)^(R$4-$E$4),0),IF($AB86="ALTH",ROUND($AE86+$AF86*R$4,0),IF($AB86="IR",ROUND(Proyeccion_Localidades!AO90,0),IF($AB86="RT",ROUND(Proyeccion_Localidades!BL90,0),"*****"))))</f>
        <v>859735</v>
      </c>
      <c r="S86" s="66">
        <f>IF($AB86="TGD",ROUND($E86*(1+$AD86)^(S$4-$E$4),0),IF($AB86="ALTH",ROUND($AE86+$AF86*S$4,0),IF($AB86="IR",ROUND(Proyeccion_Localidades!AP90,0),IF($AB86="RT",ROUND(Proyeccion_Localidades!BM90,0),"*****"))))</f>
        <v>869387</v>
      </c>
      <c r="T86" s="66">
        <f>IF($AB86="TGD",ROUND($E86*(1+$AD86)^(T$4-$E$4),0),IF($AB86="ALTH",ROUND($AE86+$AF86*T$4,0),IF($AB86="IR",ROUND(Proyeccion_Localidades!AQ90,0),IF($AB86="RT",ROUND(Proyeccion_Localidades!BN90,0),"*****"))))</f>
        <v>879147</v>
      </c>
      <c r="U86" s="66">
        <f>IF($AB86="TGD",ROUND($E86*(1+$AD86)^(U$4-$E$4),0),IF($AB86="ALTH",ROUND($AE86+$AF86*U$4,0),IF($AB86="IR",ROUND(Proyeccion_Localidades!AR90,0),IF($AB86="RT",ROUND(Proyeccion_Localidades!BO90,0),"*****"))))</f>
        <v>889017</v>
      </c>
      <c r="V86" s="66">
        <f>IF($AB86="TGD",ROUND($E86*(1+$AD86)^(V$4-$E$4),0),IF($AB86="ALTH",ROUND($AE86+$AF86*V$4,0),IF($AB86="IR",ROUND(Proyeccion_Localidades!AS90,0),IF($AB86="RT",ROUND(Proyeccion_Localidades!BP90,0),"*****"))))</f>
        <v>898998</v>
      </c>
      <c r="W86" s="66">
        <f>IF($AB86="TGD",ROUND($E86*(1+$AD86)^(W$4-$E$4),0),IF($AB86="ALTH",ROUND($AE86+$AF86*W$4,0),IF($AB86="IR",ROUND(Proyeccion_Localidades!AT90,0),IF($AB86="RT",ROUND(Proyeccion_Localidades!BQ90,0),"*****"))))</f>
        <v>909091</v>
      </c>
      <c r="X86" s="66">
        <f>IF($AB86="TGD",ROUND($E86*(1+$AD86)^(X$4-$E$4),0),IF($AB86="ALTH",ROUND($AE86+$AF86*X$4,0),IF($AB86="IR",ROUND(Proyeccion_Localidades!AU90,0),IF($AB86="RT",ROUND(Proyeccion_Localidades!BR90,0),"*****"))))</f>
        <v>919298</v>
      </c>
      <c r="Y86" s="66">
        <f>IF($AB86="TGD",ROUND($E86*(1+$AD86)^(Y$4-$E$4),0),IF($AB86="ALTH",ROUND($AE86+$AF86*Y$4,0),IF($AB86="IR",ROUND(Proyeccion_Localidades!AV90,0),IF($AB86="RT",ROUND(Proyeccion_Localidades!BS90,0),"*****"))))</f>
        <v>929618</v>
      </c>
      <c r="Z86" s="66">
        <f>IF($AB86="TGD",ROUND($E86*(1+$AD86)^(Z$4-$E$4),0),IF($AB86="ALTH",ROUND($AE86+$AF86*Z$4,0),IF($AB86="IR",ROUND(Proyeccion_Localidades!AW90,0),IF($AB86="RT",ROUND(Proyeccion_Localidades!BT90,0),"*****"))))</f>
        <v>940055</v>
      </c>
      <c r="AA86" s="66">
        <f>IF($AB86="TGD",ROUND($E86*(1+$AD86)^(AA$4-$E$4),0),IF($AB86="ALTH",ROUND($AE86+$AF86*AA$4,0),IF($AB86="IR",ROUND(Proyeccion_Localidades!AX90,0),IF($AB86="RT",ROUND(Proyeccion_Localidades!BU90,0),"*****"))))</f>
        <v>950609</v>
      </c>
      <c r="AB86" s="67" t="str">
        <f>Proyeccion_Localidades!N90</f>
        <v>TGD</v>
      </c>
      <c r="AC86" s="68" t="s">
        <v>35</v>
      </c>
      <c r="AD86" s="51">
        <f>IF(AB86="TGD",Proyeccion_Localidades!Z90,"-")</f>
        <v>1.1226874378114204E-2</v>
      </c>
      <c r="AE86" s="51" t="str">
        <f>IF($AB86="ALTH",Proyeccion_Localidades!AA90,"-")</f>
        <v>-</v>
      </c>
      <c r="AF86" s="51" t="str">
        <f>IF($AB86="ALTH",Proyeccion_Localidades!AB90,"-")</f>
        <v>-</v>
      </c>
      <c r="AG86" s="51"/>
      <c r="AH86" s="51"/>
      <c r="AI86" s="66">
        <f t="shared" si="5"/>
        <v>743588</v>
      </c>
    </row>
    <row r="87" spans="1:35" ht="24.95" customHeight="1">
      <c r="A87" s="84" t="str">
        <f>+Proyeccion_Localidades!C91</f>
        <v>Laprida</v>
      </c>
      <c r="B87" s="70">
        <f t="shared" si="4"/>
        <v>83</v>
      </c>
      <c r="C87" s="88" t="str">
        <f>+Proyeccion_Localidades!B91</f>
        <v>Laprida</v>
      </c>
      <c r="D87" s="261">
        <f t="shared" si="6"/>
        <v>83</v>
      </c>
      <c r="E87" s="72">
        <f>+Proyeccion_Localidades!F91</f>
        <v>8840</v>
      </c>
      <c r="F87" s="66">
        <f>IF($AB87="TGD",ROUND($E87*(1+$AD87)^(F$4-$E$4),0),IF($AB87="ALTH",ROUND($AE87+$AF87*F$4,0),IF($AB87="IR",ROUND(Proyeccion_Localidades!AC91,0),IF($AB87="RT",ROUND(Proyeccion_Localidades!AZ91,0),"*****"))))</f>
        <v>9807</v>
      </c>
      <c r="G87" s="66">
        <f>IF($AB87="TGD",ROUND($E87*(1+$AD87)^(G$4-$E$4),0),IF($AB87="ALTH",ROUND($AE87+$AF87*G$4,0),IF($AB87="IR",ROUND(Proyeccion_Localidades!AD91,0),IF($AB87="RT",ROUND(Proyeccion_Localidades!BA91,0),"*****"))))</f>
        <v>9892</v>
      </c>
      <c r="H87" s="66">
        <f>IF($AB87="TGD",ROUND($E87*(1+$AD87)^(H$4-$E$4),0),IF($AB87="ALTH",ROUND($AE87+$AF87*H$4,0),IF($AB87="IR",ROUND(Proyeccion_Localidades!AE91,0),IF($AB87="RT",ROUND(Proyeccion_Localidades!BB91,0),"*****"))))</f>
        <v>10152</v>
      </c>
      <c r="I87" s="66">
        <f>IF($AB87="TGD",ROUND($E87*(1+$AD87)^(I$4-$E$4),0),IF($AB87="ALTH",ROUND($AE87+$AF87*I$4,0),IF($AB87="IR",ROUND(Proyeccion_Localidades!AF91,0),IF($AB87="RT",ROUND(Proyeccion_Localidades!BC91,0),"*****"))))</f>
        <v>10240</v>
      </c>
      <c r="J87" s="66">
        <f>IF($AB87="TGD",ROUND($E87*(1+$AD87)^(J$4-$E$4),0),IF($AB87="ALTH",ROUND($AE87+$AF87*J$4,0),IF($AB87="IR",ROUND(Proyeccion_Localidades!AG91,0),IF($AB87="RT",ROUND(Proyeccion_Localidades!BD91,0),"*****"))))</f>
        <v>10329</v>
      </c>
      <c r="K87" s="66">
        <f>IF($AB87="TGD",ROUND($E87*(1+$AD87)^(K$4-$E$4),0),IF($AB87="ALTH",ROUND($AE87+$AF87*K$4,0),IF($AB87="IR",ROUND(Proyeccion_Localidades!AH91,0),IF($AB87="RT",ROUND(Proyeccion_Localidades!BE91,0),"*****"))))</f>
        <v>10419</v>
      </c>
      <c r="L87" s="66">
        <f>IF($AB87="TGD",ROUND($E87*(1+$AD87)^(L$4-$E$4),0),IF($AB87="ALTH",ROUND($AE87+$AF87*L$4,0),IF($AB87="IR",ROUND(Proyeccion_Localidades!AI91,0),IF($AB87="RT",ROUND(Proyeccion_Localidades!BF91,0),"*****"))))</f>
        <v>10509</v>
      </c>
      <c r="M87" s="66">
        <f>IF($AB87="TGD",ROUND($E87*(1+$AD87)^(M$4-$E$4),0),IF($AB87="ALTH",ROUND($AE87+$AF87*M$4,0),IF($AB87="IR",ROUND(Proyeccion_Localidades!AJ91,0),IF($AB87="RT",ROUND(Proyeccion_Localidades!BG91,0),"*****"))))</f>
        <v>10601</v>
      </c>
      <c r="N87" s="66">
        <f>IF($AB87="TGD",ROUND($E87*(1+$AD87)^(N$4-$E$4),0),IF($AB87="ALTH",ROUND($AE87+$AF87*N$4,0),IF($AB87="IR",ROUND(Proyeccion_Localidades!AK91,0),IF($AB87="RT",ROUND(Proyeccion_Localidades!BH91,0),"*****"))))</f>
        <v>10693</v>
      </c>
      <c r="O87" s="66">
        <f>IF($AB87="TGD",ROUND($E87*(1+$AD87)^(O$4-$E$4),0),IF($AB87="ALTH",ROUND($AE87+$AF87*O$4,0),IF($AB87="IR",ROUND(Proyeccion_Localidades!AL91,0),IF($AB87="RT",ROUND(Proyeccion_Localidades!BI91,0),"*****"))))</f>
        <v>10786</v>
      </c>
      <c r="P87" s="66">
        <f>IF($AB87="TGD",ROUND($E87*(1+$AD87)^(P$4-$E$4),0),IF($AB87="ALTH",ROUND($AE87+$AF87*P$4,0),IF($AB87="IR",ROUND(Proyeccion_Localidades!AM91,0),IF($AB87="RT",ROUND(Proyeccion_Localidades!BJ91,0),"*****"))))</f>
        <v>10879</v>
      </c>
      <c r="Q87" s="66">
        <f>IF($AB87="TGD",ROUND($E87*(1+$AD87)^(Q$4-$E$4),0),IF($AB87="ALTH",ROUND($AE87+$AF87*Q$4,0),IF($AB87="IR",ROUND(Proyeccion_Localidades!AN91,0),IF($AB87="RT",ROUND(Proyeccion_Localidades!BK91,0),"*****"))))</f>
        <v>10974</v>
      </c>
      <c r="R87" s="66">
        <f>IF($AB87="TGD",ROUND($E87*(1+$AD87)^(R$4-$E$4),0),IF($AB87="ALTH",ROUND($AE87+$AF87*R$4,0),IF($AB87="IR",ROUND(Proyeccion_Localidades!AO91,0),IF($AB87="RT",ROUND(Proyeccion_Localidades!BL91,0),"*****"))))</f>
        <v>11069</v>
      </c>
      <c r="S87" s="66">
        <f>IF($AB87="TGD",ROUND($E87*(1+$AD87)^(S$4-$E$4),0),IF($AB87="ALTH",ROUND($AE87+$AF87*S$4,0),IF($AB87="IR",ROUND(Proyeccion_Localidades!AP91,0),IF($AB87="RT",ROUND(Proyeccion_Localidades!BM91,0),"*****"))))</f>
        <v>11165</v>
      </c>
      <c r="T87" s="66">
        <f>IF($AB87="TGD",ROUND($E87*(1+$AD87)^(T$4-$E$4),0),IF($AB87="ALTH",ROUND($AE87+$AF87*T$4,0),IF($AB87="IR",ROUND(Proyeccion_Localidades!AQ91,0),IF($AB87="RT",ROUND(Proyeccion_Localidades!BN91,0),"*****"))))</f>
        <v>11262</v>
      </c>
      <c r="U87" s="66">
        <f>IF($AB87="TGD",ROUND($E87*(1+$AD87)^(U$4-$E$4),0),IF($AB87="ALTH",ROUND($AE87+$AF87*U$4,0),IF($AB87="IR",ROUND(Proyeccion_Localidades!AR91,0),IF($AB87="RT",ROUND(Proyeccion_Localidades!BO91,0),"*****"))))</f>
        <v>11360</v>
      </c>
      <c r="V87" s="66">
        <f>IF($AB87="TGD",ROUND($E87*(1+$AD87)^(V$4-$E$4),0),IF($AB87="ALTH",ROUND($AE87+$AF87*V$4,0),IF($AB87="IR",ROUND(Proyeccion_Localidades!AS91,0),IF($AB87="RT",ROUND(Proyeccion_Localidades!BP91,0),"*****"))))</f>
        <v>11459</v>
      </c>
      <c r="W87" s="66">
        <f>IF($AB87="TGD",ROUND($E87*(1+$AD87)^(W$4-$E$4),0),IF($AB87="ALTH",ROUND($AE87+$AF87*W$4,0),IF($AB87="IR",ROUND(Proyeccion_Localidades!AT91,0),IF($AB87="RT",ROUND(Proyeccion_Localidades!BQ91,0),"*****"))))</f>
        <v>11558</v>
      </c>
      <c r="X87" s="66">
        <f>IF($AB87="TGD",ROUND($E87*(1+$AD87)^(X$4-$E$4),0),IF($AB87="ALTH",ROUND($AE87+$AF87*X$4,0),IF($AB87="IR",ROUND(Proyeccion_Localidades!AU91,0),IF($AB87="RT",ROUND(Proyeccion_Localidades!BR91,0),"*****"))))</f>
        <v>11659</v>
      </c>
      <c r="Y87" s="66">
        <f>IF($AB87="TGD",ROUND($E87*(1+$AD87)^(Y$4-$E$4),0),IF($AB87="ALTH",ROUND($AE87+$AF87*Y$4,0),IF($AB87="IR",ROUND(Proyeccion_Localidades!AV91,0),IF($AB87="RT",ROUND(Proyeccion_Localidades!BS91,0),"*****"))))</f>
        <v>11760</v>
      </c>
      <c r="Z87" s="66">
        <f>IF($AB87="TGD",ROUND($E87*(1+$AD87)^(Z$4-$E$4),0),IF($AB87="ALTH",ROUND($AE87+$AF87*Z$4,0),IF($AB87="IR",ROUND(Proyeccion_Localidades!AW91,0),IF($AB87="RT",ROUND(Proyeccion_Localidades!BT91,0),"*****"))))</f>
        <v>11862</v>
      </c>
      <c r="AA87" s="66">
        <f>IF($AB87="TGD",ROUND($E87*(1+$AD87)^(AA$4-$E$4),0),IF($AB87="ALTH",ROUND($AE87+$AF87*AA$4,0),IF($AB87="IR",ROUND(Proyeccion_Localidades!AX91,0),IF($AB87="RT",ROUND(Proyeccion_Localidades!BU91,0),"*****"))))</f>
        <v>11965</v>
      </c>
      <c r="AB87" s="67" t="str">
        <f>Proyeccion_Localidades!N91</f>
        <v>TGD</v>
      </c>
      <c r="AC87" s="68" t="s">
        <v>35</v>
      </c>
      <c r="AD87" s="51">
        <f>IF(AB87="TGD",Proyeccion_Localidades!Z91,"-")</f>
        <v>8.6863150598455174E-3</v>
      </c>
      <c r="AE87" s="51" t="str">
        <f>IF($AB87="ALTH",Proyeccion_Localidades!AA91,"-")</f>
        <v>-</v>
      </c>
      <c r="AF87" s="51" t="str">
        <f>IF($AB87="ALTH",Proyeccion_Localidades!AB91,"-")</f>
        <v>-</v>
      </c>
      <c r="AG87" s="51"/>
      <c r="AH87" s="51"/>
      <c r="AI87" s="66">
        <f t="shared" si="5"/>
        <v>9892</v>
      </c>
    </row>
    <row r="88" spans="1:35" ht="24.95" customHeight="1">
      <c r="A88" s="84" t="str">
        <f>+Proyeccion_Localidades!C92</f>
        <v>Las Flores</v>
      </c>
      <c r="B88" s="70">
        <f t="shared" si="4"/>
        <v>84</v>
      </c>
      <c r="C88" s="88" t="str">
        <f>+Proyeccion_Localidades!B92</f>
        <v>Las Flores</v>
      </c>
      <c r="D88" s="261">
        <f t="shared" si="6"/>
        <v>84</v>
      </c>
      <c r="E88" s="72">
        <f>+Proyeccion_Localidades!F92</f>
        <v>21455</v>
      </c>
      <c r="F88" s="66">
        <f>IF($AB88="TGD",ROUND($E88*(1+$AD88)^(F$4-$E$4),0),IF($AB88="ALTH",ROUND($AE88+$AF88*F$4,0),IF($AB88="IR",ROUND(Proyeccion_Localidades!AC92,0),IF($AB88="RT",ROUND(Proyeccion_Localidades!AZ92,0),"*****"))))</f>
        <v>23600</v>
      </c>
      <c r="G88" s="66">
        <f>IF($AB88="TGD",ROUND($E88*(1+$AD88)^(G$4-$E$4),0),IF($AB88="ALTH",ROUND($AE88+$AF88*G$4,0),IF($AB88="IR",ROUND(Proyeccion_Localidades!AD92,0),IF($AB88="RT",ROUND(Proyeccion_Localidades!BA92,0),"*****"))))</f>
        <v>23894</v>
      </c>
      <c r="H88" s="66">
        <f>IF($AB88="TGD",ROUND($E88*(1+$AD88)^(H$4-$E$4),0),IF($AB88="ALTH",ROUND($AE88+$AF88*H$4,0),IF($AB88="IR",ROUND(Proyeccion_Localidades!AE92,0),IF($AB88="RT",ROUND(Proyeccion_Localidades!BB92,0),"*****"))))</f>
        <v>24778</v>
      </c>
      <c r="I88" s="66">
        <f>IF($AB88="TGD",ROUND($E88*(1+$AD88)^(I$4-$E$4),0),IF($AB88="ALTH",ROUND($AE88+$AF88*I$4,0),IF($AB88="IR",ROUND(Proyeccion_Localidades!AF92,0),IF($AB88="RT",ROUND(Proyeccion_Localidades!BC92,0),"*****"))))</f>
        <v>25073</v>
      </c>
      <c r="J88" s="66">
        <f>IF($AB88="TGD",ROUND($E88*(1+$AD88)^(J$4-$E$4),0),IF($AB88="ALTH",ROUND($AE88+$AF88*J$4,0),IF($AB88="IR",ROUND(Proyeccion_Localidades!AG92,0),IF($AB88="RT",ROUND(Proyeccion_Localidades!BD92,0),"*****"))))</f>
        <v>25368</v>
      </c>
      <c r="K88" s="66">
        <f>IF($AB88="TGD",ROUND($E88*(1+$AD88)^(K$4-$E$4),0),IF($AB88="ALTH",ROUND($AE88+$AF88*K$4,0),IF($AB88="IR",ROUND(Proyeccion_Localidades!AH92,0),IF($AB88="RT",ROUND(Proyeccion_Localidades!BE92,0),"*****"))))</f>
        <v>25662</v>
      </c>
      <c r="L88" s="66">
        <f>IF($AB88="TGD",ROUND($E88*(1+$AD88)^(L$4-$E$4),0),IF($AB88="ALTH",ROUND($AE88+$AF88*L$4,0),IF($AB88="IR",ROUND(Proyeccion_Localidades!AI92,0),IF($AB88="RT",ROUND(Proyeccion_Localidades!BF92,0),"*****"))))</f>
        <v>25957</v>
      </c>
      <c r="M88" s="66">
        <f>IF($AB88="TGD",ROUND($E88*(1+$AD88)^(M$4-$E$4),0),IF($AB88="ALTH",ROUND($AE88+$AF88*M$4,0),IF($AB88="IR",ROUND(Proyeccion_Localidades!AJ92,0),IF($AB88="RT",ROUND(Proyeccion_Localidades!BG92,0),"*****"))))</f>
        <v>26347</v>
      </c>
      <c r="N88" s="66">
        <f>IF($AB88="TGD",ROUND($E88*(1+$AD88)^(N$4-$E$4),0),IF($AB88="ALTH",ROUND($AE88+$AF88*N$4,0),IF($AB88="IR",ROUND(Proyeccion_Localidades!AK92,0),IF($AB88="RT",ROUND(Proyeccion_Localidades!BH92,0),"*****"))))</f>
        <v>26738</v>
      </c>
      <c r="O88" s="66">
        <f>IF($AB88="TGD",ROUND($E88*(1+$AD88)^(O$4-$E$4),0),IF($AB88="ALTH",ROUND($AE88+$AF88*O$4,0),IF($AB88="IR",ROUND(Proyeccion_Localidades!AL92,0),IF($AB88="RT",ROUND(Proyeccion_Localidades!BI92,0),"*****"))))</f>
        <v>27128</v>
      </c>
      <c r="P88" s="66">
        <f>IF($AB88="TGD",ROUND($E88*(1+$AD88)^(P$4-$E$4),0),IF($AB88="ALTH",ROUND($AE88+$AF88*P$4,0),IF($AB88="IR",ROUND(Proyeccion_Localidades!AM92,0),IF($AB88="RT",ROUND(Proyeccion_Localidades!BJ92,0),"*****"))))</f>
        <v>27519</v>
      </c>
      <c r="Q88" s="66">
        <f>IF($AB88="TGD",ROUND($E88*(1+$AD88)^(Q$4-$E$4),0),IF($AB88="ALTH",ROUND($AE88+$AF88*Q$4,0),IF($AB88="IR",ROUND(Proyeccion_Localidades!AN92,0),IF($AB88="RT",ROUND(Proyeccion_Localidades!BK92,0),"*****"))))</f>
        <v>27909</v>
      </c>
      <c r="R88" s="66">
        <f>IF($AB88="TGD",ROUND($E88*(1+$AD88)^(R$4-$E$4),0),IF($AB88="ALTH",ROUND($AE88+$AF88*R$4,0),IF($AB88="IR",ROUND(Proyeccion_Localidades!AO92,0),IF($AB88="RT",ROUND(Proyeccion_Localidades!BL92,0),"*****"))))</f>
        <v>28300</v>
      </c>
      <c r="S88" s="66">
        <f>IF($AB88="TGD",ROUND($E88*(1+$AD88)^(S$4-$E$4),0),IF($AB88="ALTH",ROUND($AE88+$AF88*S$4,0),IF($AB88="IR",ROUND(Proyeccion_Localidades!AP92,0),IF($AB88="RT",ROUND(Proyeccion_Localidades!BM92,0),"*****"))))</f>
        <v>28690</v>
      </c>
      <c r="T88" s="66">
        <f>IF($AB88="TGD",ROUND($E88*(1+$AD88)^(T$4-$E$4),0),IF($AB88="ALTH",ROUND($AE88+$AF88*T$4,0),IF($AB88="IR",ROUND(Proyeccion_Localidades!AQ92,0),IF($AB88="RT",ROUND(Proyeccion_Localidades!BN92,0),"*****"))))</f>
        <v>29081</v>
      </c>
      <c r="U88" s="66">
        <f>IF($AB88="TGD",ROUND($E88*(1+$AD88)^(U$4-$E$4),0),IF($AB88="ALTH",ROUND($AE88+$AF88*U$4,0),IF($AB88="IR",ROUND(Proyeccion_Localidades!AR92,0),IF($AB88="RT",ROUND(Proyeccion_Localidades!BO92,0),"*****"))))</f>
        <v>29471</v>
      </c>
      <c r="V88" s="66">
        <f>IF($AB88="TGD",ROUND($E88*(1+$AD88)^(V$4-$E$4),0),IF($AB88="ALTH",ROUND($AE88+$AF88*V$4,0),IF($AB88="IR",ROUND(Proyeccion_Localidades!AS92,0),IF($AB88="RT",ROUND(Proyeccion_Localidades!BP92,0),"*****"))))</f>
        <v>29862</v>
      </c>
      <c r="W88" s="66">
        <f>IF($AB88="TGD",ROUND($E88*(1+$AD88)^(W$4-$E$4),0),IF($AB88="ALTH",ROUND($AE88+$AF88*W$4,0),IF($AB88="IR",ROUND(Proyeccion_Localidades!AT92,0),IF($AB88="RT",ROUND(Proyeccion_Localidades!BQ92,0),"*****"))))</f>
        <v>30252</v>
      </c>
      <c r="X88" s="66">
        <f>IF($AB88="TGD",ROUND($E88*(1+$AD88)^(X$4-$E$4),0),IF($AB88="ALTH",ROUND($AE88+$AF88*X$4,0),IF($AB88="IR",ROUND(Proyeccion_Localidades!AU92,0),IF($AB88="RT",ROUND(Proyeccion_Localidades!BR92,0),"*****"))))</f>
        <v>30643</v>
      </c>
      <c r="Y88" s="66">
        <f>IF($AB88="TGD",ROUND($E88*(1+$AD88)^(Y$4-$E$4),0),IF($AB88="ALTH",ROUND($AE88+$AF88*Y$4,0),IF($AB88="IR",ROUND(Proyeccion_Localidades!AV92,0),IF($AB88="RT",ROUND(Proyeccion_Localidades!BS92,0),"*****"))))</f>
        <v>31033</v>
      </c>
      <c r="Z88" s="66">
        <f>IF($AB88="TGD",ROUND($E88*(1+$AD88)^(Z$4-$E$4),0),IF($AB88="ALTH",ROUND($AE88+$AF88*Z$4,0),IF($AB88="IR",ROUND(Proyeccion_Localidades!AW92,0),IF($AB88="RT",ROUND(Proyeccion_Localidades!BT92,0),"*****"))))</f>
        <v>31424</v>
      </c>
      <c r="AA88" s="66">
        <f>IF($AB88="TGD",ROUND($E88*(1+$AD88)^(AA$4-$E$4),0),IF($AB88="ALTH",ROUND($AE88+$AF88*AA$4,0),IF($AB88="IR",ROUND(Proyeccion_Localidades!AX92,0),IF($AB88="RT",ROUND(Proyeccion_Localidades!BU92,0),"*****"))))</f>
        <v>31814</v>
      </c>
      <c r="AB88" s="67" t="str">
        <f>Proyeccion_Localidades!N92</f>
        <v>RT</v>
      </c>
      <c r="AC88" s="73"/>
      <c r="AD88" s="51" t="str">
        <f>IF(AB88="TGD",Proyeccion_Localidades!Z92,"-")</f>
        <v>-</v>
      </c>
      <c r="AE88" s="51" t="str">
        <f>IF($AB88="ALTH",Proyeccion_Localidades!AA92,"-")</f>
        <v>-</v>
      </c>
      <c r="AF88" s="51" t="str">
        <f>IF($AB88="ALTH",Proyeccion_Localidades!AB92,"-")</f>
        <v>-</v>
      </c>
      <c r="AG88" s="51"/>
      <c r="AH88" s="51"/>
      <c r="AI88" s="66">
        <f t="shared" si="5"/>
        <v>23894</v>
      </c>
    </row>
    <row r="89" spans="1:35" ht="24.95" customHeight="1">
      <c r="A89" s="84" t="str">
        <f>+Proyeccion_Localidades!C93</f>
        <v>Leandro N. Alem</v>
      </c>
      <c r="B89" s="70">
        <f t="shared" si="4"/>
        <v>85</v>
      </c>
      <c r="C89" s="88" t="str">
        <f>+Proyeccion_Localidades!B93</f>
        <v>Vedia</v>
      </c>
      <c r="D89" s="261">
        <f t="shared" si="6"/>
        <v>85</v>
      </c>
      <c r="E89" s="72">
        <f>+Proyeccion_Localidades!F93</f>
        <v>8827</v>
      </c>
      <c r="F89" s="66">
        <f>IF($AB89="TGD",ROUND($E89*(1+$AD89)^(F$4-$E$4),0),IF($AB89="ALTH",ROUND($AE89+$AF89*F$4,0),IF($AB89="IR",ROUND(Proyeccion_Localidades!AC93,0),IF($AB89="RT",ROUND(Proyeccion_Localidades!AZ93,0),"*****"))))</f>
        <v>9833</v>
      </c>
      <c r="G89" s="66">
        <f>IF($AB89="TGD",ROUND($E89*(1+$AD89)^(G$4-$E$4),0),IF($AB89="ALTH",ROUND($AE89+$AF89*G$4,0),IF($AB89="IR",ROUND(Proyeccion_Localidades!AD93,0),IF($AB89="RT",ROUND(Proyeccion_Localidades!BA93,0),"*****"))))</f>
        <v>9916</v>
      </c>
      <c r="H89" s="66">
        <f>IF($AB89="TGD",ROUND($E89*(1+$AD89)^(H$4-$E$4),0),IF($AB89="ALTH",ROUND($AE89+$AF89*H$4,0),IF($AB89="IR",ROUND(Proyeccion_Localidades!AE93,0),IF($AB89="RT",ROUND(Proyeccion_Localidades!BB93,0),"*****"))))</f>
        <v>10167</v>
      </c>
      <c r="I89" s="66">
        <f>IF($AB89="TGD",ROUND($E89*(1+$AD89)^(I$4-$E$4),0),IF($AB89="ALTH",ROUND($AE89+$AF89*I$4,0),IF($AB89="IR",ROUND(Proyeccion_Localidades!AF93,0),IF($AB89="RT",ROUND(Proyeccion_Localidades!BC93,0),"*****"))))</f>
        <v>10250</v>
      </c>
      <c r="J89" s="66">
        <f>IF($AB89="TGD",ROUND($E89*(1+$AD89)^(J$4-$E$4),0),IF($AB89="ALTH",ROUND($AE89+$AF89*J$4,0),IF($AB89="IR",ROUND(Proyeccion_Localidades!AG93,0),IF($AB89="RT",ROUND(Proyeccion_Localidades!BD93,0),"*****"))))</f>
        <v>10333</v>
      </c>
      <c r="K89" s="66">
        <f>IF($AB89="TGD",ROUND($E89*(1+$AD89)^(K$4-$E$4),0),IF($AB89="ALTH",ROUND($AE89+$AF89*K$4,0),IF($AB89="IR",ROUND(Proyeccion_Localidades!AH93,0),IF($AB89="RT",ROUND(Proyeccion_Localidades!BE93,0),"*****"))))</f>
        <v>10417</v>
      </c>
      <c r="L89" s="66">
        <f>IF($AB89="TGD",ROUND($E89*(1+$AD89)^(L$4-$E$4),0),IF($AB89="ALTH",ROUND($AE89+$AF89*L$4,0),IF($AB89="IR",ROUND(Proyeccion_Localidades!AI93,0),IF($AB89="RT",ROUND(Proyeccion_Localidades!BF93,0),"*****"))))</f>
        <v>10500</v>
      </c>
      <c r="M89" s="66">
        <f>IF($AB89="TGD",ROUND($E89*(1+$AD89)^(M$4-$E$4),0),IF($AB89="ALTH",ROUND($AE89+$AF89*M$4,0),IF($AB89="IR",ROUND(Proyeccion_Localidades!AJ93,0),IF($AB89="RT",ROUND(Proyeccion_Localidades!BG93,0),"*****"))))</f>
        <v>10584</v>
      </c>
      <c r="N89" s="66">
        <f>IF($AB89="TGD",ROUND($E89*(1+$AD89)^(N$4-$E$4),0),IF($AB89="ALTH",ROUND($AE89+$AF89*N$4,0),IF($AB89="IR",ROUND(Proyeccion_Localidades!AK93,0),IF($AB89="RT",ROUND(Proyeccion_Localidades!BH93,0),"*****"))))</f>
        <v>10667</v>
      </c>
      <c r="O89" s="66">
        <f>IF($AB89="TGD",ROUND($E89*(1+$AD89)^(O$4-$E$4),0),IF($AB89="ALTH",ROUND($AE89+$AF89*O$4,0),IF($AB89="IR",ROUND(Proyeccion_Localidades!AL93,0),IF($AB89="RT",ROUND(Proyeccion_Localidades!BI93,0),"*****"))))</f>
        <v>10751</v>
      </c>
      <c r="P89" s="66">
        <f>IF($AB89="TGD",ROUND($E89*(1+$AD89)^(P$4-$E$4),0),IF($AB89="ALTH",ROUND($AE89+$AF89*P$4,0),IF($AB89="IR",ROUND(Proyeccion_Localidades!AM93,0),IF($AB89="RT",ROUND(Proyeccion_Localidades!BJ93,0),"*****"))))</f>
        <v>10834</v>
      </c>
      <c r="Q89" s="66">
        <f>IF($AB89="TGD",ROUND($E89*(1+$AD89)^(Q$4-$E$4),0),IF($AB89="ALTH",ROUND($AE89+$AF89*Q$4,0),IF($AB89="IR",ROUND(Proyeccion_Localidades!AN93,0),IF($AB89="RT",ROUND(Proyeccion_Localidades!BK93,0),"*****"))))</f>
        <v>10918</v>
      </c>
      <c r="R89" s="66">
        <f>IF($AB89="TGD",ROUND($E89*(1+$AD89)^(R$4-$E$4),0),IF($AB89="ALTH",ROUND($AE89+$AF89*R$4,0),IF($AB89="IR",ROUND(Proyeccion_Localidades!AO93,0),IF($AB89="RT",ROUND(Proyeccion_Localidades!BL93,0),"*****"))))</f>
        <v>11001</v>
      </c>
      <c r="S89" s="66">
        <f>IF($AB89="TGD",ROUND($E89*(1+$AD89)^(S$4-$E$4),0),IF($AB89="ALTH",ROUND($AE89+$AF89*S$4,0),IF($AB89="IR",ROUND(Proyeccion_Localidades!AP93,0),IF($AB89="RT",ROUND(Proyeccion_Localidades!BM93,0),"*****"))))</f>
        <v>11084</v>
      </c>
      <c r="T89" s="66">
        <f>IF($AB89="TGD",ROUND($E89*(1+$AD89)^(T$4-$E$4),0),IF($AB89="ALTH",ROUND($AE89+$AF89*T$4,0),IF($AB89="IR",ROUND(Proyeccion_Localidades!AQ93,0),IF($AB89="RT",ROUND(Proyeccion_Localidades!BN93,0),"*****"))))</f>
        <v>11168</v>
      </c>
      <c r="U89" s="66">
        <f>IF($AB89="TGD",ROUND($E89*(1+$AD89)^(U$4-$E$4),0),IF($AB89="ALTH",ROUND($AE89+$AF89*U$4,0),IF($AB89="IR",ROUND(Proyeccion_Localidades!AR93,0),IF($AB89="RT",ROUND(Proyeccion_Localidades!BO93,0),"*****"))))</f>
        <v>11251</v>
      </c>
      <c r="V89" s="66">
        <f>IF($AB89="TGD",ROUND($E89*(1+$AD89)^(V$4-$E$4),0),IF($AB89="ALTH",ROUND($AE89+$AF89*V$4,0),IF($AB89="IR",ROUND(Proyeccion_Localidades!AS93,0),IF($AB89="RT",ROUND(Proyeccion_Localidades!BP93,0),"*****"))))</f>
        <v>11335</v>
      </c>
      <c r="W89" s="66">
        <f>IF($AB89="TGD",ROUND($E89*(1+$AD89)^(W$4-$E$4),0),IF($AB89="ALTH",ROUND($AE89+$AF89*W$4,0),IF($AB89="IR",ROUND(Proyeccion_Localidades!AT93,0),IF($AB89="RT",ROUND(Proyeccion_Localidades!BQ93,0),"*****"))))</f>
        <v>11418</v>
      </c>
      <c r="X89" s="66">
        <f>IF($AB89="TGD",ROUND($E89*(1+$AD89)^(X$4-$E$4),0),IF($AB89="ALTH",ROUND($AE89+$AF89*X$4,0),IF($AB89="IR",ROUND(Proyeccion_Localidades!AU93,0),IF($AB89="RT",ROUND(Proyeccion_Localidades!BR93,0),"*****"))))</f>
        <v>11502</v>
      </c>
      <c r="Y89" s="66">
        <f>IF($AB89="TGD",ROUND($E89*(1+$AD89)^(Y$4-$E$4),0),IF($AB89="ALTH",ROUND($AE89+$AF89*Y$4,0),IF($AB89="IR",ROUND(Proyeccion_Localidades!AV93,0),IF($AB89="RT",ROUND(Proyeccion_Localidades!BS93,0),"*****"))))</f>
        <v>11585</v>
      </c>
      <c r="Z89" s="66">
        <f>IF($AB89="TGD",ROUND($E89*(1+$AD89)^(Z$4-$E$4),0),IF($AB89="ALTH",ROUND($AE89+$AF89*Z$4,0),IF($AB89="IR",ROUND(Proyeccion_Localidades!AW93,0),IF($AB89="RT",ROUND(Proyeccion_Localidades!BT93,0),"*****"))))</f>
        <v>11669</v>
      </c>
      <c r="AA89" s="66">
        <f>IF($AB89="TGD",ROUND($E89*(1+$AD89)^(AA$4-$E$4),0),IF($AB89="ALTH",ROUND($AE89+$AF89*AA$4,0),IF($AB89="IR",ROUND(Proyeccion_Localidades!AX93,0),IF($AB89="RT",ROUND(Proyeccion_Localidades!BU93,0),"*****"))))</f>
        <v>11752</v>
      </c>
      <c r="AB89" s="67" t="str">
        <f>Proyeccion_Localidades!N93</f>
        <v>ALTH</v>
      </c>
      <c r="AC89" s="68" t="s">
        <v>36</v>
      </c>
      <c r="AD89" s="51" t="str">
        <f>IF(AB89="TGD",Proyeccion_Localidades!Z93,"-")</f>
        <v>-</v>
      </c>
      <c r="AE89" s="51">
        <f>IF($AB89="ALTH",Proyeccion_Localidades!AA93,"-")</f>
        <v>-158892.26199261993</v>
      </c>
      <c r="AF89" s="51">
        <f>IF($AB89="ALTH",Proyeccion_Localidades!AB93,"-")</f>
        <v>83.444649446494452</v>
      </c>
      <c r="AG89" s="51"/>
      <c r="AH89" s="51"/>
      <c r="AI89" s="66">
        <f t="shared" si="5"/>
        <v>9916</v>
      </c>
    </row>
    <row r="90" spans="1:35" ht="24.95" customHeight="1">
      <c r="A90" s="84" t="str">
        <f>+Proyeccion_Localidades!C94</f>
        <v>Lincoln</v>
      </c>
      <c r="B90" s="70">
        <f t="shared" si="4"/>
        <v>86</v>
      </c>
      <c r="C90" s="88" t="str">
        <f>+Proyeccion_Localidades!B94</f>
        <v>Lincoln</v>
      </c>
      <c r="D90" s="261">
        <f t="shared" si="6"/>
        <v>86</v>
      </c>
      <c r="E90" s="72">
        <f>+Proyeccion_Localidades!F94</f>
        <v>28051</v>
      </c>
      <c r="F90" s="66">
        <f>IF($AB90="TGD",ROUND($E90*(1+$AD90)^(F$4-$E$4),0),IF($AB90="ALTH",ROUND($AE90+$AF90*F$4,0),IF($AB90="IR",ROUND(Proyeccion_Localidades!AC94,0),IF($AB90="RT",ROUND(Proyeccion_Localidades!AZ94,0),"*****"))))</f>
        <v>29635</v>
      </c>
      <c r="G90" s="66">
        <f>IF($AB90="TGD",ROUND($E90*(1+$AD90)^(G$4-$E$4),0),IF($AB90="ALTH",ROUND($AE90+$AF90*G$4,0),IF($AB90="IR",ROUND(Proyeccion_Localidades!AD94,0),IF($AB90="RT",ROUND(Proyeccion_Localidades!BA94,0),"*****"))))</f>
        <v>29771</v>
      </c>
      <c r="H90" s="66">
        <f>IF($AB90="TGD",ROUND($E90*(1+$AD90)^(H$4-$E$4),0),IF($AB90="ALTH",ROUND($AE90+$AF90*H$4,0),IF($AB90="IR",ROUND(Proyeccion_Localidades!AE94,0),IF($AB90="RT",ROUND(Proyeccion_Localidades!BB94,0),"*****"))))</f>
        <v>30182</v>
      </c>
      <c r="I90" s="66">
        <f>IF($AB90="TGD",ROUND($E90*(1+$AD90)^(I$4-$E$4),0),IF($AB90="ALTH",ROUND($AE90+$AF90*I$4,0),IF($AB90="IR",ROUND(Proyeccion_Localidades!AF94,0),IF($AB90="RT",ROUND(Proyeccion_Localidades!BC94,0),"*****"))))</f>
        <v>30321</v>
      </c>
      <c r="J90" s="66">
        <f>IF($AB90="TGD",ROUND($E90*(1+$AD90)^(J$4-$E$4),0),IF($AB90="ALTH",ROUND($AE90+$AF90*J$4,0),IF($AB90="IR",ROUND(Proyeccion_Localidades!AG94,0),IF($AB90="RT",ROUND(Proyeccion_Localidades!BD94,0),"*****"))))</f>
        <v>30460</v>
      </c>
      <c r="K90" s="66">
        <f>IF($AB90="TGD",ROUND($E90*(1+$AD90)^(K$4-$E$4),0),IF($AB90="ALTH",ROUND($AE90+$AF90*K$4,0),IF($AB90="IR",ROUND(Proyeccion_Localidades!AH94,0),IF($AB90="RT",ROUND(Proyeccion_Localidades!BE94,0),"*****"))))</f>
        <v>30600</v>
      </c>
      <c r="L90" s="66">
        <f>IF($AB90="TGD",ROUND($E90*(1+$AD90)^(L$4-$E$4),0),IF($AB90="ALTH",ROUND($AE90+$AF90*L$4,0),IF($AB90="IR",ROUND(Proyeccion_Localidades!AI94,0),IF($AB90="RT",ROUND(Proyeccion_Localidades!BF94,0),"*****"))))</f>
        <v>30740</v>
      </c>
      <c r="M90" s="66">
        <f>IF($AB90="TGD",ROUND($E90*(1+$AD90)^(M$4-$E$4),0),IF($AB90="ALTH",ROUND($AE90+$AF90*M$4,0),IF($AB90="IR",ROUND(Proyeccion_Localidades!AJ94,0),IF($AB90="RT",ROUND(Proyeccion_Localidades!BG94,0),"*****"))))</f>
        <v>30881</v>
      </c>
      <c r="N90" s="66">
        <f>IF($AB90="TGD",ROUND($E90*(1+$AD90)^(N$4-$E$4),0),IF($AB90="ALTH",ROUND($AE90+$AF90*N$4,0),IF($AB90="IR",ROUND(Proyeccion_Localidades!AK94,0),IF($AB90="RT",ROUND(Proyeccion_Localidades!BH94,0),"*****"))))</f>
        <v>31023</v>
      </c>
      <c r="O90" s="66">
        <f>IF($AB90="TGD",ROUND($E90*(1+$AD90)^(O$4-$E$4),0),IF($AB90="ALTH",ROUND($AE90+$AF90*O$4,0),IF($AB90="IR",ROUND(Proyeccion_Localidades!AL94,0),IF($AB90="RT",ROUND(Proyeccion_Localidades!BI94,0),"*****"))))</f>
        <v>31165</v>
      </c>
      <c r="P90" s="66">
        <f>IF($AB90="TGD",ROUND($E90*(1+$AD90)^(P$4-$E$4),0),IF($AB90="ALTH",ROUND($AE90+$AF90*P$4,0),IF($AB90="IR",ROUND(Proyeccion_Localidades!AM94,0),IF($AB90="RT",ROUND(Proyeccion_Localidades!BJ94,0),"*****"))))</f>
        <v>31308</v>
      </c>
      <c r="Q90" s="66">
        <f>IF($AB90="TGD",ROUND($E90*(1+$AD90)^(Q$4-$E$4),0),IF($AB90="ALTH",ROUND($AE90+$AF90*Q$4,0),IF($AB90="IR",ROUND(Proyeccion_Localidades!AN94,0),IF($AB90="RT",ROUND(Proyeccion_Localidades!BK94,0),"*****"))))</f>
        <v>31451</v>
      </c>
      <c r="R90" s="66">
        <f>IF($AB90="TGD",ROUND($E90*(1+$AD90)^(R$4-$E$4),0),IF($AB90="ALTH",ROUND($AE90+$AF90*R$4,0),IF($AB90="IR",ROUND(Proyeccion_Localidades!AO94,0),IF($AB90="RT",ROUND(Proyeccion_Localidades!BL94,0),"*****"))))</f>
        <v>31596</v>
      </c>
      <c r="S90" s="66">
        <f>IF($AB90="TGD",ROUND($E90*(1+$AD90)^(S$4-$E$4),0),IF($AB90="ALTH",ROUND($AE90+$AF90*S$4,0),IF($AB90="IR",ROUND(Proyeccion_Localidades!AP94,0),IF($AB90="RT",ROUND(Proyeccion_Localidades!BM94,0),"*****"))))</f>
        <v>31741</v>
      </c>
      <c r="T90" s="66">
        <f>IF($AB90="TGD",ROUND($E90*(1+$AD90)^(T$4-$E$4),0),IF($AB90="ALTH",ROUND($AE90+$AF90*T$4,0),IF($AB90="IR",ROUND(Proyeccion_Localidades!AQ94,0),IF($AB90="RT",ROUND(Proyeccion_Localidades!BN94,0),"*****"))))</f>
        <v>31886</v>
      </c>
      <c r="U90" s="66">
        <f>IF($AB90="TGD",ROUND($E90*(1+$AD90)^(U$4-$E$4),0),IF($AB90="ALTH",ROUND($AE90+$AF90*U$4,0),IF($AB90="IR",ROUND(Proyeccion_Localidades!AR94,0),IF($AB90="RT",ROUND(Proyeccion_Localidades!BO94,0),"*****"))))</f>
        <v>32033</v>
      </c>
      <c r="V90" s="66">
        <f>IF($AB90="TGD",ROUND($E90*(1+$AD90)^(V$4-$E$4),0),IF($AB90="ALTH",ROUND($AE90+$AF90*V$4,0),IF($AB90="IR",ROUND(Proyeccion_Localidades!AS94,0),IF($AB90="RT",ROUND(Proyeccion_Localidades!BP94,0),"*****"))))</f>
        <v>32180</v>
      </c>
      <c r="W90" s="66">
        <f>IF($AB90="TGD",ROUND($E90*(1+$AD90)^(W$4-$E$4),0),IF($AB90="ALTH",ROUND($AE90+$AF90*W$4,0),IF($AB90="IR",ROUND(Proyeccion_Localidades!AT94,0),IF($AB90="RT",ROUND(Proyeccion_Localidades!BQ94,0),"*****"))))</f>
        <v>32327</v>
      </c>
      <c r="X90" s="66">
        <f>IF($AB90="TGD",ROUND($E90*(1+$AD90)^(X$4-$E$4),0),IF($AB90="ALTH",ROUND($AE90+$AF90*X$4,0),IF($AB90="IR",ROUND(Proyeccion_Localidades!AU94,0),IF($AB90="RT",ROUND(Proyeccion_Localidades!BR94,0),"*****"))))</f>
        <v>32475</v>
      </c>
      <c r="Y90" s="66">
        <f>IF($AB90="TGD",ROUND($E90*(1+$AD90)^(Y$4-$E$4),0),IF($AB90="ALTH",ROUND($AE90+$AF90*Y$4,0),IF($AB90="IR",ROUND(Proyeccion_Localidades!AV94,0),IF($AB90="RT",ROUND(Proyeccion_Localidades!BS94,0),"*****"))))</f>
        <v>32624</v>
      </c>
      <c r="Z90" s="66">
        <f>IF($AB90="TGD",ROUND($E90*(1+$AD90)^(Z$4-$E$4),0),IF($AB90="ALTH",ROUND($AE90+$AF90*Z$4,0),IF($AB90="IR",ROUND(Proyeccion_Localidades!AW94,0),IF($AB90="RT",ROUND(Proyeccion_Localidades!BT94,0),"*****"))))</f>
        <v>32774</v>
      </c>
      <c r="AA90" s="66">
        <f>IF($AB90="TGD",ROUND($E90*(1+$AD90)^(AA$4-$E$4),0),IF($AB90="ALTH",ROUND($AE90+$AF90*AA$4,0),IF($AB90="IR",ROUND(Proyeccion_Localidades!AX94,0),IF($AB90="RT",ROUND(Proyeccion_Localidades!BU94,0),"*****"))))</f>
        <v>32924</v>
      </c>
      <c r="AB90" s="67" t="str">
        <f>Proyeccion_Localidades!N94</f>
        <v>TGD</v>
      </c>
      <c r="AC90" s="68" t="s">
        <v>35</v>
      </c>
      <c r="AD90" s="51">
        <f>IF(AB90="TGD",Proyeccion_Localidades!Z94,"-")</f>
        <v>4.5873704679528782E-3</v>
      </c>
      <c r="AE90" s="51" t="str">
        <f>IF($AB90="ALTH",Proyeccion_Localidades!AA94,"-")</f>
        <v>-</v>
      </c>
      <c r="AF90" s="51" t="str">
        <f>IF($AB90="ALTH",Proyeccion_Localidades!AB94,"-")</f>
        <v>-</v>
      </c>
      <c r="AG90" s="51"/>
      <c r="AH90" s="51"/>
      <c r="AI90" s="66">
        <f t="shared" si="5"/>
        <v>29771</v>
      </c>
    </row>
    <row r="91" spans="1:35" ht="24.95" customHeight="1">
      <c r="A91" s="84" t="str">
        <f>+Proyeccion_Localidades!C95</f>
        <v>Lobería</v>
      </c>
      <c r="B91" s="70">
        <f t="shared" si="4"/>
        <v>87</v>
      </c>
      <c r="C91" s="88" t="str">
        <f>+Proyeccion_Localidades!B95</f>
        <v>Lobería</v>
      </c>
      <c r="D91" s="261">
        <f t="shared" si="6"/>
        <v>87</v>
      </c>
      <c r="E91" s="72">
        <f>+Proyeccion_Localidades!F95</f>
        <v>13005</v>
      </c>
      <c r="F91" s="66">
        <f>IF($AB91="TGD",ROUND($E91*(1+$AD91)^(F$4-$E$4),0),IF($AB91="ALTH",ROUND($AE91+$AF91*F$4,0),IF($AB91="IR",ROUND(Proyeccion_Localidades!AC95,0),IF($AB91="RT",ROUND(Proyeccion_Localidades!AZ95,0),"*****"))))</f>
        <v>14163</v>
      </c>
      <c r="G91" s="66">
        <f>IF($AB91="TGD",ROUND($E91*(1+$AD91)^(G$4-$E$4),0),IF($AB91="ALTH",ROUND($AE91+$AF91*G$4,0),IF($AB91="IR",ROUND(Proyeccion_Localidades!AD95,0),IF($AB91="RT",ROUND(Proyeccion_Localidades!BA95,0),"*****"))))</f>
        <v>14264</v>
      </c>
      <c r="H91" s="66">
        <f>IF($AB91="TGD",ROUND($E91*(1+$AD91)^(H$4-$E$4),0),IF($AB91="ALTH",ROUND($AE91+$AF91*H$4,0),IF($AB91="IR",ROUND(Proyeccion_Localidades!AE95,0),IF($AB91="RT",ROUND(Proyeccion_Localidades!BB95,0),"*****"))))</f>
        <v>14572</v>
      </c>
      <c r="I91" s="66">
        <f>IF($AB91="TGD",ROUND($E91*(1+$AD91)^(I$4-$E$4),0),IF($AB91="ALTH",ROUND($AE91+$AF91*I$4,0),IF($AB91="IR",ROUND(Proyeccion_Localidades!AF95,0),IF($AB91="RT",ROUND(Proyeccion_Localidades!BC95,0),"*****"))))</f>
        <v>14676</v>
      </c>
      <c r="J91" s="66">
        <f>IF($AB91="TGD",ROUND($E91*(1+$AD91)^(J$4-$E$4),0),IF($AB91="ALTH",ROUND($AE91+$AF91*J$4,0),IF($AB91="IR",ROUND(Proyeccion_Localidades!AG95,0),IF($AB91="RT",ROUND(Proyeccion_Localidades!BD95,0),"*****"))))</f>
        <v>14780</v>
      </c>
      <c r="K91" s="66">
        <f>IF($AB91="TGD",ROUND($E91*(1+$AD91)^(K$4-$E$4),0),IF($AB91="ALTH",ROUND($AE91+$AF91*K$4,0),IF($AB91="IR",ROUND(Proyeccion_Localidades!AH95,0),IF($AB91="RT",ROUND(Proyeccion_Localidades!BE95,0),"*****"))))</f>
        <v>14886</v>
      </c>
      <c r="L91" s="66">
        <f>IF($AB91="TGD",ROUND($E91*(1+$AD91)^(L$4-$E$4),0),IF($AB91="ALTH",ROUND($AE91+$AF91*L$4,0),IF($AB91="IR",ROUND(Proyeccion_Localidades!AI95,0),IF($AB91="RT",ROUND(Proyeccion_Localidades!BF95,0),"*****"))))</f>
        <v>14992</v>
      </c>
      <c r="M91" s="66">
        <f>IF($AB91="TGD",ROUND($E91*(1+$AD91)^(M$4-$E$4),0),IF($AB91="ALTH",ROUND($AE91+$AF91*M$4,0),IF($AB91="IR",ROUND(Proyeccion_Localidades!AJ95,0),IF($AB91="RT",ROUND(Proyeccion_Localidades!BG95,0),"*****"))))</f>
        <v>15099</v>
      </c>
      <c r="N91" s="66">
        <f>IF($AB91="TGD",ROUND($E91*(1+$AD91)^(N$4-$E$4),0),IF($AB91="ALTH",ROUND($AE91+$AF91*N$4,0),IF($AB91="IR",ROUND(Proyeccion_Localidades!AK95,0),IF($AB91="RT",ROUND(Proyeccion_Localidades!BH95,0),"*****"))))</f>
        <v>15207</v>
      </c>
      <c r="O91" s="66">
        <f>IF($AB91="TGD",ROUND($E91*(1+$AD91)^(O$4-$E$4),0),IF($AB91="ALTH",ROUND($AE91+$AF91*O$4,0),IF($AB91="IR",ROUND(Proyeccion_Localidades!AL95,0),IF($AB91="RT",ROUND(Proyeccion_Localidades!BI95,0),"*****"))))</f>
        <v>15315</v>
      </c>
      <c r="P91" s="66">
        <f>IF($AB91="TGD",ROUND($E91*(1+$AD91)^(P$4-$E$4),0),IF($AB91="ALTH",ROUND($AE91+$AF91*P$4,0),IF($AB91="IR",ROUND(Proyeccion_Localidades!AM95,0),IF($AB91="RT",ROUND(Proyeccion_Localidades!BJ95,0),"*****"))))</f>
        <v>15424</v>
      </c>
      <c r="Q91" s="66">
        <f>IF($AB91="TGD",ROUND($E91*(1+$AD91)^(Q$4-$E$4),0),IF($AB91="ALTH",ROUND($AE91+$AF91*Q$4,0),IF($AB91="IR",ROUND(Proyeccion_Localidades!AN95,0),IF($AB91="RT",ROUND(Proyeccion_Localidades!BK95,0),"*****"))))</f>
        <v>15534</v>
      </c>
      <c r="R91" s="66">
        <f>IF($AB91="TGD",ROUND($E91*(1+$AD91)^(R$4-$E$4),0),IF($AB91="ALTH",ROUND($AE91+$AF91*R$4,0),IF($AB91="IR",ROUND(Proyeccion_Localidades!AO95,0),IF($AB91="RT",ROUND(Proyeccion_Localidades!BL95,0),"*****"))))</f>
        <v>15645</v>
      </c>
      <c r="S91" s="66">
        <f>IF($AB91="TGD",ROUND($E91*(1+$AD91)^(S$4-$E$4),0),IF($AB91="ALTH",ROUND($AE91+$AF91*S$4,0),IF($AB91="IR",ROUND(Proyeccion_Localidades!AP95,0),IF($AB91="RT",ROUND(Proyeccion_Localidades!BM95,0),"*****"))))</f>
        <v>15757</v>
      </c>
      <c r="T91" s="66">
        <f>IF($AB91="TGD",ROUND($E91*(1+$AD91)^(T$4-$E$4),0),IF($AB91="ALTH",ROUND($AE91+$AF91*T$4,0),IF($AB91="IR",ROUND(Proyeccion_Localidades!AQ95,0),IF($AB91="RT",ROUND(Proyeccion_Localidades!BN95,0),"*****"))))</f>
        <v>15869</v>
      </c>
      <c r="U91" s="66">
        <f>IF($AB91="TGD",ROUND($E91*(1+$AD91)^(U$4-$E$4),0),IF($AB91="ALTH",ROUND($AE91+$AF91*U$4,0),IF($AB91="IR",ROUND(Proyeccion_Localidades!AR95,0),IF($AB91="RT",ROUND(Proyeccion_Localidades!BO95,0),"*****"))))</f>
        <v>15982</v>
      </c>
      <c r="V91" s="66">
        <f>IF($AB91="TGD",ROUND($E91*(1+$AD91)^(V$4-$E$4),0),IF($AB91="ALTH",ROUND($AE91+$AF91*V$4,0),IF($AB91="IR",ROUND(Proyeccion_Localidades!AS95,0),IF($AB91="RT",ROUND(Proyeccion_Localidades!BP95,0),"*****"))))</f>
        <v>16096</v>
      </c>
      <c r="W91" s="66">
        <f>IF($AB91="TGD",ROUND($E91*(1+$AD91)^(W$4-$E$4),0),IF($AB91="ALTH",ROUND($AE91+$AF91*W$4,0),IF($AB91="IR",ROUND(Proyeccion_Localidades!AT95,0),IF($AB91="RT",ROUND(Proyeccion_Localidades!BQ95,0),"*****"))))</f>
        <v>16211</v>
      </c>
      <c r="X91" s="66">
        <f>IF($AB91="TGD",ROUND($E91*(1+$AD91)^(X$4-$E$4),0),IF($AB91="ALTH",ROUND($AE91+$AF91*X$4,0),IF($AB91="IR",ROUND(Proyeccion_Localidades!AU95,0),IF($AB91="RT",ROUND(Proyeccion_Localidades!BR95,0),"*****"))))</f>
        <v>16327</v>
      </c>
      <c r="Y91" s="66">
        <f>IF($AB91="TGD",ROUND($E91*(1+$AD91)^(Y$4-$E$4),0),IF($AB91="ALTH",ROUND($AE91+$AF91*Y$4,0),IF($AB91="IR",ROUND(Proyeccion_Localidades!AV95,0),IF($AB91="RT",ROUND(Proyeccion_Localidades!BS95,0),"*****"))))</f>
        <v>16443</v>
      </c>
      <c r="Z91" s="66">
        <f>IF($AB91="TGD",ROUND($E91*(1+$AD91)^(Z$4-$E$4),0),IF($AB91="ALTH",ROUND($AE91+$AF91*Z$4,0),IF($AB91="IR",ROUND(Proyeccion_Localidades!AW95,0),IF($AB91="RT",ROUND(Proyeccion_Localidades!BT95,0),"*****"))))</f>
        <v>16561</v>
      </c>
      <c r="AA91" s="66">
        <f>IF($AB91="TGD",ROUND($E91*(1+$AD91)^(AA$4-$E$4),0),IF($AB91="ALTH",ROUND($AE91+$AF91*AA$4,0),IF($AB91="IR",ROUND(Proyeccion_Localidades!AX95,0),IF($AB91="RT",ROUND(Proyeccion_Localidades!BU95,0),"*****"))))</f>
        <v>16679</v>
      </c>
      <c r="AB91" s="67" t="str">
        <f>Proyeccion_Localidades!N95</f>
        <v>TGD</v>
      </c>
      <c r="AC91" s="68" t="s">
        <v>35</v>
      </c>
      <c r="AD91" s="51">
        <f>IF(AB91="TGD",Proyeccion_Localidades!Z95,"-")</f>
        <v>7.1342078163527667E-3</v>
      </c>
      <c r="AE91" s="51" t="str">
        <f>IF($AB91="ALTH",Proyeccion_Localidades!AA95,"-")</f>
        <v>-</v>
      </c>
      <c r="AF91" s="51" t="str">
        <f>IF($AB91="ALTH",Proyeccion_Localidades!AB95,"-")</f>
        <v>-</v>
      </c>
      <c r="AG91" s="51"/>
      <c r="AH91" s="51"/>
      <c r="AI91" s="66">
        <f t="shared" si="5"/>
        <v>14264</v>
      </c>
    </row>
    <row r="92" spans="1:35" ht="24.95" customHeight="1">
      <c r="A92" s="84" t="str">
        <f>+Proyeccion_Localidades!C96</f>
        <v>Lobos</v>
      </c>
      <c r="B92" s="70">
        <f t="shared" si="4"/>
        <v>88</v>
      </c>
      <c r="C92" s="88" t="str">
        <f>+Proyeccion_Localidades!B96</f>
        <v>Lobos</v>
      </c>
      <c r="D92" s="261">
        <f t="shared" si="6"/>
        <v>88</v>
      </c>
      <c r="E92" s="72">
        <f>+Proyeccion_Localidades!F96</f>
        <v>29868</v>
      </c>
      <c r="F92" s="66">
        <f>IF($AB92="TGD",ROUND($E92*(1+$AD92)^(F$4-$E$4),0),IF($AB92="ALTH",ROUND($AE92+$AF92*F$4,0),IF($AB92="IR",ROUND(Proyeccion_Localidades!AC96,0),IF($AB92="RT",ROUND(Proyeccion_Localidades!AZ96,0),"*****"))))</f>
        <v>34278</v>
      </c>
      <c r="G92" s="66">
        <f>IF($AB92="TGD",ROUND($E92*(1+$AD92)^(G$4-$E$4),0),IF($AB92="ALTH",ROUND($AE92+$AF92*G$4,0),IF($AB92="IR",ROUND(Proyeccion_Localidades!AD96,0),IF($AB92="RT",ROUND(Proyeccion_Localidades!BA96,0),"*****"))))</f>
        <v>34674</v>
      </c>
      <c r="H92" s="66">
        <f>IF($AB92="TGD",ROUND($E92*(1+$AD92)^(H$4-$E$4),0),IF($AB92="ALTH",ROUND($AE92+$AF92*H$4,0),IF($AB92="IR",ROUND(Proyeccion_Localidades!AE96,0),IF($AB92="RT",ROUND(Proyeccion_Localidades!BB96,0),"*****"))))</f>
        <v>35888</v>
      </c>
      <c r="I92" s="66">
        <f>IF($AB92="TGD",ROUND($E92*(1+$AD92)^(I$4-$E$4),0),IF($AB92="ALTH",ROUND($AE92+$AF92*I$4,0),IF($AB92="IR",ROUND(Proyeccion_Localidades!AF96,0),IF($AB92="RT",ROUND(Proyeccion_Localidades!BC96,0),"*****"))))</f>
        <v>36302</v>
      </c>
      <c r="J92" s="66">
        <f>IF($AB92="TGD",ROUND($E92*(1+$AD92)^(J$4-$E$4),0),IF($AB92="ALTH",ROUND($AE92+$AF92*J$4,0),IF($AB92="IR",ROUND(Proyeccion_Localidades!AG96,0),IF($AB92="RT",ROUND(Proyeccion_Localidades!BD96,0),"*****"))))</f>
        <v>36721</v>
      </c>
      <c r="K92" s="66">
        <f>IF($AB92="TGD",ROUND($E92*(1+$AD92)^(K$4-$E$4),0),IF($AB92="ALTH",ROUND($AE92+$AF92*K$4,0),IF($AB92="IR",ROUND(Proyeccion_Localidades!AH96,0),IF($AB92="RT",ROUND(Proyeccion_Localidades!BE96,0),"*****"))))</f>
        <v>37145</v>
      </c>
      <c r="L92" s="66">
        <f>IF($AB92="TGD",ROUND($E92*(1+$AD92)^(L$4-$E$4),0),IF($AB92="ALTH",ROUND($AE92+$AF92*L$4,0),IF($AB92="IR",ROUND(Proyeccion_Localidades!AI96,0),IF($AB92="RT",ROUND(Proyeccion_Localidades!BF96,0),"*****"))))</f>
        <v>37574</v>
      </c>
      <c r="M92" s="66">
        <f>IF($AB92="TGD",ROUND($E92*(1+$AD92)^(M$4-$E$4),0),IF($AB92="ALTH",ROUND($AE92+$AF92*M$4,0),IF($AB92="IR",ROUND(Proyeccion_Localidades!AJ96,0),IF($AB92="RT",ROUND(Proyeccion_Localidades!BG96,0),"*****"))))</f>
        <v>38008</v>
      </c>
      <c r="N92" s="66">
        <f>IF($AB92="TGD",ROUND($E92*(1+$AD92)^(N$4-$E$4),0),IF($AB92="ALTH",ROUND($AE92+$AF92*N$4,0),IF($AB92="IR",ROUND(Proyeccion_Localidades!AK96,0),IF($AB92="RT",ROUND(Proyeccion_Localidades!BH96,0),"*****"))))</f>
        <v>38446</v>
      </c>
      <c r="O92" s="66">
        <f>IF($AB92="TGD",ROUND($E92*(1+$AD92)^(O$4-$E$4),0),IF($AB92="ALTH",ROUND($AE92+$AF92*O$4,0),IF($AB92="IR",ROUND(Proyeccion_Localidades!AL96,0),IF($AB92="RT",ROUND(Proyeccion_Localidades!BI96,0),"*****"))))</f>
        <v>38890</v>
      </c>
      <c r="P92" s="66">
        <f>IF($AB92="TGD",ROUND($E92*(1+$AD92)^(P$4-$E$4),0),IF($AB92="ALTH",ROUND($AE92+$AF92*P$4,0),IF($AB92="IR",ROUND(Proyeccion_Localidades!AM96,0),IF($AB92="RT",ROUND(Proyeccion_Localidades!BJ96,0),"*****"))))</f>
        <v>39339</v>
      </c>
      <c r="Q92" s="66">
        <f>IF($AB92="TGD",ROUND($E92*(1+$AD92)^(Q$4-$E$4),0),IF($AB92="ALTH",ROUND($AE92+$AF92*Q$4,0),IF($AB92="IR",ROUND(Proyeccion_Localidades!AN96,0),IF($AB92="RT",ROUND(Proyeccion_Localidades!BK96,0),"*****"))))</f>
        <v>39793</v>
      </c>
      <c r="R92" s="66">
        <f>IF($AB92="TGD",ROUND($E92*(1+$AD92)^(R$4-$E$4),0),IF($AB92="ALTH",ROUND($AE92+$AF92*R$4,0),IF($AB92="IR",ROUND(Proyeccion_Localidades!AO96,0),IF($AB92="RT",ROUND(Proyeccion_Localidades!BL96,0),"*****"))))</f>
        <v>40252</v>
      </c>
      <c r="S92" s="66">
        <f>IF($AB92="TGD",ROUND($E92*(1+$AD92)^(S$4-$E$4),0),IF($AB92="ALTH",ROUND($AE92+$AF92*S$4,0),IF($AB92="IR",ROUND(Proyeccion_Localidades!AP96,0),IF($AB92="RT",ROUND(Proyeccion_Localidades!BM96,0),"*****"))))</f>
        <v>40717</v>
      </c>
      <c r="T92" s="66">
        <f>IF($AB92="TGD",ROUND($E92*(1+$AD92)^(T$4-$E$4),0),IF($AB92="ALTH",ROUND($AE92+$AF92*T$4,0),IF($AB92="IR",ROUND(Proyeccion_Localidades!AQ96,0),IF($AB92="RT",ROUND(Proyeccion_Localidades!BN96,0),"*****"))))</f>
        <v>41187</v>
      </c>
      <c r="U92" s="66">
        <f>IF($AB92="TGD",ROUND($E92*(1+$AD92)^(U$4-$E$4),0),IF($AB92="ALTH",ROUND($AE92+$AF92*U$4,0),IF($AB92="IR",ROUND(Proyeccion_Localidades!AR96,0),IF($AB92="RT",ROUND(Proyeccion_Localidades!BO96,0),"*****"))))</f>
        <v>41662</v>
      </c>
      <c r="V92" s="66">
        <f>IF($AB92="TGD",ROUND($E92*(1+$AD92)^(V$4-$E$4),0),IF($AB92="ALTH",ROUND($AE92+$AF92*V$4,0),IF($AB92="IR",ROUND(Proyeccion_Localidades!AS96,0),IF($AB92="RT",ROUND(Proyeccion_Localidades!BP96,0),"*****"))))</f>
        <v>42143</v>
      </c>
      <c r="W92" s="66">
        <f>IF($AB92="TGD",ROUND($E92*(1+$AD92)^(W$4-$E$4),0),IF($AB92="ALTH",ROUND($AE92+$AF92*W$4,0),IF($AB92="IR",ROUND(Proyeccion_Localidades!AT96,0),IF($AB92="RT",ROUND(Proyeccion_Localidades!BQ96,0),"*****"))))</f>
        <v>42630</v>
      </c>
      <c r="X92" s="66">
        <f>IF($AB92="TGD",ROUND($E92*(1+$AD92)^(X$4-$E$4),0),IF($AB92="ALTH",ROUND($AE92+$AF92*X$4,0),IF($AB92="IR",ROUND(Proyeccion_Localidades!AU96,0),IF($AB92="RT",ROUND(Proyeccion_Localidades!BR96,0),"*****"))))</f>
        <v>43122</v>
      </c>
      <c r="Y92" s="66">
        <f>IF($AB92="TGD",ROUND($E92*(1+$AD92)^(Y$4-$E$4),0),IF($AB92="ALTH",ROUND($AE92+$AF92*Y$4,0),IF($AB92="IR",ROUND(Proyeccion_Localidades!AV96,0),IF($AB92="RT",ROUND(Proyeccion_Localidades!BS96,0),"*****"))))</f>
        <v>43620</v>
      </c>
      <c r="Z92" s="66">
        <f>IF($AB92="TGD",ROUND($E92*(1+$AD92)^(Z$4-$E$4),0),IF($AB92="ALTH",ROUND($AE92+$AF92*Z$4,0),IF($AB92="IR",ROUND(Proyeccion_Localidades!AW96,0),IF($AB92="RT",ROUND(Proyeccion_Localidades!BT96,0),"*****"))))</f>
        <v>44123</v>
      </c>
      <c r="AA92" s="66">
        <f>IF($AB92="TGD",ROUND($E92*(1+$AD92)^(AA$4-$E$4),0),IF($AB92="ALTH",ROUND($AE92+$AF92*AA$4,0),IF($AB92="IR",ROUND(Proyeccion_Localidades!AX96,0),IF($AB92="RT",ROUND(Proyeccion_Localidades!BU96,0),"*****"))))</f>
        <v>44632</v>
      </c>
      <c r="AB92" s="67" t="str">
        <f>Proyeccion_Localidades!N96</f>
        <v>TGD</v>
      </c>
      <c r="AC92" s="68" t="s">
        <v>35</v>
      </c>
      <c r="AD92" s="51">
        <f>IF(AB92="TGD",Proyeccion_Localidades!Z96,"-")</f>
        <v>1.1542424136488316E-2</v>
      </c>
      <c r="AE92" s="51" t="str">
        <f>IF($AB92="ALTH",Proyeccion_Localidades!AA96,"-")</f>
        <v>-</v>
      </c>
      <c r="AF92" s="51" t="str">
        <f>IF($AB92="ALTH",Proyeccion_Localidades!AB96,"-")</f>
        <v>-</v>
      </c>
      <c r="AG92" s="51"/>
      <c r="AH92" s="51"/>
      <c r="AI92" s="66">
        <f t="shared" si="5"/>
        <v>34674</v>
      </c>
    </row>
    <row r="93" spans="1:35" ht="24.95" customHeight="1">
      <c r="A93" s="84" t="str">
        <f>+Proyeccion_Localidades!C97</f>
        <v>Luján</v>
      </c>
      <c r="B93" s="70">
        <f t="shared" si="4"/>
        <v>89</v>
      </c>
      <c r="C93" s="88" t="str">
        <f>+Proyeccion_Localidades!B97</f>
        <v>Luján</v>
      </c>
      <c r="D93" s="261">
        <f t="shared" si="6"/>
        <v>89</v>
      </c>
      <c r="E93" s="72">
        <f>+Proyeccion_Localidades!F97</f>
        <v>97363</v>
      </c>
      <c r="F93" s="66">
        <f>IF($AB93="TGD",ROUND($E93*(1+$AD93)^(F$4-$E$4),0),IF($AB93="ALTH",ROUND($AE93+$AF93*F$4,0),IF($AB93="IR",ROUND(Proyeccion_Localidades!AC97,0),IF($AB93="RT",ROUND(Proyeccion_Localidades!AZ97,0),"*****"))))</f>
        <v>117714</v>
      </c>
      <c r="G93" s="66">
        <f>IF($AB93="TGD",ROUND($E93*(1+$AD93)^(G$4-$E$4),0),IF($AB93="ALTH",ROUND($AE93+$AF93*G$4,0),IF($AB93="IR",ROUND(Proyeccion_Localidades!AD97,0),IF($AB93="RT",ROUND(Proyeccion_Localidades!BA97,0),"*****"))))</f>
        <v>119749</v>
      </c>
      <c r="H93" s="66">
        <f>IF($AB93="TGD",ROUND($E93*(1+$AD93)^(H$4-$E$4),0),IF($AB93="ALTH",ROUND($AE93+$AF93*H$4,0),IF($AB93="IR",ROUND(Proyeccion_Localidades!AE97,0),IF($AB93="RT",ROUND(Proyeccion_Localidades!BB97,0),"*****"))))</f>
        <v>125853</v>
      </c>
      <c r="I93" s="66">
        <f>IF($AB93="TGD",ROUND($E93*(1+$AD93)^(I$4-$E$4),0),IF($AB93="ALTH",ROUND($AE93+$AF93*I$4,0),IF($AB93="IR",ROUND(Proyeccion_Localidades!AF97,0),IF($AB93="RT",ROUND(Proyeccion_Localidades!BC97,0),"*****"))))</f>
        <v>127887</v>
      </c>
      <c r="J93" s="66">
        <f>IF($AB93="TGD",ROUND($E93*(1+$AD93)^(J$4-$E$4),0),IF($AB93="ALTH",ROUND($AE93+$AF93*J$4,0),IF($AB93="IR",ROUND(Proyeccion_Localidades!AG97,0),IF($AB93="RT",ROUND(Proyeccion_Localidades!BD97,0),"*****"))))</f>
        <v>129922</v>
      </c>
      <c r="K93" s="66">
        <f>IF($AB93="TGD",ROUND($E93*(1+$AD93)^(K$4-$E$4),0),IF($AB93="ALTH",ROUND($AE93+$AF93*K$4,0),IF($AB93="IR",ROUND(Proyeccion_Localidades!AH97,0),IF($AB93="RT",ROUND(Proyeccion_Localidades!BE97,0),"*****"))))</f>
        <v>131957</v>
      </c>
      <c r="L93" s="66">
        <f>IF($AB93="TGD",ROUND($E93*(1+$AD93)^(L$4-$E$4),0),IF($AB93="ALTH",ROUND($AE93+$AF93*L$4,0),IF($AB93="IR",ROUND(Proyeccion_Localidades!AI97,0),IF($AB93="RT",ROUND(Proyeccion_Localidades!BF97,0),"*****"))))</f>
        <v>133991</v>
      </c>
      <c r="M93" s="66">
        <f>IF($AB93="TGD",ROUND($E93*(1+$AD93)^(M$4-$E$4),0),IF($AB93="ALTH",ROUND($AE93+$AF93*M$4,0),IF($AB93="IR",ROUND(Proyeccion_Localidades!AJ97,0),IF($AB93="RT",ROUND(Proyeccion_Localidades!BG97,0),"*****"))))</f>
        <v>136026</v>
      </c>
      <c r="N93" s="66">
        <f>IF($AB93="TGD",ROUND($E93*(1+$AD93)^(N$4-$E$4),0),IF($AB93="ALTH",ROUND($AE93+$AF93*N$4,0),IF($AB93="IR",ROUND(Proyeccion_Localidades!AK97,0),IF($AB93="RT",ROUND(Proyeccion_Localidades!BH97,0),"*****"))))</f>
        <v>138060</v>
      </c>
      <c r="O93" s="66">
        <f>IF($AB93="TGD",ROUND($E93*(1+$AD93)^(O$4-$E$4),0),IF($AB93="ALTH",ROUND($AE93+$AF93*O$4,0),IF($AB93="IR",ROUND(Proyeccion_Localidades!AL97,0),IF($AB93="RT",ROUND(Proyeccion_Localidades!BI97,0),"*****"))))</f>
        <v>140095</v>
      </c>
      <c r="P93" s="66">
        <f>IF($AB93="TGD",ROUND($E93*(1+$AD93)^(P$4-$E$4),0),IF($AB93="ALTH",ROUND($AE93+$AF93*P$4,0),IF($AB93="IR",ROUND(Proyeccion_Localidades!AM97,0),IF($AB93="RT",ROUND(Proyeccion_Localidades!BJ97,0),"*****"))))</f>
        <v>142130</v>
      </c>
      <c r="Q93" s="66">
        <f>IF($AB93="TGD",ROUND($E93*(1+$AD93)^(Q$4-$E$4),0),IF($AB93="ALTH",ROUND($AE93+$AF93*Q$4,0),IF($AB93="IR",ROUND(Proyeccion_Localidades!AN97,0),IF($AB93="RT",ROUND(Proyeccion_Localidades!BK97,0),"*****"))))</f>
        <v>144164</v>
      </c>
      <c r="R93" s="66">
        <f>IF($AB93="TGD",ROUND($E93*(1+$AD93)^(R$4-$E$4),0),IF($AB93="ALTH",ROUND($AE93+$AF93*R$4,0),IF($AB93="IR",ROUND(Proyeccion_Localidades!AO97,0),IF($AB93="RT",ROUND(Proyeccion_Localidades!BL97,0),"*****"))))</f>
        <v>146199</v>
      </c>
      <c r="S93" s="66">
        <f>IF($AB93="TGD",ROUND($E93*(1+$AD93)^(S$4-$E$4),0),IF($AB93="ALTH",ROUND($AE93+$AF93*S$4,0),IF($AB93="IR",ROUND(Proyeccion_Localidades!AP97,0),IF($AB93="RT",ROUND(Proyeccion_Localidades!BM97,0),"*****"))))</f>
        <v>148234</v>
      </c>
      <c r="T93" s="66">
        <f>IF($AB93="TGD",ROUND($E93*(1+$AD93)^(T$4-$E$4),0),IF($AB93="ALTH",ROUND($AE93+$AF93*T$4,0),IF($AB93="IR",ROUND(Proyeccion_Localidades!AQ97,0),IF($AB93="RT",ROUND(Proyeccion_Localidades!BN97,0),"*****"))))</f>
        <v>150268</v>
      </c>
      <c r="U93" s="66">
        <f>IF($AB93="TGD",ROUND($E93*(1+$AD93)^(U$4-$E$4),0),IF($AB93="ALTH",ROUND($AE93+$AF93*U$4,0),IF($AB93="IR",ROUND(Proyeccion_Localidades!AR97,0),IF($AB93="RT",ROUND(Proyeccion_Localidades!BO97,0),"*****"))))</f>
        <v>152303</v>
      </c>
      <c r="V93" s="66">
        <f>IF($AB93="TGD",ROUND($E93*(1+$AD93)^(V$4-$E$4),0),IF($AB93="ALTH",ROUND($AE93+$AF93*V$4,0),IF($AB93="IR",ROUND(Proyeccion_Localidades!AS97,0),IF($AB93="RT",ROUND(Proyeccion_Localidades!BP97,0),"*****"))))</f>
        <v>154337</v>
      </c>
      <c r="W93" s="66">
        <f>IF($AB93="TGD",ROUND($E93*(1+$AD93)^(W$4-$E$4),0),IF($AB93="ALTH",ROUND($AE93+$AF93*W$4,0),IF($AB93="IR",ROUND(Proyeccion_Localidades!AT97,0),IF($AB93="RT",ROUND(Proyeccion_Localidades!BQ97,0),"*****"))))</f>
        <v>156372</v>
      </c>
      <c r="X93" s="66">
        <f>IF($AB93="TGD",ROUND($E93*(1+$AD93)^(X$4-$E$4),0),IF($AB93="ALTH",ROUND($AE93+$AF93*X$4,0),IF($AB93="IR",ROUND(Proyeccion_Localidades!AU97,0),IF($AB93="RT",ROUND(Proyeccion_Localidades!BR97,0),"*****"))))</f>
        <v>158407</v>
      </c>
      <c r="Y93" s="66">
        <f>IF($AB93="TGD",ROUND($E93*(1+$AD93)^(Y$4-$E$4),0),IF($AB93="ALTH",ROUND($AE93+$AF93*Y$4,0),IF($AB93="IR",ROUND(Proyeccion_Localidades!AV97,0),IF($AB93="RT",ROUND(Proyeccion_Localidades!BS97,0),"*****"))))</f>
        <v>160441</v>
      </c>
      <c r="Z93" s="66">
        <f>IF($AB93="TGD",ROUND($E93*(1+$AD93)^(Z$4-$E$4),0),IF($AB93="ALTH",ROUND($AE93+$AF93*Z$4,0),IF($AB93="IR",ROUND(Proyeccion_Localidades!AW97,0),IF($AB93="RT",ROUND(Proyeccion_Localidades!BT97,0),"*****"))))</f>
        <v>162476</v>
      </c>
      <c r="AA93" s="66">
        <f>IF($AB93="TGD",ROUND($E93*(1+$AD93)^(AA$4-$E$4),0),IF($AB93="ALTH",ROUND($AE93+$AF93*AA$4,0),IF($AB93="IR",ROUND(Proyeccion_Localidades!AX97,0),IF($AB93="RT",ROUND(Proyeccion_Localidades!BU97,0),"*****"))))</f>
        <v>164510</v>
      </c>
      <c r="AB93" s="67" t="str">
        <f>Proyeccion_Localidades!N97</f>
        <v>ALTH</v>
      </c>
      <c r="AC93" s="68" t="s">
        <v>36</v>
      </c>
      <c r="AD93" s="51" t="str">
        <f>IF(AB93="TGD",Proyeccion_Localidades!Z97,"-")</f>
        <v>-</v>
      </c>
      <c r="AE93" s="51">
        <f>IF($AB93="ALTH",Proyeccion_Localidades!AA97,"-")</f>
        <v>-3996268.4760147603</v>
      </c>
      <c r="AF93" s="51">
        <f>IF($AB93="ALTH",Proyeccion_Localidades!AB97,"-")</f>
        <v>2034.6107011070112</v>
      </c>
      <c r="AG93" s="51"/>
      <c r="AH93" s="51"/>
      <c r="AI93" s="66">
        <f t="shared" si="5"/>
        <v>119749</v>
      </c>
    </row>
    <row r="94" spans="1:35" ht="24.95" customHeight="1">
      <c r="A94" s="84" t="str">
        <f>+Proyeccion_Localidades!C98</f>
        <v>Magdalena</v>
      </c>
      <c r="B94" s="70">
        <f t="shared" si="4"/>
        <v>90</v>
      </c>
      <c r="C94" s="88" t="str">
        <f>+Proyeccion_Localidades!B98</f>
        <v>Magdalena</v>
      </c>
      <c r="D94" s="261">
        <f t="shared" si="6"/>
        <v>90</v>
      </c>
      <c r="E94" s="72">
        <f>+Proyeccion_Localidades!F98</f>
        <v>11093</v>
      </c>
      <c r="F94" s="66">
        <f>IF($AB94="TGD",ROUND($E94*(1+$AD94)^(F$4-$E$4),0),IF($AB94="ALTH",ROUND($AE94+$AF94*F$4,0),IF($AB94="IR",ROUND(Proyeccion_Localidades!AC98,0),IF($AB94="RT",ROUND(Proyeccion_Localidades!AZ98,0),"*****"))))</f>
        <v>13206</v>
      </c>
      <c r="G94" s="66">
        <f>IF($AB94="TGD",ROUND($E94*(1+$AD94)^(G$4-$E$4),0),IF($AB94="ALTH",ROUND($AE94+$AF94*G$4,0),IF($AB94="IR",ROUND(Proyeccion_Localidades!AD98,0),IF($AB94="RT",ROUND(Proyeccion_Localidades!BA98,0),"*****"))))</f>
        <v>13387</v>
      </c>
      <c r="H94" s="66">
        <f>IF($AB94="TGD",ROUND($E94*(1+$AD94)^(H$4-$E$4),0),IF($AB94="ALTH",ROUND($AE94+$AF94*H$4,0),IF($AB94="IR",ROUND(Proyeccion_Localidades!AE98,0),IF($AB94="RT",ROUND(Proyeccion_Localidades!BB98,0),"*****"))))</f>
        <v>13929</v>
      </c>
      <c r="I94" s="66">
        <f>IF($AB94="TGD",ROUND($E94*(1+$AD94)^(I$4-$E$4),0),IF($AB94="ALTH",ROUND($AE94+$AF94*I$4,0),IF($AB94="IR",ROUND(Proyeccion_Localidades!AF98,0),IF($AB94="RT",ROUND(Proyeccion_Localidades!BC98,0),"*****"))))</f>
        <v>14110</v>
      </c>
      <c r="J94" s="66">
        <f>IF($AB94="TGD",ROUND($E94*(1+$AD94)^(J$4-$E$4),0),IF($AB94="ALTH",ROUND($AE94+$AF94*J$4,0),IF($AB94="IR",ROUND(Proyeccion_Localidades!AG98,0),IF($AB94="RT",ROUND(Proyeccion_Localidades!BD98,0),"*****"))))</f>
        <v>14291</v>
      </c>
      <c r="K94" s="66">
        <f>IF($AB94="TGD",ROUND($E94*(1+$AD94)^(K$4-$E$4),0),IF($AB94="ALTH",ROUND($AE94+$AF94*K$4,0),IF($AB94="IR",ROUND(Proyeccion_Localidades!AH98,0),IF($AB94="RT",ROUND(Proyeccion_Localidades!BE98,0),"*****"))))</f>
        <v>14472</v>
      </c>
      <c r="L94" s="66">
        <f>IF($AB94="TGD",ROUND($E94*(1+$AD94)^(L$4-$E$4),0),IF($AB94="ALTH",ROUND($AE94+$AF94*L$4,0),IF($AB94="IR",ROUND(Proyeccion_Localidades!AI98,0),IF($AB94="RT",ROUND(Proyeccion_Localidades!BF98,0),"*****"))))</f>
        <v>14653</v>
      </c>
      <c r="M94" s="66">
        <f>IF($AB94="TGD",ROUND($E94*(1+$AD94)^(M$4-$E$4),0),IF($AB94="ALTH",ROUND($AE94+$AF94*M$4,0),IF($AB94="IR",ROUND(Proyeccion_Localidades!AJ98,0),IF($AB94="RT",ROUND(Proyeccion_Localidades!BG98,0),"*****"))))</f>
        <v>14834</v>
      </c>
      <c r="N94" s="66">
        <f>IF($AB94="TGD",ROUND($E94*(1+$AD94)^(N$4-$E$4),0),IF($AB94="ALTH",ROUND($AE94+$AF94*N$4,0),IF($AB94="IR",ROUND(Proyeccion_Localidades!AK98,0),IF($AB94="RT",ROUND(Proyeccion_Localidades!BH98,0),"*****"))))</f>
        <v>15015</v>
      </c>
      <c r="O94" s="66">
        <f>IF($AB94="TGD",ROUND($E94*(1+$AD94)^(O$4-$E$4),0),IF($AB94="ALTH",ROUND($AE94+$AF94*O$4,0),IF($AB94="IR",ROUND(Proyeccion_Localidades!AL98,0),IF($AB94="RT",ROUND(Proyeccion_Localidades!BI98,0),"*****"))))</f>
        <v>15196</v>
      </c>
      <c r="P94" s="66">
        <f>IF($AB94="TGD",ROUND($E94*(1+$AD94)^(P$4-$E$4),0),IF($AB94="ALTH",ROUND($AE94+$AF94*P$4,0),IF($AB94="IR",ROUND(Proyeccion_Localidades!AM98,0),IF($AB94="RT",ROUND(Proyeccion_Localidades!BJ98,0),"*****"))))</f>
        <v>15377</v>
      </c>
      <c r="Q94" s="66">
        <f>IF($AB94="TGD",ROUND($E94*(1+$AD94)^(Q$4-$E$4),0),IF($AB94="ALTH",ROUND($AE94+$AF94*Q$4,0),IF($AB94="IR",ROUND(Proyeccion_Localidades!AN98,0),IF($AB94="RT",ROUND(Proyeccion_Localidades!BK98,0),"*****"))))</f>
        <v>15558</v>
      </c>
      <c r="R94" s="66">
        <f>IF($AB94="TGD",ROUND($E94*(1+$AD94)^(R$4-$E$4),0),IF($AB94="ALTH",ROUND($AE94+$AF94*R$4,0),IF($AB94="IR",ROUND(Proyeccion_Localidades!AO98,0),IF($AB94="RT",ROUND(Proyeccion_Localidades!BL98,0),"*****"))))</f>
        <v>15739</v>
      </c>
      <c r="S94" s="66">
        <f>IF($AB94="TGD",ROUND($E94*(1+$AD94)^(S$4-$E$4),0),IF($AB94="ALTH",ROUND($AE94+$AF94*S$4,0),IF($AB94="IR",ROUND(Proyeccion_Localidades!AP98,0),IF($AB94="RT",ROUND(Proyeccion_Localidades!BM98,0),"*****"))))</f>
        <v>15920</v>
      </c>
      <c r="T94" s="66">
        <f>IF($AB94="TGD",ROUND($E94*(1+$AD94)^(T$4-$E$4),0),IF($AB94="ALTH",ROUND($AE94+$AF94*T$4,0),IF($AB94="IR",ROUND(Proyeccion_Localidades!AQ98,0),IF($AB94="RT",ROUND(Proyeccion_Localidades!BN98,0),"*****"))))</f>
        <v>16101</v>
      </c>
      <c r="U94" s="66">
        <f>IF($AB94="TGD",ROUND($E94*(1+$AD94)^(U$4-$E$4),0),IF($AB94="ALTH",ROUND($AE94+$AF94*U$4,0),IF($AB94="IR",ROUND(Proyeccion_Localidades!AR98,0),IF($AB94="RT",ROUND(Proyeccion_Localidades!BO98,0),"*****"))))</f>
        <v>16282</v>
      </c>
      <c r="V94" s="66">
        <f>IF($AB94="TGD",ROUND($E94*(1+$AD94)^(V$4-$E$4),0),IF($AB94="ALTH",ROUND($AE94+$AF94*V$4,0),IF($AB94="IR",ROUND(Proyeccion_Localidades!AS98,0),IF($AB94="RT",ROUND(Proyeccion_Localidades!BP98,0),"*****"))))</f>
        <v>16463</v>
      </c>
      <c r="W94" s="66">
        <f>IF($AB94="TGD",ROUND($E94*(1+$AD94)^(W$4-$E$4),0),IF($AB94="ALTH",ROUND($AE94+$AF94*W$4,0),IF($AB94="IR",ROUND(Proyeccion_Localidades!AT98,0),IF($AB94="RT",ROUND(Proyeccion_Localidades!BQ98,0),"*****"))))</f>
        <v>16644</v>
      </c>
      <c r="X94" s="66">
        <f>IF($AB94="TGD",ROUND($E94*(1+$AD94)^(X$4-$E$4),0),IF($AB94="ALTH",ROUND($AE94+$AF94*X$4,0),IF($AB94="IR",ROUND(Proyeccion_Localidades!AU98,0),IF($AB94="RT",ROUND(Proyeccion_Localidades!BR98,0),"*****"))))</f>
        <v>16825</v>
      </c>
      <c r="Y94" s="66">
        <f>IF($AB94="TGD",ROUND($E94*(1+$AD94)^(Y$4-$E$4),0),IF($AB94="ALTH",ROUND($AE94+$AF94*Y$4,0),IF($AB94="IR",ROUND(Proyeccion_Localidades!AV98,0),IF($AB94="RT",ROUND(Proyeccion_Localidades!BS98,0),"*****"))))</f>
        <v>17006</v>
      </c>
      <c r="Z94" s="66">
        <f>IF($AB94="TGD",ROUND($E94*(1+$AD94)^(Z$4-$E$4),0),IF($AB94="ALTH",ROUND($AE94+$AF94*Z$4,0),IF($AB94="IR",ROUND(Proyeccion_Localidades!AW98,0),IF($AB94="RT",ROUND(Proyeccion_Localidades!BT98,0),"*****"))))</f>
        <v>17187</v>
      </c>
      <c r="AA94" s="66">
        <f>IF($AB94="TGD",ROUND($E94*(1+$AD94)^(AA$4-$E$4),0),IF($AB94="ALTH",ROUND($AE94+$AF94*AA$4,0),IF($AB94="IR",ROUND(Proyeccion_Localidades!AX98,0),IF($AB94="RT",ROUND(Proyeccion_Localidades!BU98,0),"*****"))))</f>
        <v>17368</v>
      </c>
      <c r="AB94" s="67" t="str">
        <f>Proyeccion_Localidades!N98</f>
        <v>ALTH</v>
      </c>
      <c r="AC94" s="68" t="s">
        <v>36</v>
      </c>
      <c r="AD94" s="51" t="str">
        <f>IF(AB94="TGD",Proyeccion_Localidades!Z98,"-")</f>
        <v>-</v>
      </c>
      <c r="AE94" s="51">
        <f>IF($AB94="ALTH",Proyeccion_Localidades!AA98,"-")</f>
        <v>-352683.05166051665</v>
      </c>
      <c r="AF94" s="51">
        <f>IF($AB94="ALTH",Proyeccion_Localidades!AB98,"-")</f>
        <v>180.9538745387454</v>
      </c>
      <c r="AG94" s="51"/>
      <c r="AH94" s="51"/>
      <c r="AI94" s="66">
        <f t="shared" si="5"/>
        <v>13387</v>
      </c>
    </row>
    <row r="95" spans="1:35" ht="24.95" customHeight="1">
      <c r="A95" s="84" t="str">
        <f>+Proyeccion_Localidades!C99</f>
        <v>Maipú</v>
      </c>
      <c r="B95" s="70">
        <f t="shared" si="4"/>
        <v>91</v>
      </c>
      <c r="C95" s="88" t="str">
        <f>+Proyeccion_Localidades!B99</f>
        <v>Maipú</v>
      </c>
      <c r="D95" s="261">
        <f t="shared" si="6"/>
        <v>91</v>
      </c>
      <c r="E95" s="72">
        <f>+Proyeccion_Localidades!F99</f>
        <v>8883</v>
      </c>
      <c r="F95" s="66">
        <f>IF($AB95="TGD",ROUND($E95*(1+$AD95)^(F$4-$E$4),0),IF($AB95="ALTH",ROUND($AE95+$AF95*F$4,0),IF($AB95="IR",ROUND(Proyeccion_Localidades!AC99,0),IF($AB95="RT",ROUND(Proyeccion_Localidades!AZ99,0),"*****"))))</f>
        <v>9561</v>
      </c>
      <c r="G95" s="66">
        <f>IF($AB95="TGD",ROUND($E95*(1+$AD95)^(G$4-$E$4),0),IF($AB95="ALTH",ROUND($AE95+$AF95*G$4,0),IF($AB95="IR",ROUND(Proyeccion_Localidades!AD99,0),IF($AB95="RT",ROUND(Proyeccion_Localidades!BA99,0),"*****"))))</f>
        <v>9606</v>
      </c>
      <c r="H95" s="66">
        <f>IF($AB95="TGD",ROUND($E95*(1+$AD95)^(H$4-$E$4),0),IF($AB95="ALTH",ROUND($AE95+$AF95*H$4,0),IF($AB95="IR",ROUND(Proyeccion_Localidades!AE99,0),IF($AB95="RT",ROUND(Proyeccion_Localidades!BB99,0),"*****"))))</f>
        <v>9742</v>
      </c>
      <c r="I95" s="66">
        <f>IF($AB95="TGD",ROUND($E95*(1+$AD95)^(I$4-$E$4),0),IF($AB95="ALTH",ROUND($AE95+$AF95*I$4,0),IF($AB95="IR",ROUND(Proyeccion_Localidades!AF99,0),IF($AB95="RT",ROUND(Proyeccion_Localidades!BC99,0),"*****"))))</f>
        <v>9787</v>
      </c>
      <c r="J95" s="66">
        <f>IF($AB95="TGD",ROUND($E95*(1+$AD95)^(J$4-$E$4),0),IF($AB95="ALTH",ROUND($AE95+$AF95*J$4,0),IF($AB95="IR",ROUND(Proyeccion_Localidades!AG99,0),IF($AB95="RT",ROUND(Proyeccion_Localidades!BD99,0),"*****"))))</f>
        <v>9832</v>
      </c>
      <c r="K95" s="66">
        <f>IF($AB95="TGD",ROUND($E95*(1+$AD95)^(K$4-$E$4),0),IF($AB95="ALTH",ROUND($AE95+$AF95*K$4,0),IF($AB95="IR",ROUND(Proyeccion_Localidades!AH99,0),IF($AB95="RT",ROUND(Proyeccion_Localidades!BE99,0),"*****"))))</f>
        <v>9878</v>
      </c>
      <c r="L95" s="66">
        <f>IF($AB95="TGD",ROUND($E95*(1+$AD95)^(L$4-$E$4),0),IF($AB95="ALTH",ROUND($AE95+$AF95*L$4,0),IF($AB95="IR",ROUND(Proyeccion_Localidades!AI99,0),IF($AB95="RT",ROUND(Proyeccion_Localidades!BF99,0),"*****"))))</f>
        <v>9923</v>
      </c>
      <c r="M95" s="66">
        <f>IF($AB95="TGD",ROUND($E95*(1+$AD95)^(M$4-$E$4),0),IF($AB95="ALTH",ROUND($AE95+$AF95*M$4,0),IF($AB95="IR",ROUND(Proyeccion_Localidades!AJ99,0),IF($AB95="RT",ROUND(Proyeccion_Localidades!BG99,0),"*****"))))</f>
        <v>9968</v>
      </c>
      <c r="N95" s="66">
        <f>IF($AB95="TGD",ROUND($E95*(1+$AD95)^(N$4-$E$4),0),IF($AB95="ALTH",ROUND($AE95+$AF95*N$4,0),IF($AB95="IR",ROUND(Proyeccion_Localidades!AK99,0),IF($AB95="RT",ROUND(Proyeccion_Localidades!BH99,0),"*****"))))</f>
        <v>10014</v>
      </c>
      <c r="O95" s="66">
        <f>IF($AB95="TGD",ROUND($E95*(1+$AD95)^(O$4-$E$4),0),IF($AB95="ALTH",ROUND($AE95+$AF95*O$4,0),IF($AB95="IR",ROUND(Proyeccion_Localidades!AL99,0),IF($AB95="RT",ROUND(Proyeccion_Localidades!BI99,0),"*****"))))</f>
        <v>10059</v>
      </c>
      <c r="P95" s="66">
        <f>IF($AB95="TGD",ROUND($E95*(1+$AD95)^(P$4-$E$4),0),IF($AB95="ALTH",ROUND($AE95+$AF95*P$4,0),IF($AB95="IR",ROUND(Proyeccion_Localidades!AM99,0),IF($AB95="RT",ROUND(Proyeccion_Localidades!BJ99,0),"*****"))))</f>
        <v>10104</v>
      </c>
      <c r="Q95" s="66">
        <f>IF($AB95="TGD",ROUND($E95*(1+$AD95)^(Q$4-$E$4),0),IF($AB95="ALTH",ROUND($AE95+$AF95*Q$4,0),IF($AB95="IR",ROUND(Proyeccion_Localidades!AN99,0),IF($AB95="RT",ROUND(Proyeccion_Localidades!BK99,0),"*****"))))</f>
        <v>10149</v>
      </c>
      <c r="R95" s="66">
        <f>IF($AB95="TGD",ROUND($E95*(1+$AD95)^(R$4-$E$4),0),IF($AB95="ALTH",ROUND($AE95+$AF95*R$4,0),IF($AB95="IR",ROUND(Proyeccion_Localidades!AO99,0),IF($AB95="RT",ROUND(Proyeccion_Localidades!BL99,0),"*****"))))</f>
        <v>10195</v>
      </c>
      <c r="S95" s="66">
        <f>IF($AB95="TGD",ROUND($E95*(1+$AD95)^(S$4-$E$4),0),IF($AB95="ALTH",ROUND($AE95+$AF95*S$4,0),IF($AB95="IR",ROUND(Proyeccion_Localidades!AP99,0),IF($AB95="RT",ROUND(Proyeccion_Localidades!BM99,0),"*****"))))</f>
        <v>10240</v>
      </c>
      <c r="T95" s="66">
        <f>IF($AB95="TGD",ROUND($E95*(1+$AD95)^(T$4-$E$4),0),IF($AB95="ALTH",ROUND($AE95+$AF95*T$4,0),IF($AB95="IR",ROUND(Proyeccion_Localidades!AQ99,0),IF($AB95="RT",ROUND(Proyeccion_Localidades!BN99,0),"*****"))))</f>
        <v>10285</v>
      </c>
      <c r="U95" s="66">
        <f>IF($AB95="TGD",ROUND($E95*(1+$AD95)^(U$4-$E$4),0),IF($AB95="ALTH",ROUND($AE95+$AF95*U$4,0),IF($AB95="IR",ROUND(Proyeccion_Localidades!AR99,0),IF($AB95="RT",ROUND(Proyeccion_Localidades!BO99,0),"*****"))))</f>
        <v>10331</v>
      </c>
      <c r="V95" s="66">
        <f>IF($AB95="TGD",ROUND($E95*(1+$AD95)^(V$4-$E$4),0),IF($AB95="ALTH",ROUND($AE95+$AF95*V$4,0),IF($AB95="IR",ROUND(Proyeccion_Localidades!AS99,0),IF($AB95="RT",ROUND(Proyeccion_Localidades!BP99,0),"*****"))))</f>
        <v>10376</v>
      </c>
      <c r="W95" s="66">
        <f>IF($AB95="TGD",ROUND($E95*(1+$AD95)^(W$4-$E$4),0),IF($AB95="ALTH",ROUND($AE95+$AF95*W$4,0),IF($AB95="IR",ROUND(Proyeccion_Localidades!AT99,0),IF($AB95="RT",ROUND(Proyeccion_Localidades!BQ99,0),"*****"))))</f>
        <v>10421</v>
      </c>
      <c r="X95" s="66">
        <f>IF($AB95="TGD",ROUND($E95*(1+$AD95)^(X$4-$E$4),0),IF($AB95="ALTH",ROUND($AE95+$AF95*X$4,0),IF($AB95="IR",ROUND(Proyeccion_Localidades!AU99,0),IF($AB95="RT",ROUND(Proyeccion_Localidades!BR99,0),"*****"))))</f>
        <v>10466</v>
      </c>
      <c r="Y95" s="66">
        <f>IF($AB95="TGD",ROUND($E95*(1+$AD95)^(Y$4-$E$4),0),IF($AB95="ALTH",ROUND($AE95+$AF95*Y$4,0),IF($AB95="IR",ROUND(Proyeccion_Localidades!AV99,0),IF($AB95="RT",ROUND(Proyeccion_Localidades!BS99,0),"*****"))))</f>
        <v>10512</v>
      </c>
      <c r="Z95" s="66">
        <f>IF($AB95="TGD",ROUND($E95*(1+$AD95)^(Z$4-$E$4),0),IF($AB95="ALTH",ROUND($AE95+$AF95*Z$4,0),IF($AB95="IR",ROUND(Proyeccion_Localidades!AW99,0),IF($AB95="RT",ROUND(Proyeccion_Localidades!BT99,0),"*****"))))</f>
        <v>10557</v>
      </c>
      <c r="AA95" s="66">
        <f>IF($AB95="TGD",ROUND($E95*(1+$AD95)^(AA$4-$E$4),0),IF($AB95="ALTH",ROUND($AE95+$AF95*AA$4,0),IF($AB95="IR",ROUND(Proyeccion_Localidades!AX99,0),IF($AB95="RT",ROUND(Proyeccion_Localidades!BU99,0),"*****"))))</f>
        <v>10602</v>
      </c>
      <c r="AB95" s="67" t="str">
        <f>Proyeccion_Localidades!N99</f>
        <v>ALTH</v>
      </c>
      <c r="AC95" s="68" t="s">
        <v>36</v>
      </c>
      <c r="AD95" s="51" t="str">
        <f>IF(AB95="TGD",Proyeccion_Localidades!Z99,"-")</f>
        <v>-</v>
      </c>
      <c r="AE95" s="51">
        <f>IF($AB95="ALTH",Proyeccion_Localidades!AA99,"-")</f>
        <v>-82007.47970479705</v>
      </c>
      <c r="AF95" s="51">
        <f>IF($AB95="ALTH",Proyeccion_Localidades!AB99,"-")</f>
        <v>45.285977859778598</v>
      </c>
      <c r="AG95" s="51"/>
      <c r="AH95" s="51"/>
      <c r="AI95" s="66">
        <f t="shared" si="5"/>
        <v>9606</v>
      </c>
    </row>
    <row r="96" spans="1:35" ht="24.95" customHeight="1">
      <c r="A96" s="84" t="str">
        <f>+Proyeccion_Localidades!C100</f>
        <v>Mar Chiquita</v>
      </c>
      <c r="B96" s="70">
        <f t="shared" si="4"/>
        <v>92</v>
      </c>
      <c r="C96" s="88" t="str">
        <f>+Proyeccion_Localidades!B100</f>
        <v>Coronel Vidal</v>
      </c>
      <c r="D96" s="261">
        <f t="shared" si="6"/>
        <v>92</v>
      </c>
      <c r="E96" s="72">
        <f>+Proyeccion_Localidades!F100</f>
        <v>6611</v>
      </c>
      <c r="F96" s="66">
        <f>IF($AB96="TGD",ROUND($E96*(1+$AD96)^(F$4-$E$4),0),IF($AB96="ALTH",ROUND($AE96+$AF96*F$4,0),IF($AB96="IR",ROUND(Proyeccion_Localidades!AC100,0),IF($AB96="RT",ROUND(Proyeccion_Localidades!AZ100,0),"*****"))))</f>
        <v>7333</v>
      </c>
      <c r="G96" s="66">
        <f>IF($AB96="TGD",ROUND($E96*(1+$AD96)^(G$4-$E$4),0),IF($AB96="ALTH",ROUND($AE96+$AF96*G$4,0),IF($AB96="IR",ROUND(Proyeccion_Localidades!AD100,0),IF($AB96="RT",ROUND(Proyeccion_Localidades!BA100,0),"*****"))))</f>
        <v>7427</v>
      </c>
      <c r="H96" s="66">
        <f>IF($AB96="TGD",ROUND($E96*(1+$AD96)^(H$4-$E$4),0),IF($AB96="ALTH",ROUND($AE96+$AF96*H$4,0),IF($AB96="IR",ROUND(Proyeccion_Localidades!AE100,0),IF($AB96="RT",ROUND(Proyeccion_Localidades!BB100,0),"*****"))))</f>
        <v>7707</v>
      </c>
      <c r="I96" s="66">
        <f>IF($AB96="TGD",ROUND($E96*(1+$AD96)^(I$4-$E$4),0),IF($AB96="ALTH",ROUND($AE96+$AF96*I$4,0),IF($AB96="IR",ROUND(Proyeccion_Localidades!AF100,0),IF($AB96="RT",ROUND(Proyeccion_Localidades!BC100,0),"*****"))))</f>
        <v>7801</v>
      </c>
      <c r="J96" s="66">
        <f>IF($AB96="TGD",ROUND($E96*(1+$AD96)^(J$4-$E$4),0),IF($AB96="ALTH",ROUND($AE96+$AF96*J$4,0),IF($AB96="IR",ROUND(Proyeccion_Localidades!AG100,0),IF($AB96="RT",ROUND(Proyeccion_Localidades!BD100,0),"*****"))))</f>
        <v>7894</v>
      </c>
      <c r="K96" s="66">
        <f>IF($AB96="TGD",ROUND($E96*(1+$AD96)^(K$4-$E$4),0),IF($AB96="ALTH",ROUND($AE96+$AF96*K$4,0),IF($AB96="IR",ROUND(Proyeccion_Localidades!AH100,0),IF($AB96="RT",ROUND(Proyeccion_Localidades!BE100,0),"*****"))))</f>
        <v>7988</v>
      </c>
      <c r="L96" s="66">
        <f>IF($AB96="TGD",ROUND($E96*(1+$AD96)^(L$4-$E$4),0),IF($AB96="ALTH",ROUND($AE96+$AF96*L$4,0),IF($AB96="IR",ROUND(Proyeccion_Localidades!AI100,0),IF($AB96="RT",ROUND(Proyeccion_Localidades!BF100,0),"*****"))))</f>
        <v>8081</v>
      </c>
      <c r="M96" s="66">
        <f>IF($AB96="TGD",ROUND($E96*(1+$AD96)^(M$4-$E$4),0),IF($AB96="ALTH",ROUND($AE96+$AF96*M$4,0),IF($AB96="IR",ROUND(Proyeccion_Localidades!AJ100,0),IF($AB96="RT",ROUND(Proyeccion_Localidades!BG100,0),"*****"))))</f>
        <v>8204</v>
      </c>
      <c r="N96" s="66">
        <f>IF($AB96="TGD",ROUND($E96*(1+$AD96)^(N$4-$E$4),0),IF($AB96="ALTH",ROUND($AE96+$AF96*N$4,0),IF($AB96="IR",ROUND(Proyeccion_Localidades!AK100,0),IF($AB96="RT",ROUND(Proyeccion_Localidades!BH100,0),"*****"))))</f>
        <v>8327</v>
      </c>
      <c r="O96" s="66">
        <f>IF($AB96="TGD",ROUND($E96*(1+$AD96)^(O$4-$E$4),0),IF($AB96="ALTH",ROUND($AE96+$AF96*O$4,0),IF($AB96="IR",ROUND(Proyeccion_Localidades!AL100,0),IF($AB96="RT",ROUND(Proyeccion_Localidades!BI100,0),"*****"))))</f>
        <v>8450</v>
      </c>
      <c r="P96" s="66">
        <f>IF($AB96="TGD",ROUND($E96*(1+$AD96)^(P$4-$E$4),0),IF($AB96="ALTH",ROUND($AE96+$AF96*P$4,0),IF($AB96="IR",ROUND(Proyeccion_Localidades!AM100,0),IF($AB96="RT",ROUND(Proyeccion_Localidades!BJ100,0),"*****"))))</f>
        <v>8573</v>
      </c>
      <c r="Q96" s="66">
        <f>IF($AB96="TGD",ROUND($E96*(1+$AD96)^(Q$4-$E$4),0),IF($AB96="ALTH",ROUND($AE96+$AF96*Q$4,0),IF($AB96="IR",ROUND(Proyeccion_Localidades!AN100,0),IF($AB96="RT",ROUND(Proyeccion_Localidades!BK100,0),"*****"))))</f>
        <v>8695</v>
      </c>
      <c r="R96" s="66">
        <f>IF($AB96="TGD",ROUND($E96*(1+$AD96)^(R$4-$E$4),0),IF($AB96="ALTH",ROUND($AE96+$AF96*R$4,0),IF($AB96="IR",ROUND(Proyeccion_Localidades!AO100,0),IF($AB96="RT",ROUND(Proyeccion_Localidades!BL100,0),"*****"))))</f>
        <v>8818</v>
      </c>
      <c r="S96" s="66">
        <f>IF($AB96="TGD",ROUND($E96*(1+$AD96)^(S$4-$E$4),0),IF($AB96="ALTH",ROUND($AE96+$AF96*S$4,0),IF($AB96="IR",ROUND(Proyeccion_Localidades!AP100,0),IF($AB96="RT",ROUND(Proyeccion_Localidades!BM100,0),"*****"))))</f>
        <v>8941</v>
      </c>
      <c r="T96" s="66">
        <f>IF($AB96="TGD",ROUND($E96*(1+$AD96)^(T$4-$E$4),0),IF($AB96="ALTH",ROUND($AE96+$AF96*T$4,0),IF($AB96="IR",ROUND(Proyeccion_Localidades!AQ100,0),IF($AB96="RT",ROUND(Proyeccion_Localidades!BN100,0),"*****"))))</f>
        <v>9064</v>
      </c>
      <c r="U96" s="66">
        <f>IF($AB96="TGD",ROUND($E96*(1+$AD96)^(U$4-$E$4),0),IF($AB96="ALTH",ROUND($AE96+$AF96*U$4,0),IF($AB96="IR",ROUND(Proyeccion_Localidades!AR100,0),IF($AB96="RT",ROUND(Proyeccion_Localidades!BO100,0),"*****"))))</f>
        <v>9187</v>
      </c>
      <c r="V96" s="66">
        <f>IF($AB96="TGD",ROUND($E96*(1+$AD96)^(V$4-$E$4),0),IF($AB96="ALTH",ROUND($AE96+$AF96*V$4,0),IF($AB96="IR",ROUND(Proyeccion_Localidades!AS100,0),IF($AB96="RT",ROUND(Proyeccion_Localidades!BP100,0),"*****"))))</f>
        <v>9309</v>
      </c>
      <c r="W96" s="66">
        <f>IF($AB96="TGD",ROUND($E96*(1+$AD96)^(W$4-$E$4),0),IF($AB96="ALTH",ROUND($AE96+$AF96*W$4,0),IF($AB96="IR",ROUND(Proyeccion_Localidades!AT100,0),IF($AB96="RT",ROUND(Proyeccion_Localidades!BQ100,0),"*****"))))</f>
        <v>9432</v>
      </c>
      <c r="X96" s="66">
        <f>IF($AB96="TGD",ROUND($E96*(1+$AD96)^(X$4-$E$4),0),IF($AB96="ALTH",ROUND($AE96+$AF96*X$4,0),IF($AB96="IR",ROUND(Proyeccion_Localidades!AU100,0),IF($AB96="RT",ROUND(Proyeccion_Localidades!BR100,0),"*****"))))</f>
        <v>9555</v>
      </c>
      <c r="Y96" s="66">
        <f>IF($AB96="TGD",ROUND($E96*(1+$AD96)^(Y$4-$E$4),0),IF($AB96="ALTH",ROUND($AE96+$AF96*Y$4,0),IF($AB96="IR",ROUND(Proyeccion_Localidades!AV100,0),IF($AB96="RT",ROUND(Proyeccion_Localidades!BS100,0),"*****"))))</f>
        <v>9678</v>
      </c>
      <c r="Z96" s="66">
        <f>IF($AB96="TGD",ROUND($E96*(1+$AD96)^(Z$4-$E$4),0),IF($AB96="ALTH",ROUND($AE96+$AF96*Z$4,0),IF($AB96="IR",ROUND(Proyeccion_Localidades!AW100,0),IF($AB96="RT",ROUND(Proyeccion_Localidades!BT100,0),"*****"))))</f>
        <v>9801</v>
      </c>
      <c r="AA96" s="66">
        <f>IF($AB96="TGD",ROUND($E96*(1+$AD96)^(AA$4-$E$4),0),IF($AB96="ALTH",ROUND($AE96+$AF96*AA$4,0),IF($AB96="IR",ROUND(Proyeccion_Localidades!AX100,0),IF($AB96="RT",ROUND(Proyeccion_Localidades!BU100,0),"*****"))))</f>
        <v>9923</v>
      </c>
      <c r="AB96" s="67" t="str">
        <f>Proyeccion_Localidades!N100</f>
        <v>RT</v>
      </c>
      <c r="AC96" s="73"/>
      <c r="AD96" s="51" t="str">
        <f>IF(AB96="TGD",Proyeccion_Localidades!Z100,"-")</f>
        <v>-</v>
      </c>
      <c r="AE96" s="51" t="str">
        <f>IF($AB96="ALTH",Proyeccion_Localidades!AA100,"-")</f>
        <v>-</v>
      </c>
      <c r="AF96" s="51" t="str">
        <f>IF($AB96="ALTH",Proyeccion_Localidades!AB100,"-")</f>
        <v>-</v>
      </c>
      <c r="AG96" s="51"/>
      <c r="AH96" s="51"/>
      <c r="AI96" s="66">
        <f t="shared" si="5"/>
        <v>7427</v>
      </c>
    </row>
    <row r="97" spans="1:35" ht="24.95" customHeight="1">
      <c r="A97" s="84" t="str">
        <f>+Proyeccion_Localidades!C101</f>
        <v>Marcos Paz</v>
      </c>
      <c r="B97" s="70">
        <f t="shared" si="4"/>
        <v>93</v>
      </c>
      <c r="C97" s="88" t="str">
        <f>+Proyeccion_Localidades!B101</f>
        <v>Marcos Paz</v>
      </c>
      <c r="D97" s="261">
        <f t="shared" si="6"/>
        <v>93</v>
      </c>
      <c r="E97" s="72">
        <f>+Proyeccion_Localidades!F101</f>
        <v>50460</v>
      </c>
      <c r="F97" s="66">
        <f>IF($AB97="TGD",ROUND($E97*(1+$AD97)^(F$4-$E$4),0),IF($AB97="ALTH",ROUND($AE97+$AF97*F$4,0),IF($AB97="IR",ROUND(Proyeccion_Localidades!AC101,0),IF($AB97="RT",ROUND(Proyeccion_Localidades!AZ101,0),"*****"))))</f>
        <v>66702</v>
      </c>
      <c r="G97" s="66">
        <f>IF($AB97="TGD",ROUND($E97*(1+$AD97)^(G$4-$E$4),0),IF($AB97="ALTH",ROUND($AE97+$AF97*G$4,0),IF($AB97="IR",ROUND(Proyeccion_Localidades!AD101,0),IF($AB97="RT",ROUND(Proyeccion_Localidades!BA101,0),"*****"))))</f>
        <v>68035</v>
      </c>
      <c r="H97" s="66">
        <f>IF($AB97="TGD",ROUND($E97*(1+$AD97)^(H$4-$E$4),0),IF($AB97="ALTH",ROUND($AE97+$AF97*H$4,0),IF($AB97="IR",ROUND(Proyeccion_Localidades!AE101,0),IF($AB97="RT",ROUND(Proyeccion_Localidades!BB101,0),"*****"))))</f>
        <v>72036</v>
      </c>
      <c r="I97" s="66">
        <f>IF($AB97="TGD",ROUND($E97*(1+$AD97)^(I$4-$E$4),0),IF($AB97="ALTH",ROUND($AE97+$AF97*I$4,0),IF($AB97="IR",ROUND(Proyeccion_Localidades!AF101,0),IF($AB97="RT",ROUND(Proyeccion_Localidades!BC101,0),"*****"))))</f>
        <v>73370</v>
      </c>
      <c r="J97" s="66">
        <f>IF($AB97="TGD",ROUND($E97*(1+$AD97)^(J$4-$E$4),0),IF($AB97="ALTH",ROUND($AE97+$AF97*J$4,0),IF($AB97="IR",ROUND(Proyeccion_Localidades!AG101,0),IF($AB97="RT",ROUND(Proyeccion_Localidades!BD101,0),"*****"))))</f>
        <v>74703</v>
      </c>
      <c r="K97" s="66">
        <f>IF($AB97="TGD",ROUND($E97*(1+$AD97)^(K$4-$E$4),0),IF($AB97="ALTH",ROUND($AE97+$AF97*K$4,0),IF($AB97="IR",ROUND(Proyeccion_Localidades!AH101,0),IF($AB97="RT",ROUND(Proyeccion_Localidades!BE101,0),"*****"))))</f>
        <v>76037</v>
      </c>
      <c r="L97" s="66">
        <f>IF($AB97="TGD",ROUND($E97*(1+$AD97)^(L$4-$E$4),0),IF($AB97="ALTH",ROUND($AE97+$AF97*L$4,0),IF($AB97="IR",ROUND(Proyeccion_Localidades!AI101,0),IF($AB97="RT",ROUND(Proyeccion_Localidades!BF101,0),"*****"))))</f>
        <v>77370</v>
      </c>
      <c r="M97" s="66">
        <f>IF($AB97="TGD",ROUND($E97*(1+$AD97)^(M$4-$E$4),0),IF($AB97="ALTH",ROUND($AE97+$AF97*M$4,0),IF($AB97="IR",ROUND(Proyeccion_Localidades!AJ101,0),IF($AB97="RT",ROUND(Proyeccion_Localidades!BG101,0),"*****"))))</f>
        <v>78704</v>
      </c>
      <c r="N97" s="66">
        <f>IF($AB97="TGD",ROUND($E97*(1+$AD97)^(N$4-$E$4),0),IF($AB97="ALTH",ROUND($AE97+$AF97*N$4,0),IF($AB97="IR",ROUND(Proyeccion_Localidades!AK101,0),IF($AB97="RT",ROUND(Proyeccion_Localidades!BH101,0),"*****"))))</f>
        <v>80038</v>
      </c>
      <c r="O97" s="66">
        <f>IF($AB97="TGD",ROUND($E97*(1+$AD97)^(O$4-$E$4),0),IF($AB97="ALTH",ROUND($AE97+$AF97*O$4,0),IF($AB97="IR",ROUND(Proyeccion_Localidades!AL101,0),IF($AB97="RT",ROUND(Proyeccion_Localidades!BI101,0),"*****"))))</f>
        <v>81371</v>
      </c>
      <c r="P97" s="66">
        <f>IF($AB97="TGD",ROUND($E97*(1+$AD97)^(P$4-$E$4),0),IF($AB97="ALTH",ROUND($AE97+$AF97*P$4,0),IF($AB97="IR",ROUND(Proyeccion_Localidades!AM101,0),IF($AB97="RT",ROUND(Proyeccion_Localidades!BJ101,0),"*****"))))</f>
        <v>82705</v>
      </c>
      <c r="Q97" s="66">
        <f>IF($AB97="TGD",ROUND($E97*(1+$AD97)^(Q$4-$E$4),0),IF($AB97="ALTH",ROUND($AE97+$AF97*Q$4,0),IF($AB97="IR",ROUND(Proyeccion_Localidades!AN101,0),IF($AB97="RT",ROUND(Proyeccion_Localidades!BK101,0),"*****"))))</f>
        <v>84038</v>
      </c>
      <c r="R97" s="66">
        <f>IF($AB97="TGD",ROUND($E97*(1+$AD97)^(R$4-$E$4),0),IF($AB97="ALTH",ROUND($AE97+$AF97*R$4,0),IF($AB97="IR",ROUND(Proyeccion_Localidades!AO101,0),IF($AB97="RT",ROUND(Proyeccion_Localidades!BL101,0),"*****"))))</f>
        <v>85372</v>
      </c>
      <c r="S97" s="66">
        <f>IF($AB97="TGD",ROUND($E97*(1+$AD97)^(S$4-$E$4),0),IF($AB97="ALTH",ROUND($AE97+$AF97*S$4,0),IF($AB97="IR",ROUND(Proyeccion_Localidades!AP101,0),IF($AB97="RT",ROUND(Proyeccion_Localidades!BM101,0),"*****"))))</f>
        <v>86706</v>
      </c>
      <c r="T97" s="66">
        <f>IF($AB97="TGD",ROUND($E97*(1+$AD97)^(T$4-$E$4),0),IF($AB97="ALTH",ROUND($AE97+$AF97*T$4,0),IF($AB97="IR",ROUND(Proyeccion_Localidades!AQ101,0),IF($AB97="RT",ROUND(Proyeccion_Localidades!BN101,0),"*****"))))</f>
        <v>88039</v>
      </c>
      <c r="U97" s="66">
        <f>IF($AB97="TGD",ROUND($E97*(1+$AD97)^(U$4-$E$4),0),IF($AB97="ALTH",ROUND($AE97+$AF97*U$4,0),IF($AB97="IR",ROUND(Proyeccion_Localidades!AR101,0),IF($AB97="RT",ROUND(Proyeccion_Localidades!BO101,0),"*****"))))</f>
        <v>89373</v>
      </c>
      <c r="V97" s="66">
        <f>IF($AB97="TGD",ROUND($E97*(1+$AD97)^(V$4-$E$4),0),IF($AB97="ALTH",ROUND($AE97+$AF97*V$4,0),IF($AB97="IR",ROUND(Proyeccion_Localidades!AS101,0),IF($AB97="RT",ROUND(Proyeccion_Localidades!BP101,0),"*****"))))</f>
        <v>90706</v>
      </c>
      <c r="W97" s="66">
        <f>IF($AB97="TGD",ROUND($E97*(1+$AD97)^(W$4-$E$4),0),IF($AB97="ALTH",ROUND($AE97+$AF97*W$4,0),IF($AB97="IR",ROUND(Proyeccion_Localidades!AT101,0),IF($AB97="RT",ROUND(Proyeccion_Localidades!BQ101,0),"*****"))))</f>
        <v>92040</v>
      </c>
      <c r="X97" s="66">
        <f>IF($AB97="TGD",ROUND($E97*(1+$AD97)^(X$4-$E$4),0),IF($AB97="ALTH",ROUND($AE97+$AF97*X$4,0),IF($AB97="IR",ROUND(Proyeccion_Localidades!AU101,0),IF($AB97="RT",ROUND(Proyeccion_Localidades!BR101,0),"*****"))))</f>
        <v>93373</v>
      </c>
      <c r="Y97" s="66">
        <f>IF($AB97="TGD",ROUND($E97*(1+$AD97)^(Y$4-$E$4),0),IF($AB97="ALTH",ROUND($AE97+$AF97*Y$4,0),IF($AB97="IR",ROUND(Proyeccion_Localidades!AV101,0),IF($AB97="RT",ROUND(Proyeccion_Localidades!BS101,0),"*****"))))</f>
        <v>94707</v>
      </c>
      <c r="Z97" s="66">
        <f>IF($AB97="TGD",ROUND($E97*(1+$AD97)^(Z$4-$E$4),0),IF($AB97="ALTH",ROUND($AE97+$AF97*Z$4,0),IF($AB97="IR",ROUND(Proyeccion_Localidades!AW101,0),IF($AB97="RT",ROUND(Proyeccion_Localidades!BT101,0),"*****"))))</f>
        <v>96041</v>
      </c>
      <c r="AA97" s="66">
        <f>IF($AB97="TGD",ROUND($E97*(1+$AD97)^(AA$4-$E$4),0),IF($AB97="ALTH",ROUND($AE97+$AF97*AA$4,0),IF($AB97="IR",ROUND(Proyeccion_Localidades!AX101,0),IF($AB97="RT",ROUND(Proyeccion_Localidades!BU101,0),"*****"))))</f>
        <v>97374</v>
      </c>
      <c r="AB97" s="67" t="str">
        <f>Proyeccion_Localidades!N101</f>
        <v>ALTH</v>
      </c>
      <c r="AC97" s="68" t="s">
        <v>36</v>
      </c>
      <c r="AD97" s="51" t="str">
        <f>IF(AB97="TGD",Proyeccion_Localidades!Z101,"-")</f>
        <v>-</v>
      </c>
      <c r="AE97" s="51">
        <f>IF($AB97="ALTH",Proyeccion_Localidades!AA101,"-")</f>
        <v>-2629784.3173431731</v>
      </c>
      <c r="AF97" s="51">
        <f>IF($AB97="ALTH",Proyeccion_Localidades!AB101,"-")</f>
        <v>1333.5738007380073</v>
      </c>
      <c r="AG97" s="51"/>
      <c r="AH97" s="51"/>
      <c r="AI97" s="66">
        <f t="shared" si="5"/>
        <v>68035</v>
      </c>
    </row>
    <row r="98" spans="1:35" ht="24.95" customHeight="1">
      <c r="A98" s="84" t="str">
        <f>+Proyeccion_Localidades!C102</f>
        <v>Mercedes</v>
      </c>
      <c r="B98" s="70">
        <f t="shared" si="4"/>
        <v>94</v>
      </c>
      <c r="C98" s="88" t="str">
        <f>+Proyeccion_Localidades!B102</f>
        <v>Mercedes</v>
      </c>
      <c r="D98" s="261">
        <f t="shared" si="6"/>
        <v>94</v>
      </c>
      <c r="E98" s="72">
        <f>+Proyeccion_Localidades!F102</f>
        <v>56116</v>
      </c>
      <c r="F98" s="66">
        <f>IF($AB98="TGD",ROUND($E98*(1+$AD98)^(F$4-$E$4),0),IF($AB98="ALTH",ROUND($AE98+$AF98*F$4,0),IF($AB98="IR",ROUND(Proyeccion_Localidades!AC102,0),IF($AB98="RT",ROUND(Proyeccion_Localidades!AZ102,0),"*****"))))</f>
        <v>62104</v>
      </c>
      <c r="G98" s="66">
        <f>IF($AB98="TGD",ROUND($E98*(1+$AD98)^(G$4-$E$4),0),IF($AB98="ALTH",ROUND($AE98+$AF98*G$4,0),IF($AB98="IR",ROUND(Proyeccion_Localidades!AD102,0),IF($AB98="RT",ROUND(Proyeccion_Localidades!BA102,0),"*****"))))</f>
        <v>62631</v>
      </c>
      <c r="H98" s="66">
        <f>IF($AB98="TGD",ROUND($E98*(1+$AD98)^(H$4-$E$4),0),IF($AB98="ALTH",ROUND($AE98+$AF98*H$4,0),IF($AB98="IR",ROUND(Proyeccion_Localidades!AE102,0),IF($AB98="RT",ROUND(Proyeccion_Localidades!BB102,0),"*****"))))</f>
        <v>64239</v>
      </c>
      <c r="I98" s="66">
        <f>IF($AB98="TGD",ROUND($E98*(1+$AD98)^(I$4-$E$4),0),IF($AB98="ALTH",ROUND($AE98+$AF98*I$4,0),IF($AB98="IR",ROUND(Proyeccion_Localidades!AF102,0),IF($AB98="RT",ROUND(Proyeccion_Localidades!BC102,0),"*****"))))</f>
        <v>64784</v>
      </c>
      <c r="J98" s="66">
        <f>IF($AB98="TGD",ROUND($E98*(1+$AD98)^(J$4-$E$4),0),IF($AB98="ALTH",ROUND($AE98+$AF98*J$4,0),IF($AB98="IR",ROUND(Proyeccion_Localidades!AG102,0),IF($AB98="RT",ROUND(Proyeccion_Localidades!BD102,0),"*****"))))</f>
        <v>65334</v>
      </c>
      <c r="K98" s="66">
        <f>IF($AB98="TGD",ROUND($E98*(1+$AD98)^(K$4-$E$4),0),IF($AB98="ALTH",ROUND($AE98+$AF98*K$4,0),IF($AB98="IR",ROUND(Proyeccion_Localidades!AH102,0),IF($AB98="RT",ROUND(Proyeccion_Localidades!BE102,0),"*****"))))</f>
        <v>65889</v>
      </c>
      <c r="L98" s="66">
        <f>IF($AB98="TGD",ROUND($E98*(1+$AD98)^(L$4-$E$4),0),IF($AB98="ALTH",ROUND($AE98+$AF98*L$4,0),IF($AB98="IR",ROUND(Proyeccion_Localidades!AI102,0),IF($AB98="RT",ROUND(Proyeccion_Localidades!BF102,0),"*****"))))</f>
        <v>66448</v>
      </c>
      <c r="M98" s="66">
        <f>IF($AB98="TGD",ROUND($E98*(1+$AD98)^(M$4-$E$4),0),IF($AB98="ALTH",ROUND($AE98+$AF98*M$4,0),IF($AB98="IR",ROUND(Proyeccion_Localidades!AJ102,0),IF($AB98="RT",ROUND(Proyeccion_Localidades!BG102,0),"*****"))))</f>
        <v>67011</v>
      </c>
      <c r="N98" s="66">
        <f>IF($AB98="TGD",ROUND($E98*(1+$AD98)^(N$4-$E$4),0),IF($AB98="ALTH",ROUND($AE98+$AF98*N$4,0),IF($AB98="IR",ROUND(Proyeccion_Localidades!AK102,0),IF($AB98="RT",ROUND(Proyeccion_Localidades!BH102,0),"*****"))))</f>
        <v>67580</v>
      </c>
      <c r="O98" s="66">
        <f>IF($AB98="TGD",ROUND($E98*(1+$AD98)^(O$4-$E$4),0),IF($AB98="ALTH",ROUND($AE98+$AF98*O$4,0),IF($AB98="IR",ROUND(Proyeccion_Localidades!AL102,0),IF($AB98="RT",ROUND(Proyeccion_Localidades!BI102,0),"*****"))))</f>
        <v>68154</v>
      </c>
      <c r="P98" s="66">
        <f>IF($AB98="TGD",ROUND($E98*(1+$AD98)^(P$4-$E$4),0),IF($AB98="ALTH",ROUND($AE98+$AF98*P$4,0),IF($AB98="IR",ROUND(Proyeccion_Localidades!AM102,0),IF($AB98="RT",ROUND(Proyeccion_Localidades!BJ102,0),"*****"))))</f>
        <v>68732</v>
      </c>
      <c r="Q98" s="66">
        <f>IF($AB98="TGD",ROUND($E98*(1+$AD98)^(Q$4-$E$4),0),IF($AB98="ALTH",ROUND($AE98+$AF98*Q$4,0),IF($AB98="IR",ROUND(Proyeccion_Localidades!AN102,0),IF($AB98="RT",ROUND(Proyeccion_Localidades!BK102,0),"*****"))))</f>
        <v>69315</v>
      </c>
      <c r="R98" s="66">
        <f>IF($AB98="TGD",ROUND($E98*(1+$AD98)^(R$4-$E$4),0),IF($AB98="ALTH",ROUND($AE98+$AF98*R$4,0),IF($AB98="IR",ROUND(Proyeccion_Localidades!AO102,0),IF($AB98="RT",ROUND(Proyeccion_Localidades!BL102,0),"*****"))))</f>
        <v>69903</v>
      </c>
      <c r="S98" s="66">
        <f>IF($AB98="TGD",ROUND($E98*(1+$AD98)^(S$4-$E$4),0),IF($AB98="ALTH",ROUND($AE98+$AF98*S$4,0),IF($AB98="IR",ROUND(Proyeccion_Localidades!AP102,0),IF($AB98="RT",ROUND(Proyeccion_Localidades!BM102,0),"*****"))))</f>
        <v>70496</v>
      </c>
      <c r="T98" s="66">
        <f>IF($AB98="TGD",ROUND($E98*(1+$AD98)^(T$4-$E$4),0),IF($AB98="ALTH",ROUND($AE98+$AF98*T$4,0),IF($AB98="IR",ROUND(Proyeccion_Localidades!AQ102,0),IF($AB98="RT",ROUND(Proyeccion_Localidades!BN102,0),"*****"))))</f>
        <v>71095</v>
      </c>
      <c r="U98" s="66">
        <f>IF($AB98="TGD",ROUND($E98*(1+$AD98)^(U$4-$E$4),0),IF($AB98="ALTH",ROUND($AE98+$AF98*U$4,0),IF($AB98="IR",ROUND(Proyeccion_Localidades!AR102,0),IF($AB98="RT",ROUND(Proyeccion_Localidades!BO102,0),"*****"))))</f>
        <v>71698</v>
      </c>
      <c r="V98" s="66">
        <f>IF($AB98="TGD",ROUND($E98*(1+$AD98)^(V$4-$E$4),0),IF($AB98="ALTH",ROUND($AE98+$AF98*V$4,0),IF($AB98="IR",ROUND(Proyeccion_Localidades!AS102,0),IF($AB98="RT",ROUND(Proyeccion_Localidades!BP102,0),"*****"))))</f>
        <v>72306</v>
      </c>
      <c r="W98" s="66">
        <f>IF($AB98="TGD",ROUND($E98*(1+$AD98)^(W$4-$E$4),0),IF($AB98="ALTH",ROUND($AE98+$AF98*W$4,0),IF($AB98="IR",ROUND(Proyeccion_Localidades!AT102,0),IF($AB98="RT",ROUND(Proyeccion_Localidades!BQ102,0),"*****"))))</f>
        <v>72920</v>
      </c>
      <c r="X98" s="66">
        <f>IF($AB98="TGD",ROUND($E98*(1+$AD98)^(X$4-$E$4),0),IF($AB98="ALTH",ROUND($AE98+$AF98*X$4,0),IF($AB98="IR",ROUND(Proyeccion_Localidades!AU102,0),IF($AB98="RT",ROUND(Proyeccion_Localidades!BR102,0),"*****"))))</f>
        <v>73539</v>
      </c>
      <c r="Y98" s="66">
        <f>IF($AB98="TGD",ROUND($E98*(1+$AD98)^(Y$4-$E$4),0),IF($AB98="ALTH",ROUND($AE98+$AF98*Y$4,0),IF($AB98="IR",ROUND(Proyeccion_Localidades!AV102,0),IF($AB98="RT",ROUND(Proyeccion_Localidades!BS102,0),"*****"))))</f>
        <v>74163</v>
      </c>
      <c r="Z98" s="66">
        <f>IF($AB98="TGD",ROUND($E98*(1+$AD98)^(Z$4-$E$4),0),IF($AB98="ALTH",ROUND($AE98+$AF98*Z$4,0),IF($AB98="IR",ROUND(Proyeccion_Localidades!AW102,0),IF($AB98="RT",ROUND(Proyeccion_Localidades!BT102,0),"*****"))))</f>
        <v>74792</v>
      </c>
      <c r="AA98" s="66">
        <f>IF($AB98="TGD",ROUND($E98*(1+$AD98)^(AA$4-$E$4),0),IF($AB98="ALTH",ROUND($AE98+$AF98*AA$4,0),IF($AB98="IR",ROUND(Proyeccion_Localidades!AX102,0),IF($AB98="RT",ROUND(Proyeccion_Localidades!BU102,0),"*****"))))</f>
        <v>75426</v>
      </c>
      <c r="AB98" s="67" t="str">
        <f>Proyeccion_Localidades!N102</f>
        <v>TGD</v>
      </c>
      <c r="AC98" s="68" t="s">
        <v>35</v>
      </c>
      <c r="AD98" s="51">
        <f>IF(AB98="TGD",Proyeccion_Localidades!Z102,"-")</f>
        <v>8.485441394877058E-3</v>
      </c>
      <c r="AE98" s="51" t="str">
        <f>IF($AB98="ALTH",Proyeccion_Localidades!AA102,"-")</f>
        <v>-</v>
      </c>
      <c r="AF98" s="51" t="str">
        <f>IF($AB98="ALTH",Proyeccion_Localidades!AB102,"-")</f>
        <v>-</v>
      </c>
      <c r="AG98" s="51"/>
      <c r="AH98" s="51"/>
      <c r="AI98" s="66">
        <f t="shared" si="5"/>
        <v>62631</v>
      </c>
    </row>
    <row r="99" spans="1:35" ht="24.95" customHeight="1">
      <c r="A99" s="84" t="str">
        <f>+Proyeccion_Localidades!C103</f>
        <v>Monte</v>
      </c>
      <c r="B99" s="70">
        <f t="shared" si="4"/>
        <v>95</v>
      </c>
      <c r="C99" s="88" t="str">
        <f>+Proyeccion_Localidades!B103</f>
        <v>San Miguel del Monte</v>
      </c>
      <c r="D99" s="261">
        <f t="shared" si="6"/>
        <v>95</v>
      </c>
      <c r="E99" s="72">
        <f>+Proyeccion_Localidades!F103</f>
        <v>17005</v>
      </c>
      <c r="F99" s="66">
        <f>IF($AB99="TGD",ROUND($E99*(1+$AD99)^(F$4-$E$4),0),IF($AB99="ALTH",ROUND($AE99+$AF99*F$4,0),IF($AB99="IR",ROUND(Proyeccion_Localidades!AC103,0),IF($AB99="RT",ROUND(Proyeccion_Localidades!AZ103,0),"*****"))))</f>
        <v>20688</v>
      </c>
      <c r="G99" s="66">
        <f>IF($AB99="TGD",ROUND($E99*(1+$AD99)^(G$4-$E$4),0),IF($AB99="ALTH",ROUND($AE99+$AF99*G$4,0),IF($AB99="IR",ROUND(Proyeccion_Localidades!AD103,0),IF($AB99="RT",ROUND(Proyeccion_Localidades!BA103,0),"*****"))))</f>
        <v>21015</v>
      </c>
      <c r="H99" s="66">
        <f>IF($AB99="TGD",ROUND($E99*(1+$AD99)^(H$4-$E$4),0),IF($AB99="ALTH",ROUND($AE99+$AF99*H$4,0),IF($AB99="IR",ROUND(Proyeccion_Localidades!AE103,0),IF($AB99="RT",ROUND(Proyeccion_Localidades!BB103,0),"*****"))))</f>
        <v>21995</v>
      </c>
      <c r="I99" s="66">
        <f>IF($AB99="TGD",ROUND($E99*(1+$AD99)^(I$4-$E$4),0),IF($AB99="ALTH",ROUND($AE99+$AF99*I$4,0),IF($AB99="IR",ROUND(Proyeccion_Localidades!AF103,0),IF($AB99="RT",ROUND(Proyeccion_Localidades!BC103,0),"*****"))))</f>
        <v>22321</v>
      </c>
      <c r="J99" s="66">
        <f>IF($AB99="TGD",ROUND($E99*(1+$AD99)^(J$4-$E$4),0),IF($AB99="ALTH",ROUND($AE99+$AF99*J$4,0),IF($AB99="IR",ROUND(Proyeccion_Localidades!AG103,0),IF($AB99="RT",ROUND(Proyeccion_Localidades!BD103,0),"*****"))))</f>
        <v>22648</v>
      </c>
      <c r="K99" s="66">
        <f>IF($AB99="TGD",ROUND($E99*(1+$AD99)^(K$4-$E$4),0),IF($AB99="ALTH",ROUND($AE99+$AF99*K$4,0),IF($AB99="IR",ROUND(Proyeccion_Localidades!AH103,0),IF($AB99="RT",ROUND(Proyeccion_Localidades!BE103,0),"*****"))))</f>
        <v>22974</v>
      </c>
      <c r="L99" s="66">
        <f>IF($AB99="TGD",ROUND($E99*(1+$AD99)^(L$4-$E$4),0),IF($AB99="ALTH",ROUND($AE99+$AF99*L$4,0),IF($AB99="IR",ROUND(Proyeccion_Localidades!AI103,0),IF($AB99="RT",ROUND(Proyeccion_Localidades!BF103,0),"*****"))))</f>
        <v>23301</v>
      </c>
      <c r="M99" s="66">
        <f>IF($AB99="TGD",ROUND($E99*(1+$AD99)^(M$4-$E$4),0),IF($AB99="ALTH",ROUND($AE99+$AF99*M$4,0),IF($AB99="IR",ROUND(Proyeccion_Localidades!AJ103,0),IF($AB99="RT",ROUND(Proyeccion_Localidades!BG103,0),"*****"))))</f>
        <v>23627</v>
      </c>
      <c r="N99" s="66">
        <f>IF($AB99="TGD",ROUND($E99*(1+$AD99)^(N$4-$E$4),0),IF($AB99="ALTH",ROUND($AE99+$AF99*N$4,0),IF($AB99="IR",ROUND(Proyeccion_Localidades!AK103,0),IF($AB99="RT",ROUND(Proyeccion_Localidades!BH103,0),"*****"))))</f>
        <v>23954</v>
      </c>
      <c r="O99" s="66">
        <f>IF($AB99="TGD",ROUND($E99*(1+$AD99)^(O$4-$E$4),0),IF($AB99="ALTH",ROUND($AE99+$AF99*O$4,0),IF($AB99="IR",ROUND(Proyeccion_Localidades!AL103,0),IF($AB99="RT",ROUND(Proyeccion_Localidades!BI103,0),"*****"))))</f>
        <v>24281</v>
      </c>
      <c r="P99" s="66">
        <f>IF($AB99="TGD",ROUND($E99*(1+$AD99)^(P$4-$E$4),0),IF($AB99="ALTH",ROUND($AE99+$AF99*P$4,0),IF($AB99="IR",ROUND(Proyeccion_Localidades!AM103,0),IF($AB99="RT",ROUND(Proyeccion_Localidades!BJ103,0),"*****"))))</f>
        <v>24607</v>
      </c>
      <c r="Q99" s="66">
        <f>IF($AB99="TGD",ROUND($E99*(1+$AD99)^(Q$4-$E$4),0),IF($AB99="ALTH",ROUND($AE99+$AF99*Q$4,0),IF($AB99="IR",ROUND(Proyeccion_Localidades!AN103,0),IF($AB99="RT",ROUND(Proyeccion_Localidades!BK103,0),"*****"))))</f>
        <v>24934</v>
      </c>
      <c r="R99" s="66">
        <f>IF($AB99="TGD",ROUND($E99*(1+$AD99)^(R$4-$E$4),0),IF($AB99="ALTH",ROUND($AE99+$AF99*R$4,0),IF($AB99="IR",ROUND(Proyeccion_Localidades!AO103,0),IF($AB99="RT",ROUND(Proyeccion_Localidades!BL103,0),"*****"))))</f>
        <v>25260</v>
      </c>
      <c r="S99" s="66">
        <f>IF($AB99="TGD",ROUND($E99*(1+$AD99)^(S$4-$E$4),0),IF($AB99="ALTH",ROUND($AE99+$AF99*S$4,0),IF($AB99="IR",ROUND(Proyeccion_Localidades!AP103,0),IF($AB99="RT",ROUND(Proyeccion_Localidades!BM103,0),"*****"))))</f>
        <v>25587</v>
      </c>
      <c r="T99" s="66">
        <f>IF($AB99="TGD",ROUND($E99*(1+$AD99)^(T$4-$E$4),0),IF($AB99="ALTH",ROUND($AE99+$AF99*T$4,0),IF($AB99="IR",ROUND(Proyeccion_Localidades!AQ103,0),IF($AB99="RT",ROUND(Proyeccion_Localidades!BN103,0),"*****"))))</f>
        <v>25913</v>
      </c>
      <c r="U99" s="66">
        <f>IF($AB99="TGD",ROUND($E99*(1+$AD99)^(U$4-$E$4),0),IF($AB99="ALTH",ROUND($AE99+$AF99*U$4,0),IF($AB99="IR",ROUND(Proyeccion_Localidades!AR103,0),IF($AB99="RT",ROUND(Proyeccion_Localidades!BO103,0),"*****"))))</f>
        <v>26240</v>
      </c>
      <c r="V99" s="66">
        <f>IF($AB99="TGD",ROUND($E99*(1+$AD99)^(V$4-$E$4),0),IF($AB99="ALTH",ROUND($AE99+$AF99*V$4,0),IF($AB99="IR",ROUND(Proyeccion_Localidades!AS103,0),IF($AB99="RT",ROUND(Proyeccion_Localidades!BP103,0),"*****"))))</f>
        <v>26566</v>
      </c>
      <c r="W99" s="66">
        <f>IF($AB99="TGD",ROUND($E99*(1+$AD99)^(W$4-$E$4),0),IF($AB99="ALTH",ROUND($AE99+$AF99*W$4,0),IF($AB99="IR",ROUND(Proyeccion_Localidades!AT103,0),IF($AB99="RT",ROUND(Proyeccion_Localidades!BQ103,0),"*****"))))</f>
        <v>26893</v>
      </c>
      <c r="X99" s="66">
        <f>IF($AB99="TGD",ROUND($E99*(1+$AD99)^(X$4-$E$4),0),IF($AB99="ALTH",ROUND($AE99+$AF99*X$4,0),IF($AB99="IR",ROUND(Proyeccion_Localidades!AU103,0),IF($AB99="RT",ROUND(Proyeccion_Localidades!BR103,0),"*****"))))</f>
        <v>27219</v>
      </c>
      <c r="Y99" s="66">
        <f>IF($AB99="TGD",ROUND($E99*(1+$AD99)^(Y$4-$E$4),0),IF($AB99="ALTH",ROUND($AE99+$AF99*Y$4,0),IF($AB99="IR",ROUND(Proyeccion_Localidades!AV103,0),IF($AB99="RT",ROUND(Proyeccion_Localidades!BS103,0),"*****"))))</f>
        <v>27546</v>
      </c>
      <c r="Z99" s="66">
        <f>IF($AB99="TGD",ROUND($E99*(1+$AD99)^(Z$4-$E$4),0),IF($AB99="ALTH",ROUND($AE99+$AF99*Z$4,0),IF($AB99="IR",ROUND(Proyeccion_Localidades!AW103,0),IF($AB99="RT",ROUND(Proyeccion_Localidades!BT103,0),"*****"))))</f>
        <v>27873</v>
      </c>
      <c r="AA99" s="66">
        <f>IF($AB99="TGD",ROUND($E99*(1+$AD99)^(AA$4-$E$4),0),IF($AB99="ALTH",ROUND($AE99+$AF99*AA$4,0),IF($AB99="IR",ROUND(Proyeccion_Localidades!AX103,0),IF($AB99="RT",ROUND(Proyeccion_Localidades!BU103,0),"*****"))))</f>
        <v>28199</v>
      </c>
      <c r="AB99" s="67" t="str">
        <f>Proyeccion_Localidades!N103</f>
        <v>ALTH</v>
      </c>
      <c r="AC99" s="68" t="s">
        <v>36</v>
      </c>
      <c r="AD99" s="51" t="str">
        <f>IF(AB99="TGD",Proyeccion_Localidades!Z103,"-")</f>
        <v>-</v>
      </c>
      <c r="AE99" s="51">
        <f>IF($AB99="ALTH",Proyeccion_Localidades!AA103,"-")</f>
        <v>-639599.02214022144</v>
      </c>
      <c r="AF99" s="51">
        <f>IF($AB99="ALTH",Proyeccion_Localidades!AB103,"-")</f>
        <v>326.55166051660518</v>
      </c>
      <c r="AG99" s="51"/>
      <c r="AH99" s="51"/>
      <c r="AI99" s="66">
        <f t="shared" si="5"/>
        <v>21015</v>
      </c>
    </row>
    <row r="100" spans="1:35" ht="24.95" customHeight="1">
      <c r="A100" s="84" t="str">
        <f>+Proyeccion_Localidades!C104</f>
        <v>Monte Hermoso</v>
      </c>
      <c r="B100" s="70">
        <f t="shared" si="4"/>
        <v>96</v>
      </c>
      <c r="C100" s="88" t="str">
        <f>+Proyeccion_Localidades!B104</f>
        <v>Monte Hermoso</v>
      </c>
      <c r="D100" s="261">
        <f t="shared" si="6"/>
        <v>96</v>
      </c>
      <c r="E100" s="72">
        <f>+Verif!E104+ROUND(Verif!E105*122/365,0)</f>
        <v>14524</v>
      </c>
      <c r="F100" s="72">
        <f>+Verif!F104+ROUND(Verif!F105*122/365,0)</f>
        <v>19401</v>
      </c>
      <c r="G100" s="72">
        <f>+Verif!G104+ROUND(Verif!G105*122/365,0)</f>
        <v>19852</v>
      </c>
      <c r="H100" s="72">
        <f>+Verif!H104+ROUND(Verif!H105*122/365,0)</f>
        <v>21249</v>
      </c>
      <c r="I100" s="72">
        <f>+Verif!I104+ROUND(Verif!I105*122/365,0)</f>
        <v>21731</v>
      </c>
      <c r="J100" s="72">
        <f>+Verif!J104+ROUND(Verif!J105*122/365,0)</f>
        <v>22220</v>
      </c>
      <c r="K100" s="72">
        <f>+Verif!K104+ROUND(Verif!K105*122/365,0)</f>
        <v>22716</v>
      </c>
      <c r="L100" s="72">
        <f>+Verif!L104+ROUND(Verif!L105*122/365,0)</f>
        <v>23221</v>
      </c>
      <c r="M100" s="72">
        <f>+Verif!M104+ROUND(Verif!M105*122/365,0)</f>
        <v>23734</v>
      </c>
      <c r="N100" s="72">
        <f>+Verif!N104+ROUND(Verif!N105*122/365,0)</f>
        <v>24256</v>
      </c>
      <c r="O100" s="72">
        <f>+Verif!O104+ROUND(Verif!O105*122/365,0)</f>
        <v>24786</v>
      </c>
      <c r="P100" s="72">
        <f>+Verif!P104+ROUND(Verif!P105*122/365,0)</f>
        <v>25325</v>
      </c>
      <c r="Q100" s="72">
        <f>+Verif!Q104+ROUND(Verif!Q105*122/365,0)</f>
        <v>25872</v>
      </c>
      <c r="R100" s="72">
        <f>+Verif!R104+ROUND(Verif!R105*122/365,0)</f>
        <v>26428</v>
      </c>
      <c r="S100" s="72">
        <f>+Verif!S104+ROUND(Verif!S105*122/365,0)</f>
        <v>26995</v>
      </c>
      <c r="T100" s="72">
        <f>+Verif!T104+ROUND(Verif!T105*122/365,0)</f>
        <v>27569</v>
      </c>
      <c r="U100" s="72">
        <f>+Verif!U104+ROUND(Verif!U105*122/365,0)</f>
        <v>28153</v>
      </c>
      <c r="V100" s="72">
        <f>+Verif!V104+ROUND(Verif!V105*122/365,0)</f>
        <v>28747</v>
      </c>
      <c r="W100" s="72">
        <f>+Verif!W104+ROUND(Verif!W105*122/365,0)</f>
        <v>29350</v>
      </c>
      <c r="X100" s="72">
        <f>+Verif!X104+ROUND(Verif!X105*122/365,0)</f>
        <v>29963</v>
      </c>
      <c r="Y100" s="72">
        <f>+Verif!Y104+ROUND(Verif!Y105*122/365,0)</f>
        <v>30586</v>
      </c>
      <c r="Z100" s="72">
        <f>+Verif!Z104+ROUND(Verif!Z105*122/365,0)</f>
        <v>31219</v>
      </c>
      <c r="AA100" s="72">
        <f>+Verif!AA104+ROUND(Verif!AA105*122/365,0)</f>
        <v>31863</v>
      </c>
      <c r="AB100" s="67" t="str">
        <f>Proyeccion_Localidades!N104</f>
        <v>IR</v>
      </c>
      <c r="AC100" s="73"/>
      <c r="AD100" s="51" t="str">
        <f>IF(AB100="TGD",Proyeccion_Localidades!Z104,"-")</f>
        <v>-</v>
      </c>
      <c r="AE100" s="51" t="str">
        <f>IF($AB100="ALTH",Proyeccion_Localidades!AA104,"-")</f>
        <v>-</v>
      </c>
      <c r="AF100" s="51" t="str">
        <f>IF($AB100="ALTH",Proyeccion_Localidades!AB104,"-")</f>
        <v>-</v>
      </c>
      <c r="AG100" s="51"/>
      <c r="AH100" s="51"/>
      <c r="AI100" s="66">
        <f t="shared" si="5"/>
        <v>19852</v>
      </c>
    </row>
    <row r="101" spans="1:35" ht="24.95" customHeight="1">
      <c r="A101" s="84" t="str">
        <f>+Proyeccion_Localidades!C106</f>
        <v>Navarro</v>
      </c>
      <c r="B101" s="70">
        <f>+B100+1</f>
        <v>97</v>
      </c>
      <c r="C101" s="88" t="str">
        <f>+Proyeccion_Localidades!B106</f>
        <v>Navarro</v>
      </c>
      <c r="D101" s="261">
        <f t="shared" si="6"/>
        <v>97</v>
      </c>
      <c r="E101" s="72">
        <f>+Proyeccion_Localidades!F106</f>
        <v>13224</v>
      </c>
      <c r="F101" s="66">
        <f>IF($AB101="TGD",ROUND($E101*(1+$AD101)^(F$4-$E$4),0),IF($AB101="ALTH",ROUND($AE101+$AF101*F$4,0),IF($AB101="IR",ROUND(Proyeccion_Localidades!AC106,0),IF($AB101="RT",ROUND(Proyeccion_Localidades!AZ106,0),"*****"))))</f>
        <v>15817</v>
      </c>
      <c r="G101" s="66">
        <f>IF($AB101="TGD",ROUND($E101*(1+$AD101)^(G$4-$E$4),0),IF($AB101="ALTH",ROUND($AE101+$AF101*G$4,0),IF($AB101="IR",ROUND(Proyeccion_Localidades!AD106,0),IF($AB101="RT",ROUND(Proyeccion_Localidades!BA106,0),"*****"))))</f>
        <v>16055</v>
      </c>
      <c r="H101" s="66">
        <f>IF($AB101="TGD",ROUND($E101*(1+$AD101)^(H$4-$E$4),0),IF($AB101="ALTH",ROUND($AE101+$AF101*H$4,0),IF($AB101="IR",ROUND(Proyeccion_Localidades!AE106,0),IF($AB101="RT",ROUND(Proyeccion_Localidades!BB106,0),"*****"))))</f>
        <v>16790</v>
      </c>
      <c r="I101" s="66">
        <f>IF($AB101="TGD",ROUND($E101*(1+$AD101)^(I$4-$E$4),0),IF($AB101="ALTH",ROUND($AE101+$AF101*I$4,0),IF($AB101="IR",ROUND(Proyeccion_Localidades!AF106,0),IF($AB101="RT",ROUND(Proyeccion_Localidades!BC106,0),"*****"))))</f>
        <v>17043</v>
      </c>
      <c r="J101" s="66">
        <f>IF($AB101="TGD",ROUND($E101*(1+$AD101)^(J$4-$E$4),0),IF($AB101="ALTH",ROUND($AE101+$AF101*J$4,0),IF($AB101="IR",ROUND(Proyeccion_Localidades!AG106,0),IF($AB101="RT",ROUND(Proyeccion_Localidades!BD106,0),"*****"))))</f>
        <v>17299</v>
      </c>
      <c r="K101" s="66">
        <f>IF($AB101="TGD",ROUND($E101*(1+$AD101)^(K$4-$E$4),0),IF($AB101="ALTH",ROUND($AE101+$AF101*K$4,0),IF($AB101="IR",ROUND(Proyeccion_Localidades!AH106,0),IF($AB101="RT",ROUND(Proyeccion_Localidades!BE106,0),"*****"))))</f>
        <v>17559</v>
      </c>
      <c r="L101" s="66">
        <f>IF($AB101="TGD",ROUND($E101*(1+$AD101)^(L$4-$E$4),0),IF($AB101="ALTH",ROUND($AE101+$AF101*L$4,0),IF($AB101="IR",ROUND(Proyeccion_Localidades!AI106,0),IF($AB101="RT",ROUND(Proyeccion_Localidades!BF106,0),"*****"))))</f>
        <v>17823</v>
      </c>
      <c r="M101" s="66">
        <f>IF($AB101="TGD",ROUND($E101*(1+$AD101)^(M$4-$E$4),0),IF($AB101="ALTH",ROUND($AE101+$AF101*M$4,0),IF($AB101="IR",ROUND(Proyeccion_Localidades!AJ106,0),IF($AB101="RT",ROUND(Proyeccion_Localidades!BG106,0),"*****"))))</f>
        <v>18091</v>
      </c>
      <c r="N101" s="66">
        <f>IF($AB101="TGD",ROUND($E101*(1+$AD101)^(N$4-$E$4),0),IF($AB101="ALTH",ROUND($AE101+$AF101*N$4,0),IF($AB101="IR",ROUND(Proyeccion_Localidades!AK106,0),IF($AB101="RT",ROUND(Proyeccion_Localidades!BH106,0),"*****"))))</f>
        <v>18363</v>
      </c>
      <c r="O101" s="66">
        <f>IF($AB101="TGD",ROUND($E101*(1+$AD101)^(O$4-$E$4),0),IF($AB101="ALTH",ROUND($AE101+$AF101*O$4,0),IF($AB101="IR",ROUND(Proyeccion_Localidades!AL106,0),IF($AB101="RT",ROUND(Proyeccion_Localidades!BI106,0),"*****"))))</f>
        <v>18639</v>
      </c>
      <c r="P101" s="66">
        <f>IF($AB101="TGD",ROUND($E101*(1+$AD101)^(P$4-$E$4),0),IF($AB101="ALTH",ROUND($AE101+$AF101*P$4,0),IF($AB101="IR",ROUND(Proyeccion_Localidades!AM106,0),IF($AB101="RT",ROUND(Proyeccion_Localidades!BJ106,0),"*****"))))</f>
        <v>18919</v>
      </c>
      <c r="Q101" s="66">
        <f>IF($AB101="TGD",ROUND($E101*(1+$AD101)^(Q$4-$E$4),0),IF($AB101="ALTH",ROUND($AE101+$AF101*Q$4,0),IF($AB101="IR",ROUND(Proyeccion_Localidades!AN106,0),IF($AB101="RT",ROUND(Proyeccion_Localidades!BK106,0),"*****"))))</f>
        <v>19204</v>
      </c>
      <c r="R101" s="66">
        <f>IF($AB101="TGD",ROUND($E101*(1+$AD101)^(R$4-$E$4),0),IF($AB101="ALTH",ROUND($AE101+$AF101*R$4,0),IF($AB101="IR",ROUND(Proyeccion_Localidades!AO106,0),IF($AB101="RT",ROUND(Proyeccion_Localidades!BL106,0),"*****"))))</f>
        <v>19493</v>
      </c>
      <c r="S101" s="66">
        <f>IF($AB101="TGD",ROUND($E101*(1+$AD101)^(S$4-$E$4),0),IF($AB101="ALTH",ROUND($AE101+$AF101*S$4,0),IF($AB101="IR",ROUND(Proyeccion_Localidades!AP106,0),IF($AB101="RT",ROUND(Proyeccion_Localidades!BM106,0),"*****"))))</f>
        <v>19786</v>
      </c>
      <c r="T101" s="66">
        <f>IF($AB101="TGD",ROUND($E101*(1+$AD101)^(T$4-$E$4),0),IF($AB101="ALTH",ROUND($AE101+$AF101*T$4,0),IF($AB101="IR",ROUND(Proyeccion_Localidades!AQ106,0),IF($AB101="RT",ROUND(Proyeccion_Localidades!BN106,0),"*****"))))</f>
        <v>20083</v>
      </c>
      <c r="U101" s="66">
        <f>IF($AB101="TGD",ROUND($E101*(1+$AD101)^(U$4-$E$4),0),IF($AB101="ALTH",ROUND($AE101+$AF101*U$4,0),IF($AB101="IR",ROUND(Proyeccion_Localidades!AR106,0),IF($AB101="RT",ROUND(Proyeccion_Localidades!BO106,0),"*****"))))</f>
        <v>20385</v>
      </c>
      <c r="V101" s="66">
        <f>IF($AB101="TGD",ROUND($E101*(1+$AD101)^(V$4-$E$4),0),IF($AB101="ALTH",ROUND($AE101+$AF101*V$4,0),IF($AB101="IR",ROUND(Proyeccion_Localidades!AS106,0),IF($AB101="RT",ROUND(Proyeccion_Localidades!BP106,0),"*****"))))</f>
        <v>20692</v>
      </c>
      <c r="W101" s="66">
        <f>IF($AB101="TGD",ROUND($E101*(1+$AD101)^(W$4-$E$4),0),IF($AB101="ALTH",ROUND($AE101+$AF101*W$4,0),IF($AB101="IR",ROUND(Proyeccion_Localidades!AT106,0),IF($AB101="RT",ROUND(Proyeccion_Localidades!BQ106,0),"*****"))))</f>
        <v>21003</v>
      </c>
      <c r="X101" s="66">
        <f>IF($AB101="TGD",ROUND($E101*(1+$AD101)^(X$4-$E$4),0),IF($AB101="ALTH",ROUND($AE101+$AF101*X$4,0),IF($AB101="IR",ROUND(Proyeccion_Localidades!AU106,0),IF($AB101="RT",ROUND(Proyeccion_Localidades!BR106,0),"*****"))))</f>
        <v>21319</v>
      </c>
      <c r="Y101" s="66">
        <f>IF($AB101="TGD",ROUND($E101*(1+$AD101)^(Y$4-$E$4),0),IF($AB101="ALTH",ROUND($AE101+$AF101*Y$4,0),IF($AB101="IR",ROUND(Proyeccion_Localidades!AV106,0),IF($AB101="RT",ROUND(Proyeccion_Localidades!BS106,0),"*****"))))</f>
        <v>21639</v>
      </c>
      <c r="Z101" s="66">
        <f>IF($AB101="TGD",ROUND($E101*(1+$AD101)^(Z$4-$E$4),0),IF($AB101="ALTH",ROUND($AE101+$AF101*Z$4,0),IF($AB101="IR",ROUND(Proyeccion_Localidades!AW106,0),IF($AB101="RT",ROUND(Proyeccion_Localidades!BT106,0),"*****"))))</f>
        <v>21964</v>
      </c>
      <c r="AA101" s="66">
        <f>IF($AB101="TGD",ROUND($E101*(1+$AD101)^(AA$4-$E$4),0),IF($AB101="ALTH",ROUND($AE101+$AF101*AA$4,0),IF($AB101="IR",ROUND(Proyeccion_Localidades!AX106,0),IF($AB101="RT",ROUND(Proyeccion_Localidades!BU106,0),"*****"))))</f>
        <v>22295</v>
      </c>
      <c r="AB101" s="67" t="str">
        <f>Proyeccion_Localidades!N106</f>
        <v>TGD</v>
      </c>
      <c r="AC101" s="68" t="s">
        <v>35</v>
      </c>
      <c r="AD101" s="51">
        <f>IF(AB101="TGD",Proyeccion_Localidades!Z106,"-")</f>
        <v>1.503518608274601E-2</v>
      </c>
      <c r="AE101" s="51" t="str">
        <f>IF($AB101="ALTH",Proyeccion_Localidades!AA106,"-")</f>
        <v>-</v>
      </c>
      <c r="AF101" s="51" t="str">
        <f>IF($AB101="ALTH",Proyeccion_Localidades!AB106,"-")</f>
        <v>-</v>
      </c>
      <c r="AG101" s="51"/>
      <c r="AH101" s="51"/>
      <c r="AI101" s="66">
        <f t="shared" si="5"/>
        <v>16055</v>
      </c>
    </row>
    <row r="102" spans="1:35" ht="24.95" customHeight="1">
      <c r="A102" s="84" t="str">
        <f>+Proyeccion_Localidades!C107</f>
        <v>Necochea</v>
      </c>
      <c r="B102" s="70">
        <f t="shared" si="4"/>
        <v>98</v>
      </c>
      <c r="C102" s="88" t="str">
        <f>+Proyeccion_Localidades!B107</f>
        <v>Necochea - Quequén</v>
      </c>
      <c r="D102" s="261">
        <f t="shared" si="6"/>
        <v>98</v>
      </c>
      <c r="E102" s="72">
        <f>+Verif!E107+ROUND(Verif!E108*122/365,0)</f>
        <v>92500</v>
      </c>
      <c r="F102" s="72">
        <f>+Verif!F107+ROUND(Verif!F108*122/365,0)</f>
        <v>104176</v>
      </c>
      <c r="G102" s="72">
        <f>+Verif!G107+ROUND(Verif!G108*122/365,0)</f>
        <v>105255</v>
      </c>
      <c r="H102" s="72">
        <f>+Verif!H107+ROUND(Verif!H108*122/365,0)</f>
        <v>108599</v>
      </c>
      <c r="I102" s="72">
        <f>+Verif!I107+ROUND(Verif!I108*122/365,0)</f>
        <v>109750</v>
      </c>
      <c r="J102" s="72">
        <f>+Verif!J107+ROUND(Verif!J108*122/365,0)</f>
        <v>110921</v>
      </c>
      <c r="K102" s="72">
        <f>+Verif!K107+ROUND(Verif!K108*122/365,0)</f>
        <v>112110</v>
      </c>
      <c r="L102" s="72">
        <f>+Verif!L107+ROUND(Verif!L108*122/365,0)</f>
        <v>113319</v>
      </c>
      <c r="M102" s="72">
        <f>+Verif!M107+ROUND(Verif!M108*122/365,0)</f>
        <v>114548</v>
      </c>
      <c r="N102" s="72">
        <f>+Verif!N107+ROUND(Verif!N108*122/365,0)</f>
        <v>115796</v>
      </c>
      <c r="O102" s="72">
        <f>+Verif!O107+ROUND(Verif!O108*122/365,0)</f>
        <v>117065</v>
      </c>
      <c r="P102" s="72">
        <f>+Verif!P107+ROUND(Verif!P108*122/365,0)</f>
        <v>118355</v>
      </c>
      <c r="Q102" s="72">
        <f>+Verif!Q107+ROUND(Verif!Q108*122/365,0)</f>
        <v>119665</v>
      </c>
      <c r="R102" s="72">
        <f>+Verif!R107+ROUND(Verif!R108*122/365,0)</f>
        <v>120996</v>
      </c>
      <c r="S102" s="72">
        <f>+Verif!S107+ROUND(Verif!S108*122/365,0)</f>
        <v>122350</v>
      </c>
      <c r="T102" s="72">
        <f>+Verif!T107+ROUND(Verif!T108*122/365,0)</f>
        <v>123726</v>
      </c>
      <c r="U102" s="72">
        <f>+Verif!U107+ROUND(Verif!U108*122/365,0)</f>
        <v>125123</v>
      </c>
      <c r="V102" s="72">
        <f>+Verif!V107+ROUND(Verif!V108*122/365,0)</f>
        <v>126545</v>
      </c>
      <c r="W102" s="72">
        <f>+Verif!W107+ROUND(Verif!W108*122/365,0)</f>
        <v>127988</v>
      </c>
      <c r="X102" s="72">
        <f>+Verif!X107+ROUND(Verif!X108*122/365,0)</f>
        <v>129457</v>
      </c>
      <c r="Y102" s="72">
        <f>+Verif!Y107+ROUND(Verif!Y108*122/365,0)</f>
        <v>130948</v>
      </c>
      <c r="Z102" s="72">
        <f>+Verif!Z107+ROUND(Verif!Z108*122/365,0)</f>
        <v>132463</v>
      </c>
      <c r="AA102" s="72">
        <f>+Verif!AA107+ROUND(Verif!AA108*122/365,0)</f>
        <v>134004</v>
      </c>
      <c r="AB102" s="67" t="str">
        <f>Proyeccion_Localidades!N107</f>
        <v>IR</v>
      </c>
      <c r="AC102" s="73"/>
      <c r="AD102" s="51" t="str">
        <f>IF(AB102="TGD",Proyeccion_Localidades!Z107,"-")</f>
        <v>-</v>
      </c>
      <c r="AE102" s="51" t="str">
        <f>IF($AB102="ALTH",Proyeccion_Localidades!AA107,"-")</f>
        <v>-</v>
      </c>
      <c r="AF102" s="51" t="str">
        <f>IF($AB102="ALTH",Proyeccion_Localidades!AB107,"-")</f>
        <v>-</v>
      </c>
      <c r="AG102" s="51"/>
      <c r="AH102" s="51"/>
      <c r="AI102" s="66">
        <f t="shared" si="5"/>
        <v>105255</v>
      </c>
    </row>
    <row r="103" spans="1:35" ht="24.95" customHeight="1">
      <c r="A103" s="84" t="str">
        <f>+Proyeccion_Localidades!C109</f>
        <v>Olavarría</v>
      </c>
      <c r="B103" s="70">
        <f>+B102+1</f>
        <v>99</v>
      </c>
      <c r="C103" s="88" t="str">
        <f>+Proyeccion_Localidades!B109</f>
        <v>Olavarría</v>
      </c>
      <c r="D103" s="261">
        <f t="shared" si="6"/>
        <v>99</v>
      </c>
      <c r="E103" s="72">
        <f>+Proyeccion_Localidades!F109</f>
        <v>89721</v>
      </c>
      <c r="F103" s="66">
        <f>IF($AB103="TGD",ROUND($E103*(1+$AD103)^(F$4-$E$4),0),IF($AB103="ALTH",ROUND($AE103+$AF103*F$4,0),IF($AB103="IR",ROUND(Proyeccion_Localidades!AC109,0),IF($AB103="RT",ROUND(Proyeccion_Localidades!AZ109,0),"*****"))))</f>
        <v>98369</v>
      </c>
      <c r="G103" s="66">
        <f>IF($AB103="TGD",ROUND($E103*(1+$AD103)^(G$4-$E$4),0),IF($AB103="ALTH",ROUND($AE103+$AF103*G$4,0),IF($AB103="IR",ROUND(Proyeccion_Localidades!AD109,0),IF($AB103="RT",ROUND(Proyeccion_Localidades!BA109,0),"*****"))))</f>
        <v>99126</v>
      </c>
      <c r="H103" s="66">
        <f>IF($AB103="TGD",ROUND($E103*(1+$AD103)^(H$4-$E$4),0),IF($AB103="ALTH",ROUND($AE103+$AF103*H$4,0),IF($AB103="IR",ROUND(Proyeccion_Localidades!AE109,0),IF($AB103="RT",ROUND(Proyeccion_Localidades!BB109,0),"*****"))))</f>
        <v>101432</v>
      </c>
      <c r="I103" s="66">
        <f>IF($AB103="TGD",ROUND($E103*(1+$AD103)^(I$4-$E$4),0),IF($AB103="ALTH",ROUND($AE103+$AF103*I$4,0),IF($AB103="IR",ROUND(Proyeccion_Localidades!AF109,0),IF($AB103="RT",ROUND(Proyeccion_Localidades!BC109,0),"*****"))))</f>
        <v>102213</v>
      </c>
      <c r="J103" s="66">
        <f>IF($AB103="TGD",ROUND($E103*(1+$AD103)^(J$4-$E$4),0),IF($AB103="ALTH",ROUND($AE103+$AF103*J$4,0),IF($AB103="IR",ROUND(Proyeccion_Localidades!AG109,0),IF($AB103="RT",ROUND(Proyeccion_Localidades!BD109,0),"*****"))))</f>
        <v>103000</v>
      </c>
      <c r="K103" s="66">
        <f>IF($AB103="TGD",ROUND($E103*(1+$AD103)^(K$4-$E$4),0),IF($AB103="ALTH",ROUND($AE103+$AF103*K$4,0),IF($AB103="IR",ROUND(Proyeccion_Localidades!AH109,0),IF($AB103="RT",ROUND(Proyeccion_Localidades!BE109,0),"*****"))))</f>
        <v>103793</v>
      </c>
      <c r="L103" s="66">
        <f>IF($AB103="TGD",ROUND($E103*(1+$AD103)^(L$4-$E$4),0),IF($AB103="ALTH",ROUND($AE103+$AF103*L$4,0),IF($AB103="IR",ROUND(Proyeccion_Localidades!AI109,0),IF($AB103="RT",ROUND(Proyeccion_Localidades!BF109,0),"*****"))))</f>
        <v>104592</v>
      </c>
      <c r="M103" s="66">
        <f>IF($AB103="TGD",ROUND($E103*(1+$AD103)^(M$4-$E$4),0),IF($AB103="ALTH",ROUND($AE103+$AF103*M$4,0),IF($AB103="IR",ROUND(Proyeccion_Localidades!AJ109,0),IF($AB103="RT",ROUND(Proyeccion_Localidades!BG109,0),"*****"))))</f>
        <v>105397</v>
      </c>
      <c r="N103" s="66">
        <f>IF($AB103="TGD",ROUND($E103*(1+$AD103)^(N$4-$E$4),0),IF($AB103="ALTH",ROUND($AE103+$AF103*N$4,0),IF($AB103="IR",ROUND(Proyeccion_Localidades!AK109,0),IF($AB103="RT",ROUND(Proyeccion_Localidades!BH109,0),"*****"))))</f>
        <v>106208</v>
      </c>
      <c r="O103" s="66">
        <f>IF($AB103="TGD",ROUND($E103*(1+$AD103)^(O$4-$E$4),0),IF($AB103="ALTH",ROUND($AE103+$AF103*O$4,0),IF($AB103="IR",ROUND(Proyeccion_Localidades!AL109,0),IF($AB103="RT",ROUND(Proyeccion_Localidades!BI109,0),"*****"))))</f>
        <v>107026</v>
      </c>
      <c r="P103" s="66">
        <f>IF($AB103="TGD",ROUND($E103*(1+$AD103)^(P$4-$E$4),0),IF($AB103="ALTH",ROUND($AE103+$AF103*P$4,0),IF($AB103="IR",ROUND(Proyeccion_Localidades!AM109,0),IF($AB103="RT",ROUND(Proyeccion_Localidades!BJ109,0),"*****"))))</f>
        <v>107850</v>
      </c>
      <c r="Q103" s="66">
        <f>IF($AB103="TGD",ROUND($E103*(1+$AD103)^(Q$4-$E$4),0),IF($AB103="ALTH",ROUND($AE103+$AF103*Q$4,0),IF($AB103="IR",ROUND(Proyeccion_Localidades!AN109,0),IF($AB103="RT",ROUND(Proyeccion_Localidades!BK109,0),"*****"))))</f>
        <v>108680</v>
      </c>
      <c r="R103" s="66">
        <f>IF($AB103="TGD",ROUND($E103*(1+$AD103)^(R$4-$E$4),0),IF($AB103="ALTH",ROUND($AE103+$AF103*R$4,0),IF($AB103="IR",ROUND(Proyeccion_Localidades!AO109,0),IF($AB103="RT",ROUND(Proyeccion_Localidades!BL109,0),"*****"))))</f>
        <v>109516</v>
      </c>
      <c r="S103" s="66">
        <f>IF($AB103="TGD",ROUND($E103*(1+$AD103)^(S$4-$E$4),0),IF($AB103="ALTH",ROUND($AE103+$AF103*S$4,0),IF($AB103="IR",ROUND(Proyeccion_Localidades!AP109,0),IF($AB103="RT",ROUND(Proyeccion_Localidades!BM109,0),"*****"))))</f>
        <v>110359</v>
      </c>
      <c r="T103" s="66">
        <f>IF($AB103="TGD",ROUND($E103*(1+$AD103)^(T$4-$E$4),0),IF($AB103="ALTH",ROUND($AE103+$AF103*T$4,0),IF($AB103="IR",ROUND(Proyeccion_Localidades!AQ109,0),IF($AB103="RT",ROUND(Proyeccion_Localidades!BN109,0),"*****"))))</f>
        <v>111209</v>
      </c>
      <c r="U103" s="66">
        <f>IF($AB103="TGD",ROUND($E103*(1+$AD103)^(U$4-$E$4),0),IF($AB103="ALTH",ROUND($AE103+$AF103*U$4,0),IF($AB103="IR",ROUND(Proyeccion_Localidades!AR109,0),IF($AB103="RT",ROUND(Proyeccion_Localidades!BO109,0),"*****"))))</f>
        <v>112065</v>
      </c>
      <c r="V103" s="66">
        <f>IF($AB103="TGD",ROUND($E103*(1+$AD103)^(V$4-$E$4),0),IF($AB103="ALTH",ROUND($AE103+$AF103*V$4,0),IF($AB103="IR",ROUND(Proyeccion_Localidades!AS109,0),IF($AB103="RT",ROUND(Proyeccion_Localidades!BP109,0),"*****"))))</f>
        <v>112927</v>
      </c>
      <c r="W103" s="66">
        <f>IF($AB103="TGD",ROUND($E103*(1+$AD103)^(W$4-$E$4),0),IF($AB103="ALTH",ROUND($AE103+$AF103*W$4,0),IF($AB103="IR",ROUND(Proyeccion_Localidades!AT109,0),IF($AB103="RT",ROUND(Proyeccion_Localidades!BQ109,0),"*****"))))</f>
        <v>113797</v>
      </c>
      <c r="X103" s="66">
        <f>IF($AB103="TGD",ROUND($E103*(1+$AD103)^(X$4-$E$4),0),IF($AB103="ALTH",ROUND($AE103+$AF103*X$4,0),IF($AB103="IR",ROUND(Proyeccion_Localidades!AU109,0),IF($AB103="RT",ROUND(Proyeccion_Localidades!BR109,0),"*****"))))</f>
        <v>114673</v>
      </c>
      <c r="Y103" s="66">
        <f>IF($AB103="TGD",ROUND($E103*(1+$AD103)^(Y$4-$E$4),0),IF($AB103="ALTH",ROUND($AE103+$AF103*Y$4,0),IF($AB103="IR",ROUND(Proyeccion_Localidades!AV109,0),IF($AB103="RT",ROUND(Proyeccion_Localidades!BS109,0),"*****"))))</f>
        <v>115555</v>
      </c>
      <c r="Z103" s="66">
        <f>IF($AB103="TGD",ROUND($E103*(1+$AD103)^(Z$4-$E$4),0),IF($AB103="ALTH",ROUND($AE103+$AF103*Z$4,0),IF($AB103="IR",ROUND(Proyeccion_Localidades!AW109,0),IF($AB103="RT",ROUND(Proyeccion_Localidades!BT109,0),"*****"))))</f>
        <v>116445</v>
      </c>
      <c r="AA103" s="66">
        <f>IF($AB103="TGD",ROUND($E103*(1+$AD103)^(AA$4-$E$4),0),IF($AB103="ALTH",ROUND($AE103+$AF103*AA$4,0),IF($AB103="IR",ROUND(Proyeccion_Localidades!AX109,0),IF($AB103="RT",ROUND(Proyeccion_Localidades!BU109,0),"*****"))))</f>
        <v>117341</v>
      </c>
      <c r="AB103" s="67" t="str">
        <f>Proyeccion_Localidades!N109</f>
        <v>TGD</v>
      </c>
      <c r="AC103" s="68" t="s">
        <v>35</v>
      </c>
      <c r="AD103" s="51">
        <f>IF(AB103="TGD",Proyeccion_Localidades!Z109,"-")</f>
        <v>7.6974719953393222E-3</v>
      </c>
      <c r="AE103" s="51" t="str">
        <f>IF($AB103="ALTH",Proyeccion_Localidades!AA109,"-")</f>
        <v>-</v>
      </c>
      <c r="AF103" s="51" t="str">
        <f>IF($AB103="ALTH",Proyeccion_Localidades!AB109,"-")</f>
        <v>-</v>
      </c>
      <c r="AG103" s="51"/>
      <c r="AH103" s="51"/>
      <c r="AI103" s="66">
        <f t="shared" si="5"/>
        <v>99126</v>
      </c>
    </row>
    <row r="104" spans="1:35" ht="24.95" customHeight="1">
      <c r="A104" s="84" t="str">
        <f>+Proyeccion_Localidades!C110</f>
        <v>Patagones</v>
      </c>
      <c r="B104" s="70">
        <f t="shared" si="4"/>
        <v>100</v>
      </c>
      <c r="C104" s="88" t="str">
        <f>+Proyeccion_Localidades!B110</f>
        <v>Carmen de Patagones</v>
      </c>
      <c r="D104" s="261">
        <f t="shared" si="6"/>
        <v>100</v>
      </c>
      <c r="E104" s="72">
        <f>+Proyeccion_Localidades!F110</f>
        <v>20533</v>
      </c>
      <c r="F104" s="66">
        <f>IF($AB104="TGD",ROUND($E104*(1+$AD104)^(F$4-$E$4),0),IF($AB104="ALTH",ROUND($AE104+$AF104*F$4,0),IF($AB104="IR",ROUND(Proyeccion_Localidades!AC110,0),IF($AB104="RT",ROUND(Proyeccion_Localidades!AZ110,0),"*****"))))</f>
        <v>25758</v>
      </c>
      <c r="G104" s="66">
        <f>IF($AB104="TGD",ROUND($E104*(1+$AD104)^(G$4-$E$4),0),IF($AB104="ALTH",ROUND($AE104+$AF104*G$4,0),IF($AB104="IR",ROUND(Proyeccion_Localidades!AD110,0),IF($AB104="RT",ROUND(Proyeccion_Localidades!BA110,0),"*****"))))</f>
        <v>26241</v>
      </c>
      <c r="H104" s="66">
        <f>IF($AB104="TGD",ROUND($E104*(1+$AD104)^(H$4-$E$4),0),IF($AB104="ALTH",ROUND($AE104+$AF104*H$4,0),IF($AB104="IR",ROUND(Proyeccion_Localidades!AE110,0),IF($AB104="RT",ROUND(Proyeccion_Localidades!BB110,0),"*****"))))</f>
        <v>27737</v>
      </c>
      <c r="I104" s="66">
        <f>IF($AB104="TGD",ROUND($E104*(1+$AD104)^(I$4-$E$4),0),IF($AB104="ALTH",ROUND($AE104+$AF104*I$4,0),IF($AB104="IR",ROUND(Proyeccion_Localidades!AF110,0),IF($AB104="RT",ROUND(Proyeccion_Localidades!BC110,0),"*****"))))</f>
        <v>28253</v>
      </c>
      <c r="J104" s="66">
        <f>IF($AB104="TGD",ROUND($E104*(1+$AD104)^(J$4-$E$4),0),IF($AB104="ALTH",ROUND($AE104+$AF104*J$4,0),IF($AB104="IR",ROUND(Proyeccion_Localidades!AG110,0),IF($AB104="RT",ROUND(Proyeccion_Localidades!BD110,0),"*****"))))</f>
        <v>28776</v>
      </c>
      <c r="K104" s="66">
        <f>IF($AB104="TGD",ROUND($E104*(1+$AD104)^(K$4-$E$4),0),IF($AB104="ALTH",ROUND($AE104+$AF104*K$4,0),IF($AB104="IR",ROUND(Proyeccion_Localidades!AH110,0),IF($AB104="RT",ROUND(Proyeccion_Localidades!BE110,0),"*****"))))</f>
        <v>29308</v>
      </c>
      <c r="L104" s="66">
        <f>IF($AB104="TGD",ROUND($E104*(1+$AD104)^(L$4-$E$4),0),IF($AB104="ALTH",ROUND($AE104+$AF104*L$4,0),IF($AB104="IR",ROUND(Proyeccion_Localidades!AI110,0),IF($AB104="RT",ROUND(Proyeccion_Localidades!BF110,0),"*****"))))</f>
        <v>29849</v>
      </c>
      <c r="M104" s="66">
        <f>IF($AB104="TGD",ROUND($E104*(1+$AD104)^(M$4-$E$4),0),IF($AB104="ALTH",ROUND($AE104+$AF104*M$4,0),IF($AB104="IR",ROUND(Proyeccion_Localidades!AJ110,0),IF($AB104="RT",ROUND(Proyeccion_Localidades!BG110,0),"*****"))))</f>
        <v>30399</v>
      </c>
      <c r="N104" s="66">
        <f>IF($AB104="TGD",ROUND($E104*(1+$AD104)^(N$4-$E$4),0),IF($AB104="ALTH",ROUND($AE104+$AF104*N$4,0),IF($AB104="IR",ROUND(Proyeccion_Localidades!AK110,0),IF($AB104="RT",ROUND(Proyeccion_Localidades!BH110,0),"*****"))))</f>
        <v>30958</v>
      </c>
      <c r="O104" s="66">
        <f>IF($AB104="TGD",ROUND($E104*(1+$AD104)^(O$4-$E$4),0),IF($AB104="ALTH",ROUND($AE104+$AF104*O$4,0),IF($AB104="IR",ROUND(Proyeccion_Localidades!AL110,0),IF($AB104="RT",ROUND(Proyeccion_Localidades!BI110,0),"*****"))))</f>
        <v>31525</v>
      </c>
      <c r="P104" s="66">
        <f>IF($AB104="TGD",ROUND($E104*(1+$AD104)^(P$4-$E$4),0),IF($AB104="ALTH",ROUND($AE104+$AF104*P$4,0),IF($AB104="IR",ROUND(Proyeccion_Localidades!AM110,0),IF($AB104="RT",ROUND(Proyeccion_Localidades!BJ110,0),"*****"))))</f>
        <v>32102</v>
      </c>
      <c r="Q104" s="66">
        <f>IF($AB104="TGD",ROUND($E104*(1+$AD104)^(Q$4-$E$4),0),IF($AB104="ALTH",ROUND($AE104+$AF104*Q$4,0),IF($AB104="IR",ROUND(Proyeccion_Localidades!AN110,0),IF($AB104="RT",ROUND(Proyeccion_Localidades!BK110,0),"*****"))))</f>
        <v>32689</v>
      </c>
      <c r="R104" s="66">
        <f>IF($AB104="TGD",ROUND($E104*(1+$AD104)^(R$4-$E$4),0),IF($AB104="ALTH",ROUND($AE104+$AF104*R$4,0),IF($AB104="IR",ROUND(Proyeccion_Localidades!AO110,0),IF($AB104="RT",ROUND(Proyeccion_Localidades!BL110,0),"*****"))))</f>
        <v>33285</v>
      </c>
      <c r="S104" s="66">
        <f>IF($AB104="TGD",ROUND($E104*(1+$AD104)^(S$4-$E$4),0),IF($AB104="ALTH",ROUND($AE104+$AF104*S$4,0),IF($AB104="IR",ROUND(Proyeccion_Localidades!AP110,0),IF($AB104="RT",ROUND(Proyeccion_Localidades!BM110,0),"*****"))))</f>
        <v>33891</v>
      </c>
      <c r="T104" s="66">
        <f>IF($AB104="TGD",ROUND($E104*(1+$AD104)^(T$4-$E$4),0),IF($AB104="ALTH",ROUND($AE104+$AF104*T$4,0),IF($AB104="IR",ROUND(Proyeccion_Localidades!AQ110,0),IF($AB104="RT",ROUND(Proyeccion_Localidades!BN110,0),"*****"))))</f>
        <v>34506</v>
      </c>
      <c r="U104" s="66">
        <f>IF($AB104="TGD",ROUND($E104*(1+$AD104)^(U$4-$E$4),0),IF($AB104="ALTH",ROUND($AE104+$AF104*U$4,0),IF($AB104="IR",ROUND(Proyeccion_Localidades!AR110,0),IF($AB104="RT",ROUND(Proyeccion_Localidades!BO110,0),"*****"))))</f>
        <v>35132</v>
      </c>
      <c r="V104" s="66">
        <f>IF($AB104="TGD",ROUND($E104*(1+$AD104)^(V$4-$E$4),0),IF($AB104="ALTH",ROUND($AE104+$AF104*V$4,0),IF($AB104="IR",ROUND(Proyeccion_Localidades!AS110,0),IF($AB104="RT",ROUND(Proyeccion_Localidades!BP110,0),"*****"))))</f>
        <v>35768</v>
      </c>
      <c r="W104" s="66">
        <f>IF($AB104="TGD",ROUND($E104*(1+$AD104)^(W$4-$E$4),0),IF($AB104="ALTH",ROUND($AE104+$AF104*W$4,0),IF($AB104="IR",ROUND(Proyeccion_Localidades!AT110,0),IF($AB104="RT",ROUND(Proyeccion_Localidades!BQ110,0),"*****"))))</f>
        <v>36414</v>
      </c>
      <c r="X104" s="66">
        <f>IF($AB104="TGD",ROUND($E104*(1+$AD104)^(X$4-$E$4),0),IF($AB104="ALTH",ROUND($AE104+$AF104*X$4,0),IF($AB104="IR",ROUND(Proyeccion_Localidades!AU110,0),IF($AB104="RT",ROUND(Proyeccion_Localidades!BR110,0),"*****"))))</f>
        <v>37071</v>
      </c>
      <c r="Y104" s="66">
        <f>IF($AB104="TGD",ROUND($E104*(1+$AD104)^(Y$4-$E$4),0),IF($AB104="ALTH",ROUND($AE104+$AF104*Y$4,0),IF($AB104="IR",ROUND(Proyeccion_Localidades!AV110,0),IF($AB104="RT",ROUND(Proyeccion_Localidades!BS110,0),"*****"))))</f>
        <v>37738</v>
      </c>
      <c r="Z104" s="66">
        <f>IF($AB104="TGD",ROUND($E104*(1+$AD104)^(Z$4-$E$4),0),IF($AB104="ALTH",ROUND($AE104+$AF104*Z$4,0),IF($AB104="IR",ROUND(Proyeccion_Localidades!AW110,0),IF($AB104="RT",ROUND(Proyeccion_Localidades!BT110,0),"*****"))))</f>
        <v>38417</v>
      </c>
      <c r="AA104" s="66">
        <f>IF($AB104="TGD",ROUND($E104*(1+$AD104)^(AA$4-$E$4),0),IF($AB104="ALTH",ROUND($AE104+$AF104*AA$4,0),IF($AB104="IR",ROUND(Proyeccion_Localidades!AX110,0),IF($AB104="RT",ROUND(Proyeccion_Localidades!BU110,0),"*****"))))</f>
        <v>39106</v>
      </c>
      <c r="AB104" s="67" t="str">
        <f>Proyeccion_Localidades!N110</f>
        <v>IR</v>
      </c>
      <c r="AC104" s="73"/>
      <c r="AD104" s="51" t="str">
        <f>IF(AB104="TGD",Proyeccion_Localidades!Z110,"-")</f>
        <v>-</v>
      </c>
      <c r="AE104" s="51" t="str">
        <f>IF($AB104="ALTH",Proyeccion_Localidades!AA110,"-")</f>
        <v>-</v>
      </c>
      <c r="AF104" s="51" t="str">
        <f>IF($AB104="ALTH",Proyeccion_Localidades!AB110,"-")</f>
        <v>-</v>
      </c>
      <c r="AG104" s="51"/>
      <c r="AH104" s="51"/>
      <c r="AI104" s="66">
        <f t="shared" si="5"/>
        <v>26241</v>
      </c>
    </row>
    <row r="105" spans="1:35" ht="24.95" customHeight="1">
      <c r="A105" s="84" t="str">
        <f>+Proyeccion_Localidades!C111</f>
        <v>Pehuajó</v>
      </c>
      <c r="B105" s="70">
        <f t="shared" si="4"/>
        <v>101</v>
      </c>
      <c r="C105" s="88" t="str">
        <f>+Proyeccion_Localidades!B111</f>
        <v>Pehuajó</v>
      </c>
      <c r="D105" s="261">
        <f t="shared" si="6"/>
        <v>101</v>
      </c>
      <c r="E105" s="72">
        <f>+Proyeccion_Localidades!F111</f>
        <v>31533</v>
      </c>
      <c r="F105" s="66">
        <f>IF($AB105="TGD",ROUND($E105*(1+$AD105)^(F$4-$E$4),0),IF($AB105="ALTH",ROUND($AE105+$AF105*F$4,0),IF($AB105="IR",ROUND(Proyeccion_Localidades!AC111,0),IF($AB105="RT",ROUND(Proyeccion_Localidades!AZ111,0),"*****"))))</f>
        <v>33937</v>
      </c>
      <c r="G105" s="66">
        <f>IF($AB105="TGD",ROUND($E105*(1+$AD105)^(G$4-$E$4),0),IF($AB105="ALTH",ROUND($AE105+$AF105*G$4,0),IF($AB105="IR",ROUND(Proyeccion_Localidades!AD111,0),IF($AB105="RT",ROUND(Proyeccion_Localidades!BA111,0),"*****"))))</f>
        <v>34139</v>
      </c>
      <c r="H105" s="66">
        <f>IF($AB105="TGD",ROUND($E105*(1+$AD105)^(H$4-$E$4),0),IF($AB105="ALTH",ROUND($AE105+$AF105*H$4,0),IF($AB105="IR",ROUND(Proyeccion_Localidades!AE111,0),IF($AB105="RT",ROUND(Proyeccion_Localidades!BB111,0),"*****"))))</f>
        <v>34746</v>
      </c>
      <c r="I105" s="66">
        <f>IF($AB105="TGD",ROUND($E105*(1+$AD105)^(I$4-$E$4),0),IF($AB105="ALTH",ROUND($AE105+$AF105*I$4,0),IF($AB105="IR",ROUND(Proyeccion_Localidades!AF111,0),IF($AB105="RT",ROUND(Proyeccion_Localidades!BC111,0),"*****"))))</f>
        <v>34949</v>
      </c>
      <c r="J105" s="66">
        <f>IF($AB105="TGD",ROUND($E105*(1+$AD105)^(J$4-$E$4),0),IF($AB105="ALTH",ROUND($AE105+$AF105*J$4,0),IF($AB105="IR",ROUND(Proyeccion_Localidades!AG111,0),IF($AB105="RT",ROUND(Proyeccion_Localidades!BD111,0),"*****"))))</f>
        <v>35151</v>
      </c>
      <c r="K105" s="66">
        <f>IF($AB105="TGD",ROUND($E105*(1+$AD105)^(K$4-$E$4),0),IF($AB105="ALTH",ROUND($AE105+$AF105*K$4,0),IF($AB105="IR",ROUND(Proyeccion_Localidades!AH111,0),IF($AB105="RT",ROUND(Proyeccion_Localidades!BE111,0),"*****"))))</f>
        <v>35354</v>
      </c>
      <c r="L105" s="66">
        <f>IF($AB105="TGD",ROUND($E105*(1+$AD105)^(L$4-$E$4),0),IF($AB105="ALTH",ROUND($AE105+$AF105*L$4,0),IF($AB105="IR",ROUND(Proyeccion_Localidades!AI111,0),IF($AB105="RT",ROUND(Proyeccion_Localidades!BF111,0),"*****"))))</f>
        <v>35556</v>
      </c>
      <c r="M105" s="66">
        <f>IF($AB105="TGD",ROUND($E105*(1+$AD105)^(M$4-$E$4),0),IF($AB105="ALTH",ROUND($AE105+$AF105*M$4,0),IF($AB105="IR",ROUND(Proyeccion_Localidades!AJ111,0),IF($AB105="RT",ROUND(Proyeccion_Localidades!BG111,0),"*****"))))</f>
        <v>35758</v>
      </c>
      <c r="N105" s="66">
        <f>IF($AB105="TGD",ROUND($E105*(1+$AD105)^(N$4-$E$4),0),IF($AB105="ALTH",ROUND($AE105+$AF105*N$4,0),IF($AB105="IR",ROUND(Proyeccion_Localidades!AK111,0),IF($AB105="RT",ROUND(Proyeccion_Localidades!BH111,0),"*****"))))</f>
        <v>35961</v>
      </c>
      <c r="O105" s="66">
        <f>IF($AB105="TGD",ROUND($E105*(1+$AD105)^(O$4-$E$4),0),IF($AB105="ALTH",ROUND($AE105+$AF105*O$4,0),IF($AB105="IR",ROUND(Proyeccion_Localidades!AL111,0),IF($AB105="RT",ROUND(Proyeccion_Localidades!BI111,0),"*****"))))</f>
        <v>36163</v>
      </c>
      <c r="P105" s="66">
        <f>IF($AB105="TGD",ROUND($E105*(1+$AD105)^(P$4-$E$4),0),IF($AB105="ALTH",ROUND($AE105+$AF105*P$4,0),IF($AB105="IR",ROUND(Proyeccion_Localidades!AM111,0),IF($AB105="RT",ROUND(Proyeccion_Localidades!BJ111,0),"*****"))))</f>
        <v>36365</v>
      </c>
      <c r="Q105" s="66">
        <f>IF($AB105="TGD",ROUND($E105*(1+$AD105)^(Q$4-$E$4),0),IF($AB105="ALTH",ROUND($AE105+$AF105*Q$4,0),IF($AB105="IR",ROUND(Proyeccion_Localidades!AN111,0),IF($AB105="RT",ROUND(Proyeccion_Localidades!BK111,0),"*****"))))</f>
        <v>36568</v>
      </c>
      <c r="R105" s="66">
        <f>IF($AB105="TGD",ROUND($E105*(1+$AD105)^(R$4-$E$4),0),IF($AB105="ALTH",ROUND($AE105+$AF105*R$4,0),IF($AB105="IR",ROUND(Proyeccion_Localidades!AO111,0),IF($AB105="RT",ROUND(Proyeccion_Localidades!BL111,0),"*****"))))</f>
        <v>36770</v>
      </c>
      <c r="S105" s="66">
        <f>IF($AB105="TGD",ROUND($E105*(1+$AD105)^(S$4-$E$4),0),IF($AB105="ALTH",ROUND($AE105+$AF105*S$4,0),IF($AB105="IR",ROUND(Proyeccion_Localidades!AP111,0),IF($AB105="RT",ROUND(Proyeccion_Localidades!BM111,0),"*****"))))</f>
        <v>36973</v>
      </c>
      <c r="T105" s="66">
        <f>IF($AB105="TGD",ROUND($E105*(1+$AD105)^(T$4-$E$4),0),IF($AB105="ALTH",ROUND($AE105+$AF105*T$4,0),IF($AB105="IR",ROUND(Proyeccion_Localidades!AQ111,0),IF($AB105="RT",ROUND(Proyeccion_Localidades!BN111,0),"*****"))))</f>
        <v>37175</v>
      </c>
      <c r="U105" s="66">
        <f>IF($AB105="TGD",ROUND($E105*(1+$AD105)^(U$4-$E$4),0),IF($AB105="ALTH",ROUND($AE105+$AF105*U$4,0),IF($AB105="IR",ROUND(Proyeccion_Localidades!AR111,0),IF($AB105="RT",ROUND(Proyeccion_Localidades!BO111,0),"*****"))))</f>
        <v>37377</v>
      </c>
      <c r="V105" s="66">
        <f>IF($AB105="TGD",ROUND($E105*(1+$AD105)^(V$4-$E$4),0),IF($AB105="ALTH",ROUND($AE105+$AF105*V$4,0),IF($AB105="IR",ROUND(Proyeccion_Localidades!AS111,0),IF($AB105="RT",ROUND(Proyeccion_Localidades!BP111,0),"*****"))))</f>
        <v>37580</v>
      </c>
      <c r="W105" s="66">
        <f>IF($AB105="TGD",ROUND($E105*(1+$AD105)^(W$4-$E$4),0),IF($AB105="ALTH",ROUND($AE105+$AF105*W$4,0),IF($AB105="IR",ROUND(Proyeccion_Localidades!AT111,0),IF($AB105="RT",ROUND(Proyeccion_Localidades!BQ111,0),"*****"))))</f>
        <v>37782</v>
      </c>
      <c r="X105" s="66">
        <f>IF($AB105="TGD",ROUND($E105*(1+$AD105)^(X$4-$E$4),0),IF($AB105="ALTH",ROUND($AE105+$AF105*X$4,0),IF($AB105="IR",ROUND(Proyeccion_Localidades!AU111,0),IF($AB105="RT",ROUND(Proyeccion_Localidades!BR111,0),"*****"))))</f>
        <v>37985</v>
      </c>
      <c r="Y105" s="66">
        <f>IF($AB105="TGD",ROUND($E105*(1+$AD105)^(Y$4-$E$4),0),IF($AB105="ALTH",ROUND($AE105+$AF105*Y$4,0),IF($AB105="IR",ROUND(Proyeccion_Localidades!AV111,0),IF($AB105="RT",ROUND(Proyeccion_Localidades!BS111,0),"*****"))))</f>
        <v>38187</v>
      </c>
      <c r="Z105" s="66">
        <f>IF($AB105="TGD",ROUND($E105*(1+$AD105)^(Z$4-$E$4),0),IF($AB105="ALTH",ROUND($AE105+$AF105*Z$4,0),IF($AB105="IR",ROUND(Proyeccion_Localidades!AW111,0),IF($AB105="RT",ROUND(Proyeccion_Localidades!BT111,0),"*****"))))</f>
        <v>38389</v>
      </c>
      <c r="AA105" s="66">
        <f>IF($AB105="TGD",ROUND($E105*(1+$AD105)^(AA$4-$E$4),0),IF($AB105="ALTH",ROUND($AE105+$AF105*AA$4,0),IF($AB105="IR",ROUND(Proyeccion_Localidades!AX111,0),IF($AB105="RT",ROUND(Proyeccion_Localidades!BU111,0),"*****"))))</f>
        <v>38592</v>
      </c>
      <c r="AB105" s="67" t="str">
        <f>Proyeccion_Localidades!N111</f>
        <v>ALTH</v>
      </c>
      <c r="AC105" s="68" t="s">
        <v>36</v>
      </c>
      <c r="AD105" s="51" t="str">
        <f>IF(AB105="TGD",Proyeccion_Localidades!Z111,"-")</f>
        <v>-</v>
      </c>
      <c r="AE105" s="51">
        <f>IF($AB105="ALTH",Proyeccion_Localidades!AA111,"-")</f>
        <v>-375305.59778597788</v>
      </c>
      <c r="AF105" s="51">
        <f>IF($AB105="ALTH",Proyeccion_Localidades!AB111,"-")</f>
        <v>202.39483394833948</v>
      </c>
      <c r="AG105" s="51"/>
      <c r="AH105" s="51"/>
      <c r="AI105" s="66">
        <f t="shared" si="5"/>
        <v>34139</v>
      </c>
    </row>
    <row r="106" spans="1:35" ht="24.95" customHeight="1">
      <c r="A106" s="84" t="str">
        <f>+Proyeccion_Localidades!C112</f>
        <v>Pellegrini</v>
      </c>
      <c r="B106" s="70">
        <f t="shared" si="4"/>
        <v>102</v>
      </c>
      <c r="C106" s="88" t="str">
        <f>+Proyeccion_Localidades!B112</f>
        <v>Pellegrini</v>
      </c>
      <c r="D106" s="261">
        <f t="shared" si="6"/>
        <v>102</v>
      </c>
      <c r="E106" s="72">
        <f>+Proyeccion_Localidades!F112</f>
        <v>5115</v>
      </c>
      <c r="F106" s="66">
        <f>IF($AB106="TGD",ROUND($E106*(1+$AD106)^(F$4-$E$4),0),IF($AB106="ALTH",ROUND($AE106+$AF106*F$4,0),IF($AB106="IR",ROUND(Proyeccion_Localidades!AC112,0),IF($AB106="RT",ROUND(Proyeccion_Localidades!AZ112,0),"*****"))))</f>
        <v>5523</v>
      </c>
      <c r="G106" s="66">
        <f>IF($AB106="TGD",ROUND($E106*(1+$AD106)^(G$4-$E$4),0),IF($AB106="ALTH",ROUND($AE106+$AF106*G$4,0),IF($AB106="IR",ROUND(Proyeccion_Localidades!AD112,0),IF($AB106="RT",ROUND(Proyeccion_Localidades!BA112,0),"*****"))))</f>
        <v>5551</v>
      </c>
      <c r="H106" s="66">
        <f>IF($AB106="TGD",ROUND($E106*(1+$AD106)^(H$4-$E$4),0),IF($AB106="ALTH",ROUND($AE106+$AF106*H$4,0),IF($AB106="IR",ROUND(Proyeccion_Localidades!AE112,0),IF($AB106="RT",ROUND(Proyeccion_Localidades!BB112,0),"*****"))))</f>
        <v>5638</v>
      </c>
      <c r="I106" s="66">
        <f>IF($AB106="TGD",ROUND($E106*(1+$AD106)^(I$4-$E$4),0),IF($AB106="ALTH",ROUND($AE106+$AF106*I$4,0),IF($AB106="IR",ROUND(Proyeccion_Localidades!AF112,0),IF($AB106="RT",ROUND(Proyeccion_Localidades!BC112,0),"*****"))))</f>
        <v>5667</v>
      </c>
      <c r="J106" s="66">
        <f>IF($AB106="TGD",ROUND($E106*(1+$AD106)^(J$4-$E$4),0),IF($AB106="ALTH",ROUND($AE106+$AF106*J$4,0),IF($AB106="IR",ROUND(Proyeccion_Localidades!AG112,0),IF($AB106="RT",ROUND(Proyeccion_Localidades!BD112,0),"*****"))))</f>
        <v>5696</v>
      </c>
      <c r="K106" s="66">
        <f>IF($AB106="TGD",ROUND($E106*(1+$AD106)^(K$4-$E$4),0),IF($AB106="ALTH",ROUND($AE106+$AF106*K$4,0),IF($AB106="IR",ROUND(Proyeccion_Localidades!AH112,0),IF($AB106="RT",ROUND(Proyeccion_Localidades!BE112,0),"*****"))))</f>
        <v>5725</v>
      </c>
      <c r="L106" s="66">
        <f>IF($AB106="TGD",ROUND($E106*(1+$AD106)^(L$4-$E$4),0),IF($AB106="ALTH",ROUND($AE106+$AF106*L$4,0),IF($AB106="IR",ROUND(Proyeccion_Localidades!AI112,0),IF($AB106="RT",ROUND(Proyeccion_Localidades!BF112,0),"*****"))))</f>
        <v>5754</v>
      </c>
      <c r="M106" s="66">
        <f>IF($AB106="TGD",ROUND($E106*(1+$AD106)^(M$4-$E$4),0),IF($AB106="ALTH",ROUND($AE106+$AF106*M$4,0),IF($AB106="IR",ROUND(Proyeccion_Localidades!AJ112,0),IF($AB106="RT",ROUND(Proyeccion_Localidades!BG112,0),"*****"))))</f>
        <v>5783</v>
      </c>
      <c r="N106" s="66">
        <f>IF($AB106="TGD",ROUND($E106*(1+$AD106)^(N$4-$E$4),0),IF($AB106="ALTH",ROUND($AE106+$AF106*N$4,0),IF($AB106="IR",ROUND(Proyeccion_Localidades!AK112,0),IF($AB106="RT",ROUND(Proyeccion_Localidades!BH112,0),"*****"))))</f>
        <v>5811</v>
      </c>
      <c r="O106" s="66">
        <f>IF($AB106="TGD",ROUND($E106*(1+$AD106)^(O$4-$E$4),0),IF($AB106="ALTH",ROUND($AE106+$AF106*O$4,0),IF($AB106="IR",ROUND(Proyeccion_Localidades!AL112,0),IF($AB106="RT",ROUND(Proyeccion_Localidades!BI112,0),"*****"))))</f>
        <v>5840</v>
      </c>
      <c r="P106" s="66">
        <f>IF($AB106="TGD",ROUND($E106*(1+$AD106)^(P$4-$E$4),0),IF($AB106="ALTH",ROUND($AE106+$AF106*P$4,0),IF($AB106="IR",ROUND(Proyeccion_Localidades!AM112,0),IF($AB106="RT",ROUND(Proyeccion_Localidades!BJ112,0),"*****"))))</f>
        <v>5869</v>
      </c>
      <c r="Q106" s="66">
        <f>IF($AB106="TGD",ROUND($E106*(1+$AD106)^(Q$4-$E$4),0),IF($AB106="ALTH",ROUND($AE106+$AF106*Q$4,0),IF($AB106="IR",ROUND(Proyeccion_Localidades!AN112,0),IF($AB106="RT",ROUND(Proyeccion_Localidades!BK112,0),"*****"))))</f>
        <v>5898</v>
      </c>
      <c r="R106" s="66">
        <f>IF($AB106="TGD",ROUND($E106*(1+$AD106)^(R$4-$E$4),0),IF($AB106="ALTH",ROUND($AE106+$AF106*R$4,0),IF($AB106="IR",ROUND(Proyeccion_Localidades!AO112,0),IF($AB106="RT",ROUND(Proyeccion_Localidades!BL112,0),"*****"))))</f>
        <v>5927</v>
      </c>
      <c r="S106" s="66">
        <f>IF($AB106="TGD",ROUND($E106*(1+$AD106)^(S$4-$E$4),0),IF($AB106="ALTH",ROUND($AE106+$AF106*S$4,0),IF($AB106="IR",ROUND(Proyeccion_Localidades!AP112,0),IF($AB106="RT",ROUND(Proyeccion_Localidades!BM112,0),"*****"))))</f>
        <v>5956</v>
      </c>
      <c r="T106" s="66">
        <f>IF($AB106="TGD",ROUND($E106*(1+$AD106)^(T$4-$E$4),0),IF($AB106="ALTH",ROUND($AE106+$AF106*T$4,0),IF($AB106="IR",ROUND(Proyeccion_Localidades!AQ112,0),IF($AB106="RT",ROUND(Proyeccion_Localidades!BN112,0),"*****"))))</f>
        <v>5985</v>
      </c>
      <c r="U106" s="66">
        <f>IF($AB106="TGD",ROUND($E106*(1+$AD106)^(U$4-$E$4),0),IF($AB106="ALTH",ROUND($AE106+$AF106*U$4,0),IF($AB106="IR",ROUND(Proyeccion_Localidades!AR112,0),IF($AB106="RT",ROUND(Proyeccion_Localidades!BO112,0),"*****"))))</f>
        <v>6014</v>
      </c>
      <c r="V106" s="66">
        <f>IF($AB106="TGD",ROUND($E106*(1+$AD106)^(V$4-$E$4),0),IF($AB106="ALTH",ROUND($AE106+$AF106*V$4,0),IF($AB106="IR",ROUND(Proyeccion_Localidades!AS112,0),IF($AB106="RT",ROUND(Proyeccion_Localidades!BP112,0),"*****"))))</f>
        <v>6043</v>
      </c>
      <c r="W106" s="66">
        <f>IF($AB106="TGD",ROUND($E106*(1+$AD106)^(W$4-$E$4),0),IF($AB106="ALTH",ROUND($AE106+$AF106*W$4,0),IF($AB106="IR",ROUND(Proyeccion_Localidades!AT112,0),IF($AB106="RT",ROUND(Proyeccion_Localidades!BQ112,0),"*****"))))</f>
        <v>6072</v>
      </c>
      <c r="X106" s="66">
        <f>IF($AB106="TGD",ROUND($E106*(1+$AD106)^(X$4-$E$4),0),IF($AB106="ALTH",ROUND($AE106+$AF106*X$4,0),IF($AB106="IR",ROUND(Proyeccion_Localidades!AU112,0),IF($AB106="RT",ROUND(Proyeccion_Localidades!BR112,0),"*****"))))</f>
        <v>6100</v>
      </c>
      <c r="Y106" s="66">
        <f>IF($AB106="TGD",ROUND($E106*(1+$AD106)^(Y$4-$E$4),0),IF($AB106="ALTH",ROUND($AE106+$AF106*Y$4,0),IF($AB106="IR",ROUND(Proyeccion_Localidades!AV112,0),IF($AB106="RT",ROUND(Proyeccion_Localidades!BS112,0),"*****"))))</f>
        <v>6129</v>
      </c>
      <c r="Z106" s="66">
        <f>IF($AB106="TGD",ROUND($E106*(1+$AD106)^(Z$4-$E$4),0),IF($AB106="ALTH",ROUND($AE106+$AF106*Z$4,0),IF($AB106="IR",ROUND(Proyeccion_Localidades!AW112,0),IF($AB106="RT",ROUND(Proyeccion_Localidades!BT112,0),"*****"))))</f>
        <v>6158</v>
      </c>
      <c r="AA106" s="66">
        <f>IF($AB106="TGD",ROUND($E106*(1+$AD106)^(AA$4-$E$4),0),IF($AB106="ALTH",ROUND($AE106+$AF106*AA$4,0),IF($AB106="IR",ROUND(Proyeccion_Localidades!AX112,0),IF($AB106="RT",ROUND(Proyeccion_Localidades!BU112,0),"*****"))))</f>
        <v>6187</v>
      </c>
      <c r="AB106" s="67" t="str">
        <f>Proyeccion_Localidades!N112</f>
        <v>ALTH</v>
      </c>
      <c r="AC106" s="68" t="s">
        <v>36</v>
      </c>
      <c r="AD106" s="51" t="str">
        <f>IF(AB106="TGD",Proyeccion_Localidades!Z112,"-")</f>
        <v>-</v>
      </c>
      <c r="AE106" s="51">
        <f>IF($AB106="ALTH",Proyeccion_Localidades!AA112,"-")</f>
        <v>-52910.31365313656</v>
      </c>
      <c r="AF106" s="51">
        <f>IF($AB106="ALTH",Proyeccion_Localidades!AB112,"-")</f>
        <v>28.898523985239866</v>
      </c>
      <c r="AG106" s="51"/>
      <c r="AH106" s="51"/>
      <c r="AI106" s="66">
        <f t="shared" si="5"/>
        <v>5551</v>
      </c>
    </row>
    <row r="107" spans="1:35" ht="24.95" customHeight="1">
      <c r="A107" s="84" t="str">
        <f>+Proyeccion_Localidades!C113</f>
        <v>Pergamino</v>
      </c>
      <c r="B107" s="70">
        <f t="shared" si="4"/>
        <v>103</v>
      </c>
      <c r="C107" s="88" t="str">
        <f>+Proyeccion_Localidades!B113</f>
        <v>Pergamino</v>
      </c>
      <c r="D107" s="261">
        <f t="shared" si="6"/>
        <v>103</v>
      </c>
      <c r="E107" s="72">
        <f>+Proyeccion_Localidades!F113</f>
        <v>91399</v>
      </c>
      <c r="F107" s="66">
        <f>IF($AB107="TGD",ROUND($E107*(1+$AD107)^(F$4-$E$4),0),IF($AB107="ALTH",ROUND($AE107+$AF107*F$4,0),IF($AB107="IR",ROUND(Proyeccion_Localidades!AC113,0),IF($AB107="RT",ROUND(Proyeccion_Localidades!AZ113,0),"*****"))))</f>
        <v>99022</v>
      </c>
      <c r="G107" s="66">
        <f>IF($AB107="TGD",ROUND($E107*(1+$AD107)^(G$4-$E$4),0),IF($AB107="ALTH",ROUND($AE107+$AF107*G$4,0),IF($AB107="IR",ROUND(Proyeccion_Localidades!AD113,0),IF($AB107="RT",ROUND(Proyeccion_Localidades!BA113,0),"*****"))))</f>
        <v>99661</v>
      </c>
      <c r="H107" s="66">
        <f>IF($AB107="TGD",ROUND($E107*(1+$AD107)^(H$4-$E$4),0),IF($AB107="ALTH",ROUND($AE107+$AF107*H$4,0),IF($AB107="IR",ROUND(Proyeccion_Localidades!AE113,0),IF($AB107="RT",ROUND(Proyeccion_Localidades!BB113,0),"*****"))))</f>
        <v>101580</v>
      </c>
      <c r="I107" s="66">
        <f>IF($AB107="TGD",ROUND($E107*(1+$AD107)^(I$4-$E$4),0),IF($AB107="ALTH",ROUND($AE107+$AF107*I$4,0),IF($AB107="IR",ROUND(Proyeccion_Localidades!AF113,0),IF($AB107="RT",ROUND(Proyeccion_Localidades!BC113,0),"*****"))))</f>
        <v>102220</v>
      </c>
      <c r="J107" s="66">
        <f>IF($AB107="TGD",ROUND($E107*(1+$AD107)^(J$4-$E$4),0),IF($AB107="ALTH",ROUND($AE107+$AF107*J$4,0),IF($AB107="IR",ROUND(Proyeccion_Localidades!AG113,0),IF($AB107="RT",ROUND(Proyeccion_Localidades!BD113,0),"*****"))))</f>
        <v>102860</v>
      </c>
      <c r="K107" s="66">
        <f>IF($AB107="TGD",ROUND($E107*(1+$AD107)^(K$4-$E$4),0),IF($AB107="ALTH",ROUND($AE107+$AF107*K$4,0),IF($AB107="IR",ROUND(Proyeccion_Localidades!AH113,0),IF($AB107="RT",ROUND(Proyeccion_Localidades!BE113,0),"*****"))))</f>
        <v>103499</v>
      </c>
      <c r="L107" s="66">
        <f>IF($AB107="TGD",ROUND($E107*(1+$AD107)^(L$4-$E$4),0),IF($AB107="ALTH",ROUND($AE107+$AF107*L$4,0),IF($AB107="IR",ROUND(Proyeccion_Localidades!AI113,0),IF($AB107="RT",ROUND(Proyeccion_Localidades!BF113,0),"*****"))))</f>
        <v>104139</v>
      </c>
      <c r="M107" s="66">
        <f>IF($AB107="TGD",ROUND($E107*(1+$AD107)^(M$4-$E$4),0),IF($AB107="ALTH",ROUND($AE107+$AF107*M$4,0),IF($AB107="IR",ROUND(Proyeccion_Localidades!AJ113,0),IF($AB107="RT",ROUND(Proyeccion_Localidades!BG113,0),"*****"))))</f>
        <v>104779</v>
      </c>
      <c r="N107" s="66">
        <f>IF($AB107="TGD",ROUND($E107*(1+$AD107)^(N$4-$E$4),0),IF($AB107="ALTH",ROUND($AE107+$AF107*N$4,0),IF($AB107="IR",ROUND(Proyeccion_Localidades!AK113,0),IF($AB107="RT",ROUND(Proyeccion_Localidades!BH113,0),"*****"))))</f>
        <v>105418</v>
      </c>
      <c r="O107" s="66">
        <f>IF($AB107="TGD",ROUND($E107*(1+$AD107)^(O$4-$E$4),0),IF($AB107="ALTH",ROUND($AE107+$AF107*O$4,0),IF($AB107="IR",ROUND(Proyeccion_Localidades!AL113,0),IF($AB107="RT",ROUND(Proyeccion_Localidades!BI113,0),"*****"))))</f>
        <v>106058</v>
      </c>
      <c r="P107" s="66">
        <f>IF($AB107="TGD",ROUND($E107*(1+$AD107)^(P$4-$E$4),0),IF($AB107="ALTH",ROUND($AE107+$AF107*P$4,0),IF($AB107="IR",ROUND(Proyeccion_Localidades!AM113,0),IF($AB107="RT",ROUND(Proyeccion_Localidades!BJ113,0),"*****"))))</f>
        <v>106698</v>
      </c>
      <c r="Q107" s="66">
        <f>IF($AB107="TGD",ROUND($E107*(1+$AD107)^(Q$4-$E$4),0),IF($AB107="ALTH",ROUND($AE107+$AF107*Q$4,0),IF($AB107="IR",ROUND(Proyeccion_Localidades!AN113,0),IF($AB107="RT",ROUND(Proyeccion_Localidades!BK113,0),"*****"))))</f>
        <v>107337</v>
      </c>
      <c r="R107" s="66">
        <f>IF($AB107="TGD",ROUND($E107*(1+$AD107)^(R$4-$E$4),0),IF($AB107="ALTH",ROUND($AE107+$AF107*R$4,0),IF($AB107="IR",ROUND(Proyeccion_Localidades!AO113,0),IF($AB107="RT",ROUND(Proyeccion_Localidades!BL113,0),"*****"))))</f>
        <v>107977</v>
      </c>
      <c r="S107" s="66">
        <f>IF($AB107="TGD",ROUND($E107*(1+$AD107)^(S$4-$E$4),0),IF($AB107="ALTH",ROUND($AE107+$AF107*S$4,0),IF($AB107="IR",ROUND(Proyeccion_Localidades!AP113,0),IF($AB107="RT",ROUND(Proyeccion_Localidades!BM113,0),"*****"))))</f>
        <v>108617</v>
      </c>
      <c r="T107" s="66">
        <f>IF($AB107="TGD",ROUND($E107*(1+$AD107)^(T$4-$E$4),0),IF($AB107="ALTH",ROUND($AE107+$AF107*T$4,0),IF($AB107="IR",ROUND(Proyeccion_Localidades!AQ113,0),IF($AB107="RT",ROUND(Proyeccion_Localidades!BN113,0),"*****"))))</f>
        <v>109256</v>
      </c>
      <c r="U107" s="66">
        <f>IF($AB107="TGD",ROUND($E107*(1+$AD107)^(U$4-$E$4),0),IF($AB107="ALTH",ROUND($AE107+$AF107*U$4,0),IF($AB107="IR",ROUND(Proyeccion_Localidades!AR113,0),IF($AB107="RT",ROUND(Proyeccion_Localidades!BO113,0),"*****"))))</f>
        <v>109896</v>
      </c>
      <c r="V107" s="66">
        <f>IF($AB107="TGD",ROUND($E107*(1+$AD107)^(V$4-$E$4),0),IF($AB107="ALTH",ROUND($AE107+$AF107*V$4,0),IF($AB107="IR",ROUND(Proyeccion_Localidades!AS113,0),IF($AB107="RT",ROUND(Proyeccion_Localidades!BP113,0),"*****"))))</f>
        <v>110536</v>
      </c>
      <c r="W107" s="66">
        <f>IF($AB107="TGD",ROUND($E107*(1+$AD107)^(W$4-$E$4),0),IF($AB107="ALTH",ROUND($AE107+$AF107*W$4,0),IF($AB107="IR",ROUND(Proyeccion_Localidades!AT113,0),IF($AB107="RT",ROUND(Proyeccion_Localidades!BQ113,0),"*****"))))</f>
        <v>111175</v>
      </c>
      <c r="X107" s="66">
        <f>IF($AB107="TGD",ROUND($E107*(1+$AD107)^(X$4-$E$4),0),IF($AB107="ALTH",ROUND($AE107+$AF107*X$4,0),IF($AB107="IR",ROUND(Proyeccion_Localidades!AU113,0),IF($AB107="RT",ROUND(Proyeccion_Localidades!BR113,0),"*****"))))</f>
        <v>111815</v>
      </c>
      <c r="Y107" s="66">
        <f>IF($AB107="TGD",ROUND($E107*(1+$AD107)^(Y$4-$E$4),0),IF($AB107="ALTH",ROUND($AE107+$AF107*Y$4,0),IF($AB107="IR",ROUND(Proyeccion_Localidades!AV113,0),IF($AB107="RT",ROUND(Proyeccion_Localidades!BS113,0),"*****"))))</f>
        <v>112455</v>
      </c>
      <c r="Z107" s="66">
        <f>IF($AB107="TGD",ROUND($E107*(1+$AD107)^(Z$4-$E$4),0),IF($AB107="ALTH",ROUND($AE107+$AF107*Z$4,0),IF($AB107="IR",ROUND(Proyeccion_Localidades!AW113,0),IF($AB107="RT",ROUND(Proyeccion_Localidades!BT113,0),"*****"))))</f>
        <v>113094</v>
      </c>
      <c r="AA107" s="66">
        <f>IF($AB107="TGD",ROUND($E107*(1+$AD107)^(AA$4-$E$4),0),IF($AB107="ALTH",ROUND($AE107+$AF107*AA$4,0),IF($AB107="IR",ROUND(Proyeccion_Localidades!AX113,0),IF($AB107="RT",ROUND(Proyeccion_Localidades!BU113,0),"*****"))))</f>
        <v>113734</v>
      </c>
      <c r="AB107" s="67" t="str">
        <f>Proyeccion_Localidades!N113</f>
        <v>ALTH</v>
      </c>
      <c r="AC107" s="68" t="s">
        <v>36</v>
      </c>
      <c r="AD107" s="51" t="str">
        <f>IF(AB107="TGD",Proyeccion_Localidades!Z113,"-")</f>
        <v>-</v>
      </c>
      <c r="AE107" s="51">
        <f>IF($AB107="ALTH",Proyeccion_Localidades!AA113,"-")</f>
        <v>-1194383.2140221405</v>
      </c>
      <c r="AF107" s="51">
        <f>IF($AB107="ALTH",Proyeccion_Localidades!AB113,"-")</f>
        <v>639.6660516605167</v>
      </c>
      <c r="AG107" s="51"/>
      <c r="AH107" s="51"/>
      <c r="AI107" s="66">
        <f t="shared" si="5"/>
        <v>99661</v>
      </c>
    </row>
    <row r="108" spans="1:35" ht="24.95" customHeight="1">
      <c r="A108" s="84" t="str">
        <f>+Proyeccion_Localidades!C114</f>
        <v>Pila</v>
      </c>
      <c r="B108" s="70">
        <f t="shared" si="4"/>
        <v>104</v>
      </c>
      <c r="C108" s="88" t="str">
        <f>+Proyeccion_Localidades!B114</f>
        <v>Pila</v>
      </c>
      <c r="D108" s="261">
        <f t="shared" si="6"/>
        <v>104</v>
      </c>
      <c r="E108" s="72">
        <f>+Proyeccion_Localidades!F114</f>
        <v>2502</v>
      </c>
      <c r="F108" s="66">
        <f>IF($AB108="TGD",ROUND($E108*(1+$AD108)^(F$4-$E$4),0),IF($AB108="ALTH",ROUND($AE108+$AF108*F$4,0),IF($AB108="IR",ROUND(Proyeccion_Localidades!AC114,0),IF($AB108="RT",ROUND(Proyeccion_Localidades!AZ114,0),"*****"))))</f>
        <v>3191</v>
      </c>
      <c r="G108" s="66">
        <f>IF($AB108="TGD",ROUND($E108*(1+$AD108)^(G$4-$E$4),0),IF($AB108="ALTH",ROUND($AE108+$AF108*G$4,0),IF($AB108="IR",ROUND(Proyeccion_Localidades!AD114,0),IF($AB108="RT",ROUND(Proyeccion_Localidades!BA114,0),"*****"))))</f>
        <v>3256</v>
      </c>
      <c r="H108" s="66">
        <f>IF($AB108="TGD",ROUND($E108*(1+$AD108)^(H$4-$E$4),0),IF($AB108="ALTH",ROUND($AE108+$AF108*H$4,0),IF($AB108="IR",ROUND(Proyeccion_Localidades!AE114,0),IF($AB108="RT",ROUND(Proyeccion_Localidades!BB114,0),"*****"))))</f>
        <v>3460</v>
      </c>
      <c r="I108" s="66">
        <f>IF($AB108="TGD",ROUND($E108*(1+$AD108)^(I$4-$E$4),0),IF($AB108="ALTH",ROUND($AE108+$AF108*I$4,0),IF($AB108="IR",ROUND(Proyeccion_Localidades!AF114,0),IF($AB108="RT",ROUND(Proyeccion_Localidades!BC114,0),"*****"))))</f>
        <v>3531</v>
      </c>
      <c r="J108" s="66">
        <f>IF($AB108="TGD",ROUND($E108*(1+$AD108)^(J$4-$E$4),0),IF($AB108="ALTH",ROUND($AE108+$AF108*J$4,0),IF($AB108="IR",ROUND(Proyeccion_Localidades!AG114,0),IF($AB108="RT",ROUND(Proyeccion_Localidades!BD114,0),"*****"))))</f>
        <v>3603</v>
      </c>
      <c r="K108" s="66">
        <f>IF($AB108="TGD",ROUND($E108*(1+$AD108)^(K$4-$E$4),0),IF($AB108="ALTH",ROUND($AE108+$AF108*K$4,0),IF($AB108="IR",ROUND(Proyeccion_Localidades!AH114,0),IF($AB108="RT",ROUND(Proyeccion_Localidades!BE114,0),"*****"))))</f>
        <v>3677</v>
      </c>
      <c r="L108" s="66">
        <f>IF($AB108="TGD",ROUND($E108*(1+$AD108)^(L$4-$E$4),0),IF($AB108="ALTH",ROUND($AE108+$AF108*L$4,0),IF($AB108="IR",ROUND(Proyeccion_Localidades!AI114,0),IF($AB108="RT",ROUND(Proyeccion_Localidades!BF114,0),"*****"))))</f>
        <v>3752</v>
      </c>
      <c r="M108" s="66">
        <f>IF($AB108="TGD",ROUND($E108*(1+$AD108)^(M$4-$E$4),0),IF($AB108="ALTH",ROUND($AE108+$AF108*M$4,0),IF($AB108="IR",ROUND(Proyeccion_Localidades!AJ114,0),IF($AB108="RT",ROUND(Proyeccion_Localidades!BG114,0),"*****"))))</f>
        <v>3829</v>
      </c>
      <c r="N108" s="66">
        <f>IF($AB108="TGD",ROUND($E108*(1+$AD108)^(N$4-$E$4),0),IF($AB108="ALTH",ROUND($AE108+$AF108*N$4,0),IF($AB108="IR",ROUND(Proyeccion_Localidades!AK114,0),IF($AB108="RT",ROUND(Proyeccion_Localidades!BH114,0),"*****"))))</f>
        <v>3907</v>
      </c>
      <c r="O108" s="66">
        <f>IF($AB108="TGD",ROUND($E108*(1+$AD108)^(O$4-$E$4),0),IF($AB108="ALTH",ROUND($AE108+$AF108*O$4,0),IF($AB108="IR",ROUND(Proyeccion_Localidades!AL114,0),IF($AB108="RT",ROUND(Proyeccion_Localidades!BI114,0),"*****"))))</f>
        <v>3987</v>
      </c>
      <c r="P108" s="66">
        <f>IF($AB108="TGD",ROUND($E108*(1+$AD108)^(P$4-$E$4),0),IF($AB108="ALTH",ROUND($AE108+$AF108*P$4,0),IF($AB108="IR",ROUND(Proyeccion_Localidades!AM114,0),IF($AB108="RT",ROUND(Proyeccion_Localidades!BJ114,0),"*****"))))</f>
        <v>4069</v>
      </c>
      <c r="Q108" s="66">
        <f>IF($AB108="TGD",ROUND($E108*(1+$AD108)^(Q$4-$E$4),0),IF($AB108="ALTH",ROUND($AE108+$AF108*Q$4,0),IF($AB108="IR",ROUND(Proyeccion_Localidades!AN114,0),IF($AB108="RT",ROUND(Proyeccion_Localidades!BK114,0),"*****"))))</f>
        <v>4152</v>
      </c>
      <c r="R108" s="66">
        <f>IF($AB108="TGD",ROUND($E108*(1+$AD108)^(R$4-$E$4),0),IF($AB108="ALTH",ROUND($AE108+$AF108*R$4,0),IF($AB108="IR",ROUND(Proyeccion_Localidades!AO114,0),IF($AB108="RT",ROUND(Proyeccion_Localidades!BL114,0),"*****"))))</f>
        <v>4237</v>
      </c>
      <c r="S108" s="66">
        <f>IF($AB108="TGD",ROUND($E108*(1+$AD108)^(S$4-$E$4),0),IF($AB108="ALTH",ROUND($AE108+$AF108*S$4,0),IF($AB108="IR",ROUND(Proyeccion_Localidades!AP114,0),IF($AB108="RT",ROUND(Proyeccion_Localidades!BM114,0),"*****"))))</f>
        <v>4323</v>
      </c>
      <c r="T108" s="66">
        <f>IF($AB108="TGD",ROUND($E108*(1+$AD108)^(T$4-$E$4),0),IF($AB108="ALTH",ROUND($AE108+$AF108*T$4,0),IF($AB108="IR",ROUND(Proyeccion_Localidades!AQ114,0),IF($AB108="RT",ROUND(Proyeccion_Localidades!BN114,0),"*****"))))</f>
        <v>4412</v>
      </c>
      <c r="U108" s="66">
        <f>IF($AB108="TGD",ROUND($E108*(1+$AD108)^(U$4-$E$4),0),IF($AB108="ALTH",ROUND($AE108+$AF108*U$4,0),IF($AB108="IR",ROUND(Proyeccion_Localidades!AR114,0),IF($AB108="RT",ROUND(Proyeccion_Localidades!BO114,0),"*****"))))</f>
        <v>4502</v>
      </c>
      <c r="V108" s="66">
        <f>IF($AB108="TGD",ROUND($E108*(1+$AD108)^(V$4-$E$4),0),IF($AB108="ALTH",ROUND($AE108+$AF108*V$4,0),IF($AB108="IR",ROUND(Proyeccion_Localidades!AS114,0),IF($AB108="RT",ROUND(Proyeccion_Localidades!BP114,0),"*****"))))</f>
        <v>4594</v>
      </c>
      <c r="W108" s="66">
        <f>IF($AB108="TGD",ROUND($E108*(1+$AD108)^(W$4-$E$4),0),IF($AB108="ALTH",ROUND($AE108+$AF108*W$4,0),IF($AB108="IR",ROUND(Proyeccion_Localidades!AT114,0),IF($AB108="RT",ROUND(Proyeccion_Localidades!BQ114,0),"*****"))))</f>
        <v>4688</v>
      </c>
      <c r="X108" s="66">
        <f>IF($AB108="TGD",ROUND($E108*(1+$AD108)^(X$4-$E$4),0),IF($AB108="ALTH",ROUND($AE108+$AF108*X$4,0),IF($AB108="IR",ROUND(Proyeccion_Localidades!AU114,0),IF($AB108="RT",ROUND(Proyeccion_Localidades!BR114,0),"*****"))))</f>
        <v>4784</v>
      </c>
      <c r="Y108" s="66">
        <f>IF($AB108="TGD",ROUND($E108*(1+$AD108)^(Y$4-$E$4),0),IF($AB108="ALTH",ROUND($AE108+$AF108*Y$4,0),IF($AB108="IR",ROUND(Proyeccion_Localidades!AV114,0),IF($AB108="RT",ROUND(Proyeccion_Localidades!BS114,0),"*****"))))</f>
        <v>4882</v>
      </c>
      <c r="Z108" s="66">
        <f>IF($AB108="TGD",ROUND($E108*(1+$AD108)^(Z$4-$E$4),0),IF($AB108="ALTH",ROUND($AE108+$AF108*Z$4,0),IF($AB108="IR",ROUND(Proyeccion_Localidades!AW114,0),IF($AB108="RT",ROUND(Proyeccion_Localidades!BT114,0),"*****"))))</f>
        <v>4982</v>
      </c>
      <c r="AA108" s="66">
        <f>IF($AB108="TGD",ROUND($E108*(1+$AD108)^(AA$4-$E$4),0),IF($AB108="ALTH",ROUND($AE108+$AF108*AA$4,0),IF($AB108="IR",ROUND(Proyeccion_Localidades!AX114,0),IF($AB108="RT",ROUND(Proyeccion_Localidades!BU114,0),"*****"))))</f>
        <v>5084</v>
      </c>
      <c r="AB108" s="67" t="str">
        <f>Proyeccion_Localidades!N114</f>
        <v>TGD</v>
      </c>
      <c r="AC108" s="68" t="s">
        <v>35</v>
      </c>
      <c r="AD108" s="51">
        <f>IF(AB108="TGD",Proyeccion_Localidades!Z114,"-")</f>
        <v>2.046453567684825E-2</v>
      </c>
      <c r="AE108" s="51" t="str">
        <f>IF($AB108="ALTH",Proyeccion_Localidades!AA114,"-")</f>
        <v>-</v>
      </c>
      <c r="AF108" s="51" t="str">
        <f>IF($AB108="ALTH",Proyeccion_Localidades!AB114,"-")</f>
        <v>-</v>
      </c>
      <c r="AG108" s="51"/>
      <c r="AH108" s="51"/>
      <c r="AI108" s="66">
        <f t="shared" si="5"/>
        <v>3256</v>
      </c>
    </row>
    <row r="109" spans="1:35" ht="24.95" customHeight="1">
      <c r="A109" s="84" t="str">
        <f>+Proyeccion_Localidades!C115</f>
        <v>Pilar</v>
      </c>
      <c r="B109" s="70">
        <f t="shared" si="4"/>
        <v>105</v>
      </c>
      <c r="C109" s="88" t="str">
        <f>+Proyeccion_Localidades!B115</f>
        <v>Pilar</v>
      </c>
      <c r="D109" s="261">
        <f t="shared" si="6"/>
        <v>105</v>
      </c>
      <c r="E109" s="72">
        <f>+Proyeccion_Localidades!F115</f>
        <v>296826</v>
      </c>
      <c r="F109" s="66">
        <f>IF($AB109="TGD",ROUND($E109*(1+$AD109)^(F$4-$E$4),0),IF($AB109="ALTH",ROUND($AE109+$AF109*F$4,0),IF($AB109="IR",ROUND(Proyeccion_Localidades!AC115,0),IF($AB109="RT",ROUND(Proyeccion_Localidades!AZ115,0),"*****"))))</f>
        <v>400129</v>
      </c>
      <c r="G109" s="66">
        <f>IF($AB109="TGD",ROUND($E109*(1+$AD109)^(G$4-$E$4),0),IF($AB109="ALTH",ROUND($AE109+$AF109*G$4,0),IF($AB109="IR",ROUND(Proyeccion_Localidades!AD115,0),IF($AB109="RT",ROUND(Proyeccion_Localidades!BA115,0),"*****"))))</f>
        <v>408574</v>
      </c>
      <c r="H109" s="66">
        <f>IF($AB109="TGD",ROUND($E109*(1+$AD109)^(H$4-$E$4),0),IF($AB109="ALTH",ROUND($AE109+$AF109*H$4,0),IF($AB109="IR",ROUND(Proyeccion_Localidades!AE115,0),IF($AB109="RT",ROUND(Proyeccion_Localidades!BB115,0),"*****"))))</f>
        <v>433909</v>
      </c>
      <c r="I109" s="66">
        <f>IF($AB109="TGD",ROUND($E109*(1+$AD109)^(I$4-$E$4),0),IF($AB109="ALTH",ROUND($AE109+$AF109*I$4,0),IF($AB109="IR",ROUND(Proyeccion_Localidades!AF115,0),IF($AB109="RT",ROUND(Proyeccion_Localidades!BC115,0),"*****"))))</f>
        <v>442353</v>
      </c>
      <c r="J109" s="66">
        <f>IF($AB109="TGD",ROUND($E109*(1+$AD109)^(J$4-$E$4),0),IF($AB109="ALTH",ROUND($AE109+$AF109*J$4,0),IF($AB109="IR",ROUND(Proyeccion_Localidades!AG115,0),IF($AB109="RT",ROUND(Proyeccion_Localidades!BD115,0),"*****"))))</f>
        <v>450798</v>
      </c>
      <c r="K109" s="66">
        <f>IF($AB109="TGD",ROUND($E109*(1+$AD109)^(K$4-$E$4),0),IF($AB109="ALTH",ROUND($AE109+$AF109*K$4,0),IF($AB109="IR",ROUND(Proyeccion_Localidades!AH115,0),IF($AB109="RT",ROUND(Proyeccion_Localidades!BE115,0),"*****"))))</f>
        <v>459243</v>
      </c>
      <c r="L109" s="66">
        <f>IF($AB109="TGD",ROUND($E109*(1+$AD109)^(L$4-$E$4),0),IF($AB109="ALTH",ROUND($AE109+$AF109*L$4,0),IF($AB109="IR",ROUND(Proyeccion_Localidades!AI115,0),IF($AB109="RT",ROUND(Proyeccion_Localidades!BF115,0),"*****"))))</f>
        <v>467688</v>
      </c>
      <c r="M109" s="66">
        <f>IF($AB109="TGD",ROUND($E109*(1+$AD109)^(M$4-$E$4),0),IF($AB109="ALTH",ROUND($AE109+$AF109*M$4,0),IF($AB109="IR",ROUND(Proyeccion_Localidades!AJ115,0),IF($AB109="RT",ROUND(Proyeccion_Localidades!BG115,0),"*****"))))</f>
        <v>476133</v>
      </c>
      <c r="N109" s="66">
        <f>IF($AB109="TGD",ROUND($E109*(1+$AD109)^(N$4-$E$4),0),IF($AB109="ALTH",ROUND($AE109+$AF109*N$4,0),IF($AB109="IR",ROUND(Proyeccion_Localidades!AK115,0),IF($AB109="RT",ROUND(Proyeccion_Localidades!BH115,0),"*****"))))</f>
        <v>484578</v>
      </c>
      <c r="O109" s="66">
        <f>IF($AB109="TGD",ROUND($E109*(1+$AD109)^(O$4-$E$4),0),IF($AB109="ALTH",ROUND($AE109+$AF109*O$4,0),IF($AB109="IR",ROUND(Proyeccion_Localidades!AL115,0),IF($AB109="RT",ROUND(Proyeccion_Localidades!BI115,0),"*****"))))</f>
        <v>493023</v>
      </c>
      <c r="P109" s="66">
        <f>IF($AB109="TGD",ROUND($E109*(1+$AD109)^(P$4-$E$4),0),IF($AB109="ALTH",ROUND($AE109+$AF109*P$4,0),IF($AB109="IR",ROUND(Proyeccion_Localidades!AM115,0),IF($AB109="RT",ROUND(Proyeccion_Localidades!BJ115,0),"*****"))))</f>
        <v>501468</v>
      </c>
      <c r="Q109" s="66">
        <f>IF($AB109="TGD",ROUND($E109*(1+$AD109)^(Q$4-$E$4),0),IF($AB109="ALTH",ROUND($AE109+$AF109*Q$4,0),IF($AB109="IR",ROUND(Proyeccion_Localidades!AN115,0),IF($AB109="RT",ROUND(Proyeccion_Localidades!BK115,0),"*****"))))</f>
        <v>509913</v>
      </c>
      <c r="R109" s="66">
        <f>IF($AB109="TGD",ROUND($E109*(1+$AD109)^(R$4-$E$4),0),IF($AB109="ALTH",ROUND($AE109+$AF109*R$4,0),IF($AB109="IR",ROUND(Proyeccion_Localidades!AO115,0),IF($AB109="RT",ROUND(Proyeccion_Localidades!BL115,0),"*****"))))</f>
        <v>518358</v>
      </c>
      <c r="S109" s="66">
        <f>IF($AB109="TGD",ROUND($E109*(1+$AD109)^(S$4-$E$4),0),IF($AB109="ALTH",ROUND($AE109+$AF109*S$4,0),IF($AB109="IR",ROUND(Proyeccion_Localidades!AP115,0),IF($AB109="RT",ROUND(Proyeccion_Localidades!BM115,0),"*****"))))</f>
        <v>526803</v>
      </c>
      <c r="T109" s="66">
        <f>IF($AB109="TGD",ROUND($E109*(1+$AD109)^(T$4-$E$4),0),IF($AB109="ALTH",ROUND($AE109+$AF109*T$4,0),IF($AB109="IR",ROUND(Proyeccion_Localidades!AQ115,0),IF($AB109="RT",ROUND(Proyeccion_Localidades!BN115,0),"*****"))))</f>
        <v>535247</v>
      </c>
      <c r="U109" s="66">
        <f>IF($AB109="TGD",ROUND($E109*(1+$AD109)^(U$4-$E$4),0),IF($AB109="ALTH",ROUND($AE109+$AF109*U$4,0),IF($AB109="IR",ROUND(Proyeccion_Localidades!AR115,0),IF($AB109="RT",ROUND(Proyeccion_Localidades!BO115,0),"*****"))))</f>
        <v>543692</v>
      </c>
      <c r="V109" s="66">
        <f>IF($AB109="TGD",ROUND($E109*(1+$AD109)^(V$4-$E$4),0),IF($AB109="ALTH",ROUND($AE109+$AF109*V$4,0),IF($AB109="IR",ROUND(Proyeccion_Localidades!AS115,0),IF($AB109="RT",ROUND(Proyeccion_Localidades!BP115,0),"*****"))))</f>
        <v>552137</v>
      </c>
      <c r="W109" s="66">
        <f>IF($AB109="TGD",ROUND($E109*(1+$AD109)^(W$4-$E$4),0),IF($AB109="ALTH",ROUND($AE109+$AF109*W$4,0),IF($AB109="IR",ROUND(Proyeccion_Localidades!AT115,0),IF($AB109="RT",ROUND(Proyeccion_Localidades!BQ115,0),"*****"))))</f>
        <v>560582</v>
      </c>
      <c r="X109" s="66">
        <f>IF($AB109="TGD",ROUND($E109*(1+$AD109)^(X$4-$E$4),0),IF($AB109="ALTH",ROUND($AE109+$AF109*X$4,0),IF($AB109="IR",ROUND(Proyeccion_Localidades!AU115,0),IF($AB109="RT",ROUND(Proyeccion_Localidades!BR115,0),"*****"))))</f>
        <v>569027</v>
      </c>
      <c r="Y109" s="66">
        <f>IF($AB109="TGD",ROUND($E109*(1+$AD109)^(Y$4-$E$4),0),IF($AB109="ALTH",ROUND($AE109+$AF109*Y$4,0),IF($AB109="IR",ROUND(Proyeccion_Localidades!AV115,0),IF($AB109="RT",ROUND(Proyeccion_Localidades!BS115,0),"*****"))))</f>
        <v>577472</v>
      </c>
      <c r="Z109" s="66">
        <f>IF($AB109="TGD",ROUND($E109*(1+$AD109)^(Z$4-$E$4),0),IF($AB109="ALTH",ROUND($AE109+$AF109*Z$4,0),IF($AB109="IR",ROUND(Proyeccion_Localidades!AW115,0),IF($AB109="RT",ROUND(Proyeccion_Localidades!BT115,0),"*****"))))</f>
        <v>585917</v>
      </c>
      <c r="AA109" s="66">
        <f>IF($AB109="TGD",ROUND($E109*(1+$AD109)^(AA$4-$E$4),0),IF($AB109="ALTH",ROUND($AE109+$AF109*AA$4,0),IF($AB109="IR",ROUND(Proyeccion_Localidades!AX115,0),IF($AB109="RT",ROUND(Proyeccion_Localidades!BU115,0),"*****"))))</f>
        <v>594362</v>
      </c>
      <c r="AB109" s="67" t="str">
        <f>Proyeccion_Localidades!N115</f>
        <v>ALTH</v>
      </c>
      <c r="AC109" s="68" t="s">
        <v>36</v>
      </c>
      <c r="AD109" s="51" t="str">
        <f>IF(AB109="TGD",Proyeccion_Localidades!Z115,"-")</f>
        <v>-</v>
      </c>
      <c r="AE109" s="51">
        <f>IF($AB109="ALTH",Proyeccion_Localidades!AA115,"-")</f>
        <v>-16675489.535055356</v>
      </c>
      <c r="AF109" s="51">
        <f>IF($AB109="ALTH",Proyeccion_Localidades!AB115,"-")</f>
        <v>8444.9151291512935</v>
      </c>
      <c r="AG109" s="51"/>
      <c r="AH109" s="51"/>
      <c r="AI109" s="66">
        <f t="shared" si="5"/>
        <v>408574</v>
      </c>
    </row>
    <row r="110" spans="1:35" ht="24.95" customHeight="1">
      <c r="A110" s="84" t="str">
        <f>+Proyeccion_Localidades!C116</f>
        <v>Pinamar</v>
      </c>
      <c r="B110" s="70">
        <f t="shared" si="4"/>
        <v>106</v>
      </c>
      <c r="C110" s="88" t="str">
        <f>+Proyeccion_Localidades!B116</f>
        <v>Pinamar</v>
      </c>
      <c r="D110" s="261">
        <f t="shared" si="6"/>
        <v>106</v>
      </c>
      <c r="E110" s="72">
        <f>+Verif!E116+ROUND(Verif!E117*122/365,0)</f>
        <v>41016</v>
      </c>
      <c r="F110" s="72">
        <f>+Verif!F116+ROUND(Verif!F117*122/365,0)</f>
        <v>58312</v>
      </c>
      <c r="G110" s="72">
        <f>+Verif!G116+ROUND(Verif!G117*122/365,0)</f>
        <v>59911</v>
      </c>
      <c r="H110" s="72">
        <f>+Verif!H116+ROUND(Verif!H117*122/365,0)</f>
        <v>64865</v>
      </c>
      <c r="I110" s="72">
        <f>+Verif!I116+ROUND(Verif!I117*122/365,0)</f>
        <v>66572</v>
      </c>
      <c r="J110" s="72">
        <f>+Verif!J116+ROUND(Verif!J117*122/365,0)</f>
        <v>68305</v>
      </c>
      <c r="K110" s="72">
        <f>+Verif!K116+ROUND(Verif!K117*122/365,0)</f>
        <v>70067</v>
      </c>
      <c r="L110" s="72">
        <f>+Verif!L116+ROUND(Verif!L117*122/365,0)</f>
        <v>71858</v>
      </c>
      <c r="M110" s="72">
        <f>+Verif!M116+ROUND(Verif!M117*122/365,0)</f>
        <v>73677</v>
      </c>
      <c r="N110" s="72">
        <f>+Verif!N116+ROUND(Verif!N117*122/365,0)</f>
        <v>75527</v>
      </c>
      <c r="O110" s="72">
        <f>+Verif!O116+ROUND(Verif!O117*122/365,0)</f>
        <v>77406</v>
      </c>
      <c r="P110" s="72">
        <f>+Verif!P116+ROUND(Verif!P117*122/365,0)</f>
        <v>79316</v>
      </c>
      <c r="Q110" s="72">
        <f>+Verif!Q116+ROUND(Verif!Q117*122/365,0)</f>
        <v>81257</v>
      </c>
      <c r="R110" s="72">
        <f>+Verif!R116+ROUND(Verif!R117*122/365,0)</f>
        <v>83231</v>
      </c>
      <c r="S110" s="72">
        <f>+Verif!S116+ROUND(Verif!S117*122/365,0)</f>
        <v>85236</v>
      </c>
      <c r="T110" s="72">
        <f>+Verif!T116+ROUND(Verif!T117*122/365,0)</f>
        <v>87274</v>
      </c>
      <c r="U110" s="72">
        <f>+Verif!U116+ROUND(Verif!U117*122/365,0)</f>
        <v>89345</v>
      </c>
      <c r="V110" s="72">
        <f>+Verif!V116+ROUND(Verif!V117*122/365,0)</f>
        <v>91451</v>
      </c>
      <c r="W110" s="72">
        <f>+Verif!W116+ROUND(Verif!W117*122/365,0)</f>
        <v>93590</v>
      </c>
      <c r="X110" s="72">
        <f>+Verif!X116+ROUND(Verif!X117*122/365,0)</f>
        <v>95764</v>
      </c>
      <c r="Y110" s="72">
        <f>+Verif!Y116+ROUND(Verif!Y117*122/365,0)</f>
        <v>97974</v>
      </c>
      <c r="Z110" s="72">
        <f>+Verif!Z116+ROUND(Verif!Z117*122/365,0)</f>
        <v>100220</v>
      </c>
      <c r="AA110" s="72">
        <f>+Verif!AA116+ROUND(Verif!AA117*122/365,0)</f>
        <v>102502</v>
      </c>
      <c r="AB110" s="67" t="str">
        <f>Proyeccion_Localidades!N116</f>
        <v>IR</v>
      </c>
      <c r="AC110" s="73"/>
      <c r="AD110" s="51" t="str">
        <f>IF(AB110="TGD",Proyeccion_Localidades!Z116,"-")</f>
        <v>-</v>
      </c>
      <c r="AE110" s="51" t="str">
        <f>IF($AB110="ALTH",Proyeccion_Localidades!AA116,"-")</f>
        <v>-</v>
      </c>
      <c r="AF110" s="51" t="str">
        <f>IF($AB110="ALTH",Proyeccion_Localidades!AB116,"-")</f>
        <v>-</v>
      </c>
      <c r="AG110" s="51"/>
      <c r="AH110" s="51"/>
      <c r="AI110" s="66">
        <f t="shared" si="5"/>
        <v>59911</v>
      </c>
    </row>
    <row r="111" spans="1:35" ht="24.95" customHeight="1">
      <c r="A111" s="86" t="str">
        <f>+Proyeccion_Localidades!C118</f>
        <v>Presidente Perón</v>
      </c>
      <c r="B111" s="70">
        <f>+B110+1</f>
        <v>107</v>
      </c>
      <c r="C111" s="88" t="str">
        <f>+Proyeccion_Localidades!B118</f>
        <v>Presidente Perón</v>
      </c>
      <c r="D111" s="261">
        <f t="shared" si="6"/>
        <v>107</v>
      </c>
      <c r="E111" s="72">
        <f>+Proyeccion_Localidades!F118</f>
        <v>80824</v>
      </c>
      <c r="F111" s="66">
        <f>IF($AB111="TGD",ROUND($E111*(1+$AD111)^(F$4-$E$4),0),IF($AB111="ALTH",ROUND($AE111+$AF111*F$4,0),IF($AB111="IR",ROUND(Proyeccion_Localidades!AC118,0),IF($AB111="RT",ROUND(Proyeccion_Localidades!AZ118,0),"*****"))))</f>
        <v>105499</v>
      </c>
      <c r="G111" s="66">
        <f>IF($AB111="TGD",ROUND($E111*(1+$AD111)^(G$4-$E$4),0),IF($AB111="ALTH",ROUND($AE111+$AF111*G$4,0),IF($AB111="IR",ROUND(Proyeccion_Localidades!AD118,0),IF($AB111="RT",ROUND(Proyeccion_Localidades!BA118,0),"*****"))))</f>
        <v>107614</v>
      </c>
      <c r="H111" s="66">
        <f>IF($AB111="TGD",ROUND($E111*(1+$AD111)^(H$4-$E$4),0),IF($AB111="ALTH",ROUND($AE111+$AF111*H$4,0),IF($AB111="IR",ROUND(Proyeccion_Localidades!AE118,0),IF($AB111="RT",ROUND(Proyeccion_Localidades!BB118,0),"*****"))))</f>
        <v>113959</v>
      </c>
      <c r="I111" s="66">
        <f>IF($AB111="TGD",ROUND($E111*(1+$AD111)^(I$4-$E$4),0),IF($AB111="ALTH",ROUND($AE111+$AF111*I$4,0),IF($AB111="IR",ROUND(Proyeccion_Localidades!AF118,0),IF($AB111="RT",ROUND(Proyeccion_Localidades!BC118,0),"*****"))))</f>
        <v>116074</v>
      </c>
      <c r="J111" s="66">
        <f>IF($AB111="TGD",ROUND($E111*(1+$AD111)^(J$4-$E$4),0),IF($AB111="ALTH",ROUND($AE111+$AF111*J$4,0),IF($AB111="IR",ROUND(Proyeccion_Localidades!AG118,0),IF($AB111="RT",ROUND(Proyeccion_Localidades!BD118,0),"*****"))))</f>
        <v>118189</v>
      </c>
      <c r="K111" s="66">
        <f>IF($AB111="TGD",ROUND($E111*(1+$AD111)^(K$4-$E$4),0),IF($AB111="ALTH",ROUND($AE111+$AF111*K$4,0),IF($AB111="IR",ROUND(Proyeccion_Localidades!AH118,0),IF($AB111="RT",ROUND(Proyeccion_Localidades!BE118,0),"*****"))))</f>
        <v>120304</v>
      </c>
      <c r="L111" s="66">
        <f>IF($AB111="TGD",ROUND($E111*(1+$AD111)^(L$4-$E$4),0),IF($AB111="ALTH",ROUND($AE111+$AF111*L$4,0),IF($AB111="IR",ROUND(Proyeccion_Localidades!AI118,0),IF($AB111="RT",ROUND(Proyeccion_Localidades!BF118,0),"*****"))))</f>
        <v>122420</v>
      </c>
      <c r="M111" s="66">
        <f>IF($AB111="TGD",ROUND($E111*(1+$AD111)^(M$4-$E$4),0),IF($AB111="ALTH",ROUND($AE111+$AF111*M$4,0),IF($AB111="IR",ROUND(Proyeccion_Localidades!AJ118,0),IF($AB111="RT",ROUND(Proyeccion_Localidades!BG118,0),"*****"))))</f>
        <v>124535</v>
      </c>
      <c r="N111" s="66">
        <f>IF($AB111="TGD",ROUND($E111*(1+$AD111)^(N$4-$E$4),0),IF($AB111="ALTH",ROUND($AE111+$AF111*N$4,0),IF($AB111="IR",ROUND(Proyeccion_Localidades!AK118,0),IF($AB111="RT",ROUND(Proyeccion_Localidades!BH118,0),"*****"))))</f>
        <v>126650</v>
      </c>
      <c r="O111" s="66">
        <f>IF($AB111="TGD",ROUND($E111*(1+$AD111)^(O$4-$E$4),0),IF($AB111="ALTH",ROUND($AE111+$AF111*O$4,0),IF($AB111="IR",ROUND(Proyeccion_Localidades!AL118,0),IF($AB111="RT",ROUND(Proyeccion_Localidades!BI118,0),"*****"))))</f>
        <v>128765</v>
      </c>
      <c r="P111" s="66">
        <f>IF($AB111="TGD",ROUND($E111*(1+$AD111)^(P$4-$E$4),0),IF($AB111="ALTH",ROUND($AE111+$AF111*P$4,0),IF($AB111="IR",ROUND(Proyeccion_Localidades!AM118,0),IF($AB111="RT",ROUND(Proyeccion_Localidades!BJ118,0),"*****"))))</f>
        <v>130880</v>
      </c>
      <c r="Q111" s="66">
        <f>IF($AB111="TGD",ROUND($E111*(1+$AD111)^(Q$4-$E$4),0),IF($AB111="ALTH",ROUND($AE111+$AF111*Q$4,0),IF($AB111="IR",ROUND(Proyeccion_Localidades!AN118,0),IF($AB111="RT",ROUND(Proyeccion_Localidades!BK118,0),"*****"))))</f>
        <v>132995</v>
      </c>
      <c r="R111" s="66">
        <f>IF($AB111="TGD",ROUND($E111*(1+$AD111)^(R$4-$E$4),0),IF($AB111="ALTH",ROUND($AE111+$AF111*R$4,0),IF($AB111="IR",ROUND(Proyeccion_Localidades!AO118,0),IF($AB111="RT",ROUND(Proyeccion_Localidades!BL118,0),"*****"))))</f>
        <v>135110</v>
      </c>
      <c r="S111" s="66">
        <f>IF($AB111="TGD",ROUND($E111*(1+$AD111)^(S$4-$E$4),0),IF($AB111="ALTH",ROUND($AE111+$AF111*S$4,0),IF($AB111="IR",ROUND(Proyeccion_Localidades!AP118,0),IF($AB111="RT",ROUND(Proyeccion_Localidades!BM118,0),"*****"))))</f>
        <v>137225</v>
      </c>
      <c r="T111" s="66">
        <f>IF($AB111="TGD",ROUND($E111*(1+$AD111)^(T$4-$E$4),0),IF($AB111="ALTH",ROUND($AE111+$AF111*T$4,0),IF($AB111="IR",ROUND(Proyeccion_Localidades!AQ118,0),IF($AB111="RT",ROUND(Proyeccion_Localidades!BN118,0),"*****"))))</f>
        <v>139341</v>
      </c>
      <c r="U111" s="66">
        <f>IF($AB111="TGD",ROUND($E111*(1+$AD111)^(U$4-$E$4),0),IF($AB111="ALTH",ROUND($AE111+$AF111*U$4,0),IF($AB111="IR",ROUND(Proyeccion_Localidades!AR118,0),IF($AB111="RT",ROUND(Proyeccion_Localidades!BO118,0),"*****"))))</f>
        <v>141456</v>
      </c>
      <c r="V111" s="66">
        <f>IF($AB111="TGD",ROUND($E111*(1+$AD111)^(V$4-$E$4),0),IF($AB111="ALTH",ROUND($AE111+$AF111*V$4,0),IF($AB111="IR",ROUND(Proyeccion_Localidades!AS118,0),IF($AB111="RT",ROUND(Proyeccion_Localidades!BP118,0),"*****"))))</f>
        <v>143571</v>
      </c>
      <c r="W111" s="66">
        <f>IF($AB111="TGD",ROUND($E111*(1+$AD111)^(W$4-$E$4),0),IF($AB111="ALTH",ROUND($AE111+$AF111*W$4,0),IF($AB111="IR",ROUND(Proyeccion_Localidades!AT118,0),IF($AB111="RT",ROUND(Proyeccion_Localidades!BQ118,0),"*****"))))</f>
        <v>145686</v>
      </c>
      <c r="X111" s="66">
        <f>IF($AB111="TGD",ROUND($E111*(1+$AD111)^(X$4-$E$4),0),IF($AB111="ALTH",ROUND($AE111+$AF111*X$4,0),IF($AB111="IR",ROUND(Proyeccion_Localidades!AU118,0),IF($AB111="RT",ROUND(Proyeccion_Localidades!BR118,0),"*****"))))</f>
        <v>147801</v>
      </c>
      <c r="Y111" s="66">
        <f>IF($AB111="TGD",ROUND($E111*(1+$AD111)^(Y$4-$E$4),0),IF($AB111="ALTH",ROUND($AE111+$AF111*Y$4,0),IF($AB111="IR",ROUND(Proyeccion_Localidades!AV118,0),IF($AB111="RT",ROUND(Proyeccion_Localidades!BS118,0),"*****"))))</f>
        <v>149916</v>
      </c>
      <c r="Z111" s="66">
        <f>IF($AB111="TGD",ROUND($E111*(1+$AD111)^(Z$4-$E$4),0),IF($AB111="ALTH",ROUND($AE111+$AF111*Z$4,0),IF($AB111="IR",ROUND(Proyeccion_Localidades!AW118,0),IF($AB111="RT",ROUND(Proyeccion_Localidades!BT118,0),"*****"))))</f>
        <v>152031</v>
      </c>
      <c r="AA111" s="66">
        <f>IF($AB111="TGD",ROUND($E111*(1+$AD111)^(AA$4-$E$4),0),IF($AB111="ALTH",ROUND($AE111+$AF111*AA$4,0),IF($AB111="IR",ROUND(Proyeccion_Localidades!AX118,0),IF($AB111="RT",ROUND(Proyeccion_Localidades!BU118,0),"*****"))))</f>
        <v>154146</v>
      </c>
      <c r="AB111" s="67" t="str">
        <f>Proyeccion_Localidades!N118</f>
        <v>ALTH</v>
      </c>
      <c r="AC111" s="68" t="s">
        <v>36</v>
      </c>
      <c r="AD111" s="51" t="str">
        <f>IF(AB111="TGD",Proyeccion_Localidades!Z118,"-")</f>
        <v>-</v>
      </c>
      <c r="AE111" s="51">
        <f>IF($AB111="ALTH",Proyeccion_Localidades!AA118,"-")</f>
        <v>-4171277.6236162353</v>
      </c>
      <c r="AF111" s="51">
        <f>IF($AB111="ALTH",Proyeccion_Localidades!AB118,"-")</f>
        <v>2115.1217712177117</v>
      </c>
      <c r="AG111" s="51"/>
      <c r="AH111" s="51"/>
      <c r="AI111" s="66">
        <f t="shared" si="5"/>
        <v>107614</v>
      </c>
    </row>
    <row r="112" spans="1:35" ht="24.95" customHeight="1">
      <c r="A112" s="86" t="str">
        <f>+Proyeccion_Localidades!C119</f>
        <v>Puán</v>
      </c>
      <c r="B112" s="70">
        <f t="shared" ref="B112:B139" si="7">+B111+1</f>
        <v>108</v>
      </c>
      <c r="C112" s="88" t="str">
        <f>+Proyeccion_Localidades!B119</f>
        <v>Puán</v>
      </c>
      <c r="D112" s="261">
        <f t="shared" si="6"/>
        <v>108</v>
      </c>
      <c r="E112" s="72">
        <f>+Proyeccion_Localidades!F119</f>
        <v>4743</v>
      </c>
      <c r="F112" s="66">
        <f>IF($AB112="TGD",ROUND($E112*(1+$AD112)^(F$4-$E$4),0),IF($AB112="ALTH",ROUND($AE112+$AF112*F$4,0),IF($AB112="IR",ROUND(Proyeccion_Localidades!AC119,0),IF($AB112="RT",ROUND(Proyeccion_Localidades!AZ119,0),"*****"))))</f>
        <v>4881</v>
      </c>
      <c r="G112" s="66">
        <f>IF($AB112="TGD",ROUND($E112*(1+$AD112)^(G$4-$E$4),0),IF($AB112="ALTH",ROUND($AE112+$AF112*G$4,0),IF($AB112="IR",ROUND(Proyeccion_Localidades!AD119,0),IF($AB112="RT",ROUND(Proyeccion_Localidades!BA119,0),"*****"))))</f>
        <v>4927</v>
      </c>
      <c r="H112" s="66">
        <f>IF($AB112="TGD",ROUND($E112*(1+$AD112)^(H$4-$E$4),0),IF($AB112="ALTH",ROUND($AE112+$AF112*H$4,0),IF($AB112="IR",ROUND(Proyeccion_Localidades!AE119,0),IF($AB112="RT",ROUND(Proyeccion_Localidades!BB119,0),"*****"))))</f>
        <v>5064</v>
      </c>
      <c r="I112" s="66">
        <f>IF($AB112="TGD",ROUND($E112*(1+$AD112)^(I$4-$E$4),0),IF($AB112="ALTH",ROUND($AE112+$AF112*I$4,0),IF($AB112="IR",ROUND(Proyeccion_Localidades!AF119,0),IF($AB112="RT",ROUND(Proyeccion_Localidades!BC119,0),"*****"))))</f>
        <v>5110</v>
      </c>
      <c r="J112" s="66">
        <f>IF($AB112="TGD",ROUND($E112*(1+$AD112)^(J$4-$E$4),0),IF($AB112="ALTH",ROUND($AE112+$AF112*J$4,0),IF($AB112="IR",ROUND(Proyeccion_Localidades!AG119,0),IF($AB112="RT",ROUND(Proyeccion_Localidades!BD119,0),"*****"))))</f>
        <v>5156</v>
      </c>
      <c r="K112" s="66">
        <f>IF($AB112="TGD",ROUND($E112*(1+$AD112)^(K$4-$E$4),0),IF($AB112="ALTH",ROUND($AE112+$AF112*K$4,0),IF($AB112="IR",ROUND(Proyeccion_Localidades!AH119,0),IF($AB112="RT",ROUND(Proyeccion_Localidades!BE119,0),"*****"))))</f>
        <v>5201</v>
      </c>
      <c r="L112" s="66">
        <f>IF($AB112="TGD",ROUND($E112*(1+$AD112)^(L$4-$E$4),0),IF($AB112="ALTH",ROUND($AE112+$AF112*L$4,0),IF($AB112="IR",ROUND(Proyeccion_Localidades!AI119,0),IF($AB112="RT",ROUND(Proyeccion_Localidades!BF119,0),"*****"))))</f>
        <v>5247</v>
      </c>
      <c r="M112" s="66">
        <f>IF($AB112="TGD",ROUND($E112*(1+$AD112)^(M$4-$E$4),0),IF($AB112="ALTH",ROUND($AE112+$AF112*M$4,0),IF($AB112="IR",ROUND(Proyeccion_Localidades!AJ119,0),IF($AB112="RT",ROUND(Proyeccion_Localidades!BG119,0),"*****"))))</f>
        <v>5314</v>
      </c>
      <c r="N112" s="66">
        <f>IF($AB112="TGD",ROUND($E112*(1+$AD112)^(N$4-$E$4),0),IF($AB112="ALTH",ROUND($AE112+$AF112*N$4,0),IF($AB112="IR",ROUND(Proyeccion_Localidades!AK119,0),IF($AB112="RT",ROUND(Proyeccion_Localidades!BH119,0),"*****"))))</f>
        <v>5380</v>
      </c>
      <c r="O112" s="66">
        <f>IF($AB112="TGD",ROUND($E112*(1+$AD112)^(O$4-$E$4),0),IF($AB112="ALTH",ROUND($AE112+$AF112*O$4,0),IF($AB112="IR",ROUND(Proyeccion_Localidades!AL119,0),IF($AB112="RT",ROUND(Proyeccion_Localidades!BI119,0),"*****"))))</f>
        <v>5447</v>
      </c>
      <c r="P112" s="66">
        <f>IF($AB112="TGD",ROUND($E112*(1+$AD112)^(P$4-$E$4),0),IF($AB112="ALTH",ROUND($AE112+$AF112*P$4,0),IF($AB112="IR",ROUND(Proyeccion_Localidades!AM119,0),IF($AB112="RT",ROUND(Proyeccion_Localidades!BJ119,0),"*****"))))</f>
        <v>5514</v>
      </c>
      <c r="Q112" s="66">
        <f>IF($AB112="TGD",ROUND($E112*(1+$AD112)^(Q$4-$E$4),0),IF($AB112="ALTH",ROUND($AE112+$AF112*Q$4,0),IF($AB112="IR",ROUND(Proyeccion_Localidades!AN119,0),IF($AB112="RT",ROUND(Proyeccion_Localidades!BK119,0),"*****"))))</f>
        <v>5580</v>
      </c>
      <c r="R112" s="66">
        <f>IF($AB112="TGD",ROUND($E112*(1+$AD112)^(R$4-$E$4),0),IF($AB112="ALTH",ROUND($AE112+$AF112*R$4,0),IF($AB112="IR",ROUND(Proyeccion_Localidades!AO119,0),IF($AB112="RT",ROUND(Proyeccion_Localidades!BL119,0),"*****"))))</f>
        <v>5647</v>
      </c>
      <c r="S112" s="66">
        <f>IF($AB112="TGD",ROUND($E112*(1+$AD112)^(S$4-$E$4),0),IF($AB112="ALTH",ROUND($AE112+$AF112*S$4,0),IF($AB112="IR",ROUND(Proyeccion_Localidades!AP119,0),IF($AB112="RT",ROUND(Proyeccion_Localidades!BM119,0),"*****"))))</f>
        <v>5714</v>
      </c>
      <c r="T112" s="66">
        <f>IF($AB112="TGD",ROUND($E112*(1+$AD112)^(T$4-$E$4),0),IF($AB112="ALTH",ROUND($AE112+$AF112*T$4,0),IF($AB112="IR",ROUND(Proyeccion_Localidades!AQ119,0),IF($AB112="RT",ROUND(Proyeccion_Localidades!BN119,0),"*****"))))</f>
        <v>5780</v>
      </c>
      <c r="U112" s="66">
        <f>IF($AB112="TGD",ROUND($E112*(1+$AD112)^(U$4-$E$4),0),IF($AB112="ALTH",ROUND($AE112+$AF112*U$4,0),IF($AB112="IR",ROUND(Proyeccion_Localidades!AR119,0),IF($AB112="RT",ROUND(Proyeccion_Localidades!BO119,0),"*****"))))</f>
        <v>5847</v>
      </c>
      <c r="V112" s="66">
        <f>IF($AB112="TGD",ROUND($E112*(1+$AD112)^(V$4-$E$4),0),IF($AB112="ALTH",ROUND($AE112+$AF112*V$4,0),IF($AB112="IR",ROUND(Proyeccion_Localidades!AS119,0),IF($AB112="RT",ROUND(Proyeccion_Localidades!BP119,0),"*****"))))</f>
        <v>5913</v>
      </c>
      <c r="W112" s="66">
        <f>IF($AB112="TGD",ROUND($E112*(1+$AD112)^(W$4-$E$4),0),IF($AB112="ALTH",ROUND($AE112+$AF112*W$4,0),IF($AB112="IR",ROUND(Proyeccion_Localidades!AT119,0),IF($AB112="RT",ROUND(Proyeccion_Localidades!BQ119,0),"*****"))))</f>
        <v>5980</v>
      </c>
      <c r="X112" s="66">
        <f>IF($AB112="TGD",ROUND($E112*(1+$AD112)^(X$4-$E$4),0),IF($AB112="ALTH",ROUND($AE112+$AF112*X$4,0),IF($AB112="IR",ROUND(Proyeccion_Localidades!AU119,0),IF($AB112="RT",ROUND(Proyeccion_Localidades!BR119,0),"*****"))))</f>
        <v>6047</v>
      </c>
      <c r="Y112" s="66">
        <f>IF($AB112="TGD",ROUND($E112*(1+$AD112)^(Y$4-$E$4),0),IF($AB112="ALTH",ROUND($AE112+$AF112*Y$4,0),IF($AB112="IR",ROUND(Proyeccion_Localidades!AV119,0),IF($AB112="RT",ROUND(Proyeccion_Localidades!BS119,0),"*****"))))</f>
        <v>6113</v>
      </c>
      <c r="Z112" s="66">
        <f>IF($AB112="TGD",ROUND($E112*(1+$AD112)^(Z$4-$E$4),0),IF($AB112="ALTH",ROUND($AE112+$AF112*Z$4,0),IF($AB112="IR",ROUND(Proyeccion_Localidades!AW119,0),IF($AB112="RT",ROUND(Proyeccion_Localidades!BT119,0),"*****"))))</f>
        <v>6180</v>
      </c>
      <c r="AA112" s="66">
        <f>IF($AB112="TGD",ROUND($E112*(1+$AD112)^(AA$4-$E$4),0),IF($AB112="ALTH",ROUND($AE112+$AF112*AA$4,0),IF($AB112="IR",ROUND(Proyeccion_Localidades!AX119,0),IF($AB112="RT",ROUND(Proyeccion_Localidades!BU119,0),"*****"))))</f>
        <v>6247</v>
      </c>
      <c r="AB112" s="67" t="str">
        <f>Proyeccion_Localidades!N119</f>
        <v>RT</v>
      </c>
      <c r="AC112" s="73"/>
      <c r="AD112" s="51" t="str">
        <f>IF(AB112="TGD",Proyeccion_Localidades!Z119,"-")</f>
        <v>-</v>
      </c>
      <c r="AE112" s="51" t="str">
        <f>IF($AB112="ALTH",Proyeccion_Localidades!AA119,"-")</f>
        <v>-</v>
      </c>
      <c r="AF112" s="51" t="str">
        <f>IF($AB112="ALTH",Proyeccion_Localidades!AB119,"-")</f>
        <v>-</v>
      </c>
      <c r="AG112" s="51"/>
      <c r="AH112" s="51"/>
      <c r="AI112" s="66">
        <f t="shared" si="5"/>
        <v>4927</v>
      </c>
    </row>
    <row r="113" spans="1:35" ht="24.95" customHeight="1">
      <c r="A113" s="86" t="str">
        <f>+Proyeccion_Localidades!C120</f>
        <v>Punta Indio</v>
      </c>
      <c r="B113" s="70">
        <f t="shared" si="7"/>
        <v>109</v>
      </c>
      <c r="C113" s="88" t="str">
        <f>+Proyeccion_Localidades!B120</f>
        <v>Verónica</v>
      </c>
      <c r="D113" s="261">
        <f t="shared" si="6"/>
        <v>109</v>
      </c>
      <c r="E113" s="72">
        <f>+Proyeccion_Localidades!F120</f>
        <v>6546</v>
      </c>
      <c r="F113" s="66">
        <f>IF($AB113="TGD",ROUND($E113*(1+$AD113)^(F$4-$E$4),0),IF($AB113="ALTH",ROUND($AE113+$AF113*F$4,0),IF($AB113="IR",ROUND(Proyeccion_Localidades!AC120,0),IF($AB113="RT",ROUND(Proyeccion_Localidades!AZ120,0),"*****"))))</f>
        <v>8271</v>
      </c>
      <c r="G113" s="66">
        <f>IF($AB113="TGD",ROUND($E113*(1+$AD113)^(G$4-$E$4),0),IF($AB113="ALTH",ROUND($AE113+$AF113*G$4,0),IF($AB113="IR",ROUND(Proyeccion_Localidades!AD120,0),IF($AB113="RT",ROUND(Proyeccion_Localidades!BA120,0),"*****"))))</f>
        <v>8431</v>
      </c>
      <c r="H113" s="66">
        <f>IF($AB113="TGD",ROUND($E113*(1+$AD113)^(H$4-$E$4),0),IF($AB113="ALTH",ROUND($AE113+$AF113*H$4,0),IF($AB113="IR",ROUND(Proyeccion_Localidades!AE120,0),IF($AB113="RT",ROUND(Proyeccion_Localidades!BB120,0),"*****"))))</f>
        <v>8925</v>
      </c>
      <c r="I113" s="66">
        <f>IF($AB113="TGD",ROUND($E113*(1+$AD113)^(I$4-$E$4),0),IF($AB113="ALTH",ROUND($AE113+$AF113*I$4,0),IF($AB113="IR",ROUND(Proyeccion_Localidades!AF120,0),IF($AB113="RT",ROUND(Proyeccion_Localidades!BC120,0),"*****"))))</f>
        <v>9095</v>
      </c>
      <c r="J113" s="66">
        <f>IF($AB113="TGD",ROUND($E113*(1+$AD113)^(J$4-$E$4),0),IF($AB113="ALTH",ROUND($AE113+$AF113*J$4,0),IF($AB113="IR",ROUND(Proyeccion_Localidades!AG120,0),IF($AB113="RT",ROUND(Proyeccion_Localidades!BD120,0),"*****"))))</f>
        <v>9268</v>
      </c>
      <c r="K113" s="66">
        <f>IF($AB113="TGD",ROUND($E113*(1+$AD113)^(K$4-$E$4),0),IF($AB113="ALTH",ROUND($AE113+$AF113*K$4,0),IF($AB113="IR",ROUND(Proyeccion_Localidades!AH120,0),IF($AB113="RT",ROUND(Proyeccion_Localidades!BE120,0),"*****"))))</f>
        <v>9444</v>
      </c>
      <c r="L113" s="66">
        <f>IF($AB113="TGD",ROUND($E113*(1+$AD113)^(L$4-$E$4),0),IF($AB113="ALTH",ROUND($AE113+$AF113*L$4,0),IF($AB113="IR",ROUND(Proyeccion_Localidades!AI120,0),IF($AB113="RT",ROUND(Proyeccion_Localidades!BF120,0),"*****"))))</f>
        <v>9622</v>
      </c>
      <c r="M113" s="66">
        <f>IF($AB113="TGD",ROUND($E113*(1+$AD113)^(M$4-$E$4),0),IF($AB113="ALTH",ROUND($AE113+$AF113*M$4,0),IF($AB113="IR",ROUND(Proyeccion_Localidades!AJ120,0),IF($AB113="RT",ROUND(Proyeccion_Localidades!BG120,0),"*****"))))</f>
        <v>9804</v>
      </c>
      <c r="N113" s="66">
        <f>IF($AB113="TGD",ROUND($E113*(1+$AD113)^(N$4-$E$4),0),IF($AB113="ALTH",ROUND($AE113+$AF113*N$4,0),IF($AB113="IR",ROUND(Proyeccion_Localidades!AK120,0),IF($AB113="RT",ROUND(Proyeccion_Localidades!BH120,0),"*****"))))</f>
        <v>9988</v>
      </c>
      <c r="O113" s="66">
        <f>IF($AB113="TGD",ROUND($E113*(1+$AD113)^(O$4-$E$4),0),IF($AB113="ALTH",ROUND($AE113+$AF113*O$4,0),IF($AB113="IR",ROUND(Proyeccion_Localidades!AL120,0),IF($AB113="RT",ROUND(Proyeccion_Localidades!BI120,0),"*****"))))</f>
        <v>10176</v>
      </c>
      <c r="P113" s="66">
        <f>IF($AB113="TGD",ROUND($E113*(1+$AD113)^(P$4-$E$4),0),IF($AB113="ALTH",ROUND($AE113+$AF113*P$4,0),IF($AB113="IR",ROUND(Proyeccion_Localidades!AM120,0),IF($AB113="RT",ROUND(Proyeccion_Localidades!BJ120,0),"*****"))))</f>
        <v>10366</v>
      </c>
      <c r="Q113" s="66">
        <f>IF($AB113="TGD",ROUND($E113*(1+$AD113)^(Q$4-$E$4),0),IF($AB113="ALTH",ROUND($AE113+$AF113*Q$4,0),IF($AB113="IR",ROUND(Proyeccion_Localidades!AN120,0),IF($AB113="RT",ROUND(Proyeccion_Localidades!BK120,0),"*****"))))</f>
        <v>10560</v>
      </c>
      <c r="R113" s="66">
        <f>IF($AB113="TGD",ROUND($E113*(1+$AD113)^(R$4-$E$4),0),IF($AB113="ALTH",ROUND($AE113+$AF113*R$4,0),IF($AB113="IR",ROUND(Proyeccion_Localidades!AO120,0),IF($AB113="RT",ROUND(Proyeccion_Localidades!BL120,0),"*****"))))</f>
        <v>10757</v>
      </c>
      <c r="S113" s="66">
        <f>IF($AB113="TGD",ROUND($E113*(1+$AD113)^(S$4-$E$4),0),IF($AB113="ALTH",ROUND($AE113+$AF113*S$4,0),IF($AB113="IR",ROUND(Proyeccion_Localidades!AP120,0),IF($AB113="RT",ROUND(Proyeccion_Localidades!BM120,0),"*****"))))</f>
        <v>10957</v>
      </c>
      <c r="T113" s="66">
        <f>IF($AB113="TGD",ROUND($E113*(1+$AD113)^(T$4-$E$4),0),IF($AB113="ALTH",ROUND($AE113+$AF113*T$4,0),IF($AB113="IR",ROUND(Proyeccion_Localidades!AQ120,0),IF($AB113="RT",ROUND(Proyeccion_Localidades!BN120,0),"*****"))))</f>
        <v>11160</v>
      </c>
      <c r="U113" s="66">
        <f>IF($AB113="TGD",ROUND($E113*(1+$AD113)^(U$4-$E$4),0),IF($AB113="ALTH",ROUND($AE113+$AF113*U$4,0),IF($AB113="IR",ROUND(Proyeccion_Localidades!AR120,0),IF($AB113="RT",ROUND(Proyeccion_Localidades!BO120,0),"*****"))))</f>
        <v>11367</v>
      </c>
      <c r="V113" s="66">
        <f>IF($AB113="TGD",ROUND($E113*(1+$AD113)^(V$4-$E$4),0),IF($AB113="ALTH",ROUND($AE113+$AF113*V$4,0),IF($AB113="IR",ROUND(Proyeccion_Localidades!AS120,0),IF($AB113="RT",ROUND(Proyeccion_Localidades!BP120,0),"*****"))))</f>
        <v>11577</v>
      </c>
      <c r="W113" s="66">
        <f>IF($AB113="TGD",ROUND($E113*(1+$AD113)^(W$4-$E$4),0),IF($AB113="ALTH",ROUND($AE113+$AF113*W$4,0),IF($AB113="IR",ROUND(Proyeccion_Localidades!AT120,0),IF($AB113="RT",ROUND(Proyeccion_Localidades!BQ120,0),"*****"))))</f>
        <v>11790</v>
      </c>
      <c r="X113" s="66">
        <f>IF($AB113="TGD",ROUND($E113*(1+$AD113)^(X$4-$E$4),0),IF($AB113="ALTH",ROUND($AE113+$AF113*X$4,0),IF($AB113="IR",ROUND(Proyeccion_Localidades!AU120,0),IF($AB113="RT",ROUND(Proyeccion_Localidades!BR120,0),"*****"))))</f>
        <v>12007</v>
      </c>
      <c r="Y113" s="66">
        <f>IF($AB113="TGD",ROUND($E113*(1+$AD113)^(Y$4-$E$4),0),IF($AB113="ALTH",ROUND($AE113+$AF113*Y$4,0),IF($AB113="IR",ROUND(Proyeccion_Localidades!AV120,0),IF($AB113="RT",ROUND(Proyeccion_Localidades!BS120,0),"*****"))))</f>
        <v>12227</v>
      </c>
      <c r="Z113" s="66">
        <f>IF($AB113="TGD",ROUND($E113*(1+$AD113)^(Z$4-$E$4),0),IF($AB113="ALTH",ROUND($AE113+$AF113*Z$4,0),IF($AB113="IR",ROUND(Proyeccion_Localidades!AW120,0),IF($AB113="RT",ROUND(Proyeccion_Localidades!BT120,0),"*****"))))</f>
        <v>12451</v>
      </c>
      <c r="AA113" s="66">
        <f>IF($AB113="TGD",ROUND($E113*(1+$AD113)^(AA$4-$E$4),0),IF($AB113="ALTH",ROUND($AE113+$AF113*AA$4,0),IF($AB113="IR",ROUND(Proyeccion_Localidades!AX120,0),IF($AB113="RT",ROUND(Proyeccion_Localidades!BU120,0),"*****"))))</f>
        <v>12679</v>
      </c>
      <c r="AB113" s="67" t="str">
        <f>Proyeccion_Localidades!N120</f>
        <v>IR</v>
      </c>
      <c r="AC113" s="73"/>
      <c r="AD113" s="51" t="str">
        <f>IF(AB113="TGD",Proyeccion_Localidades!Z120,"-")</f>
        <v>-</v>
      </c>
      <c r="AE113" s="51" t="str">
        <f>IF($AB113="ALTH",Proyeccion_Localidades!AA120,"-")</f>
        <v>-</v>
      </c>
      <c r="AF113" s="51" t="str">
        <f>IF($AB113="ALTH",Proyeccion_Localidades!AB120,"-")</f>
        <v>-</v>
      </c>
      <c r="AG113" s="51"/>
      <c r="AH113" s="51"/>
      <c r="AI113" s="66">
        <f t="shared" si="5"/>
        <v>8431</v>
      </c>
    </row>
    <row r="114" spans="1:35" ht="24.95" customHeight="1">
      <c r="A114" s="86" t="str">
        <f>+Proyeccion_Localidades!C121</f>
        <v>Ramallo</v>
      </c>
      <c r="B114" s="70">
        <f t="shared" si="7"/>
        <v>110</v>
      </c>
      <c r="C114" s="88" t="str">
        <f>+Proyeccion_Localidades!B121</f>
        <v>Ramallo</v>
      </c>
      <c r="D114" s="261">
        <f t="shared" si="6"/>
        <v>110</v>
      </c>
      <c r="E114" s="72">
        <f>+Proyeccion_Localidades!F121</f>
        <v>13319</v>
      </c>
      <c r="F114" s="66">
        <f>IF($AB114="TGD",ROUND($E114*(1+$AD114)^(F$4-$E$4),0),IF($AB114="ALTH",ROUND($AE114+$AF114*F$4,0),IF($AB114="IR",ROUND(Proyeccion_Localidades!AC121,0),IF($AB114="RT",ROUND(Proyeccion_Localidades!AZ121,0),"*****"))))</f>
        <v>15742</v>
      </c>
      <c r="G114" s="66">
        <f>IF($AB114="TGD",ROUND($E114*(1+$AD114)^(G$4-$E$4),0),IF($AB114="ALTH",ROUND($AE114+$AF114*G$4,0),IF($AB114="IR",ROUND(Proyeccion_Localidades!AD121,0),IF($AB114="RT",ROUND(Proyeccion_Localidades!BA121,0),"*****"))))</f>
        <v>15962</v>
      </c>
      <c r="H114" s="66">
        <f>IF($AB114="TGD",ROUND($E114*(1+$AD114)^(H$4-$E$4),0),IF($AB114="ALTH",ROUND($AE114+$AF114*H$4,0),IF($AB114="IR",ROUND(Proyeccion_Localidades!AE121,0),IF($AB114="RT",ROUND(Proyeccion_Localidades!BB121,0),"*****"))))</f>
        <v>16644</v>
      </c>
      <c r="I114" s="66">
        <f>IF($AB114="TGD",ROUND($E114*(1+$AD114)^(I$4-$E$4),0),IF($AB114="ALTH",ROUND($AE114+$AF114*I$4,0),IF($AB114="IR",ROUND(Proyeccion_Localidades!AF121,0),IF($AB114="RT",ROUND(Proyeccion_Localidades!BC121,0),"*****"))))</f>
        <v>16877</v>
      </c>
      <c r="J114" s="66">
        <f>IF($AB114="TGD",ROUND($E114*(1+$AD114)^(J$4-$E$4),0),IF($AB114="ALTH",ROUND($AE114+$AF114*J$4,0),IF($AB114="IR",ROUND(Proyeccion_Localidades!AG121,0),IF($AB114="RT",ROUND(Proyeccion_Localidades!BD121,0),"*****"))))</f>
        <v>17114</v>
      </c>
      <c r="K114" s="66">
        <f>IF($AB114="TGD",ROUND($E114*(1+$AD114)^(K$4-$E$4),0),IF($AB114="ALTH",ROUND($AE114+$AF114*K$4,0),IF($AB114="IR",ROUND(Proyeccion_Localidades!AH121,0),IF($AB114="RT",ROUND(Proyeccion_Localidades!BE121,0),"*****"))))</f>
        <v>17354</v>
      </c>
      <c r="L114" s="66">
        <f>IF($AB114="TGD",ROUND($E114*(1+$AD114)^(L$4-$E$4),0),IF($AB114="ALTH",ROUND($AE114+$AF114*L$4,0),IF($AB114="IR",ROUND(Proyeccion_Localidades!AI121,0),IF($AB114="RT",ROUND(Proyeccion_Localidades!BF121,0),"*****"))))</f>
        <v>17597</v>
      </c>
      <c r="M114" s="66">
        <f>IF($AB114="TGD",ROUND($E114*(1+$AD114)^(M$4-$E$4),0),IF($AB114="ALTH",ROUND($AE114+$AF114*M$4,0),IF($AB114="IR",ROUND(Proyeccion_Localidades!AJ121,0),IF($AB114="RT",ROUND(Proyeccion_Localidades!BG121,0),"*****"))))</f>
        <v>17844</v>
      </c>
      <c r="N114" s="66">
        <f>IF($AB114="TGD",ROUND($E114*(1+$AD114)^(N$4-$E$4),0),IF($AB114="ALTH",ROUND($AE114+$AF114*N$4,0),IF($AB114="IR",ROUND(Proyeccion_Localidades!AK121,0),IF($AB114="RT",ROUND(Proyeccion_Localidades!BH121,0),"*****"))))</f>
        <v>18094</v>
      </c>
      <c r="O114" s="66">
        <f>IF($AB114="TGD",ROUND($E114*(1+$AD114)^(O$4-$E$4),0),IF($AB114="ALTH",ROUND($AE114+$AF114*O$4,0),IF($AB114="IR",ROUND(Proyeccion_Localidades!AL121,0),IF($AB114="RT",ROUND(Proyeccion_Localidades!BI121,0),"*****"))))</f>
        <v>18348</v>
      </c>
      <c r="P114" s="66">
        <f>IF($AB114="TGD",ROUND($E114*(1+$AD114)^(P$4-$E$4),0),IF($AB114="ALTH",ROUND($AE114+$AF114*P$4,0),IF($AB114="IR",ROUND(Proyeccion_Localidades!AM121,0),IF($AB114="RT",ROUND(Proyeccion_Localidades!BJ121,0),"*****"))))</f>
        <v>18605</v>
      </c>
      <c r="Q114" s="66">
        <f>IF($AB114="TGD",ROUND($E114*(1+$AD114)^(Q$4-$E$4),0),IF($AB114="ALTH",ROUND($AE114+$AF114*Q$4,0),IF($AB114="IR",ROUND(Proyeccion_Localidades!AN121,0),IF($AB114="RT",ROUND(Proyeccion_Localidades!BK121,0),"*****"))))</f>
        <v>18866</v>
      </c>
      <c r="R114" s="66">
        <f>IF($AB114="TGD",ROUND($E114*(1+$AD114)^(R$4-$E$4),0),IF($AB114="ALTH",ROUND($AE114+$AF114*R$4,0),IF($AB114="IR",ROUND(Proyeccion_Localidades!AO121,0),IF($AB114="RT",ROUND(Proyeccion_Localidades!BL121,0),"*****"))))</f>
        <v>19131</v>
      </c>
      <c r="S114" s="66">
        <f>IF($AB114="TGD",ROUND($E114*(1+$AD114)^(S$4-$E$4),0),IF($AB114="ALTH",ROUND($AE114+$AF114*S$4,0),IF($AB114="IR",ROUND(Proyeccion_Localidades!AP121,0),IF($AB114="RT",ROUND(Proyeccion_Localidades!BM121,0),"*****"))))</f>
        <v>19399</v>
      </c>
      <c r="T114" s="66">
        <f>IF($AB114="TGD",ROUND($E114*(1+$AD114)^(T$4-$E$4),0),IF($AB114="ALTH",ROUND($AE114+$AF114*T$4,0),IF($AB114="IR",ROUND(Proyeccion_Localidades!AQ121,0),IF($AB114="RT",ROUND(Proyeccion_Localidades!BN121,0),"*****"))))</f>
        <v>19671</v>
      </c>
      <c r="U114" s="66">
        <f>IF($AB114="TGD",ROUND($E114*(1+$AD114)^(U$4-$E$4),0),IF($AB114="ALTH",ROUND($AE114+$AF114*U$4,0),IF($AB114="IR",ROUND(Proyeccion_Localidades!AR121,0),IF($AB114="RT",ROUND(Proyeccion_Localidades!BO121,0),"*****"))))</f>
        <v>19947</v>
      </c>
      <c r="V114" s="66">
        <f>IF($AB114="TGD",ROUND($E114*(1+$AD114)^(V$4-$E$4),0),IF($AB114="ALTH",ROUND($AE114+$AF114*V$4,0),IF($AB114="IR",ROUND(Proyeccion_Localidades!AS121,0),IF($AB114="RT",ROUND(Proyeccion_Localidades!BP121,0),"*****"))))</f>
        <v>20227</v>
      </c>
      <c r="W114" s="66">
        <f>IF($AB114="TGD",ROUND($E114*(1+$AD114)^(W$4-$E$4),0),IF($AB114="ALTH",ROUND($AE114+$AF114*W$4,0),IF($AB114="IR",ROUND(Proyeccion_Localidades!AT121,0),IF($AB114="RT",ROUND(Proyeccion_Localidades!BQ121,0),"*****"))))</f>
        <v>20510</v>
      </c>
      <c r="X114" s="66">
        <f>IF($AB114="TGD",ROUND($E114*(1+$AD114)^(X$4-$E$4),0),IF($AB114="ALTH",ROUND($AE114+$AF114*X$4,0),IF($AB114="IR",ROUND(Proyeccion_Localidades!AU121,0),IF($AB114="RT",ROUND(Proyeccion_Localidades!BR121,0),"*****"))))</f>
        <v>20798</v>
      </c>
      <c r="Y114" s="66">
        <f>IF($AB114="TGD",ROUND($E114*(1+$AD114)^(Y$4-$E$4),0),IF($AB114="ALTH",ROUND($AE114+$AF114*Y$4,0),IF($AB114="IR",ROUND(Proyeccion_Localidades!AV121,0),IF($AB114="RT",ROUND(Proyeccion_Localidades!BS121,0),"*****"))))</f>
        <v>21090</v>
      </c>
      <c r="Z114" s="66">
        <f>IF($AB114="TGD",ROUND($E114*(1+$AD114)^(Z$4-$E$4),0),IF($AB114="ALTH",ROUND($AE114+$AF114*Z$4,0),IF($AB114="IR",ROUND(Proyeccion_Localidades!AW121,0),IF($AB114="RT",ROUND(Proyeccion_Localidades!BT121,0),"*****"))))</f>
        <v>21385</v>
      </c>
      <c r="AA114" s="66">
        <f>IF($AB114="TGD",ROUND($E114*(1+$AD114)^(AA$4-$E$4),0),IF($AB114="ALTH",ROUND($AE114+$AF114*AA$4,0),IF($AB114="IR",ROUND(Proyeccion_Localidades!AX121,0),IF($AB114="RT",ROUND(Proyeccion_Localidades!BU121,0),"*****"))))</f>
        <v>21685</v>
      </c>
      <c r="AB114" s="67" t="str">
        <f>Proyeccion_Localidades!N121</f>
        <v>TGD</v>
      </c>
      <c r="AC114" s="68" t="s">
        <v>35</v>
      </c>
      <c r="AD114" s="51">
        <f>IF(AB114="TGD",Proyeccion_Localidades!Z121,"-")</f>
        <v>1.4024214135467505E-2</v>
      </c>
      <c r="AE114" s="51" t="str">
        <f>IF($AB114="ALTH",Proyeccion_Localidades!AA121,"-")</f>
        <v>-</v>
      </c>
      <c r="AF114" s="51" t="str">
        <f>IF($AB114="ALTH",Proyeccion_Localidades!AB121,"-")</f>
        <v>-</v>
      </c>
      <c r="AG114" s="51"/>
      <c r="AH114" s="51"/>
      <c r="AI114" s="66">
        <f t="shared" si="5"/>
        <v>15962</v>
      </c>
    </row>
    <row r="115" spans="1:35" ht="24.95" customHeight="1">
      <c r="A115" s="86" t="str">
        <f>+Proyeccion_Localidades!C122</f>
        <v>Rauch</v>
      </c>
      <c r="B115" s="70">
        <f t="shared" si="7"/>
        <v>111</v>
      </c>
      <c r="C115" s="88" t="str">
        <f>+Proyeccion_Localidades!B122</f>
        <v>Rauch</v>
      </c>
      <c r="D115" s="261">
        <f t="shared" si="6"/>
        <v>111</v>
      </c>
      <c r="E115" s="72">
        <f>+Proyeccion_Localidades!F122</f>
        <v>12705</v>
      </c>
      <c r="F115" s="66">
        <f>IF($AB115="TGD",ROUND($E115*(1+$AD115)^(F$4-$E$4),0),IF($AB115="ALTH",ROUND($AE115+$AF115*F$4,0),IF($AB115="IR",ROUND(Proyeccion_Localidades!AC122,0),IF($AB115="RT",ROUND(Proyeccion_Localidades!AZ122,0),"*****"))))</f>
        <v>14210</v>
      </c>
      <c r="G115" s="66">
        <f>IF($AB115="TGD",ROUND($E115*(1+$AD115)^(G$4-$E$4),0),IF($AB115="ALTH",ROUND($AE115+$AF115*G$4,0),IF($AB115="IR",ROUND(Proyeccion_Localidades!AD122,0),IF($AB115="RT",ROUND(Proyeccion_Localidades!BA122,0),"*****"))))</f>
        <v>14338</v>
      </c>
      <c r="H115" s="66">
        <f>IF($AB115="TGD",ROUND($E115*(1+$AD115)^(H$4-$E$4),0),IF($AB115="ALTH",ROUND($AE115+$AF115*H$4,0),IF($AB115="IR",ROUND(Proyeccion_Localidades!AE122,0),IF($AB115="RT",ROUND(Proyeccion_Localidades!BB122,0),"*****"))))</f>
        <v>14720</v>
      </c>
      <c r="I115" s="66">
        <f>IF($AB115="TGD",ROUND($E115*(1+$AD115)^(I$4-$E$4),0),IF($AB115="ALTH",ROUND($AE115+$AF115*I$4,0),IF($AB115="IR",ROUND(Proyeccion_Localidades!AF122,0),IF($AB115="RT",ROUND(Proyeccion_Localidades!BC122,0),"*****"))))</f>
        <v>14848</v>
      </c>
      <c r="J115" s="66">
        <f>IF($AB115="TGD",ROUND($E115*(1+$AD115)^(J$4-$E$4),0),IF($AB115="ALTH",ROUND($AE115+$AF115*J$4,0),IF($AB115="IR",ROUND(Proyeccion_Localidades!AG122,0),IF($AB115="RT",ROUND(Proyeccion_Localidades!BD122,0),"*****"))))</f>
        <v>14975</v>
      </c>
      <c r="K115" s="66">
        <f>IF($AB115="TGD",ROUND($E115*(1+$AD115)^(K$4-$E$4),0),IF($AB115="ALTH",ROUND($AE115+$AF115*K$4,0),IF($AB115="IR",ROUND(Proyeccion_Localidades!AH122,0),IF($AB115="RT",ROUND(Proyeccion_Localidades!BE122,0),"*****"))))</f>
        <v>15103</v>
      </c>
      <c r="L115" s="66">
        <f>IF($AB115="TGD",ROUND($E115*(1+$AD115)^(L$4-$E$4),0),IF($AB115="ALTH",ROUND($AE115+$AF115*L$4,0),IF($AB115="IR",ROUND(Proyeccion_Localidades!AI122,0),IF($AB115="RT",ROUND(Proyeccion_Localidades!BF122,0),"*****"))))</f>
        <v>15230</v>
      </c>
      <c r="M115" s="66">
        <f>IF($AB115="TGD",ROUND($E115*(1+$AD115)^(M$4-$E$4),0),IF($AB115="ALTH",ROUND($AE115+$AF115*M$4,0),IF($AB115="IR",ROUND(Proyeccion_Localidades!AJ122,0),IF($AB115="RT",ROUND(Proyeccion_Localidades!BG122,0),"*****"))))</f>
        <v>15358</v>
      </c>
      <c r="N115" s="66">
        <f>IF($AB115="TGD",ROUND($E115*(1+$AD115)^(N$4-$E$4),0),IF($AB115="ALTH",ROUND($AE115+$AF115*N$4,0),IF($AB115="IR",ROUND(Proyeccion_Localidades!AK122,0),IF($AB115="RT",ROUND(Proyeccion_Localidades!BH122,0),"*****"))))</f>
        <v>15486</v>
      </c>
      <c r="O115" s="66">
        <f>IF($AB115="TGD",ROUND($E115*(1+$AD115)^(O$4-$E$4),0),IF($AB115="ALTH",ROUND($AE115+$AF115*O$4,0),IF($AB115="IR",ROUND(Proyeccion_Localidades!AL122,0),IF($AB115="RT",ROUND(Proyeccion_Localidades!BI122,0),"*****"))))</f>
        <v>15613</v>
      </c>
      <c r="P115" s="66">
        <f>IF($AB115="TGD",ROUND($E115*(1+$AD115)^(P$4-$E$4),0),IF($AB115="ALTH",ROUND($AE115+$AF115*P$4,0),IF($AB115="IR",ROUND(Proyeccion_Localidades!AM122,0),IF($AB115="RT",ROUND(Proyeccion_Localidades!BJ122,0),"*****"))))</f>
        <v>15741</v>
      </c>
      <c r="Q115" s="66">
        <f>IF($AB115="TGD",ROUND($E115*(1+$AD115)^(Q$4-$E$4),0),IF($AB115="ALTH",ROUND($AE115+$AF115*Q$4,0),IF($AB115="IR",ROUND(Proyeccion_Localidades!AN122,0),IF($AB115="RT",ROUND(Proyeccion_Localidades!BK122,0),"*****"))))</f>
        <v>15868</v>
      </c>
      <c r="R115" s="66">
        <f>IF($AB115="TGD",ROUND($E115*(1+$AD115)^(R$4-$E$4),0),IF($AB115="ALTH",ROUND($AE115+$AF115*R$4,0),IF($AB115="IR",ROUND(Proyeccion_Localidades!AO122,0),IF($AB115="RT",ROUND(Proyeccion_Localidades!BL122,0),"*****"))))</f>
        <v>15996</v>
      </c>
      <c r="S115" s="66">
        <f>IF($AB115="TGD",ROUND($E115*(1+$AD115)^(S$4-$E$4),0),IF($AB115="ALTH",ROUND($AE115+$AF115*S$4,0),IF($AB115="IR",ROUND(Proyeccion_Localidades!AP122,0),IF($AB115="RT",ROUND(Proyeccion_Localidades!BM122,0),"*****"))))</f>
        <v>16123</v>
      </c>
      <c r="T115" s="66">
        <f>IF($AB115="TGD",ROUND($E115*(1+$AD115)^(T$4-$E$4),0),IF($AB115="ALTH",ROUND($AE115+$AF115*T$4,0),IF($AB115="IR",ROUND(Proyeccion_Localidades!AQ122,0),IF($AB115="RT",ROUND(Proyeccion_Localidades!BN122,0),"*****"))))</f>
        <v>16251</v>
      </c>
      <c r="U115" s="66">
        <f>IF($AB115="TGD",ROUND($E115*(1+$AD115)^(U$4-$E$4),0),IF($AB115="ALTH",ROUND($AE115+$AF115*U$4,0),IF($AB115="IR",ROUND(Proyeccion_Localidades!AR122,0),IF($AB115="RT",ROUND(Proyeccion_Localidades!BO122,0),"*****"))))</f>
        <v>16378</v>
      </c>
      <c r="V115" s="66">
        <f>IF($AB115="TGD",ROUND($E115*(1+$AD115)^(V$4-$E$4),0),IF($AB115="ALTH",ROUND($AE115+$AF115*V$4,0),IF($AB115="IR",ROUND(Proyeccion_Localidades!AS122,0),IF($AB115="RT",ROUND(Proyeccion_Localidades!BP122,0),"*****"))))</f>
        <v>16506</v>
      </c>
      <c r="W115" s="66">
        <f>IF($AB115="TGD",ROUND($E115*(1+$AD115)^(W$4-$E$4),0),IF($AB115="ALTH",ROUND($AE115+$AF115*W$4,0),IF($AB115="IR",ROUND(Proyeccion_Localidades!AT122,0),IF($AB115="RT",ROUND(Proyeccion_Localidades!BQ122,0),"*****"))))</f>
        <v>16634</v>
      </c>
      <c r="X115" s="66">
        <f>IF($AB115="TGD",ROUND($E115*(1+$AD115)^(X$4-$E$4),0),IF($AB115="ALTH",ROUND($AE115+$AF115*X$4,0),IF($AB115="IR",ROUND(Proyeccion_Localidades!AU122,0),IF($AB115="RT",ROUND(Proyeccion_Localidades!BR122,0),"*****"))))</f>
        <v>16761</v>
      </c>
      <c r="Y115" s="66">
        <f>IF($AB115="TGD",ROUND($E115*(1+$AD115)^(Y$4-$E$4),0),IF($AB115="ALTH",ROUND($AE115+$AF115*Y$4,0),IF($AB115="IR",ROUND(Proyeccion_Localidades!AV122,0),IF($AB115="RT",ROUND(Proyeccion_Localidades!BS122,0),"*****"))))</f>
        <v>16889</v>
      </c>
      <c r="Z115" s="66">
        <f>IF($AB115="TGD",ROUND($E115*(1+$AD115)^(Z$4-$E$4),0),IF($AB115="ALTH",ROUND($AE115+$AF115*Z$4,0),IF($AB115="IR",ROUND(Proyeccion_Localidades!AW122,0),IF($AB115="RT",ROUND(Proyeccion_Localidades!BT122,0),"*****"))))</f>
        <v>17016</v>
      </c>
      <c r="AA115" s="66">
        <f>IF($AB115="TGD",ROUND($E115*(1+$AD115)^(AA$4-$E$4),0),IF($AB115="ALTH",ROUND($AE115+$AF115*AA$4,0),IF($AB115="IR",ROUND(Proyeccion_Localidades!AX122,0),IF($AB115="RT",ROUND(Proyeccion_Localidades!BU122,0),"*****"))))</f>
        <v>17144</v>
      </c>
      <c r="AB115" s="67" t="str">
        <f>Proyeccion_Localidades!N122</f>
        <v>ALTH</v>
      </c>
      <c r="AC115" s="68" t="s">
        <v>36</v>
      </c>
      <c r="AD115" s="51" t="str">
        <f>IF(AB115="TGD",Proyeccion_Localidades!Z122,"-")</f>
        <v>-</v>
      </c>
      <c r="AE115" s="51">
        <f>IF($AB115="ALTH",Proyeccion_Localidades!AA122,"-")</f>
        <v>-243695.66420664199</v>
      </c>
      <c r="AF115" s="51">
        <f>IF($AB115="ALTH",Proyeccion_Localidades!AB122,"-")</f>
        <v>127.54981549815494</v>
      </c>
      <c r="AG115" s="51"/>
      <c r="AH115" s="51"/>
      <c r="AI115" s="66">
        <f t="shared" si="5"/>
        <v>14338</v>
      </c>
    </row>
    <row r="116" spans="1:35" ht="24.95" customHeight="1">
      <c r="A116" s="86" t="str">
        <f>+Proyeccion_Localidades!C123</f>
        <v>Rivadavia</v>
      </c>
      <c r="B116" s="70">
        <f t="shared" si="7"/>
        <v>112</v>
      </c>
      <c r="C116" s="88" t="str">
        <f>+Proyeccion_Localidades!B123</f>
        <v>América</v>
      </c>
      <c r="D116" s="261">
        <f t="shared" si="6"/>
        <v>112</v>
      </c>
      <c r="E116" s="72">
        <f>+Proyeccion_Localidades!F123</f>
        <v>11685</v>
      </c>
      <c r="F116" s="66">
        <f>IF($AB116="TGD",ROUND($E116*(1+$AD116)^(F$4-$E$4),0),IF($AB116="ALTH",ROUND($AE116+$AF116*F$4,0),IF($AB116="IR",ROUND(Proyeccion_Localidades!AC123,0),IF($AB116="RT",ROUND(Proyeccion_Localidades!AZ123,0),"*****"))))</f>
        <v>13341</v>
      </c>
      <c r="G116" s="66">
        <f>IF($AB116="TGD",ROUND($E116*(1+$AD116)^(G$4-$E$4),0),IF($AB116="ALTH",ROUND($AE116+$AF116*G$4,0),IF($AB116="IR",ROUND(Proyeccion_Localidades!AD123,0),IF($AB116="RT",ROUND(Proyeccion_Localidades!BA123,0),"*****"))))</f>
        <v>13481</v>
      </c>
      <c r="H116" s="66">
        <f>IF($AB116="TGD",ROUND($E116*(1+$AD116)^(H$4-$E$4),0),IF($AB116="ALTH",ROUND($AE116+$AF116*H$4,0),IF($AB116="IR",ROUND(Proyeccion_Localidades!AE123,0),IF($AB116="RT",ROUND(Proyeccion_Localidades!BB123,0),"*****"))))</f>
        <v>13901</v>
      </c>
      <c r="I116" s="66">
        <f>IF($AB116="TGD",ROUND($E116*(1+$AD116)^(I$4-$E$4),0),IF($AB116="ALTH",ROUND($AE116+$AF116*I$4,0),IF($AB116="IR",ROUND(Proyeccion_Localidades!AF123,0),IF($AB116="RT",ROUND(Proyeccion_Localidades!BC123,0),"*****"))))</f>
        <v>14041</v>
      </c>
      <c r="J116" s="66">
        <f>IF($AB116="TGD",ROUND($E116*(1+$AD116)^(J$4-$E$4),0),IF($AB116="ALTH",ROUND($AE116+$AF116*J$4,0),IF($AB116="IR",ROUND(Proyeccion_Localidades!AG123,0),IF($AB116="RT",ROUND(Proyeccion_Localidades!BD123,0),"*****"))))</f>
        <v>14180</v>
      </c>
      <c r="K116" s="66">
        <f>IF($AB116="TGD",ROUND($E116*(1+$AD116)^(K$4-$E$4),0),IF($AB116="ALTH",ROUND($AE116+$AF116*K$4,0),IF($AB116="IR",ROUND(Proyeccion_Localidades!AH123,0),IF($AB116="RT",ROUND(Proyeccion_Localidades!BE123,0),"*****"))))</f>
        <v>14320</v>
      </c>
      <c r="L116" s="66">
        <f>IF($AB116="TGD",ROUND($E116*(1+$AD116)^(L$4-$E$4),0),IF($AB116="ALTH",ROUND($AE116+$AF116*L$4,0),IF($AB116="IR",ROUND(Proyeccion_Localidades!AI123,0),IF($AB116="RT",ROUND(Proyeccion_Localidades!BF123,0),"*****"))))</f>
        <v>14460</v>
      </c>
      <c r="M116" s="66">
        <f>IF($AB116="TGD",ROUND($E116*(1+$AD116)^(M$4-$E$4),0),IF($AB116="ALTH",ROUND($AE116+$AF116*M$4,0),IF($AB116="IR",ROUND(Proyeccion_Localidades!AJ123,0),IF($AB116="RT",ROUND(Proyeccion_Localidades!BG123,0),"*****"))))</f>
        <v>14600</v>
      </c>
      <c r="N116" s="66">
        <f>IF($AB116="TGD",ROUND($E116*(1+$AD116)^(N$4-$E$4),0),IF($AB116="ALTH",ROUND($AE116+$AF116*N$4,0),IF($AB116="IR",ROUND(Proyeccion_Localidades!AK123,0),IF($AB116="RT",ROUND(Proyeccion_Localidades!BH123,0),"*****"))))</f>
        <v>14740</v>
      </c>
      <c r="O116" s="66">
        <f>IF($AB116="TGD",ROUND($E116*(1+$AD116)^(O$4-$E$4),0),IF($AB116="ALTH",ROUND($AE116+$AF116*O$4,0),IF($AB116="IR",ROUND(Proyeccion_Localidades!AL123,0),IF($AB116="RT",ROUND(Proyeccion_Localidades!BI123,0),"*****"))))</f>
        <v>14880</v>
      </c>
      <c r="P116" s="66">
        <f>IF($AB116="TGD",ROUND($E116*(1+$AD116)^(P$4-$E$4),0),IF($AB116="ALTH",ROUND($AE116+$AF116*P$4,0),IF($AB116="IR",ROUND(Proyeccion_Localidades!AM123,0),IF($AB116="RT",ROUND(Proyeccion_Localidades!BJ123,0),"*****"))))</f>
        <v>15020</v>
      </c>
      <c r="Q116" s="66">
        <f>IF($AB116="TGD",ROUND($E116*(1+$AD116)^(Q$4-$E$4),0),IF($AB116="ALTH",ROUND($AE116+$AF116*Q$4,0),IF($AB116="IR",ROUND(Proyeccion_Localidades!AN123,0),IF($AB116="RT",ROUND(Proyeccion_Localidades!BK123,0),"*****"))))</f>
        <v>15160</v>
      </c>
      <c r="R116" s="66">
        <f>IF($AB116="TGD",ROUND($E116*(1+$AD116)^(R$4-$E$4),0),IF($AB116="ALTH",ROUND($AE116+$AF116*R$4,0),IF($AB116="IR",ROUND(Proyeccion_Localidades!AO123,0),IF($AB116="RT",ROUND(Proyeccion_Localidades!BL123,0),"*****"))))</f>
        <v>15299</v>
      </c>
      <c r="S116" s="66">
        <f>IF($AB116="TGD",ROUND($E116*(1+$AD116)^(S$4-$E$4),0),IF($AB116="ALTH",ROUND($AE116+$AF116*S$4,0),IF($AB116="IR",ROUND(Proyeccion_Localidades!AP123,0),IF($AB116="RT",ROUND(Proyeccion_Localidades!BM123,0),"*****"))))</f>
        <v>15439</v>
      </c>
      <c r="T116" s="66">
        <f>IF($AB116="TGD",ROUND($E116*(1+$AD116)^(T$4-$E$4),0),IF($AB116="ALTH",ROUND($AE116+$AF116*T$4,0),IF($AB116="IR",ROUND(Proyeccion_Localidades!AQ123,0),IF($AB116="RT",ROUND(Proyeccion_Localidades!BN123,0),"*****"))))</f>
        <v>15579</v>
      </c>
      <c r="U116" s="66">
        <f>IF($AB116="TGD",ROUND($E116*(1+$AD116)^(U$4-$E$4),0),IF($AB116="ALTH",ROUND($AE116+$AF116*U$4,0),IF($AB116="IR",ROUND(Proyeccion_Localidades!AR123,0),IF($AB116="RT",ROUND(Proyeccion_Localidades!BO123,0),"*****"))))</f>
        <v>15719</v>
      </c>
      <c r="V116" s="66">
        <f>IF($AB116="TGD",ROUND($E116*(1+$AD116)^(V$4-$E$4),0),IF($AB116="ALTH",ROUND($AE116+$AF116*V$4,0),IF($AB116="IR",ROUND(Proyeccion_Localidades!AS123,0),IF($AB116="RT",ROUND(Proyeccion_Localidades!BP123,0),"*****"))))</f>
        <v>15859</v>
      </c>
      <c r="W116" s="66">
        <f>IF($AB116="TGD",ROUND($E116*(1+$AD116)^(W$4-$E$4),0),IF($AB116="ALTH",ROUND($AE116+$AF116*W$4,0),IF($AB116="IR",ROUND(Proyeccion_Localidades!AT123,0),IF($AB116="RT",ROUND(Proyeccion_Localidades!BQ123,0),"*****"))))</f>
        <v>15999</v>
      </c>
      <c r="X116" s="66">
        <f>IF($AB116="TGD",ROUND($E116*(1+$AD116)^(X$4-$E$4),0),IF($AB116="ALTH",ROUND($AE116+$AF116*X$4,0),IF($AB116="IR",ROUND(Proyeccion_Localidades!AU123,0),IF($AB116="RT",ROUND(Proyeccion_Localidades!BR123,0),"*****"))))</f>
        <v>16139</v>
      </c>
      <c r="Y116" s="66">
        <f>IF($AB116="TGD",ROUND($E116*(1+$AD116)^(Y$4-$E$4),0),IF($AB116="ALTH",ROUND($AE116+$AF116*Y$4,0),IF($AB116="IR",ROUND(Proyeccion_Localidades!AV123,0),IF($AB116="RT",ROUND(Proyeccion_Localidades!BS123,0),"*****"))))</f>
        <v>16279</v>
      </c>
      <c r="Z116" s="66">
        <f>IF($AB116="TGD",ROUND($E116*(1+$AD116)^(Z$4-$E$4),0),IF($AB116="ALTH",ROUND($AE116+$AF116*Z$4,0),IF($AB116="IR",ROUND(Proyeccion_Localidades!AW123,0),IF($AB116="RT",ROUND(Proyeccion_Localidades!BT123,0),"*****"))))</f>
        <v>16419</v>
      </c>
      <c r="AA116" s="66">
        <f>IF($AB116="TGD",ROUND($E116*(1+$AD116)^(AA$4-$E$4),0),IF($AB116="ALTH",ROUND($AE116+$AF116*AA$4,0),IF($AB116="IR",ROUND(Proyeccion_Localidades!AX123,0),IF($AB116="RT",ROUND(Proyeccion_Localidades!BU123,0),"*****"))))</f>
        <v>16558</v>
      </c>
      <c r="AB116" s="67" t="str">
        <f>Proyeccion_Localidades!N123</f>
        <v>ALTH</v>
      </c>
      <c r="AC116" s="68" t="s">
        <v>36</v>
      </c>
      <c r="AD116" s="51" t="str">
        <f>IF(AB116="TGD",Proyeccion_Localidades!Z123,"-")</f>
        <v>-</v>
      </c>
      <c r="AE116" s="51">
        <f>IF($AB116="ALTH",Proyeccion_Localidades!AA123,"-")</f>
        <v>-269500.09225092252</v>
      </c>
      <c r="AF116" s="51">
        <f>IF($AB116="ALTH",Proyeccion_Localidades!AB123,"-")</f>
        <v>139.8819188191882</v>
      </c>
      <c r="AG116" s="51"/>
      <c r="AH116" s="51"/>
      <c r="AI116" s="66">
        <f t="shared" si="5"/>
        <v>13481</v>
      </c>
    </row>
    <row r="117" spans="1:35" ht="24.95" customHeight="1">
      <c r="A117" s="86" t="str">
        <f>+Proyeccion_Localidades!C124</f>
        <v>Rojas</v>
      </c>
      <c r="B117" s="70">
        <f t="shared" si="7"/>
        <v>113</v>
      </c>
      <c r="C117" s="88" t="str">
        <f>+Proyeccion_Localidades!B124</f>
        <v>Rojas</v>
      </c>
      <c r="D117" s="261">
        <f t="shared" si="6"/>
        <v>113</v>
      </c>
      <c r="E117" s="72">
        <f>+Proyeccion_Localidades!F124</f>
        <v>19766</v>
      </c>
      <c r="F117" s="66">
        <f>IF($AB117="TGD",ROUND($E117*(1+$AD117)^(F$4-$E$4),0),IF($AB117="ALTH",ROUND($AE117+$AF117*F$4,0),IF($AB117="IR",ROUND(Proyeccion_Localidades!AC124,0),IF($AB117="RT",ROUND(Proyeccion_Localidades!AZ124,0),"*****"))))</f>
        <v>21270</v>
      </c>
      <c r="G117" s="66">
        <f>IF($AB117="TGD",ROUND($E117*(1+$AD117)^(G$4-$E$4),0),IF($AB117="ALTH",ROUND($AE117+$AF117*G$4,0),IF($AB117="IR",ROUND(Proyeccion_Localidades!AD124,0),IF($AB117="RT",ROUND(Proyeccion_Localidades!BA124,0),"*****"))))</f>
        <v>21401</v>
      </c>
      <c r="H117" s="66">
        <f>IF($AB117="TGD",ROUND($E117*(1+$AD117)^(H$4-$E$4),0),IF($AB117="ALTH",ROUND($AE117+$AF117*H$4,0),IF($AB117="IR",ROUND(Proyeccion_Localidades!AE124,0),IF($AB117="RT",ROUND(Proyeccion_Localidades!BB124,0),"*****"))))</f>
        <v>21797</v>
      </c>
      <c r="I117" s="66">
        <f>IF($AB117="TGD",ROUND($E117*(1+$AD117)^(I$4-$E$4),0),IF($AB117="ALTH",ROUND($AE117+$AF117*I$4,0),IF($AB117="IR",ROUND(Proyeccion_Localidades!AF124,0),IF($AB117="RT",ROUND(Proyeccion_Localidades!BC124,0),"*****"))))</f>
        <v>21930</v>
      </c>
      <c r="J117" s="66">
        <f>IF($AB117="TGD",ROUND($E117*(1+$AD117)^(J$4-$E$4),0),IF($AB117="ALTH",ROUND($AE117+$AF117*J$4,0),IF($AB117="IR",ROUND(Proyeccion_Localidades!AG124,0),IF($AB117="RT",ROUND(Proyeccion_Localidades!BD124,0),"*****"))))</f>
        <v>22065</v>
      </c>
      <c r="K117" s="66">
        <f>IF($AB117="TGD",ROUND($E117*(1+$AD117)^(K$4-$E$4),0),IF($AB117="ALTH",ROUND($AE117+$AF117*K$4,0),IF($AB117="IR",ROUND(Proyeccion_Localidades!AH124,0),IF($AB117="RT",ROUND(Proyeccion_Localidades!BE124,0),"*****"))))</f>
        <v>22200</v>
      </c>
      <c r="L117" s="66">
        <f>IF($AB117="TGD",ROUND($E117*(1+$AD117)^(L$4-$E$4),0),IF($AB117="ALTH",ROUND($AE117+$AF117*L$4,0),IF($AB117="IR",ROUND(Proyeccion_Localidades!AI124,0),IF($AB117="RT",ROUND(Proyeccion_Localidades!BF124,0),"*****"))))</f>
        <v>22336</v>
      </c>
      <c r="M117" s="66">
        <f>IF($AB117="TGD",ROUND($E117*(1+$AD117)^(M$4-$E$4),0),IF($AB117="ALTH",ROUND($AE117+$AF117*M$4,0),IF($AB117="IR",ROUND(Proyeccion_Localidades!AJ124,0),IF($AB117="RT",ROUND(Proyeccion_Localidades!BG124,0),"*****"))))</f>
        <v>22473</v>
      </c>
      <c r="N117" s="66">
        <f>IF($AB117="TGD",ROUND($E117*(1+$AD117)^(N$4-$E$4),0),IF($AB117="ALTH",ROUND($AE117+$AF117*N$4,0),IF($AB117="IR",ROUND(Proyeccion_Localidades!AK124,0),IF($AB117="RT",ROUND(Proyeccion_Localidades!BH124,0),"*****"))))</f>
        <v>22611</v>
      </c>
      <c r="O117" s="66">
        <f>IF($AB117="TGD",ROUND($E117*(1+$AD117)^(O$4-$E$4),0),IF($AB117="ALTH",ROUND($AE117+$AF117*O$4,0),IF($AB117="IR",ROUND(Proyeccion_Localidades!AL124,0),IF($AB117="RT",ROUND(Proyeccion_Localidades!BI124,0),"*****"))))</f>
        <v>22750</v>
      </c>
      <c r="P117" s="66">
        <f>IF($AB117="TGD",ROUND($E117*(1+$AD117)^(P$4-$E$4),0),IF($AB117="ALTH",ROUND($AE117+$AF117*P$4,0),IF($AB117="IR",ROUND(Proyeccion_Localidades!AM124,0),IF($AB117="RT",ROUND(Proyeccion_Localidades!BJ124,0),"*****"))))</f>
        <v>22889</v>
      </c>
      <c r="Q117" s="66">
        <f>IF($AB117="TGD",ROUND($E117*(1+$AD117)^(Q$4-$E$4),0),IF($AB117="ALTH",ROUND($AE117+$AF117*Q$4,0),IF($AB117="IR",ROUND(Proyeccion_Localidades!AN124,0),IF($AB117="RT",ROUND(Proyeccion_Localidades!BK124,0),"*****"))))</f>
        <v>23029</v>
      </c>
      <c r="R117" s="66">
        <f>IF($AB117="TGD",ROUND($E117*(1+$AD117)^(R$4-$E$4),0),IF($AB117="ALTH",ROUND($AE117+$AF117*R$4,0),IF($AB117="IR",ROUND(Proyeccion_Localidades!AO124,0),IF($AB117="RT",ROUND(Proyeccion_Localidades!BL124,0),"*****"))))</f>
        <v>23171</v>
      </c>
      <c r="S117" s="66">
        <f>IF($AB117="TGD",ROUND($E117*(1+$AD117)^(S$4-$E$4),0),IF($AB117="ALTH",ROUND($AE117+$AF117*S$4,0),IF($AB117="IR",ROUND(Proyeccion_Localidades!AP124,0),IF($AB117="RT",ROUND(Proyeccion_Localidades!BM124,0),"*****"))))</f>
        <v>23313</v>
      </c>
      <c r="T117" s="66">
        <f>IF($AB117="TGD",ROUND($E117*(1+$AD117)^(T$4-$E$4),0),IF($AB117="ALTH",ROUND($AE117+$AF117*T$4,0),IF($AB117="IR",ROUND(Proyeccion_Localidades!AQ124,0),IF($AB117="RT",ROUND(Proyeccion_Localidades!BN124,0),"*****"))))</f>
        <v>23456</v>
      </c>
      <c r="U117" s="66">
        <f>IF($AB117="TGD",ROUND($E117*(1+$AD117)^(U$4-$E$4),0),IF($AB117="ALTH",ROUND($AE117+$AF117*U$4,0),IF($AB117="IR",ROUND(Proyeccion_Localidades!AR124,0),IF($AB117="RT",ROUND(Proyeccion_Localidades!BO124,0),"*****"))))</f>
        <v>23599</v>
      </c>
      <c r="V117" s="66">
        <f>IF($AB117="TGD",ROUND($E117*(1+$AD117)^(V$4-$E$4),0),IF($AB117="ALTH",ROUND($AE117+$AF117*V$4,0),IF($AB117="IR",ROUND(Proyeccion_Localidades!AS124,0),IF($AB117="RT",ROUND(Proyeccion_Localidades!BP124,0),"*****"))))</f>
        <v>23744</v>
      </c>
      <c r="W117" s="66">
        <f>IF($AB117="TGD",ROUND($E117*(1+$AD117)^(W$4-$E$4),0),IF($AB117="ALTH",ROUND($AE117+$AF117*W$4,0),IF($AB117="IR",ROUND(Proyeccion_Localidades!AT124,0),IF($AB117="RT",ROUND(Proyeccion_Localidades!BQ124,0),"*****"))))</f>
        <v>23890</v>
      </c>
      <c r="X117" s="66">
        <f>IF($AB117="TGD",ROUND($E117*(1+$AD117)^(X$4-$E$4),0),IF($AB117="ALTH",ROUND($AE117+$AF117*X$4,0),IF($AB117="IR",ROUND(Proyeccion_Localidades!AU124,0),IF($AB117="RT",ROUND(Proyeccion_Localidades!BR124,0),"*****"))))</f>
        <v>24036</v>
      </c>
      <c r="Y117" s="66">
        <f>IF($AB117="TGD",ROUND($E117*(1+$AD117)^(Y$4-$E$4),0),IF($AB117="ALTH",ROUND($AE117+$AF117*Y$4,0),IF($AB117="IR",ROUND(Proyeccion_Localidades!AV124,0),IF($AB117="RT",ROUND(Proyeccion_Localidades!BS124,0),"*****"))))</f>
        <v>24184</v>
      </c>
      <c r="Z117" s="66">
        <f>IF($AB117="TGD",ROUND($E117*(1+$AD117)^(Z$4-$E$4),0),IF($AB117="ALTH",ROUND($AE117+$AF117*Z$4,0),IF($AB117="IR",ROUND(Proyeccion_Localidades!AW124,0),IF($AB117="RT",ROUND(Proyeccion_Localidades!BT124,0),"*****"))))</f>
        <v>24332</v>
      </c>
      <c r="AA117" s="66">
        <f>IF($AB117="TGD",ROUND($E117*(1+$AD117)^(AA$4-$E$4),0),IF($AB117="ALTH",ROUND($AE117+$AF117*AA$4,0),IF($AB117="IR",ROUND(Proyeccion_Localidades!AX124,0),IF($AB117="RT",ROUND(Proyeccion_Localidades!BU124,0),"*****"))))</f>
        <v>24481</v>
      </c>
      <c r="AB117" s="67" t="str">
        <f>Proyeccion_Localidades!N124</f>
        <v>TGD</v>
      </c>
      <c r="AC117" s="68" t="s">
        <v>35</v>
      </c>
      <c r="AD117" s="51">
        <f>IF(AB117="TGD",Proyeccion_Localidades!Z124,"-")</f>
        <v>6.1311691531085177E-3</v>
      </c>
      <c r="AE117" s="51" t="str">
        <f>IF($AB117="ALTH",Proyeccion_Localidades!AA124,"-")</f>
        <v>-</v>
      </c>
      <c r="AF117" s="51" t="str">
        <f>IF($AB117="ALTH",Proyeccion_Localidades!AB124,"-")</f>
        <v>-</v>
      </c>
      <c r="AG117" s="51"/>
      <c r="AH117" s="51"/>
      <c r="AI117" s="66">
        <f t="shared" si="5"/>
        <v>21401</v>
      </c>
    </row>
    <row r="118" spans="1:35" ht="24.95" customHeight="1">
      <c r="A118" s="86" t="str">
        <f>+Proyeccion_Localidades!C125</f>
        <v>Roque Pérez</v>
      </c>
      <c r="B118" s="70">
        <f t="shared" si="7"/>
        <v>114</v>
      </c>
      <c r="C118" s="88" t="str">
        <f>+Proyeccion_Localidades!B125</f>
        <v>Roque Pérez</v>
      </c>
      <c r="D118" s="261">
        <f t="shared" si="6"/>
        <v>114</v>
      </c>
      <c r="E118" s="72">
        <f>+Proyeccion_Localidades!F125</f>
        <v>10358</v>
      </c>
      <c r="F118" s="66">
        <f>IF($AB118="TGD",ROUND($E118*(1+$AD118)^(F$4-$E$4),0),IF($AB118="ALTH",ROUND($AE118+$AF118*F$4,0),IF($AB118="IR",ROUND(Proyeccion_Localidades!AC125,0),IF($AB118="RT",ROUND(Proyeccion_Localidades!AZ125,0),"*****"))))</f>
        <v>13109</v>
      </c>
      <c r="G118" s="66">
        <f>IF($AB118="TGD",ROUND($E118*(1+$AD118)^(G$4-$E$4),0),IF($AB118="ALTH",ROUND($AE118+$AF118*G$4,0),IF($AB118="IR",ROUND(Proyeccion_Localidades!AD125,0),IF($AB118="RT",ROUND(Proyeccion_Localidades!BA125,0),"*****"))))</f>
        <v>13337</v>
      </c>
      <c r="H118" s="66">
        <f>IF($AB118="TGD",ROUND($E118*(1+$AD118)^(H$4-$E$4),0),IF($AB118="ALTH",ROUND($AE118+$AF118*H$4,0),IF($AB118="IR",ROUND(Proyeccion_Localidades!AE125,0),IF($AB118="RT",ROUND(Proyeccion_Localidades!BB125,0),"*****"))))</f>
        <v>14020</v>
      </c>
      <c r="I118" s="66">
        <f>IF($AB118="TGD",ROUND($E118*(1+$AD118)^(I$4-$E$4),0),IF($AB118="ALTH",ROUND($AE118+$AF118*I$4,0),IF($AB118="IR",ROUND(Proyeccion_Localidades!AF125,0),IF($AB118="RT",ROUND(Proyeccion_Localidades!BC125,0),"*****"))))</f>
        <v>14248</v>
      </c>
      <c r="J118" s="66">
        <f>IF($AB118="TGD",ROUND($E118*(1+$AD118)^(J$4-$E$4),0),IF($AB118="ALTH",ROUND($AE118+$AF118*J$4,0),IF($AB118="IR",ROUND(Proyeccion_Localidades!AG125,0),IF($AB118="RT",ROUND(Proyeccion_Localidades!BD125,0),"*****"))))</f>
        <v>14476</v>
      </c>
      <c r="K118" s="66">
        <f>IF($AB118="TGD",ROUND($E118*(1+$AD118)^(K$4-$E$4),0),IF($AB118="ALTH",ROUND($AE118+$AF118*K$4,0),IF($AB118="IR",ROUND(Proyeccion_Localidades!AH125,0),IF($AB118="RT",ROUND(Proyeccion_Localidades!BE125,0),"*****"))))</f>
        <v>14704</v>
      </c>
      <c r="L118" s="66">
        <f>IF($AB118="TGD",ROUND($E118*(1+$AD118)^(L$4-$E$4),0),IF($AB118="ALTH",ROUND($AE118+$AF118*L$4,0),IF($AB118="IR",ROUND(Proyeccion_Localidades!AI125,0),IF($AB118="RT",ROUND(Proyeccion_Localidades!BF125,0),"*****"))))</f>
        <v>14932</v>
      </c>
      <c r="M118" s="66">
        <f>IF($AB118="TGD",ROUND($E118*(1+$AD118)^(M$4-$E$4),0),IF($AB118="ALTH",ROUND($AE118+$AF118*M$4,0),IF($AB118="IR",ROUND(Proyeccion_Localidades!AJ125,0),IF($AB118="RT",ROUND(Proyeccion_Localidades!BG125,0),"*****"))))</f>
        <v>15160</v>
      </c>
      <c r="N118" s="66">
        <f>IF($AB118="TGD",ROUND($E118*(1+$AD118)^(N$4-$E$4),0),IF($AB118="ALTH",ROUND($AE118+$AF118*N$4,0),IF($AB118="IR",ROUND(Proyeccion_Localidades!AK125,0),IF($AB118="RT",ROUND(Proyeccion_Localidades!BH125,0),"*****"))))</f>
        <v>15387</v>
      </c>
      <c r="O118" s="66">
        <f>IF($AB118="TGD",ROUND($E118*(1+$AD118)^(O$4-$E$4),0),IF($AB118="ALTH",ROUND($AE118+$AF118*O$4,0),IF($AB118="IR",ROUND(Proyeccion_Localidades!AL125,0),IF($AB118="RT",ROUND(Proyeccion_Localidades!BI125,0),"*****"))))</f>
        <v>15615</v>
      </c>
      <c r="P118" s="66">
        <f>IF($AB118="TGD",ROUND($E118*(1+$AD118)^(P$4-$E$4),0),IF($AB118="ALTH",ROUND($AE118+$AF118*P$4,0),IF($AB118="IR",ROUND(Proyeccion_Localidades!AM125,0),IF($AB118="RT",ROUND(Proyeccion_Localidades!BJ125,0),"*****"))))</f>
        <v>15843</v>
      </c>
      <c r="Q118" s="66">
        <f>IF($AB118="TGD",ROUND($E118*(1+$AD118)^(Q$4-$E$4),0),IF($AB118="ALTH",ROUND($AE118+$AF118*Q$4,0),IF($AB118="IR",ROUND(Proyeccion_Localidades!AN125,0),IF($AB118="RT",ROUND(Proyeccion_Localidades!BK125,0),"*****"))))</f>
        <v>16071</v>
      </c>
      <c r="R118" s="66">
        <f>IF($AB118="TGD",ROUND($E118*(1+$AD118)^(R$4-$E$4),0),IF($AB118="ALTH",ROUND($AE118+$AF118*R$4,0),IF($AB118="IR",ROUND(Proyeccion_Localidades!AO125,0),IF($AB118="RT",ROUND(Proyeccion_Localidades!BL125,0),"*****"))))</f>
        <v>16299</v>
      </c>
      <c r="S118" s="66">
        <f>IF($AB118="TGD",ROUND($E118*(1+$AD118)^(S$4-$E$4),0),IF($AB118="ALTH",ROUND($AE118+$AF118*S$4,0),IF($AB118="IR",ROUND(Proyeccion_Localidades!AP125,0),IF($AB118="RT",ROUND(Proyeccion_Localidades!BM125,0),"*****"))))</f>
        <v>16527</v>
      </c>
      <c r="T118" s="66">
        <f>IF($AB118="TGD",ROUND($E118*(1+$AD118)^(T$4-$E$4),0),IF($AB118="ALTH",ROUND($AE118+$AF118*T$4,0),IF($AB118="IR",ROUND(Proyeccion_Localidades!AQ125,0),IF($AB118="RT",ROUND(Proyeccion_Localidades!BN125,0),"*****"))))</f>
        <v>16755</v>
      </c>
      <c r="U118" s="66">
        <f>IF($AB118="TGD",ROUND($E118*(1+$AD118)^(U$4-$E$4),0),IF($AB118="ALTH",ROUND($AE118+$AF118*U$4,0),IF($AB118="IR",ROUND(Proyeccion_Localidades!AR125,0),IF($AB118="RT",ROUND(Proyeccion_Localidades!BO125,0),"*****"))))</f>
        <v>16983</v>
      </c>
      <c r="V118" s="66">
        <f>IF($AB118="TGD",ROUND($E118*(1+$AD118)^(V$4-$E$4),0),IF($AB118="ALTH",ROUND($AE118+$AF118*V$4,0),IF($AB118="IR",ROUND(Proyeccion_Localidades!AS125,0),IF($AB118="RT",ROUND(Proyeccion_Localidades!BP125,0),"*****"))))</f>
        <v>17210</v>
      </c>
      <c r="W118" s="66">
        <f>IF($AB118="TGD",ROUND($E118*(1+$AD118)^(W$4-$E$4),0),IF($AB118="ALTH",ROUND($AE118+$AF118*W$4,0),IF($AB118="IR",ROUND(Proyeccion_Localidades!AT125,0),IF($AB118="RT",ROUND(Proyeccion_Localidades!BQ125,0),"*****"))))</f>
        <v>17438</v>
      </c>
      <c r="X118" s="66">
        <f>IF($AB118="TGD",ROUND($E118*(1+$AD118)^(X$4-$E$4),0),IF($AB118="ALTH",ROUND($AE118+$AF118*X$4,0),IF($AB118="IR",ROUND(Proyeccion_Localidades!AU125,0),IF($AB118="RT",ROUND(Proyeccion_Localidades!BR125,0),"*****"))))</f>
        <v>17666</v>
      </c>
      <c r="Y118" s="66">
        <f>IF($AB118="TGD",ROUND($E118*(1+$AD118)^(Y$4-$E$4),0),IF($AB118="ALTH",ROUND($AE118+$AF118*Y$4,0),IF($AB118="IR",ROUND(Proyeccion_Localidades!AV125,0),IF($AB118="RT",ROUND(Proyeccion_Localidades!BS125,0),"*****"))))</f>
        <v>17894</v>
      </c>
      <c r="Z118" s="66">
        <f>IF($AB118="TGD",ROUND($E118*(1+$AD118)^(Z$4-$E$4),0),IF($AB118="ALTH",ROUND($AE118+$AF118*Z$4,0),IF($AB118="IR",ROUND(Proyeccion_Localidades!AW125,0),IF($AB118="RT",ROUND(Proyeccion_Localidades!BT125,0),"*****"))))</f>
        <v>18122</v>
      </c>
      <c r="AA118" s="66">
        <f>IF($AB118="TGD",ROUND($E118*(1+$AD118)^(AA$4-$E$4),0),IF($AB118="ALTH",ROUND($AE118+$AF118*AA$4,0),IF($AB118="IR",ROUND(Proyeccion_Localidades!AX125,0),IF($AB118="RT",ROUND(Proyeccion_Localidades!BU125,0),"*****"))))</f>
        <v>18350</v>
      </c>
      <c r="AB118" s="67" t="str">
        <f>Proyeccion_Localidades!N125</f>
        <v>ALTH</v>
      </c>
      <c r="AC118" s="68" t="s">
        <v>36</v>
      </c>
      <c r="AD118" s="51" t="str">
        <f>IF(AB118="TGD",Proyeccion_Localidades!Z125,"-")</f>
        <v>-</v>
      </c>
      <c r="AE118" s="51">
        <f>IF($AB118="ALTH",Proyeccion_Localidades!AA125,"-")</f>
        <v>-447653.66051660531</v>
      </c>
      <c r="AF118" s="51">
        <f>IF($AB118="ALTH",Proyeccion_Localidades!AB125,"-")</f>
        <v>227.8745387453875</v>
      </c>
      <c r="AG118" s="51"/>
      <c r="AH118" s="51"/>
      <c r="AI118" s="66">
        <f t="shared" si="5"/>
        <v>13337</v>
      </c>
    </row>
    <row r="119" spans="1:35" ht="24.95" customHeight="1">
      <c r="A119" s="86" t="str">
        <f>+Proyeccion_Localidades!C126</f>
        <v>Saavedra</v>
      </c>
      <c r="B119" s="70">
        <f t="shared" si="7"/>
        <v>115</v>
      </c>
      <c r="C119" s="88" t="str">
        <f>+Proyeccion_Localidades!B126</f>
        <v>Pigüé</v>
      </c>
      <c r="D119" s="261">
        <f t="shared" si="6"/>
        <v>115</v>
      </c>
      <c r="E119" s="72">
        <f>+Proyeccion_Localidades!F126</f>
        <v>14383</v>
      </c>
      <c r="F119" s="66">
        <f>IF($AB119="TGD",ROUND($E119*(1+$AD119)^(F$4-$E$4),0),IF($AB119="ALTH",ROUND($AE119+$AF119*F$4,0),IF($AB119="IR",ROUND(Proyeccion_Localidades!AC126,0),IF($AB119="RT",ROUND(Proyeccion_Localidades!AZ126,0),"*****"))))</f>
        <v>15167</v>
      </c>
      <c r="G119" s="66">
        <f>IF($AB119="TGD",ROUND($E119*(1+$AD119)^(G$4-$E$4),0),IF($AB119="ALTH",ROUND($AE119+$AF119*G$4,0),IF($AB119="IR",ROUND(Proyeccion_Localidades!AD126,0),IF($AB119="RT",ROUND(Proyeccion_Localidades!BA126,0),"*****"))))</f>
        <v>15234</v>
      </c>
      <c r="H119" s="66">
        <f>IF($AB119="TGD",ROUND($E119*(1+$AD119)^(H$4-$E$4),0),IF($AB119="ALTH",ROUND($AE119+$AF119*H$4,0),IF($AB119="IR",ROUND(Proyeccion_Localidades!AE126,0),IF($AB119="RT",ROUND(Proyeccion_Localidades!BB126,0),"*****"))))</f>
        <v>15437</v>
      </c>
      <c r="I119" s="66">
        <f>IF($AB119="TGD",ROUND($E119*(1+$AD119)^(I$4-$E$4),0),IF($AB119="ALTH",ROUND($AE119+$AF119*I$4,0),IF($AB119="IR",ROUND(Proyeccion_Localidades!AF126,0),IF($AB119="RT",ROUND(Proyeccion_Localidades!BC126,0),"*****"))))</f>
        <v>15506</v>
      </c>
      <c r="J119" s="66">
        <f>IF($AB119="TGD",ROUND($E119*(1+$AD119)^(J$4-$E$4),0),IF($AB119="ALTH",ROUND($AE119+$AF119*J$4,0),IF($AB119="IR",ROUND(Proyeccion_Localidades!AG126,0),IF($AB119="RT",ROUND(Proyeccion_Localidades!BD126,0),"*****"))))</f>
        <v>15574</v>
      </c>
      <c r="K119" s="66">
        <f>IF($AB119="TGD",ROUND($E119*(1+$AD119)^(K$4-$E$4),0),IF($AB119="ALTH",ROUND($AE119+$AF119*K$4,0),IF($AB119="IR",ROUND(Proyeccion_Localidades!AH126,0),IF($AB119="RT",ROUND(Proyeccion_Localidades!BE126,0),"*****"))))</f>
        <v>15643</v>
      </c>
      <c r="L119" s="66">
        <f>IF($AB119="TGD",ROUND($E119*(1+$AD119)^(L$4-$E$4),0),IF($AB119="ALTH",ROUND($AE119+$AF119*L$4,0),IF($AB119="IR",ROUND(Proyeccion_Localidades!AI126,0),IF($AB119="RT",ROUND(Proyeccion_Localidades!BF126,0),"*****"))))</f>
        <v>15713</v>
      </c>
      <c r="M119" s="66">
        <f>IF($AB119="TGD",ROUND($E119*(1+$AD119)^(M$4-$E$4),0),IF($AB119="ALTH",ROUND($AE119+$AF119*M$4,0),IF($AB119="IR",ROUND(Proyeccion_Localidades!AJ126,0),IF($AB119="RT",ROUND(Proyeccion_Localidades!BG126,0),"*****"))))</f>
        <v>15782</v>
      </c>
      <c r="N119" s="66">
        <f>IF($AB119="TGD",ROUND($E119*(1+$AD119)^(N$4-$E$4),0),IF($AB119="ALTH",ROUND($AE119+$AF119*N$4,0),IF($AB119="IR",ROUND(Proyeccion_Localidades!AK126,0),IF($AB119="RT",ROUND(Proyeccion_Localidades!BH126,0),"*****"))))</f>
        <v>15852</v>
      </c>
      <c r="O119" s="66">
        <f>IF($AB119="TGD",ROUND($E119*(1+$AD119)^(O$4-$E$4),0),IF($AB119="ALTH",ROUND($AE119+$AF119*O$4,0),IF($AB119="IR",ROUND(Proyeccion_Localidades!AL126,0),IF($AB119="RT",ROUND(Proyeccion_Localidades!BI126,0),"*****"))))</f>
        <v>15922</v>
      </c>
      <c r="P119" s="66">
        <f>IF($AB119="TGD",ROUND($E119*(1+$AD119)^(P$4-$E$4),0),IF($AB119="ALTH",ROUND($AE119+$AF119*P$4,0),IF($AB119="IR",ROUND(Proyeccion_Localidades!AM126,0),IF($AB119="RT",ROUND(Proyeccion_Localidades!BJ126,0),"*****"))))</f>
        <v>15993</v>
      </c>
      <c r="Q119" s="66">
        <f>IF($AB119="TGD",ROUND($E119*(1+$AD119)^(Q$4-$E$4),0),IF($AB119="ALTH",ROUND($AE119+$AF119*Q$4,0),IF($AB119="IR",ROUND(Proyeccion_Localidades!AN126,0),IF($AB119="RT",ROUND(Proyeccion_Localidades!BK126,0),"*****"))))</f>
        <v>16064</v>
      </c>
      <c r="R119" s="66">
        <f>IF($AB119="TGD",ROUND($E119*(1+$AD119)^(R$4-$E$4),0),IF($AB119="ALTH",ROUND($AE119+$AF119*R$4,0),IF($AB119="IR",ROUND(Proyeccion_Localidades!AO126,0),IF($AB119="RT",ROUND(Proyeccion_Localidades!BL126,0),"*****"))))</f>
        <v>16135</v>
      </c>
      <c r="S119" s="66">
        <f>IF($AB119="TGD",ROUND($E119*(1+$AD119)^(S$4-$E$4),0),IF($AB119="ALTH",ROUND($AE119+$AF119*S$4,0),IF($AB119="IR",ROUND(Proyeccion_Localidades!AP126,0),IF($AB119="RT",ROUND(Proyeccion_Localidades!BM126,0),"*****"))))</f>
        <v>16206</v>
      </c>
      <c r="T119" s="66">
        <f>IF($AB119="TGD",ROUND($E119*(1+$AD119)^(T$4-$E$4),0),IF($AB119="ALTH",ROUND($AE119+$AF119*T$4,0),IF($AB119="IR",ROUND(Proyeccion_Localidades!AQ126,0),IF($AB119="RT",ROUND(Proyeccion_Localidades!BN126,0),"*****"))))</f>
        <v>16278</v>
      </c>
      <c r="U119" s="66">
        <f>IF($AB119="TGD",ROUND($E119*(1+$AD119)^(U$4-$E$4),0),IF($AB119="ALTH",ROUND($AE119+$AF119*U$4,0),IF($AB119="IR",ROUND(Proyeccion_Localidades!AR126,0),IF($AB119="RT",ROUND(Proyeccion_Localidades!BO126,0),"*****"))))</f>
        <v>16350</v>
      </c>
      <c r="V119" s="66">
        <f>IF($AB119="TGD",ROUND($E119*(1+$AD119)^(V$4-$E$4),0),IF($AB119="ALTH",ROUND($AE119+$AF119*V$4,0),IF($AB119="IR",ROUND(Proyeccion_Localidades!AS126,0),IF($AB119="RT",ROUND(Proyeccion_Localidades!BP126,0),"*****"))))</f>
        <v>16423</v>
      </c>
      <c r="W119" s="66">
        <f>IF($AB119="TGD",ROUND($E119*(1+$AD119)^(W$4-$E$4),0),IF($AB119="ALTH",ROUND($AE119+$AF119*W$4,0),IF($AB119="IR",ROUND(Proyeccion_Localidades!AT126,0),IF($AB119="RT",ROUND(Proyeccion_Localidades!BQ126,0),"*****"))))</f>
        <v>16495</v>
      </c>
      <c r="X119" s="66">
        <f>IF($AB119="TGD",ROUND($E119*(1+$AD119)^(X$4-$E$4),0),IF($AB119="ALTH",ROUND($AE119+$AF119*X$4,0),IF($AB119="IR",ROUND(Proyeccion_Localidades!AU126,0),IF($AB119="RT",ROUND(Proyeccion_Localidades!BR126,0),"*****"))))</f>
        <v>16569</v>
      </c>
      <c r="Y119" s="66">
        <f>IF($AB119="TGD",ROUND($E119*(1+$AD119)^(Y$4-$E$4),0),IF($AB119="ALTH",ROUND($AE119+$AF119*Y$4,0),IF($AB119="IR",ROUND(Proyeccion_Localidades!AV126,0),IF($AB119="RT",ROUND(Proyeccion_Localidades!BS126,0),"*****"))))</f>
        <v>16642</v>
      </c>
      <c r="Z119" s="66">
        <f>IF($AB119="TGD",ROUND($E119*(1+$AD119)^(Z$4-$E$4),0),IF($AB119="ALTH",ROUND($AE119+$AF119*Z$4,0),IF($AB119="IR",ROUND(Proyeccion_Localidades!AW126,0),IF($AB119="RT",ROUND(Proyeccion_Localidades!BT126,0),"*****"))))</f>
        <v>16716</v>
      </c>
      <c r="AA119" s="66">
        <f>IF($AB119="TGD",ROUND($E119*(1+$AD119)^(AA$4-$E$4),0),IF($AB119="ALTH",ROUND($AE119+$AF119*AA$4,0),IF($AB119="IR",ROUND(Proyeccion_Localidades!AX126,0),IF($AB119="RT",ROUND(Proyeccion_Localidades!BU126,0),"*****"))))</f>
        <v>16790</v>
      </c>
      <c r="AB119" s="67" t="str">
        <f>Proyeccion_Localidades!N126</f>
        <v>TGD</v>
      </c>
      <c r="AC119" s="68" t="s">
        <v>35</v>
      </c>
      <c r="AD119" s="51">
        <f>IF(AB119="TGD",Proyeccion_Localidades!Z126,"-")</f>
        <v>4.4303883853809012E-3</v>
      </c>
      <c r="AE119" s="51" t="str">
        <f>IF($AB119="ALTH",Proyeccion_Localidades!AA126,"-")</f>
        <v>-</v>
      </c>
      <c r="AF119" s="51" t="str">
        <f>IF($AB119="ALTH",Proyeccion_Localidades!AB126,"-")</f>
        <v>-</v>
      </c>
      <c r="AG119" s="51"/>
      <c r="AH119" s="51"/>
      <c r="AI119" s="66">
        <f t="shared" si="5"/>
        <v>15234</v>
      </c>
    </row>
    <row r="120" spans="1:35" ht="24.95" customHeight="1">
      <c r="A120" s="86" t="str">
        <f>+Proyeccion_Localidades!C127</f>
        <v>Saladillo</v>
      </c>
      <c r="B120" s="70">
        <f t="shared" si="7"/>
        <v>116</v>
      </c>
      <c r="C120" s="88" t="str">
        <f>+Proyeccion_Localidades!B127</f>
        <v>Saladillo</v>
      </c>
      <c r="D120" s="261">
        <f t="shared" si="6"/>
        <v>116</v>
      </c>
      <c r="E120" s="72">
        <f>+Proyeccion_Localidades!F127</f>
        <v>26763</v>
      </c>
      <c r="F120" s="66">
        <f>IF($AB120="TGD",ROUND($E120*(1+$AD120)^(F$4-$E$4),0),IF($AB120="ALTH",ROUND($AE120+$AF120*F$4,0),IF($AB120="IR",ROUND(Proyeccion_Localidades!AC127,0),IF($AB120="RT",ROUND(Proyeccion_Localidades!AZ127,0),"*****"))))</f>
        <v>31675</v>
      </c>
      <c r="G120" s="66">
        <f>IF($AB120="TGD",ROUND($E120*(1+$AD120)^(G$4-$E$4),0),IF($AB120="ALTH",ROUND($AE120+$AF120*G$4,0),IF($AB120="IR",ROUND(Proyeccion_Localidades!AD127,0),IF($AB120="RT",ROUND(Proyeccion_Localidades!BA127,0),"*****"))))</f>
        <v>32079</v>
      </c>
      <c r="H120" s="66">
        <f>IF($AB120="TGD",ROUND($E120*(1+$AD120)^(H$4-$E$4),0),IF($AB120="ALTH",ROUND($AE120+$AF120*H$4,0),IF($AB120="IR",ROUND(Proyeccion_Localidades!AE127,0),IF($AB120="RT",ROUND(Proyeccion_Localidades!BB127,0),"*****"))))</f>
        <v>33291</v>
      </c>
      <c r="I120" s="66">
        <f>IF($AB120="TGD",ROUND($E120*(1+$AD120)^(I$4-$E$4),0),IF($AB120="ALTH",ROUND($AE120+$AF120*I$4,0),IF($AB120="IR",ROUND(Proyeccion_Localidades!AF127,0),IF($AB120="RT",ROUND(Proyeccion_Localidades!BC127,0),"*****"))))</f>
        <v>33695</v>
      </c>
      <c r="J120" s="66">
        <f>IF($AB120="TGD",ROUND($E120*(1+$AD120)^(J$4-$E$4),0),IF($AB120="ALTH",ROUND($AE120+$AF120*J$4,0),IF($AB120="IR",ROUND(Proyeccion_Localidades!AG127,0),IF($AB120="RT",ROUND(Proyeccion_Localidades!BD127,0),"*****"))))</f>
        <v>34098</v>
      </c>
      <c r="K120" s="66">
        <f>IF($AB120="TGD",ROUND($E120*(1+$AD120)^(K$4-$E$4),0),IF($AB120="ALTH",ROUND($AE120+$AF120*K$4,0),IF($AB120="IR",ROUND(Proyeccion_Localidades!AH127,0),IF($AB120="RT",ROUND(Proyeccion_Localidades!BE127,0),"*****"))))</f>
        <v>34502</v>
      </c>
      <c r="L120" s="66">
        <f>IF($AB120="TGD",ROUND($E120*(1+$AD120)^(L$4-$E$4),0),IF($AB120="ALTH",ROUND($AE120+$AF120*L$4,0),IF($AB120="IR",ROUND(Proyeccion_Localidades!AI127,0),IF($AB120="RT",ROUND(Proyeccion_Localidades!BF127,0),"*****"))))</f>
        <v>34906</v>
      </c>
      <c r="M120" s="66">
        <f>IF($AB120="TGD",ROUND($E120*(1+$AD120)^(M$4-$E$4),0),IF($AB120="ALTH",ROUND($AE120+$AF120*M$4,0),IF($AB120="IR",ROUND(Proyeccion_Localidades!AJ127,0),IF($AB120="RT",ROUND(Proyeccion_Localidades!BG127,0),"*****"))))</f>
        <v>35310</v>
      </c>
      <c r="N120" s="66">
        <f>IF($AB120="TGD",ROUND($E120*(1+$AD120)^(N$4-$E$4),0),IF($AB120="ALTH",ROUND($AE120+$AF120*N$4,0),IF($AB120="IR",ROUND(Proyeccion_Localidades!AK127,0),IF($AB120="RT",ROUND(Proyeccion_Localidades!BH127,0),"*****"))))</f>
        <v>35714</v>
      </c>
      <c r="O120" s="66">
        <f>IF($AB120="TGD",ROUND($E120*(1+$AD120)^(O$4-$E$4),0),IF($AB120="ALTH",ROUND($AE120+$AF120*O$4,0),IF($AB120="IR",ROUND(Proyeccion_Localidades!AL127,0),IF($AB120="RT",ROUND(Proyeccion_Localidades!BI127,0),"*****"))))</f>
        <v>36118</v>
      </c>
      <c r="P120" s="66">
        <f>IF($AB120="TGD",ROUND($E120*(1+$AD120)^(P$4-$E$4),0),IF($AB120="ALTH",ROUND($AE120+$AF120*P$4,0),IF($AB120="IR",ROUND(Proyeccion_Localidades!AM127,0),IF($AB120="RT",ROUND(Proyeccion_Localidades!BJ127,0),"*****"))))</f>
        <v>36522</v>
      </c>
      <c r="Q120" s="66">
        <f>IF($AB120="TGD",ROUND($E120*(1+$AD120)^(Q$4-$E$4),0),IF($AB120="ALTH",ROUND($AE120+$AF120*Q$4,0),IF($AB120="IR",ROUND(Proyeccion_Localidades!AN127,0),IF($AB120="RT",ROUND(Proyeccion_Localidades!BK127,0),"*****"))))</f>
        <v>36926</v>
      </c>
      <c r="R120" s="66">
        <f>IF($AB120="TGD",ROUND($E120*(1+$AD120)^(R$4-$E$4),0),IF($AB120="ALTH",ROUND($AE120+$AF120*R$4,0),IF($AB120="IR",ROUND(Proyeccion_Localidades!AO127,0),IF($AB120="RT",ROUND(Proyeccion_Localidades!BL127,0),"*****"))))</f>
        <v>37330</v>
      </c>
      <c r="S120" s="66">
        <f>IF($AB120="TGD",ROUND($E120*(1+$AD120)^(S$4-$E$4),0),IF($AB120="ALTH",ROUND($AE120+$AF120*S$4,0),IF($AB120="IR",ROUND(Proyeccion_Localidades!AP127,0),IF($AB120="RT",ROUND(Proyeccion_Localidades!BM127,0),"*****"))))</f>
        <v>37734</v>
      </c>
      <c r="T120" s="66">
        <f>IF($AB120="TGD",ROUND($E120*(1+$AD120)^(T$4-$E$4),0),IF($AB120="ALTH",ROUND($AE120+$AF120*T$4,0),IF($AB120="IR",ROUND(Proyeccion_Localidades!AQ127,0),IF($AB120="RT",ROUND(Proyeccion_Localidades!BN127,0),"*****"))))</f>
        <v>38138</v>
      </c>
      <c r="U120" s="66">
        <f>IF($AB120="TGD",ROUND($E120*(1+$AD120)^(U$4-$E$4),0),IF($AB120="ALTH",ROUND($AE120+$AF120*U$4,0),IF($AB120="IR",ROUND(Proyeccion_Localidades!AR127,0),IF($AB120="RT",ROUND(Proyeccion_Localidades!BO127,0),"*****"))))</f>
        <v>38542</v>
      </c>
      <c r="V120" s="66">
        <f>IF($AB120="TGD",ROUND($E120*(1+$AD120)^(V$4-$E$4),0),IF($AB120="ALTH",ROUND($AE120+$AF120*V$4,0),IF($AB120="IR",ROUND(Proyeccion_Localidades!AS127,0),IF($AB120="RT",ROUND(Proyeccion_Localidades!BP127,0),"*****"))))</f>
        <v>38946</v>
      </c>
      <c r="W120" s="66">
        <f>IF($AB120="TGD",ROUND($E120*(1+$AD120)^(W$4-$E$4),0),IF($AB120="ALTH",ROUND($AE120+$AF120*W$4,0),IF($AB120="IR",ROUND(Proyeccion_Localidades!AT127,0),IF($AB120="RT",ROUND(Proyeccion_Localidades!BQ127,0),"*****"))))</f>
        <v>39350</v>
      </c>
      <c r="X120" s="66">
        <f>IF($AB120="TGD",ROUND($E120*(1+$AD120)^(X$4-$E$4),0),IF($AB120="ALTH",ROUND($AE120+$AF120*X$4,0),IF($AB120="IR",ROUND(Proyeccion_Localidades!AU127,0),IF($AB120="RT",ROUND(Proyeccion_Localidades!BR127,0),"*****"))))</f>
        <v>39754</v>
      </c>
      <c r="Y120" s="66">
        <f>IF($AB120="TGD",ROUND($E120*(1+$AD120)^(Y$4-$E$4),0),IF($AB120="ALTH",ROUND($AE120+$AF120*Y$4,0),IF($AB120="IR",ROUND(Proyeccion_Localidades!AV127,0),IF($AB120="RT",ROUND(Proyeccion_Localidades!BS127,0),"*****"))))</f>
        <v>40158</v>
      </c>
      <c r="Z120" s="66">
        <f>IF($AB120="TGD",ROUND($E120*(1+$AD120)^(Z$4-$E$4),0),IF($AB120="ALTH",ROUND($AE120+$AF120*Z$4,0),IF($AB120="IR",ROUND(Proyeccion_Localidades!AW127,0),IF($AB120="RT",ROUND(Proyeccion_Localidades!BT127,0),"*****"))))</f>
        <v>40562</v>
      </c>
      <c r="AA120" s="66">
        <f>IF($AB120="TGD",ROUND($E120*(1+$AD120)^(AA$4-$E$4),0),IF($AB120="ALTH",ROUND($AE120+$AF120*AA$4,0),IF($AB120="IR",ROUND(Proyeccion_Localidades!AX127,0),IF($AB120="RT",ROUND(Proyeccion_Localidades!BU127,0),"*****"))))</f>
        <v>40966</v>
      </c>
      <c r="AB120" s="67" t="str">
        <f>Proyeccion_Localidades!N127</f>
        <v>ALTH</v>
      </c>
      <c r="AC120" s="68" t="s">
        <v>36</v>
      </c>
      <c r="AD120" s="51" t="str">
        <f>IF(AB120="TGD",Proyeccion_Localidades!Z127,"-")</f>
        <v>-</v>
      </c>
      <c r="AE120" s="51">
        <f>IF($AB120="ALTH",Proyeccion_Localidades!AA127,"-")</f>
        <v>-785149.91512915154</v>
      </c>
      <c r="AF120" s="51">
        <f>IF($AB120="ALTH",Proyeccion_Localidades!AB127,"-")</f>
        <v>403.96863468634695</v>
      </c>
      <c r="AG120" s="51"/>
      <c r="AH120" s="51"/>
      <c r="AI120" s="66">
        <f t="shared" si="5"/>
        <v>32079</v>
      </c>
    </row>
    <row r="121" spans="1:35" ht="24.95" customHeight="1">
      <c r="A121" s="86" t="str">
        <f>+Proyeccion_Localidades!C128</f>
        <v>Salliqueló</v>
      </c>
      <c r="B121" s="70">
        <f t="shared" si="7"/>
        <v>117</v>
      </c>
      <c r="C121" s="88" t="str">
        <f>+Proyeccion_Localidades!B128</f>
        <v>Salliqueló</v>
      </c>
      <c r="D121" s="261">
        <f t="shared" si="6"/>
        <v>117</v>
      </c>
      <c r="E121" s="72">
        <f>+Proyeccion_Localidades!F128</f>
        <v>7617</v>
      </c>
      <c r="F121" s="66">
        <f>IF($AB121="TGD",ROUND($E121*(1+$AD121)^(F$4-$E$4),0),IF($AB121="ALTH",ROUND($AE121+$AF121*F$4,0),IF($AB121="IR",ROUND(Proyeccion_Localidades!AC128,0),IF($AB121="RT",ROUND(Proyeccion_Localidades!AZ128,0),"*****"))))</f>
        <v>8075</v>
      </c>
      <c r="G121" s="66">
        <f>IF($AB121="TGD",ROUND($E121*(1+$AD121)^(G$4-$E$4),0),IF($AB121="ALTH",ROUND($AE121+$AF121*G$4,0),IF($AB121="IR",ROUND(Proyeccion_Localidades!AD128,0),IF($AB121="RT",ROUND(Proyeccion_Localidades!BA128,0),"*****"))))</f>
        <v>8108</v>
      </c>
      <c r="H121" s="66">
        <f>IF($AB121="TGD",ROUND($E121*(1+$AD121)^(H$4-$E$4),0),IF($AB121="ALTH",ROUND($AE121+$AF121*H$4,0),IF($AB121="IR",ROUND(Proyeccion_Localidades!AE128,0),IF($AB121="RT",ROUND(Proyeccion_Localidades!BB128,0),"*****"))))</f>
        <v>8205</v>
      </c>
      <c r="I121" s="66">
        <f>IF($AB121="TGD",ROUND($E121*(1+$AD121)^(I$4-$E$4),0),IF($AB121="ALTH",ROUND($AE121+$AF121*I$4,0),IF($AB121="IR",ROUND(Proyeccion_Localidades!AF128,0),IF($AB121="RT",ROUND(Proyeccion_Localidades!BC128,0),"*****"))))</f>
        <v>8238</v>
      </c>
      <c r="J121" s="66">
        <f>IF($AB121="TGD",ROUND($E121*(1+$AD121)^(J$4-$E$4),0),IF($AB121="ALTH",ROUND($AE121+$AF121*J$4,0),IF($AB121="IR",ROUND(Proyeccion_Localidades!AG128,0),IF($AB121="RT",ROUND(Proyeccion_Localidades!BD128,0),"*****"))))</f>
        <v>8270</v>
      </c>
      <c r="K121" s="66">
        <f>IF($AB121="TGD",ROUND($E121*(1+$AD121)^(K$4-$E$4),0),IF($AB121="ALTH",ROUND($AE121+$AF121*K$4,0),IF($AB121="IR",ROUND(Proyeccion_Localidades!AH128,0),IF($AB121="RT",ROUND(Proyeccion_Localidades!BE128,0),"*****"))))</f>
        <v>8303</v>
      </c>
      <c r="L121" s="66">
        <f>IF($AB121="TGD",ROUND($E121*(1+$AD121)^(L$4-$E$4),0),IF($AB121="ALTH",ROUND($AE121+$AF121*L$4,0),IF($AB121="IR",ROUND(Proyeccion_Localidades!AI128,0),IF($AB121="RT",ROUND(Proyeccion_Localidades!BF128,0),"*****"))))</f>
        <v>8335</v>
      </c>
      <c r="M121" s="66">
        <f>IF($AB121="TGD",ROUND($E121*(1+$AD121)^(M$4-$E$4),0),IF($AB121="ALTH",ROUND($AE121+$AF121*M$4,0),IF($AB121="IR",ROUND(Proyeccion_Localidades!AJ128,0),IF($AB121="RT",ROUND(Proyeccion_Localidades!BG128,0),"*****"))))</f>
        <v>8368</v>
      </c>
      <c r="N121" s="66">
        <f>IF($AB121="TGD",ROUND($E121*(1+$AD121)^(N$4-$E$4),0),IF($AB121="ALTH",ROUND($AE121+$AF121*N$4,0),IF($AB121="IR",ROUND(Proyeccion_Localidades!AK128,0),IF($AB121="RT",ROUND(Proyeccion_Localidades!BH128,0),"*****"))))</f>
        <v>8401</v>
      </c>
      <c r="O121" s="66">
        <f>IF($AB121="TGD",ROUND($E121*(1+$AD121)^(O$4-$E$4),0),IF($AB121="ALTH",ROUND($AE121+$AF121*O$4,0),IF($AB121="IR",ROUND(Proyeccion_Localidades!AL128,0),IF($AB121="RT",ROUND(Proyeccion_Localidades!BI128,0),"*****"))))</f>
        <v>8433</v>
      </c>
      <c r="P121" s="66">
        <f>IF($AB121="TGD",ROUND($E121*(1+$AD121)^(P$4-$E$4),0),IF($AB121="ALTH",ROUND($AE121+$AF121*P$4,0),IF($AB121="IR",ROUND(Proyeccion_Localidades!AM128,0),IF($AB121="RT",ROUND(Proyeccion_Localidades!BJ128,0),"*****"))))</f>
        <v>8466</v>
      </c>
      <c r="Q121" s="66">
        <f>IF($AB121="TGD",ROUND($E121*(1+$AD121)^(Q$4-$E$4),0),IF($AB121="ALTH",ROUND($AE121+$AF121*Q$4,0),IF($AB121="IR",ROUND(Proyeccion_Localidades!AN128,0),IF($AB121="RT",ROUND(Proyeccion_Localidades!BK128,0),"*****"))))</f>
        <v>8498</v>
      </c>
      <c r="R121" s="66">
        <f>IF($AB121="TGD",ROUND($E121*(1+$AD121)^(R$4-$E$4),0),IF($AB121="ALTH",ROUND($AE121+$AF121*R$4,0),IF($AB121="IR",ROUND(Proyeccion_Localidades!AO128,0),IF($AB121="RT",ROUND(Proyeccion_Localidades!BL128,0),"*****"))))</f>
        <v>8531</v>
      </c>
      <c r="S121" s="66">
        <f>IF($AB121="TGD",ROUND($E121*(1+$AD121)^(S$4-$E$4),0),IF($AB121="ALTH",ROUND($AE121+$AF121*S$4,0),IF($AB121="IR",ROUND(Proyeccion_Localidades!AP128,0),IF($AB121="RT",ROUND(Proyeccion_Localidades!BM128,0),"*****"))))</f>
        <v>8563</v>
      </c>
      <c r="T121" s="66">
        <f>IF($AB121="TGD",ROUND($E121*(1+$AD121)^(T$4-$E$4),0),IF($AB121="ALTH",ROUND($AE121+$AF121*T$4,0),IF($AB121="IR",ROUND(Proyeccion_Localidades!AQ128,0),IF($AB121="RT",ROUND(Proyeccion_Localidades!BN128,0),"*****"))))</f>
        <v>8596</v>
      </c>
      <c r="U121" s="66">
        <f>IF($AB121="TGD",ROUND($E121*(1+$AD121)^(U$4-$E$4),0),IF($AB121="ALTH",ROUND($AE121+$AF121*U$4,0),IF($AB121="IR",ROUND(Proyeccion_Localidades!AR128,0),IF($AB121="RT",ROUND(Proyeccion_Localidades!BO128,0),"*****"))))</f>
        <v>8628</v>
      </c>
      <c r="V121" s="66">
        <f>IF($AB121="TGD",ROUND($E121*(1+$AD121)^(V$4-$E$4),0),IF($AB121="ALTH",ROUND($AE121+$AF121*V$4,0),IF($AB121="IR",ROUND(Proyeccion_Localidades!AS128,0),IF($AB121="RT",ROUND(Proyeccion_Localidades!BP128,0),"*****"))))</f>
        <v>8661</v>
      </c>
      <c r="W121" s="66">
        <f>IF($AB121="TGD",ROUND($E121*(1+$AD121)^(W$4-$E$4),0),IF($AB121="ALTH",ROUND($AE121+$AF121*W$4,0),IF($AB121="IR",ROUND(Proyeccion_Localidades!AT128,0),IF($AB121="RT",ROUND(Proyeccion_Localidades!BQ128,0),"*****"))))</f>
        <v>8693</v>
      </c>
      <c r="X121" s="66">
        <f>IF($AB121="TGD",ROUND($E121*(1+$AD121)^(X$4-$E$4),0),IF($AB121="ALTH",ROUND($AE121+$AF121*X$4,0),IF($AB121="IR",ROUND(Proyeccion_Localidades!AU128,0),IF($AB121="RT",ROUND(Proyeccion_Localidades!BR128,0),"*****"))))</f>
        <v>8726</v>
      </c>
      <c r="Y121" s="66">
        <f>IF($AB121="TGD",ROUND($E121*(1+$AD121)^(Y$4-$E$4),0),IF($AB121="ALTH",ROUND($AE121+$AF121*Y$4,0),IF($AB121="IR",ROUND(Proyeccion_Localidades!AV128,0),IF($AB121="RT",ROUND(Proyeccion_Localidades!BS128,0),"*****"))))</f>
        <v>8758</v>
      </c>
      <c r="Z121" s="66">
        <f>IF($AB121="TGD",ROUND($E121*(1+$AD121)^(Z$4-$E$4),0),IF($AB121="ALTH",ROUND($AE121+$AF121*Z$4,0),IF($AB121="IR",ROUND(Proyeccion_Localidades!AW128,0),IF($AB121="RT",ROUND(Proyeccion_Localidades!BT128,0),"*****"))))</f>
        <v>8791</v>
      </c>
      <c r="AA121" s="66">
        <f>IF($AB121="TGD",ROUND($E121*(1+$AD121)^(AA$4-$E$4),0),IF($AB121="ALTH",ROUND($AE121+$AF121*AA$4,0),IF($AB121="IR",ROUND(Proyeccion_Localidades!AX128,0),IF($AB121="RT",ROUND(Proyeccion_Localidades!BU128,0),"*****"))))</f>
        <v>8823</v>
      </c>
      <c r="AB121" s="67" t="str">
        <f>Proyeccion_Localidades!N128</f>
        <v>ALTH</v>
      </c>
      <c r="AC121" s="68" t="s">
        <v>36</v>
      </c>
      <c r="AD121" s="51" t="str">
        <f>IF(AB121="TGD",Proyeccion_Localidades!Z128,"-")</f>
        <v>-</v>
      </c>
      <c r="AE121" s="51">
        <f>IF($AB121="ALTH",Proyeccion_Localidades!AA128,"-")</f>
        <v>-57673.221402214032</v>
      </c>
      <c r="AF121" s="51">
        <f>IF($AB121="ALTH",Proyeccion_Localidades!AB128,"-")</f>
        <v>32.516605166051662</v>
      </c>
      <c r="AG121" s="51"/>
      <c r="AH121" s="51"/>
      <c r="AI121" s="66">
        <f t="shared" si="5"/>
        <v>8108</v>
      </c>
    </row>
    <row r="122" spans="1:35" ht="24.95" customHeight="1">
      <c r="A122" s="86" t="str">
        <f>+Proyeccion_Localidades!C129</f>
        <v>Salto</v>
      </c>
      <c r="B122" s="70">
        <f t="shared" si="7"/>
        <v>118</v>
      </c>
      <c r="C122" s="88" t="str">
        <f>+Proyeccion_Localidades!B129</f>
        <v>Salto</v>
      </c>
      <c r="D122" s="261">
        <f t="shared" si="6"/>
        <v>118</v>
      </c>
      <c r="E122" s="72">
        <f>+Proyeccion_Localidades!F129</f>
        <v>27466</v>
      </c>
      <c r="F122" s="66">
        <f>IF($AB122="TGD",ROUND($E122*(1+$AD122)^(F$4-$E$4),0),IF($AB122="ALTH",ROUND($AE122+$AF122*F$4,0),IF($AB122="IR",ROUND(Proyeccion_Localidades!AC129,0),IF($AB122="RT",ROUND(Proyeccion_Localidades!AZ129,0),"*****"))))</f>
        <v>32622</v>
      </c>
      <c r="G122" s="66">
        <f>IF($AB122="TGD",ROUND($E122*(1+$AD122)^(G$4-$E$4),0),IF($AB122="ALTH",ROUND($AE122+$AF122*G$4,0),IF($AB122="IR",ROUND(Proyeccion_Localidades!AD129,0),IF($AB122="RT",ROUND(Proyeccion_Localidades!BA129,0),"*****"))))</f>
        <v>33093</v>
      </c>
      <c r="H122" s="66">
        <f>IF($AB122="TGD",ROUND($E122*(1+$AD122)^(H$4-$E$4),0),IF($AB122="ALTH",ROUND($AE122+$AF122*H$4,0),IF($AB122="IR",ROUND(Proyeccion_Localidades!AE129,0),IF($AB122="RT",ROUND(Proyeccion_Localidades!BB129,0),"*****"))))</f>
        <v>34547</v>
      </c>
      <c r="I122" s="66">
        <f>IF($AB122="TGD",ROUND($E122*(1+$AD122)^(I$4-$E$4),0),IF($AB122="ALTH",ROUND($AE122+$AF122*I$4,0),IF($AB122="IR",ROUND(Proyeccion_Localidades!AF129,0),IF($AB122="RT",ROUND(Proyeccion_Localidades!BC129,0),"*****"))))</f>
        <v>35046</v>
      </c>
      <c r="J122" s="66">
        <f>IF($AB122="TGD",ROUND($E122*(1+$AD122)^(J$4-$E$4),0),IF($AB122="ALTH",ROUND($AE122+$AF122*J$4,0),IF($AB122="IR",ROUND(Proyeccion_Localidades!AG129,0),IF($AB122="RT",ROUND(Proyeccion_Localidades!BD129,0),"*****"))))</f>
        <v>35552</v>
      </c>
      <c r="K122" s="66">
        <f>IF($AB122="TGD",ROUND($E122*(1+$AD122)^(K$4-$E$4),0),IF($AB122="ALTH",ROUND($AE122+$AF122*K$4,0),IF($AB122="IR",ROUND(Proyeccion_Localidades!AH129,0),IF($AB122="RT",ROUND(Proyeccion_Localidades!BE129,0),"*****"))))</f>
        <v>36066</v>
      </c>
      <c r="L122" s="66">
        <f>IF($AB122="TGD",ROUND($E122*(1+$AD122)^(L$4-$E$4),0),IF($AB122="ALTH",ROUND($AE122+$AF122*L$4,0),IF($AB122="IR",ROUND(Proyeccion_Localidades!AI129,0),IF($AB122="RT",ROUND(Proyeccion_Localidades!BF129,0),"*****"))))</f>
        <v>36586</v>
      </c>
      <c r="M122" s="66">
        <f>IF($AB122="TGD",ROUND($E122*(1+$AD122)^(M$4-$E$4),0),IF($AB122="ALTH",ROUND($AE122+$AF122*M$4,0),IF($AB122="IR",ROUND(Proyeccion_Localidades!AJ129,0),IF($AB122="RT",ROUND(Proyeccion_Localidades!BG129,0),"*****"))))</f>
        <v>37115</v>
      </c>
      <c r="N122" s="66">
        <f>IF($AB122="TGD",ROUND($E122*(1+$AD122)^(N$4-$E$4),0),IF($AB122="ALTH",ROUND($AE122+$AF122*N$4,0),IF($AB122="IR",ROUND(Proyeccion_Localidades!AK129,0),IF($AB122="RT",ROUND(Proyeccion_Localidades!BH129,0),"*****"))))</f>
        <v>37650</v>
      </c>
      <c r="O122" s="66">
        <f>IF($AB122="TGD",ROUND($E122*(1+$AD122)^(O$4-$E$4),0),IF($AB122="ALTH",ROUND($AE122+$AF122*O$4,0),IF($AB122="IR",ROUND(Proyeccion_Localidades!AL129,0),IF($AB122="RT",ROUND(Proyeccion_Localidades!BI129,0),"*****"))))</f>
        <v>38194</v>
      </c>
      <c r="P122" s="66">
        <f>IF($AB122="TGD",ROUND($E122*(1+$AD122)^(P$4-$E$4),0),IF($AB122="ALTH",ROUND($AE122+$AF122*P$4,0),IF($AB122="IR",ROUND(Proyeccion_Localidades!AM129,0),IF($AB122="RT",ROUND(Proyeccion_Localidades!BJ129,0),"*****"))))</f>
        <v>38746</v>
      </c>
      <c r="Q122" s="66">
        <f>IF($AB122="TGD",ROUND($E122*(1+$AD122)^(Q$4-$E$4),0),IF($AB122="ALTH",ROUND($AE122+$AF122*Q$4,0),IF($AB122="IR",ROUND(Proyeccion_Localidades!AN129,0),IF($AB122="RT",ROUND(Proyeccion_Localidades!BK129,0),"*****"))))</f>
        <v>39305</v>
      </c>
      <c r="R122" s="66">
        <f>IF($AB122="TGD",ROUND($E122*(1+$AD122)^(R$4-$E$4),0),IF($AB122="ALTH",ROUND($AE122+$AF122*R$4,0),IF($AB122="IR",ROUND(Proyeccion_Localidades!AO129,0),IF($AB122="RT",ROUND(Proyeccion_Localidades!BL129,0),"*****"))))</f>
        <v>39873</v>
      </c>
      <c r="S122" s="66">
        <f>IF($AB122="TGD",ROUND($E122*(1+$AD122)^(S$4-$E$4),0),IF($AB122="ALTH",ROUND($AE122+$AF122*S$4,0),IF($AB122="IR",ROUND(Proyeccion_Localidades!AP129,0),IF($AB122="RT",ROUND(Proyeccion_Localidades!BM129,0),"*****"))))</f>
        <v>40448</v>
      </c>
      <c r="T122" s="66">
        <f>IF($AB122="TGD",ROUND($E122*(1+$AD122)^(T$4-$E$4),0),IF($AB122="ALTH",ROUND($AE122+$AF122*T$4,0),IF($AB122="IR",ROUND(Proyeccion_Localidades!AQ129,0),IF($AB122="RT",ROUND(Proyeccion_Localidades!BN129,0),"*****"))))</f>
        <v>41032</v>
      </c>
      <c r="U122" s="66">
        <f>IF($AB122="TGD",ROUND($E122*(1+$AD122)^(U$4-$E$4),0),IF($AB122="ALTH",ROUND($AE122+$AF122*U$4,0),IF($AB122="IR",ROUND(Proyeccion_Localidades!AR129,0),IF($AB122="RT",ROUND(Proyeccion_Localidades!BO129,0),"*****"))))</f>
        <v>41625</v>
      </c>
      <c r="V122" s="66">
        <f>IF($AB122="TGD",ROUND($E122*(1+$AD122)^(V$4-$E$4),0),IF($AB122="ALTH",ROUND($AE122+$AF122*V$4,0),IF($AB122="IR",ROUND(Proyeccion_Localidades!AS129,0),IF($AB122="RT",ROUND(Proyeccion_Localidades!BP129,0),"*****"))))</f>
        <v>42226</v>
      </c>
      <c r="W122" s="66">
        <f>IF($AB122="TGD",ROUND($E122*(1+$AD122)^(W$4-$E$4),0),IF($AB122="ALTH",ROUND($AE122+$AF122*W$4,0),IF($AB122="IR",ROUND(Proyeccion_Localidades!AT129,0),IF($AB122="RT",ROUND(Proyeccion_Localidades!BQ129,0),"*****"))))</f>
        <v>42836</v>
      </c>
      <c r="X122" s="66">
        <f>IF($AB122="TGD",ROUND($E122*(1+$AD122)^(X$4-$E$4),0),IF($AB122="ALTH",ROUND($AE122+$AF122*X$4,0),IF($AB122="IR",ROUND(Proyeccion_Localidades!AU129,0),IF($AB122="RT",ROUND(Proyeccion_Localidades!BR129,0),"*****"))))</f>
        <v>43454</v>
      </c>
      <c r="Y122" s="66">
        <f>IF($AB122="TGD",ROUND($E122*(1+$AD122)^(Y$4-$E$4),0),IF($AB122="ALTH",ROUND($AE122+$AF122*Y$4,0),IF($AB122="IR",ROUND(Proyeccion_Localidades!AV129,0),IF($AB122="RT",ROUND(Proyeccion_Localidades!BS129,0),"*****"))))</f>
        <v>44082</v>
      </c>
      <c r="Z122" s="66">
        <f>IF($AB122="TGD",ROUND($E122*(1+$AD122)^(Z$4-$E$4),0),IF($AB122="ALTH",ROUND($AE122+$AF122*Z$4,0),IF($AB122="IR",ROUND(Proyeccion_Localidades!AW129,0),IF($AB122="RT",ROUND(Proyeccion_Localidades!BT129,0),"*****"))))</f>
        <v>44718</v>
      </c>
      <c r="AA122" s="66">
        <f>IF($AB122="TGD",ROUND($E122*(1+$AD122)^(AA$4-$E$4),0),IF($AB122="ALTH",ROUND($AE122+$AF122*AA$4,0),IF($AB122="IR",ROUND(Proyeccion_Localidades!AX129,0),IF($AB122="RT",ROUND(Proyeccion_Localidades!BU129,0),"*****"))))</f>
        <v>45364</v>
      </c>
      <c r="AB122" s="67" t="str">
        <f>Proyeccion_Localidades!N129</f>
        <v>TGD</v>
      </c>
      <c r="AC122" s="68" t="s">
        <v>35</v>
      </c>
      <c r="AD122" s="51">
        <f>IF(AB122="TGD",Proyeccion_Localidades!Z129,"-")</f>
        <v>1.4439465734204404E-2</v>
      </c>
      <c r="AE122" s="51" t="str">
        <f>IF($AB122="ALTH",Proyeccion_Localidades!AA129,"-")</f>
        <v>-</v>
      </c>
      <c r="AF122" s="51" t="str">
        <f>IF($AB122="ALTH",Proyeccion_Localidades!AB129,"-")</f>
        <v>-</v>
      </c>
      <c r="AG122" s="51"/>
      <c r="AH122" s="51"/>
      <c r="AI122" s="66">
        <f t="shared" si="5"/>
        <v>33093</v>
      </c>
    </row>
    <row r="123" spans="1:35" ht="24.95" customHeight="1">
      <c r="A123" s="86" t="str">
        <f>+Proyeccion_Localidades!C130</f>
        <v>San Andrés de Giles</v>
      </c>
      <c r="B123" s="70">
        <f t="shared" si="7"/>
        <v>119</v>
      </c>
      <c r="C123" s="88" t="str">
        <f>+Proyeccion_Localidades!B130</f>
        <v>San Andrés de Giles</v>
      </c>
      <c r="D123" s="261">
        <f t="shared" si="6"/>
        <v>119</v>
      </c>
      <c r="E123" s="72">
        <f>+Proyeccion_Localidades!F130</f>
        <v>16243</v>
      </c>
      <c r="F123" s="66">
        <f>IF($AB123="TGD",ROUND($E123*(1+$AD123)^(F$4-$E$4),0),IF($AB123="ALTH",ROUND($AE123+$AF123*F$4,0),IF($AB123="IR",ROUND(Proyeccion_Localidades!AC130,0),IF($AB123="RT",ROUND(Proyeccion_Localidades!AZ130,0),"*****"))))</f>
        <v>19343</v>
      </c>
      <c r="G123" s="66">
        <f>IF($AB123="TGD",ROUND($E123*(1+$AD123)^(G$4-$E$4),0),IF($AB123="ALTH",ROUND($AE123+$AF123*G$4,0),IF($AB123="IR",ROUND(Proyeccion_Localidades!AD130,0),IF($AB123="RT",ROUND(Proyeccion_Localidades!BA130,0),"*****"))))</f>
        <v>19601</v>
      </c>
      <c r="H123" s="66">
        <f>IF($AB123="TGD",ROUND($E123*(1+$AD123)^(H$4-$E$4),0),IF($AB123="ALTH",ROUND($AE123+$AF123*H$4,0),IF($AB123="IR",ROUND(Proyeccion_Localidades!AE130,0),IF($AB123="RT",ROUND(Proyeccion_Localidades!BB130,0),"*****"))))</f>
        <v>20375</v>
      </c>
      <c r="I123" s="66">
        <f>IF($AB123="TGD",ROUND($E123*(1+$AD123)^(I$4-$E$4),0),IF($AB123="ALTH",ROUND($AE123+$AF123*I$4,0),IF($AB123="IR",ROUND(Proyeccion_Localidades!AF130,0),IF($AB123="RT",ROUND(Proyeccion_Localidades!BC130,0),"*****"))))</f>
        <v>20632</v>
      </c>
      <c r="J123" s="66">
        <f>IF($AB123="TGD",ROUND($E123*(1+$AD123)^(J$4-$E$4),0),IF($AB123="ALTH",ROUND($AE123+$AF123*J$4,0),IF($AB123="IR",ROUND(Proyeccion_Localidades!AG130,0),IF($AB123="RT",ROUND(Proyeccion_Localidades!BD130,0),"*****"))))</f>
        <v>20890</v>
      </c>
      <c r="K123" s="66">
        <f>IF($AB123="TGD",ROUND($E123*(1+$AD123)^(K$4-$E$4),0),IF($AB123="ALTH",ROUND($AE123+$AF123*K$4,0),IF($AB123="IR",ROUND(Proyeccion_Localidades!AH130,0),IF($AB123="RT",ROUND(Proyeccion_Localidades!BE130,0),"*****"))))</f>
        <v>21148</v>
      </c>
      <c r="L123" s="66">
        <f>IF($AB123="TGD",ROUND($E123*(1+$AD123)^(L$4-$E$4),0),IF($AB123="ALTH",ROUND($AE123+$AF123*L$4,0),IF($AB123="IR",ROUND(Proyeccion_Localidades!AI130,0),IF($AB123="RT",ROUND(Proyeccion_Localidades!BF130,0),"*****"))))</f>
        <v>21406</v>
      </c>
      <c r="M123" s="66">
        <f>IF($AB123="TGD",ROUND($E123*(1+$AD123)^(M$4-$E$4),0),IF($AB123="ALTH",ROUND($AE123+$AF123*M$4,0),IF($AB123="IR",ROUND(Proyeccion_Localidades!AJ130,0),IF($AB123="RT",ROUND(Proyeccion_Localidades!BG130,0),"*****"))))</f>
        <v>21664</v>
      </c>
      <c r="N123" s="66">
        <f>IF($AB123="TGD",ROUND($E123*(1+$AD123)^(N$4-$E$4),0),IF($AB123="ALTH",ROUND($AE123+$AF123*N$4,0),IF($AB123="IR",ROUND(Proyeccion_Localidades!AK130,0),IF($AB123="RT",ROUND(Proyeccion_Localidades!BH130,0),"*****"))))</f>
        <v>21921</v>
      </c>
      <c r="O123" s="66">
        <f>IF($AB123="TGD",ROUND($E123*(1+$AD123)^(O$4-$E$4),0),IF($AB123="ALTH",ROUND($AE123+$AF123*O$4,0),IF($AB123="IR",ROUND(Proyeccion_Localidades!AL130,0),IF($AB123="RT",ROUND(Proyeccion_Localidades!BI130,0),"*****"))))</f>
        <v>22179</v>
      </c>
      <c r="P123" s="66">
        <f>IF($AB123="TGD",ROUND($E123*(1+$AD123)^(P$4-$E$4),0),IF($AB123="ALTH",ROUND($AE123+$AF123*P$4,0),IF($AB123="IR",ROUND(Proyeccion_Localidades!AM130,0),IF($AB123="RT",ROUND(Proyeccion_Localidades!BJ130,0),"*****"))))</f>
        <v>22437</v>
      </c>
      <c r="Q123" s="66">
        <f>IF($AB123="TGD",ROUND($E123*(1+$AD123)^(Q$4-$E$4),0),IF($AB123="ALTH",ROUND($AE123+$AF123*Q$4,0),IF($AB123="IR",ROUND(Proyeccion_Localidades!AN130,0),IF($AB123="RT",ROUND(Proyeccion_Localidades!BK130,0),"*****"))))</f>
        <v>22695</v>
      </c>
      <c r="R123" s="66">
        <f>IF($AB123="TGD",ROUND($E123*(1+$AD123)^(R$4-$E$4),0),IF($AB123="ALTH",ROUND($AE123+$AF123*R$4,0),IF($AB123="IR",ROUND(Proyeccion_Localidades!AO130,0),IF($AB123="RT",ROUND(Proyeccion_Localidades!BL130,0),"*****"))))</f>
        <v>22953</v>
      </c>
      <c r="S123" s="66">
        <f>IF($AB123="TGD",ROUND($E123*(1+$AD123)^(S$4-$E$4),0),IF($AB123="ALTH",ROUND($AE123+$AF123*S$4,0),IF($AB123="IR",ROUND(Proyeccion_Localidades!AP130,0),IF($AB123="RT",ROUND(Proyeccion_Localidades!BM130,0),"*****"))))</f>
        <v>23211</v>
      </c>
      <c r="T123" s="66">
        <f>IF($AB123="TGD",ROUND($E123*(1+$AD123)^(T$4-$E$4),0),IF($AB123="ALTH",ROUND($AE123+$AF123*T$4,0),IF($AB123="IR",ROUND(Proyeccion_Localidades!AQ130,0),IF($AB123="RT",ROUND(Proyeccion_Localidades!BN130,0),"*****"))))</f>
        <v>23468</v>
      </c>
      <c r="U123" s="66">
        <f>IF($AB123="TGD",ROUND($E123*(1+$AD123)^(U$4-$E$4),0),IF($AB123="ALTH",ROUND($AE123+$AF123*U$4,0),IF($AB123="IR",ROUND(Proyeccion_Localidades!AR130,0),IF($AB123="RT",ROUND(Proyeccion_Localidades!BO130,0),"*****"))))</f>
        <v>23726</v>
      </c>
      <c r="V123" s="66">
        <f>IF($AB123="TGD",ROUND($E123*(1+$AD123)^(V$4-$E$4),0),IF($AB123="ALTH",ROUND($AE123+$AF123*V$4,0),IF($AB123="IR",ROUND(Proyeccion_Localidades!AS130,0),IF($AB123="RT",ROUND(Proyeccion_Localidades!BP130,0),"*****"))))</f>
        <v>23984</v>
      </c>
      <c r="W123" s="66">
        <f>IF($AB123="TGD",ROUND($E123*(1+$AD123)^(W$4-$E$4),0),IF($AB123="ALTH",ROUND($AE123+$AF123*W$4,0),IF($AB123="IR",ROUND(Proyeccion_Localidades!AT130,0),IF($AB123="RT",ROUND(Proyeccion_Localidades!BQ130,0),"*****"))))</f>
        <v>24242</v>
      </c>
      <c r="X123" s="66">
        <f>IF($AB123="TGD",ROUND($E123*(1+$AD123)^(X$4-$E$4),0),IF($AB123="ALTH",ROUND($AE123+$AF123*X$4,0),IF($AB123="IR",ROUND(Proyeccion_Localidades!AU130,0),IF($AB123="RT",ROUND(Proyeccion_Localidades!BR130,0),"*****"))))</f>
        <v>24500</v>
      </c>
      <c r="Y123" s="66">
        <f>IF($AB123="TGD",ROUND($E123*(1+$AD123)^(Y$4-$E$4),0),IF($AB123="ALTH",ROUND($AE123+$AF123*Y$4,0),IF($AB123="IR",ROUND(Proyeccion_Localidades!AV130,0),IF($AB123="RT",ROUND(Proyeccion_Localidades!BS130,0),"*****"))))</f>
        <v>24758</v>
      </c>
      <c r="Z123" s="66">
        <f>IF($AB123="TGD",ROUND($E123*(1+$AD123)^(Z$4-$E$4),0),IF($AB123="ALTH",ROUND($AE123+$AF123*Z$4,0),IF($AB123="IR",ROUND(Proyeccion_Localidades!AW130,0),IF($AB123="RT",ROUND(Proyeccion_Localidades!BT130,0),"*****"))))</f>
        <v>25015</v>
      </c>
      <c r="AA123" s="66">
        <f>IF($AB123="TGD",ROUND($E123*(1+$AD123)^(AA$4-$E$4),0),IF($AB123="ALTH",ROUND($AE123+$AF123*AA$4,0),IF($AB123="IR",ROUND(Proyeccion_Localidades!AX130,0),IF($AB123="RT",ROUND(Proyeccion_Localidades!BU130,0),"*****"))))</f>
        <v>25273</v>
      </c>
      <c r="AB123" s="67" t="str">
        <f>Proyeccion_Localidades!N130</f>
        <v>ALTH</v>
      </c>
      <c r="AC123" s="68" t="s">
        <v>36</v>
      </c>
      <c r="AD123" s="51" t="str">
        <f>IF(AB123="TGD",Proyeccion_Localidades!Z130,"-")</f>
        <v>-</v>
      </c>
      <c r="AE123" s="51">
        <f>IF($AB123="ALTH",Proyeccion_Localidades!AA130,"-")</f>
        <v>-501974.63837638375</v>
      </c>
      <c r="AF123" s="51">
        <f>IF($AB123="ALTH",Proyeccion_Localidades!AB130,"-")</f>
        <v>257.82287822878226</v>
      </c>
      <c r="AG123" s="51"/>
      <c r="AH123" s="51"/>
      <c r="AI123" s="66">
        <f t="shared" si="5"/>
        <v>19601</v>
      </c>
    </row>
    <row r="124" spans="1:35" ht="24.95" customHeight="1">
      <c r="A124" s="86" t="str">
        <f>+Proyeccion_Localidades!C131</f>
        <v>San Antonio de Areco</v>
      </c>
      <c r="B124" s="70">
        <f t="shared" si="7"/>
        <v>120</v>
      </c>
      <c r="C124" s="88" t="str">
        <f>+Proyeccion_Localidades!B131</f>
        <v>San Antonio de Areco</v>
      </c>
      <c r="D124" s="261">
        <f t="shared" si="6"/>
        <v>120</v>
      </c>
      <c r="E124" s="72">
        <f>+Proyeccion_Localidades!F131</f>
        <v>19768</v>
      </c>
      <c r="F124" s="66">
        <f>IF($AB124="TGD",ROUND($E124*(1+$AD124)^(F$4-$E$4),0),IF($AB124="ALTH",ROUND($AE124+$AF124*F$4,0),IF($AB124="IR",ROUND(Proyeccion_Localidades!AC131,0),IF($AB124="RT",ROUND(Proyeccion_Localidades!AZ131,0),"*****"))))</f>
        <v>22554</v>
      </c>
      <c r="G124" s="66">
        <f>IF($AB124="TGD",ROUND($E124*(1+$AD124)^(G$4-$E$4),0),IF($AB124="ALTH",ROUND($AE124+$AF124*G$4,0),IF($AB124="IR",ROUND(Proyeccion_Localidades!AD131,0),IF($AB124="RT",ROUND(Proyeccion_Localidades!BA131,0),"*****"))))</f>
        <v>22784</v>
      </c>
      <c r="H124" s="66">
        <f>IF($AB124="TGD",ROUND($E124*(1+$AD124)^(H$4-$E$4),0),IF($AB124="ALTH",ROUND($AE124+$AF124*H$4,0),IF($AB124="IR",ROUND(Proyeccion_Localidades!AE131,0),IF($AB124="RT",ROUND(Proyeccion_Localidades!BB131,0),"*****"))))</f>
        <v>23475</v>
      </c>
      <c r="I124" s="66">
        <f>IF($AB124="TGD",ROUND($E124*(1+$AD124)^(I$4-$E$4),0),IF($AB124="ALTH",ROUND($AE124+$AF124*I$4,0),IF($AB124="IR",ROUND(Proyeccion_Localidades!AF131,0),IF($AB124="RT",ROUND(Proyeccion_Localidades!BC131,0),"*****"))))</f>
        <v>23705</v>
      </c>
      <c r="J124" s="66">
        <f>IF($AB124="TGD",ROUND($E124*(1+$AD124)^(J$4-$E$4),0),IF($AB124="ALTH",ROUND($AE124+$AF124*J$4,0),IF($AB124="IR",ROUND(Proyeccion_Localidades!AG131,0),IF($AB124="RT",ROUND(Proyeccion_Localidades!BD131,0),"*****"))))</f>
        <v>23936</v>
      </c>
      <c r="K124" s="66">
        <f>IF($AB124="TGD",ROUND($E124*(1+$AD124)^(K$4-$E$4),0),IF($AB124="ALTH",ROUND($AE124+$AF124*K$4,0),IF($AB124="IR",ROUND(Proyeccion_Localidades!AH131,0),IF($AB124="RT",ROUND(Proyeccion_Localidades!BE131,0),"*****"))))</f>
        <v>24166</v>
      </c>
      <c r="L124" s="66">
        <f>IF($AB124="TGD",ROUND($E124*(1+$AD124)^(L$4-$E$4),0),IF($AB124="ALTH",ROUND($AE124+$AF124*L$4,0),IF($AB124="IR",ROUND(Proyeccion_Localidades!AI131,0),IF($AB124="RT",ROUND(Proyeccion_Localidades!BF131,0),"*****"))))</f>
        <v>24396</v>
      </c>
      <c r="M124" s="66">
        <f>IF($AB124="TGD",ROUND($E124*(1+$AD124)^(M$4-$E$4),0),IF($AB124="ALTH",ROUND($AE124+$AF124*M$4,0),IF($AB124="IR",ROUND(Proyeccion_Localidades!AJ131,0),IF($AB124="RT",ROUND(Proyeccion_Localidades!BG131,0),"*****"))))</f>
        <v>24626</v>
      </c>
      <c r="N124" s="66">
        <f>IF($AB124="TGD",ROUND($E124*(1+$AD124)^(N$4-$E$4),0),IF($AB124="ALTH",ROUND($AE124+$AF124*N$4,0),IF($AB124="IR",ROUND(Proyeccion_Localidades!AK131,0),IF($AB124="RT",ROUND(Proyeccion_Localidades!BH131,0),"*****"))))</f>
        <v>24857</v>
      </c>
      <c r="O124" s="66">
        <f>IF($AB124="TGD",ROUND($E124*(1+$AD124)^(O$4-$E$4),0),IF($AB124="ALTH",ROUND($AE124+$AF124*O$4,0),IF($AB124="IR",ROUND(Proyeccion_Localidades!AL131,0),IF($AB124="RT",ROUND(Proyeccion_Localidades!BI131,0),"*****"))))</f>
        <v>25087</v>
      </c>
      <c r="P124" s="66">
        <f>IF($AB124="TGD",ROUND($E124*(1+$AD124)^(P$4-$E$4),0),IF($AB124="ALTH",ROUND($AE124+$AF124*P$4,0),IF($AB124="IR",ROUND(Proyeccion_Localidades!AM131,0),IF($AB124="RT",ROUND(Proyeccion_Localidades!BJ131,0),"*****"))))</f>
        <v>25317</v>
      </c>
      <c r="Q124" s="66">
        <f>IF($AB124="TGD",ROUND($E124*(1+$AD124)^(Q$4-$E$4),0),IF($AB124="ALTH",ROUND($AE124+$AF124*Q$4,0),IF($AB124="IR",ROUND(Proyeccion_Localidades!AN131,0),IF($AB124="RT",ROUND(Proyeccion_Localidades!BK131,0),"*****"))))</f>
        <v>25547</v>
      </c>
      <c r="R124" s="66">
        <f>IF($AB124="TGD",ROUND($E124*(1+$AD124)^(R$4-$E$4),0),IF($AB124="ALTH",ROUND($AE124+$AF124*R$4,0),IF($AB124="IR",ROUND(Proyeccion_Localidades!AO131,0),IF($AB124="RT",ROUND(Proyeccion_Localidades!BL131,0),"*****"))))</f>
        <v>25777</v>
      </c>
      <c r="S124" s="66">
        <f>IF($AB124="TGD",ROUND($E124*(1+$AD124)^(S$4-$E$4),0),IF($AB124="ALTH",ROUND($AE124+$AF124*S$4,0),IF($AB124="IR",ROUND(Proyeccion_Localidades!AP131,0),IF($AB124="RT",ROUND(Proyeccion_Localidades!BM131,0),"*****"))))</f>
        <v>26008</v>
      </c>
      <c r="T124" s="66">
        <f>IF($AB124="TGD",ROUND($E124*(1+$AD124)^(T$4-$E$4),0),IF($AB124="ALTH",ROUND($AE124+$AF124*T$4,0),IF($AB124="IR",ROUND(Proyeccion_Localidades!AQ131,0),IF($AB124="RT",ROUND(Proyeccion_Localidades!BN131,0),"*****"))))</f>
        <v>26238</v>
      </c>
      <c r="U124" s="66">
        <f>IF($AB124="TGD",ROUND($E124*(1+$AD124)^(U$4-$E$4),0),IF($AB124="ALTH",ROUND($AE124+$AF124*U$4,0),IF($AB124="IR",ROUND(Proyeccion_Localidades!AR131,0),IF($AB124="RT",ROUND(Proyeccion_Localidades!BO131,0),"*****"))))</f>
        <v>26468</v>
      </c>
      <c r="V124" s="66">
        <f>IF($AB124="TGD",ROUND($E124*(1+$AD124)^(V$4-$E$4),0),IF($AB124="ALTH",ROUND($AE124+$AF124*V$4,0),IF($AB124="IR",ROUND(Proyeccion_Localidades!AS131,0),IF($AB124="RT",ROUND(Proyeccion_Localidades!BP131,0),"*****"))))</f>
        <v>26698</v>
      </c>
      <c r="W124" s="66">
        <f>IF($AB124="TGD",ROUND($E124*(1+$AD124)^(W$4-$E$4),0),IF($AB124="ALTH",ROUND($AE124+$AF124*W$4,0),IF($AB124="IR",ROUND(Proyeccion_Localidades!AT131,0),IF($AB124="RT",ROUND(Proyeccion_Localidades!BQ131,0),"*****"))))</f>
        <v>26929</v>
      </c>
      <c r="X124" s="66">
        <f>IF($AB124="TGD",ROUND($E124*(1+$AD124)^(X$4-$E$4),0),IF($AB124="ALTH",ROUND($AE124+$AF124*X$4,0),IF($AB124="IR",ROUND(Proyeccion_Localidades!AU131,0),IF($AB124="RT",ROUND(Proyeccion_Localidades!BR131,0),"*****"))))</f>
        <v>27159</v>
      </c>
      <c r="Y124" s="66">
        <f>IF($AB124="TGD",ROUND($E124*(1+$AD124)^(Y$4-$E$4),0),IF($AB124="ALTH",ROUND($AE124+$AF124*Y$4,0),IF($AB124="IR",ROUND(Proyeccion_Localidades!AV131,0),IF($AB124="RT",ROUND(Proyeccion_Localidades!BS131,0),"*****"))))</f>
        <v>27389</v>
      </c>
      <c r="Z124" s="66">
        <f>IF($AB124="TGD",ROUND($E124*(1+$AD124)^(Z$4-$E$4),0),IF($AB124="ALTH",ROUND($AE124+$AF124*Z$4,0),IF($AB124="IR",ROUND(Proyeccion_Localidades!AW131,0),IF($AB124="RT",ROUND(Proyeccion_Localidades!BT131,0),"*****"))))</f>
        <v>27619</v>
      </c>
      <c r="AA124" s="66">
        <f>IF($AB124="TGD",ROUND($E124*(1+$AD124)^(AA$4-$E$4),0),IF($AB124="ALTH",ROUND($AE124+$AF124*AA$4,0),IF($AB124="IR",ROUND(Proyeccion_Localidades!AX131,0),IF($AB124="RT",ROUND(Proyeccion_Localidades!BU131,0),"*****"))))</f>
        <v>27849</v>
      </c>
      <c r="AB124" s="67" t="str">
        <f>Proyeccion_Localidades!N131</f>
        <v>ALTH</v>
      </c>
      <c r="AC124" s="68" t="s">
        <v>36</v>
      </c>
      <c r="AD124" s="51" t="str">
        <f>IF(AB124="TGD",Proyeccion_Localidades!Z131,"-")</f>
        <v>-</v>
      </c>
      <c r="AE124" s="51">
        <f>IF($AB124="ALTH",Proyeccion_Localidades!AA131,"-")</f>
        <v>-442968.38376383763</v>
      </c>
      <c r="AF124" s="51">
        <f>IF($AB124="ALTH",Proyeccion_Localidades!AB131,"-")</f>
        <v>230.22878228782287</v>
      </c>
      <c r="AG124" s="51"/>
      <c r="AH124" s="51"/>
      <c r="AI124" s="66">
        <f t="shared" si="5"/>
        <v>22784</v>
      </c>
    </row>
    <row r="125" spans="1:35" ht="24.95" customHeight="1">
      <c r="A125" s="86" t="str">
        <f>+Proyeccion_Localidades!C132</f>
        <v>San Cayetano</v>
      </c>
      <c r="B125" s="70">
        <f t="shared" si="7"/>
        <v>121</v>
      </c>
      <c r="C125" s="88" t="str">
        <f>+Proyeccion_Localidades!B132</f>
        <v>San Cayetano</v>
      </c>
      <c r="D125" s="261">
        <f t="shared" si="6"/>
        <v>121</v>
      </c>
      <c r="E125" s="72">
        <f>+Proyeccion_Localidades!F132</f>
        <v>7354</v>
      </c>
      <c r="F125" s="66">
        <f>IF($AB125="TGD",ROUND($E125*(1+$AD125)^(F$4-$E$4),0),IF($AB125="ALTH",ROUND($AE125+$AF125*F$4,0),IF($AB125="IR",ROUND(Proyeccion_Localidades!AC132,0),IF($AB125="RT",ROUND(Proyeccion_Localidades!AZ132,0),"*****"))))</f>
        <v>8233</v>
      </c>
      <c r="G125" s="66">
        <f>IF($AB125="TGD",ROUND($E125*(1+$AD125)^(G$4-$E$4),0),IF($AB125="ALTH",ROUND($AE125+$AF125*G$4,0),IF($AB125="IR",ROUND(Proyeccion_Localidades!AD132,0),IF($AB125="RT",ROUND(Proyeccion_Localidades!BA132,0),"*****"))))</f>
        <v>8311</v>
      </c>
      <c r="H125" s="66">
        <f>IF($AB125="TGD",ROUND($E125*(1+$AD125)^(H$4-$E$4),0),IF($AB125="ALTH",ROUND($AE125+$AF125*H$4,0),IF($AB125="IR",ROUND(Proyeccion_Localidades!AE132,0),IF($AB125="RT",ROUND(Proyeccion_Localidades!BB132,0),"*****"))))</f>
        <v>8549</v>
      </c>
      <c r="I125" s="66">
        <f>IF($AB125="TGD",ROUND($E125*(1+$AD125)^(I$4-$E$4),0),IF($AB125="ALTH",ROUND($AE125+$AF125*I$4,0),IF($AB125="IR",ROUND(Proyeccion_Localidades!AF132,0),IF($AB125="RT",ROUND(Proyeccion_Localidades!BC132,0),"*****"))))</f>
        <v>8629</v>
      </c>
      <c r="J125" s="66">
        <f>IF($AB125="TGD",ROUND($E125*(1+$AD125)^(J$4-$E$4),0),IF($AB125="ALTH",ROUND($AE125+$AF125*J$4,0),IF($AB125="IR",ROUND(Proyeccion_Localidades!AG132,0),IF($AB125="RT",ROUND(Proyeccion_Localidades!BD132,0),"*****"))))</f>
        <v>8711</v>
      </c>
      <c r="K125" s="66">
        <f>IF($AB125="TGD",ROUND($E125*(1+$AD125)^(K$4-$E$4),0),IF($AB125="ALTH",ROUND($AE125+$AF125*K$4,0),IF($AB125="IR",ROUND(Proyeccion_Localidades!AH132,0),IF($AB125="RT",ROUND(Proyeccion_Localidades!BE132,0),"*****"))))</f>
        <v>8793</v>
      </c>
      <c r="L125" s="66">
        <f>IF($AB125="TGD",ROUND($E125*(1+$AD125)^(L$4-$E$4),0),IF($AB125="ALTH",ROUND($AE125+$AF125*L$4,0),IF($AB125="IR",ROUND(Proyeccion_Localidades!AI132,0),IF($AB125="RT",ROUND(Proyeccion_Localidades!BF132,0),"*****"))))</f>
        <v>8876</v>
      </c>
      <c r="M125" s="66">
        <f>IF($AB125="TGD",ROUND($E125*(1+$AD125)^(M$4-$E$4),0),IF($AB125="ALTH",ROUND($AE125+$AF125*M$4,0),IF($AB125="IR",ROUND(Proyeccion_Localidades!AJ132,0),IF($AB125="RT",ROUND(Proyeccion_Localidades!BG132,0),"*****"))))</f>
        <v>8960</v>
      </c>
      <c r="N125" s="66">
        <f>IF($AB125="TGD",ROUND($E125*(1+$AD125)^(N$4-$E$4),0),IF($AB125="ALTH",ROUND($AE125+$AF125*N$4,0),IF($AB125="IR",ROUND(Proyeccion_Localidades!AK132,0),IF($AB125="RT",ROUND(Proyeccion_Localidades!BH132,0),"*****"))))</f>
        <v>9045</v>
      </c>
      <c r="O125" s="66">
        <f>IF($AB125="TGD",ROUND($E125*(1+$AD125)^(O$4-$E$4),0),IF($AB125="ALTH",ROUND($AE125+$AF125*O$4,0),IF($AB125="IR",ROUND(Proyeccion_Localidades!AL132,0),IF($AB125="RT",ROUND(Proyeccion_Localidades!BI132,0),"*****"))))</f>
        <v>9130</v>
      </c>
      <c r="P125" s="66">
        <f>IF($AB125="TGD",ROUND($E125*(1+$AD125)^(P$4-$E$4),0),IF($AB125="ALTH",ROUND($AE125+$AF125*P$4,0),IF($AB125="IR",ROUND(Proyeccion_Localidades!AM132,0),IF($AB125="RT",ROUND(Proyeccion_Localidades!BJ132,0),"*****"))))</f>
        <v>9217</v>
      </c>
      <c r="Q125" s="66">
        <f>IF($AB125="TGD",ROUND($E125*(1+$AD125)^(Q$4-$E$4),0),IF($AB125="ALTH",ROUND($AE125+$AF125*Q$4,0),IF($AB125="IR",ROUND(Proyeccion_Localidades!AN132,0),IF($AB125="RT",ROUND(Proyeccion_Localidades!BK132,0),"*****"))))</f>
        <v>9304</v>
      </c>
      <c r="R125" s="66">
        <f>IF($AB125="TGD",ROUND($E125*(1+$AD125)^(R$4-$E$4),0),IF($AB125="ALTH",ROUND($AE125+$AF125*R$4,0),IF($AB125="IR",ROUND(Proyeccion_Localidades!AO132,0),IF($AB125="RT",ROUND(Proyeccion_Localidades!BL132,0),"*****"))))</f>
        <v>9392</v>
      </c>
      <c r="S125" s="66">
        <f>IF($AB125="TGD",ROUND($E125*(1+$AD125)^(S$4-$E$4),0),IF($AB125="ALTH",ROUND($AE125+$AF125*S$4,0),IF($AB125="IR",ROUND(Proyeccion_Localidades!AP132,0),IF($AB125="RT",ROUND(Proyeccion_Localidades!BM132,0),"*****"))))</f>
        <v>9481</v>
      </c>
      <c r="T125" s="66">
        <f>IF($AB125="TGD",ROUND($E125*(1+$AD125)^(T$4-$E$4),0),IF($AB125="ALTH",ROUND($AE125+$AF125*T$4,0),IF($AB125="IR",ROUND(Proyeccion_Localidades!AQ132,0),IF($AB125="RT",ROUND(Proyeccion_Localidades!BN132,0),"*****"))))</f>
        <v>9570</v>
      </c>
      <c r="U125" s="66">
        <f>IF($AB125="TGD",ROUND($E125*(1+$AD125)^(U$4-$E$4),0),IF($AB125="ALTH",ROUND($AE125+$AF125*U$4,0),IF($AB125="IR",ROUND(Proyeccion_Localidades!AR132,0),IF($AB125="RT",ROUND(Proyeccion_Localidades!BO132,0),"*****"))))</f>
        <v>9661</v>
      </c>
      <c r="V125" s="66">
        <f>IF($AB125="TGD",ROUND($E125*(1+$AD125)^(V$4-$E$4),0),IF($AB125="ALTH",ROUND($AE125+$AF125*V$4,0),IF($AB125="IR",ROUND(Proyeccion_Localidades!AS132,0),IF($AB125="RT",ROUND(Proyeccion_Localidades!BP132,0),"*****"))))</f>
        <v>9752</v>
      </c>
      <c r="W125" s="66">
        <f>IF($AB125="TGD",ROUND($E125*(1+$AD125)^(W$4-$E$4),0),IF($AB125="ALTH",ROUND($AE125+$AF125*W$4,0),IF($AB125="IR",ROUND(Proyeccion_Localidades!AT132,0),IF($AB125="RT",ROUND(Proyeccion_Localidades!BQ132,0),"*****"))))</f>
        <v>9844</v>
      </c>
      <c r="X125" s="66">
        <f>IF($AB125="TGD",ROUND($E125*(1+$AD125)^(X$4-$E$4),0),IF($AB125="ALTH",ROUND($AE125+$AF125*X$4,0),IF($AB125="IR",ROUND(Proyeccion_Localidades!AU132,0),IF($AB125="RT",ROUND(Proyeccion_Localidades!BR132,0),"*****"))))</f>
        <v>9937</v>
      </c>
      <c r="Y125" s="66">
        <f>IF($AB125="TGD",ROUND($E125*(1+$AD125)^(Y$4-$E$4),0),IF($AB125="ALTH",ROUND($AE125+$AF125*Y$4,0),IF($AB125="IR",ROUND(Proyeccion_Localidades!AV132,0),IF($AB125="RT",ROUND(Proyeccion_Localidades!BS132,0),"*****"))))</f>
        <v>10031</v>
      </c>
      <c r="Z125" s="66">
        <f>IF($AB125="TGD",ROUND($E125*(1+$AD125)^(Z$4-$E$4),0),IF($AB125="ALTH",ROUND($AE125+$AF125*Z$4,0),IF($AB125="IR",ROUND(Proyeccion_Localidades!AW132,0),IF($AB125="RT",ROUND(Proyeccion_Localidades!BT132,0),"*****"))))</f>
        <v>10126</v>
      </c>
      <c r="AA125" s="66">
        <f>IF($AB125="TGD",ROUND($E125*(1+$AD125)^(AA$4-$E$4),0),IF($AB125="ALTH",ROUND($AE125+$AF125*AA$4,0),IF($AB125="IR",ROUND(Proyeccion_Localidades!AX132,0),IF($AB125="RT",ROUND(Proyeccion_Localidades!BU132,0),"*****"))))</f>
        <v>10222</v>
      </c>
      <c r="AB125" s="67" t="str">
        <f>Proyeccion_Localidades!N132</f>
        <v>TGD</v>
      </c>
      <c r="AC125" s="68" t="s">
        <v>35</v>
      </c>
      <c r="AD125" s="51">
        <f>IF(AB125="TGD",Proyeccion_Localidades!Z132,"-")</f>
        <v>9.4516516457401334E-3</v>
      </c>
      <c r="AE125" s="51" t="str">
        <f>IF($AB125="ALTH",Proyeccion_Localidades!AA132,"-")</f>
        <v>-</v>
      </c>
      <c r="AF125" s="51" t="str">
        <f>IF($AB125="ALTH",Proyeccion_Localidades!AB132,"-")</f>
        <v>-</v>
      </c>
      <c r="AG125" s="51"/>
      <c r="AH125" s="51"/>
      <c r="AI125" s="66">
        <f t="shared" si="5"/>
        <v>8311</v>
      </c>
    </row>
    <row r="126" spans="1:35" ht="24.95" customHeight="1">
      <c r="A126" s="86" t="str">
        <f>+Proyeccion_Localidades!C133</f>
        <v>San Nicolás</v>
      </c>
      <c r="B126" s="70">
        <f t="shared" si="7"/>
        <v>122</v>
      </c>
      <c r="C126" s="88" t="str">
        <f>+Proyeccion_Localidades!B133</f>
        <v>San Nicolás de los Arroyos</v>
      </c>
      <c r="D126" s="261">
        <f t="shared" si="6"/>
        <v>122</v>
      </c>
      <c r="E126" s="72">
        <f>+Proyeccion_Localidades!F133</f>
        <v>133602</v>
      </c>
      <c r="F126" s="66">
        <f>IF($AB126="TGD",ROUND($E126*(1+$AD126)^(F$4-$E$4),0),IF($AB126="ALTH",ROUND($AE126+$AF126*F$4,0),IF($AB126="IR",ROUND(Proyeccion_Localidades!AC133,0),IF($AB126="RT",ROUND(Proyeccion_Localidades!AZ133,0),"*****"))))</f>
        <v>151867</v>
      </c>
      <c r="G126" s="66">
        <f>IF($AB126="TGD",ROUND($E126*(1+$AD126)^(G$4-$E$4),0),IF($AB126="ALTH",ROUND($AE126+$AF126*G$4,0),IF($AB126="IR",ROUND(Proyeccion_Localidades!AD133,0),IF($AB126="RT",ROUND(Proyeccion_Localidades!BA133,0),"*****"))))</f>
        <v>153555</v>
      </c>
      <c r="H126" s="66">
        <f>IF($AB126="TGD",ROUND($E126*(1+$AD126)^(H$4-$E$4),0),IF($AB126="ALTH",ROUND($AE126+$AF126*H$4,0),IF($AB126="IR",ROUND(Proyeccion_Localidades!AE133,0),IF($AB126="RT",ROUND(Proyeccion_Localidades!BB133,0),"*****"))))</f>
        <v>158787</v>
      </c>
      <c r="I126" s="66">
        <f>IF($AB126="TGD",ROUND($E126*(1+$AD126)^(I$4-$E$4),0),IF($AB126="ALTH",ROUND($AE126+$AF126*I$4,0),IF($AB126="IR",ROUND(Proyeccion_Localidades!AF133,0),IF($AB126="RT",ROUND(Proyeccion_Localidades!BC133,0),"*****"))))</f>
        <v>160588</v>
      </c>
      <c r="J126" s="66">
        <f>IF($AB126="TGD",ROUND($E126*(1+$AD126)^(J$4-$E$4),0),IF($AB126="ALTH",ROUND($AE126+$AF126*J$4,0),IF($AB126="IR",ROUND(Proyeccion_Localidades!AG133,0),IF($AB126="RT",ROUND(Proyeccion_Localidades!BD133,0),"*****"))))</f>
        <v>162418</v>
      </c>
      <c r="K126" s="66">
        <f>IF($AB126="TGD",ROUND($E126*(1+$AD126)^(K$4-$E$4),0),IF($AB126="ALTH",ROUND($AE126+$AF126*K$4,0),IF($AB126="IR",ROUND(Proyeccion_Localidades!AH133,0),IF($AB126="RT",ROUND(Proyeccion_Localidades!BE133,0),"*****"))))</f>
        <v>164279</v>
      </c>
      <c r="L126" s="66">
        <f>IF($AB126="TGD",ROUND($E126*(1+$AD126)^(L$4-$E$4),0),IF($AB126="ALTH",ROUND($AE126+$AF126*L$4,0),IF($AB126="IR",ROUND(Proyeccion_Localidades!AI133,0),IF($AB126="RT",ROUND(Proyeccion_Localidades!BF133,0),"*****"))))</f>
        <v>166169</v>
      </c>
      <c r="M126" s="66">
        <f>IF($AB126="TGD",ROUND($E126*(1+$AD126)^(M$4-$E$4),0),IF($AB126="ALTH",ROUND($AE126+$AF126*M$4,0),IF($AB126="IR",ROUND(Proyeccion_Localidades!AJ133,0),IF($AB126="RT",ROUND(Proyeccion_Localidades!BG133,0),"*****"))))</f>
        <v>168091</v>
      </c>
      <c r="N126" s="66">
        <f>IF($AB126="TGD",ROUND($E126*(1+$AD126)^(N$4-$E$4),0),IF($AB126="ALTH",ROUND($AE126+$AF126*N$4,0),IF($AB126="IR",ROUND(Proyeccion_Localidades!AK133,0),IF($AB126="RT",ROUND(Proyeccion_Localidades!BH133,0),"*****"))))</f>
        <v>170044</v>
      </c>
      <c r="O126" s="66">
        <f>IF($AB126="TGD",ROUND($E126*(1+$AD126)^(O$4-$E$4),0),IF($AB126="ALTH",ROUND($AE126+$AF126*O$4,0),IF($AB126="IR",ROUND(Proyeccion_Localidades!AL133,0),IF($AB126="RT",ROUND(Proyeccion_Localidades!BI133,0),"*****"))))</f>
        <v>172029</v>
      </c>
      <c r="P126" s="66">
        <f>IF($AB126="TGD",ROUND($E126*(1+$AD126)^(P$4-$E$4),0),IF($AB126="ALTH",ROUND($AE126+$AF126*P$4,0),IF($AB126="IR",ROUND(Proyeccion_Localidades!AM133,0),IF($AB126="RT",ROUND(Proyeccion_Localidades!BJ133,0),"*****"))))</f>
        <v>174046</v>
      </c>
      <c r="Q126" s="66">
        <f>IF($AB126="TGD",ROUND($E126*(1+$AD126)^(Q$4-$E$4),0),IF($AB126="ALTH",ROUND($AE126+$AF126*Q$4,0),IF($AB126="IR",ROUND(Proyeccion_Localidades!AN133,0),IF($AB126="RT",ROUND(Proyeccion_Localidades!BK133,0),"*****"))))</f>
        <v>176096</v>
      </c>
      <c r="R126" s="66">
        <f>IF($AB126="TGD",ROUND($E126*(1+$AD126)^(R$4-$E$4),0),IF($AB126="ALTH",ROUND($AE126+$AF126*R$4,0),IF($AB126="IR",ROUND(Proyeccion_Localidades!AO133,0),IF($AB126="RT",ROUND(Proyeccion_Localidades!BL133,0),"*****"))))</f>
        <v>178179</v>
      </c>
      <c r="S126" s="66">
        <f>IF($AB126="TGD",ROUND($E126*(1+$AD126)^(S$4-$E$4),0),IF($AB126="ALTH",ROUND($AE126+$AF126*S$4,0),IF($AB126="IR",ROUND(Proyeccion_Localidades!AP133,0),IF($AB126="RT",ROUND(Proyeccion_Localidades!BM133,0),"*****"))))</f>
        <v>180297</v>
      </c>
      <c r="T126" s="66">
        <f>IF($AB126="TGD",ROUND($E126*(1+$AD126)^(T$4-$E$4),0),IF($AB126="ALTH",ROUND($AE126+$AF126*T$4,0),IF($AB126="IR",ROUND(Proyeccion_Localidades!AQ133,0),IF($AB126="RT",ROUND(Proyeccion_Localidades!BN133,0),"*****"))))</f>
        <v>182449</v>
      </c>
      <c r="U126" s="66">
        <f>IF($AB126="TGD",ROUND($E126*(1+$AD126)^(U$4-$E$4),0),IF($AB126="ALTH",ROUND($AE126+$AF126*U$4,0),IF($AB126="IR",ROUND(Proyeccion_Localidades!AR133,0),IF($AB126="RT",ROUND(Proyeccion_Localidades!BO133,0),"*****"))))</f>
        <v>184636</v>
      </c>
      <c r="V126" s="66">
        <f>IF($AB126="TGD",ROUND($E126*(1+$AD126)^(V$4-$E$4),0),IF($AB126="ALTH",ROUND($AE126+$AF126*V$4,0),IF($AB126="IR",ROUND(Proyeccion_Localidades!AS133,0),IF($AB126="RT",ROUND(Proyeccion_Localidades!BP133,0),"*****"))))</f>
        <v>186858</v>
      </c>
      <c r="W126" s="66">
        <f>IF($AB126="TGD",ROUND($E126*(1+$AD126)^(W$4-$E$4),0),IF($AB126="ALTH",ROUND($AE126+$AF126*W$4,0),IF($AB126="IR",ROUND(Proyeccion_Localidades!AT133,0),IF($AB126="RT",ROUND(Proyeccion_Localidades!BQ133,0),"*****"))))</f>
        <v>189118</v>
      </c>
      <c r="X126" s="66">
        <f>IF($AB126="TGD",ROUND($E126*(1+$AD126)^(X$4-$E$4),0),IF($AB126="ALTH",ROUND($AE126+$AF126*X$4,0),IF($AB126="IR",ROUND(Proyeccion_Localidades!AU133,0),IF($AB126="RT",ROUND(Proyeccion_Localidades!BR133,0),"*****"))))</f>
        <v>191413</v>
      </c>
      <c r="Y126" s="66">
        <f>IF($AB126="TGD",ROUND($E126*(1+$AD126)^(Y$4-$E$4),0),IF($AB126="ALTH",ROUND($AE126+$AF126*Y$4,0),IF($AB126="IR",ROUND(Proyeccion_Localidades!AV133,0),IF($AB126="RT",ROUND(Proyeccion_Localidades!BS133,0),"*****"))))</f>
        <v>193747</v>
      </c>
      <c r="Z126" s="66">
        <f>IF($AB126="TGD",ROUND($E126*(1+$AD126)^(Z$4-$E$4),0),IF($AB126="ALTH",ROUND($AE126+$AF126*Z$4,0),IF($AB126="IR",ROUND(Proyeccion_Localidades!AW133,0),IF($AB126="RT",ROUND(Proyeccion_Localidades!BT133,0),"*****"))))</f>
        <v>196118</v>
      </c>
      <c r="AA126" s="66">
        <f>IF($AB126="TGD",ROUND($E126*(1+$AD126)^(AA$4-$E$4),0),IF($AB126="ALTH",ROUND($AE126+$AF126*AA$4,0),IF($AB126="IR",ROUND(Proyeccion_Localidades!AX133,0),IF($AB126="RT",ROUND(Proyeccion_Localidades!BU133,0),"*****"))))</f>
        <v>198528</v>
      </c>
      <c r="AB126" s="67" t="str">
        <f>Proyeccion_Localidades!N133</f>
        <v>IR</v>
      </c>
      <c r="AC126" s="73"/>
      <c r="AD126" s="51" t="str">
        <f>IF(AB126="TGD",Proyeccion_Localidades!Z133,"-")</f>
        <v>-</v>
      </c>
      <c r="AE126" s="51" t="str">
        <f>IF($AB126="ALTH",Proyeccion_Localidades!AA133,"-")</f>
        <v>-</v>
      </c>
      <c r="AF126" s="51" t="str">
        <f>IF($AB126="ALTH",Proyeccion_Localidades!AB133,"-")</f>
        <v>-</v>
      </c>
      <c r="AG126" s="51"/>
      <c r="AH126" s="51"/>
      <c r="AI126" s="66">
        <f t="shared" si="5"/>
        <v>153555</v>
      </c>
    </row>
    <row r="127" spans="1:35" ht="24.95" customHeight="1">
      <c r="A127" s="86" t="str">
        <f>+Proyeccion_Localidades!C134</f>
        <v>San Pedro</v>
      </c>
      <c r="B127" s="70">
        <f t="shared" si="7"/>
        <v>123</v>
      </c>
      <c r="C127" s="88" t="str">
        <f>+Proyeccion_Localidades!B134</f>
        <v>San Pedro</v>
      </c>
      <c r="D127" s="261">
        <f t="shared" si="6"/>
        <v>123</v>
      </c>
      <c r="E127" s="72">
        <f>+Proyeccion_Localidades!F134</f>
        <v>47452</v>
      </c>
      <c r="F127" s="66">
        <f>IF($AB127="TGD",ROUND($E127*(1+$AD127)^(F$4-$E$4),0),IF($AB127="ALTH",ROUND($AE127+$AF127*F$4,0),IF($AB127="IR",ROUND(Proyeccion_Localidades!AC134,0),IF($AB127="RT",ROUND(Proyeccion_Localidades!AZ134,0),"*****"))))</f>
        <v>55571</v>
      </c>
      <c r="G127" s="66">
        <f>IF($AB127="TGD",ROUND($E127*(1+$AD127)^(G$4-$E$4),0),IF($AB127="ALTH",ROUND($AE127+$AF127*G$4,0),IF($AB127="IR",ROUND(Proyeccion_Localidades!AD134,0),IF($AB127="RT",ROUND(Proyeccion_Localidades!BA134,0),"*****"))))</f>
        <v>56308</v>
      </c>
      <c r="H127" s="66">
        <f>IF($AB127="TGD",ROUND($E127*(1+$AD127)^(H$4-$E$4),0),IF($AB127="ALTH",ROUND($AE127+$AF127*H$4,0),IF($AB127="IR",ROUND(Proyeccion_Localidades!AE134,0),IF($AB127="RT",ROUND(Proyeccion_Localidades!BB134,0),"*****"))))</f>
        <v>58575</v>
      </c>
      <c r="I127" s="66">
        <f>IF($AB127="TGD",ROUND($E127*(1+$AD127)^(I$4-$E$4),0),IF($AB127="ALTH",ROUND($AE127+$AF127*I$4,0),IF($AB127="IR",ROUND(Proyeccion_Localidades!AF134,0),IF($AB127="RT",ROUND(Proyeccion_Localidades!BC134,0),"*****"))))</f>
        <v>59351</v>
      </c>
      <c r="J127" s="66">
        <f>IF($AB127="TGD",ROUND($E127*(1+$AD127)^(J$4-$E$4),0),IF($AB127="ALTH",ROUND($AE127+$AF127*J$4,0),IF($AB127="IR",ROUND(Proyeccion_Localidades!AG134,0),IF($AB127="RT",ROUND(Proyeccion_Localidades!BD134,0),"*****"))))</f>
        <v>60138</v>
      </c>
      <c r="K127" s="66">
        <f>IF($AB127="TGD",ROUND($E127*(1+$AD127)^(K$4-$E$4),0),IF($AB127="ALTH",ROUND($AE127+$AF127*K$4,0),IF($AB127="IR",ROUND(Proyeccion_Localidades!AH134,0),IF($AB127="RT",ROUND(Proyeccion_Localidades!BE134,0),"*****"))))</f>
        <v>60935</v>
      </c>
      <c r="L127" s="66">
        <f>IF($AB127="TGD",ROUND($E127*(1+$AD127)^(L$4-$E$4),0),IF($AB127="ALTH",ROUND($AE127+$AF127*L$4,0),IF($AB127="IR",ROUND(Proyeccion_Localidades!AI134,0),IF($AB127="RT",ROUND(Proyeccion_Localidades!BF134,0),"*****"))))</f>
        <v>61742</v>
      </c>
      <c r="M127" s="66">
        <f>IF($AB127="TGD",ROUND($E127*(1+$AD127)^(M$4-$E$4),0),IF($AB127="ALTH",ROUND($AE127+$AF127*M$4,0),IF($AB127="IR",ROUND(Proyeccion_Localidades!AJ134,0),IF($AB127="RT",ROUND(Proyeccion_Localidades!BG134,0),"*****"))))</f>
        <v>62560</v>
      </c>
      <c r="N127" s="66">
        <f>IF($AB127="TGD",ROUND($E127*(1+$AD127)^(N$4-$E$4),0),IF($AB127="ALTH",ROUND($AE127+$AF127*N$4,0),IF($AB127="IR",ROUND(Proyeccion_Localidades!AK134,0),IF($AB127="RT",ROUND(Proyeccion_Localidades!BH134,0),"*****"))))</f>
        <v>63389</v>
      </c>
      <c r="O127" s="66">
        <f>IF($AB127="TGD",ROUND($E127*(1+$AD127)^(O$4-$E$4),0),IF($AB127="ALTH",ROUND($AE127+$AF127*O$4,0),IF($AB127="IR",ROUND(Proyeccion_Localidades!AL134,0),IF($AB127="RT",ROUND(Proyeccion_Localidades!BI134,0),"*****"))))</f>
        <v>64229</v>
      </c>
      <c r="P127" s="66">
        <f>IF($AB127="TGD",ROUND($E127*(1+$AD127)^(P$4-$E$4),0),IF($AB127="ALTH",ROUND($AE127+$AF127*P$4,0),IF($AB127="IR",ROUND(Proyeccion_Localidades!AM134,0),IF($AB127="RT",ROUND(Proyeccion_Localidades!BJ134,0),"*****"))))</f>
        <v>65080</v>
      </c>
      <c r="Q127" s="66">
        <f>IF($AB127="TGD",ROUND($E127*(1+$AD127)^(Q$4-$E$4),0),IF($AB127="ALTH",ROUND($AE127+$AF127*Q$4,0),IF($AB127="IR",ROUND(Proyeccion_Localidades!AN134,0),IF($AB127="RT",ROUND(Proyeccion_Localidades!BK134,0),"*****"))))</f>
        <v>65942</v>
      </c>
      <c r="R127" s="66">
        <f>IF($AB127="TGD",ROUND($E127*(1+$AD127)^(R$4-$E$4),0),IF($AB127="ALTH",ROUND($AE127+$AF127*R$4,0),IF($AB127="IR",ROUND(Proyeccion_Localidades!AO134,0),IF($AB127="RT",ROUND(Proyeccion_Localidades!BL134,0),"*****"))))</f>
        <v>66816</v>
      </c>
      <c r="S127" s="66">
        <f>IF($AB127="TGD",ROUND($E127*(1+$AD127)^(S$4-$E$4),0),IF($AB127="ALTH",ROUND($AE127+$AF127*S$4,0),IF($AB127="IR",ROUND(Proyeccion_Localidades!AP134,0),IF($AB127="RT",ROUND(Proyeccion_Localidades!BM134,0),"*****"))))</f>
        <v>67701</v>
      </c>
      <c r="T127" s="66">
        <f>IF($AB127="TGD",ROUND($E127*(1+$AD127)^(T$4-$E$4),0),IF($AB127="ALTH",ROUND($AE127+$AF127*T$4,0),IF($AB127="IR",ROUND(Proyeccion_Localidades!AQ134,0),IF($AB127="RT",ROUND(Proyeccion_Localidades!BN134,0),"*****"))))</f>
        <v>68598</v>
      </c>
      <c r="U127" s="66">
        <f>IF($AB127="TGD",ROUND($E127*(1+$AD127)^(U$4-$E$4),0),IF($AB127="ALTH",ROUND($AE127+$AF127*U$4,0),IF($AB127="IR",ROUND(Proyeccion_Localidades!AR134,0),IF($AB127="RT",ROUND(Proyeccion_Localidades!BO134,0),"*****"))))</f>
        <v>69507</v>
      </c>
      <c r="V127" s="66">
        <f>IF($AB127="TGD",ROUND($E127*(1+$AD127)^(V$4-$E$4),0),IF($AB127="ALTH",ROUND($AE127+$AF127*V$4,0),IF($AB127="IR",ROUND(Proyeccion_Localidades!AS134,0),IF($AB127="RT",ROUND(Proyeccion_Localidades!BP134,0),"*****"))))</f>
        <v>70428</v>
      </c>
      <c r="W127" s="66">
        <f>IF($AB127="TGD",ROUND($E127*(1+$AD127)^(W$4-$E$4),0),IF($AB127="ALTH",ROUND($AE127+$AF127*W$4,0),IF($AB127="IR",ROUND(Proyeccion_Localidades!AT134,0),IF($AB127="RT",ROUND(Proyeccion_Localidades!BQ134,0),"*****"))))</f>
        <v>71361</v>
      </c>
      <c r="X127" s="66">
        <f>IF($AB127="TGD",ROUND($E127*(1+$AD127)^(X$4-$E$4),0),IF($AB127="ALTH",ROUND($AE127+$AF127*X$4,0),IF($AB127="IR",ROUND(Proyeccion_Localidades!AU134,0),IF($AB127="RT",ROUND(Proyeccion_Localidades!BR134,0),"*****"))))</f>
        <v>72306</v>
      </c>
      <c r="Y127" s="66">
        <f>IF($AB127="TGD",ROUND($E127*(1+$AD127)^(Y$4-$E$4),0),IF($AB127="ALTH",ROUND($AE127+$AF127*Y$4,0),IF($AB127="IR",ROUND(Proyeccion_Localidades!AV134,0),IF($AB127="RT",ROUND(Proyeccion_Localidades!BS134,0),"*****"))))</f>
        <v>73264</v>
      </c>
      <c r="Z127" s="66">
        <f>IF($AB127="TGD",ROUND($E127*(1+$AD127)^(Z$4-$E$4),0),IF($AB127="ALTH",ROUND($AE127+$AF127*Z$4,0),IF($AB127="IR",ROUND(Proyeccion_Localidades!AW134,0),IF($AB127="RT",ROUND(Proyeccion_Localidades!BT134,0),"*****"))))</f>
        <v>74235</v>
      </c>
      <c r="AA127" s="66">
        <f>IF($AB127="TGD",ROUND($E127*(1+$AD127)^(AA$4-$E$4),0),IF($AB127="ALTH",ROUND($AE127+$AF127*AA$4,0),IF($AB127="IR",ROUND(Proyeccion_Localidades!AX134,0),IF($AB127="RT",ROUND(Proyeccion_Localidades!BU134,0),"*****"))))</f>
        <v>75219</v>
      </c>
      <c r="AB127" s="67" t="str">
        <f>Proyeccion_Localidades!N134</f>
        <v>TGD</v>
      </c>
      <c r="AC127" s="68" t="s">
        <v>35</v>
      </c>
      <c r="AD127" s="51">
        <f>IF(AB127="TGD",Proyeccion_Localidades!Z134,"-")</f>
        <v>1.3249255385757497E-2</v>
      </c>
      <c r="AE127" s="51" t="str">
        <f>IF($AB127="ALTH",Proyeccion_Localidades!AA134,"-")</f>
        <v>-</v>
      </c>
      <c r="AF127" s="51" t="str">
        <f>IF($AB127="ALTH",Proyeccion_Localidades!AB134,"-")</f>
        <v>-</v>
      </c>
      <c r="AG127" s="51"/>
      <c r="AH127" s="51"/>
      <c r="AI127" s="66">
        <f t="shared" ref="AI127:AI158" si="8">+G127</f>
        <v>56308</v>
      </c>
    </row>
    <row r="128" spans="1:35" ht="24.95" customHeight="1">
      <c r="A128" s="86" t="str">
        <f>+Proyeccion_Localidades!C135</f>
        <v>San Vicente</v>
      </c>
      <c r="B128" s="70">
        <f t="shared" si="7"/>
        <v>124</v>
      </c>
      <c r="C128" s="88" t="str">
        <f>+Proyeccion_Localidades!B135</f>
        <v>San Vicente</v>
      </c>
      <c r="D128" s="261">
        <f t="shared" ref="D128:D158" si="9">+B128</f>
        <v>124</v>
      </c>
      <c r="E128" s="72">
        <f>+Proyeccion_Localidades!F135</f>
        <v>58165</v>
      </c>
      <c r="F128" s="66">
        <f>IF($AB128="TGD",ROUND($E128*(1+$AD128)^(F$4-$E$4),0),IF($AB128="ALTH",ROUND($AE128+$AF128*F$4,0),IF($AB128="IR",ROUND(Proyeccion_Localidades!AC135,0),IF($AB128="RT",ROUND(Proyeccion_Localidades!AZ135,0),"*****"))))</f>
        <v>96435</v>
      </c>
      <c r="G128" s="66">
        <f>IF($AB128="TGD",ROUND($E128*(1+$AD128)^(G$4-$E$4),0),IF($AB128="ALTH",ROUND($AE128+$AF128*G$4,0),IF($AB128="IR",ROUND(Proyeccion_Localidades!AD135,0),IF($AB128="RT",ROUND(Proyeccion_Localidades!BA135,0),"*****"))))</f>
        <v>99973</v>
      </c>
      <c r="H128" s="66">
        <f>IF($AB128="TGD",ROUND($E128*(1+$AD128)^(H$4-$E$4),0),IF($AB128="ALTH",ROUND($AE128+$AF128*H$4,0),IF($AB128="IR",ROUND(Proyeccion_Localidades!AE135,0),IF($AB128="RT",ROUND(Proyeccion_Localidades!BB135,0),"*****"))))</f>
        <v>110935</v>
      </c>
      <c r="I128" s="66">
        <f>IF($AB128="TGD",ROUND($E128*(1+$AD128)^(I$4-$E$4),0),IF($AB128="ALTH",ROUND($AE128+$AF128*I$4,0),IF($AB128="IR",ROUND(Proyeccion_Localidades!AF135,0),IF($AB128="RT",ROUND(Proyeccion_Localidades!BC135,0),"*****"))))</f>
        <v>114709</v>
      </c>
      <c r="J128" s="66">
        <f>IF($AB128="TGD",ROUND($E128*(1+$AD128)^(J$4-$E$4),0),IF($AB128="ALTH",ROUND($AE128+$AF128*J$4,0),IF($AB128="IR",ROUND(Proyeccion_Localidades!AG135,0),IF($AB128="RT",ROUND(Proyeccion_Localidades!BD135,0),"*****"))))</f>
        <v>118544</v>
      </c>
      <c r="K128" s="66">
        <f>IF($AB128="TGD",ROUND($E128*(1+$AD128)^(K$4-$E$4),0),IF($AB128="ALTH",ROUND($AE128+$AF128*K$4,0),IF($AB128="IR",ROUND(Proyeccion_Localidades!AH135,0),IF($AB128="RT",ROUND(Proyeccion_Localidades!BE135,0),"*****"))))</f>
        <v>122442</v>
      </c>
      <c r="L128" s="66">
        <f>IF($AB128="TGD",ROUND($E128*(1+$AD128)^(L$4-$E$4),0),IF($AB128="ALTH",ROUND($AE128+$AF128*L$4,0),IF($AB128="IR",ROUND(Proyeccion_Localidades!AI135,0),IF($AB128="RT",ROUND(Proyeccion_Localidades!BF135,0),"*****"))))</f>
        <v>126404</v>
      </c>
      <c r="M128" s="66">
        <f>IF($AB128="TGD",ROUND($E128*(1+$AD128)^(M$4-$E$4),0),IF($AB128="ALTH",ROUND($AE128+$AF128*M$4,0),IF($AB128="IR",ROUND(Proyeccion_Localidades!AJ135,0),IF($AB128="RT",ROUND(Proyeccion_Localidades!BG135,0),"*****"))))</f>
        <v>130430</v>
      </c>
      <c r="N128" s="66">
        <f>IF($AB128="TGD",ROUND($E128*(1+$AD128)^(N$4-$E$4),0),IF($AB128="ALTH",ROUND($AE128+$AF128*N$4,0),IF($AB128="IR",ROUND(Proyeccion_Localidades!AK135,0),IF($AB128="RT",ROUND(Proyeccion_Localidades!BH135,0),"*****"))))</f>
        <v>134522</v>
      </c>
      <c r="O128" s="66">
        <f>IF($AB128="TGD",ROUND($E128*(1+$AD128)^(O$4-$E$4),0),IF($AB128="ALTH",ROUND($AE128+$AF128*O$4,0),IF($AB128="IR",ROUND(Proyeccion_Localidades!AL135,0),IF($AB128="RT",ROUND(Proyeccion_Localidades!BI135,0),"*****"))))</f>
        <v>138681</v>
      </c>
      <c r="P128" s="66">
        <f>IF($AB128="TGD",ROUND($E128*(1+$AD128)^(P$4-$E$4),0),IF($AB128="ALTH",ROUND($AE128+$AF128*P$4,0),IF($AB128="IR",ROUND(Proyeccion_Localidades!AM135,0),IF($AB128="RT",ROUND(Proyeccion_Localidades!BJ135,0),"*****"))))</f>
        <v>142907</v>
      </c>
      <c r="Q128" s="66">
        <f>IF($AB128="TGD",ROUND($E128*(1+$AD128)^(Q$4-$E$4),0),IF($AB128="ALTH",ROUND($AE128+$AF128*Q$4,0),IF($AB128="IR",ROUND(Proyeccion_Localidades!AN135,0),IF($AB128="RT",ROUND(Proyeccion_Localidades!BK135,0),"*****"))))</f>
        <v>147203</v>
      </c>
      <c r="R128" s="66">
        <f>IF($AB128="TGD",ROUND($E128*(1+$AD128)^(R$4-$E$4),0),IF($AB128="ALTH",ROUND($AE128+$AF128*R$4,0),IF($AB128="IR",ROUND(Proyeccion_Localidades!AO135,0),IF($AB128="RT",ROUND(Proyeccion_Localidades!BL135,0),"*****"))))</f>
        <v>151568</v>
      </c>
      <c r="S128" s="66">
        <f>IF($AB128="TGD",ROUND($E128*(1+$AD128)^(S$4-$E$4),0),IF($AB128="ALTH",ROUND($AE128+$AF128*S$4,0),IF($AB128="IR",ROUND(Proyeccion_Localidades!AP135,0),IF($AB128="RT",ROUND(Proyeccion_Localidades!BM135,0),"*****"))))</f>
        <v>156005</v>
      </c>
      <c r="T128" s="66">
        <f>IF($AB128="TGD",ROUND($E128*(1+$AD128)^(T$4-$E$4),0),IF($AB128="ALTH",ROUND($AE128+$AF128*T$4,0),IF($AB128="IR",ROUND(Proyeccion_Localidades!AQ135,0),IF($AB128="RT",ROUND(Proyeccion_Localidades!BN135,0),"*****"))))</f>
        <v>160514</v>
      </c>
      <c r="U128" s="66">
        <f>IF($AB128="TGD",ROUND($E128*(1+$AD128)^(U$4-$E$4),0),IF($AB128="ALTH",ROUND($AE128+$AF128*U$4,0),IF($AB128="IR",ROUND(Proyeccion_Localidades!AR135,0),IF($AB128="RT",ROUND(Proyeccion_Localidades!BO135,0),"*****"))))</f>
        <v>165097</v>
      </c>
      <c r="V128" s="66">
        <f>IF($AB128="TGD",ROUND($E128*(1+$AD128)^(V$4-$E$4),0),IF($AB128="ALTH",ROUND($AE128+$AF128*V$4,0),IF($AB128="IR",ROUND(Proyeccion_Localidades!AS135,0),IF($AB128="RT",ROUND(Proyeccion_Localidades!BP135,0),"*****"))))</f>
        <v>169754</v>
      </c>
      <c r="W128" s="66">
        <f>IF($AB128="TGD",ROUND($E128*(1+$AD128)^(W$4-$E$4),0),IF($AB128="ALTH",ROUND($AE128+$AF128*W$4,0),IF($AB128="IR",ROUND(Proyeccion_Localidades!AT135,0),IF($AB128="RT",ROUND(Proyeccion_Localidades!BQ135,0),"*****"))))</f>
        <v>174487</v>
      </c>
      <c r="X128" s="66">
        <f>IF($AB128="TGD",ROUND($E128*(1+$AD128)^(X$4-$E$4),0),IF($AB128="ALTH",ROUND($AE128+$AF128*X$4,0),IF($AB128="IR",ROUND(Proyeccion_Localidades!AU135,0),IF($AB128="RT",ROUND(Proyeccion_Localidades!BR135,0),"*****"))))</f>
        <v>179298</v>
      </c>
      <c r="Y128" s="66">
        <f>IF($AB128="TGD",ROUND($E128*(1+$AD128)^(Y$4-$E$4),0),IF($AB128="ALTH",ROUND($AE128+$AF128*Y$4,0),IF($AB128="IR",ROUND(Proyeccion_Localidades!AV135,0),IF($AB128="RT",ROUND(Proyeccion_Localidades!BS135,0),"*****"))))</f>
        <v>184187</v>
      </c>
      <c r="Z128" s="66">
        <f>IF($AB128="TGD",ROUND($E128*(1+$AD128)^(Z$4-$E$4),0),IF($AB128="ALTH",ROUND($AE128+$AF128*Z$4,0),IF($AB128="IR",ROUND(Proyeccion_Localidades!AW135,0),IF($AB128="RT",ROUND(Proyeccion_Localidades!BT135,0),"*****"))))</f>
        <v>189156</v>
      </c>
      <c r="AA128" s="66">
        <f>IF($AB128="TGD",ROUND($E128*(1+$AD128)^(AA$4-$E$4),0),IF($AB128="ALTH",ROUND($AE128+$AF128*AA$4,0),IF($AB128="IR",ROUND(Proyeccion_Localidades!AX135,0),IF($AB128="RT",ROUND(Proyeccion_Localidades!BU135,0),"*****"))))</f>
        <v>194206</v>
      </c>
      <c r="AB128" s="67" t="str">
        <f>Proyeccion_Localidades!N135</f>
        <v>IR</v>
      </c>
      <c r="AC128" s="73"/>
      <c r="AD128" s="51" t="str">
        <f>IF(AB128="TGD",Proyeccion_Localidades!Z135,"-")</f>
        <v>-</v>
      </c>
      <c r="AE128" s="51" t="str">
        <f>IF($AB128="ALTH",Proyeccion_Localidades!AA135,"-")</f>
        <v>-</v>
      </c>
      <c r="AF128" s="51" t="str">
        <f>IF($AB128="ALTH",Proyeccion_Localidades!AB135,"-")</f>
        <v>-</v>
      </c>
      <c r="AG128" s="51"/>
      <c r="AH128" s="51"/>
      <c r="AI128" s="66">
        <f t="shared" si="8"/>
        <v>99973</v>
      </c>
    </row>
    <row r="129" spans="1:43" ht="24.95" customHeight="1">
      <c r="A129" s="86" t="str">
        <f>+Proyeccion_Localidades!C136</f>
        <v>Suipacha</v>
      </c>
      <c r="B129" s="70">
        <f t="shared" si="7"/>
        <v>125</v>
      </c>
      <c r="C129" s="88" t="str">
        <f>+Proyeccion_Localidades!B136</f>
        <v>Suipacha</v>
      </c>
      <c r="D129" s="261">
        <f t="shared" si="9"/>
        <v>125</v>
      </c>
      <c r="E129" s="72">
        <f>+Proyeccion_Localidades!F136</f>
        <v>8403</v>
      </c>
      <c r="F129" s="66">
        <f>IF($AB129="TGD",ROUND($E129*(1+$AD129)^(F$4-$E$4),0),IF($AB129="ALTH",ROUND($AE129+$AF129*F$4,0),IF($AB129="IR",ROUND(Proyeccion_Localidades!AC136,0),IF($AB129="RT",ROUND(Proyeccion_Localidades!AZ136,0),"*****"))))</f>
        <v>9951</v>
      </c>
      <c r="G129" s="66">
        <f>IF($AB129="TGD",ROUND($E129*(1+$AD129)^(G$4-$E$4),0),IF($AB129="ALTH",ROUND($AE129+$AF129*G$4,0),IF($AB129="IR",ROUND(Proyeccion_Localidades!AD136,0),IF($AB129="RT",ROUND(Proyeccion_Localidades!BA136,0),"*****"))))</f>
        <v>10082</v>
      </c>
      <c r="H129" s="66">
        <f>IF($AB129="TGD",ROUND($E129*(1+$AD129)^(H$4-$E$4),0),IF($AB129="ALTH",ROUND($AE129+$AF129*H$4,0),IF($AB129="IR",ROUND(Proyeccion_Localidades!AE136,0),IF($AB129="RT",ROUND(Proyeccion_Localidades!BB136,0),"*****"))))</f>
        <v>10476</v>
      </c>
      <c r="I129" s="66">
        <f>IF($AB129="TGD",ROUND($E129*(1+$AD129)^(I$4-$E$4),0),IF($AB129="ALTH",ROUND($AE129+$AF129*I$4,0),IF($AB129="IR",ROUND(Proyeccion_Localidades!AF136,0),IF($AB129="RT",ROUND(Proyeccion_Localidades!BC136,0),"*****"))))</f>
        <v>10607</v>
      </c>
      <c r="J129" s="66">
        <f>IF($AB129="TGD",ROUND($E129*(1+$AD129)^(J$4-$E$4),0),IF($AB129="ALTH",ROUND($AE129+$AF129*J$4,0),IF($AB129="IR",ROUND(Proyeccion_Localidades!AG136,0),IF($AB129="RT",ROUND(Proyeccion_Localidades!BD136,0),"*****"))))</f>
        <v>10738</v>
      </c>
      <c r="K129" s="66">
        <f>IF($AB129="TGD",ROUND($E129*(1+$AD129)^(K$4-$E$4),0),IF($AB129="ALTH",ROUND($AE129+$AF129*K$4,0),IF($AB129="IR",ROUND(Proyeccion_Localidades!AH136,0),IF($AB129="RT",ROUND(Proyeccion_Localidades!BE136,0),"*****"))))</f>
        <v>10869</v>
      </c>
      <c r="L129" s="66">
        <f>IF($AB129="TGD",ROUND($E129*(1+$AD129)^(L$4-$E$4),0),IF($AB129="ALTH",ROUND($AE129+$AF129*L$4,0),IF($AB129="IR",ROUND(Proyeccion_Localidades!AI136,0),IF($AB129="RT",ROUND(Proyeccion_Localidades!BF136,0),"*****"))))</f>
        <v>11000</v>
      </c>
      <c r="M129" s="66">
        <f>IF($AB129="TGD",ROUND($E129*(1+$AD129)^(M$4-$E$4),0),IF($AB129="ALTH",ROUND($AE129+$AF129*M$4,0),IF($AB129="IR",ROUND(Proyeccion_Localidades!AJ136,0),IF($AB129="RT",ROUND(Proyeccion_Localidades!BG136,0),"*****"))))</f>
        <v>11131</v>
      </c>
      <c r="N129" s="66">
        <f>IF($AB129="TGD",ROUND($E129*(1+$AD129)^(N$4-$E$4),0),IF($AB129="ALTH",ROUND($AE129+$AF129*N$4,0),IF($AB129="IR",ROUND(Proyeccion_Localidades!AK136,0),IF($AB129="RT",ROUND(Proyeccion_Localidades!BH136,0),"*****"))))</f>
        <v>11262</v>
      </c>
      <c r="O129" s="66">
        <f>IF($AB129="TGD",ROUND($E129*(1+$AD129)^(O$4-$E$4),0),IF($AB129="ALTH",ROUND($AE129+$AF129*O$4,0),IF($AB129="IR",ROUND(Proyeccion_Localidades!AL136,0),IF($AB129="RT",ROUND(Proyeccion_Localidades!BI136,0),"*****"))))</f>
        <v>11394</v>
      </c>
      <c r="P129" s="66">
        <f>IF($AB129="TGD",ROUND($E129*(1+$AD129)^(P$4-$E$4),0),IF($AB129="ALTH",ROUND($AE129+$AF129*P$4,0),IF($AB129="IR",ROUND(Proyeccion_Localidades!AM136,0),IF($AB129="RT",ROUND(Proyeccion_Localidades!BJ136,0),"*****"))))</f>
        <v>11525</v>
      </c>
      <c r="Q129" s="66">
        <f>IF($AB129="TGD",ROUND($E129*(1+$AD129)^(Q$4-$E$4),0),IF($AB129="ALTH",ROUND($AE129+$AF129*Q$4,0),IF($AB129="IR",ROUND(Proyeccion_Localidades!AN136,0),IF($AB129="RT",ROUND(Proyeccion_Localidades!BK136,0),"*****"))))</f>
        <v>11656</v>
      </c>
      <c r="R129" s="66">
        <f>IF($AB129="TGD",ROUND($E129*(1+$AD129)^(R$4-$E$4),0),IF($AB129="ALTH",ROUND($AE129+$AF129*R$4,0),IF($AB129="IR",ROUND(Proyeccion_Localidades!AO136,0),IF($AB129="RT",ROUND(Proyeccion_Localidades!BL136,0),"*****"))))</f>
        <v>11787</v>
      </c>
      <c r="S129" s="66">
        <f>IF($AB129="TGD",ROUND($E129*(1+$AD129)^(S$4-$E$4),0),IF($AB129="ALTH",ROUND($AE129+$AF129*S$4,0),IF($AB129="IR",ROUND(Proyeccion_Localidades!AP136,0),IF($AB129="RT",ROUND(Proyeccion_Localidades!BM136,0),"*****"))))</f>
        <v>11918</v>
      </c>
      <c r="T129" s="66">
        <f>IF($AB129="TGD",ROUND($E129*(1+$AD129)^(T$4-$E$4),0),IF($AB129="ALTH",ROUND($AE129+$AF129*T$4,0),IF($AB129="IR",ROUND(Proyeccion_Localidades!AQ136,0),IF($AB129="RT",ROUND(Proyeccion_Localidades!BN136,0),"*****"))))</f>
        <v>12049</v>
      </c>
      <c r="U129" s="66">
        <f>IF($AB129="TGD",ROUND($E129*(1+$AD129)^(U$4-$E$4),0),IF($AB129="ALTH",ROUND($AE129+$AF129*U$4,0),IF($AB129="IR",ROUND(Proyeccion_Localidades!AR136,0),IF($AB129="RT",ROUND(Proyeccion_Localidades!BO136,0),"*****"))))</f>
        <v>12180</v>
      </c>
      <c r="V129" s="66">
        <f>IF($AB129="TGD",ROUND($E129*(1+$AD129)^(V$4-$E$4),0),IF($AB129="ALTH",ROUND($AE129+$AF129*V$4,0),IF($AB129="IR",ROUND(Proyeccion_Localidades!AS136,0),IF($AB129="RT",ROUND(Proyeccion_Localidades!BP136,0),"*****"))))</f>
        <v>12311</v>
      </c>
      <c r="W129" s="66">
        <f>IF($AB129="TGD",ROUND($E129*(1+$AD129)^(W$4-$E$4),0),IF($AB129="ALTH",ROUND($AE129+$AF129*W$4,0),IF($AB129="IR",ROUND(Proyeccion_Localidades!AT136,0),IF($AB129="RT",ROUND(Proyeccion_Localidades!BQ136,0),"*****"))))</f>
        <v>12443</v>
      </c>
      <c r="X129" s="66">
        <f>IF($AB129="TGD",ROUND($E129*(1+$AD129)^(X$4-$E$4),0),IF($AB129="ALTH",ROUND($AE129+$AF129*X$4,0),IF($AB129="IR",ROUND(Proyeccion_Localidades!AU136,0),IF($AB129="RT",ROUND(Proyeccion_Localidades!BR136,0),"*****"))))</f>
        <v>12574</v>
      </c>
      <c r="Y129" s="66">
        <f>IF($AB129="TGD",ROUND($E129*(1+$AD129)^(Y$4-$E$4),0),IF($AB129="ALTH",ROUND($AE129+$AF129*Y$4,0),IF($AB129="IR",ROUND(Proyeccion_Localidades!AV136,0),IF($AB129="RT",ROUND(Proyeccion_Localidades!BS136,0),"*****"))))</f>
        <v>12705</v>
      </c>
      <c r="Z129" s="66">
        <f>IF($AB129="TGD",ROUND($E129*(1+$AD129)^(Z$4-$E$4),0),IF($AB129="ALTH",ROUND($AE129+$AF129*Z$4,0),IF($AB129="IR",ROUND(Proyeccion_Localidades!AW136,0),IF($AB129="RT",ROUND(Proyeccion_Localidades!BT136,0),"*****"))))</f>
        <v>12836</v>
      </c>
      <c r="AA129" s="66">
        <f>IF($AB129="TGD",ROUND($E129*(1+$AD129)^(AA$4-$E$4),0),IF($AB129="ALTH",ROUND($AE129+$AF129*AA$4,0),IF($AB129="IR",ROUND(Proyeccion_Localidades!AX136,0),IF($AB129="RT",ROUND(Proyeccion_Localidades!BU136,0),"*****"))))</f>
        <v>12967</v>
      </c>
      <c r="AB129" s="67" t="str">
        <f>Proyeccion_Localidades!N136</f>
        <v>ALTH</v>
      </c>
      <c r="AC129" s="68" t="s">
        <v>36</v>
      </c>
      <c r="AD129" s="51" t="str">
        <f>IF(AB129="TGD",Proyeccion_Localidades!Z136,"-")</f>
        <v>-</v>
      </c>
      <c r="AE129" s="51">
        <f>IF($AB129="ALTH",Proyeccion_Localidades!AA136,"-")</f>
        <v>-255192.05535055351</v>
      </c>
      <c r="AF129" s="51">
        <f>IF($AB129="ALTH",Proyeccion_Localidades!AB136,"-")</f>
        <v>131.1291512915129</v>
      </c>
      <c r="AG129" s="51"/>
      <c r="AH129" s="51"/>
      <c r="AI129" s="66">
        <f t="shared" si="8"/>
        <v>10082</v>
      </c>
    </row>
    <row r="130" spans="1:43" ht="24.95" customHeight="1">
      <c r="A130" s="86" t="str">
        <f>+Proyeccion_Localidades!C137</f>
        <v>Tandil</v>
      </c>
      <c r="B130" s="70">
        <f t="shared" si="7"/>
        <v>126</v>
      </c>
      <c r="C130" s="88" t="str">
        <f>+Proyeccion_Localidades!B137</f>
        <v>Tandil</v>
      </c>
      <c r="D130" s="261">
        <f t="shared" si="9"/>
        <v>126</v>
      </c>
      <c r="E130" s="72">
        <f>+Proyeccion_Localidades!F137</f>
        <v>116916</v>
      </c>
      <c r="F130" s="66">
        <f>IF($AB130="TGD",ROUND($E130*(1+$AD130)^(F$4-$E$4),0),IF($AB130="ALTH",ROUND($AE130+$AF130*F$4,0),IF($AB130="IR",ROUND(Proyeccion_Localidades!AC137,0),IF($AB130="RT",ROUND(Proyeccion_Localidades!AZ137,0),"*****"))))</f>
        <v>137133</v>
      </c>
      <c r="G130" s="66">
        <f>IF($AB130="TGD",ROUND($E130*(1+$AD130)^(G$4-$E$4),0),IF($AB130="ALTH",ROUND($AE130+$AF130*G$4,0),IF($AB130="IR",ROUND(Proyeccion_Localidades!AD137,0),IF($AB130="RT",ROUND(Proyeccion_Localidades!BA137,0),"*****"))))</f>
        <v>138968</v>
      </c>
      <c r="H130" s="66">
        <f>IF($AB130="TGD",ROUND($E130*(1+$AD130)^(H$4-$E$4),0),IF($AB130="ALTH",ROUND($AE130+$AF130*H$4,0),IF($AB130="IR",ROUND(Proyeccion_Localidades!AE137,0),IF($AB130="RT",ROUND(Proyeccion_Localidades!BB137,0),"*****"))))</f>
        <v>144621</v>
      </c>
      <c r="I130" s="66">
        <f>IF($AB130="TGD",ROUND($E130*(1+$AD130)^(I$4-$E$4),0),IF($AB130="ALTH",ROUND($AE130+$AF130*I$4,0),IF($AB130="IR",ROUND(Proyeccion_Localidades!AF137,0),IF($AB130="RT",ROUND(Proyeccion_Localidades!BC137,0),"*****"))))</f>
        <v>146556</v>
      </c>
      <c r="J130" s="66">
        <f>IF($AB130="TGD",ROUND($E130*(1+$AD130)^(J$4-$E$4),0),IF($AB130="ALTH",ROUND($AE130+$AF130*J$4,0),IF($AB130="IR",ROUND(Proyeccion_Localidades!AG137,0),IF($AB130="RT",ROUND(Proyeccion_Localidades!BD137,0),"*****"))))</f>
        <v>148517</v>
      </c>
      <c r="K130" s="66">
        <f>IF($AB130="TGD",ROUND($E130*(1+$AD130)^(K$4-$E$4),0),IF($AB130="ALTH",ROUND($AE130+$AF130*K$4,0),IF($AB130="IR",ROUND(Proyeccion_Localidades!AH137,0),IF($AB130="RT",ROUND(Proyeccion_Localidades!BE137,0),"*****"))))</f>
        <v>150504</v>
      </c>
      <c r="L130" s="66">
        <f>IF($AB130="TGD",ROUND($E130*(1+$AD130)^(L$4-$E$4),0),IF($AB130="ALTH",ROUND($AE130+$AF130*L$4,0),IF($AB130="IR",ROUND(Proyeccion_Localidades!AI137,0),IF($AB130="RT",ROUND(Proyeccion_Localidades!BF137,0),"*****"))))</f>
        <v>152517</v>
      </c>
      <c r="M130" s="66">
        <f>IF($AB130="TGD",ROUND($E130*(1+$AD130)^(M$4-$E$4),0),IF($AB130="ALTH",ROUND($AE130+$AF130*M$4,0),IF($AB130="IR",ROUND(Proyeccion_Localidades!AJ137,0),IF($AB130="RT",ROUND(Proyeccion_Localidades!BG137,0),"*****"))))</f>
        <v>154558</v>
      </c>
      <c r="N130" s="66">
        <f>IF($AB130="TGD",ROUND($E130*(1+$AD130)^(N$4-$E$4),0),IF($AB130="ALTH",ROUND($AE130+$AF130*N$4,0),IF($AB130="IR",ROUND(Proyeccion_Localidades!AK137,0),IF($AB130="RT",ROUND(Proyeccion_Localidades!BH137,0),"*****"))))</f>
        <v>156626</v>
      </c>
      <c r="O130" s="66">
        <f>IF($AB130="TGD",ROUND($E130*(1+$AD130)^(O$4-$E$4),0),IF($AB130="ALTH",ROUND($AE130+$AF130*O$4,0),IF($AB130="IR",ROUND(Proyeccion_Localidades!AL137,0),IF($AB130="RT",ROUND(Proyeccion_Localidades!BI137,0),"*****"))))</f>
        <v>158722</v>
      </c>
      <c r="P130" s="66">
        <f>IF($AB130="TGD",ROUND($E130*(1+$AD130)^(P$4-$E$4),0),IF($AB130="ALTH",ROUND($AE130+$AF130*P$4,0),IF($AB130="IR",ROUND(Proyeccion_Localidades!AM137,0),IF($AB130="RT",ROUND(Proyeccion_Localidades!BJ137,0),"*****"))))</f>
        <v>160845</v>
      </c>
      <c r="Q130" s="66">
        <f>IF($AB130="TGD",ROUND($E130*(1+$AD130)^(Q$4-$E$4),0),IF($AB130="ALTH",ROUND($AE130+$AF130*Q$4,0),IF($AB130="IR",ROUND(Proyeccion_Localidades!AN137,0),IF($AB130="RT",ROUND(Proyeccion_Localidades!BK137,0),"*****"))))</f>
        <v>162997</v>
      </c>
      <c r="R130" s="66">
        <f>IF($AB130="TGD",ROUND($E130*(1+$AD130)^(R$4-$E$4),0),IF($AB130="ALTH",ROUND($AE130+$AF130*R$4,0),IF($AB130="IR",ROUND(Proyeccion_Localidades!AO137,0),IF($AB130="RT",ROUND(Proyeccion_Localidades!BL137,0),"*****"))))</f>
        <v>165178</v>
      </c>
      <c r="S130" s="66">
        <f>IF($AB130="TGD",ROUND($E130*(1+$AD130)^(S$4-$E$4),0),IF($AB130="ALTH",ROUND($AE130+$AF130*S$4,0),IF($AB130="IR",ROUND(Proyeccion_Localidades!AP137,0),IF($AB130="RT",ROUND(Proyeccion_Localidades!BM137,0),"*****"))))</f>
        <v>167388</v>
      </c>
      <c r="T130" s="66">
        <f>IF($AB130="TGD",ROUND($E130*(1+$AD130)^(T$4-$E$4),0),IF($AB130="ALTH",ROUND($AE130+$AF130*T$4,0),IF($AB130="IR",ROUND(Proyeccion_Localidades!AQ137,0),IF($AB130="RT",ROUND(Proyeccion_Localidades!BN137,0),"*****"))))</f>
        <v>169628</v>
      </c>
      <c r="U130" s="66">
        <f>IF($AB130="TGD",ROUND($E130*(1+$AD130)^(U$4-$E$4),0),IF($AB130="ALTH",ROUND($AE130+$AF130*U$4,0),IF($AB130="IR",ROUND(Proyeccion_Localidades!AR137,0),IF($AB130="RT",ROUND(Proyeccion_Localidades!BO137,0),"*****"))))</f>
        <v>171898</v>
      </c>
      <c r="V130" s="66">
        <f>IF($AB130="TGD",ROUND($E130*(1+$AD130)^(V$4-$E$4),0),IF($AB130="ALTH",ROUND($AE130+$AF130*V$4,0),IF($AB130="IR",ROUND(Proyeccion_Localidades!AS137,0),IF($AB130="RT",ROUND(Proyeccion_Localidades!BP137,0),"*****"))))</f>
        <v>174198</v>
      </c>
      <c r="W130" s="66">
        <f>IF($AB130="TGD",ROUND($E130*(1+$AD130)^(W$4-$E$4),0),IF($AB130="ALTH",ROUND($AE130+$AF130*W$4,0),IF($AB130="IR",ROUND(Proyeccion_Localidades!AT137,0),IF($AB130="RT",ROUND(Proyeccion_Localidades!BQ137,0),"*****"))))</f>
        <v>176528</v>
      </c>
      <c r="X130" s="66">
        <f>IF($AB130="TGD",ROUND($E130*(1+$AD130)^(X$4-$E$4),0),IF($AB130="ALTH",ROUND($AE130+$AF130*X$4,0),IF($AB130="IR",ROUND(Proyeccion_Localidades!AU137,0),IF($AB130="RT",ROUND(Proyeccion_Localidades!BR137,0),"*****"))))</f>
        <v>178890</v>
      </c>
      <c r="Y130" s="66">
        <f>IF($AB130="TGD",ROUND($E130*(1+$AD130)^(Y$4-$E$4),0),IF($AB130="ALTH",ROUND($AE130+$AF130*Y$4,0),IF($AB130="IR",ROUND(Proyeccion_Localidades!AV137,0),IF($AB130="RT",ROUND(Proyeccion_Localidades!BS137,0),"*****"))))</f>
        <v>181284</v>
      </c>
      <c r="Z130" s="66">
        <f>IF($AB130="TGD",ROUND($E130*(1+$AD130)^(Z$4-$E$4),0),IF($AB130="ALTH",ROUND($AE130+$AF130*Z$4,0),IF($AB130="IR",ROUND(Proyeccion_Localidades!AW137,0),IF($AB130="RT",ROUND(Proyeccion_Localidades!BT137,0),"*****"))))</f>
        <v>183709</v>
      </c>
      <c r="AA130" s="66">
        <f>IF($AB130="TGD",ROUND($E130*(1+$AD130)^(AA$4-$E$4),0),IF($AB130="ALTH",ROUND($AE130+$AF130*AA$4,0),IF($AB130="IR",ROUND(Proyeccion_Localidades!AX137,0),IF($AB130="RT",ROUND(Proyeccion_Localidades!BU137,0),"*****"))))</f>
        <v>186167</v>
      </c>
      <c r="AB130" s="67" t="str">
        <f>Proyeccion_Localidades!N137</f>
        <v>TGD</v>
      </c>
      <c r="AC130" s="68" t="s">
        <v>35</v>
      </c>
      <c r="AD130" s="51">
        <f>IF(AB130="TGD",Proyeccion_Localidades!Z137,"-")</f>
        <v>1.3379876589176498E-2</v>
      </c>
      <c r="AE130" s="51" t="str">
        <f>IF($AB130="ALTH",Proyeccion_Localidades!AA137,"-")</f>
        <v>-</v>
      </c>
      <c r="AF130" s="51" t="str">
        <f>IF($AB130="ALTH",Proyeccion_Localidades!AB137,"-")</f>
        <v>-</v>
      </c>
      <c r="AG130" s="51"/>
      <c r="AH130" s="51"/>
      <c r="AI130" s="66">
        <f t="shared" si="8"/>
        <v>138968</v>
      </c>
    </row>
    <row r="131" spans="1:43" ht="24.95" customHeight="1">
      <c r="A131" s="86" t="str">
        <f>+Proyeccion_Localidades!C138</f>
        <v>Tapalqué</v>
      </c>
      <c r="B131" s="70">
        <f t="shared" si="7"/>
        <v>127</v>
      </c>
      <c r="C131" s="88" t="str">
        <f>+Proyeccion_Localidades!B138</f>
        <v>Tapalqué</v>
      </c>
      <c r="D131" s="261">
        <f t="shared" si="9"/>
        <v>127</v>
      </c>
      <c r="E131" s="72">
        <f>+Proyeccion_Localidades!F138</f>
        <v>7444</v>
      </c>
      <c r="F131" s="66">
        <f>IF($AB131="TGD",ROUND($E131*(1+$AD131)^(F$4-$E$4),0),IF($AB131="ALTH",ROUND($AE131+$AF131*F$4,0),IF($AB131="IR",ROUND(Proyeccion_Localidades!AC138,0),IF($AB131="RT",ROUND(Proyeccion_Localidades!AZ138,0),"*****"))))</f>
        <v>8731</v>
      </c>
      <c r="G131" s="66">
        <f>IF($AB131="TGD",ROUND($E131*(1+$AD131)^(G$4-$E$4),0),IF($AB131="ALTH",ROUND($AE131+$AF131*G$4,0),IF($AB131="IR",ROUND(Proyeccion_Localidades!AD138,0),IF($AB131="RT",ROUND(Proyeccion_Localidades!BA138,0),"*****"))))</f>
        <v>8848</v>
      </c>
      <c r="H131" s="66">
        <f>IF($AB131="TGD",ROUND($E131*(1+$AD131)^(H$4-$E$4),0),IF($AB131="ALTH",ROUND($AE131+$AF131*H$4,0),IF($AB131="IR",ROUND(Proyeccion_Localidades!AE138,0),IF($AB131="RT",ROUND(Proyeccion_Localidades!BB138,0),"*****"))))</f>
        <v>9207</v>
      </c>
      <c r="I131" s="66">
        <f>IF($AB131="TGD",ROUND($E131*(1+$AD131)^(I$4-$E$4),0),IF($AB131="ALTH",ROUND($AE131+$AF131*I$4,0),IF($AB131="IR",ROUND(Proyeccion_Localidades!AF138,0),IF($AB131="RT",ROUND(Proyeccion_Localidades!BC138,0),"*****"))))</f>
        <v>9330</v>
      </c>
      <c r="J131" s="66">
        <f>IF($AB131="TGD",ROUND($E131*(1+$AD131)^(J$4-$E$4),0),IF($AB131="ALTH",ROUND($AE131+$AF131*J$4,0),IF($AB131="IR",ROUND(Proyeccion_Localidades!AG138,0),IF($AB131="RT",ROUND(Proyeccion_Localidades!BD138,0),"*****"))))</f>
        <v>9455</v>
      </c>
      <c r="K131" s="66">
        <f>IF($AB131="TGD",ROUND($E131*(1+$AD131)^(K$4-$E$4),0),IF($AB131="ALTH",ROUND($AE131+$AF131*K$4,0),IF($AB131="IR",ROUND(Proyeccion_Localidades!AH138,0),IF($AB131="RT",ROUND(Proyeccion_Localidades!BE138,0),"*****"))))</f>
        <v>9582</v>
      </c>
      <c r="L131" s="66">
        <f>IF($AB131="TGD",ROUND($E131*(1+$AD131)^(L$4-$E$4),0),IF($AB131="ALTH",ROUND($AE131+$AF131*L$4,0),IF($AB131="IR",ROUND(Proyeccion_Localidades!AI138,0),IF($AB131="RT",ROUND(Proyeccion_Localidades!BF138,0),"*****"))))</f>
        <v>9710</v>
      </c>
      <c r="M131" s="66">
        <f>IF($AB131="TGD",ROUND($E131*(1+$AD131)^(M$4-$E$4),0),IF($AB131="ALTH",ROUND($AE131+$AF131*M$4,0),IF($AB131="IR",ROUND(Proyeccion_Localidades!AJ138,0),IF($AB131="RT",ROUND(Proyeccion_Localidades!BG138,0),"*****"))))</f>
        <v>9840</v>
      </c>
      <c r="N131" s="66">
        <f>IF($AB131="TGD",ROUND($E131*(1+$AD131)^(N$4-$E$4),0),IF($AB131="ALTH",ROUND($AE131+$AF131*N$4,0),IF($AB131="IR",ROUND(Proyeccion_Localidades!AK138,0),IF($AB131="RT",ROUND(Proyeccion_Localidades!BH138,0),"*****"))))</f>
        <v>9971</v>
      </c>
      <c r="O131" s="66">
        <f>IF($AB131="TGD",ROUND($E131*(1+$AD131)^(O$4-$E$4),0),IF($AB131="ALTH",ROUND($AE131+$AF131*O$4,0),IF($AB131="IR",ROUND(Proyeccion_Localidades!AL138,0),IF($AB131="RT",ROUND(Proyeccion_Localidades!BI138,0),"*****"))))</f>
        <v>10105</v>
      </c>
      <c r="P131" s="66">
        <f>IF($AB131="TGD",ROUND($E131*(1+$AD131)^(P$4-$E$4),0),IF($AB131="ALTH",ROUND($AE131+$AF131*P$4,0),IF($AB131="IR",ROUND(Proyeccion_Localidades!AM138,0),IF($AB131="RT",ROUND(Proyeccion_Localidades!BJ138,0),"*****"))))</f>
        <v>10240</v>
      </c>
      <c r="Q131" s="66">
        <f>IF($AB131="TGD",ROUND($E131*(1+$AD131)^(Q$4-$E$4),0),IF($AB131="ALTH",ROUND($AE131+$AF131*Q$4,0),IF($AB131="IR",ROUND(Proyeccion_Localidades!AN138,0),IF($AB131="RT",ROUND(Proyeccion_Localidades!BK138,0),"*****"))))</f>
        <v>10377</v>
      </c>
      <c r="R131" s="66">
        <f>IF($AB131="TGD",ROUND($E131*(1+$AD131)^(R$4-$E$4),0),IF($AB131="ALTH",ROUND($AE131+$AF131*R$4,0),IF($AB131="IR",ROUND(Proyeccion_Localidades!AO138,0),IF($AB131="RT",ROUND(Proyeccion_Localidades!BL138,0),"*****"))))</f>
        <v>10516</v>
      </c>
      <c r="S131" s="66">
        <f>IF($AB131="TGD",ROUND($E131*(1+$AD131)^(S$4-$E$4),0),IF($AB131="ALTH",ROUND($AE131+$AF131*S$4,0),IF($AB131="IR",ROUND(Proyeccion_Localidades!AP138,0),IF($AB131="RT",ROUND(Proyeccion_Localidades!BM138,0),"*****"))))</f>
        <v>10656</v>
      </c>
      <c r="T131" s="66">
        <f>IF($AB131="TGD",ROUND($E131*(1+$AD131)^(T$4-$E$4),0),IF($AB131="ALTH",ROUND($AE131+$AF131*T$4,0),IF($AB131="IR",ROUND(Proyeccion_Localidades!AQ138,0),IF($AB131="RT",ROUND(Proyeccion_Localidades!BN138,0),"*****"))))</f>
        <v>10799</v>
      </c>
      <c r="U131" s="66">
        <f>IF($AB131="TGD",ROUND($E131*(1+$AD131)^(U$4-$E$4),0),IF($AB131="ALTH",ROUND($AE131+$AF131*U$4,0),IF($AB131="IR",ROUND(Proyeccion_Localidades!AR138,0),IF($AB131="RT",ROUND(Proyeccion_Localidades!BO138,0),"*****"))))</f>
        <v>10943</v>
      </c>
      <c r="V131" s="66">
        <f>IF($AB131="TGD",ROUND($E131*(1+$AD131)^(V$4-$E$4),0),IF($AB131="ALTH",ROUND($AE131+$AF131*V$4,0),IF($AB131="IR",ROUND(Proyeccion_Localidades!AS138,0),IF($AB131="RT",ROUND(Proyeccion_Localidades!BP138,0),"*****"))))</f>
        <v>11090</v>
      </c>
      <c r="W131" s="66">
        <f>IF($AB131="TGD",ROUND($E131*(1+$AD131)^(W$4-$E$4),0),IF($AB131="ALTH",ROUND($AE131+$AF131*W$4,0),IF($AB131="IR",ROUND(Proyeccion_Localidades!AT138,0),IF($AB131="RT",ROUND(Proyeccion_Localidades!BQ138,0),"*****"))))</f>
        <v>11238</v>
      </c>
      <c r="X131" s="66">
        <f>IF($AB131="TGD",ROUND($E131*(1+$AD131)^(X$4-$E$4),0),IF($AB131="ALTH",ROUND($AE131+$AF131*X$4,0),IF($AB131="IR",ROUND(Proyeccion_Localidades!AU138,0),IF($AB131="RT",ROUND(Proyeccion_Localidades!BR138,0),"*****"))))</f>
        <v>11388</v>
      </c>
      <c r="Y131" s="66">
        <f>IF($AB131="TGD",ROUND($E131*(1+$AD131)^(Y$4-$E$4),0),IF($AB131="ALTH",ROUND($AE131+$AF131*Y$4,0),IF($AB131="IR",ROUND(Proyeccion_Localidades!AV138,0),IF($AB131="RT",ROUND(Proyeccion_Localidades!BS138,0),"*****"))))</f>
        <v>11541</v>
      </c>
      <c r="Z131" s="66">
        <f>IF($AB131="TGD",ROUND($E131*(1+$AD131)^(Z$4-$E$4),0),IF($AB131="ALTH",ROUND($AE131+$AF131*Z$4,0),IF($AB131="IR",ROUND(Proyeccion_Localidades!AW138,0),IF($AB131="RT",ROUND(Proyeccion_Localidades!BT138,0),"*****"))))</f>
        <v>11695</v>
      </c>
      <c r="AA131" s="66">
        <f>IF($AB131="TGD",ROUND($E131*(1+$AD131)^(AA$4-$E$4),0),IF($AB131="ALTH",ROUND($AE131+$AF131*AA$4,0),IF($AB131="IR",ROUND(Proyeccion_Localidades!AX138,0),IF($AB131="RT",ROUND(Proyeccion_Localidades!BU138,0),"*****"))))</f>
        <v>11851</v>
      </c>
      <c r="AB131" s="67" t="str">
        <f>Proyeccion_Localidades!N138</f>
        <v>TGD</v>
      </c>
      <c r="AC131" s="68" t="s">
        <v>35</v>
      </c>
      <c r="AD131" s="51">
        <f>IF(AB131="TGD",Proyeccion_Localidades!Z138,"-")</f>
        <v>1.3375484379190672E-2</v>
      </c>
      <c r="AE131" s="51" t="str">
        <f>IF($AB131="ALTH",Proyeccion_Localidades!AA138,"-")</f>
        <v>-</v>
      </c>
      <c r="AF131" s="51" t="str">
        <f>IF($AB131="ALTH",Proyeccion_Localidades!AB138,"-")</f>
        <v>-</v>
      </c>
      <c r="AG131" s="51"/>
      <c r="AH131" s="51"/>
      <c r="AI131" s="66">
        <f t="shared" si="8"/>
        <v>8848</v>
      </c>
    </row>
    <row r="132" spans="1:43" ht="24.95" customHeight="1">
      <c r="A132" s="86" t="str">
        <f>+Proyeccion_Localidades!C139</f>
        <v>Tordillo</v>
      </c>
      <c r="B132" s="70">
        <f t="shared" si="7"/>
        <v>128</v>
      </c>
      <c r="C132" s="88" t="str">
        <f>+Proyeccion_Localidades!B139</f>
        <v>General Conesa</v>
      </c>
      <c r="D132" s="261">
        <f t="shared" si="9"/>
        <v>128</v>
      </c>
      <c r="E132" s="72">
        <f>+Proyeccion_Localidades!F139</f>
        <v>1302</v>
      </c>
      <c r="F132" s="66">
        <f>IF($AB132="TGD",ROUND($E132*(1+$AD132)^(F$4-$E$4),0),IF($AB132="ALTH",ROUND($AE132+$AF132*F$4,0),IF($AB132="IR",ROUND(Proyeccion_Localidades!AC139,0),IF($AB132="RT",ROUND(Proyeccion_Localidades!AZ139,0),"*****"))))</f>
        <v>1941</v>
      </c>
      <c r="G132" s="66">
        <f>IF($AB132="TGD",ROUND($E132*(1+$AD132)^(G$4-$E$4),0),IF($AB132="ALTH",ROUND($AE132+$AF132*G$4,0),IF($AB132="IR",ROUND(Proyeccion_Localidades!AD139,0),IF($AB132="RT",ROUND(Proyeccion_Localidades!BA139,0),"*****"))))</f>
        <v>1999</v>
      </c>
      <c r="H132" s="66">
        <f>IF($AB132="TGD",ROUND($E132*(1+$AD132)^(H$4-$E$4),0),IF($AB132="ALTH",ROUND($AE132+$AF132*H$4,0),IF($AB132="IR",ROUND(Proyeccion_Localidades!AE139,0),IF($AB132="RT",ROUND(Proyeccion_Localidades!BB139,0),"*****"))))</f>
        <v>2173</v>
      </c>
      <c r="I132" s="66">
        <f>IF($AB132="TGD",ROUND($E132*(1+$AD132)^(I$4-$E$4),0),IF($AB132="ALTH",ROUND($AE132+$AF132*I$4,0),IF($AB132="IR",ROUND(Proyeccion_Localidades!AF139,0),IF($AB132="RT",ROUND(Proyeccion_Localidades!BC139,0),"*****"))))</f>
        <v>2231</v>
      </c>
      <c r="J132" s="66">
        <f>IF($AB132="TGD",ROUND($E132*(1+$AD132)^(J$4-$E$4),0),IF($AB132="ALTH",ROUND($AE132+$AF132*J$4,0),IF($AB132="IR",ROUND(Proyeccion_Localidades!AG139,0),IF($AB132="RT",ROUND(Proyeccion_Localidades!BD139,0),"*****"))))</f>
        <v>2289</v>
      </c>
      <c r="K132" s="66">
        <f>IF($AB132="TGD",ROUND($E132*(1+$AD132)^(K$4-$E$4),0),IF($AB132="ALTH",ROUND($AE132+$AF132*K$4,0),IF($AB132="IR",ROUND(Proyeccion_Localidades!AH139,0),IF($AB132="RT",ROUND(Proyeccion_Localidades!BE139,0),"*****"))))</f>
        <v>2347</v>
      </c>
      <c r="L132" s="66">
        <f>IF($AB132="TGD",ROUND($E132*(1+$AD132)^(L$4-$E$4),0),IF($AB132="ALTH",ROUND($AE132+$AF132*L$4,0),IF($AB132="IR",ROUND(Proyeccion_Localidades!AI139,0),IF($AB132="RT",ROUND(Proyeccion_Localidades!BF139,0),"*****"))))</f>
        <v>2404</v>
      </c>
      <c r="M132" s="66">
        <f>IF($AB132="TGD",ROUND($E132*(1+$AD132)^(M$4-$E$4),0),IF($AB132="ALTH",ROUND($AE132+$AF132*M$4,0),IF($AB132="IR",ROUND(Proyeccion_Localidades!AJ139,0),IF($AB132="RT",ROUND(Proyeccion_Localidades!BG139,0),"*****"))))</f>
        <v>2476</v>
      </c>
      <c r="N132" s="66">
        <f>IF($AB132="TGD",ROUND($E132*(1+$AD132)^(N$4-$E$4),0),IF($AB132="ALTH",ROUND($AE132+$AF132*N$4,0),IF($AB132="IR",ROUND(Proyeccion_Localidades!AK139,0),IF($AB132="RT",ROUND(Proyeccion_Localidades!BH139,0),"*****"))))</f>
        <v>2547</v>
      </c>
      <c r="O132" s="66">
        <f>IF($AB132="TGD",ROUND($E132*(1+$AD132)^(O$4-$E$4),0),IF($AB132="ALTH",ROUND($AE132+$AF132*O$4,0),IF($AB132="IR",ROUND(Proyeccion_Localidades!AL139,0),IF($AB132="RT",ROUND(Proyeccion_Localidades!BI139,0),"*****"))))</f>
        <v>2619</v>
      </c>
      <c r="P132" s="66">
        <f>IF($AB132="TGD",ROUND($E132*(1+$AD132)^(P$4-$E$4),0),IF($AB132="ALTH",ROUND($AE132+$AF132*P$4,0),IF($AB132="IR",ROUND(Proyeccion_Localidades!AM139,0),IF($AB132="RT",ROUND(Proyeccion_Localidades!BJ139,0),"*****"))))</f>
        <v>2690</v>
      </c>
      <c r="Q132" s="66">
        <f>IF($AB132="TGD",ROUND($E132*(1+$AD132)^(Q$4-$E$4),0),IF($AB132="ALTH",ROUND($AE132+$AF132*Q$4,0),IF($AB132="IR",ROUND(Proyeccion_Localidades!AN139,0),IF($AB132="RT",ROUND(Proyeccion_Localidades!BK139,0),"*****"))))</f>
        <v>2761</v>
      </c>
      <c r="R132" s="66">
        <f>IF($AB132="TGD",ROUND($E132*(1+$AD132)^(R$4-$E$4),0),IF($AB132="ALTH",ROUND($AE132+$AF132*R$4,0),IF($AB132="IR",ROUND(Proyeccion_Localidades!AO139,0),IF($AB132="RT",ROUND(Proyeccion_Localidades!BL139,0),"*****"))))</f>
        <v>2833</v>
      </c>
      <c r="S132" s="66">
        <f>IF($AB132="TGD",ROUND($E132*(1+$AD132)^(S$4-$E$4),0),IF($AB132="ALTH",ROUND($AE132+$AF132*S$4,0),IF($AB132="IR",ROUND(Proyeccion_Localidades!AP139,0),IF($AB132="RT",ROUND(Proyeccion_Localidades!BM139,0),"*****"))))</f>
        <v>2904</v>
      </c>
      <c r="T132" s="66">
        <f>IF($AB132="TGD",ROUND($E132*(1+$AD132)^(T$4-$E$4),0),IF($AB132="ALTH",ROUND($AE132+$AF132*T$4,0),IF($AB132="IR",ROUND(Proyeccion_Localidades!AQ139,0),IF($AB132="RT",ROUND(Proyeccion_Localidades!BN139,0),"*****"))))</f>
        <v>2975</v>
      </c>
      <c r="U132" s="66">
        <f>IF($AB132="TGD",ROUND($E132*(1+$AD132)^(U$4-$E$4),0),IF($AB132="ALTH",ROUND($AE132+$AF132*U$4,0),IF($AB132="IR",ROUND(Proyeccion_Localidades!AR139,0),IF($AB132="RT",ROUND(Proyeccion_Localidades!BO139,0),"*****"))))</f>
        <v>3047</v>
      </c>
      <c r="V132" s="66">
        <f>IF($AB132="TGD",ROUND($E132*(1+$AD132)^(V$4-$E$4),0),IF($AB132="ALTH",ROUND($AE132+$AF132*V$4,0),IF($AB132="IR",ROUND(Proyeccion_Localidades!AS139,0),IF($AB132="RT",ROUND(Proyeccion_Localidades!BP139,0),"*****"))))</f>
        <v>3118</v>
      </c>
      <c r="W132" s="66">
        <f>IF($AB132="TGD",ROUND($E132*(1+$AD132)^(W$4-$E$4),0),IF($AB132="ALTH",ROUND($AE132+$AF132*W$4,0),IF($AB132="IR",ROUND(Proyeccion_Localidades!AT139,0),IF($AB132="RT",ROUND(Proyeccion_Localidades!BQ139,0),"*****"))))</f>
        <v>3190</v>
      </c>
      <c r="X132" s="66">
        <f>IF($AB132="TGD",ROUND($E132*(1+$AD132)^(X$4-$E$4),0),IF($AB132="ALTH",ROUND($AE132+$AF132*X$4,0),IF($AB132="IR",ROUND(Proyeccion_Localidades!AU139,0),IF($AB132="RT",ROUND(Proyeccion_Localidades!BR139,0),"*****"))))</f>
        <v>3261</v>
      </c>
      <c r="Y132" s="66">
        <f>IF($AB132="TGD",ROUND($E132*(1+$AD132)^(Y$4-$E$4),0),IF($AB132="ALTH",ROUND($AE132+$AF132*Y$4,0),IF($AB132="IR",ROUND(Proyeccion_Localidades!AV139,0),IF($AB132="RT",ROUND(Proyeccion_Localidades!BS139,0),"*****"))))</f>
        <v>3332</v>
      </c>
      <c r="Z132" s="66">
        <f>IF($AB132="TGD",ROUND($E132*(1+$AD132)^(Z$4-$E$4),0),IF($AB132="ALTH",ROUND($AE132+$AF132*Z$4,0),IF($AB132="IR",ROUND(Proyeccion_Localidades!AW139,0),IF($AB132="RT",ROUND(Proyeccion_Localidades!BT139,0),"*****"))))</f>
        <v>3404</v>
      </c>
      <c r="AA132" s="66">
        <f>IF($AB132="TGD",ROUND($E132*(1+$AD132)^(AA$4-$E$4),0),IF($AB132="ALTH",ROUND($AE132+$AF132*AA$4,0),IF($AB132="IR",ROUND(Proyeccion_Localidades!AX139,0),IF($AB132="RT",ROUND(Proyeccion_Localidades!BU139,0),"*****"))))</f>
        <v>3475</v>
      </c>
      <c r="AB132" s="67" t="str">
        <f>Proyeccion_Localidades!N139</f>
        <v>RT</v>
      </c>
      <c r="AC132" s="73"/>
      <c r="AD132" s="51" t="str">
        <f>IF(AB132="TGD",Proyeccion_Localidades!Z139,"-")</f>
        <v>-</v>
      </c>
      <c r="AE132" s="51" t="str">
        <f>IF($AB132="ALTH",Proyeccion_Localidades!AA139,"-")</f>
        <v>-</v>
      </c>
      <c r="AF132" s="51" t="str">
        <f>IF($AB132="ALTH",Proyeccion_Localidades!AB139,"-")</f>
        <v>-</v>
      </c>
      <c r="AG132" s="51"/>
      <c r="AH132" s="51"/>
      <c r="AI132" s="66">
        <f t="shared" si="8"/>
        <v>1999</v>
      </c>
    </row>
    <row r="133" spans="1:43" ht="24.95" customHeight="1">
      <c r="A133" s="86" t="str">
        <f>+Proyeccion_Localidades!C140</f>
        <v>Tornquist</v>
      </c>
      <c r="B133" s="70">
        <f t="shared" si="7"/>
        <v>129</v>
      </c>
      <c r="C133" s="88" t="str">
        <f>+Proyeccion_Localidades!B140</f>
        <v>Tornquist</v>
      </c>
      <c r="D133" s="261">
        <f t="shared" si="9"/>
        <v>129</v>
      </c>
      <c r="E133" s="72">
        <f>+Proyeccion_Localidades!F140</f>
        <v>6473</v>
      </c>
      <c r="F133" s="66">
        <f>IF($AB133="TGD",ROUND($E133*(1+$AD133)^(F$4-$E$4),0),IF($AB133="ALTH",ROUND($AE133+$AF133*F$4,0),IF($AB133="IR",ROUND(Proyeccion_Localidades!AC140,0),IF($AB133="RT",ROUND(Proyeccion_Localidades!AZ140,0),"*****"))))</f>
        <v>7290</v>
      </c>
      <c r="G133" s="66">
        <f>IF($AB133="TGD",ROUND($E133*(1+$AD133)^(G$4-$E$4),0),IF($AB133="ALTH",ROUND($AE133+$AF133*G$4,0),IF($AB133="IR",ROUND(Proyeccion_Localidades!AD140,0),IF($AB133="RT",ROUND(Proyeccion_Localidades!BA140,0),"*****"))))</f>
        <v>7386</v>
      </c>
      <c r="H133" s="66">
        <f>IF($AB133="TGD",ROUND($E133*(1+$AD133)^(H$4-$E$4),0),IF($AB133="ALTH",ROUND($AE133+$AF133*H$4,0),IF($AB133="IR",ROUND(Proyeccion_Localidades!AE140,0),IF($AB133="RT",ROUND(Proyeccion_Localidades!BB140,0),"*****"))))</f>
        <v>7675</v>
      </c>
      <c r="I133" s="66">
        <f>IF($AB133="TGD",ROUND($E133*(1+$AD133)^(I$4-$E$4),0),IF($AB133="ALTH",ROUND($AE133+$AF133*I$4,0),IF($AB133="IR",ROUND(Proyeccion_Localidades!AF140,0),IF($AB133="RT",ROUND(Proyeccion_Localidades!BC140,0),"*****"))))</f>
        <v>7772</v>
      </c>
      <c r="J133" s="66">
        <f>IF($AB133="TGD",ROUND($E133*(1+$AD133)^(J$4-$E$4),0),IF($AB133="ALTH",ROUND($AE133+$AF133*J$4,0),IF($AB133="IR",ROUND(Proyeccion_Localidades!AG140,0),IF($AB133="RT",ROUND(Proyeccion_Localidades!BD140,0),"*****"))))</f>
        <v>7868</v>
      </c>
      <c r="K133" s="66">
        <f>IF($AB133="TGD",ROUND($E133*(1+$AD133)^(K$4-$E$4),0),IF($AB133="ALTH",ROUND($AE133+$AF133*K$4,0),IF($AB133="IR",ROUND(Proyeccion_Localidades!AH140,0),IF($AB133="RT",ROUND(Proyeccion_Localidades!BE140,0),"*****"))))</f>
        <v>7964</v>
      </c>
      <c r="L133" s="66">
        <f>IF($AB133="TGD",ROUND($E133*(1+$AD133)^(L$4-$E$4),0),IF($AB133="ALTH",ROUND($AE133+$AF133*L$4,0),IF($AB133="IR",ROUND(Proyeccion_Localidades!AI140,0),IF($AB133="RT",ROUND(Proyeccion_Localidades!BF140,0),"*****"))))</f>
        <v>8060</v>
      </c>
      <c r="M133" s="66">
        <f>IF($AB133="TGD",ROUND($E133*(1+$AD133)^(M$4-$E$4),0),IF($AB133="ALTH",ROUND($AE133+$AF133*M$4,0),IF($AB133="IR",ROUND(Proyeccion_Localidades!AJ140,0),IF($AB133="RT",ROUND(Proyeccion_Localidades!BG140,0),"*****"))))</f>
        <v>8185</v>
      </c>
      <c r="N133" s="66">
        <f>IF($AB133="TGD",ROUND($E133*(1+$AD133)^(N$4-$E$4),0),IF($AB133="ALTH",ROUND($AE133+$AF133*N$4,0),IF($AB133="IR",ROUND(Proyeccion_Localidades!AK140,0),IF($AB133="RT",ROUND(Proyeccion_Localidades!BH140,0),"*****"))))</f>
        <v>8309</v>
      </c>
      <c r="O133" s="66">
        <f>IF($AB133="TGD",ROUND($E133*(1+$AD133)^(O$4-$E$4),0),IF($AB133="ALTH",ROUND($AE133+$AF133*O$4,0),IF($AB133="IR",ROUND(Proyeccion_Localidades!AL140,0),IF($AB133="RT",ROUND(Proyeccion_Localidades!BI140,0),"*****"))))</f>
        <v>8434</v>
      </c>
      <c r="P133" s="66">
        <f>IF($AB133="TGD",ROUND($E133*(1+$AD133)^(P$4-$E$4),0),IF($AB133="ALTH",ROUND($AE133+$AF133*P$4,0),IF($AB133="IR",ROUND(Proyeccion_Localidades!AM140,0),IF($AB133="RT",ROUND(Proyeccion_Localidades!BJ140,0),"*****"))))</f>
        <v>8558</v>
      </c>
      <c r="Q133" s="66">
        <f>IF($AB133="TGD",ROUND($E133*(1+$AD133)^(Q$4-$E$4),0),IF($AB133="ALTH",ROUND($AE133+$AF133*Q$4,0),IF($AB133="IR",ROUND(Proyeccion_Localidades!AN140,0),IF($AB133="RT",ROUND(Proyeccion_Localidades!BK140,0),"*****"))))</f>
        <v>8683</v>
      </c>
      <c r="R133" s="66">
        <f>IF($AB133="TGD",ROUND($E133*(1+$AD133)^(R$4-$E$4),0),IF($AB133="ALTH",ROUND($AE133+$AF133*R$4,0),IF($AB133="IR",ROUND(Proyeccion_Localidades!AO140,0),IF($AB133="RT",ROUND(Proyeccion_Localidades!BL140,0),"*****"))))</f>
        <v>8807</v>
      </c>
      <c r="S133" s="66">
        <f>IF($AB133="TGD",ROUND($E133*(1+$AD133)^(S$4-$E$4),0),IF($AB133="ALTH",ROUND($AE133+$AF133*S$4,0),IF($AB133="IR",ROUND(Proyeccion_Localidades!AP140,0),IF($AB133="RT",ROUND(Proyeccion_Localidades!BM140,0),"*****"))))</f>
        <v>8931</v>
      </c>
      <c r="T133" s="66">
        <f>IF($AB133="TGD",ROUND($E133*(1+$AD133)^(T$4-$E$4),0),IF($AB133="ALTH",ROUND($AE133+$AF133*T$4,0),IF($AB133="IR",ROUND(Proyeccion_Localidades!AQ140,0),IF($AB133="RT",ROUND(Proyeccion_Localidades!BN140,0),"*****"))))</f>
        <v>9056</v>
      </c>
      <c r="U133" s="66">
        <f>IF($AB133="TGD",ROUND($E133*(1+$AD133)^(U$4-$E$4),0),IF($AB133="ALTH",ROUND($AE133+$AF133*U$4,0),IF($AB133="IR",ROUND(Proyeccion_Localidades!AR140,0),IF($AB133="RT",ROUND(Proyeccion_Localidades!BO140,0),"*****"))))</f>
        <v>9180</v>
      </c>
      <c r="V133" s="66">
        <f>IF($AB133="TGD",ROUND($E133*(1+$AD133)^(V$4-$E$4),0),IF($AB133="ALTH",ROUND($AE133+$AF133*V$4,0),IF($AB133="IR",ROUND(Proyeccion_Localidades!AS140,0),IF($AB133="RT",ROUND(Proyeccion_Localidades!BP140,0),"*****"))))</f>
        <v>9305</v>
      </c>
      <c r="W133" s="66">
        <f>IF($AB133="TGD",ROUND($E133*(1+$AD133)^(W$4-$E$4),0),IF($AB133="ALTH",ROUND($AE133+$AF133*W$4,0),IF($AB133="IR",ROUND(Proyeccion_Localidades!AT140,0),IF($AB133="RT",ROUND(Proyeccion_Localidades!BQ140,0),"*****"))))</f>
        <v>9429</v>
      </c>
      <c r="X133" s="66">
        <f>IF($AB133="TGD",ROUND($E133*(1+$AD133)^(X$4-$E$4),0),IF($AB133="ALTH",ROUND($AE133+$AF133*X$4,0),IF($AB133="IR",ROUND(Proyeccion_Localidades!AU140,0),IF($AB133="RT",ROUND(Proyeccion_Localidades!BR140,0),"*****"))))</f>
        <v>9554</v>
      </c>
      <c r="Y133" s="66">
        <f>IF($AB133="TGD",ROUND($E133*(1+$AD133)^(Y$4-$E$4),0),IF($AB133="ALTH",ROUND($AE133+$AF133*Y$4,0),IF($AB133="IR",ROUND(Proyeccion_Localidades!AV140,0),IF($AB133="RT",ROUND(Proyeccion_Localidades!BS140,0),"*****"))))</f>
        <v>9678</v>
      </c>
      <c r="Z133" s="66">
        <f>IF($AB133="TGD",ROUND($E133*(1+$AD133)^(Z$4-$E$4),0),IF($AB133="ALTH",ROUND($AE133+$AF133*Z$4,0),IF($AB133="IR",ROUND(Proyeccion_Localidades!AW140,0),IF($AB133="RT",ROUND(Proyeccion_Localidades!BT140,0),"*****"))))</f>
        <v>9802</v>
      </c>
      <c r="AA133" s="66">
        <f>IF($AB133="TGD",ROUND($E133*(1+$AD133)^(AA$4-$E$4),0),IF($AB133="ALTH",ROUND($AE133+$AF133*AA$4,0),IF($AB133="IR",ROUND(Proyeccion_Localidades!AX140,0),IF($AB133="RT",ROUND(Proyeccion_Localidades!BU140,0),"*****"))))</f>
        <v>9927</v>
      </c>
      <c r="AB133" s="67" t="str">
        <f>Proyeccion_Localidades!N140</f>
        <v>RT</v>
      </c>
      <c r="AC133" s="73"/>
      <c r="AD133" s="51" t="str">
        <f>IF(AB133="TGD",Proyeccion_Localidades!Z140,"-")</f>
        <v>-</v>
      </c>
      <c r="AE133" s="51" t="str">
        <f>IF($AB133="ALTH",Proyeccion_Localidades!AA140,"-")</f>
        <v>-</v>
      </c>
      <c r="AF133" s="51" t="str">
        <f>IF($AB133="ALTH",Proyeccion_Localidades!AB140,"-")</f>
        <v>-</v>
      </c>
      <c r="AG133" s="51"/>
      <c r="AH133" s="51"/>
      <c r="AI133" s="66">
        <f t="shared" si="8"/>
        <v>7386</v>
      </c>
    </row>
    <row r="134" spans="1:43" ht="24.95" customHeight="1">
      <c r="A134" s="86" t="str">
        <f>+Proyeccion_Localidades!C141</f>
        <v>Trenque Lauquen</v>
      </c>
      <c r="B134" s="70">
        <f t="shared" si="7"/>
        <v>130</v>
      </c>
      <c r="C134" s="88" t="str">
        <f>+Proyeccion_Localidades!B141</f>
        <v>Trenque Lauquen</v>
      </c>
      <c r="D134" s="261">
        <f t="shared" si="9"/>
        <v>130</v>
      </c>
      <c r="E134" s="72">
        <f>+Proyeccion_Localidades!F141</f>
        <v>33442</v>
      </c>
      <c r="F134" s="66">
        <f>IF($AB134="TGD",ROUND($E134*(1+$AD134)^(F$4-$E$4),0),IF($AB134="ALTH",ROUND($AE134+$AF134*F$4,0),IF($AB134="IR",ROUND(Proyeccion_Localidades!AC141,0),IF($AB134="RT",ROUND(Proyeccion_Localidades!AZ141,0),"*****"))))</f>
        <v>37379</v>
      </c>
      <c r="G134" s="66">
        <f>IF($AB134="TGD",ROUND($E134*(1+$AD134)^(G$4-$E$4),0),IF($AB134="ALTH",ROUND($AE134+$AF134*G$4,0),IF($AB134="IR",ROUND(Proyeccion_Localidades!AD141,0),IF($AB134="RT",ROUND(Proyeccion_Localidades!BA141,0),"*****"))))</f>
        <v>37727</v>
      </c>
      <c r="H134" s="66">
        <f>IF($AB134="TGD",ROUND($E134*(1+$AD134)^(H$4-$E$4),0),IF($AB134="ALTH",ROUND($AE134+$AF134*H$4,0),IF($AB134="IR",ROUND(Proyeccion_Localidades!AE141,0),IF($AB134="RT",ROUND(Proyeccion_Localidades!BB141,0),"*****"))))</f>
        <v>38791</v>
      </c>
      <c r="I134" s="66">
        <f>IF($AB134="TGD",ROUND($E134*(1+$AD134)^(I$4-$E$4),0),IF($AB134="ALTH",ROUND($AE134+$AF134*I$4,0),IF($AB134="IR",ROUND(Proyeccion_Localidades!AF141,0),IF($AB134="RT",ROUND(Proyeccion_Localidades!BC141,0),"*****"))))</f>
        <v>39153</v>
      </c>
      <c r="J134" s="66">
        <f>IF($AB134="TGD",ROUND($E134*(1+$AD134)^(J$4-$E$4),0),IF($AB134="ALTH",ROUND($AE134+$AF134*J$4,0),IF($AB134="IR",ROUND(Proyeccion_Localidades!AG141,0),IF($AB134="RT",ROUND(Proyeccion_Localidades!BD141,0),"*****"))))</f>
        <v>39518</v>
      </c>
      <c r="K134" s="66">
        <f>IF($AB134="TGD",ROUND($E134*(1+$AD134)^(K$4-$E$4),0),IF($AB134="ALTH",ROUND($AE134+$AF134*K$4,0),IF($AB134="IR",ROUND(Proyeccion_Localidades!AH141,0),IF($AB134="RT",ROUND(Proyeccion_Localidades!BE141,0),"*****"))))</f>
        <v>39886</v>
      </c>
      <c r="L134" s="66">
        <f>IF($AB134="TGD",ROUND($E134*(1+$AD134)^(L$4-$E$4),0),IF($AB134="ALTH",ROUND($AE134+$AF134*L$4,0),IF($AB134="IR",ROUND(Proyeccion_Localidades!AI141,0),IF($AB134="RT",ROUND(Proyeccion_Localidades!BF141,0),"*****"))))</f>
        <v>40257</v>
      </c>
      <c r="M134" s="66">
        <f>IF($AB134="TGD",ROUND($E134*(1+$AD134)^(M$4-$E$4),0),IF($AB134="ALTH",ROUND($AE134+$AF134*M$4,0),IF($AB134="IR",ROUND(Proyeccion_Localidades!AJ141,0),IF($AB134="RT",ROUND(Proyeccion_Localidades!BG141,0),"*****"))))</f>
        <v>40633</v>
      </c>
      <c r="N134" s="66">
        <f>IF($AB134="TGD",ROUND($E134*(1+$AD134)^(N$4-$E$4),0),IF($AB134="ALTH",ROUND($AE134+$AF134*N$4,0),IF($AB134="IR",ROUND(Proyeccion_Localidades!AK141,0),IF($AB134="RT",ROUND(Proyeccion_Localidades!BH141,0),"*****"))))</f>
        <v>41011</v>
      </c>
      <c r="O134" s="66">
        <f>IF($AB134="TGD",ROUND($E134*(1+$AD134)^(O$4-$E$4),0),IF($AB134="ALTH",ROUND($AE134+$AF134*O$4,0),IF($AB134="IR",ROUND(Proyeccion_Localidades!AL141,0),IF($AB134="RT",ROUND(Proyeccion_Localidades!BI141,0),"*****"))))</f>
        <v>41393</v>
      </c>
      <c r="P134" s="66">
        <f>IF($AB134="TGD",ROUND($E134*(1+$AD134)^(P$4-$E$4),0),IF($AB134="ALTH",ROUND($AE134+$AF134*P$4,0),IF($AB134="IR",ROUND(Proyeccion_Localidades!AM141,0),IF($AB134="RT",ROUND(Proyeccion_Localidades!BJ141,0),"*****"))))</f>
        <v>41779</v>
      </c>
      <c r="Q134" s="66">
        <f>IF($AB134="TGD",ROUND($E134*(1+$AD134)^(Q$4-$E$4),0),IF($AB134="ALTH",ROUND($AE134+$AF134*Q$4,0),IF($AB134="IR",ROUND(Proyeccion_Localidades!AN141,0),IF($AB134="RT",ROUND(Proyeccion_Localidades!BK141,0),"*****"))))</f>
        <v>42168</v>
      </c>
      <c r="R134" s="66">
        <f>IF($AB134="TGD",ROUND($E134*(1+$AD134)^(R$4-$E$4),0),IF($AB134="ALTH",ROUND($AE134+$AF134*R$4,0),IF($AB134="IR",ROUND(Proyeccion_Localidades!AO141,0),IF($AB134="RT",ROUND(Proyeccion_Localidades!BL141,0),"*****"))))</f>
        <v>42561</v>
      </c>
      <c r="S134" s="66">
        <f>IF($AB134="TGD",ROUND($E134*(1+$AD134)^(S$4-$E$4),0),IF($AB134="ALTH",ROUND($AE134+$AF134*S$4,0),IF($AB134="IR",ROUND(Proyeccion_Localidades!AP141,0),IF($AB134="RT",ROUND(Proyeccion_Localidades!BM141,0),"*****"))))</f>
        <v>42958</v>
      </c>
      <c r="T134" s="66">
        <f>IF($AB134="TGD",ROUND($E134*(1+$AD134)^(T$4-$E$4),0),IF($AB134="ALTH",ROUND($AE134+$AF134*T$4,0),IF($AB134="IR",ROUND(Proyeccion_Localidades!AQ141,0),IF($AB134="RT",ROUND(Proyeccion_Localidades!BN141,0),"*****"))))</f>
        <v>43358</v>
      </c>
      <c r="U134" s="66">
        <f>IF($AB134="TGD",ROUND($E134*(1+$AD134)^(U$4-$E$4),0),IF($AB134="ALTH",ROUND($AE134+$AF134*U$4,0),IF($AB134="IR",ROUND(Proyeccion_Localidades!AR141,0),IF($AB134="RT",ROUND(Proyeccion_Localidades!BO141,0),"*****"))))</f>
        <v>43762</v>
      </c>
      <c r="V134" s="66">
        <f>IF($AB134="TGD",ROUND($E134*(1+$AD134)^(V$4-$E$4),0),IF($AB134="ALTH",ROUND($AE134+$AF134*V$4,0),IF($AB134="IR",ROUND(Proyeccion_Localidades!AS141,0),IF($AB134="RT",ROUND(Proyeccion_Localidades!BP141,0),"*****"))))</f>
        <v>44170</v>
      </c>
      <c r="W134" s="66">
        <f>IF($AB134="TGD",ROUND($E134*(1+$AD134)^(W$4-$E$4),0),IF($AB134="ALTH",ROUND($AE134+$AF134*W$4,0),IF($AB134="IR",ROUND(Proyeccion_Localidades!AT141,0),IF($AB134="RT",ROUND(Proyeccion_Localidades!BQ141,0),"*****"))))</f>
        <v>44581</v>
      </c>
      <c r="X134" s="66">
        <f>IF($AB134="TGD",ROUND($E134*(1+$AD134)^(X$4-$E$4),0),IF($AB134="ALTH",ROUND($AE134+$AF134*X$4,0),IF($AB134="IR",ROUND(Proyeccion_Localidades!AU141,0),IF($AB134="RT",ROUND(Proyeccion_Localidades!BR141,0),"*****"))))</f>
        <v>44997</v>
      </c>
      <c r="Y134" s="66">
        <f>IF($AB134="TGD",ROUND($E134*(1+$AD134)^(Y$4-$E$4),0),IF($AB134="ALTH",ROUND($AE134+$AF134*Y$4,0),IF($AB134="IR",ROUND(Proyeccion_Localidades!AV141,0),IF($AB134="RT",ROUND(Proyeccion_Localidades!BS141,0),"*****"))))</f>
        <v>45416</v>
      </c>
      <c r="Z134" s="66">
        <f>IF($AB134="TGD",ROUND($E134*(1+$AD134)^(Z$4-$E$4),0),IF($AB134="ALTH",ROUND($AE134+$AF134*Z$4,0),IF($AB134="IR",ROUND(Proyeccion_Localidades!AW141,0),IF($AB134="RT",ROUND(Proyeccion_Localidades!BT141,0),"*****"))))</f>
        <v>45839</v>
      </c>
      <c r="AA134" s="66">
        <f>IF($AB134="TGD",ROUND($E134*(1+$AD134)^(AA$4-$E$4),0),IF($AB134="ALTH",ROUND($AE134+$AF134*AA$4,0),IF($AB134="IR",ROUND(Proyeccion_Localidades!AX141,0),IF($AB134="RT",ROUND(Proyeccion_Localidades!BU141,0),"*****"))))</f>
        <v>46266</v>
      </c>
      <c r="AB134" s="67" t="str">
        <f>Proyeccion_Localidades!N141</f>
        <v>TGD</v>
      </c>
      <c r="AC134" s="68" t="s">
        <v>35</v>
      </c>
      <c r="AD134" s="51">
        <f>IF(AB134="TGD",Proyeccion_Localidades!Z141,"-")</f>
        <v>9.3172960155802897E-3</v>
      </c>
      <c r="AE134" s="51" t="str">
        <f>IF($AB134="ALTH",Proyeccion_Localidades!AA141,"-")</f>
        <v>-</v>
      </c>
      <c r="AF134" s="51" t="str">
        <f>IF($AB134="ALTH",Proyeccion_Localidades!AB141,"-")</f>
        <v>-</v>
      </c>
      <c r="AG134" s="51"/>
      <c r="AH134" s="51"/>
      <c r="AI134" s="66">
        <f t="shared" si="8"/>
        <v>37727</v>
      </c>
    </row>
    <row r="135" spans="1:43" ht="24.95" customHeight="1">
      <c r="A135" s="86" t="str">
        <f>+Proyeccion_Localidades!C142</f>
        <v>Tres Arroyos</v>
      </c>
      <c r="B135" s="70">
        <f t="shared" si="7"/>
        <v>131</v>
      </c>
      <c r="C135" s="88" t="str">
        <f>+Proyeccion_Localidades!B142</f>
        <v>Tres Arroyos</v>
      </c>
      <c r="D135" s="261">
        <f t="shared" si="9"/>
        <v>131</v>
      </c>
      <c r="E135" s="72">
        <f>+Proyeccion_Localidades!F142</f>
        <v>46867</v>
      </c>
      <c r="F135" s="66">
        <f>IF($AB135="TGD",ROUND($E135*(1+$AD135)^(F$4-$E$4),0),IF($AB135="ALTH",ROUND($AE135+$AF135*F$4,0),IF($AB135="IR",ROUND(Proyeccion_Localidades!AC142,0),IF($AB135="RT",ROUND(Proyeccion_Localidades!AZ142,0),"*****"))))</f>
        <v>48831</v>
      </c>
      <c r="G135" s="66">
        <f>IF($AB135="TGD",ROUND($E135*(1+$AD135)^(G$4-$E$4),0),IF($AB135="ALTH",ROUND($AE135+$AF135*G$4,0),IF($AB135="IR",ROUND(Proyeccion_Localidades!AD142,0),IF($AB135="RT",ROUND(Proyeccion_Localidades!BA142,0),"*****"))))</f>
        <v>49012</v>
      </c>
      <c r="H135" s="66">
        <f>IF($AB135="TGD",ROUND($E135*(1+$AD135)^(H$4-$E$4),0),IF($AB135="ALTH",ROUND($AE135+$AF135*H$4,0),IF($AB135="IR",ROUND(Proyeccion_Localidades!AE142,0),IF($AB135="RT",ROUND(Proyeccion_Localidades!BB142,0),"*****"))))</f>
        <v>49575</v>
      </c>
      <c r="I135" s="66">
        <f>IF($AB135="TGD",ROUND($E135*(1+$AD135)^(I$4-$E$4),0),IF($AB135="ALTH",ROUND($AE135+$AF135*I$4,0),IF($AB135="IR",ROUND(Proyeccion_Localidades!AF142,0),IF($AB135="RT",ROUND(Proyeccion_Localidades!BC142,0),"*****"))))</f>
        <v>49768</v>
      </c>
      <c r="J135" s="66">
        <f>IF($AB135="TGD",ROUND($E135*(1+$AD135)^(J$4-$E$4),0),IF($AB135="ALTH",ROUND($AE135+$AF135*J$4,0),IF($AB135="IR",ROUND(Proyeccion_Localidades!AG142,0),IF($AB135="RT",ROUND(Proyeccion_Localidades!BD142,0),"*****"))))</f>
        <v>49965</v>
      </c>
      <c r="K135" s="66">
        <f>IF($AB135="TGD",ROUND($E135*(1+$AD135)^(K$4-$E$4),0),IF($AB135="ALTH",ROUND($AE135+$AF135*K$4,0),IF($AB135="IR",ROUND(Proyeccion_Localidades!AH142,0),IF($AB135="RT",ROUND(Proyeccion_Localidades!BE142,0),"*****"))))</f>
        <v>50165</v>
      </c>
      <c r="L135" s="66">
        <f>IF($AB135="TGD",ROUND($E135*(1+$AD135)^(L$4-$E$4),0),IF($AB135="ALTH",ROUND($AE135+$AF135*L$4,0),IF($AB135="IR",ROUND(Proyeccion_Localidades!AI142,0),IF($AB135="RT",ROUND(Proyeccion_Localidades!BF142,0),"*****"))))</f>
        <v>50369</v>
      </c>
      <c r="M135" s="66">
        <f>IF($AB135="TGD",ROUND($E135*(1+$AD135)^(M$4-$E$4),0),IF($AB135="ALTH",ROUND($AE135+$AF135*M$4,0),IF($AB135="IR",ROUND(Proyeccion_Localidades!AJ142,0),IF($AB135="RT",ROUND(Proyeccion_Localidades!BG142,0),"*****"))))</f>
        <v>50575</v>
      </c>
      <c r="N135" s="66">
        <f>IF($AB135="TGD",ROUND($E135*(1+$AD135)^(N$4-$E$4),0),IF($AB135="ALTH",ROUND($AE135+$AF135*N$4,0),IF($AB135="IR",ROUND(Proyeccion_Localidades!AK142,0),IF($AB135="RT",ROUND(Proyeccion_Localidades!BH142,0),"*****"))))</f>
        <v>50785</v>
      </c>
      <c r="O135" s="66">
        <f>IF($AB135="TGD",ROUND($E135*(1+$AD135)^(O$4-$E$4),0),IF($AB135="ALTH",ROUND($AE135+$AF135*O$4,0),IF($AB135="IR",ROUND(Proyeccion_Localidades!AL142,0),IF($AB135="RT",ROUND(Proyeccion_Localidades!BI142,0),"*****"))))</f>
        <v>50999</v>
      </c>
      <c r="P135" s="66">
        <f>IF($AB135="TGD",ROUND($E135*(1+$AD135)^(P$4-$E$4),0),IF($AB135="ALTH",ROUND($AE135+$AF135*P$4,0),IF($AB135="IR",ROUND(Proyeccion_Localidades!AM142,0),IF($AB135="RT",ROUND(Proyeccion_Localidades!BJ142,0),"*****"))))</f>
        <v>51215</v>
      </c>
      <c r="Q135" s="66">
        <f>IF($AB135="TGD",ROUND($E135*(1+$AD135)^(Q$4-$E$4),0),IF($AB135="ALTH",ROUND($AE135+$AF135*Q$4,0),IF($AB135="IR",ROUND(Proyeccion_Localidades!AN142,0),IF($AB135="RT",ROUND(Proyeccion_Localidades!BK142,0),"*****"))))</f>
        <v>51436</v>
      </c>
      <c r="R135" s="66">
        <f>IF($AB135="TGD",ROUND($E135*(1+$AD135)^(R$4-$E$4),0),IF($AB135="ALTH",ROUND($AE135+$AF135*R$4,0),IF($AB135="IR",ROUND(Proyeccion_Localidades!AO142,0),IF($AB135="RT",ROUND(Proyeccion_Localidades!BL142,0),"*****"))))</f>
        <v>51660</v>
      </c>
      <c r="S135" s="66">
        <f>IF($AB135="TGD",ROUND($E135*(1+$AD135)^(S$4-$E$4),0),IF($AB135="ALTH",ROUND($AE135+$AF135*S$4,0),IF($AB135="IR",ROUND(Proyeccion_Localidades!AP142,0),IF($AB135="RT",ROUND(Proyeccion_Localidades!BM142,0),"*****"))))</f>
        <v>51887</v>
      </c>
      <c r="T135" s="66">
        <f>IF($AB135="TGD",ROUND($E135*(1+$AD135)^(T$4-$E$4),0),IF($AB135="ALTH",ROUND($AE135+$AF135*T$4,0),IF($AB135="IR",ROUND(Proyeccion_Localidades!AQ142,0),IF($AB135="RT",ROUND(Proyeccion_Localidades!BN142,0),"*****"))))</f>
        <v>52119</v>
      </c>
      <c r="U135" s="66">
        <f>IF($AB135="TGD",ROUND($E135*(1+$AD135)^(U$4-$E$4),0),IF($AB135="ALTH",ROUND($AE135+$AF135*U$4,0),IF($AB135="IR",ROUND(Proyeccion_Localidades!AR142,0),IF($AB135="RT",ROUND(Proyeccion_Localidades!BO142,0),"*****"))))</f>
        <v>52354</v>
      </c>
      <c r="V135" s="66">
        <f>IF($AB135="TGD",ROUND($E135*(1+$AD135)^(V$4-$E$4),0),IF($AB135="ALTH",ROUND($AE135+$AF135*V$4,0),IF($AB135="IR",ROUND(Proyeccion_Localidades!AS142,0),IF($AB135="RT",ROUND(Proyeccion_Localidades!BP142,0),"*****"))))</f>
        <v>52593</v>
      </c>
      <c r="W135" s="66">
        <f>IF($AB135="TGD",ROUND($E135*(1+$AD135)^(W$4-$E$4),0),IF($AB135="ALTH",ROUND($AE135+$AF135*W$4,0),IF($AB135="IR",ROUND(Proyeccion_Localidades!AT142,0),IF($AB135="RT",ROUND(Proyeccion_Localidades!BQ142,0),"*****"))))</f>
        <v>52836</v>
      </c>
      <c r="X135" s="66">
        <f>IF($AB135="TGD",ROUND($E135*(1+$AD135)^(X$4-$E$4),0),IF($AB135="ALTH",ROUND($AE135+$AF135*X$4,0),IF($AB135="IR",ROUND(Proyeccion_Localidades!AU142,0),IF($AB135="RT",ROUND(Proyeccion_Localidades!BR142,0),"*****"))))</f>
        <v>53083</v>
      </c>
      <c r="Y135" s="66">
        <f>IF($AB135="TGD",ROUND($E135*(1+$AD135)^(Y$4-$E$4),0),IF($AB135="ALTH",ROUND($AE135+$AF135*Y$4,0),IF($AB135="IR",ROUND(Proyeccion_Localidades!AV142,0),IF($AB135="RT",ROUND(Proyeccion_Localidades!BS142,0),"*****"))))</f>
        <v>53334</v>
      </c>
      <c r="Z135" s="66">
        <f>IF($AB135="TGD",ROUND($E135*(1+$AD135)^(Z$4-$E$4),0),IF($AB135="ALTH",ROUND($AE135+$AF135*Z$4,0),IF($AB135="IR",ROUND(Proyeccion_Localidades!AW142,0),IF($AB135="RT",ROUND(Proyeccion_Localidades!BT142,0),"*****"))))</f>
        <v>53589</v>
      </c>
      <c r="AA135" s="66">
        <f>IF($AB135="TGD",ROUND($E135*(1+$AD135)^(AA$4-$E$4),0),IF($AB135="ALTH",ROUND($AE135+$AF135*AA$4,0),IF($AB135="IR",ROUND(Proyeccion_Localidades!AX142,0),IF($AB135="RT",ROUND(Proyeccion_Localidades!BU142,0),"*****"))))</f>
        <v>53848</v>
      </c>
      <c r="AB135" s="67" t="str">
        <f>Proyeccion_Localidades!N142</f>
        <v>IR</v>
      </c>
      <c r="AC135" s="73"/>
      <c r="AD135" s="51" t="str">
        <f>IF(AB135="TGD",Proyeccion_Localidades!Z142,"-")</f>
        <v>-</v>
      </c>
      <c r="AE135" s="51" t="str">
        <f>IF($AB135="ALTH",Proyeccion_Localidades!AA142,"-")</f>
        <v>-</v>
      </c>
      <c r="AF135" s="51" t="str">
        <f>IF($AB135="ALTH",Proyeccion_Localidades!AB142,"-")</f>
        <v>-</v>
      </c>
      <c r="AG135" s="51"/>
      <c r="AH135" s="51"/>
      <c r="AI135" s="66">
        <f t="shared" si="8"/>
        <v>49012</v>
      </c>
    </row>
    <row r="136" spans="1:43" ht="24.95" customHeight="1">
      <c r="A136" s="86" t="str">
        <f>+Proyeccion_Localidades!C143</f>
        <v>Tres Lomas</v>
      </c>
      <c r="B136" s="70">
        <f t="shared" si="7"/>
        <v>132</v>
      </c>
      <c r="C136" s="88" t="str">
        <f>+Proyeccion_Localidades!B143</f>
        <v>Tres Lomas</v>
      </c>
      <c r="D136" s="261">
        <f t="shared" si="9"/>
        <v>132</v>
      </c>
      <c r="E136" s="72">
        <f>+Proyeccion_Localidades!F143</f>
        <v>8061</v>
      </c>
      <c r="F136" s="66">
        <f>IF($AB136="TGD",ROUND($E136*(1+$AD136)^(F$4-$E$4),0),IF($AB136="ALTH",ROUND($AE136+$AF136*F$4,0),IF($AB136="IR",ROUND(Proyeccion_Localidades!AC143,0),IF($AB136="RT",ROUND(Proyeccion_Localidades!AZ143,0),"*****"))))</f>
        <v>8878</v>
      </c>
      <c r="G136" s="66">
        <f>IF($AB136="TGD",ROUND($E136*(1+$AD136)^(G$4-$E$4),0),IF($AB136="ALTH",ROUND($AE136+$AF136*G$4,0),IF($AB136="IR",ROUND(Proyeccion_Localidades!AD143,0),IF($AB136="RT",ROUND(Proyeccion_Localidades!BA143,0),"*****"))))</f>
        <v>8963</v>
      </c>
      <c r="H136" s="66">
        <f>IF($AB136="TGD",ROUND($E136*(1+$AD136)^(H$4-$E$4),0),IF($AB136="ALTH",ROUND($AE136+$AF136*H$4,0),IF($AB136="IR",ROUND(Proyeccion_Localidades!AE143,0),IF($AB136="RT",ROUND(Proyeccion_Localidades!BB143,0),"*****"))))</f>
        <v>9219</v>
      </c>
      <c r="I136" s="66">
        <f>IF($AB136="TGD",ROUND($E136*(1+$AD136)^(I$4-$E$4),0),IF($AB136="ALTH",ROUND($AE136+$AF136*I$4,0),IF($AB136="IR",ROUND(Proyeccion_Localidades!AF143,0),IF($AB136="RT",ROUND(Proyeccion_Localidades!BC143,0),"*****"))))</f>
        <v>9305</v>
      </c>
      <c r="J136" s="66">
        <f>IF($AB136="TGD",ROUND($E136*(1+$AD136)^(J$4-$E$4),0),IF($AB136="ALTH",ROUND($AE136+$AF136*J$4,0),IF($AB136="IR",ROUND(Proyeccion_Localidades!AG143,0),IF($AB136="RT",ROUND(Proyeccion_Localidades!BD143,0),"*****"))))</f>
        <v>9390</v>
      </c>
      <c r="K136" s="66">
        <f>IF($AB136="TGD",ROUND($E136*(1+$AD136)^(K$4-$E$4),0),IF($AB136="ALTH",ROUND($AE136+$AF136*K$4,0),IF($AB136="IR",ROUND(Proyeccion_Localidades!AH143,0),IF($AB136="RT",ROUND(Proyeccion_Localidades!BE143,0),"*****"))))</f>
        <v>9476</v>
      </c>
      <c r="L136" s="66">
        <f>IF($AB136="TGD",ROUND($E136*(1+$AD136)^(L$4-$E$4),0),IF($AB136="ALTH",ROUND($AE136+$AF136*L$4,0),IF($AB136="IR",ROUND(Proyeccion_Localidades!AI143,0),IF($AB136="RT",ROUND(Proyeccion_Localidades!BF143,0),"*****"))))</f>
        <v>9561</v>
      </c>
      <c r="M136" s="66">
        <f>IF($AB136="TGD",ROUND($E136*(1+$AD136)^(M$4-$E$4),0),IF($AB136="ALTH",ROUND($AE136+$AF136*M$4,0),IF($AB136="IR",ROUND(Proyeccion_Localidades!AJ143,0),IF($AB136="RT",ROUND(Proyeccion_Localidades!BG143,0),"*****"))))</f>
        <v>9647</v>
      </c>
      <c r="N136" s="66">
        <f>IF($AB136="TGD",ROUND($E136*(1+$AD136)^(N$4-$E$4),0),IF($AB136="ALTH",ROUND($AE136+$AF136*N$4,0),IF($AB136="IR",ROUND(Proyeccion_Localidades!AK143,0),IF($AB136="RT",ROUND(Proyeccion_Localidades!BH143,0),"*****"))))</f>
        <v>9732</v>
      </c>
      <c r="O136" s="66">
        <f>IF($AB136="TGD",ROUND($E136*(1+$AD136)^(O$4-$E$4),0),IF($AB136="ALTH",ROUND($AE136+$AF136*O$4,0),IF($AB136="IR",ROUND(Proyeccion_Localidades!AL143,0),IF($AB136="RT",ROUND(Proyeccion_Localidades!BI143,0),"*****"))))</f>
        <v>9818</v>
      </c>
      <c r="P136" s="66">
        <f>IF($AB136="TGD",ROUND($E136*(1+$AD136)^(P$4-$E$4),0),IF($AB136="ALTH",ROUND($AE136+$AF136*P$4,0),IF($AB136="IR",ROUND(Proyeccion_Localidades!AM143,0),IF($AB136="RT",ROUND(Proyeccion_Localidades!BJ143,0),"*****"))))</f>
        <v>9903</v>
      </c>
      <c r="Q136" s="66">
        <f>IF($AB136="TGD",ROUND($E136*(1+$AD136)^(Q$4-$E$4),0),IF($AB136="ALTH",ROUND($AE136+$AF136*Q$4,0),IF($AB136="IR",ROUND(Proyeccion_Localidades!AN143,0),IF($AB136="RT",ROUND(Proyeccion_Localidades!BK143,0),"*****"))))</f>
        <v>9989</v>
      </c>
      <c r="R136" s="66">
        <f>IF($AB136="TGD",ROUND($E136*(1+$AD136)^(R$4-$E$4),0),IF($AB136="ALTH",ROUND($AE136+$AF136*R$4,0),IF($AB136="IR",ROUND(Proyeccion_Localidades!AO143,0),IF($AB136="RT",ROUND(Proyeccion_Localidades!BL143,0),"*****"))))</f>
        <v>10074</v>
      </c>
      <c r="S136" s="66">
        <f>IF($AB136="TGD",ROUND($E136*(1+$AD136)^(S$4-$E$4),0),IF($AB136="ALTH",ROUND($AE136+$AF136*S$4,0),IF($AB136="IR",ROUND(Proyeccion_Localidades!AP143,0),IF($AB136="RT",ROUND(Proyeccion_Localidades!BM143,0),"*****"))))</f>
        <v>10160</v>
      </c>
      <c r="T136" s="66">
        <f>IF($AB136="TGD",ROUND($E136*(1+$AD136)^(T$4-$E$4),0),IF($AB136="ALTH",ROUND($AE136+$AF136*T$4,0),IF($AB136="IR",ROUND(Proyeccion_Localidades!AQ143,0),IF($AB136="RT",ROUND(Proyeccion_Localidades!BN143,0),"*****"))))</f>
        <v>10245</v>
      </c>
      <c r="U136" s="66">
        <f>IF($AB136="TGD",ROUND($E136*(1+$AD136)^(U$4-$E$4),0),IF($AB136="ALTH",ROUND($AE136+$AF136*U$4,0),IF($AB136="IR",ROUND(Proyeccion_Localidades!AR143,0),IF($AB136="RT",ROUND(Proyeccion_Localidades!BO143,0),"*****"))))</f>
        <v>10331</v>
      </c>
      <c r="V136" s="66">
        <f>IF($AB136="TGD",ROUND($E136*(1+$AD136)^(V$4-$E$4),0),IF($AB136="ALTH",ROUND($AE136+$AF136*V$4,0),IF($AB136="IR",ROUND(Proyeccion_Localidades!AS143,0),IF($AB136="RT",ROUND(Proyeccion_Localidades!BP143,0),"*****"))))</f>
        <v>10416</v>
      </c>
      <c r="W136" s="66">
        <f>IF($AB136="TGD",ROUND($E136*(1+$AD136)^(W$4-$E$4),0),IF($AB136="ALTH",ROUND($AE136+$AF136*W$4,0),IF($AB136="IR",ROUND(Proyeccion_Localidades!AT143,0),IF($AB136="RT",ROUND(Proyeccion_Localidades!BQ143,0),"*****"))))</f>
        <v>10502</v>
      </c>
      <c r="X136" s="66">
        <f>IF($AB136="TGD",ROUND($E136*(1+$AD136)^(X$4-$E$4),0),IF($AB136="ALTH",ROUND($AE136+$AF136*X$4,0),IF($AB136="IR",ROUND(Proyeccion_Localidades!AU143,0),IF($AB136="RT",ROUND(Proyeccion_Localidades!BR143,0),"*****"))))</f>
        <v>10587</v>
      </c>
      <c r="Y136" s="66">
        <f>IF($AB136="TGD",ROUND($E136*(1+$AD136)^(Y$4-$E$4),0),IF($AB136="ALTH",ROUND($AE136+$AF136*Y$4,0),IF($AB136="IR",ROUND(Proyeccion_Localidades!AV143,0),IF($AB136="RT",ROUND(Proyeccion_Localidades!BS143,0),"*****"))))</f>
        <v>10673</v>
      </c>
      <c r="Z136" s="66">
        <f>IF($AB136="TGD",ROUND($E136*(1+$AD136)^(Z$4-$E$4),0),IF($AB136="ALTH",ROUND($AE136+$AF136*Z$4,0),IF($AB136="IR",ROUND(Proyeccion_Localidades!AW143,0),IF($AB136="RT",ROUND(Proyeccion_Localidades!BT143,0),"*****"))))</f>
        <v>10758</v>
      </c>
      <c r="AA136" s="66">
        <f>IF($AB136="TGD",ROUND($E136*(1+$AD136)^(AA$4-$E$4),0),IF($AB136="ALTH",ROUND($AE136+$AF136*AA$4,0),IF($AB136="IR",ROUND(Proyeccion_Localidades!AX143,0),IF($AB136="RT",ROUND(Proyeccion_Localidades!BU143,0),"*****"))))</f>
        <v>10844</v>
      </c>
      <c r="AB136" s="67" t="str">
        <f>Proyeccion_Localidades!N143</f>
        <v>ALTH</v>
      </c>
      <c r="AC136" s="68" t="s">
        <v>36</v>
      </c>
      <c r="AD136" s="51" t="str">
        <f>IF(AB136="TGD",Proyeccion_Localidades!Z143,"-")</f>
        <v>-</v>
      </c>
      <c r="AE136" s="51">
        <f>IF($AB136="ALTH",Proyeccion_Localidades!AA143,"-")</f>
        <v>-163958.70479704795</v>
      </c>
      <c r="AF136" s="51">
        <f>IF($AB136="ALTH",Proyeccion_Localidades!AB143,"-")</f>
        <v>85.477859778597775</v>
      </c>
      <c r="AG136" s="51"/>
      <c r="AH136" s="51"/>
      <c r="AI136" s="66">
        <f t="shared" si="8"/>
        <v>8963</v>
      </c>
    </row>
    <row r="137" spans="1:43" ht="24.95" customHeight="1">
      <c r="A137" s="86" t="str">
        <f>+Proyeccion_Localidades!C144</f>
        <v>Villa Gesell</v>
      </c>
      <c r="B137" s="70">
        <f t="shared" si="7"/>
        <v>133</v>
      </c>
      <c r="C137" s="88" t="str">
        <f>+Proyeccion_Localidades!B144</f>
        <v>Villa Gesell</v>
      </c>
      <c r="D137" s="261">
        <f t="shared" si="9"/>
        <v>133</v>
      </c>
      <c r="E137" s="72">
        <f>+Verif!E144+ROUND(Verif!E145*122/365,0)</f>
        <v>48308</v>
      </c>
      <c r="F137" s="72">
        <f>+Verif!F144+ROUND(Verif!F145*122/365,0)</f>
        <v>62972</v>
      </c>
      <c r="G137" s="72">
        <f>+Verif!G144+ROUND(Verif!G145*122/365,0)</f>
        <v>64179</v>
      </c>
      <c r="H137" s="72">
        <f>+Verif!H144+ROUND(Verif!H145*122/365,0)</f>
        <v>67800</v>
      </c>
      <c r="I137" s="72">
        <f>+Verif!I144+ROUND(Verif!I145*122/365,0)</f>
        <v>69007</v>
      </c>
      <c r="J137" s="72">
        <f>+Verif!J144+ROUND(Verif!J145*122/365,0)</f>
        <v>70214</v>
      </c>
      <c r="K137" s="72">
        <f>+Verif!K144+ROUND(Verif!K145*122/365,0)</f>
        <v>71421</v>
      </c>
      <c r="L137" s="72">
        <f>+Verif!L144+ROUND(Verif!L145*122/365,0)</f>
        <v>72628</v>
      </c>
      <c r="M137" s="72">
        <f>+Verif!M144+ROUND(Verif!M145*122/365,0)</f>
        <v>73835</v>
      </c>
      <c r="N137" s="72">
        <f>+Verif!N144+ROUND(Verif!N145*122/365,0)</f>
        <v>75042</v>
      </c>
      <c r="O137" s="72">
        <f>+Verif!O144+ROUND(Verif!O145*122/365,0)</f>
        <v>76250</v>
      </c>
      <c r="P137" s="72">
        <f>+Verif!P144+ROUND(Verif!P145*122/365,0)</f>
        <v>77456</v>
      </c>
      <c r="Q137" s="72">
        <f>+Verif!Q144+ROUND(Verif!Q145*122/365,0)</f>
        <v>78663</v>
      </c>
      <c r="R137" s="72">
        <f>+Verif!R144+ROUND(Verif!R145*122/365,0)</f>
        <v>79871</v>
      </c>
      <c r="S137" s="72">
        <f>+Verif!S144+ROUND(Verif!S145*122/365,0)</f>
        <v>81077</v>
      </c>
      <c r="T137" s="72">
        <f>+Verif!T144+ROUND(Verif!T145*122/365,0)</f>
        <v>82285</v>
      </c>
      <c r="U137" s="72">
        <f>+Verif!U144+ROUND(Verif!U145*122/365,0)</f>
        <v>83491</v>
      </c>
      <c r="V137" s="72">
        <f>+Verif!V144+ROUND(Verif!V145*122/365,0)</f>
        <v>84699</v>
      </c>
      <c r="W137" s="72">
        <f>+Verif!W144+ROUND(Verif!W145*122/365,0)</f>
        <v>85906</v>
      </c>
      <c r="X137" s="72">
        <f>+Verif!X144+ROUND(Verif!X145*122/365,0)</f>
        <v>87112</v>
      </c>
      <c r="Y137" s="72">
        <f>+Verif!Y144+ROUND(Verif!Y145*122/365,0)</f>
        <v>88320</v>
      </c>
      <c r="Z137" s="72">
        <f>+Verif!Z144+ROUND(Verif!Z145*122/365,0)</f>
        <v>89526</v>
      </c>
      <c r="AA137" s="72">
        <f>+Verif!AA144+ROUND(Verif!AA145*122/365,0)</f>
        <v>90734</v>
      </c>
      <c r="AB137" s="67" t="str">
        <f>Proyeccion_Localidades!N144</f>
        <v>ALTH</v>
      </c>
      <c r="AC137" s="68" t="s">
        <v>36</v>
      </c>
      <c r="AD137" s="51" t="str">
        <f>IF(AB137="TGD",Proyeccion_Localidades!Z144,"-")</f>
        <v>-</v>
      </c>
      <c r="AE137" s="51">
        <f>IF($AB137="ALTH",Proyeccion_Localidades!AA144,"-")</f>
        <v>-1456532.6088560887</v>
      </c>
      <c r="AF137" s="51">
        <f>IF($AB137="ALTH",Proyeccion_Localidades!AB144,"-")</f>
        <v>739.42066420664219</v>
      </c>
      <c r="AG137" s="51"/>
      <c r="AH137" s="51"/>
      <c r="AI137" s="66">
        <f t="shared" si="8"/>
        <v>64179</v>
      </c>
    </row>
    <row r="138" spans="1:43" ht="24.95" customHeight="1">
      <c r="A138" s="84" t="str">
        <f>+Proyeccion_Localidades!C146</f>
        <v>Villarino</v>
      </c>
      <c r="B138" s="70">
        <f>+B137+1</f>
        <v>134</v>
      </c>
      <c r="C138" s="87" t="str">
        <f>+Proyeccion_Localidades!B146</f>
        <v>Médanos</v>
      </c>
      <c r="D138" s="261">
        <f t="shared" si="9"/>
        <v>134</v>
      </c>
      <c r="E138" s="72">
        <f>+Proyeccion_Localidades!F146</f>
        <v>5245</v>
      </c>
      <c r="F138" s="66">
        <f>IF($AB138="TGD",ROUND($E138*(1+$AD138)^(F$4-$E$4),0),IF($AB138="ALTH",ROUND($AE138+$AF138*F$4,0),IF($AB138="IR",ROUND(Proyeccion_Localidades!AC146,0),IF($AB138="RT",ROUND(Proyeccion_Localidades!AZ146,0),"*****"))))</f>
        <v>5716</v>
      </c>
      <c r="G138" s="66">
        <f>IF($AB138="TGD",ROUND($E138*(1+$AD138)^(G$4-$E$4),0),IF($AB138="ALTH",ROUND($AE138+$AF138*G$4,0),IF($AB138="IR",ROUND(Proyeccion_Localidades!AD146,0),IF($AB138="RT",ROUND(Proyeccion_Localidades!BA146,0),"*****"))))</f>
        <v>5743</v>
      </c>
      <c r="H138" s="66">
        <f>IF($AB138="TGD",ROUND($E138*(1+$AD138)^(H$4-$E$4),0),IF($AB138="ALTH",ROUND($AE138+$AF138*H$4,0),IF($AB138="IR",ROUND(Proyeccion_Localidades!AE146,0),IF($AB138="RT",ROUND(Proyeccion_Localidades!BB146,0),"*****"))))</f>
        <v>5823</v>
      </c>
      <c r="I138" s="66">
        <f>IF($AB138="TGD",ROUND($E138*(1+$AD138)^(I$4-$E$4),0),IF($AB138="ALTH",ROUND($AE138+$AF138*I$4,0),IF($AB138="IR",ROUND(Proyeccion_Localidades!AF146,0),IF($AB138="RT",ROUND(Proyeccion_Localidades!BC146,0),"*****"))))</f>
        <v>5849</v>
      </c>
      <c r="J138" s="66">
        <f>IF($AB138="TGD",ROUND($E138*(1+$AD138)^(J$4-$E$4),0),IF($AB138="ALTH",ROUND($AE138+$AF138*J$4,0),IF($AB138="IR",ROUND(Proyeccion_Localidades!AG146,0),IF($AB138="RT",ROUND(Proyeccion_Localidades!BD146,0),"*****"))))</f>
        <v>5876</v>
      </c>
      <c r="K138" s="66">
        <f>IF($AB138="TGD",ROUND($E138*(1+$AD138)^(K$4-$E$4),0),IF($AB138="ALTH",ROUND($AE138+$AF138*K$4,0),IF($AB138="IR",ROUND(Proyeccion_Localidades!AH146,0),IF($AB138="RT",ROUND(Proyeccion_Localidades!BE146,0),"*****"))))</f>
        <v>5902</v>
      </c>
      <c r="L138" s="66">
        <f>IF($AB138="TGD",ROUND($E138*(1+$AD138)^(L$4-$E$4),0),IF($AB138="ALTH",ROUND($AE138+$AF138*L$4,0),IF($AB138="IR",ROUND(Proyeccion_Localidades!AI146,0),IF($AB138="RT",ROUND(Proyeccion_Localidades!BF146,0),"*****"))))</f>
        <v>5929</v>
      </c>
      <c r="M138" s="66">
        <f>IF($AB138="TGD",ROUND($E138*(1+$AD138)^(M$4-$E$4),0),IF($AB138="ALTH",ROUND($AE138+$AF138*M$4,0),IF($AB138="IR",ROUND(Proyeccion_Localidades!AJ146,0),IF($AB138="RT",ROUND(Proyeccion_Localidades!BG146,0),"*****"))))</f>
        <v>5956</v>
      </c>
      <c r="N138" s="66">
        <f>IF($AB138="TGD",ROUND($E138*(1+$AD138)^(N$4-$E$4),0),IF($AB138="ALTH",ROUND($AE138+$AF138*N$4,0),IF($AB138="IR",ROUND(Proyeccion_Localidades!AK146,0),IF($AB138="RT",ROUND(Proyeccion_Localidades!BH146,0),"*****"))))</f>
        <v>5982</v>
      </c>
      <c r="O138" s="66">
        <f>IF($AB138="TGD",ROUND($E138*(1+$AD138)^(O$4-$E$4),0),IF($AB138="ALTH",ROUND($AE138+$AF138*O$4,0),IF($AB138="IR",ROUND(Proyeccion_Localidades!AL146,0),IF($AB138="RT",ROUND(Proyeccion_Localidades!BI146,0),"*****"))))</f>
        <v>6009</v>
      </c>
      <c r="P138" s="66">
        <f>IF($AB138="TGD",ROUND($E138*(1+$AD138)^(P$4-$E$4),0),IF($AB138="ALTH",ROUND($AE138+$AF138*P$4,0),IF($AB138="IR",ROUND(Proyeccion_Localidades!AM146,0),IF($AB138="RT",ROUND(Proyeccion_Localidades!BJ146,0),"*****"))))</f>
        <v>6035</v>
      </c>
      <c r="Q138" s="66">
        <f>IF($AB138="TGD",ROUND($E138*(1+$AD138)^(Q$4-$E$4),0),IF($AB138="ALTH",ROUND($AE138+$AF138*Q$4,0),IF($AB138="IR",ROUND(Proyeccion_Localidades!AN146,0),IF($AB138="RT",ROUND(Proyeccion_Localidades!BK146,0),"*****"))))</f>
        <v>6062</v>
      </c>
      <c r="R138" s="66">
        <f>IF($AB138="TGD",ROUND($E138*(1+$AD138)^(R$4-$E$4),0),IF($AB138="ALTH",ROUND($AE138+$AF138*R$4,0),IF($AB138="IR",ROUND(Proyeccion_Localidades!AO146,0),IF($AB138="RT",ROUND(Proyeccion_Localidades!BL146,0),"*****"))))</f>
        <v>6089</v>
      </c>
      <c r="S138" s="66">
        <f>IF($AB138="TGD",ROUND($E138*(1+$AD138)^(S$4-$E$4),0),IF($AB138="ALTH",ROUND($AE138+$AF138*S$4,0),IF($AB138="IR",ROUND(Proyeccion_Localidades!AP146,0),IF($AB138="RT",ROUND(Proyeccion_Localidades!BM146,0),"*****"))))</f>
        <v>6115</v>
      </c>
      <c r="T138" s="66">
        <f>IF($AB138="TGD",ROUND($E138*(1+$AD138)^(T$4-$E$4),0),IF($AB138="ALTH",ROUND($AE138+$AF138*T$4,0),IF($AB138="IR",ROUND(Proyeccion_Localidades!AQ146,0),IF($AB138="RT",ROUND(Proyeccion_Localidades!BN146,0),"*****"))))</f>
        <v>6142</v>
      </c>
      <c r="U138" s="66">
        <f>IF($AB138="TGD",ROUND($E138*(1+$AD138)^(U$4-$E$4),0),IF($AB138="ALTH",ROUND($AE138+$AF138*U$4,0),IF($AB138="IR",ROUND(Proyeccion_Localidades!AR146,0),IF($AB138="RT",ROUND(Proyeccion_Localidades!BO146,0),"*****"))))</f>
        <v>6168</v>
      </c>
      <c r="V138" s="66">
        <f>IF($AB138="TGD",ROUND($E138*(1+$AD138)^(V$4-$E$4),0),IF($AB138="ALTH",ROUND($AE138+$AF138*V$4,0),IF($AB138="IR",ROUND(Proyeccion_Localidades!AS146,0),IF($AB138="RT",ROUND(Proyeccion_Localidades!BP146,0),"*****"))))</f>
        <v>6195</v>
      </c>
      <c r="W138" s="66">
        <f>IF($AB138="TGD",ROUND($E138*(1+$AD138)^(W$4-$E$4),0),IF($AB138="ALTH",ROUND($AE138+$AF138*W$4,0),IF($AB138="IR",ROUND(Proyeccion_Localidades!AT146,0),IF($AB138="RT",ROUND(Proyeccion_Localidades!BQ146,0),"*****"))))</f>
        <v>6221</v>
      </c>
      <c r="X138" s="66">
        <f>IF($AB138="TGD",ROUND($E138*(1+$AD138)^(X$4-$E$4),0),IF($AB138="ALTH",ROUND($AE138+$AF138*X$4,0),IF($AB138="IR",ROUND(Proyeccion_Localidades!AU146,0),IF($AB138="RT",ROUND(Proyeccion_Localidades!BR146,0),"*****"))))</f>
        <v>6248</v>
      </c>
      <c r="Y138" s="66">
        <f>IF($AB138="TGD",ROUND($E138*(1+$AD138)^(Y$4-$E$4),0),IF($AB138="ALTH",ROUND($AE138+$AF138*Y$4,0),IF($AB138="IR",ROUND(Proyeccion_Localidades!AV146,0),IF($AB138="RT",ROUND(Proyeccion_Localidades!BS146,0),"*****"))))</f>
        <v>6275</v>
      </c>
      <c r="Z138" s="66">
        <f>IF($AB138="TGD",ROUND($E138*(1+$AD138)^(Z$4-$E$4),0),IF($AB138="ALTH",ROUND($AE138+$AF138*Z$4,0),IF($AB138="IR",ROUND(Proyeccion_Localidades!AW146,0),IF($AB138="RT",ROUND(Proyeccion_Localidades!BT146,0),"*****"))))</f>
        <v>6301</v>
      </c>
      <c r="AA138" s="66">
        <f>IF($AB138="TGD",ROUND($E138*(1+$AD138)^(AA$4-$E$4),0),IF($AB138="ALTH",ROUND($AE138+$AF138*AA$4,0),IF($AB138="IR",ROUND(Proyeccion_Localidades!AX146,0),IF($AB138="RT",ROUND(Proyeccion_Localidades!BU146,0),"*****"))))</f>
        <v>6328</v>
      </c>
      <c r="AB138" s="67" t="str">
        <f>Proyeccion_Localidades!N146</f>
        <v>ALTH</v>
      </c>
      <c r="AC138" s="68" t="s">
        <v>36</v>
      </c>
      <c r="AD138" s="51" t="str">
        <f>IF(AB138="TGD",Proyeccion_Localidades!Z146,"-")</f>
        <v>-</v>
      </c>
      <c r="AE138" s="51">
        <f>IF($AB138="ALTH",Proyeccion_Localidades!AA146,"-")</f>
        <v>-48049.538745387472</v>
      </c>
      <c r="AF138" s="51">
        <f>IF($AB138="ALTH",Proyeccion_Localidades!AB146,"-")</f>
        <v>26.590405904059047</v>
      </c>
      <c r="AG138" s="51"/>
      <c r="AH138" s="51"/>
      <c r="AI138" s="66">
        <f t="shared" si="8"/>
        <v>5743</v>
      </c>
    </row>
    <row r="139" spans="1:43" ht="24.95" customHeight="1">
      <c r="A139" s="84" t="str">
        <f>+Proyeccion_Localidades!C147</f>
        <v>Zárate</v>
      </c>
      <c r="B139" s="70">
        <f t="shared" si="7"/>
        <v>135</v>
      </c>
      <c r="C139" s="87" t="str">
        <f>+Proyeccion_Localidades!B147</f>
        <v>Zárate</v>
      </c>
      <c r="D139" s="261">
        <f t="shared" si="9"/>
        <v>135</v>
      </c>
      <c r="E139" s="72">
        <f>+Proyeccion_Localidades!F147</f>
        <v>98522</v>
      </c>
      <c r="F139" s="66">
        <f>IF($AB139="TGD",ROUND($E139*(1+$AD139)^(F$4-$E$4),0),IF($AB139="ALTH",ROUND($AE139+$AF139*F$4,0),IF($AB139="IR",ROUND(Proyeccion_Localidades!AC147,0),IF($AB139="RT",ROUND(Proyeccion_Localidades!AZ147,0),"*****"))))</f>
        <v>113429</v>
      </c>
      <c r="G139" s="66">
        <f>IF($AB139="TGD",ROUND($E139*(1+$AD139)^(G$4-$E$4),0),IF($AB139="ALTH",ROUND($AE139+$AF139*G$4,0),IF($AB139="IR",ROUND(Proyeccion_Localidades!AD147,0),IF($AB139="RT",ROUND(Proyeccion_Localidades!BA147,0),"*****"))))</f>
        <v>114769</v>
      </c>
      <c r="H139" s="66">
        <f>IF($AB139="TGD",ROUND($E139*(1+$AD139)^(H$4-$E$4),0),IF($AB139="ALTH",ROUND($AE139+$AF139*H$4,0),IF($AB139="IR",ROUND(Proyeccion_Localidades!AE147,0),IF($AB139="RT",ROUND(Proyeccion_Localidades!BB147,0),"*****"))))</f>
        <v>118884</v>
      </c>
      <c r="I139" s="66">
        <f>IF($AB139="TGD",ROUND($E139*(1+$AD139)^(I$4-$E$4),0),IF($AB139="ALTH",ROUND($AE139+$AF139*I$4,0),IF($AB139="IR",ROUND(Proyeccion_Localidades!AF147,0),IF($AB139="RT",ROUND(Proyeccion_Localidades!BC147,0),"*****"))))</f>
        <v>120288</v>
      </c>
      <c r="J139" s="66">
        <f>IF($AB139="TGD",ROUND($E139*(1+$AD139)^(J$4-$E$4),0),IF($AB139="ALTH",ROUND($AE139+$AF139*J$4,0),IF($AB139="IR",ROUND(Proyeccion_Localidades!AG147,0),IF($AB139="RT",ROUND(Proyeccion_Localidades!BD147,0),"*****"))))</f>
        <v>121709</v>
      </c>
      <c r="K139" s="66">
        <f>IF($AB139="TGD",ROUND($E139*(1+$AD139)^(K$4-$E$4),0),IF($AB139="ALTH",ROUND($AE139+$AF139*K$4,0),IF($AB139="IR",ROUND(Proyeccion_Localidades!AH147,0),IF($AB139="RT",ROUND(Proyeccion_Localidades!BE147,0),"*****"))))</f>
        <v>123146</v>
      </c>
      <c r="L139" s="66">
        <f>IF($AB139="TGD",ROUND($E139*(1+$AD139)^(L$4-$E$4),0),IF($AB139="ALTH",ROUND($AE139+$AF139*L$4,0),IF($AB139="IR",ROUND(Proyeccion_Localidades!AI147,0),IF($AB139="RT",ROUND(Proyeccion_Localidades!BF147,0),"*****"))))</f>
        <v>124601</v>
      </c>
      <c r="M139" s="66">
        <f>IF($AB139="TGD",ROUND($E139*(1+$AD139)^(M$4-$E$4),0),IF($AB139="ALTH",ROUND($AE139+$AF139*M$4,0),IF($AB139="IR",ROUND(Proyeccion_Localidades!AJ147,0),IF($AB139="RT",ROUND(Proyeccion_Localidades!BG147,0),"*****"))))</f>
        <v>126073</v>
      </c>
      <c r="N139" s="66">
        <f>IF($AB139="TGD",ROUND($E139*(1+$AD139)^(N$4-$E$4),0),IF($AB139="ALTH",ROUND($AE139+$AF139*N$4,0),IF($AB139="IR",ROUND(Proyeccion_Localidades!AK147,0),IF($AB139="RT",ROUND(Proyeccion_Localidades!BH147,0),"*****"))))</f>
        <v>127562</v>
      </c>
      <c r="O139" s="66">
        <f>IF($AB139="TGD",ROUND($E139*(1+$AD139)^(O$4-$E$4),0),IF($AB139="ALTH",ROUND($AE139+$AF139*O$4,0),IF($AB139="IR",ROUND(Proyeccion_Localidades!AL147,0),IF($AB139="RT",ROUND(Proyeccion_Localidades!BI147,0),"*****"))))</f>
        <v>129068</v>
      </c>
      <c r="P139" s="66">
        <f>IF($AB139="TGD",ROUND($E139*(1+$AD139)^(P$4-$E$4),0),IF($AB139="ALTH",ROUND($AE139+$AF139*P$4,0),IF($AB139="IR",ROUND(Proyeccion_Localidades!AM147,0),IF($AB139="RT",ROUND(Proyeccion_Localidades!BJ147,0),"*****"))))</f>
        <v>130593</v>
      </c>
      <c r="Q139" s="66">
        <f>IF($AB139="TGD",ROUND($E139*(1+$AD139)^(Q$4-$E$4),0),IF($AB139="ALTH",ROUND($AE139+$AF139*Q$4,0),IF($AB139="IR",ROUND(Proyeccion_Localidades!AN147,0),IF($AB139="RT",ROUND(Proyeccion_Localidades!BK147,0),"*****"))))</f>
        <v>132135</v>
      </c>
      <c r="R139" s="66">
        <f>IF($AB139="TGD",ROUND($E139*(1+$AD139)^(R$4-$E$4),0),IF($AB139="ALTH",ROUND($AE139+$AF139*R$4,0),IF($AB139="IR",ROUND(Proyeccion_Localidades!AO147,0),IF($AB139="RT",ROUND(Proyeccion_Localidades!BL147,0),"*****"))))</f>
        <v>133696</v>
      </c>
      <c r="S139" s="66">
        <f>IF($AB139="TGD",ROUND($E139*(1+$AD139)^(S$4-$E$4),0),IF($AB139="ALTH",ROUND($AE139+$AF139*S$4,0),IF($AB139="IR",ROUND(Proyeccion_Localidades!AP147,0),IF($AB139="RT",ROUND(Proyeccion_Localidades!BM147,0),"*****"))))</f>
        <v>135275</v>
      </c>
      <c r="T139" s="66">
        <f>IF($AB139="TGD",ROUND($E139*(1+$AD139)^(T$4-$E$4),0),IF($AB139="ALTH",ROUND($AE139+$AF139*T$4,0),IF($AB139="IR",ROUND(Proyeccion_Localidades!AQ147,0),IF($AB139="RT",ROUND(Proyeccion_Localidades!BN147,0),"*****"))))</f>
        <v>136873</v>
      </c>
      <c r="U139" s="66">
        <f>IF($AB139="TGD",ROUND($E139*(1+$AD139)^(U$4-$E$4),0),IF($AB139="ALTH",ROUND($AE139+$AF139*U$4,0),IF($AB139="IR",ROUND(Proyeccion_Localidades!AR147,0),IF($AB139="RT",ROUND(Proyeccion_Localidades!BO147,0),"*****"))))</f>
        <v>138489</v>
      </c>
      <c r="V139" s="66">
        <f>IF($AB139="TGD",ROUND($E139*(1+$AD139)^(V$4-$E$4),0),IF($AB139="ALTH",ROUND($AE139+$AF139*V$4,0),IF($AB139="IR",ROUND(Proyeccion_Localidades!AS147,0),IF($AB139="RT",ROUND(Proyeccion_Localidades!BP147,0),"*****"))))</f>
        <v>140125</v>
      </c>
      <c r="W139" s="66">
        <f>IF($AB139="TGD",ROUND($E139*(1+$AD139)^(W$4-$E$4),0),IF($AB139="ALTH",ROUND($AE139+$AF139*W$4,0),IF($AB139="IR",ROUND(Proyeccion_Localidades!AT147,0),IF($AB139="RT",ROUND(Proyeccion_Localidades!BQ147,0),"*****"))))</f>
        <v>141780</v>
      </c>
      <c r="X139" s="66">
        <f>IF($AB139="TGD",ROUND($E139*(1+$AD139)^(X$4-$E$4),0),IF($AB139="ALTH",ROUND($AE139+$AF139*X$4,0),IF($AB139="IR",ROUND(Proyeccion_Localidades!AU147,0),IF($AB139="RT",ROUND(Proyeccion_Localidades!BR147,0),"*****"))))</f>
        <v>143454</v>
      </c>
      <c r="Y139" s="66">
        <f>IF($AB139="TGD",ROUND($E139*(1+$AD139)^(Y$4-$E$4),0),IF($AB139="ALTH",ROUND($AE139+$AF139*Y$4,0),IF($AB139="IR",ROUND(Proyeccion_Localidades!AV147,0),IF($AB139="RT",ROUND(Proyeccion_Localidades!BS147,0),"*****"))))</f>
        <v>145149</v>
      </c>
      <c r="Z139" s="66">
        <f>IF($AB139="TGD",ROUND($E139*(1+$AD139)^(Z$4-$E$4),0),IF($AB139="ALTH",ROUND($AE139+$AF139*Z$4,0),IF($AB139="IR",ROUND(Proyeccion_Localidades!AW147,0),IF($AB139="RT",ROUND(Proyeccion_Localidades!BT147,0),"*****"))))</f>
        <v>146863</v>
      </c>
      <c r="AA139" s="66">
        <f>IF($AB139="TGD",ROUND($E139*(1+$AD139)^(AA$4-$E$4),0),IF($AB139="ALTH",ROUND($AE139+$AF139*AA$4,0),IF($AB139="IR",ROUND(Proyeccion_Localidades!AX147,0),IF($AB139="RT",ROUND(Proyeccion_Localidades!BU147,0),"*****"))))</f>
        <v>148598</v>
      </c>
      <c r="AB139" s="67" t="str">
        <f>Proyeccion_Localidades!N147</f>
        <v>TGD</v>
      </c>
      <c r="AC139" s="68" t="s">
        <v>35</v>
      </c>
      <c r="AD139" s="51">
        <f>IF(AB139="TGD",Proyeccion_Localidades!Z147,"-")</f>
        <v>1.1811006467929319E-2</v>
      </c>
      <c r="AE139" s="51" t="str">
        <f>IF($AB139="ALTH",Proyeccion_Localidades!AA147,"-")</f>
        <v>-</v>
      </c>
      <c r="AF139" s="51" t="str">
        <f>IF($AB139="ALTH",Proyeccion_Localidades!AB147,"-")</f>
        <v>-</v>
      </c>
      <c r="AG139" s="51"/>
      <c r="AH139" s="51"/>
      <c r="AI139" s="66">
        <f t="shared" si="8"/>
        <v>114769</v>
      </c>
    </row>
    <row r="140" spans="1:43" ht="24.95" customHeight="1">
      <c r="A140" s="84" t="str">
        <f>+Proyeccion_Localidades!C148</f>
        <v>CABA</v>
      </c>
      <c r="B140" s="70">
        <f>+B139+1</f>
        <v>136</v>
      </c>
      <c r="C140" s="87" t="str">
        <f>+Proyeccion_Localidades!B148</f>
        <v>CABA</v>
      </c>
      <c r="D140" s="261">
        <f t="shared" si="9"/>
        <v>136</v>
      </c>
      <c r="E140" s="72">
        <f>+Verif!E148+ROUND(Verif!E149*270/365,0)</f>
        <v>5035626</v>
      </c>
      <c r="F140" s="72">
        <f>+Verif!F148+ROUND(Verif!F149*270/365,0)</f>
        <v>5478423</v>
      </c>
      <c r="G140" s="72">
        <f>+Verif!G148+ROUND(Verif!G149*270/365,0)</f>
        <v>5519351</v>
      </c>
      <c r="H140" s="72">
        <f>+Verif!H148+ROUND(Verif!H149*270/365,0)</f>
        <v>5646185</v>
      </c>
      <c r="I140" s="72">
        <f>+Verif!I148+ROUND(Verif!I149*270/365,0)</f>
        <v>5689850</v>
      </c>
      <c r="J140" s="72">
        <f>+Verif!J148+ROUND(Verif!J149*270/365,0)</f>
        <v>5734227</v>
      </c>
      <c r="K140" s="72">
        <f>+Verif!K148+ROUND(Verif!K149*270/365,0)</f>
        <v>5779329</v>
      </c>
      <c r="L140" s="72">
        <f>+Verif!L148+ROUND(Verif!L149*270/365,0)</f>
        <v>5825166</v>
      </c>
      <c r="M140" s="72">
        <f>+Verif!M148+ROUND(Verif!M149*270/365,0)</f>
        <v>5871750</v>
      </c>
      <c r="N140" s="72">
        <f>+Verif!N148+ROUND(Verif!N149*270/365,0)</f>
        <v>5919095</v>
      </c>
      <c r="O140" s="72">
        <f>+Verif!O148+ROUND(Verif!O149*270/365,0)</f>
        <v>5967212</v>
      </c>
      <c r="P140" s="72">
        <f>+Verif!P148+ROUND(Verif!P149*270/365,0)</f>
        <v>6016114</v>
      </c>
      <c r="Q140" s="72">
        <f>+Verif!Q148+ROUND(Verif!Q149*270/365,0)</f>
        <v>6065812</v>
      </c>
      <c r="R140" s="72">
        <f>+Verif!R148+ROUND(Verif!R149*270/365,0)</f>
        <v>6116322</v>
      </c>
      <c r="S140" s="72">
        <f>+Verif!S148+ROUND(Verif!S149*270/365,0)</f>
        <v>6167657</v>
      </c>
      <c r="T140" s="72">
        <f>+Verif!T148+ROUND(Verif!T149*270/365,0)</f>
        <v>6219828</v>
      </c>
      <c r="U140" s="72">
        <f>+Verif!U148+ROUND(Verif!U149*270/365,0)</f>
        <v>6272850</v>
      </c>
      <c r="V140" s="72">
        <f>+Verif!V148+ROUND(Verif!V149*270/365,0)</f>
        <v>6326738</v>
      </c>
      <c r="W140" s="72">
        <f>+Verif!W148+ROUND(Verif!W149*270/365,0)</f>
        <v>6381505</v>
      </c>
      <c r="X140" s="72">
        <f>+Verif!X148+ROUND(Verif!X149*270/365,0)</f>
        <v>6437165</v>
      </c>
      <c r="Y140" s="72">
        <f>+Verif!Y148+ROUND(Verif!Y149*270/365,0)</f>
        <v>6493732</v>
      </c>
      <c r="Z140" s="72">
        <f>+Verif!Z148+ROUND(Verif!Z149*270/365,0)</f>
        <v>6551223</v>
      </c>
      <c r="AA140" s="72">
        <f>+Verif!AA148+ROUND(Verif!AA149*270/365,0)</f>
        <v>6609652</v>
      </c>
      <c r="AB140" s="67" t="str">
        <f>Proyeccion_Localidades!N148</f>
        <v>IR</v>
      </c>
      <c r="AC140" s="68"/>
      <c r="AD140" s="51" t="str">
        <f>IF(AB140="TGD",Proyeccion_Localidades!Z148,"-")</f>
        <v>-</v>
      </c>
      <c r="AE140" s="51" t="str">
        <f>IF($AB140="ALTH",Proyeccion_Localidades!AA148,"-")</f>
        <v>-</v>
      </c>
      <c r="AF140" s="51" t="str">
        <f>IF($AB140="ALTH",Proyeccion_Localidades!AB148,"-")</f>
        <v>-</v>
      </c>
      <c r="AG140" s="51"/>
      <c r="AH140" s="51"/>
      <c r="AI140" s="66">
        <f t="shared" si="8"/>
        <v>5519351</v>
      </c>
    </row>
    <row r="141" spans="1:43" s="98" customFormat="1" ht="24.95" customHeight="1">
      <c r="A141" s="84" t="str">
        <f>+Proyeccion_Localidades!C150</f>
        <v>Adolfo Alsina</v>
      </c>
      <c r="B141" s="70">
        <f>+B140+1</f>
        <v>137</v>
      </c>
      <c r="C141" s="87" t="str">
        <f>+Proyeccion_Localidades!B150</f>
        <v>Rivera</v>
      </c>
      <c r="D141" s="261">
        <f t="shared" si="9"/>
        <v>137</v>
      </c>
      <c r="E141" s="72">
        <f>+Proyeccion_Localidades!F150</f>
        <v>3217</v>
      </c>
      <c r="F141" s="66">
        <f>IF($AB141="TGD",ROUND($E141*(1+$AD141)^(F$4-$E$4),0),IF($AB141="ALTH",ROUND($AE141+$AF141*F$4,0),IF($AB141="IR",ROUND(Proyeccion_Localidades!AC150,0),IF($AB141="RT",ROUND(Proyeccion_Localidades!AZ150,0),"*****"))))</f>
        <v>3288</v>
      </c>
      <c r="G141" s="66">
        <f>IF($AB141="TGD",ROUND($E141*(1+$AD141)^(G$4-$E$4),0),IF($AB141="ALTH",ROUND($AE141+$AF141*G$4,0),IF($AB141="IR",ROUND(Proyeccion_Localidades!AD150,0),IF($AB141="RT",ROUND(Proyeccion_Localidades!BA150,0),"*****"))))</f>
        <v>3298</v>
      </c>
      <c r="H141" s="66">
        <f>IF($AB141="TGD",ROUND($E141*(1+$AD141)^(H$4-$E$4),0),IF($AB141="ALTH",ROUND($AE141+$AF141*H$4,0),IF($AB141="IR",ROUND(Proyeccion_Localidades!AE150,0),IF($AB141="RT",ROUND(Proyeccion_Localidades!BB150,0),"*****"))))</f>
        <v>3326</v>
      </c>
      <c r="I141" s="66">
        <f>IF($AB141="TGD",ROUND($E141*(1+$AD141)^(I$4-$E$4),0),IF($AB141="ALTH",ROUND($AE141+$AF141*I$4,0),IF($AB141="IR",ROUND(Proyeccion_Localidades!AF150,0),IF($AB141="RT",ROUND(Proyeccion_Localidades!BC150,0),"*****"))))</f>
        <v>3335</v>
      </c>
      <c r="J141" s="66">
        <f>IF($AB141="TGD",ROUND($E141*(1+$AD141)^(J$4-$E$4),0),IF($AB141="ALTH",ROUND($AE141+$AF141*J$4,0),IF($AB141="IR",ROUND(Proyeccion_Localidades!AG150,0),IF($AB141="RT",ROUND(Proyeccion_Localidades!BD150,0),"*****"))))</f>
        <v>3344</v>
      </c>
      <c r="K141" s="66">
        <f>IF($AB141="TGD",ROUND($E141*(1+$AD141)^(K$4-$E$4),0),IF($AB141="ALTH",ROUND($AE141+$AF141*K$4,0),IF($AB141="IR",ROUND(Proyeccion_Localidades!AH150,0),IF($AB141="RT",ROUND(Proyeccion_Localidades!BE150,0),"*****"))))</f>
        <v>3354</v>
      </c>
      <c r="L141" s="66">
        <f>IF($AB141="TGD",ROUND($E141*(1+$AD141)^(L$4-$E$4),0),IF($AB141="ALTH",ROUND($AE141+$AF141*L$4,0),IF($AB141="IR",ROUND(Proyeccion_Localidades!AI150,0),IF($AB141="RT",ROUND(Proyeccion_Localidades!BF150,0),"*****"))))</f>
        <v>3363</v>
      </c>
      <c r="M141" s="66">
        <f>IF($AB141="TGD",ROUND($E141*(1+$AD141)^(M$4-$E$4),0),IF($AB141="ALTH",ROUND($AE141+$AF141*M$4,0),IF($AB141="IR",ROUND(Proyeccion_Localidades!AJ150,0),IF($AB141="RT",ROUND(Proyeccion_Localidades!BG150,0),"*****"))))</f>
        <v>3372</v>
      </c>
      <c r="N141" s="66">
        <f>IF($AB141="TGD",ROUND($E141*(1+$AD141)^(N$4-$E$4),0),IF($AB141="ALTH",ROUND($AE141+$AF141*N$4,0),IF($AB141="IR",ROUND(Proyeccion_Localidades!AK150,0),IF($AB141="RT",ROUND(Proyeccion_Localidades!BH150,0),"*****"))))</f>
        <v>3381</v>
      </c>
      <c r="O141" s="66">
        <f>IF($AB141="TGD",ROUND($E141*(1+$AD141)^(O$4-$E$4),0),IF($AB141="ALTH",ROUND($AE141+$AF141*O$4,0),IF($AB141="IR",ROUND(Proyeccion_Localidades!AL150,0),IF($AB141="RT",ROUND(Proyeccion_Localidades!BI150,0),"*****"))))</f>
        <v>3391</v>
      </c>
      <c r="P141" s="66">
        <f>IF($AB141="TGD",ROUND($E141*(1+$AD141)^(P$4-$E$4),0),IF($AB141="ALTH",ROUND($AE141+$AF141*P$4,0),IF($AB141="IR",ROUND(Proyeccion_Localidades!AM150,0),IF($AB141="RT",ROUND(Proyeccion_Localidades!BJ150,0),"*****"))))</f>
        <v>3400</v>
      </c>
      <c r="Q141" s="66">
        <f>IF($AB141="TGD",ROUND($E141*(1+$AD141)^(Q$4-$E$4),0),IF($AB141="ALTH",ROUND($AE141+$AF141*Q$4,0),IF($AB141="IR",ROUND(Proyeccion_Localidades!AN150,0),IF($AB141="RT",ROUND(Proyeccion_Localidades!BK150,0),"*****"))))</f>
        <v>3409</v>
      </c>
      <c r="R141" s="66">
        <f>IF($AB141="TGD",ROUND($E141*(1+$AD141)^(R$4-$E$4),0),IF($AB141="ALTH",ROUND($AE141+$AF141*R$4,0),IF($AB141="IR",ROUND(Proyeccion_Localidades!AO150,0),IF($AB141="RT",ROUND(Proyeccion_Localidades!BL150,0),"*****"))))</f>
        <v>3419</v>
      </c>
      <c r="S141" s="66">
        <f>IF($AB141="TGD",ROUND($E141*(1+$AD141)^(S$4-$E$4),0),IF($AB141="ALTH",ROUND($AE141+$AF141*S$4,0),IF($AB141="IR",ROUND(Proyeccion_Localidades!AP150,0),IF($AB141="RT",ROUND(Proyeccion_Localidades!BM150,0),"*****"))))</f>
        <v>3428</v>
      </c>
      <c r="T141" s="66">
        <f>IF($AB141="TGD",ROUND($E141*(1+$AD141)^(T$4-$E$4),0),IF($AB141="ALTH",ROUND($AE141+$AF141*T$4,0),IF($AB141="IR",ROUND(Proyeccion_Localidades!AQ150,0),IF($AB141="RT",ROUND(Proyeccion_Localidades!BN150,0),"*****"))))</f>
        <v>3437</v>
      </c>
      <c r="U141" s="66">
        <f>IF($AB141="TGD",ROUND($E141*(1+$AD141)^(U$4-$E$4),0),IF($AB141="ALTH",ROUND($AE141+$AF141*U$4,0),IF($AB141="IR",ROUND(Proyeccion_Localidades!AR150,0),IF($AB141="RT",ROUND(Proyeccion_Localidades!BO150,0),"*****"))))</f>
        <v>3447</v>
      </c>
      <c r="V141" s="66">
        <f>IF($AB141="TGD",ROUND($E141*(1+$AD141)^(V$4-$E$4),0),IF($AB141="ALTH",ROUND($AE141+$AF141*V$4,0),IF($AB141="IR",ROUND(Proyeccion_Localidades!AS150,0),IF($AB141="RT",ROUND(Proyeccion_Localidades!BP150,0),"*****"))))</f>
        <v>3456</v>
      </c>
      <c r="W141" s="66">
        <f>IF($AB141="TGD",ROUND($E141*(1+$AD141)^(W$4-$E$4),0),IF($AB141="ALTH",ROUND($AE141+$AF141*W$4,0),IF($AB141="IR",ROUND(Proyeccion_Localidades!AT150,0),IF($AB141="RT",ROUND(Proyeccion_Localidades!BQ150,0),"*****"))))</f>
        <v>3465</v>
      </c>
      <c r="X141" s="66">
        <f>IF($AB141="TGD",ROUND($E141*(1+$AD141)^(X$4-$E$4),0),IF($AB141="ALTH",ROUND($AE141+$AF141*X$4,0),IF($AB141="IR",ROUND(Proyeccion_Localidades!AU150,0),IF($AB141="RT",ROUND(Proyeccion_Localidades!BR150,0),"*****"))))</f>
        <v>3475</v>
      </c>
      <c r="Y141" s="66">
        <f>IF($AB141="TGD",ROUND($E141*(1+$AD141)^(Y$4-$E$4),0),IF($AB141="ALTH",ROUND($AE141+$AF141*Y$4,0),IF($AB141="IR",ROUND(Proyeccion_Localidades!AV150,0),IF($AB141="RT",ROUND(Proyeccion_Localidades!BS150,0),"*****"))))</f>
        <v>3484</v>
      </c>
      <c r="Z141" s="66">
        <f>IF($AB141="TGD",ROUND($E141*(1+$AD141)^(Z$4-$E$4),0),IF($AB141="ALTH",ROUND($AE141+$AF141*Z$4,0),IF($AB141="IR",ROUND(Proyeccion_Localidades!AW150,0),IF($AB141="RT",ROUND(Proyeccion_Localidades!BT150,0),"*****"))))</f>
        <v>3493</v>
      </c>
      <c r="AA141" s="66">
        <f>IF($AB141="TGD",ROUND($E141*(1+$AD141)^(AA$4-$E$4),0),IF($AB141="ALTH",ROUND($AE141+$AF141*AA$4,0),IF($AB141="IR",ROUND(Proyeccion_Localidades!AX150,0),IF($AB141="RT",ROUND(Proyeccion_Localidades!BU150,0),"*****"))))</f>
        <v>3503</v>
      </c>
      <c r="AB141" s="67" t="str">
        <f>Proyeccion_Localidades!N150</f>
        <v>ALTH</v>
      </c>
      <c r="AC141" s="68" t="s">
        <v>36</v>
      </c>
      <c r="AD141" s="51" t="str">
        <f>IF(AB141="TGD",Proyeccion_Localidades!Z150,"-")</f>
        <v>-</v>
      </c>
      <c r="AE141" s="51">
        <f>IF($AB141="ALTH",Proyeccion_Localidades!AA150,"-")</f>
        <v>-15543.848708487085</v>
      </c>
      <c r="AF141" s="51">
        <f>IF($AB141="ALTH",Proyeccion_Localidades!AB150,"-")</f>
        <v>9.3136531365313644</v>
      </c>
      <c r="AG141" s="81"/>
      <c r="AH141" s="81"/>
      <c r="AI141" s="96">
        <f t="shared" si="8"/>
        <v>3298</v>
      </c>
      <c r="AJ141" s="97"/>
      <c r="AK141" s="97"/>
      <c r="AL141" s="97"/>
      <c r="AO141" s="97"/>
      <c r="AP141" s="97"/>
      <c r="AQ141" s="97"/>
    </row>
    <row r="142" spans="1:43" s="98" customFormat="1" ht="24.95" customHeight="1">
      <c r="A142" s="84" t="str">
        <f>+Proyeccion_Localidades!C151</f>
        <v>Carlos Tejedor</v>
      </c>
      <c r="B142" s="70">
        <f>+B141+1</f>
        <v>138</v>
      </c>
      <c r="C142" s="87" t="str">
        <f>+Proyeccion_Localidades!B151</f>
        <v>Tres Algarrobos</v>
      </c>
      <c r="D142" s="261">
        <f t="shared" si="9"/>
        <v>138</v>
      </c>
      <c r="E142" s="72">
        <f>+Proyeccion_Localidades!F151</f>
        <v>3201</v>
      </c>
      <c r="F142" s="66">
        <f>IF($AB142="TGD",ROUND($E142*(1+$AD142)^(F$4-$E$4),0),IF($AB142="ALTH",ROUND($AE142+$AF142*F$4,0),IF($AB142="IR",ROUND(Proyeccion_Localidades!AC151,0),IF($AB142="RT",ROUND(Proyeccion_Localidades!AZ151,0),"*****"))))</f>
        <v>3432</v>
      </c>
      <c r="G142" s="66">
        <f>IF($AB142="TGD",ROUND($E142*(1+$AD142)^(G$4-$E$4),0),IF($AB142="ALTH",ROUND($AE142+$AF142*G$4,0),IF($AB142="IR",ROUND(Proyeccion_Localidades!AD151,0),IF($AB142="RT",ROUND(Proyeccion_Localidades!BA151,0),"*****"))))</f>
        <v>3452</v>
      </c>
      <c r="H142" s="66">
        <f>IF($AB142="TGD",ROUND($E142*(1+$AD142)^(H$4-$E$4),0),IF($AB142="ALTH",ROUND($AE142+$AF142*H$4,0),IF($AB142="IR",ROUND(Proyeccion_Localidades!AE151,0),IF($AB142="RT",ROUND(Proyeccion_Localidades!BB151,0),"*****"))))</f>
        <v>3512</v>
      </c>
      <c r="I142" s="66">
        <f>IF($AB142="TGD",ROUND($E142*(1+$AD142)^(I$4-$E$4),0),IF($AB142="ALTH",ROUND($AE142+$AF142*I$4,0),IF($AB142="IR",ROUND(Proyeccion_Localidades!AF151,0),IF($AB142="RT",ROUND(Proyeccion_Localidades!BC151,0),"*****"))))</f>
        <v>3532</v>
      </c>
      <c r="J142" s="66">
        <f>IF($AB142="TGD",ROUND($E142*(1+$AD142)^(J$4-$E$4),0),IF($AB142="ALTH",ROUND($AE142+$AF142*J$4,0),IF($AB142="IR",ROUND(Proyeccion_Localidades!AG151,0),IF($AB142="RT",ROUND(Proyeccion_Localidades!BD151,0),"*****"))))</f>
        <v>3552</v>
      </c>
      <c r="K142" s="66">
        <f>IF($AB142="TGD",ROUND($E142*(1+$AD142)^(K$4-$E$4),0),IF($AB142="ALTH",ROUND($AE142+$AF142*K$4,0),IF($AB142="IR",ROUND(Proyeccion_Localidades!AH151,0),IF($AB142="RT",ROUND(Proyeccion_Localidades!BE151,0),"*****"))))</f>
        <v>3572</v>
      </c>
      <c r="L142" s="66">
        <f>IF($AB142="TGD",ROUND($E142*(1+$AD142)^(L$4-$E$4),0),IF($AB142="ALTH",ROUND($AE142+$AF142*L$4,0),IF($AB142="IR",ROUND(Proyeccion_Localidades!AI151,0),IF($AB142="RT",ROUND(Proyeccion_Localidades!BF151,0),"*****"))))</f>
        <v>3592</v>
      </c>
      <c r="M142" s="66">
        <f>IF($AB142="TGD",ROUND($E142*(1+$AD142)^(M$4-$E$4),0),IF($AB142="ALTH",ROUND($AE142+$AF142*M$4,0),IF($AB142="IR",ROUND(Proyeccion_Localidades!AJ151,0),IF($AB142="RT",ROUND(Proyeccion_Localidades!BG151,0),"*****"))))</f>
        <v>3612</v>
      </c>
      <c r="N142" s="66">
        <f>IF($AB142="TGD",ROUND($E142*(1+$AD142)^(N$4-$E$4),0),IF($AB142="ALTH",ROUND($AE142+$AF142*N$4,0),IF($AB142="IR",ROUND(Proyeccion_Localidades!AK151,0),IF($AB142="RT",ROUND(Proyeccion_Localidades!BH151,0),"*****"))))</f>
        <v>3632</v>
      </c>
      <c r="O142" s="66">
        <f>IF($AB142="TGD",ROUND($E142*(1+$AD142)^(O$4-$E$4),0),IF($AB142="ALTH",ROUND($AE142+$AF142*O$4,0),IF($AB142="IR",ROUND(Proyeccion_Localidades!AL151,0),IF($AB142="RT",ROUND(Proyeccion_Localidades!BI151,0),"*****"))))</f>
        <v>3652</v>
      </c>
      <c r="P142" s="66">
        <f>IF($AB142="TGD",ROUND($E142*(1+$AD142)^(P$4-$E$4),0),IF($AB142="ALTH",ROUND($AE142+$AF142*P$4,0),IF($AB142="IR",ROUND(Proyeccion_Localidades!AM151,0),IF($AB142="RT",ROUND(Proyeccion_Localidades!BJ151,0),"*****"))))</f>
        <v>3672</v>
      </c>
      <c r="Q142" s="66">
        <f>IF($AB142="TGD",ROUND($E142*(1+$AD142)^(Q$4-$E$4),0),IF($AB142="ALTH",ROUND($AE142+$AF142*Q$4,0),IF($AB142="IR",ROUND(Proyeccion_Localidades!AN151,0),IF($AB142="RT",ROUND(Proyeccion_Localidades!BK151,0),"*****"))))</f>
        <v>3692</v>
      </c>
      <c r="R142" s="66">
        <f>IF($AB142="TGD",ROUND($E142*(1+$AD142)^(R$4-$E$4),0),IF($AB142="ALTH",ROUND($AE142+$AF142*R$4,0),IF($AB142="IR",ROUND(Proyeccion_Localidades!AO151,0),IF($AB142="RT",ROUND(Proyeccion_Localidades!BL151,0),"*****"))))</f>
        <v>3712</v>
      </c>
      <c r="S142" s="66">
        <f>IF($AB142="TGD",ROUND($E142*(1+$AD142)^(S$4-$E$4),0),IF($AB142="ALTH",ROUND($AE142+$AF142*S$4,0),IF($AB142="IR",ROUND(Proyeccion_Localidades!AP151,0),IF($AB142="RT",ROUND(Proyeccion_Localidades!BM151,0),"*****"))))</f>
        <v>3732</v>
      </c>
      <c r="T142" s="66">
        <f>IF($AB142="TGD",ROUND($E142*(1+$AD142)^(T$4-$E$4),0),IF($AB142="ALTH",ROUND($AE142+$AF142*T$4,0),IF($AB142="IR",ROUND(Proyeccion_Localidades!AQ151,0),IF($AB142="RT",ROUND(Proyeccion_Localidades!BN151,0),"*****"))))</f>
        <v>3752</v>
      </c>
      <c r="U142" s="66">
        <f>IF($AB142="TGD",ROUND($E142*(1+$AD142)^(U$4-$E$4),0),IF($AB142="ALTH",ROUND($AE142+$AF142*U$4,0),IF($AB142="IR",ROUND(Proyeccion_Localidades!AR151,0),IF($AB142="RT",ROUND(Proyeccion_Localidades!BO151,0),"*****"))))</f>
        <v>3772</v>
      </c>
      <c r="V142" s="66">
        <f>IF($AB142="TGD",ROUND($E142*(1+$AD142)^(V$4-$E$4),0),IF($AB142="ALTH",ROUND($AE142+$AF142*V$4,0),IF($AB142="IR",ROUND(Proyeccion_Localidades!AS151,0),IF($AB142="RT",ROUND(Proyeccion_Localidades!BP151,0),"*****"))))</f>
        <v>3792</v>
      </c>
      <c r="W142" s="66">
        <f>IF($AB142="TGD",ROUND($E142*(1+$AD142)^(W$4-$E$4),0),IF($AB142="ALTH",ROUND($AE142+$AF142*W$4,0),IF($AB142="IR",ROUND(Proyeccion_Localidades!AT151,0),IF($AB142="RT",ROUND(Proyeccion_Localidades!BQ151,0),"*****"))))</f>
        <v>3812</v>
      </c>
      <c r="X142" s="66">
        <f>IF($AB142="TGD",ROUND($E142*(1+$AD142)^(X$4-$E$4),0),IF($AB142="ALTH",ROUND($AE142+$AF142*X$4,0),IF($AB142="IR",ROUND(Proyeccion_Localidades!AU151,0),IF($AB142="RT",ROUND(Proyeccion_Localidades!BR151,0),"*****"))))</f>
        <v>3832</v>
      </c>
      <c r="Y142" s="66">
        <f>IF($AB142="TGD",ROUND($E142*(1+$AD142)^(Y$4-$E$4),0),IF($AB142="ALTH",ROUND($AE142+$AF142*Y$4,0),IF($AB142="IR",ROUND(Proyeccion_Localidades!AV151,0),IF($AB142="RT",ROUND(Proyeccion_Localidades!BS151,0),"*****"))))</f>
        <v>3852</v>
      </c>
      <c r="Z142" s="66">
        <f>IF($AB142="TGD",ROUND($E142*(1+$AD142)^(Z$4-$E$4),0),IF($AB142="ALTH",ROUND($AE142+$AF142*Z$4,0),IF($AB142="IR",ROUND(Proyeccion_Localidades!AW151,0),IF($AB142="RT",ROUND(Proyeccion_Localidades!BT151,0),"*****"))))</f>
        <v>3872</v>
      </c>
      <c r="AA142" s="66">
        <f>IF($AB142="TGD",ROUND($E142*(1+$AD142)^(AA$4-$E$4),0),IF($AB142="ALTH",ROUND($AE142+$AF142*AA$4,0),IF($AB142="IR",ROUND(Proyeccion_Localidades!AX151,0),IF($AB142="RT",ROUND(Proyeccion_Localidades!BU151,0),"*****"))))</f>
        <v>3892</v>
      </c>
      <c r="AB142" s="67" t="str">
        <f>Proyeccion_Localidades!N151</f>
        <v>ALTH</v>
      </c>
      <c r="AC142" s="68" t="s">
        <v>36</v>
      </c>
      <c r="AD142" s="51" t="str">
        <f>IF(AB142="TGD",Proyeccion_Localidades!Z151,"-")</f>
        <v>-</v>
      </c>
      <c r="AE142" s="51">
        <f>IF($AB142="ALTH",Proyeccion_Localidades!AA151,"-")</f>
        <v>-37015.71586715868</v>
      </c>
      <c r="AF142" s="51">
        <f>IF($AB142="ALTH",Proyeccion_Localidades!AB151,"-")</f>
        <v>20.003690036900373</v>
      </c>
      <c r="AG142" s="81"/>
      <c r="AH142" s="81"/>
      <c r="AI142" s="96">
        <f t="shared" si="8"/>
        <v>3452</v>
      </c>
      <c r="AJ142" s="97"/>
      <c r="AK142" s="97"/>
      <c r="AL142" s="97"/>
      <c r="AO142" s="97"/>
      <c r="AP142" s="97"/>
      <c r="AQ142" s="97"/>
    </row>
    <row r="143" spans="1:43" s="98" customFormat="1" ht="24.95" customHeight="1">
      <c r="A143" s="84" t="str">
        <f>+Proyeccion_Localidades!C152</f>
        <v>Exaltación de la Cruz</v>
      </c>
      <c r="B143" s="70">
        <f t="shared" ref="B143:B158" si="10">+B142+1</f>
        <v>139</v>
      </c>
      <c r="C143" s="87" t="str">
        <f>+Proyeccion_Localidades!B152</f>
        <v>Los Cardales</v>
      </c>
      <c r="D143" s="261">
        <f t="shared" si="9"/>
        <v>139</v>
      </c>
      <c r="E143" s="72">
        <f>+Proyeccion_Localidades!F152</f>
        <v>7174</v>
      </c>
      <c r="F143" s="66">
        <f>IF($AB143="TGD",ROUND($E143*(1+$AD143)^(F$4-$E$4),0),IF($AB143="ALTH",ROUND($AE143+$AF143*F$4,0),IF($AB143="IR",ROUND(Proyeccion_Localidades!AC152,0),IF($AB143="RT",ROUND(Proyeccion_Localidades!AZ152,0),"*****"))))</f>
        <v>11258</v>
      </c>
      <c r="G143" s="66">
        <f>IF($AB143="TGD",ROUND($E143*(1+$AD143)^(G$4-$E$4),0),IF($AB143="ALTH",ROUND($AE143+$AF143*G$4,0),IF($AB143="IR",ROUND(Proyeccion_Localidades!AD152,0),IF($AB143="RT",ROUND(Proyeccion_Localidades!BA152,0),"*****"))))</f>
        <v>11635</v>
      </c>
      <c r="H143" s="66">
        <f>IF($AB143="TGD",ROUND($E143*(1+$AD143)^(H$4-$E$4),0),IF($AB143="ALTH",ROUND($AE143+$AF143*H$4,0),IF($AB143="IR",ROUND(Proyeccion_Localidades!AE152,0),IF($AB143="RT",ROUND(Proyeccion_Localidades!BB152,0),"*****"))))</f>
        <v>12805</v>
      </c>
      <c r="I143" s="66">
        <f>IF($AB143="TGD",ROUND($E143*(1+$AD143)^(I$4-$E$4),0),IF($AB143="ALTH",ROUND($AE143+$AF143*I$4,0),IF($AB143="IR",ROUND(Proyeccion_Localidades!AF152,0),IF($AB143="RT",ROUND(Proyeccion_Localidades!BC152,0),"*****"))))</f>
        <v>13207</v>
      </c>
      <c r="J143" s="66">
        <f>IF($AB143="TGD",ROUND($E143*(1+$AD143)^(J$4-$E$4),0),IF($AB143="ALTH",ROUND($AE143+$AF143*J$4,0),IF($AB143="IR",ROUND(Proyeccion_Localidades!AG152,0),IF($AB143="RT",ROUND(Proyeccion_Localidades!BD152,0),"*****"))))</f>
        <v>13617</v>
      </c>
      <c r="K143" s="66">
        <f>IF($AB143="TGD",ROUND($E143*(1+$AD143)^(K$4-$E$4),0),IF($AB143="ALTH",ROUND($AE143+$AF143*K$4,0),IF($AB143="IR",ROUND(Proyeccion_Localidades!AH152,0),IF($AB143="RT",ROUND(Proyeccion_Localidades!BE152,0),"*****"))))</f>
        <v>14033</v>
      </c>
      <c r="L143" s="66">
        <f>IF($AB143="TGD",ROUND($E143*(1+$AD143)^(L$4-$E$4),0),IF($AB143="ALTH",ROUND($AE143+$AF143*L$4,0),IF($AB143="IR",ROUND(Proyeccion_Localidades!AI152,0),IF($AB143="RT",ROUND(Proyeccion_Localidades!BF152,0),"*****"))))</f>
        <v>14455</v>
      </c>
      <c r="M143" s="66">
        <f>IF($AB143="TGD",ROUND($E143*(1+$AD143)^(M$4-$E$4),0),IF($AB143="ALTH",ROUND($AE143+$AF143*M$4,0),IF($AB143="IR",ROUND(Proyeccion_Localidades!AJ152,0),IF($AB143="RT",ROUND(Proyeccion_Localidades!BG152,0),"*****"))))</f>
        <v>14885</v>
      </c>
      <c r="N143" s="66">
        <f>IF($AB143="TGD",ROUND($E143*(1+$AD143)^(N$4-$E$4),0),IF($AB143="ALTH",ROUND($AE143+$AF143*N$4,0),IF($AB143="IR",ROUND(Proyeccion_Localidades!AK152,0),IF($AB143="RT",ROUND(Proyeccion_Localidades!BH152,0),"*****"))))</f>
        <v>15322</v>
      </c>
      <c r="O143" s="66">
        <f>IF($AB143="TGD",ROUND($E143*(1+$AD143)^(O$4-$E$4),0),IF($AB143="ALTH",ROUND($AE143+$AF143*O$4,0),IF($AB143="IR",ROUND(Proyeccion_Localidades!AL152,0),IF($AB143="RT",ROUND(Proyeccion_Localidades!BI152,0),"*****"))))</f>
        <v>15765</v>
      </c>
      <c r="P143" s="66">
        <f>IF($AB143="TGD",ROUND($E143*(1+$AD143)^(P$4-$E$4),0),IF($AB143="ALTH",ROUND($AE143+$AF143*P$4,0),IF($AB143="IR",ROUND(Proyeccion_Localidades!AM152,0),IF($AB143="RT",ROUND(Proyeccion_Localidades!BJ152,0),"*****"))))</f>
        <v>16216</v>
      </c>
      <c r="Q143" s="66">
        <f>IF($AB143="TGD",ROUND($E143*(1+$AD143)^(Q$4-$E$4),0),IF($AB143="ALTH",ROUND($AE143+$AF143*Q$4,0),IF($AB143="IR",ROUND(Proyeccion_Localidades!AN152,0),IF($AB143="RT",ROUND(Proyeccion_Localidades!BK152,0),"*****"))))</f>
        <v>16675</v>
      </c>
      <c r="R143" s="66">
        <f>IF($AB143="TGD",ROUND($E143*(1+$AD143)^(R$4-$E$4),0),IF($AB143="ALTH",ROUND($AE143+$AF143*R$4,0),IF($AB143="IR",ROUND(Proyeccion_Localidades!AO152,0),IF($AB143="RT",ROUND(Proyeccion_Localidades!BL152,0),"*****"))))</f>
        <v>17140</v>
      </c>
      <c r="S143" s="66">
        <f>IF($AB143="TGD",ROUND($E143*(1+$AD143)^(S$4-$E$4),0),IF($AB143="ALTH",ROUND($AE143+$AF143*S$4,0),IF($AB143="IR",ROUND(Proyeccion_Localidades!AP152,0),IF($AB143="RT",ROUND(Proyeccion_Localidades!BM152,0),"*****"))))</f>
        <v>17614</v>
      </c>
      <c r="T143" s="66">
        <f>IF($AB143="TGD",ROUND($E143*(1+$AD143)^(T$4-$E$4),0),IF($AB143="ALTH",ROUND($AE143+$AF143*T$4,0),IF($AB143="IR",ROUND(Proyeccion_Localidades!AQ152,0),IF($AB143="RT",ROUND(Proyeccion_Localidades!BN152,0),"*****"))))</f>
        <v>18095</v>
      </c>
      <c r="U143" s="66">
        <f>IF($AB143="TGD",ROUND($E143*(1+$AD143)^(U$4-$E$4),0),IF($AB143="ALTH",ROUND($AE143+$AF143*U$4,0),IF($AB143="IR",ROUND(Proyeccion_Localidades!AR152,0),IF($AB143="RT",ROUND(Proyeccion_Localidades!BO152,0),"*****"))))</f>
        <v>18584</v>
      </c>
      <c r="V143" s="66">
        <f>IF($AB143="TGD",ROUND($E143*(1+$AD143)^(V$4-$E$4),0),IF($AB143="ALTH",ROUND($AE143+$AF143*V$4,0),IF($AB143="IR",ROUND(Proyeccion_Localidades!AS152,0),IF($AB143="RT",ROUND(Proyeccion_Localidades!BP152,0),"*****"))))</f>
        <v>19081</v>
      </c>
      <c r="W143" s="66">
        <f>IF($AB143="TGD",ROUND($E143*(1+$AD143)^(W$4-$E$4),0),IF($AB143="ALTH",ROUND($AE143+$AF143*W$4,0),IF($AB143="IR",ROUND(Proyeccion_Localidades!AT152,0),IF($AB143="RT",ROUND(Proyeccion_Localidades!BQ152,0),"*****"))))</f>
        <v>19586</v>
      </c>
      <c r="X143" s="66">
        <f>IF($AB143="TGD",ROUND($E143*(1+$AD143)^(X$4-$E$4),0),IF($AB143="ALTH",ROUND($AE143+$AF143*X$4,0),IF($AB143="IR",ROUND(Proyeccion_Localidades!AU152,0),IF($AB143="RT",ROUND(Proyeccion_Localidades!BR152,0),"*****"))))</f>
        <v>20099</v>
      </c>
      <c r="Y143" s="66">
        <f>IF($AB143="TGD",ROUND($E143*(1+$AD143)^(Y$4-$E$4),0),IF($AB143="ALTH",ROUND($AE143+$AF143*Y$4,0),IF($AB143="IR",ROUND(Proyeccion_Localidades!AV152,0),IF($AB143="RT",ROUND(Proyeccion_Localidades!BS152,0),"*****"))))</f>
        <v>20621</v>
      </c>
      <c r="Z143" s="66">
        <f>IF($AB143="TGD",ROUND($E143*(1+$AD143)^(Z$4-$E$4),0),IF($AB143="ALTH",ROUND($AE143+$AF143*Z$4,0),IF($AB143="IR",ROUND(Proyeccion_Localidades!AW152,0),IF($AB143="RT",ROUND(Proyeccion_Localidades!BT152,0),"*****"))))</f>
        <v>21151</v>
      </c>
      <c r="AA143" s="66">
        <f>IF($AB143="TGD",ROUND($E143*(1+$AD143)^(AA$4-$E$4),0),IF($AB143="ALTH",ROUND($AE143+$AF143*AA$4,0),IF($AB143="IR",ROUND(Proyeccion_Localidades!AX152,0),IF($AB143="RT",ROUND(Proyeccion_Localidades!BU152,0),"*****"))))</f>
        <v>21690</v>
      </c>
      <c r="AB143" s="67" t="str">
        <f>Proyeccion_Localidades!N152</f>
        <v>IR</v>
      </c>
      <c r="AC143" s="99"/>
      <c r="AD143" s="51" t="str">
        <f>IF(AB143="TGD",Proyeccion_Localidades!Z152,"-")</f>
        <v>-</v>
      </c>
      <c r="AE143" s="51" t="str">
        <f>IF($AB143="ALTH",Proyeccion_Localidades!AA152,"-")</f>
        <v>-</v>
      </c>
      <c r="AF143" s="51" t="str">
        <f>IF($AB143="ALTH",Proyeccion_Localidades!AB152,"-")</f>
        <v>-</v>
      </c>
      <c r="AG143" s="81"/>
      <c r="AH143" s="81"/>
      <c r="AI143" s="96">
        <f t="shared" si="8"/>
        <v>11635</v>
      </c>
      <c r="AJ143" s="97"/>
      <c r="AK143" s="97"/>
      <c r="AL143" s="97"/>
      <c r="AO143" s="97"/>
      <c r="AP143" s="97"/>
      <c r="AQ143" s="97"/>
    </row>
    <row r="144" spans="1:43" s="98" customFormat="1" ht="24.95" customHeight="1">
      <c r="A144" s="84" t="str">
        <f>+Proyeccion_Localidades!C153</f>
        <v>Exaltación de la Cruz</v>
      </c>
      <c r="B144" s="70">
        <f t="shared" si="10"/>
        <v>140</v>
      </c>
      <c r="C144" s="87" t="str">
        <f>+Proyeccion_Localidades!B153</f>
        <v>Parada Robles - Pavón</v>
      </c>
      <c r="D144" s="261">
        <f t="shared" si="9"/>
        <v>140</v>
      </c>
      <c r="E144" s="72">
        <f>+Proyeccion_Localidades!F153</f>
        <v>8008</v>
      </c>
      <c r="F144" s="66">
        <f>IF($AB144="TGD",ROUND($E144*(1+$AD144)^(F$4-$E$4),0),IF($AB144="ALTH",ROUND($AE144+$AF144*F$4,0),IF($AB144="IR",ROUND(Proyeccion_Localidades!AC153,0),IF($AB144="RT",ROUND(Proyeccion_Localidades!AZ153,0),"*****"))))</f>
        <v>15246</v>
      </c>
      <c r="G144" s="66">
        <f>IF($AB144="TGD",ROUND($E144*(1+$AD144)^(G$4-$E$4),0),IF($AB144="ALTH",ROUND($AE144+$AF144*G$4,0),IF($AB144="IR",ROUND(Proyeccion_Localidades!AD153,0),IF($AB144="RT",ROUND(Proyeccion_Localidades!BA153,0),"*****"))))</f>
        <v>15915</v>
      </c>
      <c r="H144" s="66">
        <f>IF($AB144="TGD",ROUND($E144*(1+$AD144)^(H$4-$E$4),0),IF($AB144="ALTH",ROUND($AE144+$AF144*H$4,0),IF($AB144="IR",ROUND(Proyeccion_Localidades!AE153,0),IF($AB144="RT",ROUND(Proyeccion_Localidades!BB153,0),"*****"))))</f>
        <v>17988</v>
      </c>
      <c r="I144" s="66">
        <f>IF($AB144="TGD",ROUND($E144*(1+$AD144)^(I$4-$E$4),0),IF($AB144="ALTH",ROUND($AE144+$AF144*I$4,0),IF($AB144="IR",ROUND(Proyeccion_Localidades!AF153,0),IF($AB144="RT",ROUND(Proyeccion_Localidades!BC153,0),"*****"))))</f>
        <v>18702</v>
      </c>
      <c r="J144" s="66">
        <f>IF($AB144="TGD",ROUND($E144*(1+$AD144)^(J$4-$E$4),0),IF($AB144="ALTH",ROUND($AE144+$AF144*J$4,0),IF($AB144="IR",ROUND(Proyeccion_Localidades!AG153,0),IF($AB144="RT",ROUND(Proyeccion_Localidades!BD153,0),"*****"))))</f>
        <v>19427</v>
      </c>
      <c r="K144" s="66">
        <f>IF($AB144="TGD",ROUND($E144*(1+$AD144)^(K$4-$E$4),0),IF($AB144="ALTH",ROUND($AE144+$AF144*K$4,0),IF($AB144="IR",ROUND(Proyeccion_Localidades!AH153,0),IF($AB144="RT",ROUND(Proyeccion_Localidades!BE153,0),"*****"))))</f>
        <v>20164</v>
      </c>
      <c r="L144" s="66">
        <f>IF($AB144="TGD",ROUND($E144*(1+$AD144)^(L$4-$E$4),0),IF($AB144="ALTH",ROUND($AE144+$AF144*L$4,0),IF($AB144="IR",ROUND(Proyeccion_Localidades!AI153,0),IF($AB144="RT",ROUND(Proyeccion_Localidades!BF153,0),"*****"))))</f>
        <v>20913</v>
      </c>
      <c r="M144" s="66">
        <f>IF($AB144="TGD",ROUND($E144*(1+$AD144)^(M$4-$E$4),0),IF($AB144="ALTH",ROUND($AE144+$AF144*M$4,0),IF($AB144="IR",ROUND(Proyeccion_Localidades!AJ153,0),IF($AB144="RT",ROUND(Proyeccion_Localidades!BG153,0),"*****"))))</f>
        <v>21675</v>
      </c>
      <c r="N144" s="66">
        <f>IF($AB144="TGD",ROUND($E144*(1+$AD144)^(N$4-$E$4),0),IF($AB144="ALTH",ROUND($AE144+$AF144*N$4,0),IF($AB144="IR",ROUND(Proyeccion_Localidades!AK153,0),IF($AB144="RT",ROUND(Proyeccion_Localidades!BH153,0),"*****"))))</f>
        <v>22449</v>
      </c>
      <c r="O144" s="66">
        <f>IF($AB144="TGD",ROUND($E144*(1+$AD144)^(O$4-$E$4),0),IF($AB144="ALTH",ROUND($AE144+$AF144*O$4,0),IF($AB144="IR",ROUND(Proyeccion_Localidades!AL153,0),IF($AB144="RT",ROUND(Proyeccion_Localidades!BI153,0),"*****"))))</f>
        <v>23235</v>
      </c>
      <c r="P144" s="66">
        <f>IF($AB144="TGD",ROUND($E144*(1+$AD144)^(P$4-$E$4),0),IF($AB144="ALTH",ROUND($AE144+$AF144*P$4,0),IF($AB144="IR",ROUND(Proyeccion_Localidades!AM153,0),IF($AB144="RT",ROUND(Proyeccion_Localidades!BJ153,0),"*****"))))</f>
        <v>24034</v>
      </c>
      <c r="Q144" s="66">
        <f>IF($AB144="TGD",ROUND($E144*(1+$AD144)^(Q$4-$E$4),0),IF($AB144="ALTH",ROUND($AE144+$AF144*Q$4,0),IF($AB144="IR",ROUND(Proyeccion_Localidades!AN153,0),IF($AB144="RT",ROUND(Proyeccion_Localidades!BK153,0),"*****"))))</f>
        <v>24847</v>
      </c>
      <c r="R144" s="66">
        <f>IF($AB144="TGD",ROUND($E144*(1+$AD144)^(R$4-$E$4),0),IF($AB144="ALTH",ROUND($AE144+$AF144*R$4,0),IF($AB144="IR",ROUND(Proyeccion_Localidades!AO153,0),IF($AB144="RT",ROUND(Proyeccion_Localidades!BL153,0),"*****"))))</f>
        <v>25672</v>
      </c>
      <c r="S144" s="66">
        <f>IF($AB144="TGD",ROUND($E144*(1+$AD144)^(S$4-$E$4),0),IF($AB144="ALTH",ROUND($AE144+$AF144*S$4,0),IF($AB144="IR",ROUND(Proyeccion_Localidades!AP153,0),IF($AB144="RT",ROUND(Proyeccion_Localidades!BM153,0),"*****"))))</f>
        <v>26511</v>
      </c>
      <c r="T144" s="66">
        <f>IF($AB144="TGD",ROUND($E144*(1+$AD144)^(T$4-$E$4),0),IF($AB144="ALTH",ROUND($AE144+$AF144*T$4,0),IF($AB144="IR",ROUND(Proyeccion_Localidades!AQ153,0),IF($AB144="RT",ROUND(Proyeccion_Localidades!BN153,0),"*****"))))</f>
        <v>27364</v>
      </c>
      <c r="U144" s="66">
        <f>IF($AB144="TGD",ROUND($E144*(1+$AD144)^(U$4-$E$4),0),IF($AB144="ALTH",ROUND($AE144+$AF144*U$4,0),IF($AB144="IR",ROUND(Proyeccion_Localidades!AR153,0),IF($AB144="RT",ROUND(Proyeccion_Localidades!BO153,0),"*****"))))</f>
        <v>28231</v>
      </c>
      <c r="V144" s="66">
        <f>IF($AB144="TGD",ROUND($E144*(1+$AD144)^(V$4-$E$4),0),IF($AB144="ALTH",ROUND($AE144+$AF144*V$4,0),IF($AB144="IR",ROUND(Proyeccion_Localidades!AS153,0),IF($AB144="RT",ROUND(Proyeccion_Localidades!BP153,0),"*****"))))</f>
        <v>29112</v>
      </c>
      <c r="W144" s="66">
        <f>IF($AB144="TGD",ROUND($E144*(1+$AD144)^(W$4-$E$4),0),IF($AB144="ALTH",ROUND($AE144+$AF144*W$4,0),IF($AB144="IR",ROUND(Proyeccion_Localidades!AT153,0),IF($AB144="RT",ROUND(Proyeccion_Localidades!BQ153,0),"*****"))))</f>
        <v>30007</v>
      </c>
      <c r="X144" s="66">
        <f>IF($AB144="TGD",ROUND($E144*(1+$AD144)^(X$4-$E$4),0),IF($AB144="ALTH",ROUND($AE144+$AF144*X$4,0),IF($AB144="IR",ROUND(Proyeccion_Localidades!AU153,0),IF($AB144="RT",ROUND(Proyeccion_Localidades!BR153,0),"*****"))))</f>
        <v>30917</v>
      </c>
      <c r="Y144" s="66">
        <f>IF($AB144="TGD",ROUND($E144*(1+$AD144)^(Y$4-$E$4),0),IF($AB144="ALTH",ROUND($AE144+$AF144*Y$4,0),IF($AB144="IR",ROUND(Proyeccion_Localidades!AV153,0),IF($AB144="RT",ROUND(Proyeccion_Localidades!BS153,0),"*****"))))</f>
        <v>31841</v>
      </c>
      <c r="Z144" s="66">
        <f>IF($AB144="TGD",ROUND($E144*(1+$AD144)^(Z$4-$E$4),0),IF($AB144="ALTH",ROUND($AE144+$AF144*Z$4,0),IF($AB144="IR",ROUND(Proyeccion_Localidades!AW153,0),IF($AB144="RT",ROUND(Proyeccion_Localidades!BT153,0),"*****"))))</f>
        <v>32781</v>
      </c>
      <c r="AA144" s="66">
        <f>IF($AB144="TGD",ROUND($E144*(1+$AD144)^(AA$4-$E$4),0),IF($AB144="ALTH",ROUND($AE144+$AF144*AA$4,0),IF($AB144="IR",ROUND(Proyeccion_Localidades!AX153,0),IF($AB144="RT",ROUND(Proyeccion_Localidades!BU153,0),"*****"))))</f>
        <v>33736</v>
      </c>
      <c r="AB144" s="67" t="str">
        <f>Proyeccion_Localidades!N153</f>
        <v>IR</v>
      </c>
      <c r="AC144" s="99"/>
      <c r="AD144" s="51" t="str">
        <f>IF(AB144="TGD",Proyeccion_Localidades!Z153,"-")</f>
        <v>-</v>
      </c>
      <c r="AE144" s="51" t="str">
        <f>IF($AB144="ALTH",Proyeccion_Localidades!AA153,"-")</f>
        <v>-</v>
      </c>
      <c r="AF144" s="51" t="str">
        <f>IF($AB144="ALTH",Proyeccion_Localidades!AB153,"-")</f>
        <v>-</v>
      </c>
      <c r="AG144" s="81"/>
      <c r="AH144" s="81"/>
      <c r="AI144" s="96">
        <f t="shared" si="8"/>
        <v>15915</v>
      </c>
      <c r="AJ144" s="97"/>
      <c r="AK144" s="97"/>
      <c r="AL144" s="97"/>
      <c r="AO144" s="97"/>
      <c r="AP144" s="97"/>
      <c r="AQ144" s="97"/>
    </row>
    <row r="145" spans="1:43" s="98" customFormat="1" ht="24.95" customHeight="1">
      <c r="A145" s="84" t="str">
        <f>+Proyeccion_Localidades!C154</f>
        <v>General Alvarado</v>
      </c>
      <c r="B145" s="70">
        <f t="shared" si="10"/>
        <v>141</v>
      </c>
      <c r="C145" s="87" t="str">
        <f>+Proyeccion_Localidades!B154</f>
        <v>Comandante Nicanor Otamendi</v>
      </c>
      <c r="D145" s="261">
        <f t="shared" si="9"/>
        <v>141</v>
      </c>
      <c r="E145" s="72">
        <f>+Proyeccion_Localidades!F154</f>
        <v>6632</v>
      </c>
      <c r="F145" s="66">
        <f>IF($AB145="TGD",ROUND($E145*(1+$AD145)^(F$4-$E$4),0),IF($AB145="ALTH",ROUND($AE145+$AF145*F$4,0),IF($AB145="IR",ROUND(Proyeccion_Localidades!AC154,0),IF($AB145="RT",ROUND(Proyeccion_Localidades!AZ154,0),"*****"))))</f>
        <v>7196</v>
      </c>
      <c r="G145" s="66">
        <f>IF($AB145="TGD",ROUND($E145*(1+$AD145)^(G$4-$E$4),0),IF($AB145="ALTH",ROUND($AE145+$AF145*G$4,0),IF($AB145="IR",ROUND(Proyeccion_Localidades!AD154,0),IF($AB145="RT",ROUND(Proyeccion_Localidades!BA154,0),"*****"))))</f>
        <v>7249</v>
      </c>
      <c r="H145" s="66">
        <f>IF($AB145="TGD",ROUND($E145*(1+$AD145)^(H$4-$E$4),0),IF($AB145="ALTH",ROUND($AE145+$AF145*H$4,0),IF($AB145="IR",ROUND(Proyeccion_Localidades!AE154,0),IF($AB145="RT",ROUND(Proyeccion_Localidades!BB154,0),"*****"))))</f>
        <v>7407</v>
      </c>
      <c r="I145" s="66">
        <f>IF($AB145="TGD",ROUND($E145*(1+$AD145)^(I$4-$E$4),0),IF($AB145="ALTH",ROUND($AE145+$AF145*I$4,0),IF($AB145="IR",ROUND(Proyeccion_Localidades!AF154,0),IF($AB145="RT",ROUND(Proyeccion_Localidades!BC154,0),"*****"))))</f>
        <v>7459</v>
      </c>
      <c r="J145" s="66">
        <f>IF($AB145="TGD",ROUND($E145*(1+$AD145)^(J$4-$E$4),0),IF($AB145="ALTH",ROUND($AE145+$AF145*J$4,0),IF($AB145="IR",ROUND(Proyeccion_Localidades!AG154,0),IF($AB145="RT",ROUND(Proyeccion_Localidades!BD154,0),"*****"))))</f>
        <v>7512</v>
      </c>
      <c r="K145" s="66">
        <f>IF($AB145="TGD",ROUND($E145*(1+$AD145)^(K$4-$E$4),0),IF($AB145="ALTH",ROUND($AE145+$AF145*K$4,0),IF($AB145="IR",ROUND(Proyeccion_Localidades!AH154,0),IF($AB145="RT",ROUND(Proyeccion_Localidades!BE154,0),"*****"))))</f>
        <v>7565</v>
      </c>
      <c r="L145" s="66">
        <f>IF($AB145="TGD",ROUND($E145*(1+$AD145)^(L$4-$E$4),0),IF($AB145="ALTH",ROUND($AE145+$AF145*L$4,0),IF($AB145="IR",ROUND(Proyeccion_Localidades!AI154,0),IF($AB145="RT",ROUND(Proyeccion_Localidades!BF154,0),"*****"))))</f>
        <v>7618</v>
      </c>
      <c r="M145" s="66">
        <f>IF($AB145="TGD",ROUND($E145*(1+$AD145)^(M$4-$E$4),0),IF($AB145="ALTH",ROUND($AE145+$AF145*M$4,0),IF($AB145="IR",ROUND(Proyeccion_Localidades!AJ154,0),IF($AB145="RT",ROUND(Proyeccion_Localidades!BG154,0),"*****"))))</f>
        <v>7670</v>
      </c>
      <c r="N145" s="66">
        <f>IF($AB145="TGD",ROUND($E145*(1+$AD145)^(N$4-$E$4),0),IF($AB145="ALTH",ROUND($AE145+$AF145*N$4,0),IF($AB145="IR",ROUND(Proyeccion_Localidades!AK154,0),IF($AB145="RT",ROUND(Proyeccion_Localidades!BH154,0),"*****"))))</f>
        <v>7723</v>
      </c>
      <c r="O145" s="66">
        <f>IF($AB145="TGD",ROUND($E145*(1+$AD145)^(O$4-$E$4),0),IF($AB145="ALTH",ROUND($AE145+$AF145*O$4,0),IF($AB145="IR",ROUND(Proyeccion_Localidades!AL154,0),IF($AB145="RT",ROUND(Proyeccion_Localidades!BI154,0),"*****"))))</f>
        <v>7776</v>
      </c>
      <c r="P145" s="66">
        <f>IF($AB145="TGD",ROUND($E145*(1+$AD145)^(P$4-$E$4),0),IF($AB145="ALTH",ROUND($AE145+$AF145*P$4,0),IF($AB145="IR",ROUND(Proyeccion_Localidades!AM154,0),IF($AB145="RT",ROUND(Proyeccion_Localidades!BJ154,0),"*****"))))</f>
        <v>7828</v>
      </c>
      <c r="Q145" s="66">
        <f>IF($AB145="TGD",ROUND($E145*(1+$AD145)^(Q$4-$E$4),0),IF($AB145="ALTH",ROUND($AE145+$AF145*Q$4,0),IF($AB145="IR",ROUND(Proyeccion_Localidades!AN154,0),IF($AB145="RT",ROUND(Proyeccion_Localidades!BK154,0),"*****"))))</f>
        <v>7881</v>
      </c>
      <c r="R145" s="66">
        <f>IF($AB145="TGD",ROUND($E145*(1+$AD145)^(R$4-$E$4),0),IF($AB145="ALTH",ROUND($AE145+$AF145*R$4,0),IF($AB145="IR",ROUND(Proyeccion_Localidades!AO154,0),IF($AB145="RT",ROUND(Proyeccion_Localidades!BL154,0),"*****"))))</f>
        <v>7934</v>
      </c>
      <c r="S145" s="66">
        <f>IF($AB145="TGD",ROUND($E145*(1+$AD145)^(S$4-$E$4),0),IF($AB145="ALTH",ROUND($AE145+$AF145*S$4,0),IF($AB145="IR",ROUND(Proyeccion_Localidades!AP154,0),IF($AB145="RT",ROUND(Proyeccion_Localidades!BM154,0),"*****"))))</f>
        <v>7986</v>
      </c>
      <c r="T145" s="66">
        <f>IF($AB145="TGD",ROUND($E145*(1+$AD145)^(T$4-$E$4),0),IF($AB145="ALTH",ROUND($AE145+$AF145*T$4,0),IF($AB145="IR",ROUND(Proyeccion_Localidades!AQ154,0),IF($AB145="RT",ROUND(Proyeccion_Localidades!BN154,0),"*****"))))</f>
        <v>8039</v>
      </c>
      <c r="U145" s="66">
        <f>IF($AB145="TGD",ROUND($E145*(1+$AD145)^(U$4-$E$4),0),IF($AB145="ALTH",ROUND($AE145+$AF145*U$4,0),IF($AB145="IR",ROUND(Proyeccion_Localidades!AR154,0),IF($AB145="RT",ROUND(Proyeccion_Localidades!BO154,0),"*****"))))</f>
        <v>8092</v>
      </c>
      <c r="V145" s="66">
        <f>IF($AB145="TGD",ROUND($E145*(1+$AD145)^(V$4-$E$4),0),IF($AB145="ALTH",ROUND($AE145+$AF145*V$4,0),IF($AB145="IR",ROUND(Proyeccion_Localidades!AS154,0),IF($AB145="RT",ROUND(Proyeccion_Localidades!BP154,0),"*****"))))</f>
        <v>8144</v>
      </c>
      <c r="W145" s="66">
        <f>IF($AB145="TGD",ROUND($E145*(1+$AD145)^(W$4-$E$4),0),IF($AB145="ALTH",ROUND($AE145+$AF145*W$4,0),IF($AB145="IR",ROUND(Proyeccion_Localidades!AT154,0),IF($AB145="RT",ROUND(Proyeccion_Localidades!BQ154,0),"*****"))))</f>
        <v>8197</v>
      </c>
      <c r="X145" s="66">
        <f>IF($AB145="TGD",ROUND($E145*(1+$AD145)^(X$4-$E$4),0),IF($AB145="ALTH",ROUND($AE145+$AF145*X$4,0),IF($AB145="IR",ROUND(Proyeccion_Localidades!AU154,0),IF($AB145="RT",ROUND(Proyeccion_Localidades!BR154,0),"*****"))))</f>
        <v>8250</v>
      </c>
      <c r="Y145" s="66">
        <f>IF($AB145="TGD",ROUND($E145*(1+$AD145)^(Y$4-$E$4),0),IF($AB145="ALTH",ROUND($AE145+$AF145*Y$4,0),IF($AB145="IR",ROUND(Proyeccion_Localidades!AV154,0),IF($AB145="RT",ROUND(Proyeccion_Localidades!BS154,0),"*****"))))</f>
        <v>8302</v>
      </c>
      <c r="Z145" s="66">
        <f>IF($AB145="TGD",ROUND($E145*(1+$AD145)^(Z$4-$E$4),0),IF($AB145="ALTH",ROUND($AE145+$AF145*Z$4,0),IF($AB145="IR",ROUND(Proyeccion_Localidades!AW154,0),IF($AB145="RT",ROUND(Proyeccion_Localidades!BT154,0),"*****"))))</f>
        <v>8355</v>
      </c>
      <c r="AA145" s="66">
        <f>IF($AB145="TGD",ROUND($E145*(1+$AD145)^(AA$4-$E$4),0),IF($AB145="ALTH",ROUND($AE145+$AF145*AA$4,0),IF($AB145="IR",ROUND(Proyeccion_Localidades!AX154,0),IF($AB145="RT",ROUND(Proyeccion_Localidades!BU154,0),"*****"))))</f>
        <v>8408</v>
      </c>
      <c r="AB145" s="67" t="str">
        <f>Proyeccion_Localidades!N154</f>
        <v>ALTH</v>
      </c>
      <c r="AC145" s="68" t="s">
        <v>36</v>
      </c>
      <c r="AD145" s="51" t="str">
        <f>IF(AB145="TGD",Proyeccion_Localidades!Z154,"-")</f>
        <v>-</v>
      </c>
      <c r="AE145" s="51">
        <f>IF($AB145="ALTH",Proyeccion_Localidades!AA154,"-")</f>
        <v>-99339.509225092261</v>
      </c>
      <c r="AF145" s="51">
        <f>IF($AB145="ALTH",Proyeccion_Localidades!AB154,"-")</f>
        <v>52.688191881918819</v>
      </c>
      <c r="AG145" s="81"/>
      <c r="AH145" s="81"/>
      <c r="AI145" s="96">
        <f t="shared" si="8"/>
        <v>7249</v>
      </c>
      <c r="AJ145" s="97"/>
      <c r="AK145" s="97"/>
      <c r="AL145" s="97"/>
      <c r="AO145" s="97"/>
      <c r="AP145" s="97"/>
      <c r="AQ145" s="97"/>
    </row>
    <row r="146" spans="1:43" s="98" customFormat="1" ht="24.95" customHeight="1">
      <c r="A146" s="84" t="str">
        <f>+Proyeccion_Localidades!C155</f>
        <v>General Arenales</v>
      </c>
      <c r="B146" s="70">
        <f t="shared" si="10"/>
        <v>142</v>
      </c>
      <c r="C146" s="87" t="str">
        <f>+Proyeccion_Localidades!B155</f>
        <v>Arribeños</v>
      </c>
      <c r="D146" s="261">
        <f t="shared" si="9"/>
        <v>142</v>
      </c>
      <c r="E146" s="72">
        <f>+Proyeccion_Localidades!F155</f>
        <v>2910</v>
      </c>
      <c r="F146" s="66">
        <f>IF($AB146="TGD",ROUND($E146*(1+$AD146)^(F$4-$E$4),0),IF($AB146="ALTH",ROUND($AE146+$AF146*F$4,0),IF($AB146="IR",ROUND(Proyeccion_Localidades!AC155,0),IF($AB146="RT",ROUND(Proyeccion_Localidades!AZ155,0),"*****"))))</f>
        <v>2969</v>
      </c>
      <c r="G146" s="66">
        <f>IF($AB146="TGD",ROUND($E146*(1+$AD146)^(G$4-$E$4),0),IF($AB146="ALTH",ROUND($AE146+$AF146*G$4,0),IF($AB146="IR",ROUND(Proyeccion_Localidades!AD155,0),IF($AB146="RT",ROUND(Proyeccion_Localidades!BA155,0),"*****"))))</f>
        <v>2975</v>
      </c>
      <c r="H146" s="66">
        <f>IF($AB146="TGD",ROUND($E146*(1+$AD146)^(H$4-$E$4),0),IF($AB146="ALTH",ROUND($AE146+$AF146*H$4,0),IF($AB146="IR",ROUND(Proyeccion_Localidades!AE155,0),IF($AB146="RT",ROUND(Proyeccion_Localidades!BB155,0),"*****"))))</f>
        <v>2995</v>
      </c>
      <c r="I146" s="66">
        <f>IF($AB146="TGD",ROUND($E146*(1+$AD146)^(I$4-$E$4),0),IF($AB146="ALTH",ROUND($AE146+$AF146*I$4,0),IF($AB146="IR",ROUND(Proyeccion_Localidades!AF155,0),IF($AB146="RT",ROUND(Proyeccion_Localidades!BC155,0),"*****"))))</f>
        <v>3001</v>
      </c>
      <c r="J146" s="66">
        <f>IF($AB146="TGD",ROUND($E146*(1+$AD146)^(J$4-$E$4),0),IF($AB146="ALTH",ROUND($AE146+$AF146*J$4,0),IF($AB146="IR",ROUND(Proyeccion_Localidades!AG155,0),IF($AB146="RT",ROUND(Proyeccion_Localidades!BD155,0),"*****"))))</f>
        <v>3008</v>
      </c>
      <c r="K146" s="66">
        <f>IF($AB146="TGD",ROUND($E146*(1+$AD146)^(K$4-$E$4),0),IF($AB146="ALTH",ROUND($AE146+$AF146*K$4,0),IF($AB146="IR",ROUND(Proyeccion_Localidades!AH155,0),IF($AB146="RT",ROUND(Proyeccion_Localidades!BE155,0),"*****"))))</f>
        <v>3014</v>
      </c>
      <c r="L146" s="66">
        <f>IF($AB146="TGD",ROUND($E146*(1+$AD146)^(L$4-$E$4),0),IF($AB146="ALTH",ROUND($AE146+$AF146*L$4,0),IF($AB146="IR",ROUND(Proyeccion_Localidades!AI155,0),IF($AB146="RT",ROUND(Proyeccion_Localidades!BF155,0),"*****"))))</f>
        <v>3021</v>
      </c>
      <c r="M146" s="66">
        <f>IF($AB146="TGD",ROUND($E146*(1+$AD146)^(M$4-$E$4),0),IF($AB146="ALTH",ROUND($AE146+$AF146*M$4,0),IF($AB146="IR",ROUND(Proyeccion_Localidades!AJ155,0),IF($AB146="RT",ROUND(Proyeccion_Localidades!BG155,0),"*****"))))</f>
        <v>3027</v>
      </c>
      <c r="N146" s="66">
        <f>IF($AB146="TGD",ROUND($E146*(1+$AD146)^(N$4-$E$4),0),IF($AB146="ALTH",ROUND($AE146+$AF146*N$4,0),IF($AB146="IR",ROUND(Proyeccion_Localidades!AK155,0),IF($AB146="RT",ROUND(Proyeccion_Localidades!BH155,0),"*****"))))</f>
        <v>3034</v>
      </c>
      <c r="O146" s="66">
        <f>IF($AB146="TGD",ROUND($E146*(1+$AD146)^(O$4-$E$4),0),IF($AB146="ALTH",ROUND($AE146+$AF146*O$4,0),IF($AB146="IR",ROUND(Proyeccion_Localidades!AL155,0),IF($AB146="RT",ROUND(Proyeccion_Localidades!BI155,0),"*****"))))</f>
        <v>3040</v>
      </c>
      <c r="P146" s="66">
        <f>IF($AB146="TGD",ROUND($E146*(1+$AD146)^(P$4-$E$4),0),IF($AB146="ALTH",ROUND($AE146+$AF146*P$4,0),IF($AB146="IR",ROUND(Proyeccion_Localidades!AM155,0),IF($AB146="RT",ROUND(Proyeccion_Localidades!BJ155,0),"*****"))))</f>
        <v>3047</v>
      </c>
      <c r="Q146" s="66">
        <f>IF($AB146="TGD",ROUND($E146*(1+$AD146)^(Q$4-$E$4),0),IF($AB146="ALTH",ROUND($AE146+$AF146*Q$4,0),IF($AB146="IR",ROUND(Proyeccion_Localidades!AN155,0),IF($AB146="RT",ROUND(Proyeccion_Localidades!BK155,0),"*****"))))</f>
        <v>3053</v>
      </c>
      <c r="R146" s="66">
        <f>IF($AB146="TGD",ROUND($E146*(1+$AD146)^(R$4-$E$4),0),IF($AB146="ALTH",ROUND($AE146+$AF146*R$4,0),IF($AB146="IR",ROUND(Proyeccion_Localidades!AO155,0),IF($AB146="RT",ROUND(Proyeccion_Localidades!BL155,0),"*****"))))</f>
        <v>3060</v>
      </c>
      <c r="S146" s="66">
        <f>IF($AB146="TGD",ROUND($E146*(1+$AD146)^(S$4-$E$4),0),IF($AB146="ALTH",ROUND($AE146+$AF146*S$4,0),IF($AB146="IR",ROUND(Proyeccion_Localidades!AP155,0),IF($AB146="RT",ROUND(Proyeccion_Localidades!BM155,0),"*****"))))</f>
        <v>3067</v>
      </c>
      <c r="T146" s="66">
        <f>IF($AB146="TGD",ROUND($E146*(1+$AD146)^(T$4-$E$4),0),IF($AB146="ALTH",ROUND($AE146+$AF146*T$4,0),IF($AB146="IR",ROUND(Proyeccion_Localidades!AQ155,0),IF($AB146="RT",ROUND(Proyeccion_Localidades!BN155,0),"*****"))))</f>
        <v>3073</v>
      </c>
      <c r="U146" s="66">
        <f>IF($AB146="TGD",ROUND($E146*(1+$AD146)^(U$4-$E$4),0),IF($AB146="ALTH",ROUND($AE146+$AF146*U$4,0),IF($AB146="IR",ROUND(Proyeccion_Localidades!AR155,0),IF($AB146="RT",ROUND(Proyeccion_Localidades!BO155,0),"*****"))))</f>
        <v>3080</v>
      </c>
      <c r="V146" s="66">
        <f>IF($AB146="TGD",ROUND($E146*(1+$AD146)^(V$4-$E$4),0),IF($AB146="ALTH",ROUND($AE146+$AF146*V$4,0),IF($AB146="IR",ROUND(Proyeccion_Localidades!AS155,0),IF($AB146="RT",ROUND(Proyeccion_Localidades!BP155,0),"*****"))))</f>
        <v>3086</v>
      </c>
      <c r="W146" s="66">
        <f>IF($AB146="TGD",ROUND($E146*(1+$AD146)^(W$4-$E$4),0),IF($AB146="ALTH",ROUND($AE146+$AF146*W$4,0),IF($AB146="IR",ROUND(Proyeccion_Localidades!AT155,0),IF($AB146="RT",ROUND(Proyeccion_Localidades!BQ155,0),"*****"))))</f>
        <v>3093</v>
      </c>
      <c r="X146" s="66">
        <f>IF($AB146="TGD",ROUND($E146*(1+$AD146)^(X$4-$E$4),0),IF($AB146="ALTH",ROUND($AE146+$AF146*X$4,0),IF($AB146="IR",ROUND(Proyeccion_Localidades!AU155,0),IF($AB146="RT",ROUND(Proyeccion_Localidades!BR155,0),"*****"))))</f>
        <v>3099</v>
      </c>
      <c r="Y146" s="66">
        <f>IF($AB146="TGD",ROUND($E146*(1+$AD146)^(Y$4-$E$4),0),IF($AB146="ALTH",ROUND($AE146+$AF146*Y$4,0),IF($AB146="IR",ROUND(Proyeccion_Localidades!AV155,0),IF($AB146="RT",ROUND(Proyeccion_Localidades!BS155,0),"*****"))))</f>
        <v>3106</v>
      </c>
      <c r="Z146" s="66">
        <f>IF($AB146="TGD",ROUND($E146*(1+$AD146)^(Z$4-$E$4),0),IF($AB146="ALTH",ROUND($AE146+$AF146*Z$4,0),IF($AB146="IR",ROUND(Proyeccion_Localidades!AW155,0),IF($AB146="RT",ROUND(Proyeccion_Localidades!BT155,0),"*****"))))</f>
        <v>3112</v>
      </c>
      <c r="AA146" s="66">
        <f>IF($AB146="TGD",ROUND($E146*(1+$AD146)^(AA$4-$E$4),0),IF($AB146="ALTH",ROUND($AE146+$AF146*AA$4,0),IF($AB146="IR",ROUND(Proyeccion_Localidades!AX155,0),IF($AB146="RT",ROUND(Proyeccion_Localidades!BU155,0),"*****"))))</f>
        <v>3119</v>
      </c>
      <c r="AB146" s="67" t="str">
        <f>Proyeccion_Localidades!N155</f>
        <v>ALTH</v>
      </c>
      <c r="AC146" s="68" t="s">
        <v>36</v>
      </c>
      <c r="AD146" s="51" t="str">
        <f>IF(AB146="TGD",Proyeccion_Localidades!Z155,"-")</f>
        <v>-</v>
      </c>
      <c r="AE146" s="51">
        <f>IF($AB146="ALTH",Proyeccion_Localidades!AA155,"-")</f>
        <v>-10230.369003690037</v>
      </c>
      <c r="AF146" s="51">
        <f>IF($AB146="ALTH",Proyeccion_Localidades!AB155,"-")</f>
        <v>6.5276752767527677</v>
      </c>
      <c r="AG146" s="81"/>
      <c r="AH146" s="81"/>
      <c r="AI146" s="96">
        <f t="shared" si="8"/>
        <v>2975</v>
      </c>
      <c r="AJ146" s="97"/>
      <c r="AK146" s="97"/>
      <c r="AL146" s="97"/>
      <c r="AO146" s="97"/>
      <c r="AP146" s="97"/>
      <c r="AQ146" s="97"/>
    </row>
    <row r="147" spans="1:43" s="98" customFormat="1" ht="24.95" customHeight="1">
      <c r="A147" s="84" t="str">
        <f>+Proyeccion_Localidades!C156</f>
        <v>General Arenales</v>
      </c>
      <c r="B147" s="70">
        <f t="shared" si="10"/>
        <v>143</v>
      </c>
      <c r="C147" s="87" t="str">
        <f>+Proyeccion_Localidades!B156</f>
        <v>Ascensión</v>
      </c>
      <c r="D147" s="261">
        <f t="shared" si="9"/>
        <v>143</v>
      </c>
      <c r="E147" s="72">
        <f>+Proyeccion_Localidades!F156</f>
        <v>4179</v>
      </c>
      <c r="F147" s="66">
        <f>IF($AB147="TGD",ROUND($E147*(1+$AD147)^(F$4-$E$4),0),IF($AB147="ALTH",ROUND($AE147+$AF147*F$4,0),IF($AB147="IR",ROUND(Proyeccion_Localidades!AC156,0),IF($AB147="RT",ROUND(Proyeccion_Localidades!AZ156,0),"*****"))))</f>
        <v>4348</v>
      </c>
      <c r="G147" s="66">
        <f>IF($AB147="TGD",ROUND($E147*(1+$AD147)^(G$4-$E$4),0),IF($AB147="ALTH",ROUND($AE147+$AF147*G$4,0),IF($AB147="IR",ROUND(Proyeccion_Localidades!AD156,0),IF($AB147="RT",ROUND(Proyeccion_Localidades!BA156,0),"*****"))))</f>
        <v>4361</v>
      </c>
      <c r="H147" s="66">
        <f>IF($AB147="TGD",ROUND($E147*(1+$AD147)^(H$4-$E$4),0),IF($AB147="ALTH",ROUND($AE147+$AF147*H$4,0),IF($AB147="IR",ROUND(Proyeccion_Localidades!AE156,0),IF($AB147="RT",ROUND(Proyeccion_Localidades!BB156,0),"*****"))))</f>
        <v>4400</v>
      </c>
      <c r="I147" s="66">
        <f>IF($AB147="TGD",ROUND($E147*(1+$AD147)^(I$4-$E$4),0),IF($AB147="ALTH",ROUND($AE147+$AF147*I$4,0),IF($AB147="IR",ROUND(Proyeccion_Localidades!AF156,0),IF($AB147="RT",ROUND(Proyeccion_Localidades!BC156,0),"*****"))))</f>
        <v>4413</v>
      </c>
      <c r="J147" s="66">
        <f>IF($AB147="TGD",ROUND($E147*(1+$AD147)^(J$4-$E$4),0),IF($AB147="ALTH",ROUND($AE147+$AF147*J$4,0),IF($AB147="IR",ROUND(Proyeccion_Localidades!AG156,0),IF($AB147="RT",ROUND(Proyeccion_Localidades!BD156,0),"*****"))))</f>
        <v>4425</v>
      </c>
      <c r="K147" s="66">
        <f>IF($AB147="TGD",ROUND($E147*(1+$AD147)^(K$4-$E$4),0),IF($AB147="ALTH",ROUND($AE147+$AF147*K$4,0),IF($AB147="IR",ROUND(Proyeccion_Localidades!AH156,0),IF($AB147="RT",ROUND(Proyeccion_Localidades!BE156,0),"*****"))))</f>
        <v>4438</v>
      </c>
      <c r="L147" s="66">
        <f>IF($AB147="TGD",ROUND($E147*(1+$AD147)^(L$4-$E$4),0),IF($AB147="ALTH",ROUND($AE147+$AF147*L$4,0),IF($AB147="IR",ROUND(Proyeccion_Localidades!AI156,0),IF($AB147="RT",ROUND(Proyeccion_Localidades!BF156,0),"*****"))))</f>
        <v>4451</v>
      </c>
      <c r="M147" s="66">
        <f>IF($AB147="TGD",ROUND($E147*(1+$AD147)^(M$4-$E$4),0),IF($AB147="ALTH",ROUND($AE147+$AF147*M$4,0),IF($AB147="IR",ROUND(Proyeccion_Localidades!AJ156,0),IF($AB147="RT",ROUND(Proyeccion_Localidades!BG156,0),"*****"))))</f>
        <v>4464</v>
      </c>
      <c r="N147" s="66">
        <f>IF($AB147="TGD",ROUND($E147*(1+$AD147)^(N$4-$E$4),0),IF($AB147="ALTH",ROUND($AE147+$AF147*N$4,0),IF($AB147="IR",ROUND(Proyeccion_Localidades!AK156,0),IF($AB147="RT",ROUND(Proyeccion_Localidades!BH156,0),"*****"))))</f>
        <v>4477</v>
      </c>
      <c r="O147" s="66">
        <f>IF($AB147="TGD",ROUND($E147*(1+$AD147)^(O$4-$E$4),0),IF($AB147="ALTH",ROUND($AE147+$AF147*O$4,0),IF($AB147="IR",ROUND(Proyeccion_Localidades!AL156,0),IF($AB147="RT",ROUND(Proyeccion_Localidades!BI156,0),"*****"))))</f>
        <v>4489</v>
      </c>
      <c r="P147" s="66">
        <f>IF($AB147="TGD",ROUND($E147*(1+$AD147)^(P$4-$E$4),0),IF($AB147="ALTH",ROUND($AE147+$AF147*P$4,0),IF($AB147="IR",ROUND(Proyeccion_Localidades!AM156,0),IF($AB147="RT",ROUND(Proyeccion_Localidades!BJ156,0),"*****"))))</f>
        <v>4502</v>
      </c>
      <c r="Q147" s="66">
        <f>IF($AB147="TGD",ROUND($E147*(1+$AD147)^(Q$4-$E$4),0),IF($AB147="ALTH",ROUND($AE147+$AF147*Q$4,0),IF($AB147="IR",ROUND(Proyeccion_Localidades!AN156,0),IF($AB147="RT",ROUND(Proyeccion_Localidades!BK156,0),"*****"))))</f>
        <v>4515</v>
      </c>
      <c r="R147" s="66">
        <f>IF($AB147="TGD",ROUND($E147*(1+$AD147)^(R$4-$E$4),0),IF($AB147="ALTH",ROUND($AE147+$AF147*R$4,0),IF($AB147="IR",ROUND(Proyeccion_Localidades!AO156,0),IF($AB147="RT",ROUND(Proyeccion_Localidades!BL156,0),"*****"))))</f>
        <v>4528</v>
      </c>
      <c r="S147" s="66">
        <f>IF($AB147="TGD",ROUND($E147*(1+$AD147)^(S$4-$E$4),0),IF($AB147="ALTH",ROUND($AE147+$AF147*S$4,0),IF($AB147="IR",ROUND(Proyeccion_Localidades!AP156,0),IF($AB147="RT",ROUND(Proyeccion_Localidades!BM156,0),"*****"))))</f>
        <v>4541</v>
      </c>
      <c r="T147" s="66">
        <f>IF($AB147="TGD",ROUND($E147*(1+$AD147)^(T$4-$E$4),0),IF($AB147="ALTH",ROUND($AE147+$AF147*T$4,0),IF($AB147="IR",ROUND(Proyeccion_Localidades!AQ156,0),IF($AB147="RT",ROUND(Proyeccion_Localidades!BN156,0),"*****"))))</f>
        <v>4554</v>
      </c>
      <c r="U147" s="66">
        <f>IF($AB147="TGD",ROUND($E147*(1+$AD147)^(U$4-$E$4),0),IF($AB147="ALTH",ROUND($AE147+$AF147*U$4,0),IF($AB147="IR",ROUND(Proyeccion_Localidades!AR156,0),IF($AB147="RT",ROUND(Proyeccion_Localidades!BO156,0),"*****"))))</f>
        <v>4566</v>
      </c>
      <c r="V147" s="66">
        <f>IF($AB147="TGD",ROUND($E147*(1+$AD147)^(V$4-$E$4),0),IF($AB147="ALTH",ROUND($AE147+$AF147*V$4,0),IF($AB147="IR",ROUND(Proyeccion_Localidades!AS156,0),IF($AB147="RT",ROUND(Proyeccion_Localidades!BP156,0),"*****"))))</f>
        <v>4579</v>
      </c>
      <c r="W147" s="66">
        <f>IF($AB147="TGD",ROUND($E147*(1+$AD147)^(W$4-$E$4),0),IF($AB147="ALTH",ROUND($AE147+$AF147*W$4,0),IF($AB147="IR",ROUND(Proyeccion_Localidades!AT156,0),IF($AB147="RT",ROUND(Proyeccion_Localidades!BQ156,0),"*****"))))</f>
        <v>4592</v>
      </c>
      <c r="X147" s="66">
        <f>IF($AB147="TGD",ROUND($E147*(1+$AD147)^(X$4-$E$4),0),IF($AB147="ALTH",ROUND($AE147+$AF147*X$4,0),IF($AB147="IR",ROUND(Proyeccion_Localidades!AU156,0),IF($AB147="RT",ROUND(Proyeccion_Localidades!BR156,0),"*****"))))</f>
        <v>4605</v>
      </c>
      <c r="Y147" s="66">
        <f>IF($AB147="TGD",ROUND($E147*(1+$AD147)^(Y$4-$E$4),0),IF($AB147="ALTH",ROUND($AE147+$AF147*Y$4,0),IF($AB147="IR",ROUND(Proyeccion_Localidades!AV156,0),IF($AB147="RT",ROUND(Proyeccion_Localidades!BS156,0),"*****"))))</f>
        <v>4618</v>
      </c>
      <c r="Z147" s="66">
        <f>IF($AB147="TGD",ROUND($E147*(1+$AD147)^(Z$4-$E$4),0),IF($AB147="ALTH",ROUND($AE147+$AF147*Z$4,0),IF($AB147="IR",ROUND(Proyeccion_Localidades!AW156,0),IF($AB147="RT",ROUND(Proyeccion_Localidades!BT156,0),"*****"))))</f>
        <v>4630</v>
      </c>
      <c r="AA147" s="66">
        <f>IF($AB147="TGD",ROUND($E147*(1+$AD147)^(AA$4-$E$4),0),IF($AB147="ALTH",ROUND($AE147+$AF147*AA$4,0),IF($AB147="IR",ROUND(Proyeccion_Localidades!AX156,0),IF($AB147="RT",ROUND(Proyeccion_Localidades!BU156,0),"*****"))))</f>
        <v>4643</v>
      </c>
      <c r="AB147" s="67" t="str">
        <f>Proyeccion_Localidades!N156</f>
        <v>ALTH</v>
      </c>
      <c r="AC147" s="68" t="s">
        <v>36</v>
      </c>
      <c r="AD147" s="51" t="str">
        <f>IF(AB147="TGD",Proyeccion_Localidades!Z156,"-")</f>
        <v>-</v>
      </c>
      <c r="AE147" s="51">
        <f>IF($AB147="ALTH",Proyeccion_Localidades!AA156,"-")</f>
        <v>-21571.922509225093</v>
      </c>
      <c r="AF147" s="51">
        <f>IF($AB147="ALTH",Proyeccion_Localidades!AB156,"-")</f>
        <v>12.819188191881919</v>
      </c>
      <c r="AG147" s="81"/>
      <c r="AH147" s="81"/>
      <c r="AI147" s="96">
        <f t="shared" si="8"/>
        <v>4361</v>
      </c>
      <c r="AJ147" s="97"/>
      <c r="AK147" s="97"/>
      <c r="AL147" s="97"/>
      <c r="AO147" s="97"/>
      <c r="AP147" s="97"/>
      <c r="AQ147" s="97"/>
    </row>
    <row r="148" spans="1:43" s="98" customFormat="1" ht="24.95" customHeight="1">
      <c r="A148" s="84" t="str">
        <f>+Proyeccion_Localidades!C157</f>
        <v>General Guido</v>
      </c>
      <c r="B148" s="70">
        <f t="shared" si="10"/>
        <v>144</v>
      </c>
      <c r="C148" s="87" t="str">
        <f>+Proyeccion_Localidades!B157</f>
        <v>Labarden</v>
      </c>
      <c r="D148" s="261">
        <f t="shared" si="9"/>
        <v>144</v>
      </c>
      <c r="E148" s="72">
        <f>+Proyeccion_Localidades!F157</f>
        <v>799</v>
      </c>
      <c r="F148" s="66">
        <f>IF($AB148="TGD",ROUND($E148*(1+$AD148)^(F$4-$E$4),0),IF($AB148="ALTH",ROUND($AE148+$AF148*F$4,0),IF($AB148="IR",ROUND(Proyeccion_Localidades!AC157,0),IF($AB148="RT",ROUND(Proyeccion_Localidades!AZ157,0),"*****"))))</f>
        <v>773</v>
      </c>
      <c r="G148" s="66">
        <f>IF($AB148="TGD",ROUND($E148*(1+$AD148)^(G$4-$E$4),0),IF($AB148="ALTH",ROUND($AE148+$AF148*G$4,0),IF($AB148="IR",ROUND(Proyeccion_Localidades!AD157,0),IF($AB148="RT",ROUND(Proyeccion_Localidades!BA157,0),"*****"))))</f>
        <v>771</v>
      </c>
      <c r="H148" s="66">
        <f>IF($AB148="TGD",ROUND($E148*(1+$AD148)^(H$4-$E$4),0),IF($AB148="ALTH",ROUND($AE148+$AF148*H$4,0),IF($AB148="IR",ROUND(Proyeccion_Localidades!AE157,0),IF($AB148="RT",ROUND(Proyeccion_Localidades!BB157,0),"*****"))))</f>
        <v>765</v>
      </c>
      <c r="I148" s="66">
        <f>IF($AB148="TGD",ROUND($E148*(1+$AD148)^(I$4-$E$4),0),IF($AB148="ALTH",ROUND($AE148+$AF148*I$4,0),IF($AB148="IR",ROUND(Proyeccion_Localidades!AF157,0),IF($AB148="RT",ROUND(Proyeccion_Localidades!BC157,0),"*****"))))</f>
        <v>763</v>
      </c>
      <c r="J148" s="66">
        <f>IF($AB148="TGD",ROUND($E148*(1+$AD148)^(J$4-$E$4),0),IF($AB148="ALTH",ROUND($AE148+$AF148*J$4,0),IF($AB148="IR",ROUND(Proyeccion_Localidades!AG157,0),IF($AB148="RT",ROUND(Proyeccion_Localidades!BD157,0),"*****"))))</f>
        <v>760</v>
      </c>
      <c r="K148" s="66">
        <f>IF($AB148="TGD",ROUND($E148*(1+$AD148)^(K$4-$E$4),0),IF($AB148="ALTH",ROUND($AE148+$AF148*K$4,0),IF($AB148="IR",ROUND(Proyeccion_Localidades!AH157,0),IF($AB148="RT",ROUND(Proyeccion_Localidades!BE157,0),"*****"))))</f>
        <v>758</v>
      </c>
      <c r="L148" s="66">
        <f>IF($AB148="TGD",ROUND($E148*(1+$AD148)^(L$4-$E$4),0),IF($AB148="ALTH",ROUND($AE148+$AF148*L$4,0),IF($AB148="IR",ROUND(Proyeccion_Localidades!AI157,0),IF($AB148="RT",ROUND(Proyeccion_Localidades!BF157,0),"*****"))))</f>
        <v>756</v>
      </c>
      <c r="M148" s="66">
        <f>IF($AB148="TGD",ROUND($E148*(1+$AD148)^(M$4-$E$4),0),IF($AB148="ALTH",ROUND($AE148+$AF148*M$4,0),IF($AB148="IR",ROUND(Proyeccion_Localidades!AJ157,0),IF($AB148="RT",ROUND(Proyeccion_Localidades!BG157,0),"*****"))))</f>
        <v>754</v>
      </c>
      <c r="N148" s="66">
        <f>IF($AB148="TGD",ROUND($E148*(1+$AD148)^(N$4-$E$4),0),IF($AB148="ALTH",ROUND($AE148+$AF148*N$4,0),IF($AB148="IR",ROUND(Proyeccion_Localidades!AK157,0),IF($AB148="RT",ROUND(Proyeccion_Localidades!BH157,0),"*****"))))</f>
        <v>752</v>
      </c>
      <c r="O148" s="66">
        <f>IF($AB148="TGD",ROUND($E148*(1+$AD148)^(O$4-$E$4),0),IF($AB148="ALTH",ROUND($AE148+$AF148*O$4,0),IF($AB148="IR",ROUND(Proyeccion_Localidades!AL157,0),IF($AB148="RT",ROUND(Proyeccion_Localidades!BI157,0),"*****"))))</f>
        <v>750</v>
      </c>
      <c r="P148" s="66">
        <f>IF($AB148="TGD",ROUND($E148*(1+$AD148)^(P$4-$E$4),0),IF($AB148="ALTH",ROUND($AE148+$AF148*P$4,0),IF($AB148="IR",ROUND(Proyeccion_Localidades!AM157,0),IF($AB148="RT",ROUND(Proyeccion_Localidades!BJ157,0),"*****"))))</f>
        <v>748</v>
      </c>
      <c r="Q148" s="66">
        <f>IF($AB148="TGD",ROUND($E148*(1+$AD148)^(Q$4-$E$4),0),IF($AB148="ALTH",ROUND($AE148+$AF148*Q$4,0),IF($AB148="IR",ROUND(Proyeccion_Localidades!AN157,0),IF($AB148="RT",ROUND(Proyeccion_Localidades!BK157,0),"*****"))))</f>
        <v>746</v>
      </c>
      <c r="R148" s="66">
        <f>IF($AB148="TGD",ROUND($E148*(1+$AD148)^(R$4-$E$4),0),IF($AB148="ALTH",ROUND($AE148+$AF148*R$4,0),IF($AB148="IR",ROUND(Proyeccion_Localidades!AO157,0),IF($AB148="RT",ROUND(Proyeccion_Localidades!BL157,0),"*****"))))</f>
        <v>744</v>
      </c>
      <c r="S148" s="66">
        <f>IF($AB148="TGD",ROUND($E148*(1+$AD148)^(S$4-$E$4),0),IF($AB148="ALTH",ROUND($AE148+$AF148*S$4,0),IF($AB148="IR",ROUND(Proyeccion_Localidades!AP157,0),IF($AB148="RT",ROUND(Proyeccion_Localidades!BM157,0),"*****"))))</f>
        <v>742</v>
      </c>
      <c r="T148" s="66">
        <f>IF($AB148="TGD",ROUND($E148*(1+$AD148)^(T$4-$E$4),0),IF($AB148="ALTH",ROUND($AE148+$AF148*T$4,0),IF($AB148="IR",ROUND(Proyeccion_Localidades!AQ157,0),IF($AB148="RT",ROUND(Proyeccion_Localidades!BN157,0),"*****"))))</f>
        <v>740</v>
      </c>
      <c r="U148" s="66">
        <f>IF($AB148="TGD",ROUND($E148*(1+$AD148)^(U$4-$E$4),0),IF($AB148="ALTH",ROUND($AE148+$AF148*U$4,0),IF($AB148="IR",ROUND(Proyeccion_Localidades!AR157,0),IF($AB148="RT",ROUND(Proyeccion_Localidades!BO157,0),"*****"))))</f>
        <v>738</v>
      </c>
      <c r="V148" s="66">
        <f>IF($AB148="TGD",ROUND($E148*(1+$AD148)^(V$4-$E$4),0),IF($AB148="ALTH",ROUND($AE148+$AF148*V$4,0),IF($AB148="IR",ROUND(Proyeccion_Localidades!AS157,0),IF($AB148="RT",ROUND(Proyeccion_Localidades!BP157,0),"*****"))))</f>
        <v>736</v>
      </c>
      <c r="W148" s="66">
        <f>IF($AB148="TGD",ROUND($E148*(1+$AD148)^(W$4-$E$4),0),IF($AB148="ALTH",ROUND($AE148+$AF148*W$4,0),IF($AB148="IR",ROUND(Proyeccion_Localidades!AT157,0),IF($AB148="RT",ROUND(Proyeccion_Localidades!BQ157,0),"*****"))))</f>
        <v>734</v>
      </c>
      <c r="X148" s="66">
        <f>IF($AB148="TGD",ROUND($E148*(1+$AD148)^(X$4-$E$4),0),IF($AB148="ALTH",ROUND($AE148+$AF148*X$4,0),IF($AB148="IR",ROUND(Proyeccion_Localidades!AU157,0),IF($AB148="RT",ROUND(Proyeccion_Localidades!BR157,0),"*****"))))</f>
        <v>732</v>
      </c>
      <c r="Y148" s="66">
        <f>IF($AB148="TGD",ROUND($E148*(1+$AD148)^(Y$4-$E$4),0),IF($AB148="ALTH",ROUND($AE148+$AF148*Y$4,0),IF($AB148="IR",ROUND(Proyeccion_Localidades!AV157,0),IF($AB148="RT",ROUND(Proyeccion_Localidades!BS157,0),"*****"))))</f>
        <v>730</v>
      </c>
      <c r="Z148" s="66">
        <f>IF($AB148="TGD",ROUND($E148*(1+$AD148)^(Z$4-$E$4),0),IF($AB148="ALTH",ROUND($AE148+$AF148*Z$4,0),IF($AB148="IR",ROUND(Proyeccion_Localidades!AW157,0),IF($AB148="RT",ROUND(Proyeccion_Localidades!BT157,0),"*****"))))</f>
        <v>728</v>
      </c>
      <c r="AA148" s="66">
        <f>IF($AB148="TGD",ROUND($E148*(1+$AD148)^(AA$4-$E$4),0),IF($AB148="ALTH",ROUND($AE148+$AF148*AA$4,0),IF($AB148="IR",ROUND(Proyeccion_Localidades!AX157,0),IF($AB148="RT",ROUND(Proyeccion_Localidades!BU157,0),"*****"))))</f>
        <v>726</v>
      </c>
      <c r="AB148" s="100" t="str">
        <f>Proyeccion_Localidades!N157</f>
        <v>TGD</v>
      </c>
      <c r="AC148" s="68" t="s">
        <v>35</v>
      </c>
      <c r="AD148" s="51">
        <f>IF(AB148="TGD",Proyeccion_Localidades!Z157,"-")</f>
        <v>-2.7432457488308915E-3</v>
      </c>
      <c r="AE148" s="51" t="str">
        <f>IF($AB148="ALTH",Proyeccion_Localidades!AA157,"-")</f>
        <v>-</v>
      </c>
      <c r="AF148" s="51" t="str">
        <f>IF($AB148="ALTH",Proyeccion_Localidades!AB157,"-")</f>
        <v>-</v>
      </c>
      <c r="AG148" s="81"/>
      <c r="AH148" s="81"/>
      <c r="AI148" s="96">
        <f t="shared" si="8"/>
        <v>771</v>
      </c>
      <c r="AJ148" s="97"/>
      <c r="AK148" s="97"/>
      <c r="AL148" s="97"/>
      <c r="AO148" s="97"/>
      <c r="AP148" s="97"/>
      <c r="AQ148" s="97"/>
    </row>
    <row r="149" spans="1:43" s="98" customFormat="1" ht="24.95" customHeight="1">
      <c r="A149" s="84" t="str">
        <f>+Proyeccion_Localidades!C158</f>
        <v>General Lavalle</v>
      </c>
      <c r="B149" s="70">
        <f t="shared" si="10"/>
        <v>145</v>
      </c>
      <c r="C149" s="87" t="str">
        <f>+Proyeccion_Localidades!B158</f>
        <v>Pavón</v>
      </c>
      <c r="D149" s="261">
        <f t="shared" si="9"/>
        <v>145</v>
      </c>
      <c r="E149" s="72">
        <f>+Proyeccion_Localidades!F158</f>
        <v>942</v>
      </c>
      <c r="F149" s="66">
        <f>IF($AB149="TGD",ROUND($E149*(1+$AD149)^(F$4-$E$4),0),IF($AB149="ALTH",ROUND($AE149+$AF149*F$4,0),IF($AB149="IR",ROUND(Proyeccion_Localidades!AC158,0),IF($AB149="RT",ROUND(Proyeccion_Localidades!AZ158,0),"*****"))))</f>
        <v>1250</v>
      </c>
      <c r="G149" s="66">
        <f>IF($AB149="TGD",ROUND($E149*(1+$AD149)^(G$4-$E$4),0),IF($AB149="ALTH",ROUND($AE149+$AF149*G$4,0),IF($AB149="IR",ROUND(Proyeccion_Localidades!AD158,0),IF($AB149="RT",ROUND(Proyeccion_Localidades!BA158,0),"*****"))))</f>
        <v>1280</v>
      </c>
      <c r="H149" s="66">
        <f>IF($AB149="TGD",ROUND($E149*(1+$AD149)^(H$4-$E$4),0),IF($AB149="ALTH",ROUND($AE149+$AF149*H$4,0),IF($AB149="IR",ROUND(Proyeccion_Localidades!AE158,0),IF($AB149="RT",ROUND(Proyeccion_Localidades!BB158,0),"*****"))))</f>
        <v>1373</v>
      </c>
      <c r="I149" s="66">
        <f>IF($AB149="TGD",ROUND($E149*(1+$AD149)^(I$4-$E$4),0),IF($AB149="ALTH",ROUND($AE149+$AF149*I$4,0),IF($AB149="IR",ROUND(Proyeccion_Localidades!AF158,0),IF($AB149="RT",ROUND(Proyeccion_Localidades!BC158,0),"*****"))))</f>
        <v>1406</v>
      </c>
      <c r="J149" s="66">
        <f>IF($AB149="TGD",ROUND($E149*(1+$AD149)^(J$4-$E$4),0),IF($AB149="ALTH",ROUND($AE149+$AF149*J$4,0),IF($AB149="IR",ROUND(Proyeccion_Localidades!AG158,0),IF($AB149="RT",ROUND(Proyeccion_Localidades!BD158,0),"*****"))))</f>
        <v>1440</v>
      </c>
      <c r="K149" s="66">
        <f>IF($AB149="TGD",ROUND($E149*(1+$AD149)^(K$4-$E$4),0),IF($AB149="ALTH",ROUND($AE149+$AF149*K$4,0),IF($AB149="IR",ROUND(Proyeccion_Localidades!AH158,0),IF($AB149="RT",ROUND(Proyeccion_Localidades!BE158,0),"*****"))))</f>
        <v>1474</v>
      </c>
      <c r="L149" s="66">
        <f>IF($AB149="TGD",ROUND($E149*(1+$AD149)^(L$4-$E$4),0),IF($AB149="ALTH",ROUND($AE149+$AF149*L$4,0),IF($AB149="IR",ROUND(Proyeccion_Localidades!AI158,0),IF($AB149="RT",ROUND(Proyeccion_Localidades!BF158,0),"*****"))))</f>
        <v>1509</v>
      </c>
      <c r="M149" s="66">
        <f>IF($AB149="TGD",ROUND($E149*(1+$AD149)^(M$4-$E$4),0),IF($AB149="ALTH",ROUND($AE149+$AF149*M$4,0),IF($AB149="IR",ROUND(Proyeccion_Localidades!AJ158,0),IF($AB149="RT",ROUND(Proyeccion_Localidades!BG158,0),"*****"))))</f>
        <v>1545</v>
      </c>
      <c r="N149" s="66">
        <f>IF($AB149="TGD",ROUND($E149*(1+$AD149)^(N$4-$E$4),0),IF($AB149="ALTH",ROUND($AE149+$AF149*N$4,0),IF($AB149="IR",ROUND(Proyeccion_Localidades!AK158,0),IF($AB149="RT",ROUND(Proyeccion_Localidades!BH158,0),"*****"))))</f>
        <v>1582</v>
      </c>
      <c r="O149" s="66">
        <f>IF($AB149="TGD",ROUND($E149*(1+$AD149)^(O$4-$E$4),0),IF($AB149="ALTH",ROUND($AE149+$AF149*O$4,0),IF($AB149="IR",ROUND(Proyeccion_Localidades!AL158,0),IF($AB149="RT",ROUND(Proyeccion_Localidades!BI158,0),"*****"))))</f>
        <v>1620</v>
      </c>
      <c r="P149" s="66">
        <f>IF($AB149="TGD",ROUND($E149*(1+$AD149)^(P$4-$E$4),0),IF($AB149="ALTH",ROUND($AE149+$AF149*P$4,0),IF($AB149="IR",ROUND(Proyeccion_Localidades!AM158,0),IF($AB149="RT",ROUND(Proyeccion_Localidades!BJ158,0),"*****"))))</f>
        <v>1658</v>
      </c>
      <c r="Q149" s="66">
        <f>IF($AB149="TGD",ROUND($E149*(1+$AD149)^(Q$4-$E$4),0),IF($AB149="ALTH",ROUND($AE149+$AF149*Q$4,0),IF($AB149="IR",ROUND(Proyeccion_Localidades!AN158,0),IF($AB149="RT",ROUND(Proyeccion_Localidades!BK158,0),"*****"))))</f>
        <v>1698</v>
      </c>
      <c r="R149" s="66">
        <f>IF($AB149="TGD",ROUND($E149*(1+$AD149)^(R$4-$E$4),0),IF($AB149="ALTH",ROUND($AE149+$AF149*R$4,0),IF($AB149="IR",ROUND(Proyeccion_Localidades!AO158,0),IF($AB149="RT",ROUND(Proyeccion_Localidades!BL158,0),"*****"))))</f>
        <v>1738</v>
      </c>
      <c r="S149" s="66">
        <f>IF($AB149="TGD",ROUND($E149*(1+$AD149)^(S$4-$E$4),0),IF($AB149="ALTH",ROUND($AE149+$AF149*S$4,0),IF($AB149="IR",ROUND(Proyeccion_Localidades!AP158,0),IF($AB149="RT",ROUND(Proyeccion_Localidades!BM158,0),"*****"))))</f>
        <v>1780</v>
      </c>
      <c r="T149" s="66">
        <f>IF($AB149="TGD",ROUND($E149*(1+$AD149)^(T$4-$E$4),0),IF($AB149="ALTH",ROUND($AE149+$AF149*T$4,0),IF($AB149="IR",ROUND(Proyeccion_Localidades!AQ158,0),IF($AB149="RT",ROUND(Proyeccion_Localidades!BN158,0),"*****"))))</f>
        <v>1822</v>
      </c>
      <c r="U149" s="66">
        <f>IF($AB149="TGD",ROUND($E149*(1+$AD149)^(U$4-$E$4),0),IF($AB149="ALTH",ROUND($AE149+$AF149*U$4,0),IF($AB149="IR",ROUND(Proyeccion_Localidades!AR158,0),IF($AB149="RT",ROUND(Proyeccion_Localidades!BO158,0),"*****"))))</f>
        <v>1866</v>
      </c>
      <c r="V149" s="66">
        <f>IF($AB149="TGD",ROUND($E149*(1+$AD149)^(V$4-$E$4),0),IF($AB149="ALTH",ROUND($AE149+$AF149*V$4,0),IF($AB149="IR",ROUND(Proyeccion_Localidades!AS158,0),IF($AB149="RT",ROUND(Proyeccion_Localidades!BP158,0),"*****"))))</f>
        <v>1910</v>
      </c>
      <c r="W149" s="66">
        <f>IF($AB149="TGD",ROUND($E149*(1+$AD149)^(W$4-$E$4),0),IF($AB149="ALTH",ROUND($AE149+$AF149*W$4,0),IF($AB149="IR",ROUND(Proyeccion_Localidades!AT158,0),IF($AB149="RT",ROUND(Proyeccion_Localidades!BQ158,0),"*****"))))</f>
        <v>1956</v>
      </c>
      <c r="X149" s="66">
        <f>IF($AB149="TGD",ROUND($E149*(1+$AD149)^(X$4-$E$4),0),IF($AB149="ALTH",ROUND($AE149+$AF149*X$4,0),IF($AB149="IR",ROUND(Proyeccion_Localidades!AU158,0),IF($AB149="RT",ROUND(Proyeccion_Localidades!BR158,0),"*****"))))</f>
        <v>2002</v>
      </c>
      <c r="Y149" s="66">
        <f>IF($AB149="TGD",ROUND($E149*(1+$AD149)^(Y$4-$E$4),0),IF($AB149="ALTH",ROUND($AE149+$AF149*Y$4,0),IF($AB149="IR",ROUND(Proyeccion_Localidades!AV158,0),IF($AB149="RT",ROUND(Proyeccion_Localidades!BS158,0),"*****"))))</f>
        <v>2050</v>
      </c>
      <c r="Z149" s="66">
        <f>IF($AB149="TGD",ROUND($E149*(1+$AD149)^(Z$4-$E$4),0),IF($AB149="ALTH",ROUND($AE149+$AF149*Z$4,0),IF($AB149="IR",ROUND(Proyeccion_Localidades!AW158,0),IF($AB149="RT",ROUND(Proyeccion_Localidades!BT158,0),"*****"))))</f>
        <v>2099</v>
      </c>
      <c r="AA149" s="66">
        <f>IF($AB149="TGD",ROUND($E149*(1+$AD149)^(AA$4-$E$4),0),IF($AB149="ALTH",ROUND($AE149+$AF149*AA$4,0),IF($AB149="IR",ROUND(Proyeccion_Localidades!AX158,0),IF($AB149="RT",ROUND(Proyeccion_Localidades!BU158,0),"*****"))))</f>
        <v>2149</v>
      </c>
      <c r="AB149" s="100" t="str">
        <f>Proyeccion_Localidades!N158</f>
        <v>TGD</v>
      </c>
      <c r="AC149" s="68" t="s">
        <v>35</v>
      </c>
      <c r="AD149" s="51">
        <f>IF(AB149="TGD",Proyeccion_Localidades!Z158,"-")</f>
        <v>2.384185875005751E-2</v>
      </c>
      <c r="AE149" s="51" t="str">
        <f>IF($AB149="ALTH",Proyeccion_Localidades!AA158,"-")</f>
        <v>-</v>
      </c>
      <c r="AF149" s="51" t="str">
        <f>IF($AB149="ALTH",Proyeccion_Localidades!AB158,"-")</f>
        <v>-</v>
      </c>
      <c r="AG149" s="81"/>
      <c r="AH149" s="81"/>
      <c r="AI149" s="96">
        <f t="shared" si="8"/>
        <v>1280</v>
      </c>
      <c r="AJ149" s="97"/>
      <c r="AK149" s="97"/>
      <c r="AL149" s="97"/>
      <c r="AO149" s="97"/>
      <c r="AP149" s="97"/>
      <c r="AQ149" s="97"/>
    </row>
    <row r="150" spans="1:43" s="98" customFormat="1" ht="24.95" customHeight="1">
      <c r="A150" s="84" t="str">
        <f>+Proyeccion_Localidades!C159</f>
        <v>Guaminí</v>
      </c>
      <c r="B150" s="70">
        <f t="shared" si="10"/>
        <v>146</v>
      </c>
      <c r="C150" s="87" t="str">
        <f>+Proyeccion_Localidades!B159</f>
        <v>Casbas</v>
      </c>
      <c r="D150" s="261">
        <f t="shared" si="9"/>
        <v>146</v>
      </c>
      <c r="E150" s="72">
        <f>+Proyeccion_Localidades!F159</f>
        <v>4450</v>
      </c>
      <c r="F150" s="66">
        <f>IF($AB150="TGD",ROUND($E150*(1+$AD150)^(F$4-$E$4),0),IF($AB150="ALTH",ROUND($AE150+$AF150*F$4,0),IF($AB150="IR",ROUND(Proyeccion_Localidades!AC159,0),IF($AB150="RT",ROUND(Proyeccion_Localidades!AZ159,0),"*****"))))</f>
        <v>4746</v>
      </c>
      <c r="G150" s="66">
        <f>IF($AB150="TGD",ROUND($E150*(1+$AD150)^(G$4-$E$4),0),IF($AB150="ALTH",ROUND($AE150+$AF150*G$4,0),IF($AB150="IR",ROUND(Proyeccion_Localidades!AD159,0),IF($AB150="RT",ROUND(Proyeccion_Localidades!BA159,0),"*****"))))</f>
        <v>4773</v>
      </c>
      <c r="H150" s="66">
        <f>IF($AB150="TGD",ROUND($E150*(1+$AD150)^(H$4-$E$4),0),IF($AB150="ALTH",ROUND($AE150+$AF150*H$4,0),IF($AB150="IR",ROUND(Proyeccion_Localidades!AE159,0),IF($AB150="RT",ROUND(Proyeccion_Localidades!BB159,0),"*****"))))</f>
        <v>4856</v>
      </c>
      <c r="I150" s="66">
        <f>IF($AB150="TGD",ROUND($E150*(1+$AD150)^(I$4-$E$4),0),IF($AB150="ALTH",ROUND($AE150+$AF150*I$4,0),IF($AB150="IR",ROUND(Proyeccion_Localidades!AF159,0),IF($AB150="RT",ROUND(Proyeccion_Localidades!BC159,0),"*****"))))</f>
        <v>4883</v>
      </c>
      <c r="J150" s="66">
        <f>IF($AB150="TGD",ROUND($E150*(1+$AD150)^(J$4-$E$4),0),IF($AB150="ALTH",ROUND($AE150+$AF150*J$4,0),IF($AB150="IR",ROUND(Proyeccion_Localidades!AG159,0),IF($AB150="RT",ROUND(Proyeccion_Localidades!BD159,0),"*****"))))</f>
        <v>4910</v>
      </c>
      <c r="K150" s="66">
        <f>IF($AB150="TGD",ROUND($E150*(1+$AD150)^(K$4-$E$4),0),IF($AB150="ALTH",ROUND($AE150+$AF150*K$4,0),IF($AB150="IR",ROUND(Proyeccion_Localidades!AH159,0),IF($AB150="RT",ROUND(Proyeccion_Localidades!BE159,0),"*****"))))</f>
        <v>4938</v>
      </c>
      <c r="L150" s="66">
        <f>IF($AB150="TGD",ROUND($E150*(1+$AD150)^(L$4-$E$4),0),IF($AB150="ALTH",ROUND($AE150+$AF150*L$4,0),IF($AB150="IR",ROUND(Proyeccion_Localidades!AI159,0),IF($AB150="RT",ROUND(Proyeccion_Localidades!BF159,0),"*****"))))</f>
        <v>4965</v>
      </c>
      <c r="M150" s="66">
        <f>IF($AB150="TGD",ROUND($E150*(1+$AD150)^(M$4-$E$4),0),IF($AB150="ALTH",ROUND($AE150+$AF150*M$4,0),IF($AB150="IR",ROUND(Proyeccion_Localidades!AJ159,0),IF($AB150="RT",ROUND(Proyeccion_Localidades!BG159,0),"*****"))))</f>
        <v>4993</v>
      </c>
      <c r="N150" s="66">
        <f>IF($AB150="TGD",ROUND($E150*(1+$AD150)^(N$4-$E$4),0),IF($AB150="ALTH",ROUND($AE150+$AF150*N$4,0),IF($AB150="IR",ROUND(Proyeccion_Localidades!AK159,0),IF($AB150="RT",ROUND(Proyeccion_Localidades!BH159,0),"*****"))))</f>
        <v>5020</v>
      </c>
      <c r="O150" s="66">
        <f>IF($AB150="TGD",ROUND($E150*(1+$AD150)^(O$4-$E$4),0),IF($AB150="ALTH",ROUND($AE150+$AF150*O$4,0),IF($AB150="IR",ROUND(Proyeccion_Localidades!AL159,0),IF($AB150="RT",ROUND(Proyeccion_Localidades!BI159,0),"*****"))))</f>
        <v>5047</v>
      </c>
      <c r="P150" s="66">
        <f>IF($AB150="TGD",ROUND($E150*(1+$AD150)^(P$4-$E$4),0),IF($AB150="ALTH",ROUND($AE150+$AF150*P$4,0),IF($AB150="IR",ROUND(Proyeccion_Localidades!AM159,0),IF($AB150="RT",ROUND(Proyeccion_Localidades!BJ159,0),"*****"))))</f>
        <v>5075</v>
      </c>
      <c r="Q150" s="66">
        <f>IF($AB150="TGD",ROUND($E150*(1+$AD150)^(Q$4-$E$4),0),IF($AB150="ALTH",ROUND($AE150+$AF150*Q$4,0),IF($AB150="IR",ROUND(Proyeccion_Localidades!AN159,0),IF($AB150="RT",ROUND(Proyeccion_Localidades!BK159,0),"*****"))))</f>
        <v>5102</v>
      </c>
      <c r="R150" s="66">
        <f>IF($AB150="TGD",ROUND($E150*(1+$AD150)^(R$4-$E$4),0),IF($AB150="ALTH",ROUND($AE150+$AF150*R$4,0),IF($AB150="IR",ROUND(Proyeccion_Localidades!AO159,0),IF($AB150="RT",ROUND(Proyeccion_Localidades!BL159,0),"*****"))))</f>
        <v>5130</v>
      </c>
      <c r="S150" s="66">
        <f>IF($AB150="TGD",ROUND($E150*(1+$AD150)^(S$4-$E$4),0),IF($AB150="ALTH",ROUND($AE150+$AF150*S$4,0),IF($AB150="IR",ROUND(Proyeccion_Localidades!AP159,0),IF($AB150="RT",ROUND(Proyeccion_Localidades!BM159,0),"*****"))))</f>
        <v>5157</v>
      </c>
      <c r="T150" s="66">
        <f>IF($AB150="TGD",ROUND($E150*(1+$AD150)^(T$4-$E$4),0),IF($AB150="ALTH",ROUND($AE150+$AF150*T$4,0),IF($AB150="IR",ROUND(Proyeccion_Localidades!AQ159,0),IF($AB150="RT",ROUND(Proyeccion_Localidades!BN159,0),"*****"))))</f>
        <v>5184</v>
      </c>
      <c r="U150" s="66">
        <f>IF($AB150="TGD",ROUND($E150*(1+$AD150)^(U$4-$E$4),0),IF($AB150="ALTH",ROUND($AE150+$AF150*U$4,0),IF($AB150="IR",ROUND(Proyeccion_Localidades!AR159,0),IF($AB150="RT",ROUND(Proyeccion_Localidades!BO159,0),"*****"))))</f>
        <v>5212</v>
      </c>
      <c r="V150" s="66">
        <f>IF($AB150="TGD",ROUND($E150*(1+$AD150)^(V$4-$E$4),0),IF($AB150="ALTH",ROUND($AE150+$AF150*V$4,0),IF($AB150="IR",ROUND(Proyeccion_Localidades!AS159,0),IF($AB150="RT",ROUND(Proyeccion_Localidades!BP159,0),"*****"))))</f>
        <v>5239</v>
      </c>
      <c r="W150" s="66">
        <f>IF($AB150="TGD",ROUND($E150*(1+$AD150)^(W$4-$E$4),0),IF($AB150="ALTH",ROUND($AE150+$AF150*W$4,0),IF($AB150="IR",ROUND(Proyeccion_Localidades!AT159,0),IF($AB150="RT",ROUND(Proyeccion_Localidades!BQ159,0),"*****"))))</f>
        <v>5267</v>
      </c>
      <c r="X150" s="66">
        <f>IF($AB150="TGD",ROUND($E150*(1+$AD150)^(X$4-$E$4),0),IF($AB150="ALTH",ROUND($AE150+$AF150*X$4,0),IF($AB150="IR",ROUND(Proyeccion_Localidades!AU159,0),IF($AB150="RT",ROUND(Proyeccion_Localidades!BR159,0),"*****"))))</f>
        <v>5294</v>
      </c>
      <c r="Y150" s="66">
        <f>IF($AB150="TGD",ROUND($E150*(1+$AD150)^(Y$4-$E$4),0),IF($AB150="ALTH",ROUND($AE150+$AF150*Y$4,0),IF($AB150="IR",ROUND(Proyeccion_Localidades!AV159,0),IF($AB150="RT",ROUND(Proyeccion_Localidades!BS159,0),"*****"))))</f>
        <v>5322</v>
      </c>
      <c r="Z150" s="66">
        <f>IF($AB150="TGD",ROUND($E150*(1+$AD150)^(Z$4-$E$4),0),IF($AB150="ALTH",ROUND($AE150+$AF150*Z$4,0),IF($AB150="IR",ROUND(Proyeccion_Localidades!AW159,0),IF($AB150="RT",ROUND(Proyeccion_Localidades!BT159,0),"*****"))))</f>
        <v>5349</v>
      </c>
      <c r="AA150" s="66">
        <f>IF($AB150="TGD",ROUND($E150*(1+$AD150)^(AA$4-$E$4),0),IF($AB150="ALTH",ROUND($AE150+$AF150*AA$4,0),IF($AB150="IR",ROUND(Proyeccion_Localidades!AX159,0),IF($AB150="RT",ROUND(Proyeccion_Localidades!BU159,0),"*****"))))</f>
        <v>5376</v>
      </c>
      <c r="AB150" s="100" t="str">
        <f>Proyeccion_Localidades!N159</f>
        <v>ALTH</v>
      </c>
      <c r="AC150" s="101" t="s">
        <v>36</v>
      </c>
      <c r="AD150" s="51" t="str">
        <f>IF(AB150="TGD",Proyeccion_Localidades!Z159,"-")</f>
        <v>-</v>
      </c>
      <c r="AE150" s="51">
        <f>IF($AB150="ALTH",Proyeccion_Localidades!AA159,"-")</f>
        <v>-50668.74538745387</v>
      </c>
      <c r="AF150" s="51">
        <f>IF($AB150="ALTH",Proyeccion_Localidades!AB159,"-")</f>
        <v>27.405904059040587</v>
      </c>
      <c r="AG150" s="81"/>
      <c r="AH150" s="81"/>
      <c r="AI150" s="96">
        <f t="shared" si="8"/>
        <v>4773</v>
      </c>
      <c r="AJ150" s="97"/>
      <c r="AK150" s="97"/>
      <c r="AL150" s="97"/>
      <c r="AO150" s="97"/>
      <c r="AP150" s="97"/>
      <c r="AQ150" s="97"/>
    </row>
    <row r="151" spans="1:43" s="98" customFormat="1" ht="24.95" customHeight="1">
      <c r="A151" s="84" t="str">
        <f>+Proyeccion_Localidades!C160</f>
        <v>La Costa</v>
      </c>
      <c r="B151" s="70">
        <f t="shared" si="10"/>
        <v>147</v>
      </c>
      <c r="C151" s="87" t="str">
        <f>+Proyeccion_Localidades!B160</f>
        <v>San Clemente del Tuyú</v>
      </c>
      <c r="D151" s="261">
        <f t="shared" si="9"/>
        <v>147</v>
      </c>
      <c r="E151" s="72">
        <f>+Verif!E160+ROUND(Verif!E161*122/365,0)</f>
        <v>21523</v>
      </c>
      <c r="F151" s="72">
        <f>+Verif!F160+ROUND(Verif!F161*122/365,0)</f>
        <v>30242</v>
      </c>
      <c r="G151" s="72">
        <f>+Verif!G160+ROUND(Verif!G161*122/365,0)</f>
        <v>31029</v>
      </c>
      <c r="H151" s="72">
        <f>+Verif!H160+ROUND(Verif!H161*122/365,0)</f>
        <v>33391</v>
      </c>
      <c r="I151" s="72">
        <f>+Verif!I160+ROUND(Verif!I161*122/365,0)</f>
        <v>34178</v>
      </c>
      <c r="J151" s="72">
        <f>+Verif!J160+ROUND(Verif!J161*122/365,0)</f>
        <v>34965</v>
      </c>
      <c r="K151" s="72">
        <f>+Verif!K160+ROUND(Verif!K161*122/365,0)</f>
        <v>35752</v>
      </c>
      <c r="L151" s="72">
        <f>+Verif!L160+ROUND(Verif!L161*122/365,0)</f>
        <v>36540</v>
      </c>
      <c r="M151" s="72">
        <f>+Verif!M160+ROUND(Verif!M161*122/365,0)</f>
        <v>37498</v>
      </c>
      <c r="N151" s="72">
        <f>+Verif!N160+ROUND(Verif!N161*122/365,0)</f>
        <v>38457</v>
      </c>
      <c r="O151" s="72">
        <f>+Verif!O160+ROUND(Verif!O161*122/365,0)</f>
        <v>39416</v>
      </c>
      <c r="P151" s="72">
        <f>+Verif!P160+ROUND(Verif!P161*122/365,0)</f>
        <v>40374</v>
      </c>
      <c r="Q151" s="72">
        <f>+Verif!Q160+ROUND(Verif!Q161*122/365,0)</f>
        <v>41333</v>
      </c>
      <c r="R151" s="72">
        <f>+Verif!R160+ROUND(Verif!R161*122/365,0)</f>
        <v>42291</v>
      </c>
      <c r="S151" s="72">
        <f>+Verif!S160+ROUND(Verif!S161*122/365,0)</f>
        <v>43250</v>
      </c>
      <c r="T151" s="72">
        <f>+Verif!T160+ROUND(Verif!T161*122/365,0)</f>
        <v>44208</v>
      </c>
      <c r="U151" s="72">
        <f>+Verif!U160+ROUND(Verif!U161*122/365,0)</f>
        <v>45168</v>
      </c>
      <c r="V151" s="72">
        <f>+Verif!V160+ROUND(Verif!V161*122/365,0)</f>
        <v>46126</v>
      </c>
      <c r="W151" s="72">
        <f>+Verif!W160+ROUND(Verif!W161*122/365,0)</f>
        <v>47085</v>
      </c>
      <c r="X151" s="72">
        <f>+Verif!X160+ROUND(Verif!X161*122/365,0)</f>
        <v>48043</v>
      </c>
      <c r="Y151" s="72">
        <f>+Verif!Y160+ROUND(Verif!Y161*122/365,0)</f>
        <v>49002</v>
      </c>
      <c r="Z151" s="72">
        <f>+Verif!Z160+ROUND(Verif!Z161*122/365,0)</f>
        <v>49960</v>
      </c>
      <c r="AA151" s="72">
        <f>+Verif!AA160+ROUND(Verif!AA161*122/365,0)</f>
        <v>50920</v>
      </c>
      <c r="AB151" s="100" t="str">
        <f>Proyeccion_Localidades!N160</f>
        <v>RT</v>
      </c>
      <c r="AC151" s="99"/>
      <c r="AD151" s="51" t="str">
        <f>IF(AB151="TGD",Proyeccion_Localidades!Z160,"-")</f>
        <v>-</v>
      </c>
      <c r="AE151" s="51" t="str">
        <f>IF($AB151="ALTH",Proyeccion_Localidades!AA160,"-")</f>
        <v>-</v>
      </c>
      <c r="AF151" s="51" t="str">
        <f>IF($AB151="ALTH",Proyeccion_Localidades!AB160,"-")</f>
        <v>-</v>
      </c>
      <c r="AG151" s="81"/>
      <c r="AH151" s="81"/>
      <c r="AI151" s="96">
        <f t="shared" si="8"/>
        <v>31029</v>
      </c>
      <c r="AJ151" s="97"/>
      <c r="AK151" s="97"/>
      <c r="AL151" s="97"/>
      <c r="AO151" s="97"/>
      <c r="AP151" s="97"/>
      <c r="AQ151" s="97"/>
    </row>
    <row r="152" spans="1:43" s="98" customFormat="1" ht="24.95" customHeight="1">
      <c r="A152" s="84" t="str">
        <f>+Proyeccion_Localidades!C162</f>
        <v>Leandro N. Alem</v>
      </c>
      <c r="B152" s="70">
        <f>+B151+1</f>
        <v>148</v>
      </c>
      <c r="C152" s="87" t="str">
        <f>+Proyeccion_Localidades!B162</f>
        <v>Juan Bautista Alberdi</v>
      </c>
      <c r="D152" s="261">
        <f t="shared" si="9"/>
        <v>148</v>
      </c>
      <c r="E152" s="72">
        <f>+Proyeccion_Localidades!F162</f>
        <v>3404</v>
      </c>
      <c r="F152" s="66">
        <f>IF($AB152="TGD",ROUND($E152*(1+$AD152)^(F$4-$E$4),0),IF($AB152="ALTH",ROUND($AE152+$AF152*F$4,0),IF($AB152="IR",ROUND(Proyeccion_Localidades!AC162,0),IF($AB152="RT",ROUND(Proyeccion_Localidades!AZ162,0),"*****"))))</f>
        <v>3406</v>
      </c>
      <c r="G152" s="66">
        <f>IF($AB152="TGD",ROUND($E152*(1+$AD152)^(G$4-$E$4),0),IF($AB152="ALTH",ROUND($AE152+$AF152*G$4,0),IF($AB152="IR",ROUND(Proyeccion_Localidades!AD162,0),IF($AB152="RT",ROUND(Proyeccion_Localidades!BA162,0),"*****"))))</f>
        <v>3406</v>
      </c>
      <c r="H152" s="66">
        <f>IF($AB152="TGD",ROUND($E152*(1+$AD152)^(H$4-$E$4),0),IF($AB152="ALTH",ROUND($AE152+$AF152*H$4,0),IF($AB152="IR",ROUND(Proyeccion_Localidades!AE162,0),IF($AB152="RT",ROUND(Proyeccion_Localidades!BB162,0),"*****"))))</f>
        <v>3405</v>
      </c>
      <c r="I152" s="66">
        <f>IF($AB152="TGD",ROUND($E152*(1+$AD152)^(I$4-$E$4),0),IF($AB152="ALTH",ROUND($AE152+$AF152*I$4,0),IF($AB152="IR",ROUND(Proyeccion_Localidades!AF162,0),IF($AB152="RT",ROUND(Proyeccion_Localidades!BC162,0),"*****"))))</f>
        <v>3404</v>
      </c>
      <c r="J152" s="66">
        <f>IF($AB152="TGD",ROUND($E152*(1+$AD152)^(J$4-$E$4),0),IF($AB152="ALTH",ROUND($AE152+$AF152*J$4,0),IF($AB152="IR",ROUND(Proyeccion_Localidades!AG162,0),IF($AB152="RT",ROUND(Proyeccion_Localidades!BD162,0),"*****"))))</f>
        <v>3404</v>
      </c>
      <c r="K152" s="66">
        <f>IF($AB152="TGD",ROUND($E152*(1+$AD152)^(K$4-$E$4),0),IF($AB152="ALTH",ROUND($AE152+$AF152*K$4,0),IF($AB152="IR",ROUND(Proyeccion_Localidades!AH162,0),IF($AB152="RT",ROUND(Proyeccion_Localidades!BE162,0),"*****"))))</f>
        <v>3403</v>
      </c>
      <c r="L152" s="66">
        <f>IF($AB152="TGD",ROUND($E152*(1+$AD152)^(L$4-$E$4),0),IF($AB152="ALTH",ROUND($AE152+$AF152*L$4,0),IF($AB152="IR",ROUND(Proyeccion_Localidades!AI162,0),IF($AB152="RT",ROUND(Proyeccion_Localidades!BF162,0),"*****"))))</f>
        <v>3403</v>
      </c>
      <c r="M152" s="66">
        <f>IF($AB152="TGD",ROUND($E152*(1+$AD152)^(M$4-$E$4),0),IF($AB152="ALTH",ROUND($AE152+$AF152*M$4,0),IF($AB152="IR",ROUND(Proyeccion_Localidades!AJ162,0),IF($AB152="RT",ROUND(Proyeccion_Localidades!BG162,0),"*****"))))</f>
        <v>3403</v>
      </c>
      <c r="N152" s="66">
        <f>IF($AB152="TGD",ROUND($E152*(1+$AD152)^(N$4-$E$4),0),IF($AB152="ALTH",ROUND($AE152+$AF152*N$4,0),IF($AB152="IR",ROUND(Proyeccion_Localidades!AK162,0),IF($AB152="RT",ROUND(Proyeccion_Localidades!BH162,0),"*****"))))</f>
        <v>3402</v>
      </c>
      <c r="O152" s="66">
        <f>IF($AB152="TGD",ROUND($E152*(1+$AD152)^(O$4-$E$4),0),IF($AB152="ALTH",ROUND($AE152+$AF152*O$4,0),IF($AB152="IR",ROUND(Proyeccion_Localidades!AL162,0),IF($AB152="RT",ROUND(Proyeccion_Localidades!BI162,0),"*****"))))</f>
        <v>3402</v>
      </c>
      <c r="P152" s="66">
        <f>IF($AB152="TGD",ROUND($E152*(1+$AD152)^(P$4-$E$4),0),IF($AB152="ALTH",ROUND($AE152+$AF152*P$4,0),IF($AB152="IR",ROUND(Proyeccion_Localidades!AM162,0),IF($AB152="RT",ROUND(Proyeccion_Localidades!BJ162,0),"*****"))))</f>
        <v>3401</v>
      </c>
      <c r="Q152" s="66">
        <f>IF($AB152="TGD",ROUND($E152*(1+$AD152)^(Q$4-$E$4),0),IF($AB152="ALTH",ROUND($AE152+$AF152*Q$4,0),IF($AB152="IR",ROUND(Proyeccion_Localidades!AN162,0),IF($AB152="RT",ROUND(Proyeccion_Localidades!BK162,0),"*****"))))</f>
        <v>3401</v>
      </c>
      <c r="R152" s="66">
        <f>IF($AB152="TGD",ROUND($E152*(1+$AD152)^(R$4-$E$4),0),IF($AB152="ALTH",ROUND($AE152+$AF152*R$4,0),IF($AB152="IR",ROUND(Proyeccion_Localidades!AO162,0),IF($AB152="RT",ROUND(Proyeccion_Localidades!BL162,0),"*****"))))</f>
        <v>3400</v>
      </c>
      <c r="S152" s="66">
        <f>IF($AB152="TGD",ROUND($E152*(1+$AD152)^(S$4-$E$4),0),IF($AB152="ALTH",ROUND($AE152+$AF152*S$4,0),IF($AB152="IR",ROUND(Proyeccion_Localidades!AP162,0),IF($AB152="RT",ROUND(Proyeccion_Localidades!BM162,0),"*****"))))</f>
        <v>3400</v>
      </c>
      <c r="T152" s="66">
        <f>IF($AB152="TGD",ROUND($E152*(1+$AD152)^(T$4-$E$4),0),IF($AB152="ALTH",ROUND($AE152+$AF152*T$4,0),IF($AB152="IR",ROUND(Proyeccion_Localidades!AQ162,0),IF($AB152="RT",ROUND(Proyeccion_Localidades!BN162,0),"*****"))))</f>
        <v>3399</v>
      </c>
      <c r="U152" s="66">
        <f>IF($AB152="TGD",ROUND($E152*(1+$AD152)^(U$4-$E$4),0),IF($AB152="ALTH",ROUND($AE152+$AF152*U$4,0),IF($AB152="IR",ROUND(Proyeccion_Localidades!AR162,0),IF($AB152="RT",ROUND(Proyeccion_Localidades!BO162,0),"*****"))))</f>
        <v>3399</v>
      </c>
      <c r="V152" s="66">
        <f>IF($AB152="TGD",ROUND($E152*(1+$AD152)^(V$4-$E$4),0),IF($AB152="ALTH",ROUND($AE152+$AF152*V$4,0),IF($AB152="IR",ROUND(Proyeccion_Localidades!AS162,0),IF($AB152="RT",ROUND(Proyeccion_Localidades!BP162,0),"*****"))))</f>
        <v>3399</v>
      </c>
      <c r="W152" s="66">
        <f>IF($AB152="TGD",ROUND($E152*(1+$AD152)^(W$4-$E$4),0),IF($AB152="ALTH",ROUND($AE152+$AF152*W$4,0),IF($AB152="IR",ROUND(Proyeccion_Localidades!AT162,0),IF($AB152="RT",ROUND(Proyeccion_Localidades!BQ162,0),"*****"))))</f>
        <v>3398</v>
      </c>
      <c r="X152" s="66">
        <f>IF($AB152="TGD",ROUND($E152*(1+$AD152)^(X$4-$E$4),0),IF($AB152="ALTH",ROUND($AE152+$AF152*X$4,0),IF($AB152="IR",ROUND(Proyeccion_Localidades!AU162,0),IF($AB152="RT",ROUND(Proyeccion_Localidades!BR162,0),"*****"))))</f>
        <v>3398</v>
      </c>
      <c r="Y152" s="66">
        <f>IF($AB152="TGD",ROUND($E152*(1+$AD152)^(Y$4-$E$4),0),IF($AB152="ALTH",ROUND($AE152+$AF152*Y$4,0),IF($AB152="IR",ROUND(Proyeccion_Localidades!AV162,0),IF($AB152="RT",ROUND(Proyeccion_Localidades!BS162,0),"*****"))))</f>
        <v>3397</v>
      </c>
      <c r="Z152" s="66">
        <f>IF($AB152="TGD",ROUND($E152*(1+$AD152)^(Z$4-$E$4),0),IF($AB152="ALTH",ROUND($AE152+$AF152*Z$4,0),IF($AB152="IR",ROUND(Proyeccion_Localidades!AW162,0),IF($AB152="RT",ROUND(Proyeccion_Localidades!BT162,0),"*****"))))</f>
        <v>3397</v>
      </c>
      <c r="AA152" s="66">
        <f>IF($AB152="TGD",ROUND($E152*(1+$AD152)^(AA$4-$E$4),0),IF($AB152="ALTH",ROUND($AE152+$AF152*AA$4,0),IF($AB152="IR",ROUND(Proyeccion_Localidades!AX162,0),IF($AB152="RT",ROUND(Proyeccion_Localidades!BU162,0),"*****"))))</f>
        <v>3396</v>
      </c>
      <c r="AB152" s="100" t="str">
        <f>Proyeccion_Localidades!N162</f>
        <v>ALTH</v>
      </c>
      <c r="AC152" s="101" t="s">
        <v>36</v>
      </c>
      <c r="AD152" s="51" t="str">
        <f>IF(AB152="TGD",Proyeccion_Localidades!Z162,"-")</f>
        <v>-</v>
      </c>
      <c r="AE152" s="51">
        <f>IF($AB152="ALTH",Proyeccion_Localidades!AA162,"-")</f>
        <v>4283.1143911439112</v>
      </c>
      <c r="AF152" s="51">
        <f>IF($AB152="ALTH",Proyeccion_Localidades!AB162,"-")</f>
        <v>-0.43357933579335806</v>
      </c>
      <c r="AG152" s="81"/>
      <c r="AH152" s="81"/>
      <c r="AI152" s="96">
        <f t="shared" si="8"/>
        <v>3406</v>
      </c>
      <c r="AJ152" s="97"/>
      <c r="AK152" s="97"/>
      <c r="AL152" s="97"/>
      <c r="AO152" s="97"/>
      <c r="AP152" s="97"/>
      <c r="AQ152" s="97"/>
    </row>
    <row r="153" spans="1:43" s="98" customFormat="1" ht="24.95" customHeight="1">
      <c r="A153" s="84" t="str">
        <f>+Proyeccion_Localidades!C163</f>
        <v>Mar Chiquita</v>
      </c>
      <c r="B153" s="70">
        <f t="shared" si="10"/>
        <v>149</v>
      </c>
      <c r="C153" s="87" t="str">
        <f>+Proyeccion_Localidades!B163</f>
        <v>Santa Clara del Mar</v>
      </c>
      <c r="D153" s="261">
        <f t="shared" si="9"/>
        <v>149</v>
      </c>
      <c r="E153" s="72">
        <f>+Verif!E163+ROUND(Verif!E164*122/365,0)</f>
        <v>11778</v>
      </c>
      <c r="F153" s="72">
        <f>+Verif!F163+ROUND(Verif!F164*122/365,0)</f>
        <v>19904</v>
      </c>
      <c r="G153" s="72">
        <f>+Verif!G163+ROUND(Verif!G164*122/365,0)</f>
        <v>20793</v>
      </c>
      <c r="H153" s="72">
        <f>+Verif!H163+ROUND(Verif!H164*122/365,0)</f>
        <v>23708</v>
      </c>
      <c r="I153" s="72">
        <f>+Verif!I163+ROUND(Verif!I164*122/365,0)</f>
        <v>24766</v>
      </c>
      <c r="J153" s="72">
        <f>+Verif!J163+ROUND(Verif!J164*122/365,0)</f>
        <v>25873</v>
      </c>
      <c r="K153" s="72">
        <f>+Verif!K163+ROUND(Verif!K164*122/365,0)</f>
        <v>27029</v>
      </c>
      <c r="L153" s="72">
        <f>+Verif!L163+ROUND(Verif!L164*122/365,0)</f>
        <v>28237</v>
      </c>
      <c r="M153" s="72">
        <f>+Verif!M163+ROUND(Verif!M164*122/365,0)</f>
        <v>29500</v>
      </c>
      <c r="N153" s="72">
        <f>+Verif!N163+ROUND(Verif!N164*122/365,0)</f>
        <v>30818</v>
      </c>
      <c r="O153" s="72">
        <f>+Verif!O163+ROUND(Verif!O164*122/365,0)</f>
        <v>32195</v>
      </c>
      <c r="P153" s="72">
        <f>+Verif!P163+ROUND(Verif!P164*122/365,0)</f>
        <v>33633</v>
      </c>
      <c r="Q153" s="72">
        <f>+Verif!Q163+ROUND(Verif!Q164*122/365,0)</f>
        <v>35136</v>
      </c>
      <c r="R153" s="72">
        <f>+Verif!R163+ROUND(Verif!R164*122/365,0)</f>
        <v>36708</v>
      </c>
      <c r="S153" s="72">
        <f>+Verif!S163+ROUND(Verif!S164*122/365,0)</f>
        <v>38348</v>
      </c>
      <c r="T153" s="72">
        <f>+Verif!T163+ROUND(Verif!T164*122/365,0)</f>
        <v>40061</v>
      </c>
      <c r="U153" s="72">
        <f>+Verif!U163+ROUND(Verif!U164*122/365,0)</f>
        <v>41852</v>
      </c>
      <c r="V153" s="72">
        <f>+Verif!V163+ROUND(Verif!V164*122/365,0)</f>
        <v>43722</v>
      </c>
      <c r="W153" s="72">
        <f>+Verif!W163+ROUND(Verif!W164*122/365,0)</f>
        <v>45676</v>
      </c>
      <c r="X153" s="72">
        <f>+Verif!X163+ROUND(Verif!X164*122/365,0)</f>
        <v>47718</v>
      </c>
      <c r="Y153" s="72">
        <f>+Verif!Y163+ROUND(Verif!Y164*122/365,0)</f>
        <v>49849</v>
      </c>
      <c r="Z153" s="72">
        <f>+Verif!Z163+ROUND(Verif!Z164*122/365,0)</f>
        <v>52077</v>
      </c>
      <c r="AA153" s="72">
        <f>+Verif!AA163+ROUND(Verif!AA164*122/365,0)</f>
        <v>54405</v>
      </c>
      <c r="AB153" s="100" t="str">
        <f>Proyeccion_Localidades!N163</f>
        <v>TGD</v>
      </c>
      <c r="AC153" s="68" t="s">
        <v>35</v>
      </c>
      <c r="AD153" s="51">
        <f>IF(AB153="TGD",Proyeccion_Localidades!Z163,"-")</f>
        <v>4.4689760893204422E-2</v>
      </c>
      <c r="AE153" s="51" t="str">
        <f>IF($AB153="ALTH",Proyeccion_Localidades!AA163,"-")</f>
        <v>-</v>
      </c>
      <c r="AF153" s="51" t="str">
        <f>IF($AB153="ALTH",Proyeccion_Localidades!AB163,"-")</f>
        <v>-</v>
      </c>
      <c r="AG153" s="81"/>
      <c r="AH153" s="81"/>
      <c r="AI153" s="96">
        <f t="shared" si="8"/>
        <v>20793</v>
      </c>
      <c r="AJ153" s="97"/>
      <c r="AK153" s="97"/>
      <c r="AL153" s="97"/>
      <c r="AO153" s="97"/>
      <c r="AP153" s="97"/>
      <c r="AQ153" s="97"/>
    </row>
    <row r="154" spans="1:43" s="98" customFormat="1" ht="24.95" customHeight="1">
      <c r="A154" s="84" t="str">
        <f>+Proyeccion_Localidades!C165</f>
        <v>Puán</v>
      </c>
      <c r="B154" s="70">
        <f>+B153+1</f>
        <v>150</v>
      </c>
      <c r="C154" s="87" t="str">
        <f>+Proyeccion_Localidades!B165</f>
        <v>Darregueira</v>
      </c>
      <c r="D154" s="261">
        <f t="shared" si="9"/>
        <v>150</v>
      </c>
      <c r="E154" s="72">
        <f>+Proyeccion_Localidades!F165</f>
        <v>5547</v>
      </c>
      <c r="F154" s="66">
        <f>IF($AB154="TGD",ROUND($E154*(1+$AD154)^(F$4-$E$4),0),IF($AB154="ALTH",ROUND($AE154+$AF154*F$4,0),IF($AB154="IR",ROUND(Proyeccion_Localidades!AC165,0),IF($AB154="RT",ROUND(Proyeccion_Localidades!AZ165,0),"*****"))))</f>
        <v>5656</v>
      </c>
      <c r="G154" s="66">
        <f>IF($AB154="TGD",ROUND($E154*(1+$AD154)^(G$4-$E$4),0),IF($AB154="ALTH",ROUND($AE154+$AF154*G$4,0),IF($AB154="IR",ROUND(Proyeccion_Localidades!AD165,0),IF($AB154="RT",ROUND(Proyeccion_Localidades!BA165,0),"*****"))))</f>
        <v>5665</v>
      </c>
      <c r="H154" s="66">
        <f>IF($AB154="TGD",ROUND($E154*(1+$AD154)^(H$4-$E$4),0),IF($AB154="ALTH",ROUND($AE154+$AF154*H$4,0),IF($AB154="IR",ROUND(Proyeccion_Localidades!AE165,0),IF($AB154="RT",ROUND(Proyeccion_Localidades!BB165,0),"*****"))))</f>
        <v>5692</v>
      </c>
      <c r="I154" s="66">
        <f>IF($AB154="TGD",ROUND($E154*(1+$AD154)^(I$4-$E$4),0),IF($AB154="ALTH",ROUND($AE154+$AF154*I$4,0),IF($AB154="IR",ROUND(Proyeccion_Localidades!AF165,0),IF($AB154="RT",ROUND(Proyeccion_Localidades!BC165,0),"*****"))))</f>
        <v>5701</v>
      </c>
      <c r="J154" s="66">
        <f>IF($AB154="TGD",ROUND($E154*(1+$AD154)^(J$4-$E$4),0),IF($AB154="ALTH",ROUND($AE154+$AF154*J$4,0),IF($AB154="IR",ROUND(Proyeccion_Localidades!AG165,0),IF($AB154="RT",ROUND(Proyeccion_Localidades!BD165,0),"*****"))))</f>
        <v>5711</v>
      </c>
      <c r="K154" s="66">
        <f>IF($AB154="TGD",ROUND($E154*(1+$AD154)^(K$4-$E$4),0),IF($AB154="ALTH",ROUND($AE154+$AF154*K$4,0),IF($AB154="IR",ROUND(Proyeccion_Localidades!AH165,0),IF($AB154="RT",ROUND(Proyeccion_Localidades!BE165,0),"*****"))))</f>
        <v>5720</v>
      </c>
      <c r="L154" s="66">
        <f>IF($AB154="TGD",ROUND($E154*(1+$AD154)^(L$4-$E$4),0),IF($AB154="ALTH",ROUND($AE154+$AF154*L$4,0),IF($AB154="IR",ROUND(Proyeccion_Localidades!AI165,0),IF($AB154="RT",ROUND(Proyeccion_Localidades!BF165,0),"*****"))))</f>
        <v>5729</v>
      </c>
      <c r="M154" s="66">
        <f>IF($AB154="TGD",ROUND($E154*(1+$AD154)^(M$4-$E$4),0),IF($AB154="ALTH",ROUND($AE154+$AF154*M$4,0),IF($AB154="IR",ROUND(Proyeccion_Localidades!AJ165,0),IF($AB154="RT",ROUND(Proyeccion_Localidades!BG165,0),"*****"))))</f>
        <v>5738</v>
      </c>
      <c r="N154" s="66">
        <f>IF($AB154="TGD",ROUND($E154*(1+$AD154)^(N$4-$E$4),0),IF($AB154="ALTH",ROUND($AE154+$AF154*N$4,0),IF($AB154="IR",ROUND(Proyeccion_Localidades!AK165,0),IF($AB154="RT",ROUND(Proyeccion_Localidades!BH165,0),"*****"))))</f>
        <v>5748</v>
      </c>
      <c r="O154" s="66">
        <f>IF($AB154="TGD",ROUND($E154*(1+$AD154)^(O$4-$E$4),0),IF($AB154="ALTH",ROUND($AE154+$AF154*O$4,0),IF($AB154="IR",ROUND(Proyeccion_Localidades!AL165,0),IF($AB154="RT",ROUND(Proyeccion_Localidades!BI165,0),"*****"))))</f>
        <v>5757</v>
      </c>
      <c r="P154" s="66">
        <f>IF($AB154="TGD",ROUND($E154*(1+$AD154)^(P$4-$E$4),0),IF($AB154="ALTH",ROUND($AE154+$AF154*P$4,0),IF($AB154="IR",ROUND(Proyeccion_Localidades!AM165,0),IF($AB154="RT",ROUND(Proyeccion_Localidades!BJ165,0),"*****"))))</f>
        <v>5766</v>
      </c>
      <c r="Q154" s="66">
        <f>IF($AB154="TGD",ROUND($E154*(1+$AD154)^(Q$4-$E$4),0),IF($AB154="ALTH",ROUND($AE154+$AF154*Q$4,0),IF($AB154="IR",ROUND(Proyeccion_Localidades!AN165,0),IF($AB154="RT",ROUND(Proyeccion_Localidades!BK165,0),"*****"))))</f>
        <v>5776</v>
      </c>
      <c r="R154" s="66">
        <f>IF($AB154="TGD",ROUND($E154*(1+$AD154)^(R$4-$E$4),0),IF($AB154="ALTH",ROUND($AE154+$AF154*R$4,0),IF($AB154="IR",ROUND(Proyeccion_Localidades!AO165,0),IF($AB154="RT",ROUND(Proyeccion_Localidades!BL165,0),"*****"))))</f>
        <v>5785</v>
      </c>
      <c r="S154" s="66">
        <f>IF($AB154="TGD",ROUND($E154*(1+$AD154)^(S$4-$E$4),0),IF($AB154="ALTH",ROUND($AE154+$AF154*S$4,0),IF($AB154="IR",ROUND(Proyeccion_Localidades!AP165,0),IF($AB154="RT",ROUND(Proyeccion_Localidades!BM165,0),"*****"))))</f>
        <v>5794</v>
      </c>
      <c r="T154" s="66">
        <f>IF($AB154="TGD",ROUND($E154*(1+$AD154)^(T$4-$E$4),0),IF($AB154="ALTH",ROUND($AE154+$AF154*T$4,0),IF($AB154="IR",ROUND(Proyeccion_Localidades!AQ165,0),IF($AB154="RT",ROUND(Proyeccion_Localidades!BN165,0),"*****"))))</f>
        <v>5804</v>
      </c>
      <c r="U154" s="66">
        <f>IF($AB154="TGD",ROUND($E154*(1+$AD154)^(U$4-$E$4),0),IF($AB154="ALTH",ROUND($AE154+$AF154*U$4,0),IF($AB154="IR",ROUND(Proyeccion_Localidades!AR165,0),IF($AB154="RT",ROUND(Proyeccion_Localidades!BO165,0),"*****"))))</f>
        <v>5813</v>
      </c>
      <c r="V154" s="66">
        <f>IF($AB154="TGD",ROUND($E154*(1+$AD154)^(V$4-$E$4),0),IF($AB154="ALTH",ROUND($AE154+$AF154*V$4,0),IF($AB154="IR",ROUND(Proyeccion_Localidades!AS165,0),IF($AB154="RT",ROUND(Proyeccion_Localidades!BP165,0),"*****"))))</f>
        <v>5823</v>
      </c>
      <c r="W154" s="66">
        <f>IF($AB154="TGD",ROUND($E154*(1+$AD154)^(W$4-$E$4),0),IF($AB154="ALTH",ROUND($AE154+$AF154*W$4,0),IF($AB154="IR",ROUND(Proyeccion_Localidades!AT165,0),IF($AB154="RT",ROUND(Proyeccion_Localidades!BQ165,0),"*****"))))</f>
        <v>5832</v>
      </c>
      <c r="X154" s="66">
        <f>IF($AB154="TGD",ROUND($E154*(1+$AD154)^(X$4-$E$4),0),IF($AB154="ALTH",ROUND($AE154+$AF154*X$4,0),IF($AB154="IR",ROUND(Proyeccion_Localidades!AU165,0),IF($AB154="RT",ROUND(Proyeccion_Localidades!BR165,0),"*****"))))</f>
        <v>5841</v>
      </c>
      <c r="Y154" s="66">
        <f>IF($AB154="TGD",ROUND($E154*(1+$AD154)^(Y$4-$E$4),0),IF($AB154="ALTH",ROUND($AE154+$AF154*Y$4,0),IF($AB154="IR",ROUND(Proyeccion_Localidades!AV165,0),IF($AB154="RT",ROUND(Proyeccion_Localidades!BS165,0),"*****"))))</f>
        <v>5851</v>
      </c>
      <c r="Z154" s="66">
        <f>IF($AB154="TGD",ROUND($E154*(1+$AD154)^(Z$4-$E$4),0),IF($AB154="ALTH",ROUND($AE154+$AF154*Z$4,0),IF($AB154="IR",ROUND(Proyeccion_Localidades!AW165,0),IF($AB154="RT",ROUND(Proyeccion_Localidades!BT165,0),"*****"))))</f>
        <v>5860</v>
      </c>
      <c r="AA154" s="66">
        <f>IF($AB154="TGD",ROUND($E154*(1+$AD154)^(AA$4-$E$4),0),IF($AB154="ALTH",ROUND($AE154+$AF154*AA$4,0),IF($AB154="IR",ROUND(Proyeccion_Localidades!AX165,0),IF($AB154="RT",ROUND(Proyeccion_Localidades!BU165,0),"*****"))))</f>
        <v>5870</v>
      </c>
      <c r="AB154" s="100" t="str">
        <f>Proyeccion_Localidades!N165</f>
        <v>TGD</v>
      </c>
      <c r="AC154" s="68" t="s">
        <v>35</v>
      </c>
      <c r="AD154" s="51">
        <f>IF(AB154="TGD",Proyeccion_Localidades!Z165,"-")</f>
        <v>1.6172704411440142E-3</v>
      </c>
      <c r="AE154" s="51" t="str">
        <f>IF($AB154="ALTH",Proyeccion_Localidades!AA165,"-")</f>
        <v>-</v>
      </c>
      <c r="AF154" s="51" t="str">
        <f>IF($AB154="ALTH",Proyeccion_Localidades!AB165,"-")</f>
        <v>-</v>
      </c>
      <c r="AG154" s="81"/>
      <c r="AH154" s="81"/>
      <c r="AI154" s="96">
        <f t="shared" si="8"/>
        <v>5665</v>
      </c>
      <c r="AJ154" s="97"/>
      <c r="AK154" s="97"/>
      <c r="AL154" s="97"/>
      <c r="AO154" s="97"/>
      <c r="AP154" s="97"/>
      <c r="AQ154" s="97"/>
    </row>
    <row r="155" spans="1:43" s="98" customFormat="1" ht="24.95" customHeight="1">
      <c r="A155" s="84" t="str">
        <f>+Proyeccion_Localidades!C166</f>
        <v>Ramallo</v>
      </c>
      <c r="B155" s="70">
        <f t="shared" si="10"/>
        <v>151</v>
      </c>
      <c r="C155" s="87" t="str">
        <f>+Proyeccion_Localidades!B166</f>
        <v>Villa Ramallo</v>
      </c>
      <c r="D155" s="261">
        <f t="shared" si="9"/>
        <v>151</v>
      </c>
      <c r="E155" s="72">
        <f>+Proyeccion_Localidades!F166</f>
        <v>11280</v>
      </c>
      <c r="F155" s="66">
        <f>IF($AB155="TGD",ROUND($E155*(1+$AD155)^(F$4-$E$4),0),IF($AB155="ALTH",ROUND($AE155+$AF155*F$4,0),IF($AB155="IR",ROUND(Proyeccion_Localidades!AC166,0),IF($AB155="RT",ROUND(Proyeccion_Localidades!AZ166,0),"*****"))))</f>
        <v>12340</v>
      </c>
      <c r="G155" s="66">
        <f>IF($AB155="TGD",ROUND($E155*(1+$AD155)^(G$4-$E$4),0),IF($AB155="ALTH",ROUND($AE155+$AF155*G$4,0),IF($AB155="IR",ROUND(Proyeccion_Localidades!AD166,0),IF($AB155="RT",ROUND(Proyeccion_Localidades!BA166,0),"*****"))))</f>
        <v>12433</v>
      </c>
      <c r="H155" s="66">
        <f>IF($AB155="TGD",ROUND($E155*(1+$AD155)^(H$4-$E$4),0),IF($AB155="ALTH",ROUND($AE155+$AF155*H$4,0),IF($AB155="IR",ROUND(Proyeccion_Localidades!AE166,0),IF($AB155="RT",ROUND(Proyeccion_Localidades!BB166,0),"*****"))))</f>
        <v>12715</v>
      </c>
      <c r="I155" s="66">
        <f>IF($AB155="TGD",ROUND($E155*(1+$AD155)^(I$4-$E$4),0),IF($AB155="ALTH",ROUND($AE155+$AF155*I$4,0),IF($AB155="IR",ROUND(Proyeccion_Localidades!AF166,0),IF($AB155="RT",ROUND(Proyeccion_Localidades!BC166,0),"*****"))))</f>
        <v>12810</v>
      </c>
      <c r="J155" s="66">
        <f>IF($AB155="TGD",ROUND($E155*(1+$AD155)^(J$4-$E$4),0),IF($AB155="ALTH",ROUND($AE155+$AF155*J$4,0),IF($AB155="IR",ROUND(Proyeccion_Localidades!AG166,0),IF($AB155="RT",ROUND(Proyeccion_Localidades!BD166,0),"*****"))))</f>
        <v>12907</v>
      </c>
      <c r="K155" s="66">
        <f>IF($AB155="TGD",ROUND($E155*(1+$AD155)^(K$4-$E$4),0),IF($AB155="ALTH",ROUND($AE155+$AF155*K$4,0),IF($AB155="IR",ROUND(Proyeccion_Localidades!AH166,0),IF($AB155="RT",ROUND(Proyeccion_Localidades!BE166,0),"*****"))))</f>
        <v>13003</v>
      </c>
      <c r="L155" s="66">
        <f>IF($AB155="TGD",ROUND($E155*(1+$AD155)^(L$4-$E$4),0),IF($AB155="ALTH",ROUND($AE155+$AF155*L$4,0),IF($AB155="IR",ROUND(Proyeccion_Localidades!AI166,0),IF($AB155="RT",ROUND(Proyeccion_Localidades!BF166,0),"*****"))))</f>
        <v>13101</v>
      </c>
      <c r="M155" s="66">
        <f>IF($AB155="TGD",ROUND($E155*(1+$AD155)^(M$4-$E$4),0),IF($AB155="ALTH",ROUND($AE155+$AF155*M$4,0),IF($AB155="IR",ROUND(Proyeccion_Localidades!AJ166,0),IF($AB155="RT",ROUND(Proyeccion_Localidades!BG166,0),"*****"))))</f>
        <v>13200</v>
      </c>
      <c r="N155" s="66">
        <f>IF($AB155="TGD",ROUND($E155*(1+$AD155)^(N$4-$E$4),0),IF($AB155="ALTH",ROUND($AE155+$AF155*N$4,0),IF($AB155="IR",ROUND(Proyeccion_Localidades!AK166,0),IF($AB155="RT",ROUND(Proyeccion_Localidades!BH166,0),"*****"))))</f>
        <v>13299</v>
      </c>
      <c r="O155" s="66">
        <f>IF($AB155="TGD",ROUND($E155*(1+$AD155)^(O$4-$E$4),0),IF($AB155="ALTH",ROUND($AE155+$AF155*O$4,0),IF($AB155="IR",ROUND(Proyeccion_Localidades!AL166,0),IF($AB155="RT",ROUND(Proyeccion_Localidades!BI166,0),"*****"))))</f>
        <v>13399</v>
      </c>
      <c r="P155" s="66">
        <f>IF($AB155="TGD",ROUND($E155*(1+$AD155)^(P$4-$E$4),0),IF($AB155="ALTH",ROUND($AE155+$AF155*P$4,0),IF($AB155="IR",ROUND(Proyeccion_Localidades!AM166,0),IF($AB155="RT",ROUND(Proyeccion_Localidades!BJ166,0),"*****"))))</f>
        <v>13499</v>
      </c>
      <c r="Q155" s="66">
        <f>IF($AB155="TGD",ROUND($E155*(1+$AD155)^(Q$4-$E$4),0),IF($AB155="ALTH",ROUND($AE155+$AF155*Q$4,0),IF($AB155="IR",ROUND(Proyeccion_Localidades!AN166,0),IF($AB155="RT",ROUND(Proyeccion_Localidades!BK166,0),"*****"))))</f>
        <v>13601</v>
      </c>
      <c r="R155" s="66">
        <f>IF($AB155="TGD",ROUND($E155*(1+$AD155)^(R$4-$E$4),0),IF($AB155="ALTH",ROUND($AE155+$AF155*R$4,0),IF($AB155="IR",ROUND(Proyeccion_Localidades!AO166,0),IF($AB155="RT",ROUND(Proyeccion_Localidades!BL166,0),"*****"))))</f>
        <v>13703</v>
      </c>
      <c r="S155" s="66">
        <f>IF($AB155="TGD",ROUND($E155*(1+$AD155)^(S$4-$E$4),0),IF($AB155="ALTH",ROUND($AE155+$AF155*S$4,0),IF($AB155="IR",ROUND(Proyeccion_Localidades!AP166,0),IF($AB155="RT",ROUND(Proyeccion_Localidades!BM166,0),"*****"))))</f>
        <v>13806</v>
      </c>
      <c r="T155" s="66">
        <f>IF($AB155="TGD",ROUND($E155*(1+$AD155)^(T$4-$E$4),0),IF($AB155="ALTH",ROUND($AE155+$AF155*T$4,0),IF($AB155="IR",ROUND(Proyeccion_Localidades!AQ166,0),IF($AB155="RT",ROUND(Proyeccion_Localidades!BN166,0),"*****"))))</f>
        <v>13909</v>
      </c>
      <c r="U155" s="66">
        <f>IF($AB155="TGD",ROUND($E155*(1+$AD155)^(U$4-$E$4),0),IF($AB155="ALTH",ROUND($AE155+$AF155*U$4,0),IF($AB155="IR",ROUND(Proyeccion_Localidades!AR166,0),IF($AB155="RT",ROUND(Proyeccion_Localidades!BO166,0),"*****"))))</f>
        <v>14014</v>
      </c>
      <c r="V155" s="66">
        <f>IF($AB155="TGD",ROUND($E155*(1+$AD155)^(V$4-$E$4),0),IF($AB155="ALTH",ROUND($AE155+$AF155*V$4,0),IF($AB155="IR",ROUND(Proyeccion_Localidades!AS166,0),IF($AB155="RT",ROUND(Proyeccion_Localidades!BP166,0),"*****"))))</f>
        <v>14119</v>
      </c>
      <c r="W155" s="66">
        <f>IF($AB155="TGD",ROUND($E155*(1+$AD155)^(W$4-$E$4),0),IF($AB155="ALTH",ROUND($AE155+$AF155*W$4,0),IF($AB155="IR",ROUND(Proyeccion_Localidades!AT166,0),IF($AB155="RT",ROUND(Proyeccion_Localidades!BQ166,0),"*****"))))</f>
        <v>14225</v>
      </c>
      <c r="X155" s="66">
        <f>IF($AB155="TGD",ROUND($E155*(1+$AD155)^(X$4-$E$4),0),IF($AB155="ALTH",ROUND($AE155+$AF155*X$4,0),IF($AB155="IR",ROUND(Proyeccion_Localidades!AU166,0),IF($AB155="RT",ROUND(Proyeccion_Localidades!BR166,0),"*****"))))</f>
        <v>14332</v>
      </c>
      <c r="Y155" s="66">
        <f>IF($AB155="TGD",ROUND($E155*(1+$AD155)^(Y$4-$E$4),0),IF($AB155="ALTH",ROUND($AE155+$AF155*Y$4,0),IF($AB155="IR",ROUND(Proyeccion_Localidades!AV166,0),IF($AB155="RT",ROUND(Proyeccion_Localidades!BS166,0),"*****"))))</f>
        <v>14440</v>
      </c>
      <c r="Z155" s="66">
        <f>IF($AB155="TGD",ROUND($E155*(1+$AD155)^(Z$4-$E$4),0),IF($AB155="ALTH",ROUND($AE155+$AF155*Z$4,0),IF($AB155="IR",ROUND(Proyeccion_Localidades!AW166,0),IF($AB155="RT",ROUND(Proyeccion_Localidades!BT166,0),"*****"))))</f>
        <v>14548</v>
      </c>
      <c r="AA155" s="66">
        <f>IF($AB155="TGD",ROUND($E155*(1+$AD155)^(AA$4-$E$4),0),IF($AB155="ALTH",ROUND($AE155+$AF155*AA$4,0),IF($AB155="IR",ROUND(Proyeccion_Localidades!AX166,0),IF($AB155="RT",ROUND(Proyeccion_Localidades!BU166,0),"*****"))))</f>
        <v>14657</v>
      </c>
      <c r="AB155" s="100" t="str">
        <f>Proyeccion_Localidades!N166</f>
        <v>TGD</v>
      </c>
      <c r="AC155" s="68" t="s">
        <v>35</v>
      </c>
      <c r="AD155" s="51">
        <f>IF(AB155="TGD",Proyeccion_Localidades!Z166,"-")</f>
        <v>7.511422743409879E-3</v>
      </c>
      <c r="AE155" s="51" t="str">
        <f>IF($AB155="ALTH",Proyeccion_Localidades!AA166,"-")</f>
        <v>-</v>
      </c>
      <c r="AF155" s="51" t="str">
        <f>IF($AB155="ALTH",Proyeccion_Localidades!AB166,"-")</f>
        <v>-</v>
      </c>
      <c r="AG155" s="81"/>
      <c r="AH155" s="81"/>
      <c r="AI155" s="96">
        <f t="shared" si="8"/>
        <v>12433</v>
      </c>
      <c r="AJ155" s="97"/>
      <c r="AK155" s="97"/>
      <c r="AL155" s="97"/>
      <c r="AO155" s="97"/>
      <c r="AP155" s="97"/>
      <c r="AQ155" s="97"/>
    </row>
    <row r="156" spans="1:43" s="98" customFormat="1" ht="24.95" customHeight="1">
      <c r="A156" s="84" t="str">
        <f>+Proyeccion_Localidades!C167</f>
        <v>Tornquist</v>
      </c>
      <c r="B156" s="70">
        <f t="shared" si="10"/>
        <v>152</v>
      </c>
      <c r="C156" s="87" t="str">
        <f>+Proyeccion_Localidades!B167</f>
        <v>Sierra de la Ventana</v>
      </c>
      <c r="D156" s="261">
        <f t="shared" si="9"/>
        <v>152</v>
      </c>
      <c r="E156" s="72">
        <f>+Proyeccion_Localidades!F167</f>
        <v>2165</v>
      </c>
      <c r="F156" s="66">
        <f>IF($AB156="TGD",ROUND($E156*(1+$AD156)^(F$4-$E$4),0),IF($AB156="ALTH",ROUND($AE156+$AF156*F$4,0),IF($AB156="IR",ROUND(Proyeccion_Localidades!AC167,0),IF($AB156="RT",ROUND(Proyeccion_Localidades!AZ167,0),"*****"))))</f>
        <v>3488</v>
      </c>
      <c r="G156" s="66">
        <f>IF($AB156="TGD",ROUND($E156*(1+$AD156)^(G$4-$E$4),0),IF($AB156="ALTH",ROUND($AE156+$AF156*G$4,0),IF($AB156="IR",ROUND(Proyeccion_Localidades!AD167,0),IF($AB156="RT",ROUND(Proyeccion_Localidades!BA167,0),"*****"))))</f>
        <v>3629</v>
      </c>
      <c r="H156" s="66">
        <f>IF($AB156="TGD",ROUND($E156*(1+$AD156)^(H$4-$E$4),0),IF($AB156="ALTH",ROUND($AE156+$AF156*H$4,0),IF($AB156="IR",ROUND(Proyeccion_Localidades!AE167,0),IF($AB156="RT",ROUND(Proyeccion_Localidades!BB167,0),"*****"))))</f>
        <v>4089</v>
      </c>
      <c r="I156" s="66">
        <f>IF($AB156="TGD",ROUND($E156*(1+$AD156)^(I$4-$E$4),0),IF($AB156="ALTH",ROUND($AE156+$AF156*I$4,0),IF($AB156="IR",ROUND(Proyeccion_Localidades!AF167,0),IF($AB156="RT",ROUND(Proyeccion_Localidades!BC167,0),"*****"))))</f>
        <v>4255</v>
      </c>
      <c r="J156" s="66">
        <f>IF($AB156="TGD",ROUND($E156*(1+$AD156)^(J$4-$E$4),0),IF($AB156="ALTH",ROUND($AE156+$AF156*J$4,0),IF($AB156="IR",ROUND(Proyeccion_Localidades!AG167,0),IF($AB156="RT",ROUND(Proyeccion_Localidades!BD167,0),"*****"))))</f>
        <v>4427</v>
      </c>
      <c r="K156" s="66">
        <f>IF($AB156="TGD",ROUND($E156*(1+$AD156)^(K$4-$E$4),0),IF($AB156="ALTH",ROUND($AE156+$AF156*K$4,0),IF($AB156="IR",ROUND(Proyeccion_Localidades!AH167,0),IF($AB156="RT",ROUND(Proyeccion_Localidades!BE167,0),"*****"))))</f>
        <v>4607</v>
      </c>
      <c r="L156" s="66">
        <f>IF($AB156="TGD",ROUND($E156*(1+$AD156)^(L$4-$E$4),0),IF($AB156="ALTH",ROUND($AE156+$AF156*L$4,0),IF($AB156="IR",ROUND(Proyeccion_Localidades!AI167,0),IF($AB156="RT",ROUND(Proyeccion_Localidades!BF167,0),"*****"))))</f>
        <v>4793</v>
      </c>
      <c r="M156" s="66">
        <f>IF($AB156="TGD",ROUND($E156*(1+$AD156)^(M$4-$E$4),0),IF($AB156="ALTH",ROUND($AE156+$AF156*M$4,0),IF($AB156="IR",ROUND(Proyeccion_Localidades!AJ167,0),IF($AB156="RT",ROUND(Proyeccion_Localidades!BG167,0),"*****"))))</f>
        <v>4988</v>
      </c>
      <c r="N156" s="66">
        <f>IF($AB156="TGD",ROUND($E156*(1+$AD156)^(N$4-$E$4),0),IF($AB156="ALTH",ROUND($AE156+$AF156*N$4,0),IF($AB156="IR",ROUND(Proyeccion_Localidades!AK167,0),IF($AB156="RT",ROUND(Proyeccion_Localidades!BH167,0),"*****"))))</f>
        <v>5190</v>
      </c>
      <c r="O156" s="66">
        <f>IF($AB156="TGD",ROUND($E156*(1+$AD156)^(O$4-$E$4),0),IF($AB156="ALTH",ROUND($AE156+$AF156*O$4,0),IF($AB156="IR",ROUND(Proyeccion_Localidades!AL167,0),IF($AB156="RT",ROUND(Proyeccion_Localidades!BI167,0),"*****"))))</f>
        <v>5400</v>
      </c>
      <c r="P156" s="66">
        <f>IF($AB156="TGD",ROUND($E156*(1+$AD156)^(P$4-$E$4),0),IF($AB156="ALTH",ROUND($AE156+$AF156*P$4,0),IF($AB156="IR",ROUND(Proyeccion_Localidades!AM167,0),IF($AB156="RT",ROUND(Proyeccion_Localidades!BJ167,0),"*****"))))</f>
        <v>5619</v>
      </c>
      <c r="Q156" s="66">
        <f>IF($AB156="TGD",ROUND($E156*(1+$AD156)^(Q$4-$E$4),0),IF($AB156="ALTH",ROUND($AE156+$AF156*Q$4,0),IF($AB156="IR",ROUND(Proyeccion_Localidades!AN167,0),IF($AB156="RT",ROUND(Proyeccion_Localidades!BK167,0),"*****"))))</f>
        <v>5847</v>
      </c>
      <c r="R156" s="66">
        <f>IF($AB156="TGD",ROUND($E156*(1+$AD156)^(R$4-$E$4),0),IF($AB156="ALTH",ROUND($AE156+$AF156*R$4,0),IF($AB156="IR",ROUND(Proyeccion_Localidades!AO167,0),IF($AB156="RT",ROUND(Proyeccion_Localidades!BL167,0),"*****"))))</f>
        <v>6084</v>
      </c>
      <c r="S156" s="66">
        <f>IF($AB156="TGD",ROUND($E156*(1+$AD156)^(S$4-$E$4),0),IF($AB156="ALTH",ROUND($AE156+$AF156*S$4,0),IF($AB156="IR",ROUND(Proyeccion_Localidades!AP167,0),IF($AB156="RT",ROUND(Proyeccion_Localidades!BM167,0),"*****"))))</f>
        <v>6331</v>
      </c>
      <c r="T156" s="66">
        <f>IF($AB156="TGD",ROUND($E156*(1+$AD156)^(T$4-$E$4),0),IF($AB156="ALTH",ROUND($AE156+$AF156*T$4,0),IF($AB156="IR",ROUND(Proyeccion_Localidades!AQ167,0),IF($AB156="RT",ROUND(Proyeccion_Localidades!BN167,0),"*****"))))</f>
        <v>6587</v>
      </c>
      <c r="U156" s="66">
        <f>IF($AB156="TGD",ROUND($E156*(1+$AD156)^(U$4-$E$4),0),IF($AB156="ALTH",ROUND($AE156+$AF156*U$4,0),IF($AB156="IR",ROUND(Proyeccion_Localidades!AR167,0),IF($AB156="RT",ROUND(Proyeccion_Localidades!BO167,0),"*****"))))</f>
        <v>6854</v>
      </c>
      <c r="V156" s="66">
        <f>IF($AB156="TGD",ROUND($E156*(1+$AD156)^(V$4-$E$4),0),IF($AB156="ALTH",ROUND($AE156+$AF156*V$4,0),IF($AB156="IR",ROUND(Proyeccion_Localidades!AS167,0),IF($AB156="RT",ROUND(Proyeccion_Localidades!BP167,0),"*****"))))</f>
        <v>7132</v>
      </c>
      <c r="W156" s="66">
        <f>IF($AB156="TGD",ROUND($E156*(1+$AD156)^(W$4-$E$4),0),IF($AB156="ALTH",ROUND($AE156+$AF156*W$4,0),IF($AB156="IR",ROUND(Proyeccion_Localidades!AT167,0),IF($AB156="RT",ROUND(Proyeccion_Localidades!BQ167,0),"*****"))))</f>
        <v>7421</v>
      </c>
      <c r="X156" s="66">
        <f>IF($AB156="TGD",ROUND($E156*(1+$AD156)^(X$4-$E$4),0),IF($AB156="ALTH",ROUND($AE156+$AF156*X$4,0),IF($AB156="IR",ROUND(Proyeccion_Localidades!AU167,0),IF($AB156="RT",ROUND(Proyeccion_Localidades!BR167,0),"*****"))))</f>
        <v>7722</v>
      </c>
      <c r="Y156" s="66">
        <f>IF($AB156="TGD",ROUND($E156*(1+$AD156)^(Y$4-$E$4),0),IF($AB156="ALTH",ROUND($AE156+$AF156*Y$4,0),IF($AB156="IR",ROUND(Proyeccion_Localidades!AV167,0),IF($AB156="RT",ROUND(Proyeccion_Localidades!BS167,0),"*****"))))</f>
        <v>8035</v>
      </c>
      <c r="Z156" s="66">
        <f>IF($AB156="TGD",ROUND($E156*(1+$AD156)^(Z$4-$E$4),0),IF($AB156="ALTH",ROUND($AE156+$AF156*Z$4,0),IF($AB156="IR",ROUND(Proyeccion_Localidades!AW167,0),IF($AB156="RT",ROUND(Proyeccion_Localidades!BT167,0),"*****"))))</f>
        <v>8361</v>
      </c>
      <c r="AA156" s="66">
        <f>IF($AB156="TGD",ROUND($E156*(1+$AD156)^(AA$4-$E$4),0),IF($AB156="ALTH",ROUND($AE156+$AF156*AA$4,0),IF($AB156="IR",ROUND(Proyeccion_Localidades!AX167,0),IF($AB156="RT",ROUND(Proyeccion_Localidades!BU167,0),"*****"))))</f>
        <v>8700</v>
      </c>
      <c r="AB156" s="100" t="str">
        <f>Proyeccion_Localidades!N167</f>
        <v>TGD</v>
      </c>
      <c r="AC156" s="68" t="s">
        <v>35</v>
      </c>
      <c r="AD156" s="51">
        <f>IF(AB156="TGD",Proyeccion_Localidades!Z167,"-")</f>
        <v>4.0540800513102715E-2</v>
      </c>
      <c r="AE156" s="51" t="str">
        <f>IF($AB156="ALTH",Proyeccion_Localidades!AA167,"-")</f>
        <v>-</v>
      </c>
      <c r="AF156" s="51" t="str">
        <f>IF($AB156="ALTH",Proyeccion_Localidades!AB167,"-")</f>
        <v>-</v>
      </c>
      <c r="AG156" s="81"/>
      <c r="AH156" s="81"/>
      <c r="AI156" s="96">
        <f t="shared" si="8"/>
        <v>3629</v>
      </c>
      <c r="AJ156" s="97"/>
      <c r="AK156" s="97"/>
      <c r="AL156" s="97"/>
      <c r="AO156" s="97"/>
      <c r="AP156" s="97"/>
      <c r="AQ156" s="97"/>
    </row>
    <row r="157" spans="1:43" s="98" customFormat="1" ht="24.95" customHeight="1">
      <c r="A157" s="84" t="str">
        <f>+Proyeccion_Localidades!C168</f>
        <v>Villarino</v>
      </c>
      <c r="B157" s="70">
        <f t="shared" si="10"/>
        <v>153</v>
      </c>
      <c r="C157" s="87" t="str">
        <f>+Proyeccion_Localidades!B168</f>
        <v>Mayor Buratovich</v>
      </c>
      <c r="D157" s="261">
        <f t="shared" si="9"/>
        <v>153</v>
      </c>
      <c r="E157" s="72">
        <f>+Proyeccion_Localidades!F168</f>
        <v>5372</v>
      </c>
      <c r="F157" s="66">
        <f>IF($AB157="TGD",ROUND($E157*(1+$AD157)^(F$4-$E$4),0),IF($AB157="ALTH",ROUND($AE157+$AF157*F$4,0),IF($AB157="IR",ROUND(Proyeccion_Localidades!AC168,0),IF($AB157="RT",ROUND(Proyeccion_Localidades!AZ168,0),"*****"))))</f>
        <v>6865</v>
      </c>
      <c r="G157" s="66">
        <f>IF($AB157="TGD",ROUND($E157*(1+$AD157)^(G$4-$E$4),0),IF($AB157="ALTH",ROUND($AE157+$AF157*G$4,0),IF($AB157="IR",ROUND(Proyeccion_Localidades!AD168,0),IF($AB157="RT",ROUND(Proyeccion_Localidades!BA168,0),"*****"))))</f>
        <v>7007</v>
      </c>
      <c r="H157" s="66">
        <f>IF($AB157="TGD",ROUND($E157*(1+$AD157)^(H$4-$E$4),0),IF($AB157="ALTH",ROUND($AE157+$AF157*H$4,0),IF($AB157="IR",ROUND(Proyeccion_Localidades!AE168,0),IF($AB157="RT",ROUND(Proyeccion_Localidades!BB168,0),"*****"))))</f>
        <v>7450</v>
      </c>
      <c r="I157" s="66">
        <f>IF($AB157="TGD",ROUND($E157*(1+$AD157)^(I$4-$E$4),0),IF($AB157="ALTH",ROUND($AE157+$AF157*I$4,0),IF($AB157="IR",ROUND(Proyeccion_Localidades!AF168,0),IF($AB157="RT",ROUND(Proyeccion_Localidades!BC168,0),"*****"))))</f>
        <v>7604</v>
      </c>
      <c r="J157" s="66">
        <f>IF($AB157="TGD",ROUND($E157*(1+$AD157)^(J$4-$E$4),0),IF($AB157="ALTH",ROUND($AE157+$AF157*J$4,0),IF($AB157="IR",ROUND(Proyeccion_Localidades!AG168,0),IF($AB157="RT",ROUND(Proyeccion_Localidades!BD168,0),"*****"))))</f>
        <v>7761</v>
      </c>
      <c r="K157" s="66">
        <f>IF($AB157="TGD",ROUND($E157*(1+$AD157)^(K$4-$E$4),0),IF($AB157="ALTH",ROUND($AE157+$AF157*K$4,0),IF($AB157="IR",ROUND(Proyeccion_Localidades!AH168,0),IF($AB157="RT",ROUND(Proyeccion_Localidades!BE168,0),"*****"))))</f>
        <v>7921</v>
      </c>
      <c r="L157" s="66">
        <f>IF($AB157="TGD",ROUND($E157*(1+$AD157)^(L$4-$E$4),0),IF($AB157="ALTH",ROUND($AE157+$AF157*L$4,0),IF($AB157="IR",ROUND(Proyeccion_Localidades!AI168,0),IF($AB157="RT",ROUND(Proyeccion_Localidades!BF168,0),"*****"))))</f>
        <v>8084</v>
      </c>
      <c r="M157" s="66">
        <f>IF($AB157="TGD",ROUND($E157*(1+$AD157)^(M$4-$E$4),0),IF($AB157="ALTH",ROUND($AE157+$AF157*M$4,0),IF($AB157="IR",ROUND(Proyeccion_Localidades!AJ168,0),IF($AB157="RT",ROUND(Proyeccion_Localidades!BG168,0),"*****"))))</f>
        <v>8251</v>
      </c>
      <c r="N157" s="66">
        <f>IF($AB157="TGD",ROUND($E157*(1+$AD157)^(N$4-$E$4),0),IF($AB157="ALTH",ROUND($AE157+$AF157*N$4,0),IF($AB157="IR",ROUND(Proyeccion_Localidades!AK168,0),IF($AB157="RT",ROUND(Proyeccion_Localidades!BH168,0),"*****"))))</f>
        <v>8422</v>
      </c>
      <c r="O157" s="66">
        <f>IF($AB157="TGD",ROUND($E157*(1+$AD157)^(O$4-$E$4),0),IF($AB157="ALTH",ROUND($AE157+$AF157*O$4,0),IF($AB157="IR",ROUND(Proyeccion_Localidades!AL168,0),IF($AB157="RT",ROUND(Proyeccion_Localidades!BI168,0),"*****"))))</f>
        <v>8596</v>
      </c>
      <c r="P157" s="66">
        <f>IF($AB157="TGD",ROUND($E157*(1+$AD157)^(P$4-$E$4),0),IF($AB157="ALTH",ROUND($AE157+$AF157*P$4,0),IF($AB157="IR",ROUND(Proyeccion_Localidades!AM168,0),IF($AB157="RT",ROUND(Proyeccion_Localidades!BJ168,0),"*****"))))</f>
        <v>8773</v>
      </c>
      <c r="Q157" s="66">
        <f>IF($AB157="TGD",ROUND($E157*(1+$AD157)^(Q$4-$E$4),0),IF($AB157="ALTH",ROUND($AE157+$AF157*Q$4,0),IF($AB157="IR",ROUND(Proyeccion_Localidades!AN168,0),IF($AB157="RT",ROUND(Proyeccion_Localidades!BK168,0),"*****"))))</f>
        <v>8954</v>
      </c>
      <c r="R157" s="66">
        <f>IF($AB157="TGD",ROUND($E157*(1+$AD157)^(R$4-$E$4),0),IF($AB157="ALTH",ROUND($AE157+$AF157*R$4,0),IF($AB157="IR",ROUND(Proyeccion_Localidades!AO168,0),IF($AB157="RT",ROUND(Proyeccion_Localidades!BL168,0),"*****"))))</f>
        <v>9139</v>
      </c>
      <c r="S157" s="66">
        <f>IF($AB157="TGD",ROUND($E157*(1+$AD157)^(S$4-$E$4),0),IF($AB157="ALTH",ROUND($AE157+$AF157*S$4,0),IF($AB157="IR",ROUND(Proyeccion_Localidades!AP168,0),IF($AB157="RT",ROUND(Proyeccion_Localidades!BM168,0),"*****"))))</f>
        <v>9328</v>
      </c>
      <c r="T157" s="66">
        <f>IF($AB157="TGD",ROUND($E157*(1+$AD157)^(T$4-$E$4),0),IF($AB157="ALTH",ROUND($AE157+$AF157*T$4,0),IF($AB157="IR",ROUND(Proyeccion_Localidades!AQ168,0),IF($AB157="RT",ROUND(Proyeccion_Localidades!BN168,0),"*****"))))</f>
        <v>9520</v>
      </c>
      <c r="U157" s="66">
        <f>IF($AB157="TGD",ROUND($E157*(1+$AD157)^(U$4-$E$4),0),IF($AB157="ALTH",ROUND($AE157+$AF157*U$4,0),IF($AB157="IR",ROUND(Proyeccion_Localidades!AR168,0),IF($AB157="RT",ROUND(Proyeccion_Localidades!BO168,0),"*****"))))</f>
        <v>9717</v>
      </c>
      <c r="V157" s="66">
        <f>IF($AB157="TGD",ROUND($E157*(1+$AD157)^(V$4-$E$4),0),IF($AB157="ALTH",ROUND($AE157+$AF157*V$4,0),IF($AB157="IR",ROUND(Proyeccion_Localidades!AS168,0),IF($AB157="RT",ROUND(Proyeccion_Localidades!BP168,0),"*****"))))</f>
        <v>9918</v>
      </c>
      <c r="W157" s="66">
        <f>IF($AB157="TGD",ROUND($E157*(1+$AD157)^(W$4-$E$4),0),IF($AB157="ALTH",ROUND($AE157+$AF157*W$4,0),IF($AB157="IR",ROUND(Proyeccion_Localidades!AT168,0),IF($AB157="RT",ROUND(Proyeccion_Localidades!BQ168,0),"*****"))))</f>
        <v>10122</v>
      </c>
      <c r="X157" s="66">
        <f>IF($AB157="TGD",ROUND($E157*(1+$AD157)^(X$4-$E$4),0),IF($AB157="ALTH",ROUND($AE157+$AF157*X$4,0),IF($AB157="IR",ROUND(Proyeccion_Localidades!AU168,0),IF($AB157="RT",ROUND(Proyeccion_Localidades!BR168,0),"*****"))))</f>
        <v>10331</v>
      </c>
      <c r="Y157" s="66">
        <f>IF($AB157="TGD",ROUND($E157*(1+$AD157)^(Y$4-$E$4),0),IF($AB157="ALTH",ROUND($AE157+$AF157*Y$4,0),IF($AB157="IR",ROUND(Proyeccion_Localidades!AV168,0),IF($AB157="RT",ROUND(Proyeccion_Localidades!BS168,0),"*****"))))</f>
        <v>10545</v>
      </c>
      <c r="Z157" s="66">
        <f>IF($AB157="TGD",ROUND($E157*(1+$AD157)^(Z$4-$E$4),0),IF($AB157="ALTH",ROUND($AE157+$AF157*Z$4,0),IF($AB157="IR",ROUND(Proyeccion_Localidades!AW168,0),IF($AB157="RT",ROUND(Proyeccion_Localidades!BT168,0),"*****"))))</f>
        <v>10762</v>
      </c>
      <c r="AA157" s="66">
        <f>IF($AB157="TGD",ROUND($E157*(1+$AD157)^(AA$4-$E$4),0),IF($AB157="ALTH",ROUND($AE157+$AF157*AA$4,0),IF($AB157="IR",ROUND(Proyeccion_Localidades!AX168,0),IF($AB157="RT",ROUND(Proyeccion_Localidades!BU168,0),"*****"))))</f>
        <v>10985</v>
      </c>
      <c r="AB157" s="100" t="str">
        <f>Proyeccion_Localidades!N168</f>
        <v>TGD</v>
      </c>
      <c r="AC157" s="68" t="s">
        <v>35</v>
      </c>
      <c r="AD157" s="51">
        <f>IF(AB157="TGD",Proyeccion_Localidades!Z168,"-")</f>
        <v>2.064743959522497E-2</v>
      </c>
      <c r="AE157" s="51" t="str">
        <f>IF($AB157="ALTH",Proyeccion_Localidades!AA168,"-")</f>
        <v>-</v>
      </c>
      <c r="AF157" s="51" t="str">
        <f>IF($AB157="ALTH",Proyeccion_Localidades!AB168,"-")</f>
        <v>-</v>
      </c>
      <c r="AG157" s="81"/>
      <c r="AH157" s="81"/>
      <c r="AI157" s="96">
        <f t="shared" si="8"/>
        <v>7007</v>
      </c>
      <c r="AJ157" s="97"/>
      <c r="AK157" s="97"/>
      <c r="AL157" s="97"/>
      <c r="AO157" s="97"/>
      <c r="AP157" s="97"/>
      <c r="AQ157" s="97"/>
    </row>
    <row r="158" spans="1:43" s="98" customFormat="1" ht="24.95" customHeight="1">
      <c r="A158" s="84" t="str">
        <f>+Proyeccion_Localidades!C169</f>
        <v>Villarino</v>
      </c>
      <c r="B158" s="70">
        <f t="shared" si="10"/>
        <v>154</v>
      </c>
      <c r="C158" s="87" t="str">
        <f>+Proyeccion_Localidades!B169</f>
        <v>Pedro Luro</v>
      </c>
      <c r="D158" s="261">
        <f t="shared" si="9"/>
        <v>154</v>
      </c>
      <c r="E158" s="72">
        <f>+Proyeccion_Localidades!F169</f>
        <v>9494</v>
      </c>
      <c r="F158" s="66">
        <f>IF($AB158="TGD",ROUND($E158*(1+$AD158)^(F$4-$E$4),0),IF($AB158="ALTH",ROUND($AE158+$AF158*F$4,0),IF($AB158="IR",ROUND(Proyeccion_Localidades!AC169,0),IF($AB158="RT",ROUND(Proyeccion_Localidades!AZ169,0),"*****"))))</f>
        <v>15336</v>
      </c>
      <c r="G158" s="66">
        <f>IF($AB158="TGD",ROUND($E158*(1+$AD158)^(G$4-$E$4),0),IF($AB158="ALTH",ROUND($AE158+$AF158*G$4,0),IF($AB158="IR",ROUND(Proyeccion_Localidades!AD169,0),IF($AB158="RT",ROUND(Proyeccion_Localidades!BA169,0),"*****"))))</f>
        <v>15961</v>
      </c>
      <c r="H158" s="66">
        <f>IF($AB158="TGD",ROUND($E158*(1+$AD158)^(H$4-$E$4),0),IF($AB158="ALTH",ROUND($AE158+$AF158*H$4,0),IF($AB158="IR",ROUND(Proyeccion_Localidades!AE169,0),IF($AB158="RT",ROUND(Proyeccion_Localidades!BB169,0),"*****"))))</f>
        <v>17994</v>
      </c>
      <c r="I158" s="66">
        <f>IF($AB158="TGD",ROUND($E158*(1+$AD158)^(I$4-$E$4),0),IF($AB158="ALTH",ROUND($AE158+$AF158*I$4,0),IF($AB158="IR",ROUND(Proyeccion_Localidades!AF169,0),IF($AB158="RT",ROUND(Proyeccion_Localidades!BC169,0),"*****"))))</f>
        <v>18728</v>
      </c>
      <c r="J158" s="66">
        <f>IF($AB158="TGD",ROUND($E158*(1+$AD158)^(J$4-$E$4),0),IF($AB158="ALTH",ROUND($AE158+$AF158*J$4,0),IF($AB158="IR",ROUND(Proyeccion_Localidades!AG169,0),IF($AB158="RT",ROUND(Proyeccion_Localidades!BD169,0),"*****"))))</f>
        <v>19491</v>
      </c>
      <c r="K158" s="66">
        <f>IF($AB158="TGD",ROUND($E158*(1+$AD158)^(K$4-$E$4),0),IF($AB158="ALTH",ROUND($AE158+$AF158*K$4,0),IF($AB158="IR",ROUND(Proyeccion_Localidades!AH169,0),IF($AB158="RT",ROUND(Proyeccion_Localidades!BE169,0),"*****"))))</f>
        <v>20286</v>
      </c>
      <c r="L158" s="66">
        <f>IF($AB158="TGD",ROUND($E158*(1+$AD158)^(L$4-$E$4),0),IF($AB158="ALTH",ROUND($AE158+$AF158*L$4,0),IF($AB158="IR",ROUND(Proyeccion_Localidades!AI169,0),IF($AB158="RT",ROUND(Proyeccion_Localidades!BF169,0),"*****"))))</f>
        <v>21113</v>
      </c>
      <c r="M158" s="66">
        <f>IF($AB158="TGD",ROUND($E158*(1+$AD158)^(M$4-$E$4),0),IF($AB158="ALTH",ROUND($AE158+$AF158*M$4,0),IF($AB158="IR",ROUND(Proyeccion_Localidades!AJ169,0),IF($AB158="RT",ROUND(Proyeccion_Localidades!BG169,0),"*****"))))</f>
        <v>21974</v>
      </c>
      <c r="N158" s="66">
        <f>IF($AB158="TGD",ROUND($E158*(1+$AD158)^(N$4-$E$4),0),IF($AB158="ALTH",ROUND($AE158+$AF158*N$4,0),IF($AB158="IR",ROUND(Proyeccion_Localidades!AK169,0),IF($AB158="RT",ROUND(Proyeccion_Localidades!BH169,0),"*****"))))</f>
        <v>22870</v>
      </c>
      <c r="O158" s="66">
        <f>IF($AB158="TGD",ROUND($E158*(1+$AD158)^(O$4-$E$4),0),IF($AB158="ALTH",ROUND($AE158+$AF158*O$4,0),IF($AB158="IR",ROUND(Proyeccion_Localidades!AL169,0),IF($AB158="RT",ROUND(Proyeccion_Localidades!BI169,0),"*****"))))</f>
        <v>23802</v>
      </c>
      <c r="P158" s="66">
        <f>IF($AB158="TGD",ROUND($E158*(1+$AD158)^(P$4-$E$4),0),IF($AB158="ALTH",ROUND($AE158+$AF158*P$4,0),IF($AB158="IR",ROUND(Proyeccion_Localidades!AM169,0),IF($AB158="RT",ROUND(Proyeccion_Localidades!BJ169,0),"*****"))))</f>
        <v>24773</v>
      </c>
      <c r="Q158" s="66">
        <f>IF($AB158="TGD",ROUND($E158*(1+$AD158)^(Q$4-$E$4),0),IF($AB158="ALTH",ROUND($AE158+$AF158*Q$4,0),IF($AB158="IR",ROUND(Proyeccion_Localidades!AN169,0),IF($AB158="RT",ROUND(Proyeccion_Localidades!BK169,0),"*****"))))</f>
        <v>25783</v>
      </c>
      <c r="R158" s="66">
        <f>IF($AB158="TGD",ROUND($E158*(1+$AD158)^(R$4-$E$4),0),IF($AB158="ALTH",ROUND($AE158+$AF158*R$4,0),IF($AB158="IR",ROUND(Proyeccion_Localidades!AO169,0),IF($AB158="RT",ROUND(Proyeccion_Localidades!BL169,0),"*****"))))</f>
        <v>26834</v>
      </c>
      <c r="S158" s="66">
        <f>IF($AB158="TGD",ROUND($E158*(1+$AD158)^(S$4-$E$4),0),IF($AB158="ALTH",ROUND($AE158+$AF158*S$4,0),IF($AB158="IR",ROUND(Proyeccion_Localidades!AP169,0),IF($AB158="RT",ROUND(Proyeccion_Localidades!BM169,0),"*****"))))</f>
        <v>27928</v>
      </c>
      <c r="T158" s="66">
        <f>IF($AB158="TGD",ROUND($E158*(1+$AD158)^(T$4-$E$4),0),IF($AB158="ALTH",ROUND($AE158+$AF158*T$4,0),IF($AB158="IR",ROUND(Proyeccion_Localidades!AQ169,0),IF($AB158="RT",ROUND(Proyeccion_Localidades!BN169,0),"*****"))))</f>
        <v>29067</v>
      </c>
      <c r="U158" s="66">
        <f>IF($AB158="TGD",ROUND($E158*(1+$AD158)^(U$4-$E$4),0),IF($AB158="ALTH",ROUND($AE158+$AF158*U$4,0),IF($AB158="IR",ROUND(Proyeccion_Localidades!AR169,0),IF($AB158="RT",ROUND(Proyeccion_Localidades!BO169,0),"*****"))))</f>
        <v>30252</v>
      </c>
      <c r="V158" s="66">
        <f>IF($AB158="TGD",ROUND($E158*(1+$AD158)^(V$4-$E$4),0),IF($AB158="ALTH",ROUND($AE158+$AF158*V$4,0),IF($AB158="IR",ROUND(Proyeccion_Localidades!AS169,0),IF($AB158="RT",ROUND(Proyeccion_Localidades!BP169,0),"*****"))))</f>
        <v>31485</v>
      </c>
      <c r="W158" s="66">
        <f>IF($AB158="TGD",ROUND($E158*(1+$AD158)^(W$4-$E$4),0),IF($AB158="ALTH",ROUND($AE158+$AF158*W$4,0),IF($AB158="IR",ROUND(Proyeccion_Localidades!AT169,0),IF($AB158="RT",ROUND(Proyeccion_Localidades!BQ169,0),"*****"))))</f>
        <v>32769</v>
      </c>
      <c r="X158" s="66">
        <f>IF($AB158="TGD",ROUND($E158*(1+$AD158)^(X$4-$E$4),0),IF($AB158="ALTH",ROUND($AE158+$AF158*X$4,0),IF($AB158="IR",ROUND(Proyeccion_Localidades!AU169,0),IF($AB158="RT",ROUND(Proyeccion_Localidades!BR169,0),"*****"))))</f>
        <v>34105</v>
      </c>
      <c r="Y158" s="66">
        <f>IF($AB158="TGD",ROUND($E158*(1+$AD158)^(Y$4-$E$4),0),IF($AB158="ALTH",ROUND($AE158+$AF158*Y$4,0),IF($AB158="IR",ROUND(Proyeccion_Localidades!AV169,0),IF($AB158="RT",ROUND(Proyeccion_Localidades!BS169,0),"*****"))))</f>
        <v>35496</v>
      </c>
      <c r="Z158" s="66">
        <f>IF($AB158="TGD",ROUND($E158*(1+$AD158)^(Z$4-$E$4),0),IF($AB158="ALTH",ROUND($AE158+$AF158*Z$4,0),IF($AB158="IR",ROUND(Proyeccion_Localidades!AW169,0),IF($AB158="RT",ROUND(Proyeccion_Localidades!BT169,0),"*****"))))</f>
        <v>36943</v>
      </c>
      <c r="AA158" s="66">
        <f>IF($AB158="TGD",ROUND($E158*(1+$AD158)^(AA$4-$E$4),0),IF($AB158="ALTH",ROUND($AE158+$AF158*AA$4,0),IF($AB158="IR",ROUND(Proyeccion_Localidades!AX169,0),IF($AB158="RT",ROUND(Proyeccion_Localidades!BU169,0),"*****"))))</f>
        <v>38449</v>
      </c>
      <c r="AB158" s="100" t="str">
        <f>Proyeccion_Localidades!N169</f>
        <v>TGD</v>
      </c>
      <c r="AC158" s="68" t="s">
        <v>35</v>
      </c>
      <c r="AD158" s="51">
        <f>IF(AB158="TGD",Proyeccion_Localidades!Z169,"-")</f>
        <v>4.0771306962635867E-2</v>
      </c>
      <c r="AE158" s="51" t="str">
        <f>IF($AB158="ALTH",Proyeccion_Localidades!AA169,"-")</f>
        <v>-</v>
      </c>
      <c r="AF158" s="51" t="str">
        <f>IF($AB158="ALTH",Proyeccion_Localidades!AB169,"-")</f>
        <v>-</v>
      </c>
      <c r="AG158" s="81"/>
      <c r="AH158" s="81"/>
      <c r="AI158" s="96">
        <f t="shared" si="8"/>
        <v>15961</v>
      </c>
      <c r="AJ158" s="97"/>
      <c r="AK158" s="97"/>
      <c r="AL158" s="97"/>
      <c r="AO158" s="97"/>
      <c r="AP158" s="97"/>
      <c r="AQ158" s="97"/>
    </row>
    <row r="159" spans="1:43" ht="24.95" customHeight="1" thickBot="1">
      <c r="A159" s="957" t="s">
        <v>58</v>
      </c>
      <c r="B159" s="958"/>
      <c r="C159" s="958"/>
      <c r="D159" s="103"/>
      <c r="E159" s="105">
        <f t="shared" ref="E159:AA159" si="11">SUM(E5:E158)</f>
        <v>20259563</v>
      </c>
      <c r="F159" s="106">
        <f t="shared" si="11"/>
        <v>22966567</v>
      </c>
      <c r="G159" s="106">
        <f t="shared" si="11"/>
        <v>23214081</v>
      </c>
      <c r="H159" s="106">
        <f t="shared" si="11"/>
        <v>23968908</v>
      </c>
      <c r="I159" s="106">
        <f t="shared" si="11"/>
        <v>24224731</v>
      </c>
      <c r="J159" s="106">
        <f t="shared" si="11"/>
        <v>24482710</v>
      </c>
      <c r="K159" s="106">
        <f t="shared" si="11"/>
        <v>24742900</v>
      </c>
      <c r="L159" s="106">
        <f t="shared" si="11"/>
        <v>25005311</v>
      </c>
      <c r="M159" s="106">
        <f t="shared" si="11"/>
        <v>25272979</v>
      </c>
      <c r="N159" s="106">
        <f t="shared" si="11"/>
        <v>25542948</v>
      </c>
      <c r="O159" s="106">
        <f t="shared" si="11"/>
        <v>25815277</v>
      </c>
      <c r="P159" s="106">
        <f t="shared" si="11"/>
        <v>26089983</v>
      </c>
      <c r="Q159" s="106">
        <f t="shared" si="11"/>
        <v>26367118</v>
      </c>
      <c r="R159" s="106">
        <f t="shared" si="11"/>
        <v>26646736</v>
      </c>
      <c r="S159" s="106">
        <f t="shared" si="11"/>
        <v>26928865</v>
      </c>
      <c r="T159" s="106">
        <f t="shared" si="11"/>
        <v>27213537</v>
      </c>
      <c r="U159" s="106">
        <f t="shared" si="11"/>
        <v>27500820</v>
      </c>
      <c r="V159" s="106">
        <f t="shared" si="11"/>
        <v>27790742</v>
      </c>
      <c r="W159" s="106">
        <f t="shared" si="11"/>
        <v>28083351</v>
      </c>
      <c r="X159" s="106">
        <f t="shared" si="11"/>
        <v>28378696</v>
      </c>
      <c r="Y159" s="106">
        <f t="shared" si="11"/>
        <v>28676818</v>
      </c>
      <c r="Z159" s="106">
        <f t="shared" si="11"/>
        <v>28977765</v>
      </c>
      <c r="AA159" s="106">
        <f t="shared" si="11"/>
        <v>29281606</v>
      </c>
      <c r="AB159" s="107"/>
      <c r="AC159" s="108"/>
      <c r="AD159" s="108"/>
      <c r="AE159" s="108"/>
      <c r="AF159" s="108"/>
      <c r="AG159" s="108"/>
      <c r="AH159" s="108"/>
      <c r="AI159" s="107">
        <f>SUM(AI5:AI140)</f>
        <v>23058449</v>
      </c>
    </row>
    <row r="160" spans="1:43">
      <c r="E160" s="109"/>
      <c r="F160" s="109"/>
      <c r="G160" s="109"/>
      <c r="H160" s="109"/>
      <c r="I160" s="110"/>
      <c r="J160" s="110"/>
      <c r="K160" s="110"/>
      <c r="L160" s="110"/>
      <c r="M160" s="110"/>
      <c r="N160" s="110"/>
      <c r="O160" s="110"/>
      <c r="P160" s="110"/>
      <c r="Q160" s="110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8"/>
      <c r="AC160" s="108"/>
      <c r="AD160" s="108"/>
      <c r="AE160" s="108"/>
      <c r="AF160" s="108"/>
      <c r="AG160" s="108"/>
      <c r="AH160" s="108"/>
      <c r="AI160" s="107"/>
    </row>
    <row r="161" spans="3:28">
      <c r="C161" s="108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07"/>
    </row>
    <row r="162" spans="3:28">
      <c r="C162" s="108"/>
      <c r="E162" s="366"/>
      <c r="F162" s="366"/>
      <c r="G162" s="366"/>
      <c r="H162" s="366"/>
      <c r="I162" s="366"/>
      <c r="J162" s="366"/>
      <c r="K162" s="366"/>
      <c r="L162" s="366"/>
      <c r="M162" s="366"/>
      <c r="N162" s="366"/>
      <c r="O162" s="366"/>
      <c r="P162" s="366"/>
      <c r="Q162" s="366"/>
      <c r="R162" s="366"/>
      <c r="S162" s="366"/>
      <c r="T162" s="366"/>
      <c r="U162" s="366"/>
      <c r="V162" s="366"/>
      <c r="W162" s="366"/>
      <c r="X162" s="366"/>
      <c r="Y162" s="366"/>
      <c r="Z162" s="366"/>
      <c r="AA162" s="366"/>
      <c r="AB162" s="112"/>
    </row>
    <row r="163" spans="3:28">
      <c r="E163" s="281"/>
      <c r="F163" s="281"/>
      <c r="G163" s="281"/>
      <c r="H163" s="281"/>
      <c r="I163" s="281"/>
      <c r="J163" s="281"/>
      <c r="K163" s="281"/>
      <c r="L163" s="281"/>
      <c r="M163" s="281"/>
      <c r="N163" s="281"/>
      <c r="O163" s="281"/>
      <c r="P163" s="281"/>
      <c r="Q163" s="281"/>
      <c r="R163" s="281"/>
      <c r="S163" s="281"/>
      <c r="T163" s="281"/>
      <c r="U163" s="281"/>
      <c r="V163" s="281"/>
      <c r="W163" s="281"/>
      <c r="X163" s="281"/>
      <c r="Y163" s="281"/>
      <c r="Z163" s="281"/>
      <c r="AA163" s="281"/>
    </row>
    <row r="164" spans="3:28"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281"/>
      <c r="T164" s="281"/>
      <c r="U164" s="281"/>
      <c r="V164" s="281"/>
      <c r="W164" s="281"/>
      <c r="X164" s="281"/>
      <c r="Y164" s="281"/>
      <c r="Z164" s="281"/>
      <c r="AA164" s="281"/>
    </row>
  </sheetData>
  <autoFilter ref="A4:AB159" xr:uid="{00000000-0009-0000-0000-00000D000000}"/>
  <mergeCells count="3">
    <mergeCell ref="G1:Z1"/>
    <mergeCell ref="AE3:AF3"/>
    <mergeCell ref="A159:C159"/>
  </mergeCells>
  <pageMargins left="0.70866141732283472" right="0.70866141732283472" top="0.55118110236220474" bottom="0.55118110236220474" header="0.31496062992125984" footer="0.31496062992125984"/>
  <pageSetup paperSize="9" scale="64" orientation="landscape" r:id="rId1"/>
  <rowBreaks count="1" manualBreakCount="1">
    <brk id="116" max="26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>
    <tabColor theme="0" tint="-0.499984740745262"/>
  </sheetPr>
  <dimension ref="A1:BB175"/>
  <sheetViews>
    <sheetView view="pageBreakPreview" zoomScale="85" zoomScaleSheetLayoutView="85" workbookViewId="0">
      <pane xSplit="3" ySplit="4" topLeftCell="D14" activePane="bottomRight" state="frozen"/>
      <selection activeCell="C11" sqref="C11"/>
      <selection pane="topRight" activeCell="C11" sqref="C11"/>
      <selection pane="bottomLeft" activeCell="C11" sqref="C11"/>
      <selection pane="bottomRight" activeCell="F15" sqref="F1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5.140625" style="42" customWidth="1"/>
    <col min="4" max="4" width="16.42578125" style="42" customWidth="1"/>
    <col min="5" max="6" width="13.28515625" style="42" customWidth="1"/>
    <col min="7" max="8" width="17.28515625" style="42" customWidth="1"/>
    <col min="9" max="17" width="13.28515625" style="42" customWidth="1"/>
    <col min="18" max="27" width="11.42578125" style="42" customWidth="1"/>
    <col min="28" max="28" width="19.7109375" style="42" customWidth="1"/>
    <col min="29" max="29" width="54.5703125" style="42" customWidth="1"/>
    <col min="30" max="32" width="18.28515625" style="42" customWidth="1"/>
    <col min="33" max="34" width="11.42578125" style="42" customWidth="1"/>
    <col min="35" max="16384" width="11.42578125" style="42"/>
  </cols>
  <sheetData>
    <row r="1" spans="1:35" ht="16.5" thickBot="1">
      <c r="A1" s="41" t="s">
        <v>24</v>
      </c>
      <c r="G1" s="955"/>
      <c r="H1" s="955"/>
      <c r="I1" s="955"/>
      <c r="J1" s="955"/>
      <c r="K1" s="955"/>
      <c r="L1" s="955"/>
      <c r="M1" s="955"/>
      <c r="N1" s="955"/>
      <c r="O1" s="955"/>
      <c r="P1" s="955"/>
      <c r="Q1" s="955"/>
      <c r="R1" s="955"/>
      <c r="S1" s="955"/>
      <c r="T1" s="955"/>
      <c r="U1" s="955"/>
      <c r="V1" s="955"/>
      <c r="W1" s="955"/>
      <c r="X1" s="955"/>
      <c r="Y1" s="955"/>
      <c r="Z1" s="955"/>
      <c r="AA1" s="43"/>
      <c r="AC1" s="44"/>
      <c r="AD1" s="44"/>
      <c r="AE1" s="44"/>
      <c r="AF1" s="44"/>
      <c r="AG1" s="44"/>
      <c r="AH1" s="44"/>
      <c r="AI1" s="44"/>
    </row>
    <row r="2" spans="1:35" ht="16.5" thickBot="1">
      <c r="A2" s="41">
        <v>1</v>
      </c>
      <c r="B2" s="42">
        <f>+A2+1</f>
        <v>2</v>
      </c>
      <c r="C2" s="42">
        <f t="shared" ref="C2:AA2" si="0">+B2+1</f>
        <v>3</v>
      </c>
      <c r="D2" s="42">
        <f t="shared" si="0"/>
        <v>4</v>
      </c>
      <c r="E2" s="42">
        <f t="shared" si="0"/>
        <v>5</v>
      </c>
      <c r="F2" s="42">
        <f t="shared" si="0"/>
        <v>6</v>
      </c>
      <c r="G2" s="42">
        <f>+F2+1</f>
        <v>7</v>
      </c>
      <c r="H2" s="42">
        <f t="shared" si="0"/>
        <v>8</v>
      </c>
      <c r="I2" s="42">
        <f t="shared" si="0"/>
        <v>9</v>
      </c>
      <c r="J2" s="42">
        <f t="shared" si="0"/>
        <v>10</v>
      </c>
      <c r="K2" s="42">
        <f t="shared" si="0"/>
        <v>11</v>
      </c>
      <c r="L2" s="42">
        <f t="shared" si="0"/>
        <v>12</v>
      </c>
      <c r="M2" s="42">
        <f t="shared" si="0"/>
        <v>13</v>
      </c>
      <c r="N2" s="42">
        <f t="shared" si="0"/>
        <v>14</v>
      </c>
      <c r="O2" s="42">
        <f t="shared" si="0"/>
        <v>15</v>
      </c>
      <c r="P2" s="42">
        <f t="shared" si="0"/>
        <v>16</v>
      </c>
      <c r="Q2" s="42">
        <f t="shared" si="0"/>
        <v>17</v>
      </c>
      <c r="R2" s="42">
        <f t="shared" si="0"/>
        <v>18</v>
      </c>
      <c r="S2" s="42">
        <f t="shared" si="0"/>
        <v>19</v>
      </c>
      <c r="T2" s="42">
        <f t="shared" si="0"/>
        <v>20</v>
      </c>
      <c r="U2" s="42">
        <f t="shared" si="0"/>
        <v>21</v>
      </c>
      <c r="V2" s="42">
        <f t="shared" si="0"/>
        <v>22</v>
      </c>
      <c r="W2" s="42">
        <f t="shared" si="0"/>
        <v>23</v>
      </c>
      <c r="X2" s="42">
        <f t="shared" si="0"/>
        <v>24</v>
      </c>
      <c r="Y2" s="42">
        <f t="shared" si="0"/>
        <v>25</v>
      </c>
      <c r="Z2" s="42">
        <f t="shared" si="0"/>
        <v>26</v>
      </c>
      <c r="AA2" s="42">
        <f t="shared" si="0"/>
        <v>27</v>
      </c>
      <c r="AC2" s="44"/>
      <c r="AD2" s="44"/>
      <c r="AE2" s="44"/>
      <c r="AF2" s="44"/>
      <c r="AG2" s="44"/>
      <c r="AH2" s="44"/>
      <c r="AI2" s="44"/>
    </row>
    <row r="3" spans="1:35" ht="62.25" customHeight="1" thickBot="1">
      <c r="A3" s="45"/>
      <c r="B3" s="44"/>
      <c r="C3" s="45"/>
      <c r="D3" s="44"/>
      <c r="E3" s="46" t="s">
        <v>25</v>
      </c>
      <c r="F3" s="47"/>
      <c r="G3" s="47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9"/>
      <c r="AC3" s="363"/>
      <c r="AD3" s="363" t="s">
        <v>26</v>
      </c>
      <c r="AE3" s="956" t="s">
        <v>27</v>
      </c>
      <c r="AF3" s="956"/>
      <c r="AG3" s="51"/>
      <c r="AH3" s="51"/>
      <c r="AI3" s="44"/>
    </row>
    <row r="4" spans="1:35" ht="27" customHeight="1" thickBot="1">
      <c r="A4" s="52" t="s">
        <v>28</v>
      </c>
      <c r="B4" s="53" t="s">
        <v>29</v>
      </c>
      <c r="C4" s="53" t="s">
        <v>22</v>
      </c>
      <c r="D4" s="54"/>
      <c r="E4" s="55">
        <v>2010</v>
      </c>
      <c r="F4" s="56">
        <v>2022</v>
      </c>
      <c r="G4" s="57">
        <v>2023</v>
      </c>
      <c r="H4" s="58">
        <v>2026</v>
      </c>
      <c r="I4" s="58">
        <v>2027</v>
      </c>
      <c r="J4" s="58">
        <f t="shared" ref="J4:AA4" si="1">+I4+1</f>
        <v>2028</v>
      </c>
      <c r="K4" s="58">
        <f t="shared" si="1"/>
        <v>2029</v>
      </c>
      <c r="L4" s="58">
        <f t="shared" si="1"/>
        <v>2030</v>
      </c>
      <c r="M4" s="58">
        <f t="shared" si="1"/>
        <v>2031</v>
      </c>
      <c r="N4" s="58">
        <f t="shared" si="1"/>
        <v>2032</v>
      </c>
      <c r="O4" s="58">
        <f t="shared" si="1"/>
        <v>2033</v>
      </c>
      <c r="P4" s="58">
        <f t="shared" si="1"/>
        <v>2034</v>
      </c>
      <c r="Q4" s="58">
        <f t="shared" si="1"/>
        <v>2035</v>
      </c>
      <c r="R4" s="58">
        <f t="shared" si="1"/>
        <v>2036</v>
      </c>
      <c r="S4" s="58">
        <f t="shared" si="1"/>
        <v>2037</v>
      </c>
      <c r="T4" s="58">
        <f t="shared" si="1"/>
        <v>2038</v>
      </c>
      <c r="U4" s="58">
        <f t="shared" si="1"/>
        <v>2039</v>
      </c>
      <c r="V4" s="58">
        <f t="shared" si="1"/>
        <v>2040</v>
      </c>
      <c r="W4" s="58">
        <f t="shared" si="1"/>
        <v>2041</v>
      </c>
      <c r="X4" s="58">
        <f t="shared" si="1"/>
        <v>2042</v>
      </c>
      <c r="Y4" s="58">
        <f t="shared" si="1"/>
        <v>2043</v>
      </c>
      <c r="Z4" s="58">
        <f t="shared" si="1"/>
        <v>2044</v>
      </c>
      <c r="AA4" s="58">
        <f t="shared" si="1"/>
        <v>2045</v>
      </c>
      <c r="AB4" s="59" t="s">
        <v>30</v>
      </c>
      <c r="AC4" s="60" t="s">
        <v>31</v>
      </c>
      <c r="AD4" s="363" t="s">
        <v>32</v>
      </c>
      <c r="AE4" s="363" t="s">
        <v>33</v>
      </c>
      <c r="AF4" s="363" t="s">
        <v>34</v>
      </c>
      <c r="AG4" s="51"/>
      <c r="AH4" s="51"/>
      <c r="AI4" s="61">
        <v>2023</v>
      </c>
    </row>
    <row r="5" spans="1:35" ht="24.95" customHeight="1">
      <c r="A5" s="62" t="str">
        <f>+Proyeccion_Localidades!C5</f>
        <v>Almirante Brown</v>
      </c>
      <c r="B5" s="63">
        <v>1</v>
      </c>
      <c r="C5" s="64" t="str">
        <f>+Proyeccion_Localidades!B5</f>
        <v>Almirante Brown</v>
      </c>
      <c r="D5" s="257">
        <f>+B5</f>
        <v>1</v>
      </c>
      <c r="E5" s="65">
        <f>+Proyeccion_Localidades!F5</f>
        <v>552902</v>
      </c>
      <c r="F5" s="66">
        <f>IF($AB5="TGD",ROUND($E5*(1+$AD5)^(F$4-$E$4),0),IF($AB5="ALTH",ROUND($AE5+$AF5*F$4,0),IF($AB5="IR",ROUND(Proyeccion_Localidades!AC5,0),IF($AB5="RT",ROUND(Proyeccion_Localidades!AZ5,0),"*****"))))</f>
        <v>608614</v>
      </c>
      <c r="G5" s="66">
        <f>IF($AB5="TGD",ROUND($E5*(1+$AD5)^(G$4-$E$4),0),IF($AB5="ALTH",ROUND($AE5+$AF5*G$4,0),IF($AB5="IR",ROUND(Proyeccion_Localidades!AD5,0),IF($AB5="RT",ROUND(Proyeccion_Localidades!BA5,0),"*****"))))</f>
        <v>613503</v>
      </c>
      <c r="H5" s="66">
        <f>IF($AB5="TGD",ROUND($E5*(1+$AD5)^(H$4-$E$4),0),IF($AB5="ALTH",ROUND($AE5+$AF5*H$4,0),IF($AB5="IR",ROUND(Proyeccion_Localidades!AE5,0),IF($AB5="RT",ROUND(Proyeccion_Localidades!BB5,0),"*****"))))</f>
        <v>628405</v>
      </c>
      <c r="I5" s="66">
        <f>IF($AB5="TGD",ROUND($E5*(1+$AD5)^(I$4-$E$4),0),IF($AB5="ALTH",ROUND($AE5+$AF5*I$4,0),IF($AB5="IR",ROUND(Proyeccion_Localidades!AF5,0),IF($AB5="RT",ROUND(Proyeccion_Localidades!BC5,0),"*****"))))</f>
        <v>633453</v>
      </c>
      <c r="J5" s="66">
        <f>IF($AB5="TGD",ROUND($E5*(1+$AD5)^(J$4-$E$4),0),IF($AB5="ALTH",ROUND($AE5+$AF5*J$4,0),IF($AB5="IR",ROUND(Proyeccion_Localidades!AG5,0),IF($AB5="RT",ROUND(Proyeccion_Localidades!BD5,0),"*****"))))</f>
        <v>638541</v>
      </c>
      <c r="K5" s="66">
        <f>IF($AB5="TGD",ROUND($E5*(1+$AD5)^(K$4-$E$4),0),IF($AB5="ALTH",ROUND($AE5+$AF5*K$4,0),IF($AB5="IR",ROUND(Proyeccion_Localidades!AH5,0),IF($AB5="RT",ROUND(Proyeccion_Localidades!BE5,0),"*****"))))</f>
        <v>643670</v>
      </c>
      <c r="L5" s="66">
        <f>IF($AB5="TGD",ROUND($E5*(1+$AD5)^(L$4-$E$4),0),IF($AB5="ALTH",ROUND($AE5+$AF5*L$4,0),IF($AB5="IR",ROUND(Proyeccion_Localidades!AI5,0),IF($AB5="RT",ROUND(Proyeccion_Localidades!BF5,0),"*****"))))</f>
        <v>648840</v>
      </c>
      <c r="M5" s="66">
        <f>IF($AB5="TGD",ROUND($E5*(1+$AD5)^(M$4-$E$4),0),IF($AB5="ALTH",ROUND($AE5+$AF5*M$4,0),IF($AB5="IR",ROUND(Proyeccion_Localidades!AJ5,0),IF($AB5="RT",ROUND(Proyeccion_Localidades!BG5,0),"*****"))))</f>
        <v>654052</v>
      </c>
      <c r="N5" s="66">
        <f>IF($AB5="TGD",ROUND($E5*(1+$AD5)^(N$4-$E$4),0),IF($AB5="ALTH",ROUND($AE5+$AF5*N$4,0),IF($AB5="IR",ROUND(Proyeccion_Localidades!AK5,0),IF($AB5="RT",ROUND(Proyeccion_Localidades!BH5,0),"*****"))))</f>
        <v>659306</v>
      </c>
      <c r="O5" s="66">
        <f>IF($AB5="TGD",ROUND($E5*(1+$AD5)^(O$4-$E$4),0),IF($AB5="ALTH",ROUND($AE5+$AF5*O$4,0),IF($AB5="IR",ROUND(Proyeccion_Localidades!AL5,0),IF($AB5="RT",ROUND(Proyeccion_Localidades!BI5,0),"*****"))))</f>
        <v>664602</v>
      </c>
      <c r="P5" s="66">
        <f>IF($AB5="TGD",ROUND($E5*(1+$AD5)^(P$4-$E$4),0),IF($AB5="ALTH",ROUND($AE5+$AF5*P$4,0),IF($AB5="IR",ROUND(Proyeccion_Localidades!AM5,0),IF($AB5="RT",ROUND(Proyeccion_Localidades!BJ5,0),"*****"))))</f>
        <v>669940</v>
      </c>
      <c r="Q5" s="66">
        <f>IF($AB5="TGD",ROUND($E5*(1+$AD5)^(Q$4-$E$4),0),IF($AB5="ALTH",ROUND($AE5+$AF5*Q$4,0),IF($AB5="IR",ROUND(Proyeccion_Localidades!AN5,0),IF($AB5="RT",ROUND(Proyeccion_Localidades!BK5,0),"*****"))))</f>
        <v>675321</v>
      </c>
      <c r="R5" s="66">
        <f>IF($AB5="TGD",ROUND($E5*(1+$AD5)^(R$4-$E$4),0),IF($AB5="ALTH",ROUND($AE5+$AF5*R$4,0),IF($AB5="IR",ROUND(Proyeccion_Localidades!AO5,0),IF($AB5="RT",ROUND(Proyeccion_Localidades!BL5,0),"*****"))))</f>
        <v>680746</v>
      </c>
      <c r="S5" s="66">
        <f>IF($AB5="TGD",ROUND($E5*(1+$AD5)^(S$4-$E$4),0),IF($AB5="ALTH",ROUND($AE5+$AF5*S$4,0),IF($AB5="IR",ROUND(Proyeccion_Localidades!AP5,0),IF($AB5="RT",ROUND(Proyeccion_Localidades!BM5,0),"*****"))))</f>
        <v>686214</v>
      </c>
      <c r="T5" s="66">
        <f>IF($AB5="TGD",ROUND($E5*(1+$AD5)^(T$4-$E$4),0),IF($AB5="ALTH",ROUND($AE5+$AF5*T$4,0),IF($AB5="IR",ROUND(Proyeccion_Localidades!AQ5,0),IF($AB5="RT",ROUND(Proyeccion_Localidades!BN5,0),"*****"))))</f>
        <v>691725</v>
      </c>
      <c r="U5" s="66">
        <f>IF($AB5="TGD",ROUND($E5*(1+$AD5)^(U$4-$E$4),0),IF($AB5="ALTH",ROUND($AE5+$AF5*U$4,0),IF($AB5="IR",ROUND(Proyeccion_Localidades!AR5,0),IF($AB5="RT",ROUND(Proyeccion_Localidades!BO5,0),"*****"))))</f>
        <v>697282</v>
      </c>
      <c r="V5" s="66">
        <f>IF($AB5="TGD",ROUND($E5*(1+$AD5)^(V$4-$E$4),0),IF($AB5="ALTH",ROUND($AE5+$AF5*V$4,0),IF($AB5="IR",ROUND(Proyeccion_Localidades!AS5,0),IF($AB5="RT",ROUND(Proyeccion_Localidades!BP5,0),"*****"))))</f>
        <v>702883</v>
      </c>
      <c r="W5" s="66">
        <f>IF($AB5="TGD",ROUND($E5*(1+$AD5)^(W$4-$E$4),0),IF($AB5="ALTH",ROUND($AE5+$AF5*W$4,0),IF($AB5="IR",ROUND(Proyeccion_Localidades!AT5,0),IF($AB5="RT",ROUND(Proyeccion_Localidades!BQ5,0),"*****"))))</f>
        <v>708528</v>
      </c>
      <c r="X5" s="66">
        <f>IF($AB5="TGD",ROUND($E5*(1+$AD5)^(X$4-$E$4),0),IF($AB5="ALTH",ROUND($AE5+$AF5*X$4,0),IF($AB5="IR",ROUND(Proyeccion_Localidades!AU5,0),IF($AB5="RT",ROUND(Proyeccion_Localidades!BR5,0),"*****"))))</f>
        <v>714220</v>
      </c>
      <c r="Y5" s="66">
        <f>IF($AB5="TGD",ROUND($E5*(1+$AD5)^(Y$4-$E$4),0),IF($AB5="ALTH",ROUND($AE5+$AF5*Y$4,0),IF($AB5="IR",ROUND(Proyeccion_Localidades!AV5,0),IF($AB5="RT",ROUND(Proyeccion_Localidades!BS5,0),"*****"))))</f>
        <v>719956</v>
      </c>
      <c r="Z5" s="66">
        <f>IF($AB5="TGD",ROUND($E5*(1+$AD5)^(Z$4-$E$4),0),IF($AB5="ALTH",ROUND($AE5+$AF5*Z$4,0),IF($AB5="IR",ROUND(Proyeccion_Localidades!AW5,0),IF($AB5="RT",ROUND(Proyeccion_Localidades!BT5,0),"*****"))))</f>
        <v>725739</v>
      </c>
      <c r="AA5" s="66">
        <f>IF($AB5="TGD",ROUND($E5*(1+$AD5)^(AA$4-$E$4),0),IF($AB5="ALTH",ROUND($AE5+$AF5*AA$4,0),IF($AB5="IR",ROUND(Proyeccion_Localidades!AX5,0),IF($AB5="RT",ROUND(Proyeccion_Localidades!BU5,0),"*****"))))</f>
        <v>731569</v>
      </c>
      <c r="AB5" s="67" t="str">
        <f>Proyeccion_Localidades!N5</f>
        <v>TGD</v>
      </c>
      <c r="AC5" s="68" t="s">
        <v>35</v>
      </c>
      <c r="AD5" s="51">
        <f>IF(AB5="TGD",Proyeccion_Localidades!Z5,"-")</f>
        <v>8.0323888344191463E-3</v>
      </c>
      <c r="AE5" s="51" t="str">
        <f>IF($AB5="ALTH",Proyeccion_Localidades!AA5,"-")</f>
        <v>-</v>
      </c>
      <c r="AF5" s="51" t="str">
        <f>IF($AB5="ALTH",Proyeccion_Localidades!AB5,"-")</f>
        <v>-</v>
      </c>
      <c r="AG5" s="51"/>
      <c r="AH5" s="51"/>
      <c r="AI5" s="66">
        <f>+G5</f>
        <v>613503</v>
      </c>
    </row>
    <row r="6" spans="1:35" ht="24.95" customHeight="1">
      <c r="A6" s="69" t="str">
        <f>+Proyeccion_Localidades!C6</f>
        <v>Avellaneda</v>
      </c>
      <c r="B6" s="70">
        <v>2</v>
      </c>
      <c r="C6" s="71" t="str">
        <f>+Proyeccion_Localidades!B6</f>
        <v>Avellaneda</v>
      </c>
      <c r="D6" s="261">
        <f>+B6</f>
        <v>2</v>
      </c>
      <c r="E6" s="72">
        <f>+Proyeccion_Localidades!F6</f>
        <v>342677</v>
      </c>
      <c r="F6" s="66">
        <f>IF($AB6="TGD",ROUND($E6*(1+$AD6)^(F$4-$E$4),0),IF($AB6="ALTH",ROUND($AE6+$AF6*F$4,0),IF($AB6="IR",ROUND(Proyeccion_Localidades!AC6,0),IF($AB6="RT",ROUND(Proyeccion_Localidades!AZ6,0),"*****"))))</f>
        <v>373208</v>
      </c>
      <c r="G6" s="66">
        <f>IF($AB6="TGD",ROUND($E6*(1+$AD6)^(G$4-$E$4),0),IF($AB6="ALTH",ROUND($AE6+$AF6*G$4,0),IF($AB6="IR",ROUND(Proyeccion_Localidades!AD6,0),IF($AB6="RT",ROUND(Proyeccion_Localidades!BA6,0),"*****"))))</f>
        <v>376030</v>
      </c>
      <c r="H6" s="66">
        <f>IF($AB6="TGD",ROUND($E6*(1+$AD6)^(H$4-$E$4),0),IF($AB6="ALTH",ROUND($AE6+$AF6*H$4,0),IF($AB6="IR",ROUND(Proyeccion_Localidades!AE6,0),IF($AB6="RT",ROUND(Proyeccion_Localidades!BB6,0),"*****"))))</f>
        <v>384775</v>
      </c>
      <c r="I6" s="66">
        <f>IF($AB6="TGD",ROUND($E6*(1+$AD6)^(I$4-$E$4),0),IF($AB6="ALTH",ROUND($AE6+$AF6*I$4,0),IF($AB6="IR",ROUND(Proyeccion_Localidades!AF6,0),IF($AB6="RT",ROUND(Proyeccion_Localidades!BC6,0),"*****"))))</f>
        <v>387786</v>
      </c>
      <c r="J6" s="66">
        <f>IF($AB6="TGD",ROUND($E6*(1+$AD6)^(J$4-$E$4),0),IF($AB6="ALTH",ROUND($AE6+$AF6*J$4,0),IF($AB6="IR",ROUND(Proyeccion_Localidades!AG6,0),IF($AB6="RT",ROUND(Proyeccion_Localidades!BD6,0),"*****"))))</f>
        <v>390846</v>
      </c>
      <c r="K6" s="66">
        <f>IF($AB6="TGD",ROUND($E6*(1+$AD6)^(K$4-$E$4),0),IF($AB6="ALTH",ROUND($AE6+$AF6*K$4,0),IF($AB6="IR",ROUND(Proyeccion_Localidades!AH6,0),IF($AB6="RT",ROUND(Proyeccion_Localidades!BE6,0),"*****"))))</f>
        <v>393956</v>
      </c>
      <c r="L6" s="66">
        <f>IF($AB6="TGD",ROUND($E6*(1+$AD6)^(L$4-$E$4),0),IF($AB6="ALTH",ROUND($AE6+$AF6*L$4,0),IF($AB6="IR",ROUND(Proyeccion_Localidades!AI6,0),IF($AB6="RT",ROUND(Proyeccion_Localidades!BF6,0),"*****"))))</f>
        <v>397116</v>
      </c>
      <c r="M6" s="66">
        <f>IF($AB6="TGD",ROUND($E6*(1+$AD6)^(M$4-$E$4),0),IF($AB6="ALTH",ROUND($AE6+$AF6*M$4,0),IF($AB6="IR",ROUND(Proyeccion_Localidades!AJ6,0),IF($AB6="RT",ROUND(Proyeccion_Localidades!BG6,0),"*****"))))</f>
        <v>400328</v>
      </c>
      <c r="N6" s="66">
        <f>IF($AB6="TGD",ROUND($E6*(1+$AD6)^(N$4-$E$4),0),IF($AB6="ALTH",ROUND($AE6+$AF6*N$4,0),IF($AB6="IR",ROUND(Proyeccion_Localidades!AK6,0),IF($AB6="RT",ROUND(Proyeccion_Localidades!BH6,0),"*****"))))</f>
        <v>403593</v>
      </c>
      <c r="O6" s="66">
        <f>IF($AB6="TGD",ROUND($E6*(1+$AD6)^(O$4-$E$4),0),IF($AB6="ALTH",ROUND($AE6+$AF6*O$4,0),IF($AB6="IR",ROUND(Proyeccion_Localidades!AL6,0),IF($AB6="RT",ROUND(Proyeccion_Localidades!BI6,0),"*****"))))</f>
        <v>406910</v>
      </c>
      <c r="P6" s="66">
        <f>IF($AB6="TGD",ROUND($E6*(1+$AD6)^(P$4-$E$4),0),IF($AB6="ALTH",ROUND($AE6+$AF6*P$4,0),IF($AB6="IR",ROUND(Proyeccion_Localidades!AM6,0),IF($AB6="RT",ROUND(Proyeccion_Localidades!BJ6,0),"*****"))))</f>
        <v>410282</v>
      </c>
      <c r="Q6" s="66">
        <f>IF($AB6="TGD",ROUND($E6*(1+$AD6)^(Q$4-$E$4),0),IF($AB6="ALTH",ROUND($AE6+$AF6*Q$4,0),IF($AB6="IR",ROUND(Proyeccion_Localidades!AN6,0),IF($AB6="RT",ROUND(Proyeccion_Localidades!BK6,0),"*****"))))</f>
        <v>413709</v>
      </c>
      <c r="R6" s="66">
        <f>IF($AB6="TGD",ROUND($E6*(1+$AD6)^(R$4-$E$4),0),IF($AB6="ALTH",ROUND($AE6+$AF6*R$4,0),IF($AB6="IR",ROUND(Proyeccion_Localidades!AO6,0),IF($AB6="RT",ROUND(Proyeccion_Localidades!BL6,0),"*****"))))</f>
        <v>417192</v>
      </c>
      <c r="S6" s="66">
        <f>IF($AB6="TGD",ROUND($E6*(1+$AD6)^(S$4-$E$4),0),IF($AB6="ALTH",ROUND($AE6+$AF6*S$4,0),IF($AB6="IR",ROUND(Proyeccion_Localidades!AP6,0),IF($AB6="RT",ROUND(Proyeccion_Localidades!BM6,0),"*****"))))</f>
        <v>420731</v>
      </c>
      <c r="T6" s="66">
        <f>IF($AB6="TGD",ROUND($E6*(1+$AD6)^(T$4-$E$4),0),IF($AB6="ALTH",ROUND($AE6+$AF6*T$4,0),IF($AB6="IR",ROUND(Proyeccion_Localidades!AQ6,0),IF($AB6="RT",ROUND(Proyeccion_Localidades!BN6,0),"*****"))))</f>
        <v>424328</v>
      </c>
      <c r="U6" s="66">
        <f>IF($AB6="TGD",ROUND($E6*(1+$AD6)^(U$4-$E$4),0),IF($AB6="ALTH",ROUND($AE6+$AF6*U$4,0),IF($AB6="IR",ROUND(Proyeccion_Localidades!AR6,0),IF($AB6="RT",ROUND(Proyeccion_Localidades!BO6,0),"*****"))))</f>
        <v>427984</v>
      </c>
      <c r="V6" s="66">
        <f>IF($AB6="TGD",ROUND($E6*(1+$AD6)^(V$4-$E$4),0),IF($AB6="ALTH",ROUND($AE6+$AF6*V$4,0),IF($AB6="IR",ROUND(Proyeccion_Localidades!AS6,0),IF($AB6="RT",ROUND(Proyeccion_Localidades!BP6,0),"*****"))))</f>
        <v>431700</v>
      </c>
      <c r="W6" s="66">
        <f>IF($AB6="TGD",ROUND($E6*(1+$AD6)^(W$4-$E$4),0),IF($AB6="ALTH",ROUND($AE6+$AF6*W$4,0),IF($AB6="IR",ROUND(Proyeccion_Localidades!AT6,0),IF($AB6="RT",ROUND(Proyeccion_Localidades!BQ6,0),"*****"))))</f>
        <v>435476</v>
      </c>
      <c r="X6" s="66">
        <f>IF($AB6="TGD",ROUND($E6*(1+$AD6)^(X$4-$E$4),0),IF($AB6="ALTH",ROUND($AE6+$AF6*X$4,0),IF($AB6="IR",ROUND(Proyeccion_Localidades!AU6,0),IF($AB6="RT",ROUND(Proyeccion_Localidades!BR6,0),"*****"))))</f>
        <v>439314</v>
      </c>
      <c r="Y6" s="66">
        <f>IF($AB6="TGD",ROUND($E6*(1+$AD6)^(Y$4-$E$4),0),IF($AB6="ALTH",ROUND($AE6+$AF6*Y$4,0),IF($AB6="IR",ROUND(Proyeccion_Localidades!AV6,0),IF($AB6="RT",ROUND(Proyeccion_Localidades!BS6,0),"*****"))))</f>
        <v>443214</v>
      </c>
      <c r="Z6" s="66">
        <f>IF($AB6="TGD",ROUND($E6*(1+$AD6)^(Z$4-$E$4),0),IF($AB6="ALTH",ROUND($AE6+$AF6*Z$4,0),IF($AB6="IR",ROUND(Proyeccion_Localidades!AW6,0),IF($AB6="RT",ROUND(Proyeccion_Localidades!BT6,0),"*****"))))</f>
        <v>447178</v>
      </c>
      <c r="AA6" s="66">
        <f>IF($AB6="TGD",ROUND($E6*(1+$AD6)^(AA$4-$E$4),0),IF($AB6="ALTH",ROUND($AE6+$AF6*AA$4,0),IF($AB6="IR",ROUND(Proyeccion_Localidades!AX6,0),IF($AB6="RT",ROUND(Proyeccion_Localidades!BU6,0),"*****"))))</f>
        <v>451207</v>
      </c>
      <c r="AB6" s="67" t="str">
        <f>Proyeccion_Localidades!N6</f>
        <v>IR</v>
      </c>
      <c r="AC6" s="68"/>
      <c r="AD6" s="51" t="str">
        <f>IF(AB6="TGD",Proyeccion_Localidades!Z6,"-")</f>
        <v>-</v>
      </c>
      <c r="AE6" s="51" t="str">
        <f>IF($AB6="ALTH",Proyeccion_Localidades!AA6,"-")</f>
        <v>-</v>
      </c>
      <c r="AF6" s="51" t="str">
        <f>IF($AB6="ALTH",Proyeccion_Localidades!AB6,"-")</f>
        <v>-</v>
      </c>
      <c r="AG6" s="51"/>
      <c r="AH6" s="51"/>
      <c r="AI6" s="66">
        <f t="shared" ref="AI6:AI69" si="2">+G6</f>
        <v>376030</v>
      </c>
    </row>
    <row r="7" spans="1:35" ht="24.95" customHeight="1">
      <c r="A7" s="69" t="str">
        <f>+Proyeccion_Localidades!C7</f>
        <v>Berazategui</v>
      </c>
      <c r="B7" s="70">
        <v>3</v>
      </c>
      <c r="C7" s="71" t="str">
        <f>+Proyeccion_Localidades!B7</f>
        <v>Berazategui</v>
      </c>
      <c r="D7" s="261">
        <f t="shared" ref="D7:D70" si="3">+B7</f>
        <v>3</v>
      </c>
      <c r="E7" s="72">
        <f>+Proyeccion_Localidades!F7</f>
        <v>324244</v>
      </c>
      <c r="F7" s="66">
        <f>IF($AB7="TGD",ROUND($E7*(1+$AD7)^(F$4-$E$4),0),IF($AB7="ALTH",ROUND($AE7+$AF7*F$4,0),IF($AB7="IR",ROUND(Proyeccion_Localidades!AC7,0),IF($AB7="RT",ROUND(Proyeccion_Localidades!AZ7,0),"*****"))))</f>
        <v>375044</v>
      </c>
      <c r="G7" s="66">
        <f>IF($AB7="TGD",ROUND($E7*(1+$AD7)^(G$4-$E$4),0),IF($AB7="ALTH",ROUND($AE7+$AF7*G$4,0),IF($AB7="IR",ROUND(Proyeccion_Localidades!AD7,0),IF($AB7="RT",ROUND(Proyeccion_Localidades!BA7,0),"*****"))))</f>
        <v>379264</v>
      </c>
      <c r="H7" s="66">
        <f>IF($AB7="TGD",ROUND($E7*(1+$AD7)^(H$4-$E$4),0),IF($AB7="ALTH",ROUND($AE7+$AF7*H$4,0),IF($AB7="IR",ROUND(Proyeccion_Localidades!AE7,0),IF($AB7="RT",ROUND(Proyeccion_Localidades!BB7,0),"*****"))))</f>
        <v>391924</v>
      </c>
      <c r="I7" s="66">
        <f>IF($AB7="TGD",ROUND($E7*(1+$AD7)^(I$4-$E$4),0),IF($AB7="ALTH",ROUND($AE7+$AF7*I$4,0),IF($AB7="IR",ROUND(Proyeccion_Localidades!AF7,0),IF($AB7="RT",ROUND(Proyeccion_Localidades!BC7,0),"*****"))))</f>
        <v>396143</v>
      </c>
      <c r="J7" s="66">
        <f>IF($AB7="TGD",ROUND($E7*(1+$AD7)^(J$4-$E$4),0),IF($AB7="ALTH",ROUND($AE7+$AF7*J$4,0),IF($AB7="IR",ROUND(Proyeccion_Localidades!AG7,0),IF($AB7="RT",ROUND(Proyeccion_Localidades!BD7,0),"*****"))))</f>
        <v>400363</v>
      </c>
      <c r="K7" s="66">
        <f>IF($AB7="TGD",ROUND($E7*(1+$AD7)^(K$4-$E$4),0),IF($AB7="ALTH",ROUND($AE7+$AF7*K$4,0),IF($AB7="IR",ROUND(Proyeccion_Localidades!AH7,0),IF($AB7="RT",ROUND(Proyeccion_Localidades!BE7,0),"*****"))))</f>
        <v>404583</v>
      </c>
      <c r="L7" s="66">
        <f>IF($AB7="TGD",ROUND($E7*(1+$AD7)^(L$4-$E$4),0),IF($AB7="ALTH",ROUND($AE7+$AF7*L$4,0),IF($AB7="IR",ROUND(Proyeccion_Localidades!AI7,0),IF($AB7="RT",ROUND(Proyeccion_Localidades!BF7,0),"*****"))))</f>
        <v>408803</v>
      </c>
      <c r="M7" s="66">
        <f>IF($AB7="TGD",ROUND($E7*(1+$AD7)^(M$4-$E$4),0),IF($AB7="ALTH",ROUND($AE7+$AF7*M$4,0),IF($AB7="IR",ROUND(Proyeccion_Localidades!AJ7,0),IF($AB7="RT",ROUND(Proyeccion_Localidades!BG7,0),"*****"))))</f>
        <v>413023</v>
      </c>
      <c r="N7" s="66">
        <f>IF($AB7="TGD",ROUND($E7*(1+$AD7)^(N$4-$E$4),0),IF($AB7="ALTH",ROUND($AE7+$AF7*N$4,0),IF($AB7="IR",ROUND(Proyeccion_Localidades!AK7,0),IF($AB7="RT",ROUND(Proyeccion_Localidades!BH7,0),"*****"))))</f>
        <v>417243</v>
      </c>
      <c r="O7" s="66">
        <f>IF($AB7="TGD",ROUND($E7*(1+$AD7)^(O$4-$E$4),0),IF($AB7="ALTH",ROUND($AE7+$AF7*O$4,0),IF($AB7="IR",ROUND(Proyeccion_Localidades!AL7,0),IF($AB7="RT",ROUND(Proyeccion_Localidades!BI7,0),"*****"))))</f>
        <v>421463</v>
      </c>
      <c r="P7" s="66">
        <f>IF($AB7="TGD",ROUND($E7*(1+$AD7)^(P$4-$E$4),0),IF($AB7="ALTH",ROUND($AE7+$AF7*P$4,0),IF($AB7="IR",ROUND(Proyeccion_Localidades!AM7,0),IF($AB7="RT",ROUND(Proyeccion_Localidades!BJ7,0),"*****"))))</f>
        <v>425682</v>
      </c>
      <c r="Q7" s="66">
        <f>IF($AB7="TGD",ROUND($E7*(1+$AD7)^(Q$4-$E$4),0),IF($AB7="ALTH",ROUND($AE7+$AF7*Q$4,0),IF($AB7="IR",ROUND(Proyeccion_Localidades!AN7,0),IF($AB7="RT",ROUND(Proyeccion_Localidades!BK7,0),"*****"))))</f>
        <v>429902</v>
      </c>
      <c r="R7" s="66">
        <f>IF($AB7="TGD",ROUND($E7*(1+$AD7)^(R$4-$E$4),0),IF($AB7="ALTH",ROUND($AE7+$AF7*R$4,0),IF($AB7="IR",ROUND(Proyeccion_Localidades!AO7,0),IF($AB7="RT",ROUND(Proyeccion_Localidades!BL7,0),"*****"))))</f>
        <v>434122</v>
      </c>
      <c r="S7" s="66">
        <f>IF($AB7="TGD",ROUND($E7*(1+$AD7)^(S$4-$E$4),0),IF($AB7="ALTH",ROUND($AE7+$AF7*S$4,0),IF($AB7="IR",ROUND(Proyeccion_Localidades!AP7,0),IF($AB7="RT",ROUND(Proyeccion_Localidades!BM7,0),"*****"))))</f>
        <v>438342</v>
      </c>
      <c r="T7" s="66">
        <f>IF($AB7="TGD",ROUND($E7*(1+$AD7)^(T$4-$E$4),0),IF($AB7="ALTH",ROUND($AE7+$AF7*T$4,0),IF($AB7="IR",ROUND(Proyeccion_Localidades!AQ7,0),IF($AB7="RT",ROUND(Proyeccion_Localidades!BN7,0),"*****"))))</f>
        <v>442562</v>
      </c>
      <c r="U7" s="66">
        <f>IF($AB7="TGD",ROUND($E7*(1+$AD7)^(U$4-$E$4),0),IF($AB7="ALTH",ROUND($AE7+$AF7*U$4,0),IF($AB7="IR",ROUND(Proyeccion_Localidades!AR7,0),IF($AB7="RT",ROUND(Proyeccion_Localidades!BO7,0),"*****"))))</f>
        <v>446782</v>
      </c>
      <c r="V7" s="66">
        <f>IF($AB7="TGD",ROUND($E7*(1+$AD7)^(V$4-$E$4),0),IF($AB7="ALTH",ROUND($AE7+$AF7*V$4,0),IF($AB7="IR",ROUND(Proyeccion_Localidades!AS7,0),IF($AB7="RT",ROUND(Proyeccion_Localidades!BP7,0),"*****"))))</f>
        <v>451002</v>
      </c>
      <c r="W7" s="66">
        <f>IF($AB7="TGD",ROUND($E7*(1+$AD7)^(W$4-$E$4),0),IF($AB7="ALTH",ROUND($AE7+$AF7*W$4,0),IF($AB7="IR",ROUND(Proyeccion_Localidades!AT7,0),IF($AB7="RT",ROUND(Proyeccion_Localidades!BQ7,0),"*****"))))</f>
        <v>455221</v>
      </c>
      <c r="X7" s="66">
        <f>IF($AB7="TGD",ROUND($E7*(1+$AD7)^(X$4-$E$4),0),IF($AB7="ALTH",ROUND($AE7+$AF7*X$4,0),IF($AB7="IR",ROUND(Proyeccion_Localidades!AU7,0),IF($AB7="RT",ROUND(Proyeccion_Localidades!BR7,0),"*****"))))</f>
        <v>459441</v>
      </c>
      <c r="Y7" s="66">
        <f>IF($AB7="TGD",ROUND($E7*(1+$AD7)^(Y$4-$E$4),0),IF($AB7="ALTH",ROUND($AE7+$AF7*Y$4,0),IF($AB7="IR",ROUND(Proyeccion_Localidades!AV7,0),IF($AB7="RT",ROUND(Proyeccion_Localidades!BS7,0),"*****"))))</f>
        <v>463661</v>
      </c>
      <c r="Z7" s="66">
        <f>IF($AB7="TGD",ROUND($E7*(1+$AD7)^(Z$4-$E$4),0),IF($AB7="ALTH",ROUND($AE7+$AF7*Z$4,0),IF($AB7="IR",ROUND(Proyeccion_Localidades!AW7,0),IF($AB7="RT",ROUND(Proyeccion_Localidades!BT7,0),"*****"))))</f>
        <v>467881</v>
      </c>
      <c r="AA7" s="66">
        <f>IF($AB7="TGD",ROUND($E7*(1+$AD7)^(AA$4-$E$4),0),IF($AB7="ALTH",ROUND($AE7+$AF7*AA$4,0),IF($AB7="IR",ROUND(Proyeccion_Localidades!AX7,0),IF($AB7="RT",ROUND(Proyeccion_Localidades!BU7,0),"*****"))))</f>
        <v>472101</v>
      </c>
      <c r="AB7" s="67" t="str">
        <f>Proyeccion_Localidades!N7</f>
        <v>ALTH</v>
      </c>
      <c r="AC7" s="68" t="s">
        <v>36</v>
      </c>
      <c r="AD7" s="51" t="str">
        <f>IF(AB7="TGD",Proyeccion_Localidades!Z7,"-")</f>
        <v>-</v>
      </c>
      <c r="AE7" s="51">
        <f>IF($AB7="ALTH",Proyeccion_Localidades!AA7,"-")</f>
        <v>-8157497.3653136538</v>
      </c>
      <c r="AF7" s="51">
        <f>IF($AB7="ALTH",Proyeccion_Localidades!AB7,"-")</f>
        <v>4219.8523985239854</v>
      </c>
      <c r="AG7" s="51"/>
      <c r="AH7" s="51"/>
      <c r="AI7" s="66">
        <f t="shared" si="2"/>
        <v>379264</v>
      </c>
    </row>
    <row r="8" spans="1:35" ht="24.95" customHeight="1">
      <c r="A8" s="69" t="str">
        <f>+Proyeccion_Localidades!C8</f>
        <v>Esteban Echeverría</v>
      </c>
      <c r="B8" s="70">
        <v>4</v>
      </c>
      <c r="C8" s="71" t="str">
        <f>+Proyeccion_Localidades!B8</f>
        <v>Esteban Echeverría</v>
      </c>
      <c r="D8" s="261">
        <f t="shared" si="3"/>
        <v>4</v>
      </c>
      <c r="E8" s="72">
        <f>+Proyeccion_Localidades!F8</f>
        <v>300745</v>
      </c>
      <c r="F8" s="66">
        <f>IF($AB8="TGD",ROUND($E8*(1+$AD8)^(F$4-$E$4),0),IF($AB8="ALTH",ROUND($AE8+$AF8*F$4,0),IF($AB8="IR",ROUND(Proyeccion_Localidades!AC8,0),IF($AB8="RT",ROUND(Proyeccion_Localidades!AZ8,0),"*****"))))</f>
        <v>363232</v>
      </c>
      <c r="G8" s="66">
        <f>IF($AB8="TGD",ROUND($E8*(1+$AD8)^(G$4-$E$4),0),IF($AB8="ALTH",ROUND($AE8+$AF8*G$4,0),IF($AB8="IR",ROUND(Proyeccion_Localidades!AD8,0),IF($AB8="RT",ROUND(Proyeccion_Localidades!BA8,0),"*****"))))</f>
        <v>368684</v>
      </c>
      <c r="H8" s="66">
        <f>IF($AB8="TGD",ROUND($E8*(1+$AD8)^(H$4-$E$4),0),IF($AB8="ALTH",ROUND($AE8+$AF8*H$4,0),IF($AB8="IR",ROUND(Proyeccion_Localidades!AE8,0),IF($AB8="RT",ROUND(Proyeccion_Localidades!BB8,0),"*****"))))</f>
        <v>385038</v>
      </c>
      <c r="I8" s="66">
        <f>IF($AB8="TGD",ROUND($E8*(1+$AD8)^(I$4-$E$4),0),IF($AB8="ALTH",ROUND($AE8+$AF8*I$4,0),IF($AB8="IR",ROUND(Proyeccion_Localidades!AF8,0),IF($AB8="RT",ROUND(Proyeccion_Localidades!BC8,0),"*****"))))</f>
        <v>390489</v>
      </c>
      <c r="J8" s="66">
        <f>IF($AB8="TGD",ROUND($E8*(1+$AD8)^(J$4-$E$4),0),IF($AB8="ALTH",ROUND($AE8+$AF8*J$4,0),IF($AB8="IR",ROUND(Proyeccion_Localidades!AG8,0),IF($AB8="RT",ROUND(Proyeccion_Localidades!BD8,0),"*****"))))</f>
        <v>395941</v>
      </c>
      <c r="K8" s="66">
        <f>IF($AB8="TGD",ROUND($E8*(1+$AD8)^(K$4-$E$4),0),IF($AB8="ALTH",ROUND($AE8+$AF8*K$4,0),IF($AB8="IR",ROUND(Proyeccion_Localidades!AH8,0),IF($AB8="RT",ROUND(Proyeccion_Localidades!BE8,0),"*****"))))</f>
        <v>401392</v>
      </c>
      <c r="L8" s="66">
        <f>IF($AB8="TGD",ROUND($E8*(1+$AD8)^(L$4-$E$4),0),IF($AB8="ALTH",ROUND($AE8+$AF8*L$4,0),IF($AB8="IR",ROUND(Proyeccion_Localidades!AI8,0),IF($AB8="RT",ROUND(Proyeccion_Localidades!BF8,0),"*****"))))</f>
        <v>406844</v>
      </c>
      <c r="M8" s="66">
        <f>IF($AB8="TGD",ROUND($E8*(1+$AD8)^(M$4-$E$4),0),IF($AB8="ALTH",ROUND($AE8+$AF8*M$4,0),IF($AB8="IR",ROUND(Proyeccion_Localidades!AJ8,0),IF($AB8="RT",ROUND(Proyeccion_Localidades!BG8,0),"*****"))))</f>
        <v>412295</v>
      </c>
      <c r="N8" s="66">
        <f>IF($AB8="TGD",ROUND($E8*(1+$AD8)^(N$4-$E$4),0),IF($AB8="ALTH",ROUND($AE8+$AF8*N$4,0),IF($AB8="IR",ROUND(Proyeccion_Localidades!AK8,0),IF($AB8="RT",ROUND(Proyeccion_Localidades!BH8,0),"*****"))))</f>
        <v>417747</v>
      </c>
      <c r="O8" s="66">
        <f>IF($AB8="TGD",ROUND($E8*(1+$AD8)^(O$4-$E$4),0),IF($AB8="ALTH",ROUND($AE8+$AF8*O$4,0),IF($AB8="IR",ROUND(Proyeccion_Localidades!AL8,0),IF($AB8="RT",ROUND(Proyeccion_Localidades!BI8,0),"*****"))))</f>
        <v>423198</v>
      </c>
      <c r="P8" s="66">
        <f>IF($AB8="TGD",ROUND($E8*(1+$AD8)^(P$4-$E$4),0),IF($AB8="ALTH",ROUND($AE8+$AF8*P$4,0),IF($AB8="IR",ROUND(Proyeccion_Localidades!AM8,0),IF($AB8="RT",ROUND(Proyeccion_Localidades!BJ8,0),"*****"))))</f>
        <v>428649</v>
      </c>
      <c r="Q8" s="66">
        <f>IF($AB8="TGD",ROUND($E8*(1+$AD8)^(Q$4-$E$4),0),IF($AB8="ALTH",ROUND($AE8+$AF8*Q$4,0),IF($AB8="IR",ROUND(Proyeccion_Localidades!AN8,0),IF($AB8="RT",ROUND(Proyeccion_Localidades!BK8,0),"*****"))))</f>
        <v>434101</v>
      </c>
      <c r="R8" s="66">
        <f>IF($AB8="TGD",ROUND($E8*(1+$AD8)^(R$4-$E$4),0),IF($AB8="ALTH",ROUND($AE8+$AF8*R$4,0),IF($AB8="IR",ROUND(Proyeccion_Localidades!AO8,0),IF($AB8="RT",ROUND(Proyeccion_Localidades!BL8,0),"*****"))))</f>
        <v>439552</v>
      </c>
      <c r="S8" s="66">
        <f>IF($AB8="TGD",ROUND($E8*(1+$AD8)^(S$4-$E$4),0),IF($AB8="ALTH",ROUND($AE8+$AF8*S$4,0),IF($AB8="IR",ROUND(Proyeccion_Localidades!AP8,0),IF($AB8="RT",ROUND(Proyeccion_Localidades!BM8,0),"*****"))))</f>
        <v>445004</v>
      </c>
      <c r="T8" s="66">
        <f>IF($AB8="TGD",ROUND($E8*(1+$AD8)^(T$4-$E$4),0),IF($AB8="ALTH",ROUND($AE8+$AF8*T$4,0),IF($AB8="IR",ROUND(Proyeccion_Localidades!AQ8,0),IF($AB8="RT",ROUND(Proyeccion_Localidades!BN8,0),"*****"))))</f>
        <v>450455</v>
      </c>
      <c r="U8" s="66">
        <f>IF($AB8="TGD",ROUND($E8*(1+$AD8)^(U$4-$E$4),0),IF($AB8="ALTH",ROUND($AE8+$AF8*U$4,0),IF($AB8="IR",ROUND(Proyeccion_Localidades!AR8,0),IF($AB8="RT",ROUND(Proyeccion_Localidades!BO8,0),"*****"))))</f>
        <v>455907</v>
      </c>
      <c r="V8" s="66">
        <f>IF($AB8="TGD",ROUND($E8*(1+$AD8)^(V$4-$E$4),0),IF($AB8="ALTH",ROUND($AE8+$AF8*V$4,0),IF($AB8="IR",ROUND(Proyeccion_Localidades!AS8,0),IF($AB8="RT",ROUND(Proyeccion_Localidades!BP8,0),"*****"))))</f>
        <v>461358</v>
      </c>
      <c r="W8" s="66">
        <f>IF($AB8="TGD",ROUND($E8*(1+$AD8)^(W$4-$E$4),0),IF($AB8="ALTH",ROUND($AE8+$AF8*W$4,0),IF($AB8="IR",ROUND(Proyeccion_Localidades!AT8,0),IF($AB8="RT",ROUND(Proyeccion_Localidades!BQ8,0),"*****"))))</f>
        <v>466809</v>
      </c>
      <c r="X8" s="66">
        <f>IF($AB8="TGD",ROUND($E8*(1+$AD8)^(X$4-$E$4),0),IF($AB8="ALTH",ROUND($AE8+$AF8*X$4,0),IF($AB8="IR",ROUND(Proyeccion_Localidades!AU8,0),IF($AB8="RT",ROUND(Proyeccion_Localidades!BR8,0),"*****"))))</f>
        <v>472261</v>
      </c>
      <c r="Y8" s="66">
        <f>IF($AB8="TGD",ROUND($E8*(1+$AD8)^(Y$4-$E$4),0),IF($AB8="ALTH",ROUND($AE8+$AF8*Y$4,0),IF($AB8="IR",ROUND(Proyeccion_Localidades!AV8,0),IF($AB8="RT",ROUND(Proyeccion_Localidades!BS8,0),"*****"))))</f>
        <v>477712</v>
      </c>
      <c r="Z8" s="66">
        <f>IF($AB8="TGD",ROUND($E8*(1+$AD8)^(Z$4-$E$4),0),IF($AB8="ALTH",ROUND($AE8+$AF8*Z$4,0),IF($AB8="IR",ROUND(Proyeccion_Localidades!AW8,0),IF($AB8="RT",ROUND(Proyeccion_Localidades!BT8,0),"*****"))))</f>
        <v>483164</v>
      </c>
      <c r="AA8" s="66">
        <f>IF($AB8="TGD",ROUND($E8*(1+$AD8)^(AA$4-$E$4),0),IF($AB8="ALTH",ROUND($AE8+$AF8*AA$4,0),IF($AB8="IR",ROUND(Proyeccion_Localidades!AX8,0),IF($AB8="RT",ROUND(Proyeccion_Localidades!BU8,0),"*****"))))</f>
        <v>488615</v>
      </c>
      <c r="AB8" s="67" t="str">
        <f>Proyeccion_Localidades!N8</f>
        <v>ALTH</v>
      </c>
      <c r="AC8" s="68" t="s">
        <v>36</v>
      </c>
      <c r="AD8" s="51" t="str">
        <f>IF(AB8="TGD",Proyeccion_Localidades!Z8,"-")</f>
        <v>-</v>
      </c>
      <c r="AE8" s="51">
        <f>IF($AB8="ALTH",Proyeccion_Localidades!AA8,"-")</f>
        <v>-10659543.966789665</v>
      </c>
      <c r="AF8" s="51">
        <f>IF($AB8="ALTH",Proyeccion_Localidades!AB8,"-")</f>
        <v>5451.4225092250908</v>
      </c>
      <c r="AG8" s="51"/>
      <c r="AH8" s="51"/>
      <c r="AI8" s="66">
        <f t="shared" si="2"/>
        <v>368684</v>
      </c>
    </row>
    <row r="9" spans="1:35" ht="24.95" customHeight="1">
      <c r="A9" s="69" t="str">
        <f>+Proyeccion_Localidades!C9</f>
        <v>Ezeiza</v>
      </c>
      <c r="B9" s="70">
        <v>5</v>
      </c>
      <c r="C9" s="71" t="str">
        <f>+Proyeccion_Localidades!B9</f>
        <v>Ezeiza</v>
      </c>
      <c r="D9" s="261">
        <f t="shared" si="3"/>
        <v>5</v>
      </c>
      <c r="E9" s="72">
        <f>+Proyeccion_Localidades!F9</f>
        <v>163722</v>
      </c>
      <c r="F9" s="66">
        <f>IF($AB9="TGD",ROUND($E9*(1+$AD9)^(F$4-$E$4),0),IF($AB9="ALTH",ROUND($AE9+$AF9*F$4,0),IF($AB9="IR",ROUND(Proyeccion_Localidades!AC9,0),IF($AB9="RT",ROUND(Proyeccion_Localidades!AZ9,0),"*****"))))</f>
        <v>219098</v>
      </c>
      <c r="G9" s="66">
        <f>IF($AB9="TGD",ROUND($E9*(1+$AD9)^(G$4-$E$4),0),IF($AB9="ALTH",ROUND($AE9+$AF9*G$4,0),IF($AB9="IR",ROUND(Proyeccion_Localidades!AD9,0),IF($AB9="RT",ROUND(Proyeccion_Localidades!BA9,0),"*****"))))</f>
        <v>223807</v>
      </c>
      <c r="H9" s="66">
        <f>IF($AB9="TGD",ROUND($E9*(1+$AD9)^(H$4-$E$4),0),IF($AB9="ALTH",ROUND($AE9+$AF9*H$4,0),IF($AB9="IR",ROUND(Proyeccion_Localidades!AE9,0),IF($AB9="RT",ROUND(Proyeccion_Localidades!BB9,0),"*****"))))</f>
        <v>237933</v>
      </c>
      <c r="I9" s="66">
        <f>IF($AB9="TGD",ROUND($E9*(1+$AD9)^(I$4-$E$4),0),IF($AB9="ALTH",ROUND($AE9+$AF9*I$4,0),IF($AB9="IR",ROUND(Proyeccion_Localidades!AF9,0),IF($AB9="RT",ROUND(Proyeccion_Localidades!BC9,0),"*****"))))</f>
        <v>242642</v>
      </c>
      <c r="J9" s="66">
        <f>IF($AB9="TGD",ROUND($E9*(1+$AD9)^(J$4-$E$4),0),IF($AB9="ALTH",ROUND($AE9+$AF9*J$4,0),IF($AB9="IR",ROUND(Proyeccion_Localidades!AG9,0),IF($AB9="RT",ROUND(Proyeccion_Localidades!BD9,0),"*****"))))</f>
        <v>247350</v>
      </c>
      <c r="K9" s="66">
        <f>IF($AB9="TGD",ROUND($E9*(1+$AD9)^(K$4-$E$4),0),IF($AB9="ALTH",ROUND($AE9+$AF9*K$4,0),IF($AB9="IR",ROUND(Proyeccion_Localidades!AH9,0),IF($AB9="RT",ROUND(Proyeccion_Localidades!BE9,0),"*****"))))</f>
        <v>252059</v>
      </c>
      <c r="L9" s="66">
        <f>IF($AB9="TGD",ROUND($E9*(1+$AD9)^(L$4-$E$4),0),IF($AB9="ALTH",ROUND($AE9+$AF9*L$4,0),IF($AB9="IR",ROUND(Proyeccion_Localidades!AI9,0),IF($AB9="RT",ROUND(Proyeccion_Localidades!BF9,0),"*****"))))</f>
        <v>256768</v>
      </c>
      <c r="M9" s="66">
        <f>IF($AB9="TGD",ROUND($E9*(1+$AD9)^(M$4-$E$4),0),IF($AB9="ALTH",ROUND($AE9+$AF9*M$4,0),IF($AB9="IR",ROUND(Proyeccion_Localidades!AJ9,0),IF($AB9="RT",ROUND(Proyeccion_Localidades!BG9,0),"*****"))))</f>
        <v>261476</v>
      </c>
      <c r="N9" s="66">
        <f>IF($AB9="TGD",ROUND($E9*(1+$AD9)^(N$4-$E$4),0),IF($AB9="ALTH",ROUND($AE9+$AF9*N$4,0),IF($AB9="IR",ROUND(Proyeccion_Localidades!AK9,0),IF($AB9="RT",ROUND(Proyeccion_Localidades!BH9,0),"*****"))))</f>
        <v>266185</v>
      </c>
      <c r="O9" s="66">
        <f>IF($AB9="TGD",ROUND($E9*(1+$AD9)^(O$4-$E$4),0),IF($AB9="ALTH",ROUND($AE9+$AF9*O$4,0),IF($AB9="IR",ROUND(Proyeccion_Localidades!AL9,0),IF($AB9="RT",ROUND(Proyeccion_Localidades!BI9,0),"*****"))))</f>
        <v>270894</v>
      </c>
      <c r="P9" s="66">
        <f>IF($AB9="TGD",ROUND($E9*(1+$AD9)^(P$4-$E$4),0),IF($AB9="ALTH",ROUND($AE9+$AF9*P$4,0),IF($AB9="IR",ROUND(Proyeccion_Localidades!AM9,0),IF($AB9="RT",ROUND(Proyeccion_Localidades!BJ9,0),"*****"))))</f>
        <v>275602</v>
      </c>
      <c r="Q9" s="66">
        <f>IF($AB9="TGD",ROUND($E9*(1+$AD9)^(Q$4-$E$4),0),IF($AB9="ALTH",ROUND($AE9+$AF9*Q$4,0),IF($AB9="IR",ROUND(Proyeccion_Localidades!AN9,0),IF($AB9="RT",ROUND(Proyeccion_Localidades!BK9,0),"*****"))))</f>
        <v>280311</v>
      </c>
      <c r="R9" s="66">
        <f>IF($AB9="TGD",ROUND($E9*(1+$AD9)^(R$4-$E$4),0),IF($AB9="ALTH",ROUND($AE9+$AF9*R$4,0),IF($AB9="IR",ROUND(Proyeccion_Localidades!AO9,0),IF($AB9="RT",ROUND(Proyeccion_Localidades!BL9,0),"*****"))))</f>
        <v>285020</v>
      </c>
      <c r="S9" s="66">
        <f>IF($AB9="TGD",ROUND($E9*(1+$AD9)^(S$4-$E$4),0),IF($AB9="ALTH",ROUND($AE9+$AF9*S$4,0),IF($AB9="IR",ROUND(Proyeccion_Localidades!AP9,0),IF($AB9="RT",ROUND(Proyeccion_Localidades!BM9,0),"*****"))))</f>
        <v>289729</v>
      </c>
      <c r="T9" s="66">
        <f>IF($AB9="TGD",ROUND($E9*(1+$AD9)^(T$4-$E$4),0),IF($AB9="ALTH",ROUND($AE9+$AF9*T$4,0),IF($AB9="IR",ROUND(Proyeccion_Localidades!AQ9,0),IF($AB9="RT",ROUND(Proyeccion_Localidades!BN9,0),"*****"))))</f>
        <v>294437</v>
      </c>
      <c r="U9" s="66">
        <f>IF($AB9="TGD",ROUND($E9*(1+$AD9)^(U$4-$E$4),0),IF($AB9="ALTH",ROUND($AE9+$AF9*U$4,0),IF($AB9="IR",ROUND(Proyeccion_Localidades!AR9,0),IF($AB9="RT",ROUND(Proyeccion_Localidades!BO9,0),"*****"))))</f>
        <v>299146</v>
      </c>
      <c r="V9" s="66">
        <f>IF($AB9="TGD",ROUND($E9*(1+$AD9)^(V$4-$E$4),0),IF($AB9="ALTH",ROUND($AE9+$AF9*V$4,0),IF($AB9="IR",ROUND(Proyeccion_Localidades!AS9,0),IF($AB9="RT",ROUND(Proyeccion_Localidades!BP9,0),"*****"))))</f>
        <v>303855</v>
      </c>
      <c r="W9" s="66">
        <f>IF($AB9="TGD",ROUND($E9*(1+$AD9)^(W$4-$E$4),0),IF($AB9="ALTH",ROUND($AE9+$AF9*W$4,0),IF($AB9="IR",ROUND(Proyeccion_Localidades!AT9,0),IF($AB9="RT",ROUND(Proyeccion_Localidades!BQ9,0),"*****"))))</f>
        <v>308563</v>
      </c>
      <c r="X9" s="66">
        <f>IF($AB9="TGD",ROUND($E9*(1+$AD9)^(X$4-$E$4),0),IF($AB9="ALTH",ROUND($AE9+$AF9*X$4,0),IF($AB9="IR",ROUND(Proyeccion_Localidades!AU9,0),IF($AB9="RT",ROUND(Proyeccion_Localidades!BR9,0),"*****"))))</f>
        <v>313272</v>
      </c>
      <c r="Y9" s="66">
        <f>IF($AB9="TGD",ROUND($E9*(1+$AD9)^(Y$4-$E$4),0),IF($AB9="ALTH",ROUND($AE9+$AF9*Y$4,0),IF($AB9="IR",ROUND(Proyeccion_Localidades!AV9,0),IF($AB9="RT",ROUND(Proyeccion_Localidades!BS9,0),"*****"))))</f>
        <v>317981</v>
      </c>
      <c r="Z9" s="66">
        <f>IF($AB9="TGD",ROUND($E9*(1+$AD9)^(Z$4-$E$4),0),IF($AB9="ALTH",ROUND($AE9+$AF9*Z$4,0),IF($AB9="IR",ROUND(Proyeccion_Localidades!AW9,0),IF($AB9="RT",ROUND(Proyeccion_Localidades!BT9,0),"*****"))))</f>
        <v>322689</v>
      </c>
      <c r="AA9" s="66">
        <f>IF($AB9="TGD",ROUND($E9*(1+$AD9)^(AA$4-$E$4),0),IF($AB9="ALTH",ROUND($AE9+$AF9*AA$4,0),IF($AB9="IR",ROUND(Proyeccion_Localidades!AX9,0),IF($AB9="RT",ROUND(Proyeccion_Localidades!BU9,0),"*****"))))</f>
        <v>327398</v>
      </c>
      <c r="AB9" s="67" t="str">
        <f>Proyeccion_Localidades!N9</f>
        <v>ALTH</v>
      </c>
      <c r="AC9" s="68" t="s">
        <v>36</v>
      </c>
      <c r="AD9" s="51" t="str">
        <f>IF(AB9="TGD",Proyeccion_Localidades!Z9,"-")</f>
        <v>-</v>
      </c>
      <c r="AE9" s="51">
        <f>IF($AB9="ALTH",Proyeccion_Localidades!AA9,"-")</f>
        <v>-9301880.5830258299</v>
      </c>
      <c r="AF9" s="51">
        <f>IF($AB9="ALTH",Proyeccion_Localidades!AB9,"-")</f>
        <v>4708.6937269372693</v>
      </c>
      <c r="AG9" s="51"/>
      <c r="AH9" s="51"/>
      <c r="AI9" s="66">
        <f t="shared" si="2"/>
        <v>223807</v>
      </c>
    </row>
    <row r="10" spans="1:35" ht="24.95" customHeight="1">
      <c r="A10" s="69" t="str">
        <f>+Proyeccion_Localidades!C10</f>
        <v>Florencio Varela</v>
      </c>
      <c r="B10" s="70">
        <v>6</v>
      </c>
      <c r="C10" s="71" t="str">
        <f>+Proyeccion_Localidades!B10</f>
        <v>Florencio Varela</v>
      </c>
      <c r="D10" s="261">
        <f t="shared" si="3"/>
        <v>6</v>
      </c>
      <c r="E10" s="72">
        <f>+Proyeccion_Localidades!F10</f>
        <v>426005</v>
      </c>
      <c r="F10" s="66">
        <f>IF($AB10="TGD",ROUND($E10*(1+$AD10)^(F$4-$E$4),0),IF($AB10="ALTH",ROUND($AE10+$AF10*F$4,0),IF($AB10="IR",ROUND(Proyeccion_Localidades!AC10,0),IF($AB10="RT",ROUND(Proyeccion_Localidades!AZ10,0),"*****"))))</f>
        <v>537049</v>
      </c>
      <c r="G10" s="66">
        <f>IF($AB10="TGD",ROUND($E10*(1+$AD10)^(G$4-$E$4),0),IF($AB10="ALTH",ROUND($AE10+$AF10*G$4,0),IF($AB10="IR",ROUND(Proyeccion_Localidades!AD10,0),IF($AB10="RT",ROUND(Proyeccion_Localidades!BA10,0),"*****"))))</f>
        <v>546330</v>
      </c>
      <c r="H10" s="66">
        <f>IF($AB10="TGD",ROUND($E10*(1+$AD10)^(H$4-$E$4),0),IF($AB10="ALTH",ROUND($AE10+$AF10*H$4,0),IF($AB10="IR",ROUND(Proyeccion_Localidades!AE10,0),IF($AB10="RT",ROUND(Proyeccion_Localidades!BB10,0),"*****"))))</f>
        <v>574175</v>
      </c>
      <c r="I10" s="66">
        <f>IF($AB10="TGD",ROUND($E10*(1+$AD10)^(I$4-$E$4),0),IF($AB10="ALTH",ROUND($AE10+$AF10*I$4,0),IF($AB10="IR",ROUND(Proyeccion_Localidades!AF10,0),IF($AB10="RT",ROUND(Proyeccion_Localidades!BC10,0),"*****"))))</f>
        <v>583456</v>
      </c>
      <c r="J10" s="66">
        <f>IF($AB10="TGD",ROUND($E10*(1+$AD10)^(J$4-$E$4),0),IF($AB10="ALTH",ROUND($AE10+$AF10*J$4,0),IF($AB10="IR",ROUND(Proyeccion_Localidades!AG10,0),IF($AB10="RT",ROUND(Proyeccion_Localidades!BD10,0),"*****"))))</f>
        <v>592737</v>
      </c>
      <c r="K10" s="66">
        <f>IF($AB10="TGD",ROUND($E10*(1+$AD10)^(K$4-$E$4),0),IF($AB10="ALTH",ROUND($AE10+$AF10*K$4,0),IF($AB10="IR",ROUND(Proyeccion_Localidades!AH10,0),IF($AB10="RT",ROUND(Proyeccion_Localidades!BE10,0),"*****"))))</f>
        <v>602019</v>
      </c>
      <c r="L10" s="66">
        <f>IF($AB10="TGD",ROUND($E10*(1+$AD10)^(L$4-$E$4),0),IF($AB10="ALTH",ROUND($AE10+$AF10*L$4,0),IF($AB10="IR",ROUND(Proyeccion_Localidades!AI10,0),IF($AB10="RT",ROUND(Proyeccion_Localidades!BF10,0),"*****"))))</f>
        <v>611300</v>
      </c>
      <c r="M10" s="66">
        <f>IF($AB10="TGD",ROUND($E10*(1+$AD10)^(M$4-$E$4),0),IF($AB10="ALTH",ROUND($AE10+$AF10*M$4,0),IF($AB10="IR",ROUND(Proyeccion_Localidades!AJ10,0),IF($AB10="RT",ROUND(Proyeccion_Localidades!BG10,0),"*****"))))</f>
        <v>620582</v>
      </c>
      <c r="N10" s="66">
        <f>IF($AB10="TGD",ROUND($E10*(1+$AD10)^(N$4-$E$4),0),IF($AB10="ALTH",ROUND($AE10+$AF10*N$4,0),IF($AB10="IR",ROUND(Proyeccion_Localidades!AK10,0),IF($AB10="RT",ROUND(Proyeccion_Localidades!BH10,0),"*****"))))</f>
        <v>629863</v>
      </c>
      <c r="O10" s="66">
        <f>IF($AB10="TGD",ROUND($E10*(1+$AD10)^(O$4-$E$4),0),IF($AB10="ALTH",ROUND($AE10+$AF10*O$4,0),IF($AB10="IR",ROUND(Proyeccion_Localidades!AL10,0),IF($AB10="RT",ROUND(Proyeccion_Localidades!BI10,0),"*****"))))</f>
        <v>639144</v>
      </c>
      <c r="P10" s="66">
        <f>IF($AB10="TGD",ROUND($E10*(1+$AD10)^(P$4-$E$4),0),IF($AB10="ALTH",ROUND($AE10+$AF10*P$4,0),IF($AB10="IR",ROUND(Proyeccion_Localidades!AM10,0),IF($AB10="RT",ROUND(Proyeccion_Localidades!BJ10,0),"*****"))))</f>
        <v>648426</v>
      </c>
      <c r="Q10" s="66">
        <f>IF($AB10="TGD",ROUND($E10*(1+$AD10)^(Q$4-$E$4),0),IF($AB10="ALTH",ROUND($AE10+$AF10*Q$4,0),IF($AB10="IR",ROUND(Proyeccion_Localidades!AN10,0),IF($AB10="RT",ROUND(Proyeccion_Localidades!BK10,0),"*****"))))</f>
        <v>657707</v>
      </c>
      <c r="R10" s="66">
        <f>IF($AB10="TGD",ROUND($E10*(1+$AD10)^(R$4-$E$4),0),IF($AB10="ALTH",ROUND($AE10+$AF10*R$4,0),IF($AB10="IR",ROUND(Proyeccion_Localidades!AO10,0),IF($AB10="RT",ROUND(Proyeccion_Localidades!BL10,0),"*****"))))</f>
        <v>666989</v>
      </c>
      <c r="S10" s="66">
        <f>IF($AB10="TGD",ROUND($E10*(1+$AD10)^(S$4-$E$4),0),IF($AB10="ALTH",ROUND($AE10+$AF10*S$4,0),IF($AB10="IR",ROUND(Proyeccion_Localidades!AP10,0),IF($AB10="RT",ROUND(Proyeccion_Localidades!BM10,0),"*****"))))</f>
        <v>676270</v>
      </c>
      <c r="T10" s="66">
        <f>IF($AB10="TGD",ROUND($E10*(1+$AD10)^(T$4-$E$4),0),IF($AB10="ALTH",ROUND($AE10+$AF10*T$4,0),IF($AB10="IR",ROUND(Proyeccion_Localidades!AQ10,0),IF($AB10="RT",ROUND(Proyeccion_Localidades!BN10,0),"*****"))))</f>
        <v>685551</v>
      </c>
      <c r="U10" s="66">
        <f>IF($AB10="TGD",ROUND($E10*(1+$AD10)^(U$4-$E$4),0),IF($AB10="ALTH",ROUND($AE10+$AF10*U$4,0),IF($AB10="IR",ROUND(Proyeccion_Localidades!AR10,0),IF($AB10="RT",ROUND(Proyeccion_Localidades!BO10,0),"*****"))))</f>
        <v>694833</v>
      </c>
      <c r="V10" s="66">
        <f>IF($AB10="TGD",ROUND($E10*(1+$AD10)^(V$4-$E$4),0),IF($AB10="ALTH",ROUND($AE10+$AF10*V$4,0),IF($AB10="IR",ROUND(Proyeccion_Localidades!AS10,0),IF($AB10="RT",ROUND(Proyeccion_Localidades!BP10,0),"*****"))))</f>
        <v>704114</v>
      </c>
      <c r="W10" s="66">
        <f>IF($AB10="TGD",ROUND($E10*(1+$AD10)^(W$4-$E$4),0),IF($AB10="ALTH",ROUND($AE10+$AF10*W$4,0),IF($AB10="IR",ROUND(Proyeccion_Localidades!AT10,0),IF($AB10="RT",ROUND(Proyeccion_Localidades!BQ10,0),"*****"))))</f>
        <v>713396</v>
      </c>
      <c r="X10" s="66">
        <f>IF($AB10="TGD",ROUND($E10*(1+$AD10)^(X$4-$E$4),0),IF($AB10="ALTH",ROUND($AE10+$AF10*X$4,0),IF($AB10="IR",ROUND(Proyeccion_Localidades!AU10,0),IF($AB10="RT",ROUND(Proyeccion_Localidades!BR10,0),"*****"))))</f>
        <v>722677</v>
      </c>
      <c r="Y10" s="66">
        <f>IF($AB10="TGD",ROUND($E10*(1+$AD10)^(Y$4-$E$4),0),IF($AB10="ALTH",ROUND($AE10+$AF10*Y$4,0),IF($AB10="IR",ROUND(Proyeccion_Localidades!AV10,0),IF($AB10="RT",ROUND(Proyeccion_Localidades!BS10,0),"*****"))))</f>
        <v>731959</v>
      </c>
      <c r="Z10" s="66">
        <f>IF($AB10="TGD",ROUND($E10*(1+$AD10)^(Z$4-$E$4),0),IF($AB10="ALTH",ROUND($AE10+$AF10*Z$4,0),IF($AB10="IR",ROUND(Proyeccion_Localidades!AW10,0),IF($AB10="RT",ROUND(Proyeccion_Localidades!BT10,0),"*****"))))</f>
        <v>741240</v>
      </c>
      <c r="AA10" s="66">
        <f>IF($AB10="TGD",ROUND($E10*(1+$AD10)^(AA$4-$E$4),0),IF($AB10="ALTH",ROUND($AE10+$AF10*AA$4,0),IF($AB10="IR",ROUND(Proyeccion_Localidades!AX10,0),IF($AB10="RT",ROUND(Proyeccion_Localidades!BU10,0),"*****"))))</f>
        <v>750521</v>
      </c>
      <c r="AB10" s="67" t="str">
        <f>Proyeccion_Localidades!N10</f>
        <v>ALTH</v>
      </c>
      <c r="AC10" s="68" t="s">
        <v>36</v>
      </c>
      <c r="AD10" s="51" t="str">
        <f>IF(AB10="TGD",Proyeccion_Localidades!Z10,"-")</f>
        <v>-</v>
      </c>
      <c r="AE10" s="51">
        <f>IF($AB10="ALTH",Proyeccion_Localidades!AA10,"-")</f>
        <v>-18229953.745387454</v>
      </c>
      <c r="AF10" s="51">
        <f>IF($AB10="ALTH",Proyeccion_Localidades!AB10,"-")</f>
        <v>9281.40590405904</v>
      </c>
      <c r="AG10" s="51"/>
      <c r="AH10" s="51"/>
      <c r="AI10" s="66">
        <f t="shared" si="2"/>
        <v>546330</v>
      </c>
    </row>
    <row r="11" spans="1:35" ht="24.95" customHeight="1">
      <c r="A11" s="69" t="str">
        <f>+Proyeccion_Localidades!C11</f>
        <v>General San Martín</v>
      </c>
      <c r="B11" s="70">
        <v>7</v>
      </c>
      <c r="C11" s="71" t="str">
        <f>+Proyeccion_Localidades!B11</f>
        <v>General San Martín</v>
      </c>
      <c r="D11" s="261">
        <f t="shared" si="3"/>
        <v>7</v>
      </c>
      <c r="E11" s="72">
        <f>+Proyeccion_Localidades!F11</f>
        <v>414196</v>
      </c>
      <c r="F11" s="66">
        <f>IF($AB11="TGD",ROUND($E11*(1+$AD11)^(F$4-$E$4),0),IF($AB11="ALTH",ROUND($AE11+$AF11*F$4,0),IF($AB11="IR",ROUND(Proyeccion_Localidades!AC11,0),IF($AB11="RT",ROUND(Proyeccion_Localidades!AZ11,0),"*****"))))</f>
        <v>438914</v>
      </c>
      <c r="G11" s="66">
        <f>IF($AB11="TGD",ROUND($E11*(1+$AD11)^(G$4-$E$4),0),IF($AB11="ALTH",ROUND($AE11+$AF11*G$4,0),IF($AB11="IR",ROUND(Proyeccion_Localidades!AD11,0),IF($AB11="RT",ROUND(Proyeccion_Localidades!BA11,0),"*****"))))</f>
        <v>441198</v>
      </c>
      <c r="H11" s="66">
        <f>IF($AB11="TGD",ROUND($E11*(1+$AD11)^(H$4-$E$4),0),IF($AB11="ALTH",ROUND($AE11+$AF11*H$4,0),IF($AB11="IR",ROUND(Proyeccion_Localidades!AE11,0),IF($AB11="RT",ROUND(Proyeccion_Localidades!BB11,0),"*****"))))</f>
        <v>448279</v>
      </c>
      <c r="I11" s="66">
        <f>IF($AB11="TGD",ROUND($E11*(1+$AD11)^(I$4-$E$4),0),IF($AB11="ALTH",ROUND($AE11+$AF11*I$4,0),IF($AB11="IR",ROUND(Proyeccion_Localidades!AF11,0),IF($AB11="RT",ROUND(Proyeccion_Localidades!BC11,0),"*****"))))</f>
        <v>450716</v>
      </c>
      <c r="J11" s="66">
        <f>IF($AB11="TGD",ROUND($E11*(1+$AD11)^(J$4-$E$4),0),IF($AB11="ALTH",ROUND($AE11+$AF11*J$4,0),IF($AB11="IR",ROUND(Proyeccion_Localidades!AG11,0),IF($AB11="RT",ROUND(Proyeccion_Localidades!BD11,0),"*****"))))</f>
        <v>453193</v>
      </c>
      <c r="K11" s="66">
        <f>IF($AB11="TGD",ROUND($E11*(1+$AD11)^(K$4-$E$4),0),IF($AB11="ALTH",ROUND($AE11+$AF11*K$4,0),IF($AB11="IR",ROUND(Proyeccion_Localidades!AH11,0),IF($AB11="RT",ROUND(Proyeccion_Localidades!BE11,0),"*****"))))</f>
        <v>455711</v>
      </c>
      <c r="L11" s="66">
        <f>IF($AB11="TGD",ROUND($E11*(1+$AD11)^(L$4-$E$4),0),IF($AB11="ALTH",ROUND($AE11+$AF11*L$4,0),IF($AB11="IR",ROUND(Proyeccion_Localidades!AI11,0),IF($AB11="RT",ROUND(Proyeccion_Localidades!BF11,0),"*****"))))</f>
        <v>458270</v>
      </c>
      <c r="M11" s="66">
        <f>IF($AB11="TGD",ROUND($E11*(1+$AD11)^(M$4-$E$4),0),IF($AB11="ALTH",ROUND($AE11+$AF11*M$4,0),IF($AB11="IR",ROUND(Proyeccion_Localidades!AJ11,0),IF($AB11="RT",ROUND(Proyeccion_Localidades!BG11,0),"*****"))))</f>
        <v>460870</v>
      </c>
      <c r="N11" s="66">
        <f>IF($AB11="TGD",ROUND($E11*(1+$AD11)^(N$4-$E$4),0),IF($AB11="ALTH",ROUND($AE11+$AF11*N$4,0),IF($AB11="IR",ROUND(Proyeccion_Localidades!AK11,0),IF($AB11="RT",ROUND(Proyeccion_Localidades!BH11,0),"*****"))))</f>
        <v>463513</v>
      </c>
      <c r="O11" s="66">
        <f>IF($AB11="TGD",ROUND($E11*(1+$AD11)^(O$4-$E$4),0),IF($AB11="ALTH",ROUND($AE11+$AF11*O$4,0),IF($AB11="IR",ROUND(Proyeccion_Localidades!AL11,0),IF($AB11="RT",ROUND(Proyeccion_Localidades!BI11,0),"*****"))))</f>
        <v>466199</v>
      </c>
      <c r="P11" s="66">
        <f>IF($AB11="TGD",ROUND($E11*(1+$AD11)^(P$4-$E$4),0),IF($AB11="ALTH",ROUND($AE11+$AF11*P$4,0),IF($AB11="IR",ROUND(Proyeccion_Localidades!AM11,0),IF($AB11="RT",ROUND(Proyeccion_Localidades!BJ11,0),"*****"))))</f>
        <v>468929</v>
      </c>
      <c r="Q11" s="66">
        <f>IF($AB11="TGD",ROUND($E11*(1+$AD11)^(Q$4-$E$4),0),IF($AB11="ALTH",ROUND($AE11+$AF11*Q$4,0),IF($AB11="IR",ROUND(Proyeccion_Localidades!AN11,0),IF($AB11="RT",ROUND(Proyeccion_Localidades!BK11,0),"*****"))))</f>
        <v>471703</v>
      </c>
      <c r="R11" s="66">
        <f>IF($AB11="TGD",ROUND($E11*(1+$AD11)^(R$4-$E$4),0),IF($AB11="ALTH",ROUND($AE11+$AF11*R$4,0),IF($AB11="IR",ROUND(Proyeccion_Localidades!AO11,0),IF($AB11="RT",ROUND(Proyeccion_Localidades!BL11,0),"*****"))))</f>
        <v>474523</v>
      </c>
      <c r="S11" s="66">
        <f>IF($AB11="TGD",ROUND($E11*(1+$AD11)^(S$4-$E$4),0),IF($AB11="ALTH",ROUND($AE11+$AF11*S$4,0),IF($AB11="IR",ROUND(Proyeccion_Localidades!AP11,0),IF($AB11="RT",ROUND(Proyeccion_Localidades!BM11,0),"*****"))))</f>
        <v>477388</v>
      </c>
      <c r="T11" s="66">
        <f>IF($AB11="TGD",ROUND($E11*(1+$AD11)^(T$4-$E$4),0),IF($AB11="ALTH",ROUND($AE11+$AF11*T$4,0),IF($AB11="IR",ROUND(Proyeccion_Localidades!AQ11,0),IF($AB11="RT",ROUND(Proyeccion_Localidades!BN11,0),"*****"))))</f>
        <v>480300</v>
      </c>
      <c r="U11" s="66">
        <f>IF($AB11="TGD",ROUND($E11*(1+$AD11)^(U$4-$E$4),0),IF($AB11="ALTH",ROUND($AE11+$AF11*U$4,0),IF($AB11="IR",ROUND(Proyeccion_Localidades!AR11,0),IF($AB11="RT",ROUND(Proyeccion_Localidades!BO11,0),"*****"))))</f>
        <v>483260</v>
      </c>
      <c r="V11" s="66">
        <f>IF($AB11="TGD",ROUND($E11*(1+$AD11)^(V$4-$E$4),0),IF($AB11="ALTH",ROUND($AE11+$AF11*V$4,0),IF($AB11="IR",ROUND(Proyeccion_Localidades!AS11,0),IF($AB11="RT",ROUND(Proyeccion_Localidades!BP11,0),"*****"))))</f>
        <v>486268</v>
      </c>
      <c r="W11" s="66">
        <f>IF($AB11="TGD",ROUND($E11*(1+$AD11)^(W$4-$E$4),0),IF($AB11="ALTH",ROUND($AE11+$AF11*W$4,0),IF($AB11="IR",ROUND(Proyeccion_Localidades!AT11,0),IF($AB11="RT",ROUND(Proyeccion_Localidades!BQ11,0),"*****"))))</f>
        <v>489326</v>
      </c>
      <c r="X11" s="66">
        <f>IF($AB11="TGD",ROUND($E11*(1+$AD11)^(X$4-$E$4),0),IF($AB11="ALTH",ROUND($AE11+$AF11*X$4,0),IF($AB11="IR",ROUND(Proyeccion_Localidades!AU11,0),IF($AB11="RT",ROUND(Proyeccion_Localidades!BR11,0),"*****"))))</f>
        <v>492433</v>
      </c>
      <c r="Y11" s="66">
        <f>IF($AB11="TGD",ROUND($E11*(1+$AD11)^(Y$4-$E$4),0),IF($AB11="ALTH",ROUND($AE11+$AF11*Y$4,0),IF($AB11="IR",ROUND(Proyeccion_Localidades!AV11,0),IF($AB11="RT",ROUND(Proyeccion_Localidades!BS11,0),"*****"))))</f>
        <v>495590</v>
      </c>
      <c r="Z11" s="66">
        <f>IF($AB11="TGD",ROUND($E11*(1+$AD11)^(Z$4-$E$4),0),IF($AB11="ALTH",ROUND($AE11+$AF11*Z$4,0),IF($AB11="IR",ROUND(Proyeccion_Localidades!AW11,0),IF($AB11="RT",ROUND(Proyeccion_Localidades!BT11,0),"*****"))))</f>
        <v>498800</v>
      </c>
      <c r="AA11" s="66">
        <f>IF($AB11="TGD",ROUND($E11*(1+$AD11)^(AA$4-$E$4),0),IF($AB11="ALTH",ROUND($AE11+$AF11*AA$4,0),IF($AB11="IR",ROUND(Proyeccion_Localidades!AX11,0),IF($AB11="RT",ROUND(Proyeccion_Localidades!BU11,0),"*****"))))</f>
        <v>502061</v>
      </c>
      <c r="AB11" s="67" t="str">
        <f>Proyeccion_Localidades!N11</f>
        <v>IR</v>
      </c>
      <c r="AC11" s="68"/>
      <c r="AD11" s="51" t="str">
        <f>IF(AB11="TGD",Proyeccion_Localidades!Z11,"-")</f>
        <v>-</v>
      </c>
      <c r="AE11" s="51" t="str">
        <f>IF($AB11="ALTH",Proyeccion_Localidades!AA11,"-")</f>
        <v>-</v>
      </c>
      <c r="AF11" s="51" t="str">
        <f>IF($AB11="ALTH",Proyeccion_Localidades!AB11,"-")</f>
        <v>-</v>
      </c>
      <c r="AG11" s="51"/>
      <c r="AH11" s="51"/>
      <c r="AI11" s="66">
        <f t="shared" si="2"/>
        <v>441198</v>
      </c>
    </row>
    <row r="12" spans="1:35" ht="24.95" customHeight="1">
      <c r="A12" s="69" t="str">
        <f>+Proyeccion_Localidades!C12</f>
        <v>Hurlingham</v>
      </c>
      <c r="B12" s="70">
        <v>8</v>
      </c>
      <c r="C12" s="71" t="str">
        <f>+Proyeccion_Localidades!B12</f>
        <v>Hurlingham</v>
      </c>
      <c r="D12" s="261">
        <f t="shared" si="3"/>
        <v>8</v>
      </c>
      <c r="E12" s="72">
        <f>+Proyeccion_Localidades!F12</f>
        <v>181241</v>
      </c>
      <c r="F12" s="66">
        <f>IF($AB12="TGD",ROUND($E12*(1+$AD12)^(F$4-$E$4),0),IF($AB12="ALTH",ROUND($AE12+$AF12*F$4,0),IF($AB12="IR",ROUND(Proyeccion_Localidades!AC12,0),IF($AB12="RT",ROUND(Proyeccion_Localidades!AZ12,0),"*****"))))</f>
        <v>189449</v>
      </c>
      <c r="G12" s="66">
        <f>IF($AB12="TGD",ROUND($E12*(1+$AD12)^(G$4-$E$4),0),IF($AB12="ALTH",ROUND($AE12+$AF12*G$4,0),IF($AB12="IR",ROUND(Proyeccion_Localidades!AD12,0),IF($AB12="RT",ROUND(Proyeccion_Localidades!BA12,0),"*****"))))</f>
        <v>190198</v>
      </c>
      <c r="H12" s="66">
        <f>IF($AB12="TGD",ROUND($E12*(1+$AD12)^(H$4-$E$4),0),IF($AB12="ALTH",ROUND($AE12+$AF12*H$4,0),IF($AB12="IR",ROUND(Proyeccion_Localidades!AE12,0),IF($AB12="RT",ROUND(Proyeccion_Localidades!BB12,0),"*****"))))</f>
        <v>192445</v>
      </c>
      <c r="I12" s="66">
        <f>IF($AB12="TGD",ROUND($E12*(1+$AD12)^(I$4-$E$4),0),IF($AB12="ALTH",ROUND($AE12+$AF12*I$4,0),IF($AB12="IR",ROUND(Proyeccion_Localidades!AF12,0),IF($AB12="RT",ROUND(Proyeccion_Localidades!BC12,0),"*****"))))</f>
        <v>193193</v>
      </c>
      <c r="J12" s="66">
        <f>IF($AB12="TGD",ROUND($E12*(1+$AD12)^(J$4-$E$4),0),IF($AB12="ALTH",ROUND($AE12+$AF12*J$4,0),IF($AB12="IR",ROUND(Proyeccion_Localidades!AG12,0),IF($AB12="RT",ROUND(Proyeccion_Localidades!BD12,0),"*****"))))</f>
        <v>193942</v>
      </c>
      <c r="K12" s="66">
        <f>IF($AB12="TGD",ROUND($E12*(1+$AD12)^(K$4-$E$4),0),IF($AB12="ALTH",ROUND($AE12+$AF12*K$4,0),IF($AB12="IR",ROUND(Proyeccion_Localidades!AH12,0),IF($AB12="RT",ROUND(Proyeccion_Localidades!BE12,0),"*****"))))</f>
        <v>194691</v>
      </c>
      <c r="L12" s="66">
        <f>IF($AB12="TGD",ROUND($E12*(1+$AD12)^(L$4-$E$4),0),IF($AB12="ALTH",ROUND($AE12+$AF12*L$4,0),IF($AB12="IR",ROUND(Proyeccion_Localidades!AI12,0),IF($AB12="RT",ROUND(Proyeccion_Localidades!BF12,0),"*****"))))</f>
        <v>195440</v>
      </c>
      <c r="M12" s="66">
        <f>IF($AB12="TGD",ROUND($E12*(1+$AD12)^(M$4-$E$4),0),IF($AB12="ALTH",ROUND($AE12+$AF12*M$4,0),IF($AB12="IR",ROUND(Proyeccion_Localidades!AJ12,0),IF($AB12="RT",ROUND(Proyeccion_Localidades!BG12,0),"*****"))))</f>
        <v>196189</v>
      </c>
      <c r="N12" s="66">
        <f>IF($AB12="TGD",ROUND($E12*(1+$AD12)^(N$4-$E$4),0),IF($AB12="ALTH",ROUND($AE12+$AF12*N$4,0),IF($AB12="IR",ROUND(Proyeccion_Localidades!AK12,0),IF($AB12="RT",ROUND(Proyeccion_Localidades!BH12,0),"*****"))))</f>
        <v>196938</v>
      </c>
      <c r="O12" s="66">
        <f>IF($AB12="TGD",ROUND($E12*(1+$AD12)^(O$4-$E$4),0),IF($AB12="ALTH",ROUND($AE12+$AF12*O$4,0),IF($AB12="IR",ROUND(Proyeccion_Localidades!AL12,0),IF($AB12="RT",ROUND(Proyeccion_Localidades!BI12,0),"*****"))))</f>
        <v>197687</v>
      </c>
      <c r="P12" s="66">
        <f>IF($AB12="TGD",ROUND($E12*(1+$AD12)^(P$4-$E$4),0),IF($AB12="ALTH",ROUND($AE12+$AF12*P$4,0),IF($AB12="IR",ROUND(Proyeccion_Localidades!AM12,0),IF($AB12="RT",ROUND(Proyeccion_Localidades!BJ12,0),"*****"))))</f>
        <v>198435</v>
      </c>
      <c r="Q12" s="66">
        <f>IF($AB12="TGD",ROUND($E12*(1+$AD12)^(Q$4-$E$4),0),IF($AB12="ALTH",ROUND($AE12+$AF12*Q$4,0),IF($AB12="IR",ROUND(Proyeccion_Localidades!AN12,0),IF($AB12="RT",ROUND(Proyeccion_Localidades!BK12,0),"*****"))))</f>
        <v>199184</v>
      </c>
      <c r="R12" s="66">
        <f>IF($AB12="TGD",ROUND($E12*(1+$AD12)^(R$4-$E$4),0),IF($AB12="ALTH",ROUND($AE12+$AF12*R$4,0),IF($AB12="IR",ROUND(Proyeccion_Localidades!AO12,0),IF($AB12="RT",ROUND(Proyeccion_Localidades!BL12,0),"*****"))))</f>
        <v>199933</v>
      </c>
      <c r="S12" s="66">
        <f>IF($AB12="TGD",ROUND($E12*(1+$AD12)^(S$4-$E$4),0),IF($AB12="ALTH",ROUND($AE12+$AF12*S$4,0),IF($AB12="IR",ROUND(Proyeccion_Localidades!AP12,0),IF($AB12="RT",ROUND(Proyeccion_Localidades!BM12,0),"*****"))))</f>
        <v>200682</v>
      </c>
      <c r="T12" s="66">
        <f>IF($AB12="TGD",ROUND($E12*(1+$AD12)^(T$4-$E$4),0),IF($AB12="ALTH",ROUND($AE12+$AF12*T$4,0),IF($AB12="IR",ROUND(Proyeccion_Localidades!AQ12,0),IF($AB12="RT",ROUND(Proyeccion_Localidades!BN12,0),"*****"))))</f>
        <v>201431</v>
      </c>
      <c r="U12" s="66">
        <f>IF($AB12="TGD",ROUND($E12*(1+$AD12)^(U$4-$E$4),0),IF($AB12="ALTH",ROUND($AE12+$AF12*U$4,0),IF($AB12="IR",ROUND(Proyeccion_Localidades!AR12,0),IF($AB12="RT",ROUND(Proyeccion_Localidades!BO12,0),"*****"))))</f>
        <v>202180</v>
      </c>
      <c r="V12" s="66">
        <f>IF($AB12="TGD",ROUND($E12*(1+$AD12)^(V$4-$E$4),0),IF($AB12="ALTH",ROUND($AE12+$AF12*V$4,0),IF($AB12="IR",ROUND(Proyeccion_Localidades!AS12,0),IF($AB12="RT",ROUND(Proyeccion_Localidades!BP12,0),"*****"))))</f>
        <v>202929</v>
      </c>
      <c r="W12" s="66">
        <f>IF($AB12="TGD",ROUND($E12*(1+$AD12)^(W$4-$E$4),0),IF($AB12="ALTH",ROUND($AE12+$AF12*W$4,0),IF($AB12="IR",ROUND(Proyeccion_Localidades!AT12,0),IF($AB12="RT",ROUND(Proyeccion_Localidades!BQ12,0),"*****"))))</f>
        <v>203677</v>
      </c>
      <c r="X12" s="66">
        <f>IF($AB12="TGD",ROUND($E12*(1+$AD12)^(X$4-$E$4),0),IF($AB12="ALTH",ROUND($AE12+$AF12*X$4,0),IF($AB12="IR",ROUND(Proyeccion_Localidades!AU12,0),IF($AB12="RT",ROUND(Proyeccion_Localidades!BR12,0),"*****"))))</f>
        <v>204426</v>
      </c>
      <c r="Y12" s="66">
        <f>IF($AB12="TGD",ROUND($E12*(1+$AD12)^(Y$4-$E$4),0),IF($AB12="ALTH",ROUND($AE12+$AF12*Y$4,0),IF($AB12="IR",ROUND(Proyeccion_Localidades!AV12,0),IF($AB12="RT",ROUND(Proyeccion_Localidades!BS12,0),"*****"))))</f>
        <v>205175</v>
      </c>
      <c r="Z12" s="66">
        <f>IF($AB12="TGD",ROUND($E12*(1+$AD12)^(Z$4-$E$4),0),IF($AB12="ALTH",ROUND($AE12+$AF12*Z$4,0),IF($AB12="IR",ROUND(Proyeccion_Localidades!AW12,0),IF($AB12="RT",ROUND(Proyeccion_Localidades!BT12,0),"*****"))))</f>
        <v>205924</v>
      </c>
      <c r="AA12" s="66">
        <f>IF($AB12="TGD",ROUND($E12*(1+$AD12)^(AA$4-$E$4),0),IF($AB12="ALTH",ROUND($AE12+$AF12*AA$4,0),IF($AB12="IR",ROUND(Proyeccion_Localidades!AX12,0),IF($AB12="RT",ROUND(Proyeccion_Localidades!BU12,0),"*****"))))</f>
        <v>206673</v>
      </c>
      <c r="AB12" s="67" t="str">
        <f>Proyeccion_Localidades!N12</f>
        <v>ALTH</v>
      </c>
      <c r="AC12" s="68" t="s">
        <v>36</v>
      </c>
      <c r="AD12" s="51" t="str">
        <f>IF(AB12="TGD",Proyeccion_Localidades!Z12,"-")</f>
        <v>-</v>
      </c>
      <c r="AE12" s="51">
        <f>IF($AB12="ALTH",Proyeccion_Localidades!AA12,"-")</f>
        <v>-1324730.3653136531</v>
      </c>
      <c r="AF12" s="51">
        <f>IF($AB12="ALTH",Proyeccion_Localidades!AB12,"-")</f>
        <v>748.85239852398524</v>
      </c>
      <c r="AG12" s="51"/>
      <c r="AH12" s="51"/>
      <c r="AI12" s="66">
        <f t="shared" si="2"/>
        <v>190198</v>
      </c>
    </row>
    <row r="13" spans="1:35" ht="24.95" customHeight="1">
      <c r="A13" s="69" t="str">
        <f>+Proyeccion_Localidades!C13</f>
        <v>Ituzaingó</v>
      </c>
      <c r="B13" s="70">
        <v>9</v>
      </c>
      <c r="C13" s="71" t="str">
        <f>+Proyeccion_Localidades!B13</f>
        <v>Ituzaingó</v>
      </c>
      <c r="D13" s="261">
        <f t="shared" si="3"/>
        <v>9</v>
      </c>
      <c r="E13" s="72">
        <f>+Proyeccion_Localidades!F13</f>
        <v>167824</v>
      </c>
      <c r="F13" s="66">
        <f>IF($AB13="TGD",ROUND($E13*(1+$AD13)^(F$4-$E$4),0),IF($AB13="ALTH",ROUND($AE13+$AF13*F$4,0),IF($AB13="IR",ROUND(Proyeccion_Localidades!AC13,0),IF($AB13="RT",ROUND(Proyeccion_Localidades!AZ13,0),"*****"))))</f>
        <v>181694</v>
      </c>
      <c r="G13" s="66">
        <f>IF($AB13="TGD",ROUND($E13*(1+$AD13)^(G$4-$E$4),0),IF($AB13="ALTH",ROUND($AE13+$AF13*G$4,0),IF($AB13="IR",ROUND(Proyeccion_Localidades!AD13,0),IF($AB13="RT",ROUND(Proyeccion_Localidades!BA13,0),"*****"))))</f>
        <v>182900</v>
      </c>
      <c r="H13" s="66">
        <f>IF($AB13="TGD",ROUND($E13*(1+$AD13)^(H$4-$E$4),0),IF($AB13="ALTH",ROUND($AE13+$AF13*H$4,0),IF($AB13="IR",ROUND(Proyeccion_Localidades!AE13,0),IF($AB13="RT",ROUND(Proyeccion_Localidades!BB13,0),"*****"))))</f>
        <v>186567</v>
      </c>
      <c r="I13" s="66">
        <f>IF($AB13="TGD",ROUND($E13*(1+$AD13)^(I$4-$E$4),0),IF($AB13="ALTH",ROUND($AE13+$AF13*I$4,0),IF($AB13="IR",ROUND(Proyeccion_Localidades!AF13,0),IF($AB13="RT",ROUND(Proyeccion_Localidades!BC13,0),"*****"))))</f>
        <v>187806</v>
      </c>
      <c r="J13" s="66">
        <f>IF($AB13="TGD",ROUND($E13*(1+$AD13)^(J$4-$E$4),0),IF($AB13="ALTH",ROUND($AE13+$AF13*J$4,0),IF($AB13="IR",ROUND(Proyeccion_Localidades!AG13,0),IF($AB13="RT",ROUND(Proyeccion_Localidades!BD13,0),"*****"))))</f>
        <v>189053</v>
      </c>
      <c r="K13" s="66">
        <f>IF($AB13="TGD",ROUND($E13*(1+$AD13)^(K$4-$E$4),0),IF($AB13="ALTH",ROUND($AE13+$AF13*K$4,0),IF($AB13="IR",ROUND(Proyeccion_Localidades!AH13,0),IF($AB13="RT",ROUND(Proyeccion_Localidades!BE13,0),"*****"))))</f>
        <v>190308</v>
      </c>
      <c r="L13" s="66">
        <f>IF($AB13="TGD",ROUND($E13*(1+$AD13)^(L$4-$E$4),0),IF($AB13="ALTH",ROUND($AE13+$AF13*L$4,0),IF($AB13="IR",ROUND(Proyeccion_Localidades!AI13,0),IF($AB13="RT",ROUND(Proyeccion_Localidades!BF13,0),"*****"))))</f>
        <v>191571</v>
      </c>
      <c r="M13" s="66">
        <f>IF($AB13="TGD",ROUND($E13*(1+$AD13)^(M$4-$E$4),0),IF($AB13="ALTH",ROUND($AE13+$AF13*M$4,0),IF($AB13="IR",ROUND(Proyeccion_Localidades!AJ13,0),IF($AB13="RT",ROUND(Proyeccion_Localidades!BG13,0),"*****"))))</f>
        <v>192843</v>
      </c>
      <c r="N13" s="66">
        <f>IF($AB13="TGD",ROUND($E13*(1+$AD13)^(N$4-$E$4),0),IF($AB13="ALTH",ROUND($AE13+$AF13*N$4,0),IF($AB13="IR",ROUND(Proyeccion_Localidades!AK13,0),IF($AB13="RT",ROUND(Proyeccion_Localidades!BH13,0),"*****"))))</f>
        <v>194124</v>
      </c>
      <c r="O13" s="66">
        <f>IF($AB13="TGD",ROUND($E13*(1+$AD13)^(O$4-$E$4),0),IF($AB13="ALTH",ROUND($AE13+$AF13*O$4,0),IF($AB13="IR",ROUND(Proyeccion_Localidades!AL13,0),IF($AB13="RT",ROUND(Proyeccion_Localidades!BI13,0),"*****"))))</f>
        <v>195412</v>
      </c>
      <c r="P13" s="66">
        <f>IF($AB13="TGD",ROUND($E13*(1+$AD13)^(P$4-$E$4),0),IF($AB13="ALTH",ROUND($AE13+$AF13*P$4,0),IF($AB13="IR",ROUND(Proyeccion_Localidades!AM13,0),IF($AB13="RT",ROUND(Proyeccion_Localidades!BJ13,0),"*****"))))</f>
        <v>196710</v>
      </c>
      <c r="Q13" s="66">
        <f>IF($AB13="TGD",ROUND($E13*(1+$AD13)^(Q$4-$E$4),0),IF($AB13="ALTH",ROUND($AE13+$AF13*Q$4,0),IF($AB13="IR",ROUND(Proyeccion_Localidades!AN13,0),IF($AB13="RT",ROUND(Proyeccion_Localidades!BK13,0),"*****"))))</f>
        <v>198016</v>
      </c>
      <c r="R13" s="66">
        <f>IF($AB13="TGD",ROUND($E13*(1+$AD13)^(R$4-$E$4),0),IF($AB13="ALTH",ROUND($AE13+$AF13*R$4,0),IF($AB13="IR",ROUND(Proyeccion_Localidades!AO13,0),IF($AB13="RT",ROUND(Proyeccion_Localidades!BL13,0),"*****"))))</f>
        <v>199331</v>
      </c>
      <c r="S13" s="66">
        <f>IF($AB13="TGD",ROUND($E13*(1+$AD13)^(S$4-$E$4),0),IF($AB13="ALTH",ROUND($AE13+$AF13*S$4,0),IF($AB13="IR",ROUND(Proyeccion_Localidades!AP13,0),IF($AB13="RT",ROUND(Proyeccion_Localidades!BM13,0),"*****"))))</f>
        <v>200654</v>
      </c>
      <c r="T13" s="66">
        <f>IF($AB13="TGD",ROUND($E13*(1+$AD13)^(T$4-$E$4),0),IF($AB13="ALTH",ROUND($AE13+$AF13*T$4,0),IF($AB13="IR",ROUND(Proyeccion_Localidades!AQ13,0),IF($AB13="RT",ROUND(Proyeccion_Localidades!BN13,0),"*****"))))</f>
        <v>201986</v>
      </c>
      <c r="U13" s="66">
        <f>IF($AB13="TGD",ROUND($E13*(1+$AD13)^(U$4-$E$4),0),IF($AB13="ALTH",ROUND($AE13+$AF13*U$4,0),IF($AB13="IR",ROUND(Proyeccion_Localidades!AR13,0),IF($AB13="RT",ROUND(Proyeccion_Localidades!BO13,0),"*****"))))</f>
        <v>203327</v>
      </c>
      <c r="V13" s="66">
        <f>IF($AB13="TGD",ROUND($E13*(1+$AD13)^(V$4-$E$4),0),IF($AB13="ALTH",ROUND($AE13+$AF13*V$4,0),IF($AB13="IR",ROUND(Proyeccion_Localidades!AS13,0),IF($AB13="RT",ROUND(Proyeccion_Localidades!BP13,0),"*****"))))</f>
        <v>204677</v>
      </c>
      <c r="W13" s="66">
        <f>IF($AB13="TGD",ROUND($E13*(1+$AD13)^(W$4-$E$4),0),IF($AB13="ALTH",ROUND($AE13+$AF13*W$4,0),IF($AB13="IR",ROUND(Proyeccion_Localidades!AT13,0),IF($AB13="RT",ROUND(Proyeccion_Localidades!BQ13,0),"*****"))))</f>
        <v>206036</v>
      </c>
      <c r="X13" s="66">
        <f>IF($AB13="TGD",ROUND($E13*(1+$AD13)^(X$4-$E$4),0),IF($AB13="ALTH",ROUND($AE13+$AF13*X$4,0),IF($AB13="IR",ROUND(Proyeccion_Localidades!AU13,0),IF($AB13="RT",ROUND(Proyeccion_Localidades!BR13,0),"*****"))))</f>
        <v>207404</v>
      </c>
      <c r="Y13" s="66">
        <f>IF($AB13="TGD",ROUND($E13*(1+$AD13)^(Y$4-$E$4),0),IF($AB13="ALTH",ROUND($AE13+$AF13*Y$4,0),IF($AB13="IR",ROUND(Proyeccion_Localidades!AV13,0),IF($AB13="RT",ROUND(Proyeccion_Localidades!BS13,0),"*****"))))</f>
        <v>208781</v>
      </c>
      <c r="Z13" s="66">
        <f>IF($AB13="TGD",ROUND($E13*(1+$AD13)^(Z$4-$E$4),0),IF($AB13="ALTH",ROUND($AE13+$AF13*Z$4,0),IF($AB13="IR",ROUND(Proyeccion_Localidades!AW13,0),IF($AB13="RT",ROUND(Proyeccion_Localidades!BT13,0),"*****"))))</f>
        <v>210167</v>
      </c>
      <c r="AA13" s="66">
        <f>IF($AB13="TGD",ROUND($E13*(1+$AD13)^(AA$4-$E$4),0),IF($AB13="ALTH",ROUND($AE13+$AF13*AA$4,0),IF($AB13="IR",ROUND(Proyeccion_Localidades!AX13,0),IF($AB13="RT",ROUND(Proyeccion_Localidades!BU13,0),"*****"))))</f>
        <v>211562</v>
      </c>
      <c r="AB13" s="67" t="str">
        <f>Proyeccion_Localidades!N13</f>
        <v>TGD</v>
      </c>
      <c r="AC13" s="68" t="s">
        <v>35</v>
      </c>
      <c r="AD13" s="51">
        <f>IF(AB13="TGD",Proyeccion_Localidades!Z13,"-")</f>
        <v>6.6391922037054574E-3</v>
      </c>
      <c r="AE13" s="51" t="str">
        <f>IF($AB13="ALTH",Proyeccion_Localidades!AA13,"-")</f>
        <v>-</v>
      </c>
      <c r="AF13" s="51" t="str">
        <f>IF($AB13="ALTH",Proyeccion_Localidades!AB13,"-")</f>
        <v>-</v>
      </c>
      <c r="AG13" s="51"/>
      <c r="AH13" s="51"/>
      <c r="AI13" s="66">
        <f t="shared" si="2"/>
        <v>182900</v>
      </c>
    </row>
    <row r="14" spans="1:35" ht="24.95" customHeight="1">
      <c r="A14" s="69" t="str">
        <f>+Proyeccion_Localidades!C14</f>
        <v>José C. Paz</v>
      </c>
      <c r="B14" s="70">
        <v>10</v>
      </c>
      <c r="C14" s="71" t="str">
        <f>+Proyeccion_Localidades!B14</f>
        <v>José C. Paz</v>
      </c>
      <c r="D14" s="261">
        <f t="shared" si="3"/>
        <v>10</v>
      </c>
      <c r="E14" s="72">
        <f>+Proyeccion_Localidades!F14</f>
        <v>265981</v>
      </c>
      <c r="F14" s="66">
        <f>IF($AB14="TGD",ROUND($E14*(1+$AD14)^(F$4-$E$4),0),IF($AB14="ALTH",ROUND($AE14+$AF14*F$4,0),IF($AB14="IR",ROUND(Proyeccion_Localidades!AC14,0),IF($AB14="RT",ROUND(Proyeccion_Localidades!AZ14,0),"*****"))))</f>
        <v>322471</v>
      </c>
      <c r="G14" s="66">
        <f>IF($AB14="TGD",ROUND($E14*(1+$AD14)^(G$4-$E$4),0),IF($AB14="ALTH",ROUND($AE14+$AF14*G$4,0),IF($AB14="IR",ROUND(Proyeccion_Localidades!AD14,0),IF($AB14="RT",ROUND(Proyeccion_Localidades!BA14,0),"*****"))))</f>
        <v>327688</v>
      </c>
      <c r="H14" s="66">
        <f>IF($AB14="TGD",ROUND($E14*(1+$AD14)^(H$4-$E$4),0),IF($AB14="ALTH",ROUND($AE14+$AF14*H$4,0),IF($AB14="IR",ROUND(Proyeccion_Localidades!AE14,0),IF($AB14="RT",ROUND(Proyeccion_Localidades!BB14,0),"*****"))))</f>
        <v>343852</v>
      </c>
      <c r="I14" s="66">
        <f>IF($AB14="TGD",ROUND($E14*(1+$AD14)^(I$4-$E$4),0),IF($AB14="ALTH",ROUND($AE14+$AF14*I$4,0),IF($AB14="IR",ROUND(Proyeccion_Localidades!AF14,0),IF($AB14="RT",ROUND(Proyeccion_Localidades!BC14,0),"*****"))))</f>
        <v>349415</v>
      </c>
      <c r="J14" s="66">
        <f>IF($AB14="TGD",ROUND($E14*(1+$AD14)^(J$4-$E$4),0),IF($AB14="ALTH",ROUND($AE14+$AF14*J$4,0),IF($AB14="IR",ROUND(Proyeccion_Localidades!AG14,0),IF($AB14="RT",ROUND(Proyeccion_Localidades!BD14,0),"*****"))))</f>
        <v>355068</v>
      </c>
      <c r="K14" s="66">
        <f>IF($AB14="TGD",ROUND($E14*(1+$AD14)^(K$4-$E$4),0),IF($AB14="ALTH",ROUND($AE14+$AF14*K$4,0),IF($AB14="IR",ROUND(Proyeccion_Localidades!AH14,0),IF($AB14="RT",ROUND(Proyeccion_Localidades!BE14,0),"*****"))))</f>
        <v>360812</v>
      </c>
      <c r="L14" s="66">
        <f>IF($AB14="TGD",ROUND($E14*(1+$AD14)^(L$4-$E$4),0),IF($AB14="ALTH",ROUND($AE14+$AF14*L$4,0),IF($AB14="IR",ROUND(Proyeccion_Localidades!AI14,0),IF($AB14="RT",ROUND(Proyeccion_Localidades!BF14,0),"*****"))))</f>
        <v>366649</v>
      </c>
      <c r="M14" s="66">
        <f>IF($AB14="TGD",ROUND($E14*(1+$AD14)^(M$4-$E$4),0),IF($AB14="ALTH",ROUND($AE14+$AF14*M$4,0),IF($AB14="IR",ROUND(Proyeccion_Localidades!AJ14,0),IF($AB14="RT",ROUND(Proyeccion_Localidades!BG14,0),"*****"))))</f>
        <v>372581</v>
      </c>
      <c r="N14" s="66">
        <f>IF($AB14="TGD",ROUND($E14*(1+$AD14)^(N$4-$E$4),0),IF($AB14="ALTH",ROUND($AE14+$AF14*N$4,0),IF($AB14="IR",ROUND(Proyeccion_Localidades!AK14,0),IF($AB14="RT",ROUND(Proyeccion_Localidades!BH14,0),"*****"))))</f>
        <v>378609</v>
      </c>
      <c r="O14" s="66">
        <f>IF($AB14="TGD",ROUND($E14*(1+$AD14)^(O$4-$E$4),0),IF($AB14="ALTH",ROUND($AE14+$AF14*O$4,0),IF($AB14="IR",ROUND(Proyeccion_Localidades!AL14,0),IF($AB14="RT",ROUND(Proyeccion_Localidades!BI14,0),"*****"))))</f>
        <v>384735</v>
      </c>
      <c r="P14" s="66">
        <f>IF($AB14="TGD",ROUND($E14*(1+$AD14)^(P$4-$E$4),0),IF($AB14="ALTH",ROUND($AE14+$AF14*P$4,0),IF($AB14="IR",ROUND(Proyeccion_Localidades!AM14,0),IF($AB14="RT",ROUND(Proyeccion_Localidades!BJ14,0),"*****"))))</f>
        <v>390959</v>
      </c>
      <c r="Q14" s="66">
        <f>IF($AB14="TGD",ROUND($E14*(1+$AD14)^(Q$4-$E$4),0),IF($AB14="ALTH",ROUND($AE14+$AF14*Q$4,0),IF($AB14="IR",ROUND(Proyeccion_Localidades!AN14,0),IF($AB14="RT",ROUND(Proyeccion_Localidades!BK14,0),"*****"))))</f>
        <v>397284</v>
      </c>
      <c r="R14" s="66">
        <f>IF($AB14="TGD",ROUND($E14*(1+$AD14)^(R$4-$E$4),0),IF($AB14="ALTH",ROUND($AE14+$AF14*R$4,0),IF($AB14="IR",ROUND(Proyeccion_Localidades!AO14,0),IF($AB14="RT",ROUND(Proyeccion_Localidades!BL14,0),"*****"))))</f>
        <v>403712</v>
      </c>
      <c r="S14" s="66">
        <f>IF($AB14="TGD",ROUND($E14*(1+$AD14)^(S$4-$E$4),0),IF($AB14="ALTH",ROUND($AE14+$AF14*S$4,0),IF($AB14="IR",ROUND(Proyeccion_Localidades!AP14,0),IF($AB14="RT",ROUND(Proyeccion_Localidades!BM14,0),"*****"))))</f>
        <v>410243</v>
      </c>
      <c r="T14" s="66">
        <f>IF($AB14="TGD",ROUND($E14*(1+$AD14)^(T$4-$E$4),0),IF($AB14="ALTH",ROUND($AE14+$AF14*T$4,0),IF($AB14="IR",ROUND(Proyeccion_Localidades!AQ14,0),IF($AB14="RT",ROUND(Proyeccion_Localidades!BN14,0),"*****"))))</f>
        <v>416880</v>
      </c>
      <c r="U14" s="66">
        <f>IF($AB14="TGD",ROUND($E14*(1+$AD14)^(U$4-$E$4),0),IF($AB14="ALTH",ROUND($AE14+$AF14*U$4,0),IF($AB14="IR",ROUND(Proyeccion_Localidades!AR14,0),IF($AB14="RT",ROUND(Proyeccion_Localidades!BO14,0),"*****"))))</f>
        <v>423625</v>
      </c>
      <c r="V14" s="66">
        <f>IF($AB14="TGD",ROUND($E14*(1+$AD14)^(V$4-$E$4),0),IF($AB14="ALTH",ROUND($AE14+$AF14*V$4,0),IF($AB14="IR",ROUND(Proyeccion_Localidades!AS14,0),IF($AB14="RT",ROUND(Proyeccion_Localidades!BP14,0),"*****"))))</f>
        <v>430478</v>
      </c>
      <c r="W14" s="66">
        <f>IF($AB14="TGD",ROUND($E14*(1+$AD14)^(W$4-$E$4),0),IF($AB14="ALTH",ROUND($AE14+$AF14*W$4,0),IF($AB14="IR",ROUND(Proyeccion_Localidades!AT14,0),IF($AB14="RT",ROUND(Proyeccion_Localidades!BQ14,0),"*****"))))</f>
        <v>437443</v>
      </c>
      <c r="X14" s="66">
        <f>IF($AB14="TGD",ROUND($E14*(1+$AD14)^(X$4-$E$4),0),IF($AB14="ALTH",ROUND($AE14+$AF14*X$4,0),IF($AB14="IR",ROUND(Proyeccion_Localidades!AU14,0),IF($AB14="RT",ROUND(Proyeccion_Localidades!BR14,0),"*****"))))</f>
        <v>444520</v>
      </c>
      <c r="Y14" s="66">
        <f>IF($AB14="TGD",ROUND($E14*(1+$AD14)^(Y$4-$E$4),0),IF($AB14="ALTH",ROUND($AE14+$AF14*Y$4,0),IF($AB14="IR",ROUND(Proyeccion_Localidades!AV14,0),IF($AB14="RT",ROUND(Proyeccion_Localidades!BS14,0),"*****"))))</f>
        <v>451712</v>
      </c>
      <c r="Z14" s="66">
        <f>IF($AB14="TGD",ROUND($E14*(1+$AD14)^(Z$4-$E$4),0),IF($AB14="ALTH",ROUND($AE14+$AF14*Z$4,0),IF($AB14="IR",ROUND(Proyeccion_Localidades!AW14,0),IF($AB14="RT",ROUND(Proyeccion_Localidades!BT14,0),"*****"))))</f>
        <v>459020</v>
      </c>
      <c r="AA14" s="66">
        <f>IF($AB14="TGD",ROUND($E14*(1+$AD14)^(AA$4-$E$4),0),IF($AB14="ALTH",ROUND($AE14+$AF14*AA$4,0),IF($AB14="IR",ROUND(Proyeccion_Localidades!AX14,0),IF($AB14="RT",ROUND(Proyeccion_Localidades!BU14,0),"*****"))))</f>
        <v>466446</v>
      </c>
      <c r="AB14" s="67" t="str">
        <f>Proyeccion_Localidades!N14</f>
        <v>TGD</v>
      </c>
      <c r="AC14" s="68" t="s">
        <v>35</v>
      </c>
      <c r="AD14" s="51">
        <f>IF(AB14="TGD",Proyeccion_Localidades!Z14,"-")</f>
        <v>1.6178548017310446E-2</v>
      </c>
      <c r="AE14" s="51" t="str">
        <f>IF($AB14="ALTH",Proyeccion_Localidades!AA14,"-")</f>
        <v>-</v>
      </c>
      <c r="AF14" s="51" t="str">
        <f>IF($AB14="ALTH",Proyeccion_Localidades!AB14,"-")</f>
        <v>-</v>
      </c>
      <c r="AG14" s="51"/>
      <c r="AH14" s="51"/>
      <c r="AI14" s="66">
        <f t="shared" si="2"/>
        <v>327688</v>
      </c>
    </row>
    <row r="15" spans="1:35" ht="24.95" customHeight="1">
      <c r="A15" s="69" t="str">
        <f>+Proyeccion_Localidades!C15</f>
        <v>La Matanza</v>
      </c>
      <c r="B15" s="70">
        <v>11</v>
      </c>
      <c r="C15" s="71" t="str">
        <f>+Proyeccion_Localidades!B15</f>
        <v>La Matanza</v>
      </c>
      <c r="D15" s="261">
        <f t="shared" si="3"/>
        <v>11</v>
      </c>
      <c r="E15" s="72">
        <f>+Proyeccion_Localidades!F15</f>
        <v>1775816</v>
      </c>
      <c r="F15" s="66">
        <f>IF($AB15="TGD",ROUND($E15*(1+$AD15)^(F$4-$E$4),0),IF($AB15="ALTH",ROUND($AE15+$AF15*F$4,0),IF($AB15="IR",ROUND(Proyeccion_Localidades!AC15,0),IF($AB15="RT",ROUND(Proyeccion_Localidades!AZ15,0),"*****"))))</f>
        <v>2111215</v>
      </c>
      <c r="G15" s="66">
        <f>IF($AB15="TGD",ROUND($E15*(1+$AD15)^(G$4-$E$4),0),IF($AB15="ALTH",ROUND($AE15+$AF15*G$4,0),IF($AB15="IR",ROUND(Proyeccion_Localidades!AD15,0),IF($AB15="RT",ROUND(Proyeccion_Localidades!BA15,0),"*****"))))</f>
        <v>2145337</v>
      </c>
      <c r="H15" s="66">
        <f>IF($AB15="TGD",ROUND($E15*(1+$AD15)^(H$4-$E$4),0),IF($AB15="ALTH",ROUND($AE15+$AF15*H$4,0),IF($AB15="IR",ROUND(Proyeccion_Localidades!AE15,0),IF($AB15="RT",ROUND(Proyeccion_Localidades!BB15,0),"*****"))))</f>
        <v>2247703</v>
      </c>
      <c r="I15" s="66">
        <f>IF($AB15="TGD",ROUND($E15*(1+$AD15)^(I$4-$E$4),0),IF($AB15="ALTH",ROUND($AE15+$AF15*I$4,0),IF($AB15="IR",ROUND(Proyeccion_Localidades!AF15,0),IF($AB15="RT",ROUND(Proyeccion_Localidades!BC15,0),"*****"))))</f>
        <v>2281826</v>
      </c>
      <c r="J15" s="66">
        <f>IF($AB15="TGD",ROUND($E15*(1+$AD15)^(J$4-$E$4),0),IF($AB15="ALTH",ROUND($AE15+$AF15*J$4,0),IF($AB15="IR",ROUND(Proyeccion_Localidades!AG15,0),IF($AB15="RT",ROUND(Proyeccion_Localidades!BD15,0),"*****"))))</f>
        <v>2315948</v>
      </c>
      <c r="K15" s="66">
        <f>IF($AB15="TGD",ROUND($E15*(1+$AD15)^(K$4-$E$4),0),IF($AB15="ALTH",ROUND($AE15+$AF15*K$4,0),IF($AB15="IR",ROUND(Proyeccion_Localidades!AH15,0),IF($AB15="RT",ROUND(Proyeccion_Localidades!BE15,0),"*****"))))</f>
        <v>2350070</v>
      </c>
      <c r="L15" s="66">
        <f>IF($AB15="TGD",ROUND($E15*(1+$AD15)^(L$4-$E$4),0),IF($AB15="ALTH",ROUND($AE15+$AF15*L$4,0),IF($AB15="IR",ROUND(Proyeccion_Localidades!AI15,0),IF($AB15="RT",ROUND(Proyeccion_Localidades!BF15,0),"*****"))))</f>
        <v>2384192</v>
      </c>
      <c r="M15" s="66">
        <f>IF($AB15="TGD",ROUND($E15*(1+$AD15)^(M$4-$E$4),0),IF($AB15="ALTH",ROUND($AE15+$AF15*M$4,0),IF($AB15="IR",ROUND(Proyeccion_Localidades!AJ15,0),IF($AB15="RT",ROUND(Proyeccion_Localidades!BG15,0),"*****"))))</f>
        <v>2418314</v>
      </c>
      <c r="N15" s="66">
        <f>IF($AB15="TGD",ROUND($E15*(1+$AD15)^(N$4-$E$4),0),IF($AB15="ALTH",ROUND($AE15+$AF15*N$4,0),IF($AB15="IR",ROUND(Proyeccion_Localidades!AK15,0),IF($AB15="RT",ROUND(Proyeccion_Localidades!BH15,0),"*****"))))</f>
        <v>2452436</v>
      </c>
      <c r="O15" s="66">
        <f>IF($AB15="TGD",ROUND($E15*(1+$AD15)^(O$4-$E$4),0),IF($AB15="ALTH",ROUND($AE15+$AF15*O$4,0),IF($AB15="IR",ROUND(Proyeccion_Localidades!AL15,0),IF($AB15="RT",ROUND(Proyeccion_Localidades!BI15,0),"*****"))))</f>
        <v>2486559</v>
      </c>
      <c r="P15" s="66">
        <f>IF($AB15="TGD",ROUND($E15*(1+$AD15)^(P$4-$E$4),0),IF($AB15="ALTH",ROUND($AE15+$AF15*P$4,0),IF($AB15="IR",ROUND(Proyeccion_Localidades!AM15,0),IF($AB15="RT",ROUND(Proyeccion_Localidades!BJ15,0),"*****"))))</f>
        <v>2520681</v>
      </c>
      <c r="Q15" s="66">
        <f>IF($AB15="TGD",ROUND($E15*(1+$AD15)^(Q$4-$E$4),0),IF($AB15="ALTH",ROUND($AE15+$AF15*Q$4,0),IF($AB15="IR",ROUND(Proyeccion_Localidades!AN15,0),IF($AB15="RT",ROUND(Proyeccion_Localidades!BK15,0),"*****"))))</f>
        <v>2554803</v>
      </c>
      <c r="R15" s="66">
        <f>IF($AB15="TGD",ROUND($E15*(1+$AD15)^(R$4-$E$4),0),IF($AB15="ALTH",ROUND($AE15+$AF15*R$4,0),IF($AB15="IR",ROUND(Proyeccion_Localidades!AO15,0),IF($AB15="RT",ROUND(Proyeccion_Localidades!BL15,0),"*****"))))</f>
        <v>2588925</v>
      </c>
      <c r="S15" s="66">
        <f>IF($AB15="TGD",ROUND($E15*(1+$AD15)^(S$4-$E$4),0),IF($AB15="ALTH",ROUND($AE15+$AF15*S$4,0),IF($AB15="IR",ROUND(Proyeccion_Localidades!AP15,0),IF($AB15="RT",ROUND(Proyeccion_Localidades!BM15,0),"*****"))))</f>
        <v>2623047</v>
      </c>
      <c r="T15" s="66">
        <f>IF($AB15="TGD",ROUND($E15*(1+$AD15)^(T$4-$E$4),0),IF($AB15="ALTH",ROUND($AE15+$AF15*T$4,0),IF($AB15="IR",ROUND(Proyeccion_Localidades!AQ15,0),IF($AB15="RT",ROUND(Proyeccion_Localidades!BN15,0),"*****"))))</f>
        <v>2657169</v>
      </c>
      <c r="U15" s="66">
        <f>IF($AB15="TGD",ROUND($E15*(1+$AD15)^(U$4-$E$4),0),IF($AB15="ALTH",ROUND($AE15+$AF15*U$4,0),IF($AB15="IR",ROUND(Proyeccion_Localidades!AR15,0),IF($AB15="RT",ROUND(Proyeccion_Localidades!BO15,0),"*****"))))</f>
        <v>2691292</v>
      </c>
      <c r="V15" s="66">
        <f>IF($AB15="TGD",ROUND($E15*(1+$AD15)^(V$4-$E$4),0),IF($AB15="ALTH",ROUND($AE15+$AF15*V$4,0),IF($AB15="IR",ROUND(Proyeccion_Localidades!AS15,0),IF($AB15="RT",ROUND(Proyeccion_Localidades!BP15,0),"*****"))))</f>
        <v>2725414</v>
      </c>
      <c r="W15" s="66">
        <f>IF($AB15="TGD",ROUND($E15*(1+$AD15)^(W$4-$E$4),0),IF($AB15="ALTH",ROUND($AE15+$AF15*W$4,0),IF($AB15="IR",ROUND(Proyeccion_Localidades!AT15,0),IF($AB15="RT",ROUND(Proyeccion_Localidades!BQ15,0),"*****"))))</f>
        <v>2759536</v>
      </c>
      <c r="X15" s="66">
        <f>IF($AB15="TGD",ROUND($E15*(1+$AD15)^(X$4-$E$4),0),IF($AB15="ALTH",ROUND($AE15+$AF15*X$4,0),IF($AB15="IR",ROUND(Proyeccion_Localidades!AU15,0),IF($AB15="RT",ROUND(Proyeccion_Localidades!BR15,0),"*****"))))</f>
        <v>2793658</v>
      </c>
      <c r="Y15" s="66">
        <f>IF($AB15="TGD",ROUND($E15*(1+$AD15)^(Y$4-$E$4),0),IF($AB15="ALTH",ROUND($AE15+$AF15*Y$4,0),IF($AB15="IR",ROUND(Proyeccion_Localidades!AV15,0),IF($AB15="RT",ROUND(Proyeccion_Localidades!BS15,0),"*****"))))</f>
        <v>2827780</v>
      </c>
      <c r="Z15" s="66">
        <f>IF($AB15="TGD",ROUND($E15*(1+$AD15)^(Z$4-$E$4),0),IF($AB15="ALTH",ROUND($AE15+$AF15*Z$4,0),IF($AB15="IR",ROUND(Proyeccion_Localidades!AW15,0),IF($AB15="RT",ROUND(Proyeccion_Localidades!BT15,0),"*****"))))</f>
        <v>2861902</v>
      </c>
      <c r="AA15" s="66">
        <f>IF($AB15="TGD",ROUND($E15*(1+$AD15)^(AA$4-$E$4),0),IF($AB15="ALTH",ROUND($AE15+$AF15*AA$4,0),IF($AB15="IR",ROUND(Proyeccion_Localidades!AX15,0),IF($AB15="RT",ROUND(Proyeccion_Localidades!BU15,0),"*****"))))</f>
        <v>2896025</v>
      </c>
      <c r="AB15" s="67" t="str">
        <f>Proyeccion_Localidades!N15</f>
        <v>ALTH</v>
      </c>
      <c r="AC15" s="68" t="s">
        <v>36</v>
      </c>
      <c r="AD15" s="51" t="str">
        <f>IF(AB15="TGD",Proyeccion_Localidades!Z15,"-")</f>
        <v>-</v>
      </c>
      <c r="AE15" s="51">
        <f>IF($AB15="ALTH",Proyeccion_Localidades!AA15,"-")</f>
        <v>-66883816.287822872</v>
      </c>
      <c r="AF15" s="51">
        <f>IF($AB15="ALTH",Proyeccion_Localidades!AB15,"-")</f>
        <v>34122.171586715864</v>
      </c>
      <c r="AG15" s="51"/>
      <c r="AH15" s="51"/>
      <c r="AI15" s="66">
        <f t="shared" si="2"/>
        <v>2145337</v>
      </c>
    </row>
    <row r="16" spans="1:35" ht="24.95" customHeight="1">
      <c r="A16" s="69" t="str">
        <f>+Proyeccion_Localidades!C16</f>
        <v>Lanús</v>
      </c>
      <c r="B16" s="70">
        <v>12</v>
      </c>
      <c r="C16" s="71" t="str">
        <f>+Proyeccion_Localidades!B16</f>
        <v>Lanús</v>
      </c>
      <c r="D16" s="261">
        <f t="shared" si="3"/>
        <v>12</v>
      </c>
      <c r="E16" s="72">
        <f>+Proyeccion_Localidades!F16</f>
        <v>459263</v>
      </c>
      <c r="F16" s="66">
        <f>IF($AB16="TGD",ROUND($E16*(1+$AD16)^(F$4-$E$4),0),IF($AB16="ALTH",ROUND($AE16+$AF16*F$4,0),IF($AB16="IR",ROUND(Proyeccion_Localidades!AC16,0),IF($AB16="RT",ROUND(Proyeccion_Localidades!AZ16,0),"*****"))))</f>
        <v>454199</v>
      </c>
      <c r="G16" s="66">
        <f>IF($AB16="TGD",ROUND($E16*(1+$AD16)^(G$4-$E$4),0),IF($AB16="ALTH",ROUND($AE16+$AF16*G$4,0),IF($AB16="IR",ROUND(Proyeccion_Localidades!AD16,0),IF($AB16="RT",ROUND(Proyeccion_Localidades!BA16,0),"*****"))))</f>
        <v>453780</v>
      </c>
      <c r="H16" s="66">
        <f>IF($AB16="TGD",ROUND($E16*(1+$AD16)^(H$4-$E$4),0),IF($AB16="ALTH",ROUND($AE16+$AF16*H$4,0),IF($AB16="IR",ROUND(Proyeccion_Localidades!AE16,0),IF($AB16="RT",ROUND(Proyeccion_Localidades!BB16,0),"*****"))))</f>
        <v>452524</v>
      </c>
      <c r="I16" s="66">
        <f>IF($AB16="TGD",ROUND($E16*(1+$AD16)^(I$4-$E$4),0),IF($AB16="ALTH",ROUND($AE16+$AF16*I$4,0),IF($AB16="IR",ROUND(Proyeccion_Localidades!AF16,0),IF($AB16="RT",ROUND(Proyeccion_Localidades!BC16,0),"*****"))))</f>
        <v>452106</v>
      </c>
      <c r="J16" s="66">
        <f>IF($AB16="TGD",ROUND($E16*(1+$AD16)^(J$4-$E$4),0),IF($AB16="ALTH",ROUND($AE16+$AF16*J$4,0),IF($AB16="IR",ROUND(Proyeccion_Localidades!AG16,0),IF($AB16="RT",ROUND(Proyeccion_Localidades!BD16,0),"*****"))))</f>
        <v>451688</v>
      </c>
      <c r="K16" s="66">
        <f>IF($AB16="TGD",ROUND($E16*(1+$AD16)^(K$4-$E$4),0),IF($AB16="ALTH",ROUND($AE16+$AF16*K$4,0),IF($AB16="IR",ROUND(Proyeccion_Localidades!AH16,0),IF($AB16="RT",ROUND(Proyeccion_Localidades!BE16,0),"*****"))))</f>
        <v>451271</v>
      </c>
      <c r="L16" s="66">
        <f>IF($AB16="TGD",ROUND($E16*(1+$AD16)^(L$4-$E$4),0),IF($AB16="ALTH",ROUND($AE16+$AF16*L$4,0),IF($AB16="IR",ROUND(Proyeccion_Localidades!AI16,0),IF($AB16="RT",ROUND(Proyeccion_Localidades!BF16,0),"*****"))))</f>
        <v>450854</v>
      </c>
      <c r="M16" s="66">
        <f>IF($AB16="TGD",ROUND($E16*(1+$AD16)^(M$4-$E$4),0),IF($AB16="ALTH",ROUND($AE16+$AF16*M$4,0),IF($AB16="IR",ROUND(Proyeccion_Localidades!AJ16,0),IF($AB16="RT",ROUND(Proyeccion_Localidades!BG16,0),"*****"))))</f>
        <v>450438</v>
      </c>
      <c r="N16" s="66">
        <f>IF($AB16="TGD",ROUND($E16*(1+$AD16)^(N$4-$E$4),0),IF($AB16="ALTH",ROUND($AE16+$AF16*N$4,0),IF($AB16="IR",ROUND(Proyeccion_Localidades!AK16,0),IF($AB16="RT",ROUND(Proyeccion_Localidades!BH16,0),"*****"))))</f>
        <v>450022</v>
      </c>
      <c r="O16" s="66">
        <f>IF($AB16="TGD",ROUND($E16*(1+$AD16)^(O$4-$E$4),0),IF($AB16="ALTH",ROUND($AE16+$AF16*O$4,0),IF($AB16="IR",ROUND(Proyeccion_Localidades!AL16,0),IF($AB16="RT",ROUND(Proyeccion_Localidades!BI16,0),"*****"))))</f>
        <v>449606</v>
      </c>
      <c r="P16" s="66">
        <f>IF($AB16="TGD",ROUND($E16*(1+$AD16)^(P$4-$E$4),0),IF($AB16="ALTH",ROUND($AE16+$AF16*P$4,0),IF($AB16="IR",ROUND(Proyeccion_Localidades!AM16,0),IF($AB16="RT",ROUND(Proyeccion_Localidades!BJ16,0),"*****"))))</f>
        <v>449191</v>
      </c>
      <c r="Q16" s="66">
        <f>IF($AB16="TGD",ROUND($E16*(1+$AD16)^(Q$4-$E$4),0),IF($AB16="ALTH",ROUND($AE16+$AF16*Q$4,0),IF($AB16="IR",ROUND(Proyeccion_Localidades!AN16,0),IF($AB16="RT",ROUND(Proyeccion_Localidades!BK16,0),"*****"))))</f>
        <v>448776</v>
      </c>
      <c r="R16" s="66">
        <f>IF($AB16="TGD",ROUND($E16*(1+$AD16)^(R$4-$E$4),0),IF($AB16="ALTH",ROUND($AE16+$AF16*R$4,0),IF($AB16="IR",ROUND(Proyeccion_Localidades!AO16,0),IF($AB16="RT",ROUND(Proyeccion_Localidades!BL16,0),"*****"))))</f>
        <v>448362</v>
      </c>
      <c r="S16" s="66">
        <f>IF($AB16="TGD",ROUND($E16*(1+$AD16)^(S$4-$E$4),0),IF($AB16="ALTH",ROUND($AE16+$AF16*S$4,0),IF($AB16="IR",ROUND(Proyeccion_Localidades!AP16,0),IF($AB16="RT",ROUND(Proyeccion_Localidades!BM16,0),"*****"))))</f>
        <v>447948</v>
      </c>
      <c r="T16" s="66">
        <f>IF($AB16="TGD",ROUND($E16*(1+$AD16)^(T$4-$E$4),0),IF($AB16="ALTH",ROUND($AE16+$AF16*T$4,0),IF($AB16="IR",ROUND(Proyeccion_Localidades!AQ16,0),IF($AB16="RT",ROUND(Proyeccion_Localidades!BN16,0),"*****"))))</f>
        <v>447534</v>
      </c>
      <c r="U16" s="66">
        <f>IF($AB16="TGD",ROUND($E16*(1+$AD16)^(U$4-$E$4),0),IF($AB16="ALTH",ROUND($AE16+$AF16*U$4,0),IF($AB16="IR",ROUND(Proyeccion_Localidades!AR16,0),IF($AB16="RT",ROUND(Proyeccion_Localidades!BO16,0),"*****"))))</f>
        <v>447121</v>
      </c>
      <c r="V16" s="66">
        <f>IF($AB16="TGD",ROUND($E16*(1+$AD16)^(V$4-$E$4),0),IF($AB16="ALTH",ROUND($AE16+$AF16*V$4,0),IF($AB16="IR",ROUND(Proyeccion_Localidades!AS16,0),IF($AB16="RT",ROUND(Proyeccion_Localidades!BP16,0),"*****"))))</f>
        <v>446708</v>
      </c>
      <c r="W16" s="66">
        <f>IF($AB16="TGD",ROUND($E16*(1+$AD16)^(W$4-$E$4),0),IF($AB16="ALTH",ROUND($AE16+$AF16*W$4,0),IF($AB16="IR",ROUND(Proyeccion_Localidades!AT16,0),IF($AB16="RT",ROUND(Proyeccion_Localidades!BQ16,0),"*****"))))</f>
        <v>446295</v>
      </c>
      <c r="X16" s="66">
        <f>IF($AB16="TGD",ROUND($E16*(1+$AD16)^(X$4-$E$4),0),IF($AB16="ALTH",ROUND($AE16+$AF16*X$4,0),IF($AB16="IR",ROUND(Proyeccion_Localidades!AU16,0),IF($AB16="RT",ROUND(Proyeccion_Localidades!BR16,0),"*****"))))</f>
        <v>445883</v>
      </c>
      <c r="Y16" s="66">
        <f>IF($AB16="TGD",ROUND($E16*(1+$AD16)^(Y$4-$E$4),0),IF($AB16="ALTH",ROUND($AE16+$AF16*Y$4,0),IF($AB16="IR",ROUND(Proyeccion_Localidades!AV16,0),IF($AB16="RT",ROUND(Proyeccion_Localidades!BS16,0),"*****"))))</f>
        <v>445472</v>
      </c>
      <c r="Z16" s="66">
        <f>IF($AB16="TGD",ROUND($E16*(1+$AD16)^(Z$4-$E$4),0),IF($AB16="ALTH",ROUND($AE16+$AF16*Z$4,0),IF($AB16="IR",ROUND(Proyeccion_Localidades!AW16,0),IF($AB16="RT",ROUND(Proyeccion_Localidades!BT16,0),"*****"))))</f>
        <v>445060</v>
      </c>
      <c r="AA16" s="66">
        <f>IF($AB16="TGD",ROUND($E16*(1+$AD16)^(AA$4-$E$4),0),IF($AB16="ALTH",ROUND($AE16+$AF16*AA$4,0),IF($AB16="IR",ROUND(Proyeccion_Localidades!AX16,0),IF($AB16="RT",ROUND(Proyeccion_Localidades!BU16,0),"*****"))))</f>
        <v>444649</v>
      </c>
      <c r="AB16" s="67" t="str">
        <f>Proyeccion_Localidades!N16</f>
        <v>TGD</v>
      </c>
      <c r="AC16" s="68" t="s">
        <v>35</v>
      </c>
      <c r="AD16" s="51">
        <f>IF(AB16="TGD",Proyeccion_Localidades!Z16,"-")</f>
        <v>-9.2350095914933705E-4</v>
      </c>
      <c r="AE16" s="51" t="str">
        <f>IF($AB16="ALTH",Proyeccion_Localidades!AA16,"-")</f>
        <v>-</v>
      </c>
      <c r="AF16" s="51" t="str">
        <f>IF($AB16="ALTH",Proyeccion_Localidades!AB16,"-")</f>
        <v>-</v>
      </c>
      <c r="AG16" s="51"/>
      <c r="AH16" s="51"/>
      <c r="AI16" s="66">
        <f t="shared" si="2"/>
        <v>453780</v>
      </c>
    </row>
    <row r="17" spans="1:35" ht="24.95" customHeight="1">
      <c r="A17" s="69" t="str">
        <f>+Proyeccion_Localidades!C17</f>
        <v>Lomas de Zamora</v>
      </c>
      <c r="B17" s="70">
        <v>13</v>
      </c>
      <c r="C17" s="71" t="str">
        <f>+Proyeccion_Localidades!B17</f>
        <v>Lomas de Zamora</v>
      </c>
      <c r="D17" s="261">
        <f t="shared" si="3"/>
        <v>13</v>
      </c>
      <c r="E17" s="72">
        <f>+Proyeccion_Localidades!F17</f>
        <v>616279</v>
      </c>
      <c r="F17" s="66">
        <f>IF($AB17="TGD",ROUND($E17*(1+$AD17)^(F$4-$E$4),0),IF($AB17="ALTH",ROUND($AE17+$AF17*F$4,0),IF($AB17="IR",ROUND(Proyeccion_Localidades!AC17,0),IF($AB17="RT",ROUND(Proyeccion_Localidades!AZ17,0),"*****"))))</f>
        <v>671858</v>
      </c>
      <c r="G17" s="66">
        <f>IF($AB17="TGD",ROUND($E17*(1+$AD17)^(G$4-$E$4),0),IF($AB17="ALTH",ROUND($AE17+$AF17*G$4,0),IF($AB17="IR",ROUND(Proyeccion_Localidades!AD17,0),IF($AB17="RT",ROUND(Proyeccion_Localidades!BA17,0),"*****"))))</f>
        <v>676995</v>
      </c>
      <c r="H17" s="66">
        <f>IF($AB17="TGD",ROUND($E17*(1+$AD17)^(H$4-$E$4),0),IF($AB17="ALTH",ROUND($AE17+$AF17*H$4,0),IF($AB17="IR",ROUND(Proyeccion_Localidades!AE17,0),IF($AB17="RT",ROUND(Proyeccion_Localidades!BB17,0),"*****"))))</f>
        <v>692915</v>
      </c>
      <c r="I17" s="66">
        <f>IF($AB17="TGD",ROUND($E17*(1+$AD17)^(I$4-$E$4),0),IF($AB17="ALTH",ROUND($AE17+$AF17*I$4,0),IF($AB17="IR",ROUND(Proyeccion_Localidades!AF17,0),IF($AB17="RT",ROUND(Proyeccion_Localidades!BC17,0),"*****"))))</f>
        <v>698396</v>
      </c>
      <c r="J17" s="66">
        <f>IF($AB17="TGD",ROUND($E17*(1+$AD17)^(J$4-$E$4),0),IF($AB17="ALTH",ROUND($AE17+$AF17*J$4,0),IF($AB17="IR",ROUND(Proyeccion_Localidades!AG17,0),IF($AB17="RT",ROUND(Proyeccion_Localidades!BD17,0),"*****"))))</f>
        <v>703966</v>
      </c>
      <c r="K17" s="66">
        <f>IF($AB17="TGD",ROUND($E17*(1+$AD17)^(K$4-$E$4),0),IF($AB17="ALTH",ROUND($AE17+$AF17*K$4,0),IF($AB17="IR",ROUND(Proyeccion_Localidades!AH17,0),IF($AB17="RT",ROUND(Proyeccion_Localidades!BE17,0),"*****"))))</f>
        <v>709627</v>
      </c>
      <c r="L17" s="66">
        <f>IF($AB17="TGD",ROUND($E17*(1+$AD17)^(L$4-$E$4),0),IF($AB17="ALTH",ROUND($AE17+$AF17*L$4,0),IF($AB17="IR",ROUND(Proyeccion_Localidades!AI17,0),IF($AB17="RT",ROUND(Proyeccion_Localidades!BF17,0),"*****"))))</f>
        <v>715380</v>
      </c>
      <c r="M17" s="66">
        <f>IF($AB17="TGD",ROUND($E17*(1+$AD17)^(M$4-$E$4),0),IF($AB17="ALTH",ROUND($AE17+$AF17*M$4,0),IF($AB17="IR",ROUND(Proyeccion_Localidades!AJ17,0),IF($AB17="RT",ROUND(Proyeccion_Localidades!BG17,0),"*****"))))</f>
        <v>721227</v>
      </c>
      <c r="N17" s="66">
        <f>IF($AB17="TGD",ROUND($E17*(1+$AD17)^(N$4-$E$4),0),IF($AB17="ALTH",ROUND($AE17+$AF17*N$4,0),IF($AB17="IR",ROUND(Proyeccion_Localidades!AK17,0),IF($AB17="RT",ROUND(Proyeccion_Localidades!BH17,0),"*****"))))</f>
        <v>727170</v>
      </c>
      <c r="O17" s="66">
        <f>IF($AB17="TGD",ROUND($E17*(1+$AD17)^(O$4-$E$4),0),IF($AB17="ALTH",ROUND($AE17+$AF17*O$4,0),IF($AB17="IR",ROUND(Proyeccion_Localidades!AL17,0),IF($AB17="RT",ROUND(Proyeccion_Localidades!BI17,0),"*****"))))</f>
        <v>733209</v>
      </c>
      <c r="P17" s="66">
        <f>IF($AB17="TGD",ROUND($E17*(1+$AD17)^(P$4-$E$4),0),IF($AB17="ALTH",ROUND($AE17+$AF17*P$4,0),IF($AB17="IR",ROUND(Proyeccion_Localidades!AM17,0),IF($AB17="RT",ROUND(Proyeccion_Localidades!BJ17,0),"*****"))))</f>
        <v>739347</v>
      </c>
      <c r="Q17" s="66">
        <f>IF($AB17="TGD",ROUND($E17*(1+$AD17)^(Q$4-$E$4),0),IF($AB17="ALTH",ROUND($AE17+$AF17*Q$4,0),IF($AB17="IR",ROUND(Proyeccion_Localidades!AN17,0),IF($AB17="RT",ROUND(Proyeccion_Localidades!BK17,0),"*****"))))</f>
        <v>745585</v>
      </c>
      <c r="R17" s="66">
        <f>IF($AB17="TGD",ROUND($E17*(1+$AD17)^(R$4-$E$4),0),IF($AB17="ALTH",ROUND($AE17+$AF17*R$4,0),IF($AB17="IR",ROUND(Proyeccion_Localidades!AO17,0),IF($AB17="RT",ROUND(Proyeccion_Localidades!BL17,0),"*****"))))</f>
        <v>751925</v>
      </c>
      <c r="S17" s="66">
        <f>IF($AB17="TGD",ROUND($E17*(1+$AD17)^(S$4-$E$4),0),IF($AB17="ALTH",ROUND($AE17+$AF17*S$4,0),IF($AB17="IR",ROUND(Proyeccion_Localidades!AP17,0),IF($AB17="RT",ROUND(Proyeccion_Localidades!BM17,0),"*****"))))</f>
        <v>758369</v>
      </c>
      <c r="T17" s="66">
        <f>IF($AB17="TGD",ROUND($E17*(1+$AD17)^(T$4-$E$4),0),IF($AB17="ALTH",ROUND($AE17+$AF17*T$4,0),IF($AB17="IR",ROUND(Proyeccion_Localidades!AQ17,0),IF($AB17="RT",ROUND(Proyeccion_Localidades!BN17,0),"*****"))))</f>
        <v>764917</v>
      </c>
      <c r="U17" s="66">
        <f>IF($AB17="TGD",ROUND($E17*(1+$AD17)^(U$4-$E$4),0),IF($AB17="ALTH",ROUND($AE17+$AF17*U$4,0),IF($AB17="IR",ROUND(Proyeccion_Localidades!AR17,0),IF($AB17="RT",ROUND(Proyeccion_Localidades!BO17,0),"*****"))))</f>
        <v>771572</v>
      </c>
      <c r="V17" s="66">
        <f>IF($AB17="TGD",ROUND($E17*(1+$AD17)^(V$4-$E$4),0),IF($AB17="ALTH",ROUND($AE17+$AF17*V$4,0),IF($AB17="IR",ROUND(Proyeccion_Localidades!AS17,0),IF($AB17="RT",ROUND(Proyeccion_Localidades!BP17,0),"*****"))))</f>
        <v>778336</v>
      </c>
      <c r="W17" s="66">
        <f>IF($AB17="TGD",ROUND($E17*(1+$AD17)^(W$4-$E$4),0),IF($AB17="ALTH",ROUND($AE17+$AF17*W$4,0),IF($AB17="IR",ROUND(Proyeccion_Localidades!AT17,0),IF($AB17="RT",ROUND(Proyeccion_Localidades!BQ17,0),"*****"))))</f>
        <v>785210</v>
      </c>
      <c r="X17" s="66">
        <f>IF($AB17="TGD",ROUND($E17*(1+$AD17)^(X$4-$E$4),0),IF($AB17="ALTH",ROUND($AE17+$AF17*X$4,0),IF($AB17="IR",ROUND(Proyeccion_Localidades!AU17,0),IF($AB17="RT",ROUND(Proyeccion_Localidades!BR17,0),"*****"))))</f>
        <v>792197</v>
      </c>
      <c r="Y17" s="66">
        <f>IF($AB17="TGD",ROUND($E17*(1+$AD17)^(Y$4-$E$4),0),IF($AB17="ALTH",ROUND($AE17+$AF17*Y$4,0),IF($AB17="IR",ROUND(Proyeccion_Localidades!AV17,0),IF($AB17="RT",ROUND(Proyeccion_Localidades!BS17,0),"*****"))))</f>
        <v>799297</v>
      </c>
      <c r="Z17" s="66">
        <f>IF($AB17="TGD",ROUND($E17*(1+$AD17)^(Z$4-$E$4),0),IF($AB17="ALTH",ROUND($AE17+$AF17*Z$4,0),IF($AB17="IR",ROUND(Proyeccion_Localidades!AW17,0),IF($AB17="RT",ROUND(Proyeccion_Localidades!BT17,0),"*****"))))</f>
        <v>806513</v>
      </c>
      <c r="AA17" s="66">
        <f>IF($AB17="TGD",ROUND($E17*(1+$AD17)^(AA$4-$E$4),0),IF($AB17="ALTH",ROUND($AE17+$AF17*AA$4,0),IF($AB17="IR",ROUND(Proyeccion_Localidades!AX17,0),IF($AB17="RT",ROUND(Proyeccion_Localidades!BU17,0),"*****"))))</f>
        <v>813847</v>
      </c>
      <c r="AB17" s="67" t="str">
        <f>Proyeccion_Localidades!N17</f>
        <v>IR</v>
      </c>
      <c r="AC17" s="68"/>
      <c r="AD17" s="51" t="str">
        <f>IF(AB17="TGD",Proyeccion_Localidades!Z17,"-")</f>
        <v>-</v>
      </c>
      <c r="AE17" s="51" t="str">
        <f>IF($AB17="ALTH",Proyeccion_Localidades!AA17,"-")</f>
        <v>-</v>
      </c>
      <c r="AF17" s="51" t="str">
        <f>IF($AB17="ALTH",Proyeccion_Localidades!AB17,"-")</f>
        <v>-</v>
      </c>
      <c r="AG17" s="51"/>
      <c r="AH17" s="51"/>
      <c r="AI17" s="66">
        <f t="shared" si="2"/>
        <v>676995</v>
      </c>
    </row>
    <row r="18" spans="1:35" ht="24.95" customHeight="1">
      <c r="A18" s="69" t="str">
        <f>+Proyeccion_Localidades!C18</f>
        <v>Malvinas Argentinas</v>
      </c>
      <c r="B18" s="70">
        <v>14</v>
      </c>
      <c r="C18" s="71" t="str">
        <f>+Proyeccion_Localidades!B18</f>
        <v>Malvinas Argentinas</v>
      </c>
      <c r="D18" s="261">
        <f t="shared" si="3"/>
        <v>14</v>
      </c>
      <c r="E18" s="72">
        <f>+Proyeccion_Localidades!F18</f>
        <v>322375</v>
      </c>
      <c r="F18" s="66">
        <f>IF($AB18="TGD",ROUND($E18*(1+$AD18)^(F$4-$E$4),0),IF($AB18="ALTH",ROUND($AE18+$AF18*F$4,0),IF($AB18="IR",ROUND(Proyeccion_Localidades!AC18,0),IF($AB18="RT",ROUND(Proyeccion_Localidades!AZ18,0),"*****"))))</f>
        <v>370056</v>
      </c>
      <c r="G18" s="66">
        <f>IF($AB18="TGD",ROUND($E18*(1+$AD18)^(G$4-$E$4),0),IF($AB18="ALTH",ROUND($AE18+$AF18*G$4,0),IF($AB18="IR",ROUND(Proyeccion_Localidades!AD18,0),IF($AB18="RT",ROUND(Proyeccion_Localidades!BA18,0),"*****"))))</f>
        <v>374335</v>
      </c>
      <c r="H18" s="66">
        <f>IF($AB18="TGD",ROUND($E18*(1+$AD18)^(H$4-$E$4),0),IF($AB18="ALTH",ROUND($AE18+$AF18*H$4,0),IF($AB18="IR",ROUND(Proyeccion_Localidades!AE18,0),IF($AB18="RT",ROUND(Proyeccion_Localidades!BB18,0),"*****"))))</f>
        <v>387469</v>
      </c>
      <c r="I18" s="66">
        <f>IF($AB18="TGD",ROUND($E18*(1+$AD18)^(I$4-$E$4),0),IF($AB18="ALTH",ROUND($AE18+$AF18*I$4,0),IF($AB18="IR",ROUND(Proyeccion_Localidades!AF18,0),IF($AB18="RT",ROUND(Proyeccion_Localidades!BC18,0),"*****"))))</f>
        <v>391948</v>
      </c>
      <c r="J18" s="66">
        <f>IF($AB18="TGD",ROUND($E18*(1+$AD18)^(J$4-$E$4),0),IF($AB18="ALTH",ROUND($AE18+$AF18*J$4,0),IF($AB18="IR",ROUND(Proyeccion_Localidades!AG18,0),IF($AB18="RT",ROUND(Proyeccion_Localidades!BD18,0),"*****"))))</f>
        <v>396480</v>
      </c>
      <c r="K18" s="66">
        <f>IF($AB18="TGD",ROUND($E18*(1+$AD18)^(K$4-$E$4),0),IF($AB18="ALTH",ROUND($AE18+$AF18*K$4,0),IF($AB18="IR",ROUND(Proyeccion_Localidades!AH18,0),IF($AB18="RT",ROUND(Proyeccion_Localidades!BE18,0),"*****"))))</f>
        <v>401063</v>
      </c>
      <c r="L18" s="66">
        <f>IF($AB18="TGD",ROUND($E18*(1+$AD18)^(L$4-$E$4),0),IF($AB18="ALTH",ROUND($AE18+$AF18*L$4,0),IF($AB18="IR",ROUND(Proyeccion_Localidades!AI18,0),IF($AB18="RT",ROUND(Proyeccion_Localidades!BF18,0),"*****"))))</f>
        <v>405700</v>
      </c>
      <c r="M18" s="66">
        <f>IF($AB18="TGD",ROUND($E18*(1+$AD18)^(M$4-$E$4),0),IF($AB18="ALTH",ROUND($AE18+$AF18*M$4,0),IF($AB18="IR",ROUND(Proyeccion_Localidades!AJ18,0),IF($AB18="RT",ROUND(Proyeccion_Localidades!BG18,0),"*****"))))</f>
        <v>410391</v>
      </c>
      <c r="N18" s="66">
        <f>IF($AB18="TGD",ROUND($E18*(1+$AD18)^(N$4-$E$4),0),IF($AB18="ALTH",ROUND($AE18+$AF18*N$4,0),IF($AB18="IR",ROUND(Proyeccion_Localidades!AK18,0),IF($AB18="RT",ROUND(Proyeccion_Localidades!BH18,0),"*****"))))</f>
        <v>415135</v>
      </c>
      <c r="O18" s="66">
        <f>IF($AB18="TGD",ROUND($E18*(1+$AD18)^(O$4-$E$4),0),IF($AB18="ALTH",ROUND($AE18+$AF18*O$4,0),IF($AB18="IR",ROUND(Proyeccion_Localidades!AL18,0),IF($AB18="RT",ROUND(Proyeccion_Localidades!BI18,0),"*****"))))</f>
        <v>419935</v>
      </c>
      <c r="P18" s="66">
        <f>IF($AB18="TGD",ROUND($E18*(1+$AD18)^(P$4-$E$4),0),IF($AB18="ALTH",ROUND($AE18+$AF18*P$4,0),IF($AB18="IR",ROUND(Proyeccion_Localidades!AM18,0),IF($AB18="RT",ROUND(Proyeccion_Localidades!BJ18,0),"*****"))))</f>
        <v>424790</v>
      </c>
      <c r="Q18" s="66">
        <f>IF($AB18="TGD",ROUND($E18*(1+$AD18)^(Q$4-$E$4),0),IF($AB18="ALTH",ROUND($AE18+$AF18*Q$4,0),IF($AB18="IR",ROUND(Proyeccion_Localidades!AN18,0),IF($AB18="RT",ROUND(Proyeccion_Localidades!BK18,0),"*****"))))</f>
        <v>429701</v>
      </c>
      <c r="R18" s="66">
        <f>IF($AB18="TGD",ROUND($E18*(1+$AD18)^(R$4-$E$4),0),IF($AB18="ALTH",ROUND($AE18+$AF18*R$4,0),IF($AB18="IR",ROUND(Proyeccion_Localidades!AO18,0),IF($AB18="RT",ROUND(Proyeccion_Localidades!BL18,0),"*****"))))</f>
        <v>434669</v>
      </c>
      <c r="S18" s="66">
        <f>IF($AB18="TGD",ROUND($E18*(1+$AD18)^(S$4-$E$4),0),IF($AB18="ALTH",ROUND($AE18+$AF18*S$4,0),IF($AB18="IR",ROUND(Proyeccion_Localidades!AP18,0),IF($AB18="RT",ROUND(Proyeccion_Localidades!BM18,0),"*****"))))</f>
        <v>439694</v>
      </c>
      <c r="T18" s="66">
        <f>IF($AB18="TGD",ROUND($E18*(1+$AD18)^(T$4-$E$4),0),IF($AB18="ALTH",ROUND($AE18+$AF18*T$4,0),IF($AB18="IR",ROUND(Proyeccion_Localidades!AQ18,0),IF($AB18="RT",ROUND(Proyeccion_Localidades!BN18,0),"*****"))))</f>
        <v>444778</v>
      </c>
      <c r="U18" s="66">
        <f>IF($AB18="TGD",ROUND($E18*(1+$AD18)^(U$4-$E$4),0),IF($AB18="ALTH",ROUND($AE18+$AF18*U$4,0),IF($AB18="IR",ROUND(Proyeccion_Localidades!AR18,0),IF($AB18="RT",ROUND(Proyeccion_Localidades!BO18,0),"*****"))))</f>
        <v>449920</v>
      </c>
      <c r="V18" s="66">
        <f>IF($AB18="TGD",ROUND($E18*(1+$AD18)^(V$4-$E$4),0),IF($AB18="ALTH",ROUND($AE18+$AF18*V$4,0),IF($AB18="IR",ROUND(Proyeccion_Localidades!AS18,0),IF($AB18="RT",ROUND(Proyeccion_Localidades!BP18,0),"*****"))))</f>
        <v>455121</v>
      </c>
      <c r="W18" s="66">
        <f>IF($AB18="TGD",ROUND($E18*(1+$AD18)^(W$4-$E$4),0),IF($AB18="ALTH",ROUND($AE18+$AF18*W$4,0),IF($AB18="IR",ROUND(Proyeccion_Localidades!AT18,0),IF($AB18="RT",ROUND(Proyeccion_Localidades!BQ18,0),"*****"))))</f>
        <v>460383</v>
      </c>
      <c r="X18" s="66">
        <f>IF($AB18="TGD",ROUND($E18*(1+$AD18)^(X$4-$E$4),0),IF($AB18="ALTH",ROUND($AE18+$AF18*X$4,0),IF($AB18="IR",ROUND(Proyeccion_Localidades!AU18,0),IF($AB18="RT",ROUND(Proyeccion_Localidades!BR18,0),"*****"))))</f>
        <v>465706</v>
      </c>
      <c r="Y18" s="66">
        <f>IF($AB18="TGD",ROUND($E18*(1+$AD18)^(Y$4-$E$4),0),IF($AB18="ALTH",ROUND($AE18+$AF18*Y$4,0),IF($AB18="IR",ROUND(Proyeccion_Localidades!AV18,0),IF($AB18="RT",ROUND(Proyeccion_Localidades!BS18,0),"*****"))))</f>
        <v>471090</v>
      </c>
      <c r="Z18" s="66">
        <f>IF($AB18="TGD",ROUND($E18*(1+$AD18)^(Z$4-$E$4),0),IF($AB18="ALTH",ROUND($AE18+$AF18*Z$4,0),IF($AB18="IR",ROUND(Proyeccion_Localidades!AW18,0),IF($AB18="RT",ROUND(Proyeccion_Localidades!BT18,0),"*****"))))</f>
        <v>476536</v>
      </c>
      <c r="AA18" s="66">
        <f>IF($AB18="TGD",ROUND($E18*(1+$AD18)^(AA$4-$E$4),0),IF($AB18="ALTH",ROUND($AE18+$AF18*AA$4,0),IF($AB18="IR",ROUND(Proyeccion_Localidades!AX18,0),IF($AB18="RT",ROUND(Proyeccion_Localidades!BU18,0),"*****"))))</f>
        <v>482046</v>
      </c>
      <c r="AB18" s="67" t="str">
        <f>Proyeccion_Localidades!N18</f>
        <v>TGD</v>
      </c>
      <c r="AC18" s="68" t="s">
        <v>35</v>
      </c>
      <c r="AD18" s="51">
        <f>IF(AB18="TGD",Proyeccion_Localidades!Z18,"-")</f>
        <v>1.1561278327987479E-2</v>
      </c>
      <c r="AE18" s="51" t="str">
        <f>IF($AB18="ALTH",Proyeccion_Localidades!AA18,"-")</f>
        <v>-</v>
      </c>
      <c r="AF18" s="51" t="str">
        <f>IF($AB18="ALTH",Proyeccion_Localidades!AB18,"-")</f>
        <v>-</v>
      </c>
      <c r="AG18" s="51"/>
      <c r="AH18" s="51"/>
      <c r="AI18" s="66">
        <f t="shared" si="2"/>
        <v>374335</v>
      </c>
    </row>
    <row r="19" spans="1:35" ht="24.95" customHeight="1">
      <c r="A19" s="69" t="str">
        <f>+Proyeccion_Localidades!C19</f>
        <v>Merlo</v>
      </c>
      <c r="B19" s="70">
        <v>15</v>
      </c>
      <c r="C19" s="71" t="str">
        <f>+Proyeccion_Localidades!B19</f>
        <v>Merlo</v>
      </c>
      <c r="D19" s="261">
        <f t="shared" si="3"/>
        <v>15</v>
      </c>
      <c r="E19" s="72">
        <f>+Proyeccion_Localidades!F19</f>
        <v>528494</v>
      </c>
      <c r="F19" s="66">
        <f>IF($AB19="TGD",ROUND($E19*(1+$AD19)^(F$4-$E$4),0),IF($AB19="ALTH",ROUND($AE19+$AF19*F$4,0),IF($AB19="IR",ROUND(Proyeccion_Localidades!AC19,0),IF($AB19="RT",ROUND(Proyeccion_Localidades!AZ19,0),"*****"))))</f>
        <v>618111</v>
      </c>
      <c r="G19" s="66">
        <f>IF($AB19="TGD",ROUND($E19*(1+$AD19)^(G$4-$E$4),0),IF($AB19="ALTH",ROUND($AE19+$AF19*G$4,0),IF($AB19="IR",ROUND(Proyeccion_Localidades!AD19,0),IF($AB19="RT",ROUND(Proyeccion_Localidades!BA19,0),"*****"))))</f>
        <v>625409</v>
      </c>
      <c r="H19" s="66">
        <f>IF($AB19="TGD",ROUND($E19*(1+$AD19)^(H$4-$E$4),0),IF($AB19="ALTH",ROUND($AE19+$AF19*H$4,0),IF($AB19="IR",ROUND(Proyeccion_Localidades!AE19,0),IF($AB19="RT",ROUND(Proyeccion_Localidades!BB19,0),"*****"))))</f>
        <v>647302</v>
      </c>
      <c r="I19" s="66">
        <f>IF($AB19="TGD",ROUND($E19*(1+$AD19)^(I$4-$E$4),0),IF($AB19="ALTH",ROUND($AE19+$AF19*I$4,0),IF($AB19="IR",ROUND(Proyeccion_Localidades!AF19,0),IF($AB19="RT",ROUND(Proyeccion_Localidades!BC19,0),"*****"))))</f>
        <v>654600</v>
      </c>
      <c r="J19" s="66">
        <f>IF($AB19="TGD",ROUND($E19*(1+$AD19)^(J$4-$E$4),0),IF($AB19="ALTH",ROUND($AE19+$AF19*J$4,0),IF($AB19="IR",ROUND(Proyeccion_Localidades!AG19,0),IF($AB19="RT",ROUND(Proyeccion_Localidades!BD19,0),"*****"))))</f>
        <v>661898</v>
      </c>
      <c r="K19" s="66">
        <f>IF($AB19="TGD",ROUND($E19*(1+$AD19)^(K$4-$E$4),0),IF($AB19="ALTH",ROUND($AE19+$AF19*K$4,0),IF($AB19="IR",ROUND(Proyeccion_Localidades!AH19,0),IF($AB19="RT",ROUND(Proyeccion_Localidades!BE19,0),"*****"))))</f>
        <v>669195</v>
      </c>
      <c r="L19" s="66">
        <f>IF($AB19="TGD",ROUND($E19*(1+$AD19)^(L$4-$E$4),0),IF($AB19="ALTH",ROUND($AE19+$AF19*L$4,0),IF($AB19="IR",ROUND(Proyeccion_Localidades!AI19,0),IF($AB19="RT",ROUND(Proyeccion_Localidades!BF19,0),"*****"))))</f>
        <v>676493</v>
      </c>
      <c r="M19" s="66">
        <f>IF($AB19="TGD",ROUND($E19*(1+$AD19)^(M$4-$E$4),0),IF($AB19="ALTH",ROUND($AE19+$AF19*M$4,0),IF($AB19="IR",ROUND(Proyeccion_Localidades!AJ19,0),IF($AB19="RT",ROUND(Proyeccion_Localidades!BG19,0),"*****"))))</f>
        <v>683791</v>
      </c>
      <c r="N19" s="66">
        <f>IF($AB19="TGD",ROUND($E19*(1+$AD19)^(N$4-$E$4),0),IF($AB19="ALTH",ROUND($AE19+$AF19*N$4,0),IF($AB19="IR",ROUND(Proyeccion_Localidades!AK19,0),IF($AB19="RT",ROUND(Proyeccion_Localidades!BH19,0),"*****"))))</f>
        <v>691089</v>
      </c>
      <c r="O19" s="66">
        <f>IF($AB19="TGD",ROUND($E19*(1+$AD19)^(O$4-$E$4),0),IF($AB19="ALTH",ROUND($AE19+$AF19*O$4,0),IF($AB19="IR",ROUND(Proyeccion_Localidades!AL19,0),IF($AB19="RT",ROUND(Proyeccion_Localidades!BI19,0),"*****"))))</f>
        <v>698386</v>
      </c>
      <c r="P19" s="66">
        <f>IF($AB19="TGD",ROUND($E19*(1+$AD19)^(P$4-$E$4),0),IF($AB19="ALTH",ROUND($AE19+$AF19*P$4,0),IF($AB19="IR",ROUND(Proyeccion_Localidades!AM19,0),IF($AB19="RT",ROUND(Proyeccion_Localidades!BJ19,0),"*****"))))</f>
        <v>705684</v>
      </c>
      <c r="Q19" s="66">
        <f>IF($AB19="TGD",ROUND($E19*(1+$AD19)^(Q$4-$E$4),0),IF($AB19="ALTH",ROUND($AE19+$AF19*Q$4,0),IF($AB19="IR",ROUND(Proyeccion_Localidades!AN19,0),IF($AB19="RT",ROUND(Proyeccion_Localidades!BK19,0),"*****"))))</f>
        <v>712982</v>
      </c>
      <c r="R19" s="66">
        <f>IF($AB19="TGD",ROUND($E19*(1+$AD19)^(R$4-$E$4),0),IF($AB19="ALTH",ROUND($AE19+$AF19*R$4,0),IF($AB19="IR",ROUND(Proyeccion_Localidades!AO19,0),IF($AB19="RT",ROUND(Proyeccion_Localidades!BL19,0),"*****"))))</f>
        <v>720279</v>
      </c>
      <c r="S19" s="66">
        <f>IF($AB19="TGD",ROUND($E19*(1+$AD19)^(S$4-$E$4),0),IF($AB19="ALTH",ROUND($AE19+$AF19*S$4,0),IF($AB19="IR",ROUND(Proyeccion_Localidades!AP19,0),IF($AB19="RT",ROUND(Proyeccion_Localidades!BM19,0),"*****"))))</f>
        <v>727577</v>
      </c>
      <c r="T19" s="66">
        <f>IF($AB19="TGD",ROUND($E19*(1+$AD19)^(T$4-$E$4),0),IF($AB19="ALTH",ROUND($AE19+$AF19*T$4,0),IF($AB19="IR",ROUND(Proyeccion_Localidades!AQ19,0),IF($AB19="RT",ROUND(Proyeccion_Localidades!BN19,0),"*****"))))</f>
        <v>734875</v>
      </c>
      <c r="U19" s="66">
        <f>IF($AB19="TGD",ROUND($E19*(1+$AD19)^(U$4-$E$4),0),IF($AB19="ALTH",ROUND($AE19+$AF19*U$4,0),IF($AB19="IR",ROUND(Proyeccion_Localidades!AR19,0),IF($AB19="RT",ROUND(Proyeccion_Localidades!BO19,0),"*****"))))</f>
        <v>742173</v>
      </c>
      <c r="V19" s="66">
        <f>IF($AB19="TGD",ROUND($E19*(1+$AD19)^(V$4-$E$4),0),IF($AB19="ALTH",ROUND($AE19+$AF19*V$4,0),IF($AB19="IR",ROUND(Proyeccion_Localidades!AS19,0),IF($AB19="RT",ROUND(Proyeccion_Localidades!BP19,0),"*****"))))</f>
        <v>749470</v>
      </c>
      <c r="W19" s="66">
        <f>IF($AB19="TGD",ROUND($E19*(1+$AD19)^(W$4-$E$4),0),IF($AB19="ALTH",ROUND($AE19+$AF19*W$4,0),IF($AB19="IR",ROUND(Proyeccion_Localidades!AT19,0),IF($AB19="RT",ROUND(Proyeccion_Localidades!BQ19,0),"*****"))))</f>
        <v>756768</v>
      </c>
      <c r="X19" s="66">
        <f>IF($AB19="TGD",ROUND($E19*(1+$AD19)^(X$4-$E$4),0),IF($AB19="ALTH",ROUND($AE19+$AF19*X$4,0),IF($AB19="IR",ROUND(Proyeccion_Localidades!AU19,0),IF($AB19="RT",ROUND(Proyeccion_Localidades!BR19,0),"*****"))))</f>
        <v>764066</v>
      </c>
      <c r="Y19" s="66">
        <f>IF($AB19="TGD",ROUND($E19*(1+$AD19)^(Y$4-$E$4),0),IF($AB19="ALTH",ROUND($AE19+$AF19*Y$4,0),IF($AB19="IR",ROUND(Proyeccion_Localidades!AV19,0),IF($AB19="RT",ROUND(Proyeccion_Localidades!BS19,0),"*****"))))</f>
        <v>771363</v>
      </c>
      <c r="Z19" s="66">
        <f>IF($AB19="TGD",ROUND($E19*(1+$AD19)^(Z$4-$E$4),0),IF($AB19="ALTH",ROUND($AE19+$AF19*Z$4,0),IF($AB19="IR",ROUND(Proyeccion_Localidades!AW19,0),IF($AB19="RT",ROUND(Proyeccion_Localidades!BT19,0),"*****"))))</f>
        <v>778661</v>
      </c>
      <c r="AA19" s="66">
        <f>IF($AB19="TGD",ROUND($E19*(1+$AD19)^(AA$4-$E$4),0),IF($AB19="ALTH",ROUND($AE19+$AF19*AA$4,0),IF($AB19="IR",ROUND(Proyeccion_Localidades!AX19,0),IF($AB19="RT",ROUND(Proyeccion_Localidades!BU19,0),"*****"))))</f>
        <v>785959</v>
      </c>
      <c r="AB19" s="67" t="str">
        <f>Proyeccion_Localidades!N19</f>
        <v>ALTH</v>
      </c>
      <c r="AC19" s="68" t="s">
        <v>36</v>
      </c>
      <c r="AD19" s="51" t="str">
        <f>IF(AB19="TGD",Proyeccion_Localidades!Z19,"-")</f>
        <v>-</v>
      </c>
      <c r="AE19" s="51">
        <f>IF($AB19="ALTH",Proyeccion_Localidades!AA19,"-")</f>
        <v>-14137858.804428047</v>
      </c>
      <c r="AF19" s="51">
        <f>IF($AB19="ALTH",Proyeccion_Localidades!AB19,"-")</f>
        <v>7297.7103321033219</v>
      </c>
      <c r="AG19" s="51"/>
      <c r="AH19" s="51"/>
      <c r="AI19" s="66">
        <f t="shared" si="2"/>
        <v>625409</v>
      </c>
    </row>
    <row r="20" spans="1:35" ht="24.95" customHeight="1">
      <c r="A20" s="69" t="str">
        <f>+Proyeccion_Localidades!C20</f>
        <v>Moreno</v>
      </c>
      <c r="B20" s="70">
        <v>16</v>
      </c>
      <c r="C20" s="71" t="str">
        <f>+Proyeccion_Localidades!B20</f>
        <v>Moreno</v>
      </c>
      <c r="D20" s="261">
        <f t="shared" si="3"/>
        <v>16</v>
      </c>
      <c r="E20" s="72">
        <f>+Proyeccion_Localidades!F20</f>
        <v>452505</v>
      </c>
      <c r="F20" s="66">
        <f>IF($AB20="TGD",ROUND($E20*(1+$AD20)^(F$4-$E$4),0),IF($AB20="ALTH",ROUND($AE20+$AF20*F$4,0),IF($AB20="IR",ROUND(Proyeccion_Localidades!AC20,0),IF($AB20="RT",ROUND(Proyeccion_Localidades!AZ20,0),"*****"))))</f>
        <v>572547</v>
      </c>
      <c r="G20" s="66">
        <f>IF($AB20="TGD",ROUND($E20*(1+$AD20)^(G$4-$E$4),0),IF($AB20="ALTH",ROUND($AE20+$AF20*G$4,0),IF($AB20="IR",ROUND(Proyeccion_Localidades!AD20,0),IF($AB20="RT",ROUND(Proyeccion_Localidades!BA20,0),"*****"))))</f>
        <v>583884</v>
      </c>
      <c r="H20" s="66">
        <f>IF($AB20="TGD",ROUND($E20*(1+$AD20)^(H$4-$E$4),0),IF($AB20="ALTH",ROUND($AE20+$AF20*H$4,0),IF($AB20="IR",ROUND(Proyeccion_Localidades!AE20,0),IF($AB20="RT",ROUND(Proyeccion_Localidades!BB20,0),"*****"))))</f>
        <v>619260</v>
      </c>
      <c r="I20" s="66">
        <f>IF($AB20="TGD",ROUND($E20*(1+$AD20)^(I$4-$E$4),0),IF($AB20="ALTH",ROUND($AE20+$AF20*I$4,0),IF($AB20="IR",ROUND(Proyeccion_Localidades!AF20,0),IF($AB20="RT",ROUND(Proyeccion_Localidades!BC20,0),"*****"))))</f>
        <v>631523</v>
      </c>
      <c r="J20" s="66">
        <f>IF($AB20="TGD",ROUND($E20*(1+$AD20)^(J$4-$E$4),0),IF($AB20="ALTH",ROUND($AE20+$AF20*J$4,0),IF($AB20="IR",ROUND(Proyeccion_Localidades!AG20,0),IF($AB20="RT",ROUND(Proyeccion_Localidades!BD20,0),"*****"))))</f>
        <v>644028</v>
      </c>
      <c r="K20" s="66">
        <f>IF($AB20="TGD",ROUND($E20*(1+$AD20)^(K$4-$E$4),0),IF($AB20="ALTH",ROUND($AE20+$AF20*K$4,0),IF($AB20="IR",ROUND(Proyeccion_Localidades!AH20,0),IF($AB20="RT",ROUND(Proyeccion_Localidades!BE20,0),"*****"))))</f>
        <v>656780</v>
      </c>
      <c r="L20" s="66">
        <f>IF($AB20="TGD",ROUND($E20*(1+$AD20)^(L$4-$E$4),0),IF($AB20="ALTH",ROUND($AE20+$AF20*L$4,0),IF($AB20="IR",ROUND(Proyeccion_Localidades!AI20,0),IF($AB20="RT",ROUND(Proyeccion_Localidades!BF20,0),"*****"))))</f>
        <v>669785</v>
      </c>
      <c r="M20" s="66">
        <f>IF($AB20="TGD",ROUND($E20*(1+$AD20)^(M$4-$E$4),0),IF($AB20="ALTH",ROUND($AE20+$AF20*M$4,0),IF($AB20="IR",ROUND(Proyeccion_Localidades!AJ20,0),IF($AB20="RT",ROUND(Proyeccion_Localidades!BG20,0),"*****"))))</f>
        <v>683048</v>
      </c>
      <c r="N20" s="66">
        <f>IF($AB20="TGD",ROUND($E20*(1+$AD20)^(N$4-$E$4),0),IF($AB20="ALTH",ROUND($AE20+$AF20*N$4,0),IF($AB20="IR",ROUND(Proyeccion_Localidades!AK20,0),IF($AB20="RT",ROUND(Proyeccion_Localidades!BH20,0),"*****"))))</f>
        <v>696573</v>
      </c>
      <c r="O20" s="66">
        <f>IF($AB20="TGD",ROUND($E20*(1+$AD20)^(O$4-$E$4),0),IF($AB20="ALTH",ROUND($AE20+$AF20*O$4,0),IF($AB20="IR",ROUND(Proyeccion_Localidades!AL20,0),IF($AB20="RT",ROUND(Proyeccion_Localidades!BI20,0),"*****"))))</f>
        <v>710367</v>
      </c>
      <c r="P20" s="66">
        <f>IF($AB20="TGD",ROUND($E20*(1+$AD20)^(P$4-$E$4),0),IF($AB20="ALTH",ROUND($AE20+$AF20*P$4,0),IF($AB20="IR",ROUND(Proyeccion_Localidades!AM20,0),IF($AB20="RT",ROUND(Proyeccion_Localidades!BJ20,0),"*****"))))</f>
        <v>724433</v>
      </c>
      <c r="Q20" s="66">
        <f>IF($AB20="TGD",ROUND($E20*(1+$AD20)^(Q$4-$E$4),0),IF($AB20="ALTH",ROUND($AE20+$AF20*Q$4,0),IF($AB20="IR",ROUND(Proyeccion_Localidades!AN20,0),IF($AB20="RT",ROUND(Proyeccion_Localidades!BK20,0),"*****"))))</f>
        <v>738778</v>
      </c>
      <c r="R20" s="66">
        <f>IF($AB20="TGD",ROUND($E20*(1+$AD20)^(R$4-$E$4),0),IF($AB20="ALTH",ROUND($AE20+$AF20*R$4,0),IF($AB20="IR",ROUND(Proyeccion_Localidades!AO20,0),IF($AB20="RT",ROUND(Proyeccion_Localidades!BL20,0),"*****"))))</f>
        <v>753407</v>
      </c>
      <c r="S20" s="66">
        <f>IF($AB20="TGD",ROUND($E20*(1+$AD20)^(S$4-$E$4),0),IF($AB20="ALTH",ROUND($AE20+$AF20*S$4,0),IF($AB20="IR",ROUND(Proyeccion_Localidades!AP20,0),IF($AB20="RT",ROUND(Proyeccion_Localidades!BM20,0),"*****"))))</f>
        <v>768325</v>
      </c>
      <c r="T20" s="66">
        <f>IF($AB20="TGD",ROUND($E20*(1+$AD20)^(T$4-$E$4),0),IF($AB20="ALTH",ROUND($AE20+$AF20*T$4,0),IF($AB20="IR",ROUND(Proyeccion_Localidades!AQ20,0),IF($AB20="RT",ROUND(Proyeccion_Localidades!BN20,0),"*****"))))</f>
        <v>783539</v>
      </c>
      <c r="U20" s="66">
        <f>IF($AB20="TGD",ROUND($E20*(1+$AD20)^(U$4-$E$4),0),IF($AB20="ALTH",ROUND($AE20+$AF20*U$4,0),IF($AB20="IR",ROUND(Proyeccion_Localidades!AR20,0),IF($AB20="RT",ROUND(Proyeccion_Localidades!BO20,0),"*****"))))</f>
        <v>799054</v>
      </c>
      <c r="V20" s="66">
        <f>IF($AB20="TGD",ROUND($E20*(1+$AD20)^(V$4-$E$4),0),IF($AB20="ALTH",ROUND($AE20+$AF20*V$4,0),IF($AB20="IR",ROUND(Proyeccion_Localidades!AS20,0),IF($AB20="RT",ROUND(Proyeccion_Localidades!BP20,0),"*****"))))</f>
        <v>814877</v>
      </c>
      <c r="W20" s="66">
        <f>IF($AB20="TGD",ROUND($E20*(1+$AD20)^(W$4-$E$4),0),IF($AB20="ALTH",ROUND($AE20+$AF20*W$4,0),IF($AB20="IR",ROUND(Proyeccion_Localidades!AT20,0),IF($AB20="RT",ROUND(Proyeccion_Localidades!BQ20,0),"*****"))))</f>
        <v>831012</v>
      </c>
      <c r="X20" s="66">
        <f>IF($AB20="TGD",ROUND($E20*(1+$AD20)^(X$4-$E$4),0),IF($AB20="ALTH",ROUND($AE20+$AF20*X$4,0),IF($AB20="IR",ROUND(Proyeccion_Localidades!AU20,0),IF($AB20="RT",ROUND(Proyeccion_Localidades!BR20,0),"*****"))))</f>
        <v>847468</v>
      </c>
      <c r="Y20" s="66">
        <f>IF($AB20="TGD",ROUND($E20*(1+$AD20)^(Y$4-$E$4),0),IF($AB20="ALTH",ROUND($AE20+$AF20*Y$4,0),IF($AB20="IR",ROUND(Proyeccion_Localidades!AV20,0),IF($AB20="RT",ROUND(Proyeccion_Localidades!BS20,0),"*****"))))</f>
        <v>864249</v>
      </c>
      <c r="Z20" s="66">
        <f>IF($AB20="TGD",ROUND($E20*(1+$AD20)^(Z$4-$E$4),0),IF($AB20="ALTH",ROUND($AE20+$AF20*Z$4,0),IF($AB20="IR",ROUND(Proyeccion_Localidades!AW20,0),IF($AB20="RT",ROUND(Proyeccion_Localidades!BT20,0),"*****"))))</f>
        <v>881362</v>
      </c>
      <c r="AA20" s="66">
        <f>IF($AB20="TGD",ROUND($E20*(1+$AD20)^(AA$4-$E$4),0),IF($AB20="ALTH",ROUND($AE20+$AF20*AA$4,0),IF($AB20="IR",ROUND(Proyeccion_Localidades!AX20,0),IF($AB20="RT",ROUND(Proyeccion_Localidades!BU20,0),"*****"))))</f>
        <v>898814</v>
      </c>
      <c r="AB20" s="67" t="str">
        <f>Proyeccion_Localidades!N20</f>
        <v>TGD</v>
      </c>
      <c r="AC20" s="68" t="s">
        <v>35</v>
      </c>
      <c r="AD20" s="51">
        <f>IF(AB20="TGD",Proyeccion_Localidades!Z20,"-")</f>
        <v>1.9801427421582529E-2</v>
      </c>
      <c r="AE20" s="51" t="str">
        <f>IF($AB20="ALTH",Proyeccion_Localidades!AA20,"-")</f>
        <v>-</v>
      </c>
      <c r="AF20" s="51" t="str">
        <f>IF($AB20="ALTH",Proyeccion_Localidades!AB20,"-")</f>
        <v>-</v>
      </c>
      <c r="AG20" s="51"/>
      <c r="AH20" s="51"/>
      <c r="AI20" s="66">
        <f t="shared" si="2"/>
        <v>583884</v>
      </c>
    </row>
    <row r="21" spans="1:35" ht="24.95" customHeight="1">
      <c r="A21" s="69" t="str">
        <f>+Proyeccion_Localidades!C21</f>
        <v>Morón</v>
      </c>
      <c r="B21" s="70">
        <v>17</v>
      </c>
      <c r="C21" s="71" t="str">
        <f>+Proyeccion_Localidades!B21</f>
        <v>Morón</v>
      </c>
      <c r="D21" s="261">
        <f t="shared" si="3"/>
        <v>17</v>
      </c>
      <c r="E21" s="72">
        <f>+Proyeccion_Localidades!F21</f>
        <v>321109</v>
      </c>
      <c r="F21" s="66">
        <f>IF($AB21="TGD",ROUND($E21*(1+$AD21)^(F$4-$E$4),0),IF($AB21="ALTH",ROUND($AE21+$AF21*F$4,0),IF($AB21="IR",ROUND(Proyeccion_Localidades!AC21,0),IF($AB21="RT",ROUND(Proyeccion_Localidades!AZ21,0),"*****"))))</f>
        <v>347253</v>
      </c>
      <c r="G21" s="66">
        <f>IF($AB21="TGD",ROUND($E21*(1+$AD21)^(G$4-$E$4),0),IF($AB21="ALTH",ROUND($AE21+$AF21*G$4,0),IF($AB21="IR",ROUND(Proyeccion_Localidades!AD21,0),IF($AB21="RT",ROUND(Proyeccion_Localidades!BA21,0),"*****"))))</f>
        <v>349670</v>
      </c>
      <c r="H21" s="66">
        <f>IF($AB21="TGD",ROUND($E21*(1+$AD21)^(H$4-$E$4),0),IF($AB21="ALTH",ROUND($AE21+$AF21*H$4,0),IF($AB21="IR",ROUND(Proyeccion_Localidades!AE21,0),IF($AB21="RT",ROUND(Proyeccion_Localidades!BB21,0),"*****"))))</f>
        <v>357159</v>
      </c>
      <c r="I21" s="66">
        <f>IF($AB21="TGD",ROUND($E21*(1+$AD21)^(I$4-$E$4),0),IF($AB21="ALTH",ROUND($AE21+$AF21*I$4,0),IF($AB21="IR",ROUND(Proyeccion_Localidades!AF21,0),IF($AB21="RT",ROUND(Proyeccion_Localidades!BC21,0),"*****"))))</f>
        <v>359737</v>
      </c>
      <c r="J21" s="66">
        <f>IF($AB21="TGD",ROUND($E21*(1+$AD21)^(J$4-$E$4),0),IF($AB21="ALTH",ROUND($AE21+$AF21*J$4,0),IF($AB21="IR",ROUND(Proyeccion_Localidades!AG21,0),IF($AB21="RT",ROUND(Proyeccion_Localidades!BD21,0),"*****"))))</f>
        <v>362357</v>
      </c>
      <c r="K21" s="66">
        <f>IF($AB21="TGD",ROUND($E21*(1+$AD21)^(K$4-$E$4),0),IF($AB21="ALTH",ROUND($AE21+$AF21*K$4,0),IF($AB21="IR",ROUND(Proyeccion_Localidades!AH21,0),IF($AB21="RT",ROUND(Proyeccion_Localidades!BE21,0),"*****"))))</f>
        <v>365020</v>
      </c>
      <c r="L21" s="66">
        <f>IF($AB21="TGD",ROUND($E21*(1+$AD21)^(L$4-$E$4),0),IF($AB21="ALTH",ROUND($AE21+$AF21*L$4,0),IF($AB21="IR",ROUND(Proyeccion_Localidades!AI21,0),IF($AB21="RT",ROUND(Proyeccion_Localidades!BF21,0),"*****"))))</f>
        <v>367726</v>
      </c>
      <c r="M21" s="66">
        <f>IF($AB21="TGD",ROUND($E21*(1+$AD21)^(M$4-$E$4),0),IF($AB21="ALTH",ROUND($AE21+$AF21*M$4,0),IF($AB21="IR",ROUND(Proyeccion_Localidades!AJ21,0),IF($AB21="RT",ROUND(Proyeccion_Localidades!BG21,0),"*****"))))</f>
        <v>370477</v>
      </c>
      <c r="N21" s="66">
        <f>IF($AB21="TGD",ROUND($E21*(1+$AD21)^(N$4-$E$4),0),IF($AB21="ALTH",ROUND($AE21+$AF21*N$4,0),IF($AB21="IR",ROUND(Proyeccion_Localidades!AK21,0),IF($AB21="RT",ROUND(Proyeccion_Localidades!BH21,0),"*****"))))</f>
        <v>373272</v>
      </c>
      <c r="O21" s="66">
        <f>IF($AB21="TGD",ROUND($E21*(1+$AD21)^(O$4-$E$4),0),IF($AB21="ALTH",ROUND($AE21+$AF21*O$4,0),IF($AB21="IR",ROUND(Proyeccion_Localidades!AL21,0),IF($AB21="RT",ROUND(Proyeccion_Localidades!BI21,0),"*****"))))</f>
        <v>376113</v>
      </c>
      <c r="P21" s="66">
        <f>IF($AB21="TGD",ROUND($E21*(1+$AD21)^(P$4-$E$4),0),IF($AB21="ALTH",ROUND($AE21+$AF21*P$4,0),IF($AB21="IR",ROUND(Proyeccion_Localidades!AM21,0),IF($AB21="RT",ROUND(Proyeccion_Localidades!BJ21,0),"*****"))))</f>
        <v>379001</v>
      </c>
      <c r="Q21" s="66">
        <f>IF($AB21="TGD",ROUND($E21*(1+$AD21)^(Q$4-$E$4),0),IF($AB21="ALTH",ROUND($AE21+$AF21*Q$4,0),IF($AB21="IR",ROUND(Proyeccion_Localidades!AN21,0),IF($AB21="RT",ROUND(Proyeccion_Localidades!BK21,0),"*****"))))</f>
        <v>381935</v>
      </c>
      <c r="R21" s="66">
        <f>IF($AB21="TGD",ROUND($E21*(1+$AD21)^(R$4-$E$4),0),IF($AB21="ALTH",ROUND($AE21+$AF21*R$4,0),IF($AB21="IR",ROUND(Proyeccion_Localidades!AO21,0),IF($AB21="RT",ROUND(Proyeccion_Localidades!BL21,0),"*****"))))</f>
        <v>384917</v>
      </c>
      <c r="S21" s="66">
        <f>IF($AB21="TGD",ROUND($E21*(1+$AD21)^(S$4-$E$4),0),IF($AB21="ALTH",ROUND($AE21+$AF21*S$4,0),IF($AB21="IR",ROUND(Proyeccion_Localidades!AP21,0),IF($AB21="RT",ROUND(Proyeccion_Localidades!BM21,0),"*****"))))</f>
        <v>387948</v>
      </c>
      <c r="T21" s="66">
        <f>IF($AB21="TGD",ROUND($E21*(1+$AD21)^(T$4-$E$4),0),IF($AB21="ALTH",ROUND($AE21+$AF21*T$4,0),IF($AB21="IR",ROUND(Proyeccion_Localidades!AQ21,0),IF($AB21="RT",ROUND(Proyeccion_Localidades!BN21,0),"*****"))))</f>
        <v>391029</v>
      </c>
      <c r="U21" s="66">
        <f>IF($AB21="TGD",ROUND($E21*(1+$AD21)^(U$4-$E$4),0),IF($AB21="ALTH",ROUND($AE21+$AF21*U$4,0),IF($AB21="IR",ROUND(Proyeccion_Localidades!AR21,0),IF($AB21="RT",ROUND(Proyeccion_Localidades!BO21,0),"*****"))))</f>
        <v>394159</v>
      </c>
      <c r="V21" s="66">
        <f>IF($AB21="TGD",ROUND($E21*(1+$AD21)^(V$4-$E$4),0),IF($AB21="ALTH",ROUND($AE21+$AF21*V$4,0),IF($AB21="IR",ROUND(Proyeccion_Localidades!AS21,0),IF($AB21="RT",ROUND(Proyeccion_Localidades!BP21,0),"*****"))))</f>
        <v>397341</v>
      </c>
      <c r="W21" s="66">
        <f>IF($AB21="TGD",ROUND($E21*(1+$AD21)^(W$4-$E$4),0),IF($AB21="ALTH",ROUND($AE21+$AF21*W$4,0),IF($AB21="IR",ROUND(Proyeccion_Localidades!AT21,0),IF($AB21="RT",ROUND(Proyeccion_Localidades!BQ21,0),"*****"))))</f>
        <v>400575</v>
      </c>
      <c r="X21" s="66">
        <f>IF($AB21="TGD",ROUND($E21*(1+$AD21)^(X$4-$E$4),0),IF($AB21="ALTH",ROUND($AE21+$AF21*X$4,0),IF($AB21="IR",ROUND(Proyeccion_Localidades!AU21,0),IF($AB21="RT",ROUND(Proyeccion_Localidades!BR21,0),"*****"))))</f>
        <v>403861</v>
      </c>
      <c r="Y21" s="66">
        <f>IF($AB21="TGD",ROUND($E21*(1+$AD21)^(Y$4-$E$4),0),IF($AB21="ALTH",ROUND($AE21+$AF21*Y$4,0),IF($AB21="IR",ROUND(Proyeccion_Localidades!AV21,0),IF($AB21="RT",ROUND(Proyeccion_Localidades!BS21,0),"*****"))))</f>
        <v>407201</v>
      </c>
      <c r="Z21" s="66">
        <f>IF($AB21="TGD",ROUND($E21*(1+$AD21)^(Z$4-$E$4),0),IF($AB21="ALTH",ROUND($AE21+$AF21*Z$4,0),IF($AB21="IR",ROUND(Proyeccion_Localidades!AW21,0),IF($AB21="RT",ROUND(Proyeccion_Localidades!BT21,0),"*****"))))</f>
        <v>410595</v>
      </c>
      <c r="AA21" s="66">
        <f>IF($AB21="TGD",ROUND($E21*(1+$AD21)^(AA$4-$E$4),0),IF($AB21="ALTH",ROUND($AE21+$AF21*AA$4,0),IF($AB21="IR",ROUND(Proyeccion_Localidades!AX21,0),IF($AB21="RT",ROUND(Proyeccion_Localidades!BU21,0),"*****"))))</f>
        <v>414045</v>
      </c>
      <c r="AB21" s="67" t="str">
        <f>Proyeccion_Localidades!N21</f>
        <v>IR</v>
      </c>
      <c r="AC21" s="68"/>
      <c r="AD21" s="51" t="str">
        <f>IF(AB21="TGD",Proyeccion_Localidades!Z21,"-")</f>
        <v>-</v>
      </c>
      <c r="AE21" s="51" t="str">
        <f>IF($AB21="ALTH",Proyeccion_Localidades!AA21,"-")</f>
        <v>-</v>
      </c>
      <c r="AF21" s="51" t="str">
        <f>IF($AB21="ALTH",Proyeccion_Localidades!AB21,"-")</f>
        <v>-</v>
      </c>
      <c r="AG21" s="51"/>
      <c r="AH21" s="51"/>
      <c r="AI21" s="66">
        <f t="shared" si="2"/>
        <v>349670</v>
      </c>
    </row>
    <row r="22" spans="1:35" ht="24.95" customHeight="1">
      <c r="A22" s="69" t="str">
        <f>+Proyeccion_Localidades!C22</f>
        <v>Quilmes</v>
      </c>
      <c r="B22" s="70">
        <v>18</v>
      </c>
      <c r="C22" s="71" t="str">
        <f>+Proyeccion_Localidades!B22</f>
        <v>Quilmes</v>
      </c>
      <c r="D22" s="261">
        <f t="shared" si="3"/>
        <v>18</v>
      </c>
      <c r="E22" s="72">
        <f>+Proyeccion_Localidades!F22</f>
        <v>582943</v>
      </c>
      <c r="F22" s="66">
        <f>IF($AB22="TGD",ROUND($E22*(1+$AD22)^(F$4-$E$4),0),IF($AB22="ALTH",ROUND($AE22+$AF22*F$4,0),IF($AB22="IR",ROUND(Proyeccion_Localidades!AC22,0),IF($AB22="RT",ROUND(Proyeccion_Localidades!AZ22,0),"*****"))))</f>
        <v>635758</v>
      </c>
      <c r="G22" s="66">
        <f>IF($AB22="TGD",ROUND($E22*(1+$AD22)^(G$4-$E$4),0),IF($AB22="ALTH",ROUND($AE22+$AF22*G$4,0),IF($AB22="IR",ROUND(Proyeccion_Localidades!AD22,0),IF($AB22="RT",ROUND(Proyeccion_Localidades!BA22,0),"*****"))))</f>
        <v>640369</v>
      </c>
      <c r="H22" s="66">
        <f>IF($AB22="TGD",ROUND($E22*(1+$AD22)^(H$4-$E$4),0),IF($AB22="ALTH",ROUND($AE22+$AF22*H$4,0),IF($AB22="IR",ROUND(Proyeccion_Localidades!AE22,0),IF($AB22="RT",ROUND(Proyeccion_Localidades!BB22,0),"*****"))))</f>
        <v>654405</v>
      </c>
      <c r="I22" s="66">
        <f>IF($AB22="TGD",ROUND($E22*(1+$AD22)^(I$4-$E$4),0),IF($AB22="ALTH",ROUND($AE22+$AF22*I$4,0),IF($AB22="IR",ROUND(Proyeccion_Localidades!AF22,0),IF($AB22="RT",ROUND(Proyeccion_Localidades!BC22,0),"*****"))))</f>
        <v>659152</v>
      </c>
      <c r="J22" s="66">
        <f>IF($AB22="TGD",ROUND($E22*(1+$AD22)^(J$4-$E$4),0),IF($AB22="ALTH",ROUND($AE22+$AF22*J$4,0),IF($AB22="IR",ROUND(Proyeccion_Localidades!AG22,0),IF($AB22="RT",ROUND(Proyeccion_Localidades!BD22,0),"*****"))))</f>
        <v>663933</v>
      </c>
      <c r="K22" s="66">
        <f>IF($AB22="TGD",ROUND($E22*(1+$AD22)^(K$4-$E$4),0),IF($AB22="ALTH",ROUND($AE22+$AF22*K$4,0),IF($AB22="IR",ROUND(Proyeccion_Localidades!AH22,0),IF($AB22="RT",ROUND(Proyeccion_Localidades!BE22,0),"*****"))))</f>
        <v>668749</v>
      </c>
      <c r="L22" s="66">
        <f>IF($AB22="TGD",ROUND($E22*(1+$AD22)^(L$4-$E$4),0),IF($AB22="ALTH",ROUND($AE22+$AF22*L$4,0),IF($AB22="IR",ROUND(Proyeccion_Localidades!AI22,0),IF($AB22="RT",ROUND(Proyeccion_Localidades!BF22,0),"*****"))))</f>
        <v>673600</v>
      </c>
      <c r="M22" s="66">
        <f>IF($AB22="TGD",ROUND($E22*(1+$AD22)^(M$4-$E$4),0),IF($AB22="ALTH",ROUND($AE22+$AF22*M$4,0),IF($AB22="IR",ROUND(Proyeccion_Localidades!AJ22,0),IF($AB22="RT",ROUND(Proyeccion_Localidades!BG22,0),"*****"))))</f>
        <v>678486</v>
      </c>
      <c r="N22" s="66">
        <f>IF($AB22="TGD",ROUND($E22*(1+$AD22)^(N$4-$E$4),0),IF($AB22="ALTH",ROUND($AE22+$AF22*N$4,0),IF($AB22="IR",ROUND(Proyeccion_Localidades!AK22,0),IF($AB22="RT",ROUND(Proyeccion_Localidades!BH22,0),"*****"))))</f>
        <v>683407</v>
      </c>
      <c r="O22" s="66">
        <f>IF($AB22="TGD",ROUND($E22*(1+$AD22)^(O$4-$E$4),0),IF($AB22="ALTH",ROUND($AE22+$AF22*O$4,0),IF($AB22="IR",ROUND(Proyeccion_Localidades!AL22,0),IF($AB22="RT",ROUND(Proyeccion_Localidades!BI22,0),"*****"))))</f>
        <v>688364</v>
      </c>
      <c r="P22" s="66">
        <f>IF($AB22="TGD",ROUND($E22*(1+$AD22)^(P$4-$E$4),0),IF($AB22="ALTH",ROUND($AE22+$AF22*P$4,0),IF($AB22="IR",ROUND(Proyeccion_Localidades!AM22,0),IF($AB22="RT",ROUND(Proyeccion_Localidades!BJ22,0),"*****"))))</f>
        <v>693357</v>
      </c>
      <c r="Q22" s="66">
        <f>IF($AB22="TGD",ROUND($E22*(1+$AD22)^(Q$4-$E$4),0),IF($AB22="ALTH",ROUND($AE22+$AF22*Q$4,0),IF($AB22="IR",ROUND(Proyeccion_Localidades!AN22,0),IF($AB22="RT",ROUND(Proyeccion_Localidades!BK22,0),"*****"))))</f>
        <v>698387</v>
      </c>
      <c r="R22" s="66">
        <f>IF($AB22="TGD",ROUND($E22*(1+$AD22)^(R$4-$E$4),0),IF($AB22="ALTH",ROUND($AE22+$AF22*R$4,0),IF($AB22="IR",ROUND(Proyeccion_Localidades!AO22,0),IF($AB22="RT",ROUND(Proyeccion_Localidades!BL22,0),"*****"))))</f>
        <v>703452</v>
      </c>
      <c r="S22" s="66">
        <f>IF($AB22="TGD",ROUND($E22*(1+$AD22)^(S$4-$E$4),0),IF($AB22="ALTH",ROUND($AE22+$AF22*S$4,0),IF($AB22="IR",ROUND(Proyeccion_Localidades!AP22,0),IF($AB22="RT",ROUND(Proyeccion_Localidades!BM22,0),"*****"))))</f>
        <v>708555</v>
      </c>
      <c r="T22" s="66">
        <f>IF($AB22="TGD",ROUND($E22*(1+$AD22)^(T$4-$E$4),0),IF($AB22="ALTH",ROUND($AE22+$AF22*T$4,0),IF($AB22="IR",ROUND(Proyeccion_Localidades!AQ22,0),IF($AB22="RT",ROUND(Proyeccion_Localidades!BN22,0),"*****"))))</f>
        <v>713694</v>
      </c>
      <c r="U22" s="66">
        <f>IF($AB22="TGD",ROUND($E22*(1+$AD22)^(U$4-$E$4),0),IF($AB22="ALTH",ROUND($AE22+$AF22*U$4,0),IF($AB22="IR",ROUND(Proyeccion_Localidades!AR22,0),IF($AB22="RT",ROUND(Proyeccion_Localidades!BO22,0),"*****"))))</f>
        <v>718871</v>
      </c>
      <c r="V22" s="66">
        <f>IF($AB22="TGD",ROUND($E22*(1+$AD22)^(V$4-$E$4),0),IF($AB22="ALTH",ROUND($AE22+$AF22*V$4,0),IF($AB22="IR",ROUND(Proyeccion_Localidades!AS22,0),IF($AB22="RT",ROUND(Proyeccion_Localidades!BP22,0),"*****"))))</f>
        <v>724086</v>
      </c>
      <c r="W22" s="66">
        <f>IF($AB22="TGD",ROUND($E22*(1+$AD22)^(W$4-$E$4),0),IF($AB22="ALTH",ROUND($AE22+$AF22*W$4,0),IF($AB22="IR",ROUND(Proyeccion_Localidades!AT22,0),IF($AB22="RT",ROUND(Proyeccion_Localidades!BQ22,0),"*****"))))</f>
        <v>729338</v>
      </c>
      <c r="X22" s="66">
        <f>IF($AB22="TGD",ROUND($E22*(1+$AD22)^(X$4-$E$4),0),IF($AB22="ALTH",ROUND($AE22+$AF22*X$4,0),IF($AB22="IR",ROUND(Proyeccion_Localidades!AU22,0),IF($AB22="RT",ROUND(Proyeccion_Localidades!BR22,0),"*****"))))</f>
        <v>734628</v>
      </c>
      <c r="Y22" s="66">
        <f>IF($AB22="TGD",ROUND($E22*(1+$AD22)^(Y$4-$E$4),0),IF($AB22="ALTH",ROUND($AE22+$AF22*Y$4,0),IF($AB22="IR",ROUND(Proyeccion_Localidades!AV22,0),IF($AB22="RT",ROUND(Proyeccion_Localidades!BS22,0),"*****"))))</f>
        <v>739957</v>
      </c>
      <c r="Z22" s="66">
        <f>IF($AB22="TGD",ROUND($E22*(1+$AD22)^(Z$4-$E$4),0),IF($AB22="ALTH",ROUND($AE22+$AF22*Z$4,0),IF($AB22="IR",ROUND(Proyeccion_Localidades!AW22,0),IF($AB22="RT",ROUND(Proyeccion_Localidades!BT22,0),"*****"))))</f>
        <v>745324</v>
      </c>
      <c r="AA22" s="66">
        <f>IF($AB22="TGD",ROUND($E22*(1+$AD22)^(AA$4-$E$4),0),IF($AB22="ALTH",ROUND($AE22+$AF22*AA$4,0),IF($AB22="IR",ROUND(Proyeccion_Localidades!AX22,0),IF($AB22="RT",ROUND(Proyeccion_Localidades!BU22,0),"*****"))))</f>
        <v>750730</v>
      </c>
      <c r="AB22" s="67" t="str">
        <f>Proyeccion_Localidades!N22</f>
        <v>TGD</v>
      </c>
      <c r="AC22" s="68" t="s">
        <v>35</v>
      </c>
      <c r="AD22" s="51">
        <f>IF(AB22="TGD",Proyeccion_Localidades!Z22,"-")</f>
        <v>7.2535222173454317E-3</v>
      </c>
      <c r="AE22" s="51" t="str">
        <f>IF($AB22="ALTH",Proyeccion_Localidades!AA22,"-")</f>
        <v>-</v>
      </c>
      <c r="AF22" s="51" t="str">
        <f>IF($AB22="ALTH",Proyeccion_Localidades!AB22,"-")</f>
        <v>-</v>
      </c>
      <c r="AG22" s="51"/>
      <c r="AH22" s="51"/>
      <c r="AI22" s="66">
        <f t="shared" si="2"/>
        <v>640369</v>
      </c>
    </row>
    <row r="23" spans="1:35" ht="24.95" customHeight="1">
      <c r="A23" s="69" t="str">
        <f>+Proyeccion_Localidades!C23</f>
        <v>San Fernando</v>
      </c>
      <c r="B23" s="70">
        <v>19</v>
      </c>
      <c r="C23" s="71" t="str">
        <f>+Proyeccion_Localidades!B23</f>
        <v>San Fernando</v>
      </c>
      <c r="D23" s="261">
        <f t="shared" si="3"/>
        <v>19</v>
      </c>
      <c r="E23" s="72">
        <f>+Proyeccion_Localidades!F23</f>
        <v>160284</v>
      </c>
      <c r="F23" s="66">
        <f>IF($AB23="TGD",ROUND($E23*(1+$AD23)^(F$4-$E$4),0),IF($AB23="ALTH",ROUND($AE23+$AF23*F$4,0),IF($AB23="IR",ROUND(Proyeccion_Localidades!AC23,0),IF($AB23="RT",ROUND(Proyeccion_Localidades!AZ23,0),"*****"))))</f>
        <v>171263</v>
      </c>
      <c r="G23" s="66">
        <f>IF($AB23="TGD",ROUND($E23*(1+$AD23)^(G$4-$E$4),0),IF($AB23="ALTH",ROUND($AE23+$AF23*G$4,0),IF($AB23="IR",ROUND(Proyeccion_Localidades!AD23,0),IF($AB23="RT",ROUND(Proyeccion_Localidades!BA23,0),"*****"))))</f>
        <v>172268</v>
      </c>
      <c r="H23" s="66">
        <f>IF($AB23="TGD",ROUND($E23*(1+$AD23)^(H$4-$E$4),0),IF($AB23="ALTH",ROUND($AE23+$AF23*H$4,0),IF($AB23="IR",ROUND(Proyeccion_Localidades!AE23,0),IF($AB23="RT",ROUND(Proyeccion_Localidades!BB23,0),"*****"))))</f>
        <v>175286</v>
      </c>
      <c r="I23" s="66">
        <f>IF($AB23="TGD",ROUND($E23*(1+$AD23)^(I$4-$E$4),0),IF($AB23="ALTH",ROUND($AE23+$AF23*I$4,0),IF($AB23="IR",ROUND(Proyeccion_Localidades!AF23,0),IF($AB23="RT",ROUND(Proyeccion_Localidades!BC23,0),"*****"))))</f>
        <v>176292</v>
      </c>
      <c r="J23" s="66">
        <f>IF($AB23="TGD",ROUND($E23*(1+$AD23)^(J$4-$E$4),0),IF($AB23="ALTH",ROUND($AE23+$AF23*J$4,0),IF($AB23="IR",ROUND(Proyeccion_Localidades!AG23,0),IF($AB23="RT",ROUND(Proyeccion_Localidades!BD23,0),"*****"))))</f>
        <v>177298</v>
      </c>
      <c r="K23" s="66">
        <f>IF($AB23="TGD",ROUND($E23*(1+$AD23)^(K$4-$E$4),0),IF($AB23="ALTH",ROUND($AE23+$AF23*K$4,0),IF($AB23="IR",ROUND(Proyeccion_Localidades!AH23,0),IF($AB23="RT",ROUND(Proyeccion_Localidades!BE23,0),"*****"))))</f>
        <v>178304</v>
      </c>
      <c r="L23" s="66">
        <f>IF($AB23="TGD",ROUND($E23*(1+$AD23)^(L$4-$E$4),0),IF($AB23="ALTH",ROUND($AE23+$AF23*L$4,0),IF($AB23="IR",ROUND(Proyeccion_Localidades!AI23,0),IF($AB23="RT",ROUND(Proyeccion_Localidades!BF23,0),"*****"))))</f>
        <v>179310</v>
      </c>
      <c r="M23" s="66">
        <f>IF($AB23="TGD",ROUND($E23*(1+$AD23)^(M$4-$E$4),0),IF($AB23="ALTH",ROUND($AE23+$AF23*M$4,0),IF($AB23="IR",ROUND(Proyeccion_Localidades!AJ23,0),IF($AB23="RT",ROUND(Proyeccion_Localidades!BG23,0),"*****"))))</f>
        <v>180315</v>
      </c>
      <c r="N23" s="66">
        <f>IF($AB23="TGD",ROUND($E23*(1+$AD23)^(N$4-$E$4),0),IF($AB23="ALTH",ROUND($AE23+$AF23*N$4,0),IF($AB23="IR",ROUND(Proyeccion_Localidades!AK23,0),IF($AB23="RT",ROUND(Proyeccion_Localidades!BH23,0),"*****"))))</f>
        <v>181321</v>
      </c>
      <c r="O23" s="66">
        <f>IF($AB23="TGD",ROUND($E23*(1+$AD23)^(O$4-$E$4),0),IF($AB23="ALTH",ROUND($AE23+$AF23*O$4,0),IF($AB23="IR",ROUND(Proyeccion_Localidades!AL23,0),IF($AB23="RT",ROUND(Proyeccion_Localidades!BI23,0),"*****"))))</f>
        <v>182327</v>
      </c>
      <c r="P23" s="66">
        <f>IF($AB23="TGD",ROUND($E23*(1+$AD23)^(P$4-$E$4),0),IF($AB23="ALTH",ROUND($AE23+$AF23*P$4,0),IF($AB23="IR",ROUND(Proyeccion_Localidades!AM23,0),IF($AB23="RT",ROUND(Proyeccion_Localidades!BJ23,0),"*****"))))</f>
        <v>183333</v>
      </c>
      <c r="Q23" s="66">
        <f>IF($AB23="TGD",ROUND($E23*(1+$AD23)^(Q$4-$E$4),0),IF($AB23="ALTH",ROUND($AE23+$AF23*Q$4,0),IF($AB23="IR",ROUND(Proyeccion_Localidades!AN23,0),IF($AB23="RT",ROUND(Proyeccion_Localidades!BK23,0),"*****"))))</f>
        <v>184339</v>
      </c>
      <c r="R23" s="66">
        <f>IF($AB23="TGD",ROUND($E23*(1+$AD23)^(R$4-$E$4),0),IF($AB23="ALTH",ROUND($AE23+$AF23*R$4,0),IF($AB23="IR",ROUND(Proyeccion_Localidades!AO23,0),IF($AB23="RT",ROUND(Proyeccion_Localidades!BL23,0),"*****"))))</f>
        <v>185345</v>
      </c>
      <c r="S23" s="66">
        <f>IF($AB23="TGD",ROUND($E23*(1+$AD23)^(S$4-$E$4),0),IF($AB23="ALTH",ROUND($AE23+$AF23*S$4,0),IF($AB23="IR",ROUND(Proyeccion_Localidades!AP23,0),IF($AB23="RT",ROUND(Proyeccion_Localidades!BM23,0),"*****"))))</f>
        <v>186351</v>
      </c>
      <c r="T23" s="66">
        <f>IF($AB23="TGD",ROUND($E23*(1+$AD23)^(T$4-$E$4),0),IF($AB23="ALTH",ROUND($AE23+$AF23*T$4,0),IF($AB23="IR",ROUND(Proyeccion_Localidades!AQ23,0),IF($AB23="RT",ROUND(Proyeccion_Localidades!BN23,0),"*****"))))</f>
        <v>187357</v>
      </c>
      <c r="U23" s="66">
        <f>IF($AB23="TGD",ROUND($E23*(1+$AD23)^(U$4-$E$4),0),IF($AB23="ALTH",ROUND($AE23+$AF23*U$4,0),IF($AB23="IR",ROUND(Proyeccion_Localidades!AR23,0),IF($AB23="RT",ROUND(Proyeccion_Localidades!BO23,0),"*****"))))</f>
        <v>188363</v>
      </c>
      <c r="V23" s="66">
        <f>IF($AB23="TGD",ROUND($E23*(1+$AD23)^(V$4-$E$4),0),IF($AB23="ALTH",ROUND($AE23+$AF23*V$4,0),IF($AB23="IR",ROUND(Proyeccion_Localidades!AS23,0),IF($AB23="RT",ROUND(Proyeccion_Localidades!BP23,0),"*****"))))</f>
        <v>189368</v>
      </c>
      <c r="W23" s="66">
        <f>IF($AB23="TGD",ROUND($E23*(1+$AD23)^(W$4-$E$4),0),IF($AB23="ALTH",ROUND($AE23+$AF23*W$4,0),IF($AB23="IR",ROUND(Proyeccion_Localidades!AT23,0),IF($AB23="RT",ROUND(Proyeccion_Localidades!BQ23,0),"*****"))))</f>
        <v>190374</v>
      </c>
      <c r="X23" s="66">
        <f>IF($AB23="TGD",ROUND($E23*(1+$AD23)^(X$4-$E$4),0),IF($AB23="ALTH",ROUND($AE23+$AF23*X$4,0),IF($AB23="IR",ROUND(Proyeccion_Localidades!AU23,0),IF($AB23="RT",ROUND(Proyeccion_Localidades!BR23,0),"*****"))))</f>
        <v>191380</v>
      </c>
      <c r="Y23" s="66">
        <f>IF($AB23="TGD",ROUND($E23*(1+$AD23)^(Y$4-$E$4),0),IF($AB23="ALTH",ROUND($AE23+$AF23*Y$4,0),IF($AB23="IR",ROUND(Proyeccion_Localidades!AV23,0),IF($AB23="RT",ROUND(Proyeccion_Localidades!BS23,0),"*****"))))</f>
        <v>192386</v>
      </c>
      <c r="Z23" s="66">
        <f>IF($AB23="TGD",ROUND($E23*(1+$AD23)^(Z$4-$E$4),0),IF($AB23="ALTH",ROUND($AE23+$AF23*Z$4,0),IF($AB23="IR",ROUND(Proyeccion_Localidades!AW23,0),IF($AB23="RT",ROUND(Proyeccion_Localidades!BT23,0),"*****"))))</f>
        <v>193392</v>
      </c>
      <c r="AA23" s="66">
        <f>IF($AB23="TGD",ROUND($E23*(1+$AD23)^(AA$4-$E$4),0),IF($AB23="ALTH",ROUND($AE23+$AF23*AA$4,0),IF($AB23="IR",ROUND(Proyeccion_Localidades!AX23,0),IF($AB23="RT",ROUND(Proyeccion_Localidades!BU23,0),"*****"))))</f>
        <v>194398</v>
      </c>
      <c r="AB23" s="67" t="str">
        <f>Proyeccion_Localidades!N23</f>
        <v>ALTH</v>
      </c>
      <c r="AC23" s="68" t="s">
        <v>36</v>
      </c>
      <c r="AD23" s="51" t="str">
        <f>IF(AB23="TGD",Proyeccion_Localidades!Z23,"-")</f>
        <v>-</v>
      </c>
      <c r="AE23" s="51">
        <f>IF($AB23="ALTH",Proyeccion_Localidades!AA23,"-")</f>
        <v>-1862634.4501845017</v>
      </c>
      <c r="AF23" s="51">
        <f>IF($AB23="ALTH",Proyeccion_Localidades!AB23,"-")</f>
        <v>1005.8837638376383</v>
      </c>
      <c r="AG23" s="51"/>
      <c r="AH23" s="51"/>
      <c r="AI23" s="66">
        <f t="shared" si="2"/>
        <v>172268</v>
      </c>
    </row>
    <row r="24" spans="1:35" ht="24.95" customHeight="1">
      <c r="A24" s="69" t="str">
        <f>+Proyeccion_Localidades!C24</f>
        <v>San Isidro</v>
      </c>
      <c r="B24" s="70">
        <v>20</v>
      </c>
      <c r="C24" s="71" t="str">
        <f>+Proyeccion_Localidades!B24</f>
        <v>San Isidro</v>
      </c>
      <c r="D24" s="261">
        <f t="shared" si="3"/>
        <v>20</v>
      </c>
      <c r="E24" s="72">
        <f>+Proyeccion_Localidades!F24</f>
        <v>292878</v>
      </c>
      <c r="F24" s="66">
        <f>IF($AB24="TGD",ROUND($E24*(1+$AD24)^(F$4-$E$4),0),IF($AB24="ALTH",ROUND($AE24+$AF24*F$4,0),IF($AB24="IR",ROUND(Proyeccion_Localidades!AC24,0),IF($AB24="RT",ROUND(Proyeccion_Localidades!AZ24,0),"*****"))))</f>
        <v>295938</v>
      </c>
      <c r="G24" s="66">
        <f>IF($AB24="TGD",ROUND($E24*(1+$AD24)^(G$4-$E$4),0),IF($AB24="ALTH",ROUND($AE24+$AF24*G$4,0),IF($AB24="IR",ROUND(Proyeccion_Localidades!AD24,0),IF($AB24="RT",ROUND(Proyeccion_Localidades!BA24,0),"*****"))))</f>
        <v>296221</v>
      </c>
      <c r="H24" s="66">
        <f>IF($AB24="TGD",ROUND($E24*(1+$AD24)^(H$4-$E$4),0),IF($AB24="ALTH",ROUND($AE24+$AF24*H$4,0),IF($AB24="IR",ROUND(Proyeccion_Localidades!AE24,0),IF($AB24="RT",ROUND(Proyeccion_Localidades!BB24,0),"*****"))))</f>
        <v>297098</v>
      </c>
      <c r="I24" s="66">
        <f>IF($AB24="TGD",ROUND($E24*(1+$AD24)^(I$4-$E$4),0),IF($AB24="ALTH",ROUND($AE24+$AF24*I$4,0),IF($AB24="IR",ROUND(Proyeccion_Localidades!AF24,0),IF($AB24="RT",ROUND(Proyeccion_Localidades!BC24,0),"*****"))))</f>
        <v>297400</v>
      </c>
      <c r="J24" s="66">
        <f>IF($AB24="TGD",ROUND($E24*(1+$AD24)^(J$4-$E$4),0),IF($AB24="ALTH",ROUND($AE24+$AF24*J$4,0),IF($AB24="IR",ROUND(Proyeccion_Localidades!AG24,0),IF($AB24="RT",ROUND(Proyeccion_Localidades!BD24,0),"*****"))))</f>
        <v>297706</v>
      </c>
      <c r="K24" s="66">
        <f>IF($AB24="TGD",ROUND($E24*(1+$AD24)^(K$4-$E$4),0),IF($AB24="ALTH",ROUND($AE24+$AF24*K$4,0),IF($AB24="IR",ROUND(Proyeccion_Localidades!AH24,0),IF($AB24="RT",ROUND(Proyeccion_Localidades!BE24,0),"*****"))))</f>
        <v>298018</v>
      </c>
      <c r="L24" s="66">
        <f>IF($AB24="TGD",ROUND($E24*(1+$AD24)^(L$4-$E$4),0),IF($AB24="ALTH",ROUND($AE24+$AF24*L$4,0),IF($AB24="IR",ROUND(Proyeccion_Localidades!AI24,0),IF($AB24="RT",ROUND(Proyeccion_Localidades!BF24,0),"*****"))))</f>
        <v>298335</v>
      </c>
      <c r="M24" s="66">
        <f>IF($AB24="TGD",ROUND($E24*(1+$AD24)^(M$4-$E$4),0),IF($AB24="ALTH",ROUND($AE24+$AF24*M$4,0),IF($AB24="IR",ROUND(Proyeccion_Localidades!AJ24,0),IF($AB24="RT",ROUND(Proyeccion_Localidades!BG24,0),"*****"))))</f>
        <v>298657</v>
      </c>
      <c r="N24" s="66">
        <f>IF($AB24="TGD",ROUND($E24*(1+$AD24)^(N$4-$E$4),0),IF($AB24="ALTH",ROUND($AE24+$AF24*N$4,0),IF($AB24="IR",ROUND(Proyeccion_Localidades!AK24,0),IF($AB24="RT",ROUND(Proyeccion_Localidades!BH24,0),"*****"))))</f>
        <v>298984</v>
      </c>
      <c r="O24" s="66">
        <f>IF($AB24="TGD",ROUND($E24*(1+$AD24)^(O$4-$E$4),0),IF($AB24="ALTH",ROUND($AE24+$AF24*O$4,0),IF($AB24="IR",ROUND(Proyeccion_Localidades!AL24,0),IF($AB24="RT",ROUND(Proyeccion_Localidades!BI24,0),"*****"))))</f>
        <v>299317</v>
      </c>
      <c r="P24" s="66">
        <f>IF($AB24="TGD",ROUND($E24*(1+$AD24)^(P$4-$E$4),0),IF($AB24="ALTH",ROUND($AE24+$AF24*P$4,0),IF($AB24="IR",ROUND(Proyeccion_Localidades!AM24,0),IF($AB24="RT",ROUND(Proyeccion_Localidades!BJ24,0),"*****"))))</f>
        <v>299655</v>
      </c>
      <c r="Q24" s="66">
        <f>IF($AB24="TGD",ROUND($E24*(1+$AD24)^(Q$4-$E$4),0),IF($AB24="ALTH",ROUND($AE24+$AF24*Q$4,0),IF($AB24="IR",ROUND(Proyeccion_Localidades!AN24,0),IF($AB24="RT",ROUND(Proyeccion_Localidades!BK24,0),"*****"))))</f>
        <v>299998</v>
      </c>
      <c r="R24" s="66">
        <f>IF($AB24="TGD",ROUND($E24*(1+$AD24)^(R$4-$E$4),0),IF($AB24="ALTH",ROUND($AE24+$AF24*R$4,0),IF($AB24="IR",ROUND(Proyeccion_Localidades!AO24,0),IF($AB24="RT",ROUND(Proyeccion_Localidades!BL24,0),"*****"))))</f>
        <v>300347</v>
      </c>
      <c r="S24" s="66">
        <f>IF($AB24="TGD",ROUND($E24*(1+$AD24)^(S$4-$E$4),0),IF($AB24="ALTH",ROUND($AE24+$AF24*S$4,0),IF($AB24="IR",ROUND(Proyeccion_Localidades!AP24,0),IF($AB24="RT",ROUND(Proyeccion_Localidades!BM24,0),"*****"))))</f>
        <v>300702</v>
      </c>
      <c r="T24" s="66">
        <f>IF($AB24="TGD",ROUND($E24*(1+$AD24)^(T$4-$E$4),0),IF($AB24="ALTH",ROUND($AE24+$AF24*T$4,0),IF($AB24="IR",ROUND(Proyeccion_Localidades!AQ24,0),IF($AB24="RT",ROUND(Proyeccion_Localidades!BN24,0),"*****"))))</f>
        <v>301063</v>
      </c>
      <c r="U24" s="66">
        <f>IF($AB24="TGD",ROUND($E24*(1+$AD24)^(U$4-$E$4),0),IF($AB24="ALTH",ROUND($AE24+$AF24*U$4,0),IF($AB24="IR",ROUND(Proyeccion_Localidades!AR24,0),IF($AB24="RT",ROUND(Proyeccion_Localidades!BO24,0),"*****"))))</f>
        <v>301429</v>
      </c>
      <c r="V24" s="66">
        <f>IF($AB24="TGD",ROUND($E24*(1+$AD24)^(V$4-$E$4),0),IF($AB24="ALTH",ROUND($AE24+$AF24*V$4,0),IF($AB24="IR",ROUND(Proyeccion_Localidades!AS24,0),IF($AB24="RT",ROUND(Proyeccion_Localidades!BP24,0),"*****"))))</f>
        <v>301802</v>
      </c>
      <c r="W24" s="66">
        <f>IF($AB24="TGD",ROUND($E24*(1+$AD24)^(W$4-$E$4),0),IF($AB24="ALTH",ROUND($AE24+$AF24*W$4,0),IF($AB24="IR",ROUND(Proyeccion_Localidades!AT24,0),IF($AB24="RT",ROUND(Proyeccion_Localidades!BQ24,0),"*****"))))</f>
        <v>302180</v>
      </c>
      <c r="X24" s="66">
        <f>IF($AB24="TGD",ROUND($E24*(1+$AD24)^(X$4-$E$4),0),IF($AB24="ALTH",ROUND($AE24+$AF24*X$4,0),IF($AB24="IR",ROUND(Proyeccion_Localidades!AU24,0),IF($AB24="RT",ROUND(Proyeccion_Localidades!BR24,0),"*****"))))</f>
        <v>302565</v>
      </c>
      <c r="Y24" s="66">
        <f>IF($AB24="TGD",ROUND($E24*(1+$AD24)^(Y$4-$E$4),0),IF($AB24="ALTH",ROUND($AE24+$AF24*Y$4,0),IF($AB24="IR",ROUND(Proyeccion_Localidades!AV24,0),IF($AB24="RT",ROUND(Proyeccion_Localidades!BS24,0),"*****"))))</f>
        <v>302956</v>
      </c>
      <c r="Z24" s="66">
        <f>IF($AB24="TGD",ROUND($E24*(1+$AD24)^(Z$4-$E$4),0),IF($AB24="ALTH",ROUND($AE24+$AF24*Z$4,0),IF($AB24="IR",ROUND(Proyeccion_Localidades!AW24,0),IF($AB24="RT",ROUND(Proyeccion_Localidades!BT24,0),"*****"))))</f>
        <v>303353</v>
      </c>
      <c r="AA24" s="66">
        <f>IF($AB24="TGD",ROUND($E24*(1+$AD24)^(AA$4-$E$4),0),IF($AB24="ALTH",ROUND($AE24+$AF24*AA$4,0),IF($AB24="IR",ROUND(Proyeccion_Localidades!AX24,0),IF($AB24="RT",ROUND(Proyeccion_Localidades!BU24,0),"*****"))))</f>
        <v>303757</v>
      </c>
      <c r="AB24" s="67" t="str">
        <f>Proyeccion_Localidades!N24</f>
        <v>IR</v>
      </c>
      <c r="AC24" s="68"/>
      <c r="AD24" s="51" t="str">
        <f>IF(AB24="TGD",Proyeccion_Localidades!Z24,"-")</f>
        <v>-</v>
      </c>
      <c r="AE24" s="51" t="str">
        <f>IF($AB24="ALTH",Proyeccion_Localidades!AA24,"-")</f>
        <v>-</v>
      </c>
      <c r="AF24" s="51" t="str">
        <f>IF($AB24="ALTH",Proyeccion_Localidades!AB24,"-")</f>
        <v>-</v>
      </c>
      <c r="AG24" s="51"/>
      <c r="AH24" s="51"/>
      <c r="AI24" s="66">
        <f t="shared" si="2"/>
        <v>296221</v>
      </c>
    </row>
    <row r="25" spans="1:35" ht="24.95" customHeight="1">
      <c r="A25" s="69" t="str">
        <f>+Proyeccion_Localidades!C25</f>
        <v>San Miguel</v>
      </c>
      <c r="B25" s="70">
        <v>21</v>
      </c>
      <c r="C25" s="71" t="str">
        <f>+Proyeccion_Localidades!B25</f>
        <v>San Miguel</v>
      </c>
      <c r="D25" s="261">
        <f t="shared" si="3"/>
        <v>21</v>
      </c>
      <c r="E25" s="72">
        <f>+Proyeccion_Localidades!F25</f>
        <v>276190</v>
      </c>
      <c r="F25" s="66">
        <f>IF($AB25="TGD",ROUND($E25*(1+$AD25)^(F$4-$E$4),0),IF($AB25="ALTH",ROUND($AE25+$AF25*F$4,0),IF($AB25="IR",ROUND(Proyeccion_Localidades!AC25,0),IF($AB25="RT",ROUND(Proyeccion_Localidades!AZ25,0),"*****"))))</f>
        <v>327690</v>
      </c>
      <c r="G25" s="66">
        <f>IF($AB25="TGD",ROUND($E25*(1+$AD25)^(G$4-$E$4),0),IF($AB25="ALTH",ROUND($AE25+$AF25*G$4,0),IF($AB25="IR",ROUND(Proyeccion_Localidades!AD25,0),IF($AB25="RT",ROUND(Proyeccion_Localidades!BA25,0),"*****"))))</f>
        <v>332450</v>
      </c>
      <c r="H25" s="66">
        <f>IF($AB25="TGD",ROUND($E25*(1+$AD25)^(H$4-$E$4),0),IF($AB25="ALTH",ROUND($AE25+$AF25*H$4,0),IF($AB25="IR",ROUND(Proyeccion_Localidades!AE25,0),IF($AB25="RT",ROUND(Proyeccion_Localidades!BB25,0),"*****"))))</f>
        <v>347201</v>
      </c>
      <c r="I25" s="66">
        <f>IF($AB25="TGD",ROUND($E25*(1+$AD25)^(I$4-$E$4),0),IF($AB25="ALTH",ROUND($AE25+$AF25*I$4,0),IF($AB25="IR",ROUND(Proyeccion_Localidades!AF25,0),IF($AB25="RT",ROUND(Proyeccion_Localidades!BC25,0),"*****"))))</f>
        <v>352280</v>
      </c>
      <c r="J25" s="66">
        <f>IF($AB25="TGD",ROUND($E25*(1+$AD25)^(J$4-$E$4),0),IF($AB25="ALTH",ROUND($AE25+$AF25*J$4,0),IF($AB25="IR",ROUND(Proyeccion_Localidades!AG25,0),IF($AB25="RT",ROUND(Proyeccion_Localidades!BD25,0),"*****"))))</f>
        <v>357441</v>
      </c>
      <c r="K25" s="66">
        <f>IF($AB25="TGD",ROUND($E25*(1+$AD25)^(K$4-$E$4),0),IF($AB25="ALTH",ROUND($AE25+$AF25*K$4,0),IF($AB25="IR",ROUND(Proyeccion_Localidades!AH25,0),IF($AB25="RT",ROUND(Proyeccion_Localidades!BE25,0),"*****"))))</f>
        <v>362687</v>
      </c>
      <c r="L25" s="66">
        <f>IF($AB25="TGD",ROUND($E25*(1+$AD25)^(L$4-$E$4),0),IF($AB25="ALTH",ROUND($AE25+$AF25*L$4,0),IF($AB25="IR",ROUND(Proyeccion_Localidades!AI25,0),IF($AB25="RT",ROUND(Proyeccion_Localidades!BF25,0),"*****"))))</f>
        <v>368018</v>
      </c>
      <c r="M25" s="66">
        <f>IF($AB25="TGD",ROUND($E25*(1+$AD25)^(M$4-$E$4),0),IF($AB25="ALTH",ROUND($AE25+$AF25*M$4,0),IF($AB25="IR",ROUND(Proyeccion_Localidades!AJ25,0),IF($AB25="RT",ROUND(Proyeccion_Localidades!BG25,0),"*****"))))</f>
        <v>373436</v>
      </c>
      <c r="N25" s="66">
        <f>IF($AB25="TGD",ROUND($E25*(1+$AD25)^(N$4-$E$4),0),IF($AB25="ALTH",ROUND($AE25+$AF25*N$4,0),IF($AB25="IR",ROUND(Proyeccion_Localidades!AK25,0),IF($AB25="RT",ROUND(Proyeccion_Localidades!BH25,0),"*****"))))</f>
        <v>378942</v>
      </c>
      <c r="O25" s="66">
        <f>IF($AB25="TGD",ROUND($E25*(1+$AD25)^(O$4-$E$4),0),IF($AB25="ALTH",ROUND($AE25+$AF25*O$4,0),IF($AB25="IR",ROUND(Proyeccion_Localidades!AL25,0),IF($AB25="RT",ROUND(Proyeccion_Localidades!BI25,0),"*****"))))</f>
        <v>384538</v>
      </c>
      <c r="P25" s="66">
        <f>IF($AB25="TGD",ROUND($E25*(1+$AD25)^(P$4-$E$4),0),IF($AB25="ALTH",ROUND($AE25+$AF25*P$4,0),IF($AB25="IR",ROUND(Proyeccion_Localidades!AM25,0),IF($AB25="RT",ROUND(Proyeccion_Localidades!BJ25,0),"*****"))))</f>
        <v>390226</v>
      </c>
      <c r="Q25" s="66">
        <f>IF($AB25="TGD",ROUND($E25*(1+$AD25)^(Q$4-$E$4),0),IF($AB25="ALTH",ROUND($AE25+$AF25*Q$4,0),IF($AB25="IR",ROUND(Proyeccion_Localidades!AN25,0),IF($AB25="RT",ROUND(Proyeccion_Localidades!BK25,0),"*****"))))</f>
        <v>396006</v>
      </c>
      <c r="R25" s="66">
        <f>IF($AB25="TGD",ROUND($E25*(1+$AD25)^(R$4-$E$4),0),IF($AB25="ALTH",ROUND($AE25+$AF25*R$4,0),IF($AB25="IR",ROUND(Proyeccion_Localidades!AO25,0),IF($AB25="RT",ROUND(Proyeccion_Localidades!BL25,0),"*****"))))</f>
        <v>401881</v>
      </c>
      <c r="S25" s="66">
        <f>IF($AB25="TGD",ROUND($E25*(1+$AD25)^(S$4-$E$4),0),IF($AB25="ALTH",ROUND($AE25+$AF25*S$4,0),IF($AB25="IR",ROUND(Proyeccion_Localidades!AP25,0),IF($AB25="RT",ROUND(Proyeccion_Localidades!BM25,0),"*****"))))</f>
        <v>407851</v>
      </c>
      <c r="T25" s="66">
        <f>IF($AB25="TGD",ROUND($E25*(1+$AD25)^(T$4-$E$4),0),IF($AB25="ALTH",ROUND($AE25+$AF25*T$4,0),IF($AB25="IR",ROUND(Proyeccion_Localidades!AQ25,0),IF($AB25="RT",ROUND(Proyeccion_Localidades!BN25,0),"*****"))))</f>
        <v>413919</v>
      </c>
      <c r="U25" s="66">
        <f>IF($AB25="TGD",ROUND($E25*(1+$AD25)^(U$4-$E$4),0),IF($AB25="ALTH",ROUND($AE25+$AF25*U$4,0),IF($AB25="IR",ROUND(Proyeccion_Localidades!AR25,0),IF($AB25="RT",ROUND(Proyeccion_Localidades!BO25,0),"*****"))))</f>
        <v>420086</v>
      </c>
      <c r="V25" s="66">
        <f>IF($AB25="TGD",ROUND($E25*(1+$AD25)^(V$4-$E$4),0),IF($AB25="ALTH",ROUND($AE25+$AF25*V$4,0),IF($AB25="IR",ROUND(Proyeccion_Localidades!AS25,0),IF($AB25="RT",ROUND(Proyeccion_Localidades!BP25,0),"*****"))))</f>
        <v>426353</v>
      </c>
      <c r="W25" s="66">
        <f>IF($AB25="TGD",ROUND($E25*(1+$AD25)^(W$4-$E$4),0),IF($AB25="ALTH",ROUND($AE25+$AF25*W$4,0),IF($AB25="IR",ROUND(Proyeccion_Localidades!AT25,0),IF($AB25="RT",ROUND(Proyeccion_Localidades!BQ25,0),"*****"))))</f>
        <v>432723</v>
      </c>
      <c r="X25" s="66">
        <f>IF($AB25="TGD",ROUND($E25*(1+$AD25)^(X$4-$E$4),0),IF($AB25="ALTH",ROUND($AE25+$AF25*X$4,0),IF($AB25="IR",ROUND(Proyeccion_Localidades!AU25,0),IF($AB25="RT",ROUND(Proyeccion_Localidades!BR25,0),"*****"))))</f>
        <v>439196</v>
      </c>
      <c r="Y25" s="66">
        <f>IF($AB25="TGD",ROUND($E25*(1+$AD25)^(Y$4-$E$4),0),IF($AB25="ALTH",ROUND($AE25+$AF25*Y$4,0),IF($AB25="IR",ROUND(Proyeccion_Localidades!AV25,0),IF($AB25="RT",ROUND(Proyeccion_Localidades!BS25,0),"*****"))))</f>
        <v>445776</v>
      </c>
      <c r="Z25" s="66">
        <f>IF($AB25="TGD",ROUND($E25*(1+$AD25)^(Z$4-$E$4),0),IF($AB25="ALTH",ROUND($AE25+$AF25*Z$4,0),IF($AB25="IR",ROUND(Proyeccion_Localidades!AW25,0),IF($AB25="RT",ROUND(Proyeccion_Localidades!BT25,0),"*****"))))</f>
        <v>452462</v>
      </c>
      <c r="AA25" s="66">
        <f>IF($AB25="TGD",ROUND($E25*(1+$AD25)^(AA$4-$E$4),0),IF($AB25="ALTH",ROUND($AE25+$AF25*AA$4,0),IF($AB25="IR",ROUND(Proyeccion_Localidades!AX25,0),IF($AB25="RT",ROUND(Proyeccion_Localidades!BU25,0),"*****"))))</f>
        <v>459258</v>
      </c>
      <c r="AB25" s="67" t="str">
        <f>Proyeccion_Localidades!N25</f>
        <v>IR</v>
      </c>
      <c r="AC25" s="68"/>
      <c r="AD25" s="51" t="str">
        <f>IF(AB25="TGD",Proyeccion_Localidades!Z25,"-")</f>
        <v>-</v>
      </c>
      <c r="AE25" s="51" t="str">
        <f>IF($AB25="ALTH",Proyeccion_Localidades!AA25,"-")</f>
        <v>-</v>
      </c>
      <c r="AF25" s="51" t="str">
        <f>IF($AB25="ALTH",Proyeccion_Localidades!AB25,"-")</f>
        <v>-</v>
      </c>
      <c r="AG25" s="51"/>
      <c r="AH25" s="51"/>
      <c r="AI25" s="66">
        <f t="shared" si="2"/>
        <v>332450</v>
      </c>
    </row>
    <row r="26" spans="1:35" ht="24.95" customHeight="1">
      <c r="A26" s="69" t="str">
        <f>+Proyeccion_Localidades!C26</f>
        <v>Tigre</v>
      </c>
      <c r="B26" s="70">
        <v>22</v>
      </c>
      <c r="C26" s="71" t="str">
        <f>+Proyeccion_Localidades!B26</f>
        <v>Tigre</v>
      </c>
      <c r="D26" s="261">
        <f t="shared" si="3"/>
        <v>22</v>
      </c>
      <c r="E26" s="72">
        <f>+Proyeccion_Localidades!F26</f>
        <v>370913</v>
      </c>
      <c r="F26" s="66">
        <f>IF($AB26="TGD",ROUND($E26*(1+$AD26)^(F$4-$E$4),0),IF($AB26="ALTH",ROUND($AE26+$AF26*F$4,0),IF($AB26="IR",ROUND(Proyeccion_Localidades!AC26,0),IF($AB26="RT",ROUND(Proyeccion_Localidades!AZ26,0),"*****"))))</f>
        <v>436959</v>
      </c>
      <c r="G26" s="66">
        <f>IF($AB26="TGD",ROUND($E26*(1+$AD26)^(G$4-$E$4),0),IF($AB26="ALTH",ROUND($AE26+$AF26*G$4,0),IF($AB26="IR",ROUND(Proyeccion_Localidades!AD26,0),IF($AB26="RT",ROUND(Proyeccion_Localidades!BA26,0),"*****"))))</f>
        <v>443038</v>
      </c>
      <c r="H26" s="66">
        <f>IF($AB26="TGD",ROUND($E26*(1+$AD26)^(H$4-$E$4),0),IF($AB26="ALTH",ROUND($AE26+$AF26*H$4,0),IF($AB26="IR",ROUND(Proyeccion_Localidades!AE26,0),IF($AB26="RT",ROUND(Proyeccion_Localidades!BB26,0),"*****"))))</f>
        <v>461275</v>
      </c>
      <c r="I26" s="66">
        <f>IF($AB26="TGD",ROUND($E26*(1+$AD26)^(I$4-$E$4),0),IF($AB26="ALTH",ROUND($AE26+$AF26*I$4,0),IF($AB26="IR",ROUND(Proyeccion_Localidades!AF26,0),IF($AB26="RT",ROUND(Proyeccion_Localidades!BC26,0),"*****"))))</f>
        <v>467354</v>
      </c>
      <c r="J26" s="66">
        <f>IF($AB26="TGD",ROUND($E26*(1+$AD26)^(J$4-$E$4),0),IF($AB26="ALTH",ROUND($AE26+$AF26*J$4,0),IF($AB26="IR",ROUND(Proyeccion_Localidades!AG26,0),IF($AB26="RT",ROUND(Proyeccion_Localidades!BD26,0),"*****"))))</f>
        <v>473433</v>
      </c>
      <c r="K26" s="66">
        <f>IF($AB26="TGD",ROUND($E26*(1+$AD26)^(K$4-$E$4),0),IF($AB26="ALTH",ROUND($AE26+$AF26*K$4,0),IF($AB26="IR",ROUND(Proyeccion_Localidades!AH26,0),IF($AB26="RT",ROUND(Proyeccion_Localidades!BE26,0),"*****"))))</f>
        <v>479512</v>
      </c>
      <c r="L26" s="66">
        <f>IF($AB26="TGD",ROUND($E26*(1+$AD26)^(L$4-$E$4),0),IF($AB26="ALTH",ROUND($AE26+$AF26*L$4,0),IF($AB26="IR",ROUND(Proyeccion_Localidades!AI26,0),IF($AB26="RT",ROUND(Proyeccion_Localidades!BF26,0),"*****"))))</f>
        <v>485591</v>
      </c>
      <c r="M26" s="66">
        <f>IF($AB26="TGD",ROUND($E26*(1+$AD26)^(M$4-$E$4),0),IF($AB26="ALTH",ROUND($AE26+$AF26*M$4,0),IF($AB26="IR",ROUND(Proyeccion_Localidades!AJ26,0),IF($AB26="RT",ROUND(Proyeccion_Localidades!BG26,0),"*****"))))</f>
        <v>491670</v>
      </c>
      <c r="N26" s="66">
        <f>IF($AB26="TGD",ROUND($E26*(1+$AD26)^(N$4-$E$4),0),IF($AB26="ALTH",ROUND($AE26+$AF26*N$4,0),IF($AB26="IR",ROUND(Proyeccion_Localidades!AK26,0),IF($AB26="RT",ROUND(Proyeccion_Localidades!BH26,0),"*****"))))</f>
        <v>497748</v>
      </c>
      <c r="O26" s="66">
        <f>IF($AB26="TGD",ROUND($E26*(1+$AD26)^(O$4-$E$4),0),IF($AB26="ALTH",ROUND($AE26+$AF26*O$4,0),IF($AB26="IR",ROUND(Proyeccion_Localidades!AL26,0),IF($AB26="RT",ROUND(Proyeccion_Localidades!BI26,0),"*****"))))</f>
        <v>503827</v>
      </c>
      <c r="P26" s="66">
        <f>IF($AB26="TGD",ROUND($E26*(1+$AD26)^(P$4-$E$4),0),IF($AB26="ALTH",ROUND($AE26+$AF26*P$4,0),IF($AB26="IR",ROUND(Proyeccion_Localidades!AM26,0),IF($AB26="RT",ROUND(Proyeccion_Localidades!BJ26,0),"*****"))))</f>
        <v>509906</v>
      </c>
      <c r="Q26" s="66">
        <f>IF($AB26="TGD",ROUND($E26*(1+$AD26)^(Q$4-$E$4),0),IF($AB26="ALTH",ROUND($AE26+$AF26*Q$4,0),IF($AB26="IR",ROUND(Proyeccion_Localidades!AN26,0),IF($AB26="RT",ROUND(Proyeccion_Localidades!BK26,0),"*****"))))</f>
        <v>515985</v>
      </c>
      <c r="R26" s="66">
        <f>IF($AB26="TGD",ROUND($E26*(1+$AD26)^(R$4-$E$4),0),IF($AB26="ALTH",ROUND($AE26+$AF26*R$4,0),IF($AB26="IR",ROUND(Proyeccion_Localidades!AO26,0),IF($AB26="RT",ROUND(Proyeccion_Localidades!BL26,0),"*****"))))</f>
        <v>522064</v>
      </c>
      <c r="S26" s="66">
        <f>IF($AB26="TGD",ROUND($E26*(1+$AD26)^(S$4-$E$4),0),IF($AB26="ALTH",ROUND($AE26+$AF26*S$4,0),IF($AB26="IR",ROUND(Proyeccion_Localidades!AP26,0),IF($AB26="RT",ROUND(Proyeccion_Localidades!BM26,0),"*****"))))</f>
        <v>528143</v>
      </c>
      <c r="T26" s="66">
        <f>IF($AB26="TGD",ROUND($E26*(1+$AD26)^(T$4-$E$4),0),IF($AB26="ALTH",ROUND($AE26+$AF26*T$4,0),IF($AB26="IR",ROUND(Proyeccion_Localidades!AQ26,0),IF($AB26="RT",ROUND(Proyeccion_Localidades!BN26,0),"*****"))))</f>
        <v>534222</v>
      </c>
      <c r="U26" s="66">
        <f>IF($AB26="TGD",ROUND($E26*(1+$AD26)^(U$4-$E$4),0),IF($AB26="ALTH",ROUND($AE26+$AF26*U$4,0),IF($AB26="IR",ROUND(Proyeccion_Localidades!AR26,0),IF($AB26="RT",ROUND(Proyeccion_Localidades!BO26,0),"*****"))))</f>
        <v>540301</v>
      </c>
      <c r="V26" s="66">
        <f>IF($AB26="TGD",ROUND($E26*(1+$AD26)^(V$4-$E$4),0),IF($AB26="ALTH",ROUND($AE26+$AF26*V$4,0),IF($AB26="IR",ROUND(Proyeccion_Localidades!AS26,0),IF($AB26="RT",ROUND(Proyeccion_Localidades!BP26,0),"*****"))))</f>
        <v>546380</v>
      </c>
      <c r="W26" s="66">
        <f>IF($AB26="TGD",ROUND($E26*(1+$AD26)^(W$4-$E$4),0),IF($AB26="ALTH",ROUND($AE26+$AF26*W$4,0),IF($AB26="IR",ROUND(Proyeccion_Localidades!AT26,0),IF($AB26="RT",ROUND(Proyeccion_Localidades!BQ26,0),"*****"))))</f>
        <v>552459</v>
      </c>
      <c r="X26" s="66">
        <f>IF($AB26="TGD",ROUND($E26*(1+$AD26)^(X$4-$E$4),0),IF($AB26="ALTH",ROUND($AE26+$AF26*X$4,0),IF($AB26="IR",ROUND(Proyeccion_Localidades!AU26,0),IF($AB26="RT",ROUND(Proyeccion_Localidades!BR26,0),"*****"))))</f>
        <v>558538</v>
      </c>
      <c r="Y26" s="66">
        <f>IF($AB26="TGD",ROUND($E26*(1+$AD26)^(Y$4-$E$4),0),IF($AB26="ALTH",ROUND($AE26+$AF26*Y$4,0),IF($AB26="IR",ROUND(Proyeccion_Localidades!AV26,0),IF($AB26="RT",ROUND(Proyeccion_Localidades!BS26,0),"*****"))))</f>
        <v>564617</v>
      </c>
      <c r="Z26" s="66">
        <f>IF($AB26="TGD",ROUND($E26*(1+$AD26)^(Z$4-$E$4),0),IF($AB26="ALTH",ROUND($AE26+$AF26*Z$4,0),IF($AB26="IR",ROUND(Proyeccion_Localidades!AW26,0),IF($AB26="RT",ROUND(Proyeccion_Localidades!BT26,0),"*****"))))</f>
        <v>570696</v>
      </c>
      <c r="AA26" s="66">
        <f>IF($AB26="TGD",ROUND($E26*(1+$AD26)^(AA$4-$E$4),0),IF($AB26="ALTH",ROUND($AE26+$AF26*AA$4,0),IF($AB26="IR",ROUND(Proyeccion_Localidades!AX26,0),IF($AB26="RT",ROUND(Proyeccion_Localidades!BU26,0),"*****"))))</f>
        <v>576775</v>
      </c>
      <c r="AB26" s="67" t="str">
        <f>Proyeccion_Localidades!N26</f>
        <v>ALTH</v>
      </c>
      <c r="AC26" s="68" t="s">
        <v>36</v>
      </c>
      <c r="AD26" s="51" t="str">
        <f>IF(AB26="TGD",Proyeccion_Localidades!Z26,"-")</f>
        <v>-</v>
      </c>
      <c r="AE26" s="51">
        <f>IF($AB26="ALTH",Proyeccion_Localidades!AA26,"-")</f>
        <v>-11854659.546125464</v>
      </c>
      <c r="AF26" s="51">
        <f>IF($AB26="ALTH",Proyeccion_Localidades!AB26,"-")</f>
        <v>6078.9409594095951</v>
      </c>
      <c r="AG26" s="51"/>
      <c r="AH26" s="51"/>
      <c r="AI26" s="66">
        <f t="shared" si="2"/>
        <v>443038</v>
      </c>
    </row>
    <row r="27" spans="1:35" ht="24.95" customHeight="1">
      <c r="A27" s="69" t="str">
        <f>+Proyeccion_Localidades!C27</f>
        <v>Tres de Febrero</v>
      </c>
      <c r="B27" s="70">
        <v>23</v>
      </c>
      <c r="C27" s="71" t="str">
        <f>+Proyeccion_Localidades!B27</f>
        <v>Tres de Febrero</v>
      </c>
      <c r="D27" s="261">
        <f t="shared" si="3"/>
        <v>23</v>
      </c>
      <c r="E27" s="72">
        <f>+Proyeccion_Localidades!F27</f>
        <v>340071</v>
      </c>
      <c r="F27" s="66">
        <f>IF($AB27="TGD",ROUND($E27*(1+$AD27)^(F$4-$E$4),0),IF($AB27="ALTH",ROUND($AE27+$AF27*F$4,0),IF($AB27="IR",ROUND(Proyeccion_Localidades!AC27,0),IF($AB27="RT",ROUND(Proyeccion_Localidades!AZ27,0),"*****"))))</f>
        <v>348104</v>
      </c>
      <c r="G27" s="66">
        <f>IF($AB27="TGD",ROUND($E27*(1+$AD27)^(G$4-$E$4),0),IF($AB27="ALTH",ROUND($AE27+$AF27*G$4,0),IF($AB27="IR",ROUND(Proyeccion_Localidades!AD27,0),IF($AB27="RT",ROUND(Proyeccion_Localidades!BA27,0),"*****"))))</f>
        <v>348847</v>
      </c>
      <c r="H27" s="66">
        <f>IF($AB27="TGD",ROUND($E27*(1+$AD27)^(H$4-$E$4),0),IF($AB27="ALTH",ROUND($AE27+$AF27*H$4,0),IF($AB27="IR",ROUND(Proyeccion_Localidades!AE27,0),IF($AB27="RT",ROUND(Proyeccion_Localidades!BB27,0),"*****"))))</f>
        <v>351148</v>
      </c>
      <c r="I27" s="66">
        <f>IF($AB27="TGD",ROUND($E27*(1+$AD27)^(I$4-$E$4),0),IF($AB27="ALTH",ROUND($AE27+$AF27*I$4,0),IF($AB27="IR",ROUND(Proyeccion_Localidades!AF27,0),IF($AB27="RT",ROUND(Proyeccion_Localidades!BC27,0),"*****"))))</f>
        <v>351940</v>
      </c>
      <c r="J27" s="66">
        <f>IF($AB27="TGD",ROUND($E27*(1+$AD27)^(J$4-$E$4),0),IF($AB27="ALTH",ROUND($AE27+$AF27*J$4,0),IF($AB27="IR",ROUND(Proyeccion_Localidades!AG27,0),IF($AB27="RT",ROUND(Proyeccion_Localidades!BD27,0),"*****"))))</f>
        <v>352745</v>
      </c>
      <c r="K27" s="66">
        <f>IF($AB27="TGD",ROUND($E27*(1+$AD27)^(K$4-$E$4),0),IF($AB27="ALTH",ROUND($AE27+$AF27*K$4,0),IF($AB27="IR",ROUND(Proyeccion_Localidades!AH27,0),IF($AB27="RT",ROUND(Proyeccion_Localidades!BE27,0),"*****"))))</f>
        <v>353564</v>
      </c>
      <c r="L27" s="66">
        <f>IF($AB27="TGD",ROUND($E27*(1+$AD27)^(L$4-$E$4),0),IF($AB27="ALTH",ROUND($AE27+$AF27*L$4,0),IF($AB27="IR",ROUND(Proyeccion_Localidades!AI27,0),IF($AB27="RT",ROUND(Proyeccion_Localidades!BF27,0),"*****"))))</f>
        <v>354395</v>
      </c>
      <c r="M27" s="66">
        <f>IF($AB27="TGD",ROUND($E27*(1+$AD27)^(M$4-$E$4),0),IF($AB27="ALTH",ROUND($AE27+$AF27*M$4,0),IF($AB27="IR",ROUND(Proyeccion_Localidades!AJ27,0),IF($AB27="RT",ROUND(Proyeccion_Localidades!BG27,0),"*****"))))</f>
        <v>355240</v>
      </c>
      <c r="N27" s="66">
        <f>IF($AB27="TGD",ROUND($E27*(1+$AD27)^(N$4-$E$4),0),IF($AB27="ALTH",ROUND($AE27+$AF27*N$4,0),IF($AB27="IR",ROUND(Proyeccion_Localidades!AK27,0),IF($AB27="RT",ROUND(Proyeccion_Localidades!BH27,0),"*****"))))</f>
        <v>356099</v>
      </c>
      <c r="O27" s="66">
        <f>IF($AB27="TGD",ROUND($E27*(1+$AD27)^(O$4-$E$4),0),IF($AB27="ALTH",ROUND($AE27+$AF27*O$4,0),IF($AB27="IR",ROUND(Proyeccion_Localidades!AL27,0),IF($AB27="RT",ROUND(Proyeccion_Localidades!BI27,0),"*****"))))</f>
        <v>356972</v>
      </c>
      <c r="P27" s="66">
        <f>IF($AB27="TGD",ROUND($E27*(1+$AD27)^(P$4-$E$4),0),IF($AB27="ALTH",ROUND($AE27+$AF27*P$4,0),IF($AB27="IR",ROUND(Proyeccion_Localidades!AM27,0),IF($AB27="RT",ROUND(Proyeccion_Localidades!BJ27,0),"*****"))))</f>
        <v>357859</v>
      </c>
      <c r="Q27" s="66">
        <f>IF($AB27="TGD",ROUND($E27*(1+$AD27)^(Q$4-$E$4),0),IF($AB27="ALTH",ROUND($AE27+$AF27*Q$4,0),IF($AB27="IR",ROUND(Proyeccion_Localidades!AN27,0),IF($AB27="RT",ROUND(Proyeccion_Localidades!BK27,0),"*****"))))</f>
        <v>358761</v>
      </c>
      <c r="R27" s="66">
        <f>IF($AB27="TGD",ROUND($E27*(1+$AD27)^(R$4-$E$4),0),IF($AB27="ALTH",ROUND($AE27+$AF27*R$4,0),IF($AB27="IR",ROUND(Proyeccion_Localidades!AO27,0),IF($AB27="RT",ROUND(Proyeccion_Localidades!BL27,0),"*****"))))</f>
        <v>359678</v>
      </c>
      <c r="S27" s="66">
        <f>IF($AB27="TGD",ROUND($E27*(1+$AD27)^(S$4-$E$4),0),IF($AB27="ALTH",ROUND($AE27+$AF27*S$4,0),IF($AB27="IR",ROUND(Proyeccion_Localidades!AP27,0),IF($AB27="RT",ROUND(Proyeccion_Localidades!BM27,0),"*****"))))</f>
        <v>360609</v>
      </c>
      <c r="T27" s="66">
        <f>IF($AB27="TGD",ROUND($E27*(1+$AD27)^(T$4-$E$4),0),IF($AB27="ALTH",ROUND($AE27+$AF27*T$4,0),IF($AB27="IR",ROUND(Proyeccion_Localidades!AQ27,0),IF($AB27="RT",ROUND(Proyeccion_Localidades!BN27,0),"*****"))))</f>
        <v>361555</v>
      </c>
      <c r="U27" s="66">
        <f>IF($AB27="TGD",ROUND($E27*(1+$AD27)^(U$4-$E$4),0),IF($AB27="ALTH",ROUND($AE27+$AF27*U$4,0),IF($AB27="IR",ROUND(Proyeccion_Localidades!AR27,0),IF($AB27="RT",ROUND(Proyeccion_Localidades!BO27,0),"*****"))))</f>
        <v>362517</v>
      </c>
      <c r="V27" s="66">
        <f>IF($AB27="TGD",ROUND($E27*(1+$AD27)^(V$4-$E$4),0),IF($AB27="ALTH",ROUND($AE27+$AF27*V$4,0),IF($AB27="IR",ROUND(Proyeccion_Localidades!AS27,0),IF($AB27="RT",ROUND(Proyeccion_Localidades!BP27,0),"*****"))))</f>
        <v>363495</v>
      </c>
      <c r="W27" s="66">
        <f>IF($AB27="TGD",ROUND($E27*(1+$AD27)^(W$4-$E$4),0),IF($AB27="ALTH",ROUND($AE27+$AF27*W$4,0),IF($AB27="IR",ROUND(Proyeccion_Localidades!AT27,0),IF($AB27="RT",ROUND(Proyeccion_Localidades!BQ27,0),"*****"))))</f>
        <v>364489</v>
      </c>
      <c r="X27" s="66">
        <f>IF($AB27="TGD",ROUND($E27*(1+$AD27)^(X$4-$E$4),0),IF($AB27="ALTH",ROUND($AE27+$AF27*X$4,0),IF($AB27="IR",ROUND(Proyeccion_Localidades!AU27,0),IF($AB27="RT",ROUND(Proyeccion_Localidades!BR27,0),"*****"))))</f>
        <v>365498</v>
      </c>
      <c r="Y27" s="66">
        <f>IF($AB27="TGD",ROUND($E27*(1+$AD27)^(Y$4-$E$4),0),IF($AB27="ALTH",ROUND($AE27+$AF27*Y$4,0),IF($AB27="IR",ROUND(Proyeccion_Localidades!AV27,0),IF($AB27="RT",ROUND(Proyeccion_Localidades!BS27,0),"*****"))))</f>
        <v>366525</v>
      </c>
      <c r="Z27" s="66">
        <f>IF($AB27="TGD",ROUND($E27*(1+$AD27)^(Z$4-$E$4),0),IF($AB27="ALTH",ROUND($AE27+$AF27*Z$4,0),IF($AB27="IR",ROUND(Proyeccion_Localidades!AW27,0),IF($AB27="RT",ROUND(Proyeccion_Localidades!BT27,0),"*****"))))</f>
        <v>367568</v>
      </c>
      <c r="AA27" s="66">
        <f>IF($AB27="TGD",ROUND($E27*(1+$AD27)^(AA$4-$E$4),0),IF($AB27="ALTH",ROUND($AE27+$AF27*AA$4,0),IF($AB27="IR",ROUND(Proyeccion_Localidades!AX27,0),IF($AB27="RT",ROUND(Proyeccion_Localidades!BU27,0),"*****"))))</f>
        <v>368628</v>
      </c>
      <c r="AB27" s="67" t="str">
        <f>Proyeccion_Localidades!N27</f>
        <v>IR</v>
      </c>
      <c r="AC27" s="68"/>
      <c r="AD27" s="51" t="str">
        <f>IF(AB27="TGD",Proyeccion_Localidades!Z27,"-")</f>
        <v>-</v>
      </c>
      <c r="AE27" s="51" t="str">
        <f>IF($AB27="ALTH",Proyeccion_Localidades!AA27,"-")</f>
        <v>-</v>
      </c>
      <c r="AF27" s="51" t="str">
        <f>IF($AB27="ALTH",Proyeccion_Localidades!AB27,"-")</f>
        <v>-</v>
      </c>
      <c r="AG27" s="51"/>
      <c r="AH27" s="51"/>
      <c r="AI27" s="66">
        <f t="shared" si="2"/>
        <v>348847</v>
      </c>
    </row>
    <row r="28" spans="1:35" ht="24.95" customHeight="1">
      <c r="A28" s="69" t="str">
        <f>+Proyeccion_Localidades!C28</f>
        <v>Vicente López</v>
      </c>
      <c r="B28" s="70">
        <v>24</v>
      </c>
      <c r="C28" s="71" t="str">
        <f>+Proyeccion_Localidades!B28</f>
        <v>Vicente López</v>
      </c>
      <c r="D28" s="261">
        <f t="shared" si="3"/>
        <v>24</v>
      </c>
      <c r="E28" s="72">
        <f>+Proyeccion_Localidades!F28</f>
        <v>269420</v>
      </c>
      <c r="F28" s="66">
        <f>IF($AB28="TGD",ROUND($E28*(1+$AD28)^(F$4-$E$4),0),IF($AB28="ALTH",ROUND($AE28+$AF28*F$4,0),IF($AB28="IR",ROUND(Proyeccion_Localidades!AC28,0),IF($AB28="RT",ROUND(Proyeccion_Localidades!AZ28,0),"*****"))))</f>
        <v>259028</v>
      </c>
      <c r="G28" s="66">
        <f>IF($AB28="TGD",ROUND($E28*(1+$AD28)^(G$4-$E$4),0),IF($AB28="ALTH",ROUND($AE28+$AF28*G$4,0),IF($AB28="IR",ROUND(Proyeccion_Localidades!AD28,0),IF($AB28="RT",ROUND(Proyeccion_Localidades!BA28,0),"*****"))))</f>
        <v>258068</v>
      </c>
      <c r="H28" s="66">
        <f>IF($AB28="TGD",ROUND($E28*(1+$AD28)^(H$4-$E$4),0),IF($AB28="ALTH",ROUND($AE28+$AF28*H$4,0),IF($AB28="IR",ROUND(Proyeccion_Localidades!AE28,0),IF($AB28="RT",ROUND(Proyeccion_Localidades!BB28,0),"*****"))))</f>
        <v>255091</v>
      </c>
      <c r="I28" s="66">
        <f>IF($AB28="TGD",ROUND($E28*(1+$AD28)^(I$4-$E$4),0),IF($AB28="ALTH",ROUND($AE28+$AF28*I$4,0),IF($AB28="IR",ROUND(Proyeccion_Localidades!AF28,0),IF($AB28="RT",ROUND(Proyeccion_Localidades!BC28,0),"*****"))))</f>
        <v>254066</v>
      </c>
      <c r="J28" s="66">
        <f>IF($AB28="TGD",ROUND($E28*(1+$AD28)^(J$4-$E$4),0),IF($AB28="ALTH",ROUND($AE28+$AF28*J$4,0),IF($AB28="IR",ROUND(Proyeccion_Localidades!AG28,0),IF($AB28="RT",ROUND(Proyeccion_Localidades!BD28,0),"*****"))))</f>
        <v>253025</v>
      </c>
      <c r="K28" s="66">
        <f>IF($AB28="TGD",ROUND($E28*(1+$AD28)^(K$4-$E$4),0),IF($AB28="ALTH",ROUND($AE28+$AF28*K$4,0),IF($AB28="IR",ROUND(Proyeccion_Localidades!AH28,0),IF($AB28="RT",ROUND(Proyeccion_Localidades!BE28,0),"*****"))))</f>
        <v>251966</v>
      </c>
      <c r="L28" s="66">
        <f>IF($AB28="TGD",ROUND($E28*(1+$AD28)^(L$4-$E$4),0),IF($AB28="ALTH",ROUND($AE28+$AF28*L$4,0),IF($AB28="IR",ROUND(Proyeccion_Localidades!AI28,0),IF($AB28="RT",ROUND(Proyeccion_Localidades!BF28,0),"*****"))))</f>
        <v>250891</v>
      </c>
      <c r="M28" s="66">
        <f>IF($AB28="TGD",ROUND($E28*(1+$AD28)^(M$4-$E$4),0),IF($AB28="ALTH",ROUND($AE28+$AF28*M$4,0),IF($AB28="IR",ROUND(Proyeccion_Localidades!AJ28,0),IF($AB28="RT",ROUND(Proyeccion_Localidades!BG28,0),"*****"))))</f>
        <v>249797</v>
      </c>
      <c r="N28" s="66">
        <f>IF($AB28="TGD",ROUND($E28*(1+$AD28)^(N$4-$E$4),0),IF($AB28="ALTH",ROUND($AE28+$AF28*N$4,0),IF($AB28="IR",ROUND(Proyeccion_Localidades!AK28,0),IF($AB28="RT",ROUND(Proyeccion_Localidades!BH28,0),"*****"))))</f>
        <v>248686</v>
      </c>
      <c r="O28" s="66">
        <f>IF($AB28="TGD",ROUND($E28*(1+$AD28)^(O$4-$E$4),0),IF($AB28="ALTH",ROUND($AE28+$AF28*O$4,0),IF($AB28="IR",ROUND(Proyeccion_Localidades!AL28,0),IF($AB28="RT",ROUND(Proyeccion_Localidades!BI28,0),"*****"))))</f>
        <v>247557</v>
      </c>
      <c r="P28" s="66">
        <f>IF($AB28="TGD",ROUND($E28*(1+$AD28)^(P$4-$E$4),0),IF($AB28="ALTH",ROUND($AE28+$AF28*P$4,0),IF($AB28="IR",ROUND(Proyeccion_Localidades!AM28,0),IF($AB28="RT",ROUND(Proyeccion_Localidades!BJ28,0),"*****"))))</f>
        <v>246409</v>
      </c>
      <c r="Q28" s="66">
        <f>IF($AB28="TGD",ROUND($E28*(1+$AD28)^(Q$4-$E$4),0),IF($AB28="ALTH",ROUND($AE28+$AF28*Q$4,0),IF($AB28="IR",ROUND(Proyeccion_Localidades!AN28,0),IF($AB28="RT",ROUND(Proyeccion_Localidades!BK28,0),"*****"))))</f>
        <v>245243</v>
      </c>
      <c r="R28" s="66">
        <f>IF($AB28="TGD",ROUND($E28*(1+$AD28)^(R$4-$E$4),0),IF($AB28="ALTH",ROUND($AE28+$AF28*R$4,0),IF($AB28="IR",ROUND(Proyeccion_Localidades!AO28,0),IF($AB28="RT",ROUND(Proyeccion_Localidades!BL28,0),"*****"))))</f>
        <v>244058</v>
      </c>
      <c r="S28" s="66">
        <f>IF($AB28="TGD",ROUND($E28*(1+$AD28)^(S$4-$E$4),0),IF($AB28="ALTH",ROUND($AE28+$AF28*S$4,0),IF($AB28="IR",ROUND(Proyeccion_Localidades!AP28,0),IF($AB28="RT",ROUND(Proyeccion_Localidades!BM28,0),"*****"))))</f>
        <v>242853</v>
      </c>
      <c r="T28" s="66">
        <f>IF($AB28="TGD",ROUND($E28*(1+$AD28)^(T$4-$E$4),0),IF($AB28="ALTH",ROUND($AE28+$AF28*T$4,0),IF($AB28="IR",ROUND(Proyeccion_Localidades!AQ28,0),IF($AB28="RT",ROUND(Proyeccion_Localidades!BN28,0),"*****"))))</f>
        <v>241629</v>
      </c>
      <c r="U28" s="66">
        <f>IF($AB28="TGD",ROUND($E28*(1+$AD28)^(U$4-$E$4),0),IF($AB28="ALTH",ROUND($AE28+$AF28*U$4,0),IF($AB28="IR",ROUND(Proyeccion_Localidades!AR28,0),IF($AB28="RT",ROUND(Proyeccion_Localidades!BO28,0),"*****"))))</f>
        <v>240384</v>
      </c>
      <c r="V28" s="66">
        <f>IF($AB28="TGD",ROUND($E28*(1+$AD28)^(V$4-$E$4),0),IF($AB28="ALTH",ROUND($AE28+$AF28*V$4,0),IF($AB28="IR",ROUND(Proyeccion_Localidades!AS28,0),IF($AB28="RT",ROUND(Proyeccion_Localidades!BP28,0),"*****"))))</f>
        <v>239120</v>
      </c>
      <c r="W28" s="66">
        <f>IF($AB28="TGD",ROUND($E28*(1+$AD28)^(W$4-$E$4),0),IF($AB28="ALTH",ROUND($AE28+$AF28*W$4,0),IF($AB28="IR",ROUND(Proyeccion_Localidades!AT28,0),IF($AB28="RT",ROUND(Proyeccion_Localidades!BQ28,0),"*****"))))</f>
        <v>237834</v>
      </c>
      <c r="X28" s="66">
        <f>IF($AB28="TGD",ROUND($E28*(1+$AD28)^(X$4-$E$4),0),IF($AB28="ALTH",ROUND($AE28+$AF28*X$4,0),IF($AB28="IR",ROUND(Proyeccion_Localidades!AU28,0),IF($AB28="RT",ROUND(Proyeccion_Localidades!BR28,0),"*****"))))</f>
        <v>236528</v>
      </c>
      <c r="Y28" s="66">
        <f>IF($AB28="TGD",ROUND($E28*(1+$AD28)^(Y$4-$E$4),0),IF($AB28="ALTH",ROUND($AE28+$AF28*Y$4,0),IF($AB28="IR",ROUND(Proyeccion_Localidades!AV28,0),IF($AB28="RT",ROUND(Proyeccion_Localidades!BS28,0),"*****"))))</f>
        <v>235200</v>
      </c>
      <c r="Z28" s="66">
        <f>IF($AB28="TGD",ROUND($E28*(1+$AD28)^(Z$4-$E$4),0),IF($AB28="ALTH",ROUND($AE28+$AF28*Z$4,0),IF($AB28="IR",ROUND(Proyeccion_Localidades!AW28,0),IF($AB28="RT",ROUND(Proyeccion_Localidades!BT28,0),"*****"))))</f>
        <v>233851</v>
      </c>
      <c r="AA28" s="66">
        <f>IF($AB28="TGD",ROUND($E28*(1+$AD28)^(AA$4-$E$4),0),IF($AB28="ALTH",ROUND($AE28+$AF28*AA$4,0),IF($AB28="IR",ROUND(Proyeccion_Localidades!AX28,0),IF($AB28="RT",ROUND(Proyeccion_Localidades!BU28,0),"*****"))))</f>
        <v>232480</v>
      </c>
      <c r="AB28" s="67" t="str">
        <f>Proyeccion_Localidades!N28</f>
        <v>IR</v>
      </c>
      <c r="AC28" s="68"/>
      <c r="AD28" s="51" t="str">
        <f>IF(AB28="TGD",Proyeccion_Localidades!Z28,"-")</f>
        <v>-</v>
      </c>
      <c r="AE28" s="51" t="str">
        <f>IF($AB28="ALTH",Proyeccion_Localidades!AA28,"-")</f>
        <v>-</v>
      </c>
      <c r="AF28" s="51" t="str">
        <f>IF($AB28="ALTH",Proyeccion_Localidades!AB28,"-")</f>
        <v>-</v>
      </c>
      <c r="AG28" s="51"/>
      <c r="AH28" s="51"/>
      <c r="AI28" s="66">
        <f t="shared" si="2"/>
        <v>258068</v>
      </c>
    </row>
    <row r="29" spans="1:35" ht="24.95" customHeight="1">
      <c r="A29" s="69" t="str">
        <f>+Proyeccion_Localidades!C29</f>
        <v>25 de Mayo</v>
      </c>
      <c r="B29" s="70">
        <v>25</v>
      </c>
      <c r="C29" s="71" t="str">
        <f>+Proyeccion_Localidades!B29</f>
        <v>25 de Mayo</v>
      </c>
      <c r="D29" s="261">
        <f t="shared" si="3"/>
        <v>25</v>
      </c>
      <c r="E29" s="72">
        <f>+Proyeccion_Localidades!F29</f>
        <v>23408</v>
      </c>
      <c r="F29" s="66">
        <f>IF($AB29="TGD",ROUND($E29*(1+$AD29)^(F$4-$E$4),0),IF($AB29="ALTH",ROUND($AE29+$AF29*F$4,0),IF($AB29="IR",ROUND(Proyeccion_Localidades!AC29,0),IF($AB29="RT",ROUND(Proyeccion_Localidades!AZ29,0),"*****"))))</f>
        <v>24558</v>
      </c>
      <c r="G29" s="66">
        <f>IF($AB29="TGD",ROUND($E29*(1+$AD29)^(G$4-$E$4),0),IF($AB29="ALTH",ROUND($AE29+$AF29*G$4,0),IF($AB29="IR",ROUND(Proyeccion_Localidades!AD29,0),IF($AB29="RT",ROUND(Proyeccion_Localidades!BA29,0),"*****"))))</f>
        <v>24656</v>
      </c>
      <c r="H29" s="66">
        <f>IF($AB29="TGD",ROUND($E29*(1+$AD29)^(H$4-$E$4),0),IF($AB29="ALTH",ROUND($AE29+$AF29*H$4,0),IF($AB29="IR",ROUND(Proyeccion_Localidades!AE29,0),IF($AB29="RT",ROUND(Proyeccion_Localidades!BB29,0),"*****"))))</f>
        <v>24954</v>
      </c>
      <c r="I29" s="66">
        <f>IF($AB29="TGD",ROUND($E29*(1+$AD29)^(I$4-$E$4),0),IF($AB29="ALTH",ROUND($AE29+$AF29*I$4,0),IF($AB29="IR",ROUND(Proyeccion_Localidades!AF29,0),IF($AB29="RT",ROUND(Proyeccion_Localidades!BC29,0),"*****"))))</f>
        <v>25054</v>
      </c>
      <c r="J29" s="66">
        <f>IF($AB29="TGD",ROUND($E29*(1+$AD29)^(J$4-$E$4),0),IF($AB29="ALTH",ROUND($AE29+$AF29*J$4,0),IF($AB29="IR",ROUND(Proyeccion_Localidades!AG29,0),IF($AB29="RT",ROUND(Proyeccion_Localidades!BD29,0),"*****"))))</f>
        <v>25154</v>
      </c>
      <c r="K29" s="66">
        <f>IF($AB29="TGD",ROUND($E29*(1+$AD29)^(K$4-$E$4),0),IF($AB29="ALTH",ROUND($AE29+$AF29*K$4,0),IF($AB29="IR",ROUND(Proyeccion_Localidades!AH29,0),IF($AB29="RT",ROUND(Proyeccion_Localidades!BE29,0),"*****"))))</f>
        <v>25255</v>
      </c>
      <c r="L29" s="66">
        <f>IF($AB29="TGD",ROUND($E29*(1+$AD29)^(L$4-$E$4),0),IF($AB29="ALTH",ROUND($AE29+$AF29*L$4,0),IF($AB29="IR",ROUND(Proyeccion_Localidades!AI29,0),IF($AB29="RT",ROUND(Proyeccion_Localidades!BF29,0),"*****"))))</f>
        <v>25356</v>
      </c>
      <c r="M29" s="66">
        <f>IF($AB29="TGD",ROUND($E29*(1+$AD29)^(M$4-$E$4),0),IF($AB29="ALTH",ROUND($AE29+$AF29*M$4,0),IF($AB29="IR",ROUND(Proyeccion_Localidades!AJ29,0),IF($AB29="RT",ROUND(Proyeccion_Localidades!BG29,0),"*****"))))</f>
        <v>25457</v>
      </c>
      <c r="N29" s="66">
        <f>IF($AB29="TGD",ROUND($E29*(1+$AD29)^(N$4-$E$4),0),IF($AB29="ALTH",ROUND($AE29+$AF29*N$4,0),IF($AB29="IR",ROUND(Proyeccion_Localidades!AK29,0),IF($AB29="RT",ROUND(Proyeccion_Localidades!BH29,0),"*****"))))</f>
        <v>25559</v>
      </c>
      <c r="O29" s="66">
        <f>IF($AB29="TGD",ROUND($E29*(1+$AD29)^(O$4-$E$4),0),IF($AB29="ALTH",ROUND($AE29+$AF29*O$4,0),IF($AB29="IR",ROUND(Proyeccion_Localidades!AL29,0),IF($AB29="RT",ROUND(Proyeccion_Localidades!BI29,0),"*****"))))</f>
        <v>25662</v>
      </c>
      <c r="P29" s="66">
        <f>IF($AB29="TGD",ROUND($E29*(1+$AD29)^(P$4-$E$4),0),IF($AB29="ALTH",ROUND($AE29+$AF29*P$4,0),IF($AB29="IR",ROUND(Proyeccion_Localidades!AM29,0),IF($AB29="RT",ROUND(Proyeccion_Localidades!BJ29,0),"*****"))))</f>
        <v>25764</v>
      </c>
      <c r="Q29" s="66">
        <f>IF($AB29="TGD",ROUND($E29*(1+$AD29)^(Q$4-$E$4),0),IF($AB29="ALTH",ROUND($AE29+$AF29*Q$4,0),IF($AB29="IR",ROUND(Proyeccion_Localidades!AN29,0),IF($AB29="RT",ROUND(Proyeccion_Localidades!BK29,0),"*****"))))</f>
        <v>25868</v>
      </c>
      <c r="R29" s="66">
        <f>IF($AB29="TGD",ROUND($E29*(1+$AD29)^(R$4-$E$4),0),IF($AB29="ALTH",ROUND($AE29+$AF29*R$4,0),IF($AB29="IR",ROUND(Proyeccion_Localidades!AO29,0),IF($AB29="RT",ROUND(Proyeccion_Localidades!BL29,0),"*****"))))</f>
        <v>25971</v>
      </c>
      <c r="S29" s="66">
        <f>IF($AB29="TGD",ROUND($E29*(1+$AD29)^(S$4-$E$4),0),IF($AB29="ALTH",ROUND($AE29+$AF29*S$4,0),IF($AB29="IR",ROUND(Proyeccion_Localidades!AP29,0),IF($AB29="RT",ROUND(Proyeccion_Localidades!BM29,0),"*****"))))</f>
        <v>26075</v>
      </c>
      <c r="T29" s="66">
        <f>IF($AB29="TGD",ROUND($E29*(1+$AD29)^(T$4-$E$4),0),IF($AB29="ALTH",ROUND($AE29+$AF29*T$4,0),IF($AB29="IR",ROUND(Proyeccion_Localidades!AQ29,0),IF($AB29="RT",ROUND(Proyeccion_Localidades!BN29,0),"*****"))))</f>
        <v>26180</v>
      </c>
      <c r="U29" s="66">
        <f>IF($AB29="TGD",ROUND($E29*(1+$AD29)^(U$4-$E$4),0),IF($AB29="ALTH",ROUND($AE29+$AF29*U$4,0),IF($AB29="IR",ROUND(Proyeccion_Localidades!AR29,0),IF($AB29="RT",ROUND(Proyeccion_Localidades!BO29,0),"*****"))))</f>
        <v>26284</v>
      </c>
      <c r="V29" s="66">
        <f>IF($AB29="TGD",ROUND($E29*(1+$AD29)^(V$4-$E$4),0),IF($AB29="ALTH",ROUND($AE29+$AF29*V$4,0),IF($AB29="IR",ROUND(Proyeccion_Localidades!AS29,0),IF($AB29="RT",ROUND(Proyeccion_Localidades!BP29,0),"*****"))))</f>
        <v>26390</v>
      </c>
      <c r="W29" s="66">
        <f>IF($AB29="TGD",ROUND($E29*(1+$AD29)^(W$4-$E$4),0),IF($AB29="ALTH",ROUND($AE29+$AF29*W$4,0),IF($AB29="IR",ROUND(Proyeccion_Localidades!AT29,0),IF($AB29="RT",ROUND(Proyeccion_Localidades!BQ29,0),"*****"))))</f>
        <v>26495</v>
      </c>
      <c r="X29" s="66">
        <f>IF($AB29="TGD",ROUND($E29*(1+$AD29)^(X$4-$E$4),0),IF($AB29="ALTH",ROUND($AE29+$AF29*X$4,0),IF($AB29="IR",ROUND(Proyeccion_Localidades!AU29,0),IF($AB29="RT",ROUND(Proyeccion_Localidades!BR29,0),"*****"))))</f>
        <v>26602</v>
      </c>
      <c r="Y29" s="66">
        <f>IF($AB29="TGD",ROUND($E29*(1+$AD29)^(Y$4-$E$4),0),IF($AB29="ALTH",ROUND($AE29+$AF29*Y$4,0),IF($AB29="IR",ROUND(Proyeccion_Localidades!AV29,0),IF($AB29="RT",ROUND(Proyeccion_Localidades!BS29,0),"*****"))))</f>
        <v>26708</v>
      </c>
      <c r="Z29" s="66">
        <f>IF($AB29="TGD",ROUND($E29*(1+$AD29)^(Z$4-$E$4),0),IF($AB29="ALTH",ROUND($AE29+$AF29*Z$4,0),IF($AB29="IR",ROUND(Proyeccion_Localidades!AW29,0),IF($AB29="RT",ROUND(Proyeccion_Localidades!BT29,0),"*****"))))</f>
        <v>26815</v>
      </c>
      <c r="AA29" s="66">
        <f>IF($AB29="TGD",ROUND($E29*(1+$AD29)^(AA$4-$E$4),0),IF($AB29="ALTH",ROUND($AE29+$AF29*AA$4,0),IF($AB29="IR",ROUND(Proyeccion_Localidades!AX29,0),IF($AB29="RT",ROUND(Proyeccion_Localidades!BU29,0),"*****"))))</f>
        <v>26922</v>
      </c>
      <c r="AB29" s="67" t="str">
        <f>Proyeccion_Localidades!N29</f>
        <v>TGD</v>
      </c>
      <c r="AC29" s="68" t="s">
        <v>35</v>
      </c>
      <c r="AD29" s="51">
        <f>IF(AB29="TGD",Proyeccion_Localidades!Z29,"-")</f>
        <v>4.0045523840932518E-3</v>
      </c>
      <c r="AE29" s="51" t="str">
        <f>IF($AB29="ALTH",Proyeccion_Localidades!AA29,"-")</f>
        <v>-</v>
      </c>
      <c r="AF29" s="51" t="str">
        <f>IF($AB29="ALTH",Proyeccion_Localidades!AB29,"-")</f>
        <v>-</v>
      </c>
      <c r="AG29" s="51"/>
      <c r="AH29" s="51"/>
      <c r="AI29" s="66">
        <f t="shared" si="2"/>
        <v>24656</v>
      </c>
    </row>
    <row r="30" spans="1:35" ht="24.95" customHeight="1">
      <c r="A30" s="69" t="str">
        <f>+Proyeccion_Localidades!C30</f>
        <v>9 de Julio</v>
      </c>
      <c r="B30" s="70">
        <v>26</v>
      </c>
      <c r="C30" s="71" t="str">
        <f>+Proyeccion_Localidades!B30</f>
        <v>9 de Julio</v>
      </c>
      <c r="D30" s="261">
        <f t="shared" si="3"/>
        <v>26</v>
      </c>
      <c r="E30" s="72">
        <f>+Proyeccion_Localidades!F30</f>
        <v>36494</v>
      </c>
      <c r="F30" s="66">
        <f>IF($AB30="TGD",ROUND($E30*(1+$AD30)^(F$4-$E$4),0),IF($AB30="ALTH",ROUND($AE30+$AF30*F$4,0),IF($AB30="IR",ROUND(Proyeccion_Localidades!AC30,0),IF($AB30="RT",ROUND(Proyeccion_Localidades!AZ30,0),"*****"))))</f>
        <v>40655</v>
      </c>
      <c r="G30" s="66">
        <f>IF($AB30="TGD",ROUND($E30*(1+$AD30)^(G$4-$E$4),0),IF($AB30="ALTH",ROUND($AE30+$AF30*G$4,0),IF($AB30="IR",ROUND(Proyeccion_Localidades!AD30,0),IF($AB30="RT",ROUND(Proyeccion_Localidades!BA30,0),"*****"))))</f>
        <v>40980</v>
      </c>
      <c r="H30" s="66">
        <f>IF($AB30="TGD",ROUND($E30*(1+$AD30)^(H$4-$E$4),0),IF($AB30="ALTH",ROUND($AE30+$AF30*H$4,0),IF($AB30="IR",ROUND(Proyeccion_Localidades!AE30,0),IF($AB30="RT",ROUND(Proyeccion_Localidades!BB30,0),"*****"))))</f>
        <v>41953</v>
      </c>
      <c r="I30" s="66">
        <f>IF($AB30="TGD",ROUND($E30*(1+$AD30)^(I$4-$E$4),0),IF($AB30="ALTH",ROUND($AE30+$AF30*I$4,0),IF($AB30="IR",ROUND(Proyeccion_Localidades!AF30,0),IF($AB30="RT",ROUND(Proyeccion_Localidades!BC30,0),"*****"))))</f>
        <v>42277</v>
      </c>
      <c r="J30" s="66">
        <f>IF($AB30="TGD",ROUND($E30*(1+$AD30)^(J$4-$E$4),0),IF($AB30="ALTH",ROUND($AE30+$AF30*J$4,0),IF($AB30="IR",ROUND(Proyeccion_Localidades!AG30,0),IF($AB30="RT",ROUND(Proyeccion_Localidades!BD30,0),"*****"))))</f>
        <v>42602</v>
      </c>
      <c r="K30" s="66">
        <f>IF($AB30="TGD",ROUND($E30*(1+$AD30)^(K$4-$E$4),0),IF($AB30="ALTH",ROUND($AE30+$AF30*K$4,0),IF($AB30="IR",ROUND(Proyeccion_Localidades!AH30,0),IF($AB30="RT",ROUND(Proyeccion_Localidades!BE30,0),"*****"))))</f>
        <v>42926</v>
      </c>
      <c r="L30" s="66">
        <f>IF($AB30="TGD",ROUND($E30*(1+$AD30)^(L$4-$E$4),0),IF($AB30="ALTH",ROUND($AE30+$AF30*L$4,0),IF($AB30="IR",ROUND(Proyeccion_Localidades!AI30,0),IF($AB30="RT",ROUND(Proyeccion_Localidades!BF30,0),"*****"))))</f>
        <v>43251</v>
      </c>
      <c r="M30" s="66">
        <f>IF($AB30="TGD",ROUND($E30*(1+$AD30)^(M$4-$E$4),0),IF($AB30="ALTH",ROUND($AE30+$AF30*M$4,0),IF($AB30="IR",ROUND(Proyeccion_Localidades!AJ30,0),IF($AB30="RT",ROUND(Proyeccion_Localidades!BG30,0),"*****"))))</f>
        <v>43575</v>
      </c>
      <c r="N30" s="66">
        <f>IF($AB30="TGD",ROUND($E30*(1+$AD30)^(N$4-$E$4),0),IF($AB30="ALTH",ROUND($AE30+$AF30*N$4,0),IF($AB30="IR",ROUND(Proyeccion_Localidades!AK30,0),IF($AB30="RT",ROUND(Proyeccion_Localidades!BH30,0),"*****"))))</f>
        <v>43900</v>
      </c>
      <c r="O30" s="66">
        <f>IF($AB30="TGD",ROUND($E30*(1+$AD30)^(O$4-$E$4),0),IF($AB30="ALTH",ROUND($AE30+$AF30*O$4,0),IF($AB30="IR",ROUND(Proyeccion_Localidades!AL30,0),IF($AB30="RT",ROUND(Proyeccion_Localidades!BI30,0),"*****"))))</f>
        <v>44224</v>
      </c>
      <c r="P30" s="66">
        <f>IF($AB30="TGD",ROUND($E30*(1+$AD30)^(P$4-$E$4),0),IF($AB30="ALTH",ROUND($AE30+$AF30*P$4,0),IF($AB30="IR",ROUND(Proyeccion_Localidades!AM30,0),IF($AB30="RT",ROUND(Proyeccion_Localidades!BJ30,0),"*****"))))</f>
        <v>44549</v>
      </c>
      <c r="Q30" s="66">
        <f>IF($AB30="TGD",ROUND($E30*(1+$AD30)^(Q$4-$E$4),0),IF($AB30="ALTH",ROUND($AE30+$AF30*Q$4,0),IF($AB30="IR",ROUND(Proyeccion_Localidades!AN30,0),IF($AB30="RT",ROUND(Proyeccion_Localidades!BK30,0),"*****"))))</f>
        <v>44873</v>
      </c>
      <c r="R30" s="66">
        <f>IF($AB30="TGD",ROUND($E30*(1+$AD30)^(R$4-$E$4),0),IF($AB30="ALTH",ROUND($AE30+$AF30*R$4,0),IF($AB30="IR",ROUND(Proyeccion_Localidades!AO30,0),IF($AB30="RT",ROUND(Proyeccion_Localidades!BL30,0),"*****"))))</f>
        <v>45198</v>
      </c>
      <c r="S30" s="66">
        <f>IF($AB30="TGD",ROUND($E30*(1+$AD30)^(S$4-$E$4),0),IF($AB30="ALTH",ROUND($AE30+$AF30*S$4,0),IF($AB30="IR",ROUND(Proyeccion_Localidades!AP30,0),IF($AB30="RT",ROUND(Proyeccion_Localidades!BM30,0),"*****"))))</f>
        <v>45522</v>
      </c>
      <c r="T30" s="66">
        <f>IF($AB30="TGD",ROUND($E30*(1+$AD30)^(T$4-$E$4),0),IF($AB30="ALTH",ROUND($AE30+$AF30*T$4,0),IF($AB30="IR",ROUND(Proyeccion_Localidades!AQ30,0),IF($AB30="RT",ROUND(Proyeccion_Localidades!BN30,0),"*****"))))</f>
        <v>45847</v>
      </c>
      <c r="U30" s="66">
        <f>IF($AB30="TGD",ROUND($E30*(1+$AD30)^(U$4-$E$4),0),IF($AB30="ALTH",ROUND($AE30+$AF30*U$4,0),IF($AB30="IR",ROUND(Proyeccion_Localidades!AR30,0),IF($AB30="RT",ROUND(Proyeccion_Localidades!BO30,0),"*****"))))</f>
        <v>46171</v>
      </c>
      <c r="V30" s="66">
        <f>IF($AB30="TGD",ROUND($E30*(1+$AD30)^(V$4-$E$4),0),IF($AB30="ALTH",ROUND($AE30+$AF30*V$4,0),IF($AB30="IR",ROUND(Proyeccion_Localidades!AS30,0),IF($AB30="RT",ROUND(Proyeccion_Localidades!BP30,0),"*****"))))</f>
        <v>46495</v>
      </c>
      <c r="W30" s="66">
        <f>IF($AB30="TGD",ROUND($E30*(1+$AD30)^(W$4-$E$4),0),IF($AB30="ALTH",ROUND($AE30+$AF30*W$4,0),IF($AB30="IR",ROUND(Proyeccion_Localidades!AT30,0),IF($AB30="RT",ROUND(Proyeccion_Localidades!BQ30,0),"*****"))))</f>
        <v>46820</v>
      </c>
      <c r="X30" s="66">
        <f>IF($AB30="TGD",ROUND($E30*(1+$AD30)^(X$4-$E$4),0),IF($AB30="ALTH",ROUND($AE30+$AF30*X$4,0),IF($AB30="IR",ROUND(Proyeccion_Localidades!AU30,0),IF($AB30="RT",ROUND(Proyeccion_Localidades!BR30,0),"*****"))))</f>
        <v>47144</v>
      </c>
      <c r="Y30" s="66">
        <f>IF($AB30="TGD",ROUND($E30*(1+$AD30)^(Y$4-$E$4),0),IF($AB30="ALTH",ROUND($AE30+$AF30*Y$4,0),IF($AB30="IR",ROUND(Proyeccion_Localidades!AV30,0),IF($AB30="RT",ROUND(Proyeccion_Localidades!BS30,0),"*****"))))</f>
        <v>47469</v>
      </c>
      <c r="Z30" s="66">
        <f>IF($AB30="TGD",ROUND($E30*(1+$AD30)^(Z$4-$E$4),0),IF($AB30="ALTH",ROUND($AE30+$AF30*Z$4,0),IF($AB30="IR",ROUND(Proyeccion_Localidades!AW30,0),IF($AB30="RT",ROUND(Proyeccion_Localidades!BT30,0),"*****"))))</f>
        <v>47793</v>
      </c>
      <c r="AA30" s="66">
        <f>IF($AB30="TGD",ROUND($E30*(1+$AD30)^(AA$4-$E$4),0),IF($AB30="ALTH",ROUND($AE30+$AF30*AA$4,0),IF($AB30="IR",ROUND(Proyeccion_Localidades!AX30,0),IF($AB30="RT",ROUND(Proyeccion_Localidades!BU30,0),"*****"))))</f>
        <v>48118</v>
      </c>
      <c r="AB30" s="67" t="str">
        <f>Proyeccion_Localidades!N30</f>
        <v>ALTH</v>
      </c>
      <c r="AC30" s="68" t="s">
        <v>36</v>
      </c>
      <c r="AD30" s="51" t="str">
        <f>IF(AB30="TGD",Proyeccion_Localidades!Z30,"-")</f>
        <v>-</v>
      </c>
      <c r="AE30" s="51">
        <f>IF($AB30="ALTH",Proyeccion_Localidades!AA30,"-")</f>
        <v>-615405.48339483398</v>
      </c>
      <c r="AF30" s="51">
        <f>IF($AB30="ALTH",Proyeccion_Localidades!AB30,"-")</f>
        <v>324.46125461254616</v>
      </c>
      <c r="AG30" s="51"/>
      <c r="AH30" s="51"/>
      <c r="AI30" s="66">
        <f t="shared" si="2"/>
        <v>40980</v>
      </c>
    </row>
    <row r="31" spans="1:35" ht="24.95" customHeight="1">
      <c r="A31" s="69" t="str">
        <f>+Proyeccion_Localidades!C31</f>
        <v>Adolfo Alsina</v>
      </c>
      <c r="B31" s="70">
        <v>27</v>
      </c>
      <c r="C31" s="71" t="str">
        <f>+Proyeccion_Localidades!B31</f>
        <v>Carhué</v>
      </c>
      <c r="D31" s="261">
        <f t="shared" si="3"/>
        <v>27</v>
      </c>
      <c r="E31" s="72">
        <f>+Proyeccion_Localidades!F31</f>
        <v>9660</v>
      </c>
      <c r="F31" s="66">
        <f>IF($AB31="TGD",ROUND($E31*(1+$AD31)^(F$4-$E$4),0),IF($AB31="ALTH",ROUND($AE31+$AF31*F$4,0),IF($AB31="IR",ROUND(Proyeccion_Localidades!AC31,0),IF($AB31="RT",ROUND(Proyeccion_Localidades!AZ31,0),"*****"))))</f>
        <v>10160</v>
      </c>
      <c r="G31" s="66">
        <f>IF($AB31="TGD",ROUND($E31*(1+$AD31)^(G$4-$E$4),0),IF($AB31="ALTH",ROUND($AE31+$AF31*G$4,0),IF($AB31="IR",ROUND(Proyeccion_Localidades!AD31,0),IF($AB31="RT",ROUND(Proyeccion_Localidades!BA31,0),"*****"))))</f>
        <v>10218</v>
      </c>
      <c r="H31" s="66">
        <f>IF($AB31="TGD",ROUND($E31*(1+$AD31)^(H$4-$E$4),0),IF($AB31="ALTH",ROUND($AE31+$AF31*H$4,0),IF($AB31="IR",ROUND(Proyeccion_Localidades!AE31,0),IF($AB31="RT",ROUND(Proyeccion_Localidades!BB31,0),"*****"))))</f>
        <v>10391</v>
      </c>
      <c r="I31" s="66">
        <f>IF($AB31="TGD",ROUND($E31*(1+$AD31)^(I$4-$E$4),0),IF($AB31="ALTH",ROUND($AE31+$AF31*I$4,0),IF($AB31="IR",ROUND(Proyeccion_Localidades!AF31,0),IF($AB31="RT",ROUND(Proyeccion_Localidades!BC31,0),"*****"))))</f>
        <v>10448</v>
      </c>
      <c r="J31" s="66">
        <f>IF($AB31="TGD",ROUND($E31*(1+$AD31)^(J$4-$E$4),0),IF($AB31="ALTH",ROUND($AE31+$AF31*J$4,0),IF($AB31="IR",ROUND(Proyeccion_Localidades!AG31,0),IF($AB31="RT",ROUND(Proyeccion_Localidades!BD31,0),"*****"))))</f>
        <v>10506</v>
      </c>
      <c r="K31" s="66">
        <f>IF($AB31="TGD",ROUND($E31*(1+$AD31)^(K$4-$E$4),0),IF($AB31="ALTH",ROUND($AE31+$AF31*K$4,0),IF($AB31="IR",ROUND(Proyeccion_Localidades!AH31,0),IF($AB31="RT",ROUND(Proyeccion_Localidades!BE31,0),"*****"))))</f>
        <v>10564</v>
      </c>
      <c r="L31" s="66">
        <f>IF($AB31="TGD",ROUND($E31*(1+$AD31)^(L$4-$E$4),0),IF($AB31="ALTH",ROUND($AE31+$AF31*L$4,0),IF($AB31="IR",ROUND(Proyeccion_Localidades!AI31,0),IF($AB31="RT",ROUND(Proyeccion_Localidades!BF31,0),"*****"))))</f>
        <v>10621</v>
      </c>
      <c r="M31" s="66">
        <f>IF($AB31="TGD",ROUND($E31*(1+$AD31)^(M$4-$E$4),0),IF($AB31="ALTH",ROUND($AE31+$AF31*M$4,0),IF($AB31="IR",ROUND(Proyeccion_Localidades!AJ31,0),IF($AB31="RT",ROUND(Proyeccion_Localidades!BG31,0),"*****"))))</f>
        <v>10679</v>
      </c>
      <c r="N31" s="66">
        <f>IF($AB31="TGD",ROUND($E31*(1+$AD31)^(N$4-$E$4),0),IF($AB31="ALTH",ROUND($AE31+$AF31*N$4,0),IF($AB31="IR",ROUND(Proyeccion_Localidades!AK31,0),IF($AB31="RT",ROUND(Proyeccion_Localidades!BH31,0),"*****"))))</f>
        <v>10737</v>
      </c>
      <c r="O31" s="66">
        <f>IF($AB31="TGD",ROUND($E31*(1+$AD31)^(O$4-$E$4),0),IF($AB31="ALTH",ROUND($AE31+$AF31*O$4,0),IF($AB31="IR",ROUND(Proyeccion_Localidades!AL31,0),IF($AB31="RT",ROUND(Proyeccion_Localidades!BI31,0),"*****"))))</f>
        <v>10794</v>
      </c>
      <c r="P31" s="66">
        <f>IF($AB31="TGD",ROUND($E31*(1+$AD31)^(P$4-$E$4),0),IF($AB31="ALTH",ROUND($AE31+$AF31*P$4,0),IF($AB31="IR",ROUND(Proyeccion_Localidades!AM31,0),IF($AB31="RT",ROUND(Proyeccion_Localidades!BJ31,0),"*****"))))</f>
        <v>10852</v>
      </c>
      <c r="Q31" s="66">
        <f>IF($AB31="TGD",ROUND($E31*(1+$AD31)^(Q$4-$E$4),0),IF($AB31="ALTH",ROUND($AE31+$AF31*Q$4,0),IF($AB31="IR",ROUND(Proyeccion_Localidades!AN31,0),IF($AB31="RT",ROUND(Proyeccion_Localidades!BK31,0),"*****"))))</f>
        <v>10910</v>
      </c>
      <c r="R31" s="66">
        <f>IF($AB31="TGD",ROUND($E31*(1+$AD31)^(R$4-$E$4),0),IF($AB31="ALTH",ROUND($AE31+$AF31*R$4,0),IF($AB31="IR",ROUND(Proyeccion_Localidades!AO31,0),IF($AB31="RT",ROUND(Proyeccion_Localidades!BL31,0),"*****"))))</f>
        <v>10967</v>
      </c>
      <c r="S31" s="66">
        <f>IF($AB31="TGD",ROUND($E31*(1+$AD31)^(S$4-$E$4),0),IF($AB31="ALTH",ROUND($AE31+$AF31*S$4,0),IF($AB31="IR",ROUND(Proyeccion_Localidades!AP31,0),IF($AB31="RT",ROUND(Proyeccion_Localidades!BM31,0),"*****"))))</f>
        <v>11025</v>
      </c>
      <c r="T31" s="66">
        <f>IF($AB31="TGD",ROUND($E31*(1+$AD31)^(T$4-$E$4),0),IF($AB31="ALTH",ROUND($AE31+$AF31*T$4,0),IF($AB31="IR",ROUND(Proyeccion_Localidades!AQ31,0),IF($AB31="RT",ROUND(Proyeccion_Localidades!BN31,0),"*****"))))</f>
        <v>11083</v>
      </c>
      <c r="U31" s="66">
        <f>IF($AB31="TGD",ROUND($E31*(1+$AD31)^(U$4-$E$4),0),IF($AB31="ALTH",ROUND($AE31+$AF31*U$4,0),IF($AB31="IR",ROUND(Proyeccion_Localidades!AR31,0),IF($AB31="RT",ROUND(Proyeccion_Localidades!BO31,0),"*****"))))</f>
        <v>11140</v>
      </c>
      <c r="V31" s="66">
        <f>IF($AB31="TGD",ROUND($E31*(1+$AD31)^(V$4-$E$4),0),IF($AB31="ALTH",ROUND($AE31+$AF31*V$4,0),IF($AB31="IR",ROUND(Proyeccion_Localidades!AS31,0),IF($AB31="RT",ROUND(Proyeccion_Localidades!BP31,0),"*****"))))</f>
        <v>11198</v>
      </c>
      <c r="W31" s="66">
        <f>IF($AB31="TGD",ROUND($E31*(1+$AD31)^(W$4-$E$4),0),IF($AB31="ALTH",ROUND($AE31+$AF31*W$4,0),IF($AB31="IR",ROUND(Proyeccion_Localidades!AT31,0),IF($AB31="RT",ROUND(Proyeccion_Localidades!BQ31,0),"*****"))))</f>
        <v>11256</v>
      </c>
      <c r="X31" s="66">
        <f>IF($AB31="TGD",ROUND($E31*(1+$AD31)^(X$4-$E$4),0),IF($AB31="ALTH",ROUND($AE31+$AF31*X$4,0),IF($AB31="IR",ROUND(Proyeccion_Localidades!AU31,0),IF($AB31="RT",ROUND(Proyeccion_Localidades!BR31,0),"*****"))))</f>
        <v>11314</v>
      </c>
      <c r="Y31" s="66">
        <f>IF($AB31="TGD",ROUND($E31*(1+$AD31)^(Y$4-$E$4),0),IF($AB31="ALTH",ROUND($AE31+$AF31*Y$4,0),IF($AB31="IR",ROUND(Proyeccion_Localidades!AV31,0),IF($AB31="RT",ROUND(Proyeccion_Localidades!BS31,0),"*****"))))</f>
        <v>11371</v>
      </c>
      <c r="Z31" s="66">
        <f>IF($AB31="TGD",ROUND($E31*(1+$AD31)^(Z$4-$E$4),0),IF($AB31="ALTH",ROUND($AE31+$AF31*Z$4,0),IF($AB31="IR",ROUND(Proyeccion_Localidades!AW31,0),IF($AB31="RT",ROUND(Proyeccion_Localidades!BT31,0),"*****"))))</f>
        <v>11429</v>
      </c>
      <c r="AA31" s="66">
        <f>IF($AB31="TGD",ROUND($E31*(1+$AD31)^(AA$4-$E$4),0),IF($AB31="ALTH",ROUND($AE31+$AF31*AA$4,0),IF($AB31="IR",ROUND(Proyeccion_Localidades!AX31,0),IF($AB31="RT",ROUND(Proyeccion_Localidades!BU31,0),"*****"))))</f>
        <v>11487</v>
      </c>
      <c r="AB31" s="67" t="str">
        <f>Proyeccion_Localidades!N31</f>
        <v>ALTH</v>
      </c>
      <c r="AC31" s="68" t="s">
        <v>36</v>
      </c>
      <c r="AD31" s="51" t="str">
        <f>IF(AB31="TGD",Proyeccion_Localidades!Z31,"-")</f>
        <v>-</v>
      </c>
      <c r="AE31" s="51">
        <f>IF($AB31="ALTH",Proyeccion_Localidades!AA31,"-")</f>
        <v>-106455.64575645755</v>
      </c>
      <c r="AF31" s="51">
        <f>IF($AB31="ALTH",Proyeccion_Localidades!AB31,"-")</f>
        <v>57.67343173431734</v>
      </c>
      <c r="AG31" s="51"/>
      <c r="AH31" s="51"/>
      <c r="AI31" s="66">
        <f t="shared" si="2"/>
        <v>10218</v>
      </c>
    </row>
    <row r="32" spans="1:35" ht="24.95" customHeight="1">
      <c r="A32" s="69" t="str">
        <f>+Proyeccion_Localidades!C32</f>
        <v>Adolfo Gonzáles Chaves</v>
      </c>
      <c r="B32" s="70">
        <v>28</v>
      </c>
      <c r="C32" s="71" t="str">
        <f>+Proyeccion_Localidades!B32</f>
        <v>Adolfo Gonzáles Chaves</v>
      </c>
      <c r="D32" s="261">
        <f t="shared" si="3"/>
        <v>28</v>
      </c>
      <c r="E32" s="72">
        <f>+Proyeccion_Localidades!F32</f>
        <v>9066</v>
      </c>
      <c r="F32" s="66">
        <f>IF($AB32="TGD",ROUND($E32*(1+$AD32)^(F$4-$E$4),0),IF($AB32="ALTH",ROUND($AE32+$AF32*F$4,0),IF($AB32="IR",ROUND(Proyeccion_Localidades!AC32,0),IF($AB32="RT",ROUND(Proyeccion_Localidades!AZ32,0),"*****"))))</f>
        <v>9364</v>
      </c>
      <c r="G32" s="66">
        <f>IF($AB32="TGD",ROUND($E32*(1+$AD32)^(G$4-$E$4),0),IF($AB32="ALTH",ROUND($AE32+$AF32*G$4,0),IF($AB32="IR",ROUND(Proyeccion_Localidades!AD32,0),IF($AB32="RT",ROUND(Proyeccion_Localidades!BA32,0),"*****"))))</f>
        <v>9444</v>
      </c>
      <c r="H32" s="66">
        <f>IF($AB32="TGD",ROUND($E32*(1+$AD32)^(H$4-$E$4),0),IF($AB32="ALTH",ROUND($AE32+$AF32*H$4,0),IF($AB32="IR",ROUND(Proyeccion_Localidades!AE32,0),IF($AB32="RT",ROUND(Proyeccion_Localidades!BB32,0),"*****"))))</f>
        <v>9683</v>
      </c>
      <c r="I32" s="66">
        <f>IF($AB32="TGD",ROUND($E32*(1+$AD32)^(I$4-$E$4),0),IF($AB32="ALTH",ROUND($AE32+$AF32*I$4,0),IF($AB32="IR",ROUND(Proyeccion_Localidades!AF32,0),IF($AB32="RT",ROUND(Proyeccion_Localidades!BC32,0),"*****"))))</f>
        <v>9763</v>
      </c>
      <c r="J32" s="66">
        <f>IF($AB32="TGD",ROUND($E32*(1+$AD32)^(J$4-$E$4),0),IF($AB32="ALTH",ROUND($AE32+$AF32*J$4,0),IF($AB32="IR",ROUND(Proyeccion_Localidades!AG32,0),IF($AB32="RT",ROUND(Proyeccion_Localidades!BD32,0),"*****"))))</f>
        <v>9843</v>
      </c>
      <c r="K32" s="66">
        <f>IF($AB32="TGD",ROUND($E32*(1+$AD32)^(K$4-$E$4),0),IF($AB32="ALTH",ROUND($AE32+$AF32*K$4,0),IF($AB32="IR",ROUND(Proyeccion_Localidades!AH32,0),IF($AB32="RT",ROUND(Proyeccion_Localidades!BE32,0),"*****"))))</f>
        <v>9923</v>
      </c>
      <c r="L32" s="66">
        <f>IF($AB32="TGD",ROUND($E32*(1+$AD32)^(L$4-$E$4),0),IF($AB32="ALTH",ROUND($AE32+$AF32*L$4,0),IF($AB32="IR",ROUND(Proyeccion_Localidades!AI32,0),IF($AB32="RT",ROUND(Proyeccion_Localidades!BF32,0),"*****"))))</f>
        <v>10003</v>
      </c>
      <c r="M32" s="66">
        <f>IF($AB32="TGD",ROUND($E32*(1+$AD32)^(M$4-$E$4),0),IF($AB32="ALTH",ROUND($AE32+$AF32*M$4,0),IF($AB32="IR",ROUND(Proyeccion_Localidades!AJ32,0),IF($AB32="RT",ROUND(Proyeccion_Localidades!BG32,0),"*****"))))</f>
        <v>10120</v>
      </c>
      <c r="N32" s="66">
        <f>IF($AB32="TGD",ROUND($E32*(1+$AD32)^(N$4-$E$4),0),IF($AB32="ALTH",ROUND($AE32+$AF32*N$4,0),IF($AB32="IR",ROUND(Proyeccion_Localidades!AK32,0),IF($AB32="RT",ROUND(Proyeccion_Localidades!BH32,0),"*****"))))</f>
        <v>10237</v>
      </c>
      <c r="O32" s="66">
        <f>IF($AB32="TGD",ROUND($E32*(1+$AD32)^(O$4-$E$4),0),IF($AB32="ALTH",ROUND($AE32+$AF32*O$4,0),IF($AB32="IR",ROUND(Proyeccion_Localidades!AL32,0),IF($AB32="RT",ROUND(Proyeccion_Localidades!BI32,0),"*****"))))</f>
        <v>10354</v>
      </c>
      <c r="P32" s="66">
        <f>IF($AB32="TGD",ROUND($E32*(1+$AD32)^(P$4-$E$4),0),IF($AB32="ALTH",ROUND($AE32+$AF32*P$4,0),IF($AB32="IR",ROUND(Proyeccion_Localidades!AM32,0),IF($AB32="RT",ROUND(Proyeccion_Localidades!BJ32,0),"*****"))))</f>
        <v>10471</v>
      </c>
      <c r="Q32" s="66">
        <f>IF($AB32="TGD",ROUND($E32*(1+$AD32)^(Q$4-$E$4),0),IF($AB32="ALTH",ROUND($AE32+$AF32*Q$4,0),IF($AB32="IR",ROUND(Proyeccion_Localidades!AN32,0),IF($AB32="RT",ROUND(Proyeccion_Localidades!BK32,0),"*****"))))</f>
        <v>10588</v>
      </c>
      <c r="R32" s="66">
        <f>IF($AB32="TGD",ROUND($E32*(1+$AD32)^(R$4-$E$4),0),IF($AB32="ALTH",ROUND($AE32+$AF32*R$4,0),IF($AB32="IR",ROUND(Proyeccion_Localidades!AO32,0),IF($AB32="RT",ROUND(Proyeccion_Localidades!BL32,0),"*****"))))</f>
        <v>10705</v>
      </c>
      <c r="S32" s="66">
        <f>IF($AB32="TGD",ROUND($E32*(1+$AD32)^(S$4-$E$4),0),IF($AB32="ALTH",ROUND($AE32+$AF32*S$4,0),IF($AB32="IR",ROUND(Proyeccion_Localidades!AP32,0),IF($AB32="RT",ROUND(Proyeccion_Localidades!BM32,0),"*****"))))</f>
        <v>10822</v>
      </c>
      <c r="T32" s="66">
        <f>IF($AB32="TGD",ROUND($E32*(1+$AD32)^(T$4-$E$4),0),IF($AB32="ALTH",ROUND($AE32+$AF32*T$4,0),IF($AB32="IR",ROUND(Proyeccion_Localidades!AQ32,0),IF($AB32="RT",ROUND(Proyeccion_Localidades!BN32,0),"*****"))))</f>
        <v>10939</v>
      </c>
      <c r="U32" s="66">
        <f>IF($AB32="TGD",ROUND($E32*(1+$AD32)^(U$4-$E$4),0),IF($AB32="ALTH",ROUND($AE32+$AF32*U$4,0),IF($AB32="IR",ROUND(Proyeccion_Localidades!AR32,0),IF($AB32="RT",ROUND(Proyeccion_Localidades!BO32,0),"*****"))))</f>
        <v>11056</v>
      </c>
      <c r="V32" s="66">
        <f>IF($AB32="TGD",ROUND($E32*(1+$AD32)^(V$4-$E$4),0),IF($AB32="ALTH",ROUND($AE32+$AF32*V$4,0),IF($AB32="IR",ROUND(Proyeccion_Localidades!AS32,0),IF($AB32="RT",ROUND(Proyeccion_Localidades!BP32,0),"*****"))))</f>
        <v>11173</v>
      </c>
      <c r="W32" s="66">
        <f>IF($AB32="TGD",ROUND($E32*(1+$AD32)^(W$4-$E$4),0),IF($AB32="ALTH",ROUND($AE32+$AF32*W$4,0),IF($AB32="IR",ROUND(Proyeccion_Localidades!AT32,0),IF($AB32="RT",ROUND(Proyeccion_Localidades!BQ32,0),"*****"))))</f>
        <v>11290</v>
      </c>
      <c r="X32" s="66">
        <f>IF($AB32="TGD",ROUND($E32*(1+$AD32)^(X$4-$E$4),0),IF($AB32="ALTH",ROUND($AE32+$AF32*X$4,0),IF($AB32="IR",ROUND(Proyeccion_Localidades!AU32,0),IF($AB32="RT",ROUND(Proyeccion_Localidades!BR32,0),"*****"))))</f>
        <v>11407</v>
      </c>
      <c r="Y32" s="66">
        <f>IF($AB32="TGD",ROUND($E32*(1+$AD32)^(Y$4-$E$4),0),IF($AB32="ALTH",ROUND($AE32+$AF32*Y$4,0),IF($AB32="IR",ROUND(Proyeccion_Localidades!AV32,0),IF($AB32="RT",ROUND(Proyeccion_Localidades!BS32,0),"*****"))))</f>
        <v>11524</v>
      </c>
      <c r="Z32" s="66">
        <f>IF($AB32="TGD",ROUND($E32*(1+$AD32)^(Z$4-$E$4),0),IF($AB32="ALTH",ROUND($AE32+$AF32*Z$4,0),IF($AB32="IR",ROUND(Proyeccion_Localidades!AW32,0),IF($AB32="RT",ROUND(Proyeccion_Localidades!BT32,0),"*****"))))</f>
        <v>11641</v>
      </c>
      <c r="AA32" s="66">
        <f>IF($AB32="TGD",ROUND($E32*(1+$AD32)^(AA$4-$E$4),0),IF($AB32="ALTH",ROUND($AE32+$AF32*AA$4,0),IF($AB32="IR",ROUND(Proyeccion_Localidades!AX32,0),IF($AB32="RT",ROUND(Proyeccion_Localidades!BU32,0),"*****"))))</f>
        <v>11758</v>
      </c>
      <c r="AB32" s="67" t="str">
        <f>Proyeccion_Localidades!N32</f>
        <v>RT</v>
      </c>
      <c r="AC32" s="73" t="s">
        <v>36</v>
      </c>
      <c r="AD32" s="51" t="str">
        <f>IF(AB32="TGD",Proyeccion_Localidades!Z32,"-")</f>
        <v>-</v>
      </c>
      <c r="AE32" s="51" t="str">
        <f>IF($AB32="ALTH",Proyeccion_Localidades!AA32,"-")</f>
        <v>-</v>
      </c>
      <c r="AF32" s="51" t="str">
        <f>IF($AB32="ALTH",Proyeccion_Localidades!AB32,"-")</f>
        <v>-</v>
      </c>
      <c r="AG32" s="51"/>
      <c r="AH32" s="51"/>
      <c r="AI32" s="66">
        <f t="shared" si="2"/>
        <v>9444</v>
      </c>
    </row>
    <row r="33" spans="1:35" ht="24.95" customHeight="1">
      <c r="A33" s="69" t="str">
        <f>+Proyeccion_Localidades!C33</f>
        <v>Alberti</v>
      </c>
      <c r="B33" s="70">
        <v>29</v>
      </c>
      <c r="C33" s="71" t="str">
        <f>+Proyeccion_Localidades!B33</f>
        <v>Alberti</v>
      </c>
      <c r="D33" s="261">
        <f t="shared" si="3"/>
        <v>29</v>
      </c>
      <c r="E33" s="72">
        <f>+Proyeccion_Localidades!F33</f>
        <v>8260</v>
      </c>
      <c r="F33" s="66">
        <f>IF($AB33="TGD",ROUND($E33*(1+$AD33)^(F$4-$E$4),0),IF($AB33="ALTH",ROUND($AE33+$AF33*F$4,0),IF($AB33="IR",ROUND(Proyeccion_Localidades!AC33,0),IF($AB33="RT",ROUND(Proyeccion_Localidades!AZ33,0),"*****"))))</f>
        <v>9710</v>
      </c>
      <c r="G33" s="66">
        <f>IF($AB33="TGD",ROUND($E33*(1+$AD33)^(G$4-$E$4),0),IF($AB33="ALTH",ROUND($AE33+$AF33*G$4,0),IF($AB33="IR",ROUND(Proyeccion_Localidades!AD33,0),IF($AB33="RT",ROUND(Proyeccion_Localidades!BA33,0),"*****"))))</f>
        <v>9856</v>
      </c>
      <c r="H33" s="66">
        <f>IF($AB33="TGD",ROUND($E33*(1+$AD33)^(H$4-$E$4),0),IF($AB33="ALTH",ROUND($AE33+$AF33*H$4,0),IF($AB33="IR",ROUND(Proyeccion_Localidades!AE33,0),IF($AB33="RT",ROUND(Proyeccion_Localidades!BB33,0),"*****"))))</f>
        <v>10293</v>
      </c>
      <c r="I33" s="66">
        <f>IF($AB33="TGD",ROUND($E33*(1+$AD33)^(I$4-$E$4),0),IF($AB33="ALTH",ROUND($AE33+$AF33*I$4,0),IF($AB33="IR",ROUND(Proyeccion_Localidades!AF33,0),IF($AB33="RT",ROUND(Proyeccion_Localidades!BC33,0),"*****"))))</f>
        <v>10439</v>
      </c>
      <c r="J33" s="66">
        <f>IF($AB33="TGD",ROUND($E33*(1+$AD33)^(J$4-$E$4),0),IF($AB33="ALTH",ROUND($AE33+$AF33*J$4,0),IF($AB33="IR",ROUND(Proyeccion_Localidades!AG33,0),IF($AB33="RT",ROUND(Proyeccion_Localidades!BD33,0),"*****"))))</f>
        <v>10585</v>
      </c>
      <c r="K33" s="66">
        <f>IF($AB33="TGD",ROUND($E33*(1+$AD33)^(K$4-$E$4),0),IF($AB33="ALTH",ROUND($AE33+$AF33*K$4,0),IF($AB33="IR",ROUND(Proyeccion_Localidades!AH33,0),IF($AB33="RT",ROUND(Proyeccion_Localidades!BE33,0),"*****"))))</f>
        <v>10730</v>
      </c>
      <c r="L33" s="66">
        <f>IF($AB33="TGD",ROUND($E33*(1+$AD33)^(L$4-$E$4),0),IF($AB33="ALTH",ROUND($AE33+$AF33*L$4,0),IF($AB33="IR",ROUND(Proyeccion_Localidades!AI33,0),IF($AB33="RT",ROUND(Proyeccion_Localidades!BF33,0),"*****"))))</f>
        <v>10876</v>
      </c>
      <c r="M33" s="66">
        <f>IF($AB33="TGD",ROUND($E33*(1+$AD33)^(M$4-$E$4),0),IF($AB33="ALTH",ROUND($AE33+$AF33*M$4,0),IF($AB33="IR",ROUND(Proyeccion_Localidades!AJ33,0),IF($AB33="RT",ROUND(Proyeccion_Localidades!BG33,0),"*****"))))</f>
        <v>11058</v>
      </c>
      <c r="N33" s="66">
        <f>IF($AB33="TGD",ROUND($E33*(1+$AD33)^(N$4-$E$4),0),IF($AB33="ALTH",ROUND($AE33+$AF33*N$4,0),IF($AB33="IR",ROUND(Proyeccion_Localidades!AK33,0),IF($AB33="RT",ROUND(Proyeccion_Localidades!BH33,0),"*****"))))</f>
        <v>11239</v>
      </c>
      <c r="O33" s="66">
        <f>IF($AB33="TGD",ROUND($E33*(1+$AD33)^(O$4-$E$4),0),IF($AB33="ALTH",ROUND($AE33+$AF33*O$4,0),IF($AB33="IR",ROUND(Proyeccion_Localidades!AL33,0),IF($AB33="RT",ROUND(Proyeccion_Localidades!BI33,0),"*****"))))</f>
        <v>11421</v>
      </c>
      <c r="P33" s="66">
        <f>IF($AB33="TGD",ROUND($E33*(1+$AD33)^(P$4-$E$4),0),IF($AB33="ALTH",ROUND($AE33+$AF33*P$4,0),IF($AB33="IR",ROUND(Proyeccion_Localidades!AM33,0),IF($AB33="RT",ROUND(Proyeccion_Localidades!BJ33,0),"*****"))))</f>
        <v>11603</v>
      </c>
      <c r="Q33" s="66">
        <f>IF($AB33="TGD",ROUND($E33*(1+$AD33)^(Q$4-$E$4),0),IF($AB33="ALTH",ROUND($AE33+$AF33*Q$4,0),IF($AB33="IR",ROUND(Proyeccion_Localidades!AN33,0),IF($AB33="RT",ROUND(Proyeccion_Localidades!BK33,0),"*****"))))</f>
        <v>11785</v>
      </c>
      <c r="R33" s="66">
        <f>IF($AB33="TGD",ROUND($E33*(1+$AD33)^(R$4-$E$4),0),IF($AB33="ALTH",ROUND($AE33+$AF33*R$4,0),IF($AB33="IR",ROUND(Proyeccion_Localidades!AO33,0),IF($AB33="RT",ROUND(Proyeccion_Localidades!BL33,0),"*****"))))</f>
        <v>11966</v>
      </c>
      <c r="S33" s="66">
        <f>IF($AB33="TGD",ROUND($E33*(1+$AD33)^(S$4-$E$4),0),IF($AB33="ALTH",ROUND($AE33+$AF33*S$4,0),IF($AB33="IR",ROUND(Proyeccion_Localidades!AP33,0),IF($AB33="RT",ROUND(Proyeccion_Localidades!BM33,0),"*****"))))</f>
        <v>12148</v>
      </c>
      <c r="T33" s="66">
        <f>IF($AB33="TGD",ROUND($E33*(1+$AD33)^(T$4-$E$4),0),IF($AB33="ALTH",ROUND($AE33+$AF33*T$4,0),IF($AB33="IR",ROUND(Proyeccion_Localidades!AQ33,0),IF($AB33="RT",ROUND(Proyeccion_Localidades!BN33,0),"*****"))))</f>
        <v>12330</v>
      </c>
      <c r="U33" s="66">
        <f>IF($AB33="TGD",ROUND($E33*(1+$AD33)^(U$4-$E$4),0),IF($AB33="ALTH",ROUND($AE33+$AF33*U$4,0),IF($AB33="IR",ROUND(Proyeccion_Localidades!AR33,0),IF($AB33="RT",ROUND(Proyeccion_Localidades!BO33,0),"*****"))))</f>
        <v>12511</v>
      </c>
      <c r="V33" s="66">
        <f>IF($AB33="TGD",ROUND($E33*(1+$AD33)^(V$4-$E$4),0),IF($AB33="ALTH",ROUND($AE33+$AF33*V$4,0),IF($AB33="IR",ROUND(Proyeccion_Localidades!AS33,0),IF($AB33="RT",ROUND(Proyeccion_Localidades!BP33,0),"*****"))))</f>
        <v>12693</v>
      </c>
      <c r="W33" s="66">
        <f>IF($AB33="TGD",ROUND($E33*(1+$AD33)^(W$4-$E$4),0),IF($AB33="ALTH",ROUND($AE33+$AF33*W$4,0),IF($AB33="IR",ROUND(Proyeccion_Localidades!AT33,0),IF($AB33="RT",ROUND(Proyeccion_Localidades!BQ33,0),"*****"))))</f>
        <v>12875</v>
      </c>
      <c r="X33" s="66">
        <f>IF($AB33="TGD",ROUND($E33*(1+$AD33)^(X$4-$E$4),0),IF($AB33="ALTH",ROUND($AE33+$AF33*X$4,0),IF($AB33="IR",ROUND(Proyeccion_Localidades!AU33,0),IF($AB33="RT",ROUND(Proyeccion_Localidades!BR33,0),"*****"))))</f>
        <v>13056</v>
      </c>
      <c r="Y33" s="66">
        <f>IF($AB33="TGD",ROUND($E33*(1+$AD33)^(Y$4-$E$4),0),IF($AB33="ALTH",ROUND($AE33+$AF33*Y$4,0),IF($AB33="IR",ROUND(Proyeccion_Localidades!AV33,0),IF($AB33="RT",ROUND(Proyeccion_Localidades!BS33,0),"*****"))))</f>
        <v>13238</v>
      </c>
      <c r="Z33" s="66">
        <f>IF($AB33="TGD",ROUND($E33*(1+$AD33)^(Z$4-$E$4),0),IF($AB33="ALTH",ROUND($AE33+$AF33*Z$4,0),IF($AB33="IR",ROUND(Proyeccion_Localidades!AW33,0),IF($AB33="RT",ROUND(Proyeccion_Localidades!BT33,0),"*****"))))</f>
        <v>13420</v>
      </c>
      <c r="AA33" s="66">
        <f>IF($AB33="TGD",ROUND($E33*(1+$AD33)^(AA$4-$E$4),0),IF($AB33="ALTH",ROUND($AE33+$AF33*AA$4,0),IF($AB33="IR",ROUND(Proyeccion_Localidades!AX33,0),IF($AB33="RT",ROUND(Proyeccion_Localidades!BU33,0),"*****"))))</f>
        <v>13602</v>
      </c>
      <c r="AB33" s="67" t="str">
        <f>Proyeccion_Localidades!N33</f>
        <v>RT</v>
      </c>
      <c r="AC33" s="73" t="s">
        <v>36</v>
      </c>
      <c r="AD33" s="51" t="str">
        <f>IF(AB33="TGD",Proyeccion_Localidades!Z33,"-")</f>
        <v>-</v>
      </c>
      <c r="AE33" s="51" t="str">
        <f>IF($AB33="ALTH",Proyeccion_Localidades!AA33,"-")</f>
        <v>-</v>
      </c>
      <c r="AF33" s="51" t="str">
        <f>IF($AB33="ALTH",Proyeccion_Localidades!AB33,"-")</f>
        <v>-</v>
      </c>
      <c r="AG33" s="51"/>
      <c r="AH33" s="51"/>
      <c r="AI33" s="66">
        <f t="shared" si="2"/>
        <v>9856</v>
      </c>
    </row>
    <row r="34" spans="1:35" ht="24.95" customHeight="1">
      <c r="A34" s="69" t="str">
        <f>+Proyeccion_Localidades!C34</f>
        <v>Arrecifes</v>
      </c>
      <c r="B34" s="70">
        <v>30</v>
      </c>
      <c r="C34" s="71" t="str">
        <f>+Proyeccion_Localidades!B34</f>
        <v>Arrecifes</v>
      </c>
      <c r="D34" s="261">
        <f t="shared" si="3"/>
        <v>30</v>
      </c>
      <c r="E34" s="72">
        <f>+Proyeccion_Localidades!F34</f>
        <v>26400</v>
      </c>
      <c r="F34" s="66">
        <f>IF($AB34="TGD",ROUND($E34*(1+$AD34)^(F$4-$E$4),0),IF($AB34="ALTH",ROUND($AE34+$AF34*F$4,0),IF($AB34="IR",ROUND(Proyeccion_Localidades!AC34,0),IF($AB34="RT",ROUND(Proyeccion_Localidades!AZ34,0),"*****"))))</f>
        <v>29427</v>
      </c>
      <c r="G34" s="66">
        <f>IF($AB34="TGD",ROUND($E34*(1+$AD34)^(G$4-$E$4),0),IF($AB34="ALTH",ROUND($AE34+$AF34*G$4,0),IF($AB34="IR",ROUND(Proyeccion_Localidades!AD34,0),IF($AB34="RT",ROUND(Proyeccion_Localidades!BA34,0),"*****"))))</f>
        <v>29694</v>
      </c>
      <c r="H34" s="66">
        <f>IF($AB34="TGD",ROUND($E34*(1+$AD34)^(H$4-$E$4),0),IF($AB34="ALTH",ROUND($AE34+$AF34*H$4,0),IF($AB34="IR",ROUND(Proyeccion_Localidades!AE34,0),IF($AB34="RT",ROUND(Proyeccion_Localidades!BB34,0),"*****"))))</f>
        <v>30511</v>
      </c>
      <c r="I34" s="66">
        <f>IF($AB34="TGD",ROUND($E34*(1+$AD34)^(I$4-$E$4),0),IF($AB34="ALTH",ROUND($AE34+$AF34*I$4,0),IF($AB34="IR",ROUND(Proyeccion_Localidades!AF34,0),IF($AB34="RT",ROUND(Proyeccion_Localidades!BC34,0),"*****"))))</f>
        <v>30788</v>
      </c>
      <c r="J34" s="66">
        <f>IF($AB34="TGD",ROUND($E34*(1+$AD34)^(J$4-$E$4),0),IF($AB34="ALTH",ROUND($AE34+$AF34*J$4,0),IF($AB34="IR",ROUND(Proyeccion_Localidades!AG34,0),IF($AB34="RT",ROUND(Proyeccion_Localidades!BD34,0),"*****"))))</f>
        <v>31068</v>
      </c>
      <c r="K34" s="66">
        <f>IF($AB34="TGD",ROUND($E34*(1+$AD34)^(K$4-$E$4),0),IF($AB34="ALTH",ROUND($AE34+$AF34*K$4,0),IF($AB34="IR",ROUND(Proyeccion_Localidades!AH34,0),IF($AB34="RT",ROUND(Proyeccion_Localidades!BE34,0),"*****"))))</f>
        <v>31350</v>
      </c>
      <c r="L34" s="66">
        <f>IF($AB34="TGD",ROUND($E34*(1+$AD34)^(L$4-$E$4),0),IF($AB34="ALTH",ROUND($AE34+$AF34*L$4,0),IF($AB34="IR",ROUND(Proyeccion_Localidades!AI34,0),IF($AB34="RT",ROUND(Proyeccion_Localidades!BF34,0),"*****"))))</f>
        <v>31635</v>
      </c>
      <c r="M34" s="66">
        <f>IF($AB34="TGD",ROUND($E34*(1+$AD34)^(M$4-$E$4),0),IF($AB34="ALTH",ROUND($AE34+$AF34*M$4,0),IF($AB34="IR",ROUND(Proyeccion_Localidades!AJ34,0),IF($AB34="RT",ROUND(Proyeccion_Localidades!BG34,0),"*****"))))</f>
        <v>31923</v>
      </c>
      <c r="N34" s="66">
        <f>IF($AB34="TGD",ROUND($E34*(1+$AD34)^(N$4-$E$4),0),IF($AB34="ALTH",ROUND($AE34+$AF34*N$4,0),IF($AB34="IR",ROUND(Proyeccion_Localidades!AK34,0),IF($AB34="RT",ROUND(Proyeccion_Localidades!BH34,0),"*****"))))</f>
        <v>32213</v>
      </c>
      <c r="O34" s="66">
        <f>IF($AB34="TGD",ROUND($E34*(1+$AD34)^(O$4-$E$4),0),IF($AB34="ALTH",ROUND($AE34+$AF34*O$4,0),IF($AB34="IR",ROUND(Proyeccion_Localidades!AL34,0),IF($AB34="RT",ROUND(Proyeccion_Localidades!BI34,0),"*****"))))</f>
        <v>32505</v>
      </c>
      <c r="P34" s="66">
        <f>IF($AB34="TGD",ROUND($E34*(1+$AD34)^(P$4-$E$4),0),IF($AB34="ALTH",ROUND($AE34+$AF34*P$4,0),IF($AB34="IR",ROUND(Proyeccion_Localidades!AM34,0),IF($AB34="RT",ROUND(Proyeccion_Localidades!BJ34,0),"*****"))))</f>
        <v>32801</v>
      </c>
      <c r="Q34" s="66">
        <f>IF($AB34="TGD",ROUND($E34*(1+$AD34)^(Q$4-$E$4),0),IF($AB34="ALTH",ROUND($AE34+$AF34*Q$4,0),IF($AB34="IR",ROUND(Proyeccion_Localidades!AN34,0),IF($AB34="RT",ROUND(Proyeccion_Localidades!BK34,0),"*****"))))</f>
        <v>33099</v>
      </c>
      <c r="R34" s="66">
        <f>IF($AB34="TGD",ROUND($E34*(1+$AD34)^(R$4-$E$4),0),IF($AB34="ALTH",ROUND($AE34+$AF34*R$4,0),IF($AB34="IR",ROUND(Proyeccion_Localidades!AO34,0),IF($AB34="RT",ROUND(Proyeccion_Localidades!BL34,0),"*****"))))</f>
        <v>33399</v>
      </c>
      <c r="S34" s="66">
        <f>IF($AB34="TGD",ROUND($E34*(1+$AD34)^(S$4-$E$4),0),IF($AB34="ALTH",ROUND($AE34+$AF34*S$4,0),IF($AB34="IR",ROUND(Proyeccion_Localidades!AP34,0),IF($AB34="RT",ROUND(Proyeccion_Localidades!BM34,0),"*****"))))</f>
        <v>33703</v>
      </c>
      <c r="T34" s="66">
        <f>IF($AB34="TGD",ROUND($E34*(1+$AD34)^(T$4-$E$4),0),IF($AB34="ALTH",ROUND($AE34+$AF34*T$4,0),IF($AB34="IR",ROUND(Proyeccion_Localidades!AQ34,0),IF($AB34="RT",ROUND(Proyeccion_Localidades!BN34,0),"*****"))))</f>
        <v>34009</v>
      </c>
      <c r="U34" s="66">
        <f>IF($AB34="TGD",ROUND($E34*(1+$AD34)^(U$4-$E$4),0),IF($AB34="ALTH",ROUND($AE34+$AF34*U$4,0),IF($AB34="IR",ROUND(Proyeccion_Localidades!AR34,0),IF($AB34="RT",ROUND(Proyeccion_Localidades!BO34,0),"*****"))))</f>
        <v>34318</v>
      </c>
      <c r="V34" s="66">
        <f>IF($AB34="TGD",ROUND($E34*(1+$AD34)^(V$4-$E$4),0),IF($AB34="ALTH",ROUND($AE34+$AF34*V$4,0),IF($AB34="IR",ROUND(Proyeccion_Localidades!AS34,0),IF($AB34="RT",ROUND(Proyeccion_Localidades!BP34,0),"*****"))))</f>
        <v>34630</v>
      </c>
      <c r="W34" s="66">
        <f>IF($AB34="TGD",ROUND($E34*(1+$AD34)^(W$4-$E$4),0),IF($AB34="ALTH",ROUND($AE34+$AF34*W$4,0),IF($AB34="IR",ROUND(Proyeccion_Localidades!AT34,0),IF($AB34="RT",ROUND(Proyeccion_Localidades!BQ34,0),"*****"))))</f>
        <v>34945</v>
      </c>
      <c r="X34" s="66">
        <f>IF($AB34="TGD",ROUND($E34*(1+$AD34)^(X$4-$E$4),0),IF($AB34="ALTH",ROUND($AE34+$AF34*X$4,0),IF($AB34="IR",ROUND(Proyeccion_Localidades!AU34,0),IF($AB34="RT",ROUND(Proyeccion_Localidades!BR34,0),"*****"))))</f>
        <v>35262</v>
      </c>
      <c r="Y34" s="66">
        <f>IF($AB34="TGD",ROUND($E34*(1+$AD34)^(Y$4-$E$4),0),IF($AB34="ALTH",ROUND($AE34+$AF34*Y$4,0),IF($AB34="IR",ROUND(Proyeccion_Localidades!AV34,0),IF($AB34="RT",ROUND(Proyeccion_Localidades!BS34,0),"*****"))))</f>
        <v>35583</v>
      </c>
      <c r="Z34" s="66">
        <f>IF($AB34="TGD",ROUND($E34*(1+$AD34)^(Z$4-$E$4),0),IF($AB34="ALTH",ROUND($AE34+$AF34*Z$4,0),IF($AB34="IR",ROUND(Proyeccion_Localidades!AW34,0),IF($AB34="RT",ROUND(Proyeccion_Localidades!BT34,0),"*****"))))</f>
        <v>35906</v>
      </c>
      <c r="AA34" s="66">
        <f>IF($AB34="TGD",ROUND($E34*(1+$AD34)^(AA$4-$E$4),0),IF($AB34="ALTH",ROUND($AE34+$AF34*AA$4,0),IF($AB34="IR",ROUND(Proyeccion_Localidades!AX34,0),IF($AB34="RT",ROUND(Proyeccion_Localidades!BU34,0),"*****"))))</f>
        <v>36232</v>
      </c>
      <c r="AB34" s="67" t="str">
        <f>Proyeccion_Localidades!N34</f>
        <v>TGD</v>
      </c>
      <c r="AC34" s="73" t="s">
        <v>35</v>
      </c>
      <c r="AD34" s="51">
        <f>IF(AB34="TGD",Proyeccion_Localidades!Z34,"-")</f>
        <v>9.0862846571864164E-3</v>
      </c>
      <c r="AE34" s="51" t="str">
        <f>IF($AB34="ALTH",Proyeccion_Localidades!AA34,"-")</f>
        <v>-</v>
      </c>
      <c r="AF34" s="51" t="str">
        <f>IF($AB34="ALTH",Proyeccion_Localidades!AB34,"-")</f>
        <v>-</v>
      </c>
      <c r="AG34" s="51"/>
      <c r="AH34" s="51"/>
      <c r="AI34" s="66">
        <f t="shared" si="2"/>
        <v>29694</v>
      </c>
    </row>
    <row r="35" spans="1:35" ht="24.95" customHeight="1">
      <c r="A35" s="69" t="str">
        <f>+Proyeccion_Localidades!C35</f>
        <v>Ayacucho</v>
      </c>
      <c r="B35" s="70">
        <v>31</v>
      </c>
      <c r="C35" s="71" t="str">
        <f>+Proyeccion_Localidades!B35</f>
        <v>Ayacucho</v>
      </c>
      <c r="D35" s="261">
        <f t="shared" si="3"/>
        <v>31</v>
      </c>
      <c r="E35" s="72">
        <f>+Proyeccion_Localidades!F35</f>
        <v>17364</v>
      </c>
      <c r="F35" s="66">
        <f>IF($AB35="TGD",ROUND($E35*(1+$AD35)^(F$4-$E$4),0),IF($AB35="ALTH",ROUND($AE35+$AF35*F$4,0),IF($AB35="IR",ROUND(Proyeccion_Localidades!AC35,0),IF($AB35="RT",ROUND(Proyeccion_Localidades!AZ35,0),"*****"))))</f>
        <v>18671</v>
      </c>
      <c r="G35" s="66">
        <f>IF($AB35="TGD",ROUND($E35*(1+$AD35)^(G$4-$E$4),0),IF($AB35="ALTH",ROUND($AE35+$AF35*G$4,0),IF($AB35="IR",ROUND(Proyeccion_Localidades!AD35,0),IF($AB35="RT",ROUND(Proyeccion_Localidades!BA35,0),"*****"))))</f>
        <v>18785</v>
      </c>
      <c r="H35" s="66">
        <f>IF($AB35="TGD",ROUND($E35*(1+$AD35)^(H$4-$E$4),0),IF($AB35="ALTH",ROUND($AE35+$AF35*H$4,0),IF($AB35="IR",ROUND(Proyeccion_Localidades!AE35,0),IF($AB35="RT",ROUND(Proyeccion_Localidades!BB35,0),"*****"))))</f>
        <v>19128</v>
      </c>
      <c r="I35" s="66">
        <f>IF($AB35="TGD",ROUND($E35*(1+$AD35)^(I$4-$E$4),0),IF($AB35="ALTH",ROUND($AE35+$AF35*I$4,0),IF($AB35="IR",ROUND(Proyeccion_Localidades!AF35,0),IF($AB35="RT",ROUND(Proyeccion_Localidades!BC35,0),"*****"))))</f>
        <v>19245</v>
      </c>
      <c r="J35" s="66">
        <f>IF($AB35="TGD",ROUND($E35*(1+$AD35)^(J$4-$E$4),0),IF($AB35="ALTH",ROUND($AE35+$AF35*J$4,0),IF($AB35="IR",ROUND(Proyeccion_Localidades!AG35,0),IF($AB35="RT",ROUND(Proyeccion_Localidades!BD35,0),"*****"))))</f>
        <v>19361</v>
      </c>
      <c r="K35" s="66">
        <f>IF($AB35="TGD",ROUND($E35*(1+$AD35)^(K$4-$E$4),0),IF($AB35="ALTH",ROUND($AE35+$AF35*K$4,0),IF($AB35="IR",ROUND(Proyeccion_Localidades!AH35,0),IF($AB35="RT",ROUND(Proyeccion_Localidades!BE35,0),"*****"))))</f>
        <v>19479</v>
      </c>
      <c r="L35" s="66">
        <f>IF($AB35="TGD",ROUND($E35*(1+$AD35)^(L$4-$E$4),0),IF($AB35="ALTH",ROUND($AE35+$AF35*L$4,0),IF($AB35="IR",ROUND(Proyeccion_Localidades!AI35,0),IF($AB35="RT",ROUND(Proyeccion_Localidades!BF35,0),"*****"))))</f>
        <v>19597</v>
      </c>
      <c r="M35" s="66">
        <f>IF($AB35="TGD",ROUND($E35*(1+$AD35)^(M$4-$E$4),0),IF($AB35="ALTH",ROUND($AE35+$AF35*M$4,0),IF($AB35="IR",ROUND(Proyeccion_Localidades!AJ35,0),IF($AB35="RT",ROUND(Proyeccion_Localidades!BG35,0),"*****"))))</f>
        <v>19716</v>
      </c>
      <c r="N35" s="66">
        <f>IF($AB35="TGD",ROUND($E35*(1+$AD35)^(N$4-$E$4),0),IF($AB35="ALTH",ROUND($AE35+$AF35*N$4,0),IF($AB35="IR",ROUND(Proyeccion_Localidades!AK35,0),IF($AB35="RT",ROUND(Proyeccion_Localidades!BH35,0),"*****"))))</f>
        <v>19835</v>
      </c>
      <c r="O35" s="66">
        <f>IF($AB35="TGD",ROUND($E35*(1+$AD35)^(O$4-$E$4),0),IF($AB35="ALTH",ROUND($AE35+$AF35*O$4,0),IF($AB35="IR",ROUND(Proyeccion_Localidades!AL35,0),IF($AB35="RT",ROUND(Proyeccion_Localidades!BI35,0),"*****"))))</f>
        <v>19956</v>
      </c>
      <c r="P35" s="66">
        <f>IF($AB35="TGD",ROUND($E35*(1+$AD35)^(P$4-$E$4),0),IF($AB35="ALTH",ROUND($AE35+$AF35*P$4,0),IF($AB35="IR",ROUND(Proyeccion_Localidades!AM35,0),IF($AB35="RT",ROUND(Proyeccion_Localidades!BJ35,0),"*****"))))</f>
        <v>20077</v>
      </c>
      <c r="Q35" s="66">
        <f>IF($AB35="TGD",ROUND($E35*(1+$AD35)^(Q$4-$E$4),0),IF($AB35="ALTH",ROUND($AE35+$AF35*Q$4,0),IF($AB35="IR",ROUND(Proyeccion_Localidades!AN35,0),IF($AB35="RT",ROUND(Proyeccion_Localidades!BK35,0),"*****"))))</f>
        <v>20199</v>
      </c>
      <c r="R35" s="66">
        <f>IF($AB35="TGD",ROUND($E35*(1+$AD35)^(R$4-$E$4),0),IF($AB35="ALTH",ROUND($AE35+$AF35*R$4,0),IF($AB35="IR",ROUND(Proyeccion_Localidades!AO35,0),IF($AB35="RT",ROUND(Proyeccion_Localidades!BL35,0),"*****"))))</f>
        <v>20321</v>
      </c>
      <c r="S35" s="66">
        <f>IF($AB35="TGD",ROUND($E35*(1+$AD35)^(S$4-$E$4),0),IF($AB35="ALTH",ROUND($AE35+$AF35*S$4,0),IF($AB35="IR",ROUND(Proyeccion_Localidades!AP35,0),IF($AB35="RT",ROUND(Proyeccion_Localidades!BM35,0),"*****"))))</f>
        <v>20445</v>
      </c>
      <c r="T35" s="66">
        <f>IF($AB35="TGD",ROUND($E35*(1+$AD35)^(T$4-$E$4),0),IF($AB35="ALTH",ROUND($AE35+$AF35*T$4,0),IF($AB35="IR",ROUND(Proyeccion_Localidades!AQ35,0),IF($AB35="RT",ROUND(Proyeccion_Localidades!BN35,0),"*****"))))</f>
        <v>20569</v>
      </c>
      <c r="U35" s="66">
        <f>IF($AB35="TGD",ROUND($E35*(1+$AD35)^(U$4-$E$4),0),IF($AB35="ALTH",ROUND($AE35+$AF35*U$4,0),IF($AB35="IR",ROUND(Proyeccion_Localidades!AR35,0),IF($AB35="RT",ROUND(Proyeccion_Localidades!BO35,0),"*****"))))</f>
        <v>20693</v>
      </c>
      <c r="V35" s="66">
        <f>IF($AB35="TGD",ROUND($E35*(1+$AD35)^(V$4-$E$4),0),IF($AB35="ALTH",ROUND($AE35+$AF35*V$4,0),IF($AB35="IR",ROUND(Proyeccion_Localidades!AS35,0),IF($AB35="RT",ROUND(Proyeccion_Localidades!BP35,0),"*****"))))</f>
        <v>20819</v>
      </c>
      <c r="W35" s="66">
        <f>IF($AB35="TGD",ROUND($E35*(1+$AD35)^(W$4-$E$4),0),IF($AB35="ALTH",ROUND($AE35+$AF35*W$4,0),IF($AB35="IR",ROUND(Proyeccion_Localidades!AT35,0),IF($AB35="RT",ROUND(Proyeccion_Localidades!BQ35,0),"*****"))))</f>
        <v>20945</v>
      </c>
      <c r="X35" s="66">
        <f>IF($AB35="TGD",ROUND($E35*(1+$AD35)^(X$4-$E$4),0),IF($AB35="ALTH",ROUND($AE35+$AF35*X$4,0),IF($AB35="IR",ROUND(Proyeccion_Localidades!AU35,0),IF($AB35="RT",ROUND(Proyeccion_Localidades!BR35,0),"*****"))))</f>
        <v>21072</v>
      </c>
      <c r="Y35" s="66">
        <f>IF($AB35="TGD",ROUND($E35*(1+$AD35)^(Y$4-$E$4),0),IF($AB35="ALTH",ROUND($AE35+$AF35*Y$4,0),IF($AB35="IR",ROUND(Proyeccion_Localidades!AV35,0),IF($AB35="RT",ROUND(Proyeccion_Localidades!BS35,0),"*****"))))</f>
        <v>21200</v>
      </c>
      <c r="Z35" s="66">
        <f>IF($AB35="TGD",ROUND($E35*(1+$AD35)^(Z$4-$E$4),0),IF($AB35="ALTH",ROUND($AE35+$AF35*Z$4,0),IF($AB35="IR",ROUND(Proyeccion_Localidades!AW35,0),IF($AB35="RT",ROUND(Proyeccion_Localidades!BT35,0),"*****"))))</f>
        <v>21329</v>
      </c>
      <c r="AA35" s="66">
        <f>IF($AB35="TGD",ROUND($E35*(1+$AD35)^(AA$4-$E$4),0),IF($AB35="ALTH",ROUND($AE35+$AF35*AA$4,0),IF($AB35="IR",ROUND(Proyeccion_Localidades!AX35,0),IF($AB35="RT",ROUND(Proyeccion_Localidades!BU35,0),"*****"))))</f>
        <v>21458</v>
      </c>
      <c r="AB35" s="67" t="str">
        <f>Proyeccion_Localidades!N35</f>
        <v>TGD</v>
      </c>
      <c r="AC35" s="73" t="s">
        <v>35</v>
      </c>
      <c r="AD35" s="51">
        <f>IF(AB35="TGD",Proyeccion_Localidades!Z35,"-")</f>
        <v>6.0670446788362309E-3</v>
      </c>
      <c r="AE35" s="51" t="str">
        <f>IF($AB35="ALTH",Proyeccion_Localidades!AA35,"-")</f>
        <v>-</v>
      </c>
      <c r="AF35" s="51" t="str">
        <f>IF($AB35="ALTH",Proyeccion_Localidades!AB35,"-")</f>
        <v>-</v>
      </c>
      <c r="AG35" s="51"/>
      <c r="AH35" s="51"/>
      <c r="AI35" s="66">
        <f t="shared" si="2"/>
        <v>18785</v>
      </c>
    </row>
    <row r="36" spans="1:35" ht="24.95" customHeight="1">
      <c r="A36" s="69" t="str">
        <f>+Proyeccion_Localidades!C36</f>
        <v>Azul</v>
      </c>
      <c r="B36" s="70">
        <v>32</v>
      </c>
      <c r="C36" s="71" t="str">
        <f>+Proyeccion_Localidades!B36</f>
        <v>Azul</v>
      </c>
      <c r="D36" s="261">
        <f t="shared" si="3"/>
        <v>32</v>
      </c>
      <c r="E36" s="72">
        <f>+Proyeccion_Localidades!F36</f>
        <v>55728</v>
      </c>
      <c r="F36" s="66">
        <f>IF($AB36="TGD",ROUND($E36*(1+$AD36)^(F$4-$E$4),0),IF($AB36="ALTH",ROUND($AE36+$AF36*F$4,0),IF($AB36="IR",ROUND(Proyeccion_Localidades!AC36,0),IF($AB36="RT",ROUND(Proyeccion_Localidades!AZ36,0),"*****"))))</f>
        <v>61776</v>
      </c>
      <c r="G36" s="66">
        <f>IF($AB36="TGD",ROUND($E36*(1+$AD36)^(G$4-$E$4),0),IF($AB36="ALTH",ROUND($AE36+$AF36*G$4,0),IF($AB36="IR",ROUND(Proyeccion_Localidades!AD36,0),IF($AB36="RT",ROUND(Proyeccion_Localidades!BA36,0),"*****"))))</f>
        <v>62556</v>
      </c>
      <c r="H36" s="66">
        <f>IF($AB36="TGD",ROUND($E36*(1+$AD36)^(H$4-$E$4),0),IF($AB36="ALTH",ROUND($AE36+$AF36*H$4,0),IF($AB36="IR",ROUND(Proyeccion_Localidades!AE36,0),IF($AB36="RT",ROUND(Proyeccion_Localidades!BB36,0),"*****"))))</f>
        <v>64896</v>
      </c>
      <c r="I36" s="66">
        <f>IF($AB36="TGD",ROUND($E36*(1+$AD36)^(I$4-$E$4),0),IF($AB36="ALTH",ROUND($AE36+$AF36*I$4,0),IF($AB36="IR",ROUND(Proyeccion_Localidades!AF36,0),IF($AB36="RT",ROUND(Proyeccion_Localidades!BC36,0),"*****"))))</f>
        <v>65677</v>
      </c>
      <c r="J36" s="66">
        <f>IF($AB36="TGD",ROUND($E36*(1+$AD36)^(J$4-$E$4),0),IF($AB36="ALTH",ROUND($AE36+$AF36*J$4,0),IF($AB36="IR",ROUND(Proyeccion_Localidades!AG36,0),IF($AB36="RT",ROUND(Proyeccion_Localidades!BD36,0),"*****"))))</f>
        <v>66457</v>
      </c>
      <c r="K36" s="66">
        <f>IF($AB36="TGD",ROUND($E36*(1+$AD36)^(K$4-$E$4),0),IF($AB36="ALTH",ROUND($AE36+$AF36*K$4,0),IF($AB36="IR",ROUND(Proyeccion_Localidades!AH36,0),IF($AB36="RT",ROUND(Proyeccion_Localidades!BE36,0),"*****"))))</f>
        <v>67237</v>
      </c>
      <c r="L36" s="66">
        <f>IF($AB36="TGD",ROUND($E36*(1+$AD36)^(L$4-$E$4),0),IF($AB36="ALTH",ROUND($AE36+$AF36*L$4,0),IF($AB36="IR",ROUND(Proyeccion_Localidades!AI36,0),IF($AB36="RT",ROUND(Proyeccion_Localidades!BF36,0),"*****"))))</f>
        <v>68017</v>
      </c>
      <c r="M36" s="66">
        <f>IF($AB36="TGD",ROUND($E36*(1+$AD36)^(M$4-$E$4),0),IF($AB36="ALTH",ROUND($AE36+$AF36*M$4,0),IF($AB36="IR",ROUND(Proyeccion_Localidades!AJ36,0),IF($AB36="RT",ROUND(Proyeccion_Localidades!BG36,0),"*****"))))</f>
        <v>69042</v>
      </c>
      <c r="N36" s="66">
        <f>IF($AB36="TGD",ROUND($E36*(1+$AD36)^(N$4-$E$4),0),IF($AB36="ALTH",ROUND($AE36+$AF36*N$4,0),IF($AB36="IR",ROUND(Proyeccion_Localidades!AK36,0),IF($AB36="RT",ROUND(Proyeccion_Localidades!BH36,0),"*****"))))</f>
        <v>70066</v>
      </c>
      <c r="O36" s="66">
        <f>IF($AB36="TGD",ROUND($E36*(1+$AD36)^(O$4-$E$4),0),IF($AB36="ALTH",ROUND($AE36+$AF36*O$4,0),IF($AB36="IR",ROUND(Proyeccion_Localidades!AL36,0),IF($AB36="RT",ROUND(Proyeccion_Localidades!BI36,0),"*****"))))</f>
        <v>71091</v>
      </c>
      <c r="P36" s="66">
        <f>IF($AB36="TGD",ROUND($E36*(1+$AD36)^(P$4-$E$4),0),IF($AB36="ALTH",ROUND($AE36+$AF36*P$4,0),IF($AB36="IR",ROUND(Proyeccion_Localidades!AM36,0),IF($AB36="RT",ROUND(Proyeccion_Localidades!BJ36,0),"*****"))))</f>
        <v>72115</v>
      </c>
      <c r="Q36" s="66">
        <f>IF($AB36="TGD",ROUND($E36*(1+$AD36)^(Q$4-$E$4),0),IF($AB36="ALTH",ROUND($AE36+$AF36*Q$4,0),IF($AB36="IR",ROUND(Proyeccion_Localidades!AN36,0),IF($AB36="RT",ROUND(Proyeccion_Localidades!BK36,0),"*****"))))</f>
        <v>73140</v>
      </c>
      <c r="R36" s="66">
        <f>IF($AB36="TGD",ROUND($E36*(1+$AD36)^(R$4-$E$4),0),IF($AB36="ALTH",ROUND($AE36+$AF36*R$4,0),IF($AB36="IR",ROUND(Proyeccion_Localidades!AO36,0),IF($AB36="RT",ROUND(Proyeccion_Localidades!BL36,0),"*****"))))</f>
        <v>74164</v>
      </c>
      <c r="S36" s="66">
        <f>IF($AB36="TGD",ROUND($E36*(1+$AD36)^(S$4-$E$4),0),IF($AB36="ALTH",ROUND($AE36+$AF36*S$4,0),IF($AB36="IR",ROUND(Proyeccion_Localidades!AP36,0),IF($AB36="RT",ROUND(Proyeccion_Localidades!BM36,0),"*****"))))</f>
        <v>75189</v>
      </c>
      <c r="T36" s="66">
        <f>IF($AB36="TGD",ROUND($E36*(1+$AD36)^(T$4-$E$4),0),IF($AB36="ALTH",ROUND($AE36+$AF36*T$4,0),IF($AB36="IR",ROUND(Proyeccion_Localidades!AQ36,0),IF($AB36="RT",ROUND(Proyeccion_Localidades!BN36,0),"*****"))))</f>
        <v>76214</v>
      </c>
      <c r="U36" s="66">
        <f>IF($AB36="TGD",ROUND($E36*(1+$AD36)^(U$4-$E$4),0),IF($AB36="ALTH",ROUND($AE36+$AF36*U$4,0),IF($AB36="IR",ROUND(Proyeccion_Localidades!AR36,0),IF($AB36="RT",ROUND(Proyeccion_Localidades!BO36,0),"*****"))))</f>
        <v>77238</v>
      </c>
      <c r="V36" s="66">
        <f>IF($AB36="TGD",ROUND($E36*(1+$AD36)^(V$4-$E$4),0),IF($AB36="ALTH",ROUND($AE36+$AF36*V$4,0),IF($AB36="IR",ROUND(Proyeccion_Localidades!AS36,0),IF($AB36="RT",ROUND(Proyeccion_Localidades!BP36,0),"*****"))))</f>
        <v>78263</v>
      </c>
      <c r="W36" s="66">
        <f>IF($AB36="TGD",ROUND($E36*(1+$AD36)^(W$4-$E$4),0),IF($AB36="ALTH",ROUND($AE36+$AF36*W$4,0),IF($AB36="IR",ROUND(Proyeccion_Localidades!AT36,0),IF($AB36="RT",ROUND(Proyeccion_Localidades!BQ36,0),"*****"))))</f>
        <v>79287</v>
      </c>
      <c r="X36" s="66">
        <f>IF($AB36="TGD",ROUND($E36*(1+$AD36)^(X$4-$E$4),0),IF($AB36="ALTH",ROUND($AE36+$AF36*X$4,0),IF($AB36="IR",ROUND(Proyeccion_Localidades!AU36,0),IF($AB36="RT",ROUND(Proyeccion_Localidades!BR36,0),"*****"))))</f>
        <v>80312</v>
      </c>
      <c r="Y36" s="66">
        <f>IF($AB36="TGD",ROUND($E36*(1+$AD36)^(Y$4-$E$4),0),IF($AB36="ALTH",ROUND($AE36+$AF36*Y$4,0),IF($AB36="IR",ROUND(Proyeccion_Localidades!AV36,0),IF($AB36="RT",ROUND(Proyeccion_Localidades!BS36,0),"*****"))))</f>
        <v>81336</v>
      </c>
      <c r="Z36" s="66">
        <f>IF($AB36="TGD",ROUND($E36*(1+$AD36)^(Z$4-$E$4),0),IF($AB36="ALTH",ROUND($AE36+$AF36*Z$4,0),IF($AB36="IR",ROUND(Proyeccion_Localidades!AW36,0),IF($AB36="RT",ROUND(Proyeccion_Localidades!BT36,0),"*****"))))</f>
        <v>82361</v>
      </c>
      <c r="AA36" s="66">
        <f>IF($AB36="TGD",ROUND($E36*(1+$AD36)^(AA$4-$E$4),0),IF($AB36="ALTH",ROUND($AE36+$AF36*AA$4,0),IF($AB36="IR",ROUND(Proyeccion_Localidades!AX36,0),IF($AB36="RT",ROUND(Proyeccion_Localidades!BU36,0),"*****"))))</f>
        <v>83386</v>
      </c>
      <c r="AB36" s="67" t="str">
        <f>Proyeccion_Localidades!N36</f>
        <v>RT</v>
      </c>
      <c r="AC36" s="73" t="s">
        <v>36</v>
      </c>
      <c r="AD36" s="51" t="str">
        <f>IF(AB36="TGD",Proyeccion_Localidades!Z36,"-")</f>
        <v>-</v>
      </c>
      <c r="AE36" s="51" t="str">
        <f>IF($AB36="ALTH",Proyeccion_Localidades!AA36,"-")</f>
        <v>-</v>
      </c>
      <c r="AF36" s="51" t="str">
        <f>IF($AB36="ALTH",Proyeccion_Localidades!AB36,"-")</f>
        <v>-</v>
      </c>
      <c r="AG36" s="51"/>
      <c r="AH36" s="51"/>
      <c r="AI36" s="66">
        <f t="shared" si="2"/>
        <v>62556</v>
      </c>
    </row>
    <row r="37" spans="1:35" ht="24.95" customHeight="1">
      <c r="A37" s="69" t="str">
        <f>+Proyeccion_Localidades!C37</f>
        <v>Bahía Blanca</v>
      </c>
      <c r="B37" s="70">
        <v>33</v>
      </c>
      <c r="C37" s="71" t="str">
        <f>+Proyeccion_Localidades!B37</f>
        <v>Bahía Blanca</v>
      </c>
      <c r="D37" s="261">
        <f t="shared" si="3"/>
        <v>33</v>
      </c>
      <c r="E37" s="72">
        <f>+Proyeccion_Localidades!F37</f>
        <v>291327</v>
      </c>
      <c r="F37" s="66">
        <f>IF($AB37="TGD",ROUND($E37*(1+$AD37)^(F$4-$E$4),0),IF($AB37="ALTH",ROUND($AE37+$AF37*F$4,0),IF($AB37="IR",ROUND(Proyeccion_Localidades!AC37,0),IF($AB37="RT",ROUND(Proyeccion_Localidades!AZ37,0),"*****"))))</f>
        <v>320702</v>
      </c>
      <c r="G37" s="66">
        <f>IF($AB37="TGD",ROUND($E37*(1+$AD37)^(G$4-$E$4),0),IF($AB37="ALTH",ROUND($AE37+$AF37*G$4,0),IF($AB37="IR",ROUND(Proyeccion_Localidades!AD37,0),IF($AB37="RT",ROUND(Proyeccion_Localidades!BA37,0),"*****"))))</f>
        <v>324552</v>
      </c>
      <c r="H37" s="66">
        <f>IF($AB37="TGD",ROUND($E37*(1+$AD37)^(H$4-$E$4),0),IF($AB37="ALTH",ROUND($AE37+$AF37*H$4,0),IF($AB37="IR",ROUND(Proyeccion_Localidades!AE37,0),IF($AB37="RT",ROUND(Proyeccion_Localidades!BB37,0),"*****"))))</f>
        <v>336103</v>
      </c>
      <c r="I37" s="66">
        <f>IF($AB37="TGD",ROUND($E37*(1+$AD37)^(I$4-$E$4),0),IF($AB37="ALTH",ROUND($AE37+$AF37*I$4,0),IF($AB37="IR",ROUND(Proyeccion_Localidades!AF37,0),IF($AB37="RT",ROUND(Proyeccion_Localidades!BC37,0),"*****"))))</f>
        <v>339954</v>
      </c>
      <c r="J37" s="66">
        <f>IF($AB37="TGD",ROUND($E37*(1+$AD37)^(J$4-$E$4),0),IF($AB37="ALTH",ROUND($AE37+$AF37*J$4,0),IF($AB37="IR",ROUND(Proyeccion_Localidades!AG37,0),IF($AB37="RT",ROUND(Proyeccion_Localidades!BD37,0),"*****"))))</f>
        <v>343804</v>
      </c>
      <c r="K37" s="66">
        <f>IF($AB37="TGD",ROUND($E37*(1+$AD37)^(K$4-$E$4),0),IF($AB37="ALTH",ROUND($AE37+$AF37*K$4,0),IF($AB37="IR",ROUND(Proyeccion_Localidades!AH37,0),IF($AB37="RT",ROUND(Proyeccion_Localidades!BE37,0),"*****"))))</f>
        <v>347654</v>
      </c>
      <c r="L37" s="66">
        <f>IF($AB37="TGD",ROUND($E37*(1+$AD37)^(L$4-$E$4),0),IF($AB37="ALTH",ROUND($AE37+$AF37*L$4,0),IF($AB37="IR",ROUND(Proyeccion_Localidades!AI37,0),IF($AB37="RT",ROUND(Proyeccion_Localidades!BF37,0),"*****"))))</f>
        <v>351505</v>
      </c>
      <c r="M37" s="66">
        <f>IF($AB37="TGD",ROUND($E37*(1+$AD37)^(M$4-$E$4),0),IF($AB37="ALTH",ROUND($AE37+$AF37*M$4,0),IF($AB37="IR",ROUND(Proyeccion_Localidades!AJ37,0),IF($AB37="RT",ROUND(Proyeccion_Localidades!BG37,0),"*****"))))</f>
        <v>356595</v>
      </c>
      <c r="N37" s="66">
        <f>IF($AB37="TGD",ROUND($E37*(1+$AD37)^(N$4-$E$4),0),IF($AB37="ALTH",ROUND($AE37+$AF37*N$4,0),IF($AB37="IR",ROUND(Proyeccion_Localidades!AK37,0),IF($AB37="RT",ROUND(Proyeccion_Localidades!BH37,0),"*****"))))</f>
        <v>361686</v>
      </c>
      <c r="O37" s="66">
        <f>IF($AB37="TGD",ROUND($E37*(1+$AD37)^(O$4-$E$4),0),IF($AB37="ALTH",ROUND($AE37+$AF37*O$4,0),IF($AB37="IR",ROUND(Proyeccion_Localidades!AL37,0),IF($AB37="RT",ROUND(Proyeccion_Localidades!BI37,0),"*****"))))</f>
        <v>366776</v>
      </c>
      <c r="P37" s="66">
        <f>IF($AB37="TGD",ROUND($E37*(1+$AD37)^(P$4-$E$4),0),IF($AB37="ALTH",ROUND($AE37+$AF37*P$4,0),IF($AB37="IR",ROUND(Proyeccion_Localidades!AM37,0),IF($AB37="RT",ROUND(Proyeccion_Localidades!BJ37,0),"*****"))))</f>
        <v>371867</v>
      </c>
      <c r="Q37" s="66">
        <f>IF($AB37="TGD",ROUND($E37*(1+$AD37)^(Q$4-$E$4),0),IF($AB37="ALTH",ROUND($AE37+$AF37*Q$4,0),IF($AB37="IR",ROUND(Proyeccion_Localidades!AN37,0),IF($AB37="RT",ROUND(Proyeccion_Localidades!BK37,0),"*****"))))</f>
        <v>376957</v>
      </c>
      <c r="R37" s="66">
        <f>IF($AB37="TGD",ROUND($E37*(1+$AD37)^(R$4-$E$4),0),IF($AB37="ALTH",ROUND($AE37+$AF37*R$4,0),IF($AB37="IR",ROUND(Proyeccion_Localidades!AO37,0),IF($AB37="RT",ROUND(Proyeccion_Localidades!BL37,0),"*****"))))</f>
        <v>382048</v>
      </c>
      <c r="S37" s="66">
        <f>IF($AB37="TGD",ROUND($E37*(1+$AD37)^(S$4-$E$4),0),IF($AB37="ALTH",ROUND($AE37+$AF37*S$4,0),IF($AB37="IR",ROUND(Proyeccion_Localidades!AP37,0),IF($AB37="RT",ROUND(Proyeccion_Localidades!BM37,0),"*****"))))</f>
        <v>387138</v>
      </c>
      <c r="T37" s="66">
        <f>IF($AB37="TGD",ROUND($E37*(1+$AD37)^(T$4-$E$4),0),IF($AB37="ALTH",ROUND($AE37+$AF37*T$4,0),IF($AB37="IR",ROUND(Proyeccion_Localidades!AQ37,0),IF($AB37="RT",ROUND(Proyeccion_Localidades!BN37,0),"*****"))))</f>
        <v>392228</v>
      </c>
      <c r="U37" s="66">
        <f>IF($AB37="TGD",ROUND($E37*(1+$AD37)^(U$4-$E$4),0),IF($AB37="ALTH",ROUND($AE37+$AF37*U$4,0),IF($AB37="IR",ROUND(Proyeccion_Localidades!AR37,0),IF($AB37="RT",ROUND(Proyeccion_Localidades!BO37,0),"*****"))))</f>
        <v>397319</v>
      </c>
      <c r="V37" s="66">
        <f>IF($AB37="TGD",ROUND($E37*(1+$AD37)^(V$4-$E$4),0),IF($AB37="ALTH",ROUND($AE37+$AF37*V$4,0),IF($AB37="IR",ROUND(Proyeccion_Localidades!AS37,0),IF($AB37="RT",ROUND(Proyeccion_Localidades!BP37,0),"*****"))))</f>
        <v>402409</v>
      </c>
      <c r="W37" s="66">
        <f>IF($AB37="TGD",ROUND($E37*(1+$AD37)^(W$4-$E$4),0),IF($AB37="ALTH",ROUND($AE37+$AF37*W$4,0),IF($AB37="IR",ROUND(Proyeccion_Localidades!AT37,0),IF($AB37="RT",ROUND(Proyeccion_Localidades!BQ37,0),"*****"))))</f>
        <v>407500</v>
      </c>
      <c r="X37" s="66">
        <f>IF($AB37="TGD",ROUND($E37*(1+$AD37)^(X$4-$E$4),0),IF($AB37="ALTH",ROUND($AE37+$AF37*X$4,0),IF($AB37="IR",ROUND(Proyeccion_Localidades!AU37,0),IF($AB37="RT",ROUND(Proyeccion_Localidades!BR37,0),"*****"))))</f>
        <v>412590</v>
      </c>
      <c r="Y37" s="66">
        <f>IF($AB37="TGD",ROUND($E37*(1+$AD37)^(Y$4-$E$4),0),IF($AB37="ALTH",ROUND($AE37+$AF37*Y$4,0),IF($AB37="IR",ROUND(Proyeccion_Localidades!AV37,0),IF($AB37="RT",ROUND(Proyeccion_Localidades!BS37,0),"*****"))))</f>
        <v>417681</v>
      </c>
      <c r="Z37" s="66">
        <f>IF($AB37="TGD",ROUND($E37*(1+$AD37)^(Z$4-$E$4),0),IF($AB37="ALTH",ROUND($AE37+$AF37*Z$4,0),IF($AB37="IR",ROUND(Proyeccion_Localidades!AW37,0),IF($AB37="RT",ROUND(Proyeccion_Localidades!BT37,0),"*****"))))</f>
        <v>422771</v>
      </c>
      <c r="AA37" s="66">
        <f>IF($AB37="TGD",ROUND($E37*(1+$AD37)^(AA$4-$E$4),0),IF($AB37="ALTH",ROUND($AE37+$AF37*AA$4,0),IF($AB37="IR",ROUND(Proyeccion_Localidades!AX37,0),IF($AB37="RT",ROUND(Proyeccion_Localidades!BU37,0),"*****"))))</f>
        <v>427862</v>
      </c>
      <c r="AB37" s="67" t="str">
        <f>Proyeccion_Localidades!N37</f>
        <v>RT</v>
      </c>
      <c r="AC37" s="73" t="s">
        <v>36</v>
      </c>
      <c r="AD37" s="51" t="str">
        <f>IF(AB37="TGD",Proyeccion_Localidades!Z37,"-")</f>
        <v>-</v>
      </c>
      <c r="AE37" s="51" t="str">
        <f>IF($AB37="ALTH",Proyeccion_Localidades!AA37,"-")</f>
        <v>-</v>
      </c>
      <c r="AF37" s="51" t="str">
        <f>IF($AB37="ALTH",Proyeccion_Localidades!AB37,"-")</f>
        <v>-</v>
      </c>
      <c r="AG37" s="51"/>
      <c r="AH37" s="51"/>
      <c r="AI37" s="66">
        <f t="shared" si="2"/>
        <v>324552</v>
      </c>
    </row>
    <row r="38" spans="1:35" ht="24.95" customHeight="1">
      <c r="A38" s="69" t="str">
        <f>+Proyeccion_Localidades!C38</f>
        <v>Balcarce</v>
      </c>
      <c r="B38" s="70">
        <v>34</v>
      </c>
      <c r="C38" s="71" t="str">
        <f>+Proyeccion_Localidades!B38</f>
        <v>Balcarce</v>
      </c>
      <c r="D38" s="261">
        <f t="shared" si="3"/>
        <v>34</v>
      </c>
      <c r="E38" s="72">
        <f>+Proyeccion_Localidades!F38</f>
        <v>38376</v>
      </c>
      <c r="F38" s="66">
        <f>IF($AB38="TGD",ROUND($E38*(1+$AD38)^(F$4-$E$4),0),IF($AB38="ALTH",ROUND($AE38+$AF38*F$4,0),IF($AB38="IR",ROUND(Proyeccion_Localidades!AC38,0),IF($AB38="RT",ROUND(Proyeccion_Localidades!AZ38,0),"*****"))))</f>
        <v>45567</v>
      </c>
      <c r="G38" s="66">
        <f>IF($AB38="TGD",ROUND($E38*(1+$AD38)^(G$4-$E$4),0),IF($AB38="ALTH",ROUND($AE38+$AF38*G$4,0),IF($AB38="IR",ROUND(Proyeccion_Localidades!AD38,0),IF($AB38="RT",ROUND(Proyeccion_Localidades!BA38,0),"*****"))))</f>
        <v>46232</v>
      </c>
      <c r="H38" s="66">
        <f>IF($AB38="TGD",ROUND($E38*(1+$AD38)^(H$4-$E$4),0),IF($AB38="ALTH",ROUND($AE38+$AF38*H$4,0),IF($AB38="IR",ROUND(Proyeccion_Localidades!AE38,0),IF($AB38="RT",ROUND(Proyeccion_Localidades!BB38,0),"*****"))))</f>
        <v>48291</v>
      </c>
      <c r="I38" s="66">
        <f>IF($AB38="TGD",ROUND($E38*(1+$AD38)^(I$4-$E$4),0),IF($AB38="ALTH",ROUND($AE38+$AF38*I$4,0),IF($AB38="IR",ROUND(Proyeccion_Localidades!AF38,0),IF($AB38="RT",ROUND(Proyeccion_Localidades!BC38,0),"*****"))))</f>
        <v>49000</v>
      </c>
      <c r="J38" s="66">
        <f>IF($AB38="TGD",ROUND($E38*(1+$AD38)^(J$4-$E$4),0),IF($AB38="ALTH",ROUND($AE38+$AF38*J$4,0),IF($AB38="IR",ROUND(Proyeccion_Localidades!AG38,0),IF($AB38="RT",ROUND(Proyeccion_Localidades!BD38,0),"*****"))))</f>
        <v>49721</v>
      </c>
      <c r="K38" s="66">
        <f>IF($AB38="TGD",ROUND($E38*(1+$AD38)^(K$4-$E$4),0),IF($AB38="ALTH",ROUND($AE38+$AF38*K$4,0),IF($AB38="IR",ROUND(Proyeccion_Localidades!AH38,0),IF($AB38="RT",ROUND(Proyeccion_Localidades!BE38,0),"*****"))))</f>
        <v>50453</v>
      </c>
      <c r="L38" s="66">
        <f>IF($AB38="TGD",ROUND($E38*(1+$AD38)^(L$4-$E$4),0),IF($AB38="ALTH",ROUND($AE38+$AF38*L$4,0),IF($AB38="IR",ROUND(Proyeccion_Localidades!AI38,0),IF($AB38="RT",ROUND(Proyeccion_Localidades!BF38,0),"*****"))))</f>
        <v>51198</v>
      </c>
      <c r="M38" s="66">
        <f>IF($AB38="TGD",ROUND($E38*(1+$AD38)^(M$4-$E$4),0),IF($AB38="ALTH",ROUND($AE38+$AF38*M$4,0),IF($AB38="IR",ROUND(Proyeccion_Localidades!AJ38,0),IF($AB38="RT",ROUND(Proyeccion_Localidades!BG38,0),"*****"))))</f>
        <v>51954</v>
      </c>
      <c r="N38" s="66">
        <f>IF($AB38="TGD",ROUND($E38*(1+$AD38)^(N$4-$E$4),0),IF($AB38="ALTH",ROUND($AE38+$AF38*N$4,0),IF($AB38="IR",ROUND(Proyeccion_Localidades!AK38,0),IF($AB38="RT",ROUND(Proyeccion_Localidades!BH38,0),"*****"))))</f>
        <v>52723</v>
      </c>
      <c r="O38" s="66">
        <f>IF($AB38="TGD",ROUND($E38*(1+$AD38)^(O$4-$E$4),0),IF($AB38="ALTH",ROUND($AE38+$AF38*O$4,0),IF($AB38="IR",ROUND(Proyeccion_Localidades!AL38,0),IF($AB38="RT",ROUND(Proyeccion_Localidades!BI38,0),"*****"))))</f>
        <v>53505</v>
      </c>
      <c r="P38" s="66">
        <f>IF($AB38="TGD",ROUND($E38*(1+$AD38)^(P$4-$E$4),0),IF($AB38="ALTH",ROUND($AE38+$AF38*P$4,0),IF($AB38="IR",ROUND(Proyeccion_Localidades!AM38,0),IF($AB38="RT",ROUND(Proyeccion_Localidades!BJ38,0),"*****"))))</f>
        <v>54299</v>
      </c>
      <c r="Q38" s="66">
        <f>IF($AB38="TGD",ROUND($E38*(1+$AD38)^(Q$4-$E$4),0),IF($AB38="ALTH",ROUND($AE38+$AF38*Q$4,0),IF($AB38="IR",ROUND(Proyeccion_Localidades!AN38,0),IF($AB38="RT",ROUND(Proyeccion_Localidades!BK38,0),"*****"))))</f>
        <v>55106</v>
      </c>
      <c r="R38" s="66">
        <f>IF($AB38="TGD",ROUND($E38*(1+$AD38)^(R$4-$E$4),0),IF($AB38="ALTH",ROUND($AE38+$AF38*R$4,0),IF($AB38="IR",ROUND(Proyeccion_Localidades!AO38,0),IF($AB38="RT",ROUND(Proyeccion_Localidades!BL38,0),"*****"))))</f>
        <v>55926</v>
      </c>
      <c r="S38" s="66">
        <f>IF($AB38="TGD",ROUND($E38*(1+$AD38)^(S$4-$E$4),0),IF($AB38="ALTH",ROUND($AE38+$AF38*S$4,0),IF($AB38="IR",ROUND(Proyeccion_Localidades!AP38,0),IF($AB38="RT",ROUND(Proyeccion_Localidades!BM38,0),"*****"))))</f>
        <v>56760</v>
      </c>
      <c r="T38" s="66">
        <f>IF($AB38="TGD",ROUND($E38*(1+$AD38)^(T$4-$E$4),0),IF($AB38="ALTH",ROUND($AE38+$AF38*T$4,0),IF($AB38="IR",ROUND(Proyeccion_Localidades!AQ38,0),IF($AB38="RT",ROUND(Proyeccion_Localidades!BN38,0),"*****"))))</f>
        <v>57607</v>
      </c>
      <c r="U38" s="66">
        <f>IF($AB38="TGD",ROUND($E38*(1+$AD38)^(U$4-$E$4),0),IF($AB38="ALTH",ROUND($AE38+$AF38*U$4,0),IF($AB38="IR",ROUND(Proyeccion_Localidades!AR38,0),IF($AB38="RT",ROUND(Proyeccion_Localidades!BO38,0),"*****"))))</f>
        <v>58468</v>
      </c>
      <c r="V38" s="66">
        <f>IF($AB38="TGD",ROUND($E38*(1+$AD38)^(V$4-$E$4),0),IF($AB38="ALTH",ROUND($AE38+$AF38*V$4,0),IF($AB38="IR",ROUND(Proyeccion_Localidades!AS38,0),IF($AB38="RT",ROUND(Proyeccion_Localidades!BP38,0),"*****"))))</f>
        <v>59343</v>
      </c>
      <c r="W38" s="66">
        <f>IF($AB38="TGD",ROUND($E38*(1+$AD38)^(W$4-$E$4),0),IF($AB38="ALTH",ROUND($AE38+$AF38*W$4,0),IF($AB38="IR",ROUND(Proyeccion_Localidades!AT38,0),IF($AB38="RT",ROUND(Proyeccion_Localidades!BQ38,0),"*****"))))</f>
        <v>60233</v>
      </c>
      <c r="X38" s="66">
        <f>IF($AB38="TGD",ROUND($E38*(1+$AD38)^(X$4-$E$4),0),IF($AB38="ALTH",ROUND($AE38+$AF38*X$4,0),IF($AB38="IR",ROUND(Proyeccion_Localidades!AU38,0),IF($AB38="RT",ROUND(Proyeccion_Localidades!BR38,0),"*****"))))</f>
        <v>61137</v>
      </c>
      <c r="Y38" s="66">
        <f>IF($AB38="TGD",ROUND($E38*(1+$AD38)^(Y$4-$E$4),0),IF($AB38="ALTH",ROUND($AE38+$AF38*Y$4,0),IF($AB38="IR",ROUND(Proyeccion_Localidades!AV38,0),IF($AB38="RT",ROUND(Proyeccion_Localidades!BS38,0),"*****"))))</f>
        <v>62055</v>
      </c>
      <c r="Z38" s="66">
        <f>IF($AB38="TGD",ROUND($E38*(1+$AD38)^(Z$4-$E$4),0),IF($AB38="ALTH",ROUND($AE38+$AF38*Z$4,0),IF($AB38="IR",ROUND(Proyeccion_Localidades!AW38,0),IF($AB38="RT",ROUND(Proyeccion_Localidades!BT38,0),"*****"))))</f>
        <v>62989</v>
      </c>
      <c r="AA38" s="66">
        <f>IF($AB38="TGD",ROUND($E38*(1+$AD38)^(AA$4-$E$4),0),IF($AB38="ALTH",ROUND($AE38+$AF38*AA$4,0),IF($AB38="IR",ROUND(Proyeccion_Localidades!AX38,0),IF($AB38="RT",ROUND(Proyeccion_Localidades!BU38,0),"*****"))))</f>
        <v>63938</v>
      </c>
      <c r="AB38" s="67" t="str">
        <f>Proyeccion_Localidades!N38</f>
        <v>IR</v>
      </c>
      <c r="AC38" s="73"/>
      <c r="AD38" s="51" t="str">
        <f>IF(AB38="TGD",Proyeccion_Localidades!Z38,"-")</f>
        <v>-</v>
      </c>
      <c r="AE38" s="51" t="str">
        <f>IF($AB38="ALTH",Proyeccion_Localidades!AA38,"-")</f>
        <v>-</v>
      </c>
      <c r="AF38" s="51" t="str">
        <f>IF($AB38="ALTH",Proyeccion_Localidades!AB38,"-")</f>
        <v>-</v>
      </c>
      <c r="AG38" s="51"/>
      <c r="AH38" s="51"/>
      <c r="AI38" s="66">
        <f t="shared" si="2"/>
        <v>46232</v>
      </c>
    </row>
    <row r="39" spans="1:35" ht="24.95" customHeight="1">
      <c r="A39" s="69" t="str">
        <f>+Proyeccion_Localidades!C39</f>
        <v>Baradero</v>
      </c>
      <c r="B39" s="70">
        <v>35</v>
      </c>
      <c r="C39" s="71" t="str">
        <f>+Proyeccion_Localidades!B39</f>
        <v>Baradero</v>
      </c>
      <c r="D39" s="261">
        <f t="shared" si="3"/>
        <v>35</v>
      </c>
      <c r="E39" s="72">
        <f>+Proyeccion_Localidades!F39</f>
        <v>28537</v>
      </c>
      <c r="F39" s="66">
        <f>IF($AB39="TGD",ROUND($E39*(1+$AD39)^(F$4-$E$4),0),IF($AB39="ALTH",ROUND($AE39+$AF39*F$4,0),IF($AB39="IR",ROUND(Proyeccion_Localidades!AC39,0),IF($AB39="RT",ROUND(Proyeccion_Localidades!AZ39,0),"*****"))))</f>
        <v>32205</v>
      </c>
      <c r="G39" s="66">
        <f>IF($AB39="TGD",ROUND($E39*(1+$AD39)^(G$4-$E$4),0),IF($AB39="ALTH",ROUND($AE39+$AF39*G$4,0),IF($AB39="IR",ROUND(Proyeccion_Localidades!AD39,0),IF($AB39="RT",ROUND(Proyeccion_Localidades!BA39,0),"*****"))))</f>
        <v>32532</v>
      </c>
      <c r="H39" s="66">
        <f>IF($AB39="TGD",ROUND($E39*(1+$AD39)^(H$4-$E$4),0),IF($AB39="ALTH",ROUND($AE39+$AF39*H$4,0),IF($AB39="IR",ROUND(Proyeccion_Localidades!AE39,0),IF($AB39="RT",ROUND(Proyeccion_Localidades!BB39,0),"*****"))))</f>
        <v>33530</v>
      </c>
      <c r="I39" s="66">
        <f>IF($AB39="TGD",ROUND($E39*(1+$AD39)^(I$4-$E$4),0),IF($AB39="ALTH",ROUND($AE39+$AF39*I$4,0),IF($AB39="IR",ROUND(Proyeccion_Localidades!AF39,0),IF($AB39="RT",ROUND(Proyeccion_Localidades!BC39,0),"*****"))))</f>
        <v>33870</v>
      </c>
      <c r="J39" s="66">
        <f>IF($AB39="TGD",ROUND($E39*(1+$AD39)^(J$4-$E$4),0),IF($AB39="ALTH",ROUND($AE39+$AF39*J$4,0),IF($AB39="IR",ROUND(Proyeccion_Localidades!AG39,0),IF($AB39="RT",ROUND(Proyeccion_Localidades!BD39,0),"*****"))))</f>
        <v>34213</v>
      </c>
      <c r="K39" s="66">
        <f>IF($AB39="TGD",ROUND($E39*(1+$AD39)^(K$4-$E$4),0),IF($AB39="ALTH",ROUND($AE39+$AF39*K$4,0),IF($AB39="IR",ROUND(Proyeccion_Localidades!AH39,0),IF($AB39="RT",ROUND(Proyeccion_Localidades!BE39,0),"*****"))))</f>
        <v>34559</v>
      </c>
      <c r="L39" s="66">
        <f>IF($AB39="TGD",ROUND($E39*(1+$AD39)^(L$4-$E$4),0),IF($AB39="ALTH",ROUND($AE39+$AF39*L$4,0),IF($AB39="IR",ROUND(Proyeccion_Localidades!AI39,0),IF($AB39="RT",ROUND(Proyeccion_Localidades!BF39,0),"*****"))))</f>
        <v>34909</v>
      </c>
      <c r="M39" s="66">
        <f>IF($AB39="TGD",ROUND($E39*(1+$AD39)^(M$4-$E$4),0),IF($AB39="ALTH",ROUND($AE39+$AF39*M$4,0),IF($AB39="IR",ROUND(Proyeccion_Localidades!AJ39,0),IF($AB39="RT",ROUND(Proyeccion_Localidades!BG39,0),"*****"))))</f>
        <v>35263</v>
      </c>
      <c r="N39" s="66">
        <f>IF($AB39="TGD",ROUND($E39*(1+$AD39)^(N$4-$E$4),0),IF($AB39="ALTH",ROUND($AE39+$AF39*N$4,0),IF($AB39="IR",ROUND(Proyeccion_Localidades!AK39,0),IF($AB39="RT",ROUND(Proyeccion_Localidades!BH39,0),"*****"))))</f>
        <v>35620</v>
      </c>
      <c r="O39" s="66">
        <f>IF($AB39="TGD",ROUND($E39*(1+$AD39)^(O$4-$E$4),0),IF($AB39="ALTH",ROUND($AE39+$AF39*O$4,0),IF($AB39="IR",ROUND(Proyeccion_Localidades!AL39,0),IF($AB39="RT",ROUND(Proyeccion_Localidades!BI39,0),"*****"))))</f>
        <v>35981</v>
      </c>
      <c r="P39" s="66">
        <f>IF($AB39="TGD",ROUND($E39*(1+$AD39)^(P$4-$E$4),0),IF($AB39="ALTH",ROUND($AE39+$AF39*P$4,0),IF($AB39="IR",ROUND(Proyeccion_Localidades!AM39,0),IF($AB39="RT",ROUND(Proyeccion_Localidades!BJ39,0),"*****"))))</f>
        <v>36345</v>
      </c>
      <c r="Q39" s="66">
        <f>IF($AB39="TGD",ROUND($E39*(1+$AD39)^(Q$4-$E$4),0),IF($AB39="ALTH",ROUND($AE39+$AF39*Q$4,0),IF($AB39="IR",ROUND(Proyeccion_Localidades!AN39,0),IF($AB39="RT",ROUND(Proyeccion_Localidades!BK39,0),"*****"))))</f>
        <v>36713</v>
      </c>
      <c r="R39" s="66">
        <f>IF($AB39="TGD",ROUND($E39*(1+$AD39)^(R$4-$E$4),0),IF($AB39="ALTH",ROUND($AE39+$AF39*R$4,0),IF($AB39="IR",ROUND(Proyeccion_Localidades!AO39,0),IF($AB39="RT",ROUND(Proyeccion_Localidades!BL39,0),"*****"))))</f>
        <v>37085</v>
      </c>
      <c r="S39" s="66">
        <f>IF($AB39="TGD",ROUND($E39*(1+$AD39)^(S$4-$E$4),0),IF($AB39="ALTH",ROUND($AE39+$AF39*S$4,0),IF($AB39="IR",ROUND(Proyeccion_Localidades!AP39,0),IF($AB39="RT",ROUND(Proyeccion_Localidades!BM39,0),"*****"))))</f>
        <v>37461</v>
      </c>
      <c r="T39" s="66">
        <f>IF($AB39="TGD",ROUND($E39*(1+$AD39)^(T$4-$E$4),0),IF($AB39="ALTH",ROUND($AE39+$AF39*T$4,0),IF($AB39="IR",ROUND(Proyeccion_Localidades!AQ39,0),IF($AB39="RT",ROUND(Proyeccion_Localidades!BN39,0),"*****"))))</f>
        <v>37840</v>
      </c>
      <c r="U39" s="66">
        <f>IF($AB39="TGD",ROUND($E39*(1+$AD39)^(U$4-$E$4),0),IF($AB39="ALTH",ROUND($AE39+$AF39*U$4,0),IF($AB39="IR",ROUND(Proyeccion_Localidades!AR39,0),IF($AB39="RT",ROUND(Proyeccion_Localidades!BO39,0),"*****"))))</f>
        <v>38223</v>
      </c>
      <c r="V39" s="66">
        <f>IF($AB39="TGD",ROUND($E39*(1+$AD39)^(V$4-$E$4),0),IF($AB39="ALTH",ROUND($AE39+$AF39*V$4,0),IF($AB39="IR",ROUND(Proyeccion_Localidades!AS39,0),IF($AB39="RT",ROUND(Proyeccion_Localidades!BP39,0),"*****"))))</f>
        <v>38611</v>
      </c>
      <c r="W39" s="66">
        <f>IF($AB39="TGD",ROUND($E39*(1+$AD39)^(W$4-$E$4),0),IF($AB39="ALTH",ROUND($AE39+$AF39*W$4,0),IF($AB39="IR",ROUND(Proyeccion_Localidades!AT39,0),IF($AB39="RT",ROUND(Proyeccion_Localidades!BQ39,0),"*****"))))</f>
        <v>39002</v>
      </c>
      <c r="X39" s="66">
        <f>IF($AB39="TGD",ROUND($E39*(1+$AD39)^(X$4-$E$4),0),IF($AB39="ALTH",ROUND($AE39+$AF39*X$4,0),IF($AB39="IR",ROUND(Proyeccion_Localidades!AU39,0),IF($AB39="RT",ROUND(Proyeccion_Localidades!BR39,0),"*****"))))</f>
        <v>39397</v>
      </c>
      <c r="Y39" s="66">
        <f>IF($AB39="TGD",ROUND($E39*(1+$AD39)^(Y$4-$E$4),0),IF($AB39="ALTH",ROUND($AE39+$AF39*Y$4,0),IF($AB39="IR",ROUND(Proyeccion_Localidades!AV39,0),IF($AB39="RT",ROUND(Proyeccion_Localidades!BS39,0),"*****"))))</f>
        <v>39796</v>
      </c>
      <c r="Z39" s="66">
        <f>IF($AB39="TGD",ROUND($E39*(1+$AD39)^(Z$4-$E$4),0),IF($AB39="ALTH",ROUND($AE39+$AF39*Z$4,0),IF($AB39="IR",ROUND(Proyeccion_Localidades!AW39,0),IF($AB39="RT",ROUND(Proyeccion_Localidades!BT39,0),"*****"))))</f>
        <v>40199</v>
      </c>
      <c r="AA39" s="66">
        <f>IF($AB39="TGD",ROUND($E39*(1+$AD39)^(AA$4-$E$4),0),IF($AB39="ALTH",ROUND($AE39+$AF39*AA$4,0),IF($AB39="IR",ROUND(Proyeccion_Localidades!AX39,0),IF($AB39="RT",ROUND(Proyeccion_Localidades!BU39,0),"*****"))))</f>
        <v>40606</v>
      </c>
      <c r="AB39" s="67" t="str">
        <f>Proyeccion_Localidades!N39</f>
        <v>TGD</v>
      </c>
      <c r="AC39" s="73" t="s">
        <v>35</v>
      </c>
      <c r="AD39" s="51">
        <f>IF(AB39="TGD",Proyeccion_Localidades!Z39,"-")</f>
        <v>1.0128457643893252E-2</v>
      </c>
      <c r="AE39" s="51" t="str">
        <f>IF($AB39="ALTH",Proyeccion_Localidades!AA39,"-")</f>
        <v>-</v>
      </c>
      <c r="AF39" s="51" t="str">
        <f>IF($AB39="ALTH",Proyeccion_Localidades!AB39,"-")</f>
        <v>-</v>
      </c>
      <c r="AG39" s="51"/>
      <c r="AH39" s="51"/>
      <c r="AI39" s="66">
        <f t="shared" si="2"/>
        <v>32532</v>
      </c>
    </row>
    <row r="40" spans="1:35" ht="24.95" customHeight="1">
      <c r="A40" s="69" t="str">
        <f>+Proyeccion_Localidades!C40</f>
        <v>Benito Juárez</v>
      </c>
      <c r="B40" s="70">
        <v>36</v>
      </c>
      <c r="C40" s="71" t="str">
        <f>+Proyeccion_Localidades!B40</f>
        <v>Benito Juárez</v>
      </c>
      <c r="D40" s="261">
        <f t="shared" si="3"/>
        <v>36</v>
      </c>
      <c r="E40" s="72">
        <f>+Proyeccion_Localidades!F40</f>
        <v>14279</v>
      </c>
      <c r="F40" s="66">
        <f>IF($AB40="TGD",ROUND($E40*(1+$AD40)^(F$4-$E$4),0),IF($AB40="ALTH",ROUND($AE40+$AF40*F$4,0),IF($AB40="IR",ROUND(Proyeccion_Localidades!AC40,0),IF($AB40="RT",ROUND(Proyeccion_Localidades!AZ40,0),"*****"))))</f>
        <v>15195</v>
      </c>
      <c r="G40" s="66">
        <f>IF($AB40="TGD",ROUND($E40*(1+$AD40)^(G$4-$E$4),0),IF($AB40="ALTH",ROUND($AE40+$AF40*G$4,0),IF($AB40="IR",ROUND(Proyeccion_Localidades!AD40,0),IF($AB40="RT",ROUND(Proyeccion_Localidades!BA40,0),"*****"))))</f>
        <v>15280</v>
      </c>
      <c r="H40" s="66">
        <f>IF($AB40="TGD",ROUND($E40*(1+$AD40)^(H$4-$E$4),0),IF($AB40="ALTH",ROUND($AE40+$AF40*H$4,0),IF($AB40="IR",ROUND(Proyeccion_Localidades!AE40,0),IF($AB40="RT",ROUND(Proyeccion_Localidades!BB40,0),"*****"))))</f>
        <v>15542</v>
      </c>
      <c r="I40" s="66">
        <f>IF($AB40="TGD",ROUND($E40*(1+$AD40)^(I$4-$E$4),0),IF($AB40="ALTH",ROUND($AE40+$AF40*I$4,0),IF($AB40="IR",ROUND(Proyeccion_Localidades!AF40,0),IF($AB40="RT",ROUND(Proyeccion_Localidades!BC40,0),"*****"))))</f>
        <v>15633</v>
      </c>
      <c r="J40" s="66">
        <f>IF($AB40="TGD",ROUND($E40*(1+$AD40)^(J$4-$E$4),0),IF($AB40="ALTH",ROUND($AE40+$AF40*J$4,0),IF($AB40="IR",ROUND(Proyeccion_Localidades!AG40,0),IF($AB40="RT",ROUND(Proyeccion_Localidades!BD40,0),"*****"))))</f>
        <v>15724</v>
      </c>
      <c r="K40" s="66">
        <f>IF($AB40="TGD",ROUND($E40*(1+$AD40)^(K$4-$E$4),0),IF($AB40="ALTH",ROUND($AE40+$AF40*K$4,0),IF($AB40="IR",ROUND(Proyeccion_Localidades!AH40,0),IF($AB40="RT",ROUND(Proyeccion_Localidades!BE40,0),"*****"))))</f>
        <v>15818</v>
      </c>
      <c r="L40" s="66">
        <f>IF($AB40="TGD",ROUND($E40*(1+$AD40)^(L$4-$E$4),0),IF($AB40="ALTH",ROUND($AE40+$AF40*L$4,0),IF($AB40="IR",ROUND(Proyeccion_Localidades!AI40,0),IF($AB40="RT",ROUND(Proyeccion_Localidades!BF40,0),"*****"))))</f>
        <v>15913</v>
      </c>
      <c r="M40" s="66">
        <f>IF($AB40="TGD",ROUND($E40*(1+$AD40)^(M$4-$E$4),0),IF($AB40="ALTH",ROUND($AE40+$AF40*M$4,0),IF($AB40="IR",ROUND(Proyeccion_Localidades!AJ40,0),IF($AB40="RT",ROUND(Proyeccion_Localidades!BG40,0),"*****"))))</f>
        <v>16009</v>
      </c>
      <c r="N40" s="66">
        <f>IF($AB40="TGD",ROUND($E40*(1+$AD40)^(N$4-$E$4),0),IF($AB40="ALTH",ROUND($AE40+$AF40*N$4,0),IF($AB40="IR",ROUND(Proyeccion_Localidades!AK40,0),IF($AB40="RT",ROUND(Proyeccion_Localidades!BH40,0),"*****"))))</f>
        <v>16107</v>
      </c>
      <c r="O40" s="66">
        <f>IF($AB40="TGD",ROUND($E40*(1+$AD40)^(O$4-$E$4),0),IF($AB40="ALTH",ROUND($AE40+$AF40*O$4,0),IF($AB40="IR",ROUND(Proyeccion_Localidades!AL40,0),IF($AB40="RT",ROUND(Proyeccion_Localidades!BI40,0),"*****"))))</f>
        <v>16206</v>
      </c>
      <c r="P40" s="66">
        <f>IF($AB40="TGD",ROUND($E40*(1+$AD40)^(P$4-$E$4),0),IF($AB40="ALTH",ROUND($AE40+$AF40*P$4,0),IF($AB40="IR",ROUND(Proyeccion_Localidades!AM40,0),IF($AB40="RT",ROUND(Proyeccion_Localidades!BJ40,0),"*****"))))</f>
        <v>16308</v>
      </c>
      <c r="Q40" s="66">
        <f>IF($AB40="TGD",ROUND($E40*(1+$AD40)^(Q$4-$E$4),0),IF($AB40="ALTH",ROUND($AE40+$AF40*Q$4,0),IF($AB40="IR",ROUND(Proyeccion_Localidades!AN40,0),IF($AB40="RT",ROUND(Proyeccion_Localidades!BK40,0),"*****"))))</f>
        <v>16410</v>
      </c>
      <c r="R40" s="66">
        <f>IF($AB40="TGD",ROUND($E40*(1+$AD40)^(R$4-$E$4),0),IF($AB40="ALTH",ROUND($AE40+$AF40*R$4,0),IF($AB40="IR",ROUND(Proyeccion_Localidades!AO40,0),IF($AB40="RT",ROUND(Proyeccion_Localidades!BL40,0),"*****"))))</f>
        <v>16515</v>
      </c>
      <c r="S40" s="66">
        <f>IF($AB40="TGD",ROUND($E40*(1+$AD40)^(S$4-$E$4),0),IF($AB40="ALTH",ROUND($AE40+$AF40*S$4,0),IF($AB40="IR",ROUND(Proyeccion_Localidades!AP40,0),IF($AB40="RT",ROUND(Proyeccion_Localidades!BM40,0),"*****"))))</f>
        <v>16621</v>
      </c>
      <c r="T40" s="66">
        <f>IF($AB40="TGD",ROUND($E40*(1+$AD40)^(T$4-$E$4),0),IF($AB40="ALTH",ROUND($AE40+$AF40*T$4,0),IF($AB40="IR",ROUND(Proyeccion_Localidades!AQ40,0),IF($AB40="RT",ROUND(Proyeccion_Localidades!BN40,0),"*****"))))</f>
        <v>16729</v>
      </c>
      <c r="U40" s="66">
        <f>IF($AB40="TGD",ROUND($E40*(1+$AD40)^(U$4-$E$4),0),IF($AB40="ALTH",ROUND($AE40+$AF40*U$4,0),IF($AB40="IR",ROUND(Proyeccion_Localidades!AR40,0),IF($AB40="RT",ROUND(Proyeccion_Localidades!BO40,0),"*****"))))</f>
        <v>16839</v>
      </c>
      <c r="V40" s="66">
        <f>IF($AB40="TGD",ROUND($E40*(1+$AD40)^(V$4-$E$4),0),IF($AB40="ALTH",ROUND($AE40+$AF40*V$4,0),IF($AB40="IR",ROUND(Proyeccion_Localidades!AS40,0),IF($AB40="RT",ROUND(Proyeccion_Localidades!BP40,0),"*****"))))</f>
        <v>16950</v>
      </c>
      <c r="W40" s="66">
        <f>IF($AB40="TGD",ROUND($E40*(1+$AD40)^(W$4-$E$4),0),IF($AB40="ALTH",ROUND($AE40+$AF40*W$4,0),IF($AB40="IR",ROUND(Proyeccion_Localidades!AT40,0),IF($AB40="RT",ROUND(Proyeccion_Localidades!BQ40,0),"*****"))))</f>
        <v>17064</v>
      </c>
      <c r="X40" s="66">
        <f>IF($AB40="TGD",ROUND($E40*(1+$AD40)^(X$4-$E$4),0),IF($AB40="ALTH",ROUND($AE40+$AF40*X$4,0),IF($AB40="IR",ROUND(Proyeccion_Localidades!AU40,0),IF($AB40="RT",ROUND(Proyeccion_Localidades!BR40,0),"*****"))))</f>
        <v>17179</v>
      </c>
      <c r="Y40" s="66">
        <f>IF($AB40="TGD",ROUND($E40*(1+$AD40)^(Y$4-$E$4),0),IF($AB40="ALTH",ROUND($AE40+$AF40*Y$4,0),IF($AB40="IR",ROUND(Proyeccion_Localidades!AV40,0),IF($AB40="RT",ROUND(Proyeccion_Localidades!BS40,0),"*****"))))</f>
        <v>17296</v>
      </c>
      <c r="Z40" s="66">
        <f>IF($AB40="TGD",ROUND($E40*(1+$AD40)^(Z$4-$E$4),0),IF($AB40="ALTH",ROUND($AE40+$AF40*Z$4,0),IF($AB40="IR",ROUND(Proyeccion_Localidades!AW40,0),IF($AB40="RT",ROUND(Proyeccion_Localidades!BT40,0),"*****"))))</f>
        <v>17415</v>
      </c>
      <c r="AA40" s="66">
        <f>IF($AB40="TGD",ROUND($E40*(1+$AD40)^(AA$4-$E$4),0),IF($AB40="ALTH",ROUND($AE40+$AF40*AA$4,0),IF($AB40="IR",ROUND(Proyeccion_Localidades!AX40,0),IF($AB40="RT",ROUND(Proyeccion_Localidades!BU40,0),"*****"))))</f>
        <v>17536</v>
      </c>
      <c r="AB40" s="67" t="str">
        <f>Proyeccion_Localidades!N40</f>
        <v>IR</v>
      </c>
      <c r="AC40" s="73"/>
      <c r="AD40" s="51" t="str">
        <f>IF(AB40="TGD",Proyeccion_Localidades!Z40,"-")</f>
        <v>-</v>
      </c>
      <c r="AE40" s="51" t="str">
        <f>IF($AB40="ALTH",Proyeccion_Localidades!AA40,"-")</f>
        <v>-</v>
      </c>
      <c r="AF40" s="51" t="str">
        <f>IF($AB40="ALTH",Proyeccion_Localidades!AB40,"-")</f>
        <v>-</v>
      </c>
      <c r="AG40" s="51"/>
      <c r="AH40" s="51"/>
      <c r="AI40" s="66">
        <f t="shared" si="2"/>
        <v>15280</v>
      </c>
    </row>
    <row r="41" spans="1:35" ht="24.95" customHeight="1">
      <c r="A41" s="69" t="str">
        <f>+Proyeccion_Localidades!C41</f>
        <v>Berisso</v>
      </c>
      <c r="B41" s="70">
        <v>37</v>
      </c>
      <c r="C41" s="71" t="str">
        <f>+Proyeccion_Localidades!B41</f>
        <v>Berisso</v>
      </c>
      <c r="D41" s="261">
        <f t="shared" si="3"/>
        <v>37</v>
      </c>
      <c r="E41" s="72">
        <f>+Proyeccion_Localidades!F41</f>
        <v>87698</v>
      </c>
      <c r="F41" s="66">
        <f>IF($AB41="TGD",ROUND($E41*(1+$AD41)^(F$4-$E$4),0),IF($AB41="ALTH",ROUND($AE41+$AF41*F$4,0),IF($AB41="IR",ROUND(Proyeccion_Localidades!AC41,0),IF($AB41="RT",ROUND(Proyeccion_Localidades!AZ41,0),"*****"))))</f>
        <v>98562</v>
      </c>
      <c r="G41" s="66">
        <f>IF($AB41="TGD",ROUND($E41*(1+$AD41)^(G$4-$E$4),0),IF($AB41="ALTH",ROUND($AE41+$AF41*G$4,0),IF($AB41="IR",ROUND(Proyeccion_Localidades!AD41,0),IF($AB41="RT",ROUND(Proyeccion_Localidades!BA41,0),"*****"))))</f>
        <v>99526</v>
      </c>
      <c r="H41" s="66">
        <f>IF($AB41="TGD",ROUND($E41*(1+$AD41)^(H$4-$E$4),0),IF($AB41="ALTH",ROUND($AE41+$AF41*H$4,0),IF($AB41="IR",ROUND(Proyeccion_Localidades!AE41,0),IF($AB41="RT",ROUND(Proyeccion_Localidades!BB41,0),"*****"))))</f>
        <v>102475</v>
      </c>
      <c r="I41" s="66">
        <f>IF($AB41="TGD",ROUND($E41*(1+$AD41)^(I$4-$E$4),0),IF($AB41="ALTH",ROUND($AE41+$AF41*I$4,0),IF($AB41="IR",ROUND(Proyeccion_Localidades!AF41,0),IF($AB41="RT",ROUND(Proyeccion_Localidades!BC41,0),"*****"))))</f>
        <v>103477</v>
      </c>
      <c r="J41" s="66">
        <f>IF($AB41="TGD",ROUND($E41*(1+$AD41)^(J$4-$E$4),0),IF($AB41="ALTH",ROUND($AE41+$AF41*J$4,0),IF($AB41="IR",ROUND(Proyeccion_Localidades!AG41,0),IF($AB41="RT",ROUND(Proyeccion_Localidades!BD41,0),"*****"))))</f>
        <v>104489</v>
      </c>
      <c r="K41" s="66">
        <f>IF($AB41="TGD",ROUND($E41*(1+$AD41)^(K$4-$E$4),0),IF($AB41="ALTH",ROUND($AE41+$AF41*K$4,0),IF($AB41="IR",ROUND(Proyeccion_Localidades!AH41,0),IF($AB41="RT",ROUND(Proyeccion_Localidades!BE41,0),"*****"))))</f>
        <v>105511</v>
      </c>
      <c r="L41" s="66">
        <f>IF($AB41="TGD",ROUND($E41*(1+$AD41)^(L$4-$E$4),0),IF($AB41="ALTH",ROUND($AE41+$AF41*L$4,0),IF($AB41="IR",ROUND(Proyeccion_Localidades!AI41,0),IF($AB41="RT",ROUND(Proyeccion_Localidades!BF41,0),"*****"))))</f>
        <v>106543</v>
      </c>
      <c r="M41" s="66">
        <f>IF($AB41="TGD",ROUND($E41*(1+$AD41)^(M$4-$E$4),0),IF($AB41="ALTH",ROUND($AE41+$AF41*M$4,0),IF($AB41="IR",ROUND(Proyeccion_Localidades!AJ41,0),IF($AB41="RT",ROUND(Proyeccion_Localidades!BG41,0),"*****"))))</f>
        <v>107585</v>
      </c>
      <c r="N41" s="66">
        <f>IF($AB41="TGD",ROUND($E41*(1+$AD41)^(N$4-$E$4),0),IF($AB41="ALTH",ROUND($AE41+$AF41*N$4,0),IF($AB41="IR",ROUND(Proyeccion_Localidades!AK41,0),IF($AB41="RT",ROUND(Proyeccion_Localidades!BH41,0),"*****"))))</f>
        <v>108637</v>
      </c>
      <c r="O41" s="66">
        <f>IF($AB41="TGD",ROUND($E41*(1+$AD41)^(O$4-$E$4),0),IF($AB41="ALTH",ROUND($AE41+$AF41*O$4,0),IF($AB41="IR",ROUND(Proyeccion_Localidades!AL41,0),IF($AB41="RT",ROUND(Proyeccion_Localidades!BI41,0),"*****"))))</f>
        <v>109699</v>
      </c>
      <c r="P41" s="66">
        <f>IF($AB41="TGD",ROUND($E41*(1+$AD41)^(P$4-$E$4),0),IF($AB41="ALTH",ROUND($AE41+$AF41*P$4,0),IF($AB41="IR",ROUND(Proyeccion_Localidades!AM41,0),IF($AB41="RT",ROUND(Proyeccion_Localidades!BJ41,0),"*****"))))</f>
        <v>110772</v>
      </c>
      <c r="Q41" s="66">
        <f>IF($AB41="TGD",ROUND($E41*(1+$AD41)^(Q$4-$E$4),0),IF($AB41="ALTH",ROUND($AE41+$AF41*Q$4,0),IF($AB41="IR",ROUND(Proyeccion_Localidades!AN41,0),IF($AB41="RT",ROUND(Proyeccion_Localidades!BK41,0),"*****"))))</f>
        <v>111855</v>
      </c>
      <c r="R41" s="66">
        <f>IF($AB41="TGD",ROUND($E41*(1+$AD41)^(R$4-$E$4),0),IF($AB41="ALTH",ROUND($AE41+$AF41*R$4,0),IF($AB41="IR",ROUND(Proyeccion_Localidades!AO41,0),IF($AB41="RT",ROUND(Proyeccion_Localidades!BL41,0),"*****"))))</f>
        <v>112949</v>
      </c>
      <c r="S41" s="66">
        <f>IF($AB41="TGD",ROUND($E41*(1+$AD41)^(S$4-$E$4),0),IF($AB41="ALTH",ROUND($AE41+$AF41*S$4,0),IF($AB41="IR",ROUND(Proyeccion_Localidades!AP41,0),IF($AB41="RT",ROUND(Proyeccion_Localidades!BM41,0),"*****"))))</f>
        <v>114054</v>
      </c>
      <c r="T41" s="66">
        <f>IF($AB41="TGD",ROUND($E41*(1+$AD41)^(T$4-$E$4),0),IF($AB41="ALTH",ROUND($AE41+$AF41*T$4,0),IF($AB41="IR",ROUND(Proyeccion_Localidades!AQ41,0),IF($AB41="RT",ROUND(Proyeccion_Localidades!BN41,0),"*****"))))</f>
        <v>115169</v>
      </c>
      <c r="U41" s="66">
        <f>IF($AB41="TGD",ROUND($E41*(1+$AD41)^(U$4-$E$4),0),IF($AB41="ALTH",ROUND($AE41+$AF41*U$4,0),IF($AB41="IR",ROUND(Proyeccion_Localidades!AR41,0),IF($AB41="RT",ROUND(Proyeccion_Localidades!BO41,0),"*****"))))</f>
        <v>116296</v>
      </c>
      <c r="V41" s="66">
        <f>IF($AB41="TGD",ROUND($E41*(1+$AD41)^(V$4-$E$4),0),IF($AB41="ALTH",ROUND($AE41+$AF41*V$4,0),IF($AB41="IR",ROUND(Proyeccion_Localidades!AS41,0),IF($AB41="RT",ROUND(Proyeccion_Localidades!BP41,0),"*****"))))</f>
        <v>117433</v>
      </c>
      <c r="W41" s="66">
        <f>IF($AB41="TGD",ROUND($E41*(1+$AD41)^(W$4-$E$4),0),IF($AB41="ALTH",ROUND($AE41+$AF41*W$4,0),IF($AB41="IR",ROUND(Proyeccion_Localidades!AT41,0),IF($AB41="RT",ROUND(Proyeccion_Localidades!BQ41,0),"*****"))))</f>
        <v>118582</v>
      </c>
      <c r="X41" s="66">
        <f>IF($AB41="TGD",ROUND($E41*(1+$AD41)^(X$4-$E$4),0),IF($AB41="ALTH",ROUND($AE41+$AF41*X$4,0),IF($AB41="IR",ROUND(Proyeccion_Localidades!AU41,0),IF($AB41="RT",ROUND(Proyeccion_Localidades!BR41,0),"*****"))))</f>
        <v>119741</v>
      </c>
      <c r="Y41" s="66">
        <f>IF($AB41="TGD",ROUND($E41*(1+$AD41)^(Y$4-$E$4),0),IF($AB41="ALTH",ROUND($AE41+$AF41*Y$4,0),IF($AB41="IR",ROUND(Proyeccion_Localidades!AV41,0),IF($AB41="RT",ROUND(Proyeccion_Localidades!BS41,0),"*****"))))</f>
        <v>120912</v>
      </c>
      <c r="Z41" s="66">
        <f>IF($AB41="TGD",ROUND($E41*(1+$AD41)^(Z$4-$E$4),0),IF($AB41="ALTH",ROUND($AE41+$AF41*Z$4,0),IF($AB41="IR",ROUND(Proyeccion_Localidades!AW41,0),IF($AB41="RT",ROUND(Proyeccion_Localidades!BT41,0),"*****"))))</f>
        <v>122095</v>
      </c>
      <c r="AA41" s="66">
        <f>IF($AB41="TGD",ROUND($E41*(1+$AD41)^(AA$4-$E$4),0),IF($AB41="ALTH",ROUND($AE41+$AF41*AA$4,0),IF($AB41="IR",ROUND(Proyeccion_Localidades!AX41,0),IF($AB41="RT",ROUND(Proyeccion_Localidades!BU41,0),"*****"))))</f>
        <v>123289</v>
      </c>
      <c r="AB41" s="67" t="str">
        <f>Proyeccion_Localidades!N41</f>
        <v>TGD</v>
      </c>
      <c r="AC41" s="73" t="s">
        <v>35</v>
      </c>
      <c r="AD41" s="51">
        <f>IF(AB41="TGD",Proyeccion_Localidades!Z41,"-")</f>
        <v>9.7798164570530588E-3</v>
      </c>
      <c r="AE41" s="51" t="str">
        <f>IF($AB41="ALTH",Proyeccion_Localidades!AA41,"-")</f>
        <v>-</v>
      </c>
      <c r="AF41" s="51" t="str">
        <f>IF($AB41="ALTH",Proyeccion_Localidades!AB41,"-")</f>
        <v>-</v>
      </c>
      <c r="AG41" s="51"/>
      <c r="AH41" s="51"/>
      <c r="AI41" s="66">
        <f t="shared" si="2"/>
        <v>99526</v>
      </c>
    </row>
    <row r="42" spans="1:35" ht="24.95" customHeight="1">
      <c r="A42" s="69" t="str">
        <f>+Proyeccion_Localidades!C42</f>
        <v>Bolívar</v>
      </c>
      <c r="B42" s="70">
        <v>38</v>
      </c>
      <c r="C42" s="71" t="str">
        <f>+Proyeccion_Localidades!B42</f>
        <v>San Carlos de Bolívar</v>
      </c>
      <c r="D42" s="261">
        <f t="shared" si="3"/>
        <v>38</v>
      </c>
      <c r="E42" s="72">
        <f>+Proyeccion_Localidades!F42</f>
        <v>26242</v>
      </c>
      <c r="F42" s="66">
        <f>IF($AB42="TGD",ROUND($E42*(1+$AD42)^(F$4-$E$4),0),IF($AB42="ALTH",ROUND($AE42+$AF42*F$4,0),IF($AB42="IR",ROUND(Proyeccion_Localidades!AC42,0),IF($AB42="RT",ROUND(Proyeccion_Localidades!AZ42,0),"*****"))))</f>
        <v>28482</v>
      </c>
      <c r="G42" s="66">
        <f>IF($AB42="TGD",ROUND($E42*(1+$AD42)^(G$4-$E$4),0),IF($AB42="ALTH",ROUND($AE42+$AF42*G$4,0),IF($AB42="IR",ROUND(Proyeccion_Localidades!AD42,0),IF($AB42="RT",ROUND(Proyeccion_Localidades!BA42,0),"*****"))))</f>
        <v>28677</v>
      </c>
      <c r="H42" s="66">
        <f>IF($AB42="TGD",ROUND($E42*(1+$AD42)^(H$4-$E$4),0),IF($AB42="ALTH",ROUND($AE42+$AF42*H$4,0),IF($AB42="IR",ROUND(Proyeccion_Localidades!AE42,0),IF($AB42="RT",ROUND(Proyeccion_Localidades!BB42,0),"*****"))))</f>
        <v>29271</v>
      </c>
      <c r="I42" s="66">
        <f>IF($AB42="TGD",ROUND($E42*(1+$AD42)^(I$4-$E$4),0),IF($AB42="ALTH",ROUND($AE42+$AF42*I$4,0),IF($AB42="IR",ROUND(Proyeccion_Localidades!AF42,0),IF($AB42="RT",ROUND(Proyeccion_Localidades!BC42,0),"*****"))))</f>
        <v>29471</v>
      </c>
      <c r="J42" s="66">
        <f>IF($AB42="TGD",ROUND($E42*(1+$AD42)^(J$4-$E$4),0),IF($AB42="ALTH",ROUND($AE42+$AF42*J$4,0),IF($AB42="IR",ROUND(Proyeccion_Localidades!AG42,0),IF($AB42="RT",ROUND(Proyeccion_Localidades!BD42,0),"*****"))))</f>
        <v>29673</v>
      </c>
      <c r="K42" s="66">
        <f>IF($AB42="TGD",ROUND($E42*(1+$AD42)^(K$4-$E$4),0),IF($AB42="ALTH",ROUND($AE42+$AF42*K$4,0),IF($AB42="IR",ROUND(Proyeccion_Localidades!AH42,0),IF($AB42="RT",ROUND(Proyeccion_Localidades!BE42,0),"*****"))))</f>
        <v>29876</v>
      </c>
      <c r="L42" s="66">
        <f>IF($AB42="TGD",ROUND($E42*(1+$AD42)^(L$4-$E$4),0),IF($AB42="ALTH",ROUND($AE42+$AF42*L$4,0),IF($AB42="IR",ROUND(Proyeccion_Localidades!AI42,0),IF($AB42="RT",ROUND(Proyeccion_Localidades!BF42,0),"*****"))))</f>
        <v>30081</v>
      </c>
      <c r="M42" s="66">
        <f>IF($AB42="TGD",ROUND($E42*(1+$AD42)^(M$4-$E$4),0),IF($AB42="ALTH",ROUND($AE42+$AF42*M$4,0),IF($AB42="IR",ROUND(Proyeccion_Localidades!AJ42,0),IF($AB42="RT",ROUND(Proyeccion_Localidades!BG42,0),"*****"))))</f>
        <v>30287</v>
      </c>
      <c r="N42" s="66">
        <f>IF($AB42="TGD",ROUND($E42*(1+$AD42)^(N$4-$E$4),0),IF($AB42="ALTH",ROUND($AE42+$AF42*N$4,0),IF($AB42="IR",ROUND(Proyeccion_Localidades!AK42,0),IF($AB42="RT",ROUND(Proyeccion_Localidades!BH42,0),"*****"))))</f>
        <v>30494</v>
      </c>
      <c r="O42" s="66">
        <f>IF($AB42="TGD",ROUND($E42*(1+$AD42)^(O$4-$E$4),0),IF($AB42="ALTH",ROUND($AE42+$AF42*O$4,0),IF($AB42="IR",ROUND(Proyeccion_Localidades!AL42,0),IF($AB42="RT",ROUND(Proyeccion_Localidades!BI42,0),"*****"))))</f>
        <v>30703</v>
      </c>
      <c r="P42" s="66">
        <f>IF($AB42="TGD",ROUND($E42*(1+$AD42)^(P$4-$E$4),0),IF($AB42="ALTH",ROUND($AE42+$AF42*P$4,0),IF($AB42="IR",ROUND(Proyeccion_Localidades!AM42,0),IF($AB42="RT",ROUND(Proyeccion_Localidades!BJ42,0),"*****"))))</f>
        <v>30913</v>
      </c>
      <c r="Q42" s="66">
        <f>IF($AB42="TGD",ROUND($E42*(1+$AD42)^(Q$4-$E$4),0),IF($AB42="ALTH",ROUND($AE42+$AF42*Q$4,0),IF($AB42="IR",ROUND(Proyeccion_Localidades!AN42,0),IF($AB42="RT",ROUND(Proyeccion_Localidades!BK42,0),"*****"))))</f>
        <v>31125</v>
      </c>
      <c r="R42" s="66">
        <f>IF($AB42="TGD",ROUND($E42*(1+$AD42)^(R$4-$E$4),0),IF($AB42="ALTH",ROUND($AE42+$AF42*R$4,0),IF($AB42="IR",ROUND(Proyeccion_Localidades!AO42,0),IF($AB42="RT",ROUND(Proyeccion_Localidades!BL42,0),"*****"))))</f>
        <v>31338</v>
      </c>
      <c r="S42" s="66">
        <f>IF($AB42="TGD",ROUND($E42*(1+$AD42)^(S$4-$E$4),0),IF($AB42="ALTH",ROUND($AE42+$AF42*S$4,0),IF($AB42="IR",ROUND(Proyeccion_Localidades!AP42,0),IF($AB42="RT",ROUND(Proyeccion_Localidades!BM42,0),"*****"))))</f>
        <v>31553</v>
      </c>
      <c r="T42" s="66">
        <f>IF($AB42="TGD",ROUND($E42*(1+$AD42)^(T$4-$E$4),0),IF($AB42="ALTH",ROUND($AE42+$AF42*T$4,0),IF($AB42="IR",ROUND(Proyeccion_Localidades!AQ42,0),IF($AB42="RT",ROUND(Proyeccion_Localidades!BN42,0),"*****"))))</f>
        <v>31769</v>
      </c>
      <c r="U42" s="66">
        <f>IF($AB42="TGD",ROUND($E42*(1+$AD42)^(U$4-$E$4),0),IF($AB42="ALTH",ROUND($AE42+$AF42*U$4,0),IF($AB42="IR",ROUND(Proyeccion_Localidades!AR42,0),IF($AB42="RT",ROUND(Proyeccion_Localidades!BO42,0),"*****"))))</f>
        <v>31987</v>
      </c>
      <c r="V42" s="66">
        <f>IF($AB42="TGD",ROUND($E42*(1+$AD42)^(V$4-$E$4),0),IF($AB42="ALTH",ROUND($AE42+$AF42*V$4,0),IF($AB42="IR",ROUND(Proyeccion_Localidades!AS42,0),IF($AB42="RT",ROUND(Proyeccion_Localidades!BP42,0),"*****"))))</f>
        <v>32206</v>
      </c>
      <c r="W42" s="66">
        <f>IF($AB42="TGD",ROUND($E42*(1+$AD42)^(W$4-$E$4),0),IF($AB42="ALTH",ROUND($AE42+$AF42*W$4,0),IF($AB42="IR",ROUND(Proyeccion_Localidades!AT42,0),IF($AB42="RT",ROUND(Proyeccion_Localidades!BQ42,0),"*****"))))</f>
        <v>32427</v>
      </c>
      <c r="X42" s="66">
        <f>IF($AB42="TGD",ROUND($E42*(1+$AD42)^(X$4-$E$4),0),IF($AB42="ALTH",ROUND($AE42+$AF42*X$4,0),IF($AB42="IR",ROUND(Proyeccion_Localidades!AU42,0),IF($AB42="RT",ROUND(Proyeccion_Localidades!BR42,0),"*****"))))</f>
        <v>32649</v>
      </c>
      <c r="Y42" s="66">
        <f>IF($AB42="TGD",ROUND($E42*(1+$AD42)^(Y$4-$E$4),0),IF($AB42="ALTH",ROUND($AE42+$AF42*Y$4,0),IF($AB42="IR",ROUND(Proyeccion_Localidades!AV42,0),IF($AB42="RT",ROUND(Proyeccion_Localidades!BS42,0),"*****"))))</f>
        <v>32872</v>
      </c>
      <c r="Z42" s="66">
        <f>IF($AB42="TGD",ROUND($E42*(1+$AD42)^(Z$4-$E$4),0),IF($AB42="ALTH",ROUND($AE42+$AF42*Z$4,0),IF($AB42="IR",ROUND(Proyeccion_Localidades!AW42,0),IF($AB42="RT",ROUND(Proyeccion_Localidades!BT42,0),"*****"))))</f>
        <v>33097</v>
      </c>
      <c r="AA42" s="66">
        <f>IF($AB42="TGD",ROUND($E42*(1+$AD42)^(AA$4-$E$4),0),IF($AB42="ALTH",ROUND($AE42+$AF42*AA$4,0),IF($AB42="IR",ROUND(Proyeccion_Localidades!AX42,0),IF($AB42="RT",ROUND(Proyeccion_Localidades!BU42,0),"*****"))))</f>
        <v>33324</v>
      </c>
      <c r="AB42" s="67" t="str">
        <f>Proyeccion_Localidades!N42</f>
        <v>TGD</v>
      </c>
      <c r="AC42" s="73" t="s">
        <v>35</v>
      </c>
      <c r="AD42" s="51">
        <f>IF(AB42="TGD",Proyeccion_Localidades!Z42,"-")</f>
        <v>6.8496386282238531E-3</v>
      </c>
      <c r="AE42" s="51" t="str">
        <f>IF($AB42="ALTH",Proyeccion_Localidades!AA42,"-")</f>
        <v>-</v>
      </c>
      <c r="AF42" s="51" t="str">
        <f>IF($AB42="ALTH",Proyeccion_Localidades!AB42,"-")</f>
        <v>-</v>
      </c>
      <c r="AG42" s="51"/>
      <c r="AH42" s="51"/>
      <c r="AI42" s="66">
        <f t="shared" si="2"/>
        <v>28677</v>
      </c>
    </row>
    <row r="43" spans="1:35" ht="24.95" customHeight="1">
      <c r="A43" s="69" t="str">
        <f>+Proyeccion_Localidades!C43</f>
        <v>Bragado</v>
      </c>
      <c r="B43" s="70">
        <v>39</v>
      </c>
      <c r="C43" s="71" t="str">
        <f>+Proyeccion_Localidades!B43</f>
        <v>Bragado</v>
      </c>
      <c r="D43" s="261">
        <f t="shared" si="3"/>
        <v>39</v>
      </c>
      <c r="E43" s="72">
        <f>+Proyeccion_Localidades!F43</f>
        <v>33222</v>
      </c>
      <c r="F43" s="66">
        <f>IF($AB43="TGD",ROUND($E43*(1+$AD43)^(F$4-$E$4),0),IF($AB43="ALTH",ROUND($AE43+$AF43*F$4,0),IF($AB43="IR",ROUND(Proyeccion_Localidades!AC43,0),IF($AB43="RT",ROUND(Proyeccion_Localidades!AZ43,0),"*****"))))</f>
        <v>34691</v>
      </c>
      <c r="G43" s="66">
        <f>IF($AB43="TGD",ROUND($E43*(1+$AD43)^(G$4-$E$4),0),IF($AB43="ALTH",ROUND($AE43+$AF43*G$4,0),IF($AB43="IR",ROUND(Proyeccion_Localidades!AD43,0),IF($AB43="RT",ROUND(Proyeccion_Localidades!BA43,0),"*****"))))</f>
        <v>34797</v>
      </c>
      <c r="H43" s="66">
        <f>IF($AB43="TGD",ROUND($E43*(1+$AD43)^(H$4-$E$4),0),IF($AB43="ALTH",ROUND($AE43+$AF43*H$4,0),IF($AB43="IR",ROUND(Proyeccion_Localidades!AE43,0),IF($AB43="RT",ROUND(Proyeccion_Localidades!BB43,0),"*****"))))</f>
        <v>35115</v>
      </c>
      <c r="I43" s="66">
        <f>IF($AB43="TGD",ROUND($E43*(1+$AD43)^(I$4-$E$4),0),IF($AB43="ALTH",ROUND($AE43+$AF43*I$4,0),IF($AB43="IR",ROUND(Proyeccion_Localidades!AF43,0),IF($AB43="RT",ROUND(Proyeccion_Localidades!BC43,0),"*****"))))</f>
        <v>35221</v>
      </c>
      <c r="J43" s="66">
        <f>IF($AB43="TGD",ROUND($E43*(1+$AD43)^(J$4-$E$4),0),IF($AB43="ALTH",ROUND($AE43+$AF43*J$4,0),IF($AB43="IR",ROUND(Proyeccion_Localidades!AG43,0),IF($AB43="RT",ROUND(Proyeccion_Localidades!BD43,0),"*****"))))</f>
        <v>35328</v>
      </c>
      <c r="K43" s="66">
        <f>IF($AB43="TGD",ROUND($E43*(1+$AD43)^(K$4-$E$4),0),IF($AB43="ALTH",ROUND($AE43+$AF43*K$4,0),IF($AB43="IR",ROUND(Proyeccion_Localidades!AH43,0),IF($AB43="RT",ROUND(Proyeccion_Localidades!BE43,0),"*****"))))</f>
        <v>35434</v>
      </c>
      <c r="L43" s="66">
        <f>IF($AB43="TGD",ROUND($E43*(1+$AD43)^(L$4-$E$4),0),IF($AB43="ALTH",ROUND($AE43+$AF43*L$4,0),IF($AB43="IR",ROUND(Proyeccion_Localidades!AI43,0),IF($AB43="RT",ROUND(Proyeccion_Localidades!BF43,0),"*****"))))</f>
        <v>35540</v>
      </c>
      <c r="M43" s="66">
        <f>IF($AB43="TGD",ROUND($E43*(1+$AD43)^(M$4-$E$4),0),IF($AB43="ALTH",ROUND($AE43+$AF43*M$4,0),IF($AB43="IR",ROUND(Proyeccion_Localidades!AJ43,0),IF($AB43="RT",ROUND(Proyeccion_Localidades!BG43,0),"*****"))))</f>
        <v>35646</v>
      </c>
      <c r="N43" s="66">
        <f>IF($AB43="TGD",ROUND($E43*(1+$AD43)^(N$4-$E$4),0),IF($AB43="ALTH",ROUND($AE43+$AF43*N$4,0),IF($AB43="IR",ROUND(Proyeccion_Localidades!AK43,0),IF($AB43="RT",ROUND(Proyeccion_Localidades!BH43,0),"*****"))))</f>
        <v>35752</v>
      </c>
      <c r="O43" s="66">
        <f>IF($AB43="TGD",ROUND($E43*(1+$AD43)^(O$4-$E$4),0),IF($AB43="ALTH",ROUND($AE43+$AF43*O$4,0),IF($AB43="IR",ROUND(Proyeccion_Localidades!AL43,0),IF($AB43="RT",ROUND(Proyeccion_Localidades!BI43,0),"*****"))))</f>
        <v>35859</v>
      </c>
      <c r="P43" s="66">
        <f>IF($AB43="TGD",ROUND($E43*(1+$AD43)^(P$4-$E$4),0),IF($AB43="ALTH",ROUND($AE43+$AF43*P$4,0),IF($AB43="IR",ROUND(Proyeccion_Localidades!AM43,0),IF($AB43="RT",ROUND(Proyeccion_Localidades!BJ43,0),"*****"))))</f>
        <v>35965</v>
      </c>
      <c r="Q43" s="66">
        <f>IF($AB43="TGD",ROUND($E43*(1+$AD43)^(Q$4-$E$4),0),IF($AB43="ALTH",ROUND($AE43+$AF43*Q$4,0),IF($AB43="IR",ROUND(Proyeccion_Localidades!AN43,0),IF($AB43="RT",ROUND(Proyeccion_Localidades!BK43,0),"*****"))))</f>
        <v>36071</v>
      </c>
      <c r="R43" s="66">
        <f>IF($AB43="TGD",ROUND($E43*(1+$AD43)^(R$4-$E$4),0),IF($AB43="ALTH",ROUND($AE43+$AF43*R$4,0),IF($AB43="IR",ROUND(Proyeccion_Localidades!AO43,0),IF($AB43="RT",ROUND(Proyeccion_Localidades!BL43,0),"*****"))))</f>
        <v>36177</v>
      </c>
      <c r="S43" s="66">
        <f>IF($AB43="TGD",ROUND($E43*(1+$AD43)^(S$4-$E$4),0),IF($AB43="ALTH",ROUND($AE43+$AF43*S$4,0),IF($AB43="IR",ROUND(Proyeccion_Localidades!AP43,0),IF($AB43="RT",ROUND(Proyeccion_Localidades!BM43,0),"*****"))))</f>
        <v>36283</v>
      </c>
      <c r="T43" s="66">
        <f>IF($AB43="TGD",ROUND($E43*(1+$AD43)^(T$4-$E$4),0),IF($AB43="ALTH",ROUND($AE43+$AF43*T$4,0),IF($AB43="IR",ROUND(Proyeccion_Localidades!AQ43,0),IF($AB43="RT",ROUND(Proyeccion_Localidades!BN43,0),"*****"))))</f>
        <v>36389</v>
      </c>
      <c r="U43" s="66">
        <f>IF($AB43="TGD",ROUND($E43*(1+$AD43)^(U$4-$E$4),0),IF($AB43="ALTH",ROUND($AE43+$AF43*U$4,0),IF($AB43="IR",ROUND(Proyeccion_Localidades!AR43,0),IF($AB43="RT",ROUND(Proyeccion_Localidades!BO43,0),"*****"))))</f>
        <v>36496</v>
      </c>
      <c r="V43" s="66">
        <f>IF($AB43="TGD",ROUND($E43*(1+$AD43)^(V$4-$E$4),0),IF($AB43="ALTH",ROUND($AE43+$AF43*V$4,0),IF($AB43="IR",ROUND(Proyeccion_Localidades!AS43,0),IF($AB43="RT",ROUND(Proyeccion_Localidades!BP43,0),"*****"))))</f>
        <v>36602</v>
      </c>
      <c r="W43" s="66">
        <f>IF($AB43="TGD",ROUND($E43*(1+$AD43)^(W$4-$E$4),0),IF($AB43="ALTH",ROUND($AE43+$AF43*W$4,0),IF($AB43="IR",ROUND(Proyeccion_Localidades!AT43,0),IF($AB43="RT",ROUND(Proyeccion_Localidades!BQ43,0),"*****"))))</f>
        <v>36708</v>
      </c>
      <c r="X43" s="66">
        <f>IF($AB43="TGD",ROUND($E43*(1+$AD43)^(X$4-$E$4),0),IF($AB43="ALTH",ROUND($AE43+$AF43*X$4,0),IF($AB43="IR",ROUND(Proyeccion_Localidades!AU43,0),IF($AB43="RT",ROUND(Proyeccion_Localidades!BR43,0),"*****"))))</f>
        <v>36814</v>
      </c>
      <c r="Y43" s="66">
        <f>IF($AB43="TGD",ROUND($E43*(1+$AD43)^(Y$4-$E$4),0),IF($AB43="ALTH",ROUND($AE43+$AF43*Y$4,0),IF($AB43="IR",ROUND(Proyeccion_Localidades!AV43,0),IF($AB43="RT",ROUND(Proyeccion_Localidades!BS43,0),"*****"))))</f>
        <v>36920</v>
      </c>
      <c r="Z43" s="66">
        <f>IF($AB43="TGD",ROUND($E43*(1+$AD43)^(Z$4-$E$4),0),IF($AB43="ALTH",ROUND($AE43+$AF43*Z$4,0),IF($AB43="IR",ROUND(Proyeccion_Localidades!AW43,0),IF($AB43="RT",ROUND(Proyeccion_Localidades!BT43,0),"*****"))))</f>
        <v>37027</v>
      </c>
      <c r="AA43" s="66">
        <f>IF($AB43="TGD",ROUND($E43*(1+$AD43)^(AA$4-$E$4),0),IF($AB43="ALTH",ROUND($AE43+$AF43*AA$4,0),IF($AB43="IR",ROUND(Proyeccion_Localidades!AX43,0),IF($AB43="RT",ROUND(Proyeccion_Localidades!BU43,0),"*****"))))</f>
        <v>37133</v>
      </c>
      <c r="AB43" s="67" t="str">
        <f>Proyeccion_Localidades!N43</f>
        <v>ALTH</v>
      </c>
      <c r="AC43" s="73" t="s">
        <v>36</v>
      </c>
      <c r="AD43" s="51" t="str">
        <f>IF(AB43="TGD",Proyeccion_Localidades!Z43,"-")</f>
        <v>-</v>
      </c>
      <c r="AE43" s="51">
        <f>IF($AB43="ALTH",Proyeccion_Localidades!AA43,"-")</f>
        <v>-180007.07749077497</v>
      </c>
      <c r="AF43" s="51">
        <f>IF($AB43="ALTH",Proyeccion_Localidades!AB43,"-")</f>
        <v>106.18081180811811</v>
      </c>
      <c r="AG43" s="51"/>
      <c r="AH43" s="51"/>
      <c r="AI43" s="66">
        <f t="shared" si="2"/>
        <v>34797</v>
      </c>
    </row>
    <row r="44" spans="1:35" ht="24.95" customHeight="1">
      <c r="A44" s="69" t="str">
        <f>+Proyeccion_Localidades!C44</f>
        <v>Brandsen</v>
      </c>
      <c r="B44" s="70">
        <v>40</v>
      </c>
      <c r="C44" s="71" t="str">
        <f>+Proyeccion_Localidades!B44</f>
        <v>Coronel Brandsen</v>
      </c>
      <c r="D44" s="261">
        <f t="shared" si="3"/>
        <v>40</v>
      </c>
      <c r="E44" s="72">
        <f>+Proyeccion_Localidades!F44</f>
        <v>19877</v>
      </c>
      <c r="F44" s="66">
        <f>IF($AB44="TGD",ROUND($E44*(1+$AD44)^(F$4-$E$4),0),IF($AB44="ALTH",ROUND($AE44+$AF44*F$4,0),IF($AB44="IR",ROUND(Proyeccion_Localidades!AC44,0),IF($AB44="RT",ROUND(Proyeccion_Localidades!AZ44,0),"*****"))))</f>
        <v>25009</v>
      </c>
      <c r="G44" s="66">
        <f>IF($AB44="TGD",ROUND($E44*(1+$AD44)^(G$4-$E$4),0),IF($AB44="ALTH",ROUND($AE44+$AF44*G$4,0),IF($AB44="IR",ROUND(Proyeccion_Localidades!AD44,0),IF($AB44="RT",ROUND(Proyeccion_Localidades!BA44,0),"*****"))))</f>
        <v>25492</v>
      </c>
      <c r="H44" s="66">
        <f>IF($AB44="TGD",ROUND($E44*(1+$AD44)^(H$4-$E$4),0),IF($AB44="ALTH",ROUND($AE44+$AF44*H$4,0),IF($AB44="IR",ROUND(Proyeccion_Localidades!AE44,0),IF($AB44="RT",ROUND(Proyeccion_Localidades!BB44,0),"*****"))))</f>
        <v>26998</v>
      </c>
      <c r="I44" s="66">
        <f>IF($AB44="TGD",ROUND($E44*(1+$AD44)^(I$4-$E$4),0),IF($AB44="ALTH",ROUND($AE44+$AF44*I$4,0),IF($AB44="IR",ROUND(Proyeccion_Localidades!AF44,0),IF($AB44="RT",ROUND(Proyeccion_Localidades!BC44,0),"*****"))))</f>
        <v>27520</v>
      </c>
      <c r="J44" s="66">
        <f>IF($AB44="TGD",ROUND($E44*(1+$AD44)^(J$4-$E$4),0),IF($AB44="ALTH",ROUND($AE44+$AF44*J$4,0),IF($AB44="IR",ROUND(Proyeccion_Localidades!AG44,0),IF($AB44="RT",ROUND(Proyeccion_Localidades!BD44,0),"*****"))))</f>
        <v>28052</v>
      </c>
      <c r="K44" s="66">
        <f>IF($AB44="TGD",ROUND($E44*(1+$AD44)^(K$4-$E$4),0),IF($AB44="ALTH",ROUND($AE44+$AF44*K$4,0),IF($AB44="IR",ROUND(Proyeccion_Localidades!AH44,0),IF($AB44="RT",ROUND(Proyeccion_Localidades!BE44,0),"*****"))))</f>
        <v>28594</v>
      </c>
      <c r="L44" s="66">
        <f>IF($AB44="TGD",ROUND($E44*(1+$AD44)^(L$4-$E$4),0),IF($AB44="ALTH",ROUND($AE44+$AF44*L$4,0),IF($AB44="IR",ROUND(Proyeccion_Localidades!AI44,0),IF($AB44="RT",ROUND(Proyeccion_Localidades!BF44,0),"*****"))))</f>
        <v>29146</v>
      </c>
      <c r="M44" s="66">
        <f>IF($AB44="TGD",ROUND($E44*(1+$AD44)^(M$4-$E$4),0),IF($AB44="ALTH",ROUND($AE44+$AF44*M$4,0),IF($AB44="IR",ROUND(Proyeccion_Localidades!AJ44,0),IF($AB44="RT",ROUND(Proyeccion_Localidades!BG44,0),"*****"))))</f>
        <v>29709</v>
      </c>
      <c r="N44" s="66">
        <f>IF($AB44="TGD",ROUND($E44*(1+$AD44)^(N$4-$E$4),0),IF($AB44="ALTH",ROUND($AE44+$AF44*N$4,0),IF($AB44="IR",ROUND(Proyeccion_Localidades!AK44,0),IF($AB44="RT",ROUND(Proyeccion_Localidades!BH44,0),"*****"))))</f>
        <v>30283</v>
      </c>
      <c r="O44" s="66">
        <f>IF($AB44="TGD",ROUND($E44*(1+$AD44)^(O$4-$E$4),0),IF($AB44="ALTH",ROUND($AE44+$AF44*O$4,0),IF($AB44="IR",ROUND(Proyeccion_Localidades!AL44,0),IF($AB44="RT",ROUND(Proyeccion_Localidades!BI44,0),"*****"))))</f>
        <v>30868</v>
      </c>
      <c r="P44" s="66">
        <f>IF($AB44="TGD",ROUND($E44*(1+$AD44)^(P$4-$E$4),0),IF($AB44="ALTH",ROUND($AE44+$AF44*P$4,0),IF($AB44="IR",ROUND(Proyeccion_Localidades!AM44,0),IF($AB44="RT",ROUND(Proyeccion_Localidades!BJ44,0),"*****"))))</f>
        <v>31465</v>
      </c>
      <c r="Q44" s="66">
        <f>IF($AB44="TGD",ROUND($E44*(1+$AD44)^(Q$4-$E$4),0),IF($AB44="ALTH",ROUND($AE44+$AF44*Q$4,0),IF($AB44="IR",ROUND(Proyeccion_Localidades!AN44,0),IF($AB44="RT",ROUND(Proyeccion_Localidades!BK44,0),"*****"))))</f>
        <v>32073</v>
      </c>
      <c r="R44" s="66">
        <f>IF($AB44="TGD",ROUND($E44*(1+$AD44)^(R$4-$E$4),0),IF($AB44="ALTH",ROUND($AE44+$AF44*R$4,0),IF($AB44="IR",ROUND(Proyeccion_Localidades!AO44,0),IF($AB44="RT",ROUND(Proyeccion_Localidades!BL44,0),"*****"))))</f>
        <v>32693</v>
      </c>
      <c r="S44" s="66">
        <f>IF($AB44="TGD",ROUND($E44*(1+$AD44)^(S$4-$E$4),0),IF($AB44="ALTH",ROUND($AE44+$AF44*S$4,0),IF($AB44="IR",ROUND(Proyeccion_Localidades!AP44,0),IF($AB44="RT",ROUND(Proyeccion_Localidades!BM44,0),"*****"))))</f>
        <v>33324</v>
      </c>
      <c r="T44" s="66">
        <f>IF($AB44="TGD",ROUND($E44*(1+$AD44)^(T$4-$E$4),0),IF($AB44="ALTH",ROUND($AE44+$AF44*T$4,0),IF($AB44="IR",ROUND(Proyeccion_Localidades!AQ44,0),IF($AB44="RT",ROUND(Proyeccion_Localidades!BN44,0),"*****"))))</f>
        <v>33968</v>
      </c>
      <c r="U44" s="66">
        <f>IF($AB44="TGD",ROUND($E44*(1+$AD44)^(U$4-$E$4),0),IF($AB44="ALTH",ROUND($AE44+$AF44*U$4,0),IF($AB44="IR",ROUND(Proyeccion_Localidades!AR44,0),IF($AB44="RT",ROUND(Proyeccion_Localidades!BO44,0),"*****"))))</f>
        <v>34624</v>
      </c>
      <c r="V44" s="66">
        <f>IF($AB44="TGD",ROUND($E44*(1+$AD44)^(V$4-$E$4),0),IF($AB44="ALTH",ROUND($AE44+$AF44*V$4,0),IF($AB44="IR",ROUND(Proyeccion_Localidades!AS44,0),IF($AB44="RT",ROUND(Proyeccion_Localidades!BP44,0),"*****"))))</f>
        <v>35293</v>
      </c>
      <c r="W44" s="66">
        <f>IF($AB44="TGD",ROUND($E44*(1+$AD44)^(W$4-$E$4),0),IF($AB44="ALTH",ROUND($AE44+$AF44*W$4,0),IF($AB44="IR",ROUND(Proyeccion_Localidades!AT44,0),IF($AB44="RT",ROUND(Proyeccion_Localidades!BQ44,0),"*****"))))</f>
        <v>35975</v>
      </c>
      <c r="X44" s="66">
        <f>IF($AB44="TGD",ROUND($E44*(1+$AD44)^(X$4-$E$4),0),IF($AB44="ALTH",ROUND($AE44+$AF44*X$4,0),IF($AB44="IR",ROUND(Proyeccion_Localidades!AU44,0),IF($AB44="RT",ROUND(Proyeccion_Localidades!BR44,0),"*****"))))</f>
        <v>36671</v>
      </c>
      <c r="Y44" s="66">
        <f>IF($AB44="TGD",ROUND($E44*(1+$AD44)^(Y$4-$E$4),0),IF($AB44="ALTH",ROUND($AE44+$AF44*Y$4,0),IF($AB44="IR",ROUND(Proyeccion_Localidades!AV44,0),IF($AB44="RT",ROUND(Proyeccion_Localidades!BS44,0),"*****"))))</f>
        <v>37379</v>
      </c>
      <c r="Z44" s="66">
        <f>IF($AB44="TGD",ROUND($E44*(1+$AD44)^(Z$4-$E$4),0),IF($AB44="ALTH",ROUND($AE44+$AF44*Z$4,0),IF($AB44="IR",ROUND(Proyeccion_Localidades!AW44,0),IF($AB44="RT",ROUND(Proyeccion_Localidades!BT44,0),"*****"))))</f>
        <v>38101</v>
      </c>
      <c r="AA44" s="66">
        <f>IF($AB44="TGD",ROUND($E44*(1+$AD44)^(AA$4-$E$4),0),IF($AB44="ALTH",ROUND($AE44+$AF44*AA$4,0),IF($AB44="IR",ROUND(Proyeccion_Localidades!AX44,0),IF($AB44="RT",ROUND(Proyeccion_Localidades!BU44,0),"*****"))))</f>
        <v>38838</v>
      </c>
      <c r="AB44" s="67" t="str">
        <f>Proyeccion_Localidades!N44</f>
        <v>TGD</v>
      </c>
      <c r="AC44" s="68" t="s">
        <v>35</v>
      </c>
      <c r="AD44" s="51">
        <f>IF(AB44="TGD",Proyeccion_Localidades!Z44,"-")</f>
        <v>1.9322105017146374E-2</v>
      </c>
      <c r="AE44" s="51" t="str">
        <f>IF($AB44="ALTH",Proyeccion_Localidades!AA44,"-")</f>
        <v>-</v>
      </c>
      <c r="AF44" s="51" t="str">
        <f>IF($AB44="ALTH",Proyeccion_Localidades!AB44,"-")</f>
        <v>-</v>
      </c>
      <c r="AG44" s="51"/>
      <c r="AH44" s="51"/>
      <c r="AI44" s="66">
        <f t="shared" si="2"/>
        <v>25492</v>
      </c>
    </row>
    <row r="45" spans="1:35" ht="24.95" customHeight="1">
      <c r="A45" s="69" t="str">
        <f>+Proyeccion_Localidades!C45</f>
        <v>Campana</v>
      </c>
      <c r="B45" s="70">
        <v>41</v>
      </c>
      <c r="C45" s="71" t="str">
        <f>+Proyeccion_Localidades!B45</f>
        <v>Campana</v>
      </c>
      <c r="D45" s="261">
        <f t="shared" si="3"/>
        <v>41</v>
      </c>
      <c r="E45" s="72">
        <f>+Proyeccion_Localidades!F45</f>
        <v>86860</v>
      </c>
      <c r="F45" s="66">
        <f>IF($AB45="TGD",ROUND($E45*(1+$AD45)^(F$4-$E$4),0),IF($AB45="ALTH",ROUND($AE45+$AF45*F$4,0),IF($AB45="IR",ROUND(Proyeccion_Localidades!AC45,0),IF($AB45="RT",ROUND(Proyeccion_Localidades!AZ45,0),"*****"))))</f>
        <v>98914</v>
      </c>
      <c r="G45" s="66">
        <f>IF($AB45="TGD",ROUND($E45*(1+$AD45)^(G$4-$E$4),0),IF($AB45="ALTH",ROUND($AE45+$AF45*G$4,0),IF($AB45="IR",ROUND(Proyeccion_Localidades!AD45,0),IF($AB45="RT",ROUND(Proyeccion_Localidades!BA45,0),"*****"))))</f>
        <v>99918</v>
      </c>
      <c r="H45" s="66">
        <f>IF($AB45="TGD",ROUND($E45*(1+$AD45)^(H$4-$E$4),0),IF($AB45="ALTH",ROUND($AE45+$AF45*H$4,0),IF($AB45="IR",ROUND(Proyeccion_Localidades!AE45,0),IF($AB45="RT",ROUND(Proyeccion_Localidades!BB45,0),"*****"))))</f>
        <v>102930</v>
      </c>
      <c r="I45" s="66">
        <f>IF($AB45="TGD",ROUND($E45*(1+$AD45)^(I$4-$E$4),0),IF($AB45="ALTH",ROUND($AE45+$AF45*I$4,0),IF($AB45="IR",ROUND(Proyeccion_Localidades!AF45,0),IF($AB45="RT",ROUND(Proyeccion_Localidades!BC45,0),"*****"))))</f>
        <v>103934</v>
      </c>
      <c r="J45" s="66">
        <f>IF($AB45="TGD",ROUND($E45*(1+$AD45)^(J$4-$E$4),0),IF($AB45="ALTH",ROUND($AE45+$AF45*J$4,0),IF($AB45="IR",ROUND(Proyeccion_Localidades!AG45,0),IF($AB45="RT",ROUND(Proyeccion_Localidades!BD45,0),"*****"))))</f>
        <v>104939</v>
      </c>
      <c r="K45" s="66">
        <f>IF($AB45="TGD",ROUND($E45*(1+$AD45)^(K$4-$E$4),0),IF($AB45="ALTH",ROUND($AE45+$AF45*K$4,0),IF($AB45="IR",ROUND(Proyeccion_Localidades!AH45,0),IF($AB45="RT",ROUND(Proyeccion_Localidades!BE45,0),"*****"))))</f>
        <v>105943</v>
      </c>
      <c r="L45" s="66">
        <f>IF($AB45="TGD",ROUND($E45*(1+$AD45)^(L$4-$E$4),0),IF($AB45="ALTH",ROUND($AE45+$AF45*L$4,0),IF($AB45="IR",ROUND(Proyeccion_Localidades!AI45,0),IF($AB45="RT",ROUND(Proyeccion_Localidades!BF45,0),"*****"))))</f>
        <v>106947</v>
      </c>
      <c r="M45" s="66">
        <f>IF($AB45="TGD",ROUND($E45*(1+$AD45)^(M$4-$E$4),0),IF($AB45="ALTH",ROUND($AE45+$AF45*M$4,0),IF($AB45="IR",ROUND(Proyeccion_Localidades!AJ45,0),IF($AB45="RT",ROUND(Proyeccion_Localidades!BG45,0),"*****"))))</f>
        <v>107951</v>
      </c>
      <c r="N45" s="66">
        <f>IF($AB45="TGD",ROUND($E45*(1+$AD45)^(N$4-$E$4),0),IF($AB45="ALTH",ROUND($AE45+$AF45*N$4,0),IF($AB45="IR",ROUND(Proyeccion_Localidades!AK45,0),IF($AB45="RT",ROUND(Proyeccion_Localidades!BH45,0),"*****"))))</f>
        <v>108955</v>
      </c>
      <c r="O45" s="66">
        <f>IF($AB45="TGD",ROUND($E45*(1+$AD45)^(O$4-$E$4),0),IF($AB45="ALTH",ROUND($AE45+$AF45*O$4,0),IF($AB45="IR",ROUND(Proyeccion_Localidades!AL45,0),IF($AB45="RT",ROUND(Proyeccion_Localidades!BI45,0),"*****"))))</f>
        <v>109959</v>
      </c>
      <c r="P45" s="66">
        <f>IF($AB45="TGD",ROUND($E45*(1+$AD45)^(P$4-$E$4),0),IF($AB45="ALTH",ROUND($AE45+$AF45*P$4,0),IF($AB45="IR",ROUND(Proyeccion_Localidades!AM45,0),IF($AB45="RT",ROUND(Proyeccion_Localidades!BJ45,0),"*****"))))</f>
        <v>110963</v>
      </c>
      <c r="Q45" s="66">
        <f>IF($AB45="TGD",ROUND($E45*(1+$AD45)^(Q$4-$E$4),0),IF($AB45="ALTH",ROUND($AE45+$AF45*Q$4,0),IF($AB45="IR",ROUND(Proyeccion_Localidades!AN45,0),IF($AB45="RT",ROUND(Proyeccion_Localidades!BK45,0),"*****"))))</f>
        <v>111967</v>
      </c>
      <c r="R45" s="66">
        <f>IF($AB45="TGD",ROUND($E45*(1+$AD45)^(R$4-$E$4),0),IF($AB45="ALTH",ROUND($AE45+$AF45*R$4,0),IF($AB45="IR",ROUND(Proyeccion_Localidades!AO45,0),IF($AB45="RT",ROUND(Proyeccion_Localidades!BL45,0),"*****"))))</f>
        <v>112971</v>
      </c>
      <c r="S45" s="66">
        <f>IF($AB45="TGD",ROUND($E45*(1+$AD45)^(S$4-$E$4),0),IF($AB45="ALTH",ROUND($AE45+$AF45*S$4,0),IF($AB45="IR",ROUND(Proyeccion_Localidades!AP45,0),IF($AB45="RT",ROUND(Proyeccion_Localidades!BM45,0),"*****"))))</f>
        <v>113975</v>
      </c>
      <c r="T45" s="66">
        <f>IF($AB45="TGD",ROUND($E45*(1+$AD45)^(T$4-$E$4),0),IF($AB45="ALTH",ROUND($AE45+$AF45*T$4,0),IF($AB45="IR",ROUND(Proyeccion_Localidades!AQ45,0),IF($AB45="RT",ROUND(Proyeccion_Localidades!BN45,0),"*****"))))</f>
        <v>114979</v>
      </c>
      <c r="U45" s="66">
        <f>IF($AB45="TGD",ROUND($E45*(1+$AD45)^(U$4-$E$4),0),IF($AB45="ALTH",ROUND($AE45+$AF45*U$4,0),IF($AB45="IR",ROUND(Proyeccion_Localidades!AR45,0),IF($AB45="RT",ROUND(Proyeccion_Localidades!BO45,0),"*****"))))</f>
        <v>115983</v>
      </c>
      <c r="V45" s="66">
        <f>IF($AB45="TGD",ROUND($E45*(1+$AD45)^(V$4-$E$4),0),IF($AB45="ALTH",ROUND($AE45+$AF45*V$4,0),IF($AB45="IR",ROUND(Proyeccion_Localidades!AS45,0),IF($AB45="RT",ROUND(Proyeccion_Localidades!BP45,0),"*****"))))</f>
        <v>116987</v>
      </c>
      <c r="W45" s="66">
        <f>IF($AB45="TGD",ROUND($E45*(1+$AD45)^(W$4-$E$4),0),IF($AB45="ALTH",ROUND($AE45+$AF45*W$4,0),IF($AB45="IR",ROUND(Proyeccion_Localidades!AT45,0),IF($AB45="RT",ROUND(Proyeccion_Localidades!BQ45,0),"*****"))))</f>
        <v>117992</v>
      </c>
      <c r="X45" s="66">
        <f>IF($AB45="TGD",ROUND($E45*(1+$AD45)^(X$4-$E$4),0),IF($AB45="ALTH",ROUND($AE45+$AF45*X$4,0),IF($AB45="IR",ROUND(Proyeccion_Localidades!AU45,0),IF($AB45="RT",ROUND(Proyeccion_Localidades!BR45,0),"*****"))))</f>
        <v>118996</v>
      </c>
      <c r="Y45" s="66">
        <f>IF($AB45="TGD",ROUND($E45*(1+$AD45)^(Y$4-$E$4),0),IF($AB45="ALTH",ROUND($AE45+$AF45*Y$4,0),IF($AB45="IR",ROUND(Proyeccion_Localidades!AV45,0),IF($AB45="RT",ROUND(Proyeccion_Localidades!BS45,0),"*****"))))</f>
        <v>120000</v>
      </c>
      <c r="Z45" s="66">
        <f>IF($AB45="TGD",ROUND($E45*(1+$AD45)^(Z$4-$E$4),0),IF($AB45="ALTH",ROUND($AE45+$AF45*Z$4,0),IF($AB45="IR",ROUND(Proyeccion_Localidades!AW45,0),IF($AB45="RT",ROUND(Proyeccion_Localidades!BT45,0),"*****"))))</f>
        <v>121004</v>
      </c>
      <c r="AA45" s="66">
        <f>IF($AB45="TGD",ROUND($E45*(1+$AD45)^(AA$4-$E$4),0),IF($AB45="ALTH",ROUND($AE45+$AF45*AA$4,0),IF($AB45="IR",ROUND(Proyeccion_Localidades!AX45,0),IF($AB45="RT",ROUND(Proyeccion_Localidades!BU45,0),"*****"))))</f>
        <v>122008</v>
      </c>
      <c r="AB45" s="67" t="str">
        <f>Proyeccion_Localidades!N45</f>
        <v>ALTH</v>
      </c>
      <c r="AC45" s="68" t="s">
        <v>36</v>
      </c>
      <c r="AD45" s="51" t="str">
        <f>IF(AB45="TGD",Proyeccion_Localidades!Z45,"-")</f>
        <v>-</v>
      </c>
      <c r="AE45" s="51">
        <f>IF($AB45="ALTH",Proyeccion_Localidades!AA45,"-")</f>
        <v>-1931334.3911439111</v>
      </c>
      <c r="AF45" s="51">
        <f>IF($AB45="ALTH",Proyeccion_Localidades!AB45,"-")</f>
        <v>1004.0793357933577</v>
      </c>
      <c r="AG45" s="51"/>
      <c r="AH45" s="51"/>
      <c r="AI45" s="66">
        <f t="shared" si="2"/>
        <v>99918</v>
      </c>
    </row>
    <row r="46" spans="1:35" ht="24.95" customHeight="1">
      <c r="A46" s="69" t="str">
        <f>+Proyeccion_Localidades!C46</f>
        <v>Cañuelas</v>
      </c>
      <c r="B46" s="70">
        <v>42</v>
      </c>
      <c r="C46" s="71" t="str">
        <f>+Proyeccion_Localidades!B46</f>
        <v>Cañuelas</v>
      </c>
      <c r="D46" s="261">
        <f t="shared" si="3"/>
        <v>42</v>
      </c>
      <c r="E46" s="72">
        <f>+Proyeccion_Localidades!F46</f>
        <v>29974</v>
      </c>
      <c r="F46" s="66">
        <f>IF($AB46="TGD",ROUND($E46*(1+$AD46)^(F$4-$E$4),0),IF($AB46="ALTH",ROUND($AE46+$AF46*F$4,0),IF($AB46="IR",ROUND(Proyeccion_Localidades!AC46,0),IF($AB46="RT",ROUND(Proyeccion_Localidades!AZ46,0),"*****"))))</f>
        <v>42443</v>
      </c>
      <c r="G46" s="66">
        <f>IF($AB46="TGD",ROUND($E46*(1+$AD46)^(G$4-$E$4),0),IF($AB46="ALTH",ROUND($AE46+$AF46*G$4,0),IF($AB46="IR",ROUND(Proyeccion_Localidades!AD46,0),IF($AB46="RT",ROUND(Proyeccion_Localidades!BA46,0),"*****"))))</f>
        <v>43596</v>
      </c>
      <c r="H46" s="66">
        <f>IF($AB46="TGD",ROUND($E46*(1+$AD46)^(H$4-$E$4),0),IF($AB46="ALTH",ROUND($AE46+$AF46*H$4,0),IF($AB46="IR",ROUND(Proyeccion_Localidades!AE46,0),IF($AB46="RT",ROUND(Proyeccion_Localidades!BB46,0),"*****"))))</f>
        <v>47167</v>
      </c>
      <c r="I46" s="66">
        <f>IF($AB46="TGD",ROUND($E46*(1+$AD46)^(I$4-$E$4),0),IF($AB46="ALTH",ROUND($AE46+$AF46*I$4,0),IF($AB46="IR",ROUND(Proyeccion_Localidades!AF46,0),IF($AB46="RT",ROUND(Proyeccion_Localidades!BC46,0),"*****"))))</f>
        <v>48397</v>
      </c>
      <c r="J46" s="66">
        <f>IF($AB46="TGD",ROUND($E46*(1+$AD46)^(J$4-$E$4),0),IF($AB46="ALTH",ROUND($AE46+$AF46*J$4,0),IF($AB46="IR",ROUND(Proyeccion_Localidades!AG46,0),IF($AB46="RT",ROUND(Proyeccion_Localidades!BD46,0),"*****"))))</f>
        <v>49647</v>
      </c>
      <c r="K46" s="66">
        <f>IF($AB46="TGD",ROUND($E46*(1+$AD46)^(K$4-$E$4),0),IF($AB46="ALTH",ROUND($AE46+$AF46*K$4,0),IF($AB46="IR",ROUND(Proyeccion_Localidades!AH46,0),IF($AB46="RT",ROUND(Proyeccion_Localidades!BE46,0),"*****"))))</f>
        <v>50917</v>
      </c>
      <c r="L46" s="66">
        <f>IF($AB46="TGD",ROUND($E46*(1+$AD46)^(L$4-$E$4),0),IF($AB46="ALTH",ROUND($AE46+$AF46*L$4,0),IF($AB46="IR",ROUND(Proyeccion_Localidades!AI46,0),IF($AB46="RT",ROUND(Proyeccion_Localidades!BF46,0),"*****"))))</f>
        <v>52208</v>
      </c>
      <c r="M46" s="66">
        <f>IF($AB46="TGD",ROUND($E46*(1+$AD46)^(M$4-$E$4),0),IF($AB46="ALTH",ROUND($AE46+$AF46*M$4,0),IF($AB46="IR",ROUND(Proyeccion_Localidades!AJ46,0),IF($AB46="RT",ROUND(Proyeccion_Localidades!BG46,0),"*****"))))</f>
        <v>53519</v>
      </c>
      <c r="N46" s="66">
        <f>IF($AB46="TGD",ROUND($E46*(1+$AD46)^(N$4-$E$4),0),IF($AB46="ALTH",ROUND($AE46+$AF46*N$4,0),IF($AB46="IR",ROUND(Proyeccion_Localidades!AK46,0),IF($AB46="RT",ROUND(Proyeccion_Localidades!BH46,0),"*****"))))</f>
        <v>54853</v>
      </c>
      <c r="O46" s="66">
        <f>IF($AB46="TGD",ROUND($E46*(1+$AD46)^(O$4-$E$4),0),IF($AB46="ALTH",ROUND($AE46+$AF46*O$4,0),IF($AB46="IR",ROUND(Proyeccion_Localidades!AL46,0),IF($AB46="RT",ROUND(Proyeccion_Localidades!BI46,0),"*****"))))</f>
        <v>56208</v>
      </c>
      <c r="P46" s="66">
        <f>IF($AB46="TGD",ROUND($E46*(1+$AD46)^(P$4-$E$4),0),IF($AB46="ALTH",ROUND($AE46+$AF46*P$4,0),IF($AB46="IR",ROUND(Proyeccion_Localidades!AM46,0),IF($AB46="RT",ROUND(Proyeccion_Localidades!BJ46,0),"*****"))))</f>
        <v>57585</v>
      </c>
      <c r="Q46" s="66">
        <f>IF($AB46="TGD",ROUND($E46*(1+$AD46)^(Q$4-$E$4),0),IF($AB46="ALTH",ROUND($AE46+$AF46*Q$4,0),IF($AB46="IR",ROUND(Proyeccion_Localidades!AN46,0),IF($AB46="RT",ROUND(Proyeccion_Localidades!BK46,0),"*****"))))</f>
        <v>58984</v>
      </c>
      <c r="R46" s="66">
        <f>IF($AB46="TGD",ROUND($E46*(1+$AD46)^(R$4-$E$4),0),IF($AB46="ALTH",ROUND($AE46+$AF46*R$4,0),IF($AB46="IR",ROUND(Proyeccion_Localidades!AO46,0),IF($AB46="RT",ROUND(Proyeccion_Localidades!BL46,0),"*****"))))</f>
        <v>60407</v>
      </c>
      <c r="S46" s="66">
        <f>IF($AB46="TGD",ROUND($E46*(1+$AD46)^(S$4-$E$4),0),IF($AB46="ALTH",ROUND($AE46+$AF46*S$4,0),IF($AB46="IR",ROUND(Proyeccion_Localidades!AP46,0),IF($AB46="RT",ROUND(Proyeccion_Localidades!BM46,0),"*****"))))</f>
        <v>61852</v>
      </c>
      <c r="T46" s="66">
        <f>IF($AB46="TGD",ROUND($E46*(1+$AD46)^(T$4-$E$4),0),IF($AB46="ALTH",ROUND($AE46+$AF46*T$4,0),IF($AB46="IR",ROUND(Proyeccion_Localidades!AQ46,0),IF($AB46="RT",ROUND(Proyeccion_Localidades!BN46,0),"*****"))))</f>
        <v>63321</v>
      </c>
      <c r="U46" s="66">
        <f>IF($AB46="TGD",ROUND($E46*(1+$AD46)^(U$4-$E$4),0),IF($AB46="ALTH",ROUND($AE46+$AF46*U$4,0),IF($AB46="IR",ROUND(Proyeccion_Localidades!AR46,0),IF($AB46="RT",ROUND(Proyeccion_Localidades!BO46,0),"*****"))))</f>
        <v>64814</v>
      </c>
      <c r="V46" s="66">
        <f>IF($AB46="TGD",ROUND($E46*(1+$AD46)^(V$4-$E$4),0),IF($AB46="ALTH",ROUND($AE46+$AF46*V$4,0),IF($AB46="IR",ROUND(Proyeccion_Localidades!AS46,0),IF($AB46="RT",ROUND(Proyeccion_Localidades!BP46,0),"*****"))))</f>
        <v>66332</v>
      </c>
      <c r="W46" s="66">
        <f>IF($AB46="TGD",ROUND($E46*(1+$AD46)^(W$4-$E$4),0),IF($AB46="ALTH",ROUND($AE46+$AF46*W$4,0),IF($AB46="IR",ROUND(Proyeccion_Localidades!AT46,0),IF($AB46="RT",ROUND(Proyeccion_Localidades!BQ46,0),"*****"))))</f>
        <v>67874</v>
      </c>
      <c r="X46" s="66">
        <f>IF($AB46="TGD",ROUND($E46*(1+$AD46)^(X$4-$E$4),0),IF($AB46="ALTH",ROUND($AE46+$AF46*X$4,0),IF($AB46="IR",ROUND(Proyeccion_Localidades!AU46,0),IF($AB46="RT",ROUND(Proyeccion_Localidades!BR46,0),"*****"))))</f>
        <v>69442</v>
      </c>
      <c r="Y46" s="66">
        <f>IF($AB46="TGD",ROUND($E46*(1+$AD46)^(Y$4-$E$4),0),IF($AB46="ALTH",ROUND($AE46+$AF46*Y$4,0),IF($AB46="IR",ROUND(Proyeccion_Localidades!AV46,0),IF($AB46="RT",ROUND(Proyeccion_Localidades!BS46,0),"*****"))))</f>
        <v>71034</v>
      </c>
      <c r="Z46" s="66">
        <f>IF($AB46="TGD",ROUND($E46*(1+$AD46)^(Z$4-$E$4),0),IF($AB46="ALTH",ROUND($AE46+$AF46*Z$4,0),IF($AB46="IR",ROUND(Proyeccion_Localidades!AW46,0),IF($AB46="RT",ROUND(Proyeccion_Localidades!BT46,0),"*****"))))</f>
        <v>72653</v>
      </c>
      <c r="AA46" s="66">
        <f>IF($AB46="TGD",ROUND($E46*(1+$AD46)^(AA$4-$E$4),0),IF($AB46="ALTH",ROUND($AE46+$AF46*AA$4,0),IF($AB46="IR",ROUND(Proyeccion_Localidades!AX46,0),IF($AB46="RT",ROUND(Proyeccion_Localidades!BU46,0),"*****"))))</f>
        <v>74299</v>
      </c>
      <c r="AB46" s="67" t="str">
        <f>Proyeccion_Localidades!N46</f>
        <v>IR</v>
      </c>
      <c r="AC46" s="73"/>
      <c r="AD46" s="51" t="str">
        <f>IF(AB46="TGD",Proyeccion_Localidades!Z46,"-")</f>
        <v>-</v>
      </c>
      <c r="AE46" s="51" t="str">
        <f>IF($AB46="ALTH",Proyeccion_Localidades!AA46,"-")</f>
        <v>-</v>
      </c>
      <c r="AF46" s="51" t="str">
        <f>IF($AB46="ALTH",Proyeccion_Localidades!AB46,"-")</f>
        <v>-</v>
      </c>
      <c r="AG46" s="51"/>
      <c r="AH46" s="51"/>
      <c r="AI46" s="66">
        <f t="shared" si="2"/>
        <v>43596</v>
      </c>
    </row>
    <row r="47" spans="1:35" ht="24.95" customHeight="1">
      <c r="A47" s="69" t="str">
        <f>+Proyeccion_Localidades!C47</f>
        <v>Capitán Sarmiento</v>
      </c>
      <c r="B47" s="70">
        <v>43</v>
      </c>
      <c r="C47" s="71" t="str">
        <f>+Proyeccion_Localidades!B47</f>
        <v>Capitán Sarmiento</v>
      </c>
      <c r="D47" s="261">
        <f t="shared" si="3"/>
        <v>43</v>
      </c>
      <c r="E47" s="72">
        <f>+Proyeccion_Localidades!F47</f>
        <v>13088</v>
      </c>
      <c r="F47" s="66">
        <f>IF($AB47="TGD",ROUND($E47*(1+$AD47)^(F$4-$E$4),0),IF($AB47="ALTH",ROUND($AE47+$AF47*F$4,0),IF($AB47="IR",ROUND(Proyeccion_Localidades!AC47,0),IF($AB47="RT",ROUND(Proyeccion_Localidades!AZ47,0),"*****"))))</f>
        <v>15212</v>
      </c>
      <c r="G47" s="66">
        <f>IF($AB47="TGD",ROUND($E47*(1+$AD47)^(G$4-$E$4),0),IF($AB47="ALTH",ROUND($AE47+$AF47*G$4,0),IF($AB47="IR",ROUND(Proyeccion_Localidades!AD47,0),IF($AB47="RT",ROUND(Proyeccion_Localidades!BA47,0),"*****"))))</f>
        <v>15393</v>
      </c>
      <c r="H47" s="66">
        <f>IF($AB47="TGD",ROUND($E47*(1+$AD47)^(H$4-$E$4),0),IF($AB47="ALTH",ROUND($AE47+$AF47*H$4,0),IF($AB47="IR",ROUND(Proyeccion_Localidades!AE47,0),IF($AB47="RT",ROUND(Proyeccion_Localidades!BB47,0),"*****"))))</f>
        <v>15937</v>
      </c>
      <c r="I47" s="66">
        <f>IF($AB47="TGD",ROUND($E47*(1+$AD47)^(I$4-$E$4),0),IF($AB47="ALTH",ROUND($AE47+$AF47*I$4,0),IF($AB47="IR",ROUND(Proyeccion_Localidades!AF47,0),IF($AB47="RT",ROUND(Proyeccion_Localidades!BC47,0),"*****"))))</f>
        <v>16118</v>
      </c>
      <c r="J47" s="66">
        <f>IF($AB47="TGD",ROUND($E47*(1+$AD47)^(J$4-$E$4),0),IF($AB47="ALTH",ROUND($AE47+$AF47*J$4,0),IF($AB47="IR",ROUND(Proyeccion_Localidades!AG47,0),IF($AB47="RT",ROUND(Proyeccion_Localidades!BD47,0),"*****"))))</f>
        <v>16299</v>
      </c>
      <c r="K47" s="66">
        <f>IF($AB47="TGD",ROUND($E47*(1+$AD47)^(K$4-$E$4),0),IF($AB47="ALTH",ROUND($AE47+$AF47*K$4,0),IF($AB47="IR",ROUND(Proyeccion_Localidades!AH47,0),IF($AB47="RT",ROUND(Proyeccion_Localidades!BE47,0),"*****"))))</f>
        <v>16480</v>
      </c>
      <c r="L47" s="66">
        <f>IF($AB47="TGD",ROUND($E47*(1+$AD47)^(L$4-$E$4),0),IF($AB47="ALTH",ROUND($AE47+$AF47*L$4,0),IF($AB47="IR",ROUND(Proyeccion_Localidades!AI47,0),IF($AB47="RT",ROUND(Proyeccion_Localidades!BF47,0),"*****"))))</f>
        <v>16661</v>
      </c>
      <c r="M47" s="66">
        <f>IF($AB47="TGD",ROUND($E47*(1+$AD47)^(M$4-$E$4),0),IF($AB47="ALTH",ROUND($AE47+$AF47*M$4,0),IF($AB47="IR",ROUND(Proyeccion_Localidades!AJ47,0),IF($AB47="RT",ROUND(Proyeccion_Localidades!BG47,0),"*****"))))</f>
        <v>16842</v>
      </c>
      <c r="N47" s="66">
        <f>IF($AB47="TGD",ROUND($E47*(1+$AD47)^(N$4-$E$4),0),IF($AB47="ALTH",ROUND($AE47+$AF47*N$4,0),IF($AB47="IR",ROUND(Proyeccion_Localidades!AK47,0),IF($AB47="RT",ROUND(Proyeccion_Localidades!BH47,0),"*****"))))</f>
        <v>17023</v>
      </c>
      <c r="O47" s="66">
        <f>IF($AB47="TGD",ROUND($E47*(1+$AD47)^(O$4-$E$4),0),IF($AB47="ALTH",ROUND($AE47+$AF47*O$4,0),IF($AB47="IR",ROUND(Proyeccion_Localidades!AL47,0),IF($AB47="RT",ROUND(Proyeccion_Localidades!BI47,0),"*****"))))</f>
        <v>17205</v>
      </c>
      <c r="P47" s="66">
        <f>IF($AB47="TGD",ROUND($E47*(1+$AD47)^(P$4-$E$4),0),IF($AB47="ALTH",ROUND($AE47+$AF47*P$4,0),IF($AB47="IR",ROUND(Proyeccion_Localidades!AM47,0),IF($AB47="RT",ROUND(Proyeccion_Localidades!BJ47,0),"*****"))))</f>
        <v>17386</v>
      </c>
      <c r="Q47" s="66">
        <f>IF($AB47="TGD",ROUND($E47*(1+$AD47)^(Q$4-$E$4),0),IF($AB47="ALTH",ROUND($AE47+$AF47*Q$4,0),IF($AB47="IR",ROUND(Proyeccion_Localidades!AN47,0),IF($AB47="RT",ROUND(Proyeccion_Localidades!BK47,0),"*****"))))</f>
        <v>17567</v>
      </c>
      <c r="R47" s="66">
        <f>IF($AB47="TGD",ROUND($E47*(1+$AD47)^(R$4-$E$4),0),IF($AB47="ALTH",ROUND($AE47+$AF47*R$4,0),IF($AB47="IR",ROUND(Proyeccion_Localidades!AO47,0),IF($AB47="RT",ROUND(Proyeccion_Localidades!BL47,0),"*****"))))</f>
        <v>17748</v>
      </c>
      <c r="S47" s="66">
        <f>IF($AB47="TGD",ROUND($E47*(1+$AD47)^(S$4-$E$4),0),IF($AB47="ALTH",ROUND($AE47+$AF47*S$4,0),IF($AB47="IR",ROUND(Proyeccion_Localidades!AP47,0),IF($AB47="RT",ROUND(Proyeccion_Localidades!BM47,0),"*****"))))</f>
        <v>17929</v>
      </c>
      <c r="T47" s="66">
        <f>IF($AB47="TGD",ROUND($E47*(1+$AD47)^(T$4-$E$4),0),IF($AB47="ALTH",ROUND($AE47+$AF47*T$4,0),IF($AB47="IR",ROUND(Proyeccion_Localidades!AQ47,0),IF($AB47="RT",ROUND(Proyeccion_Localidades!BN47,0),"*****"))))</f>
        <v>18110</v>
      </c>
      <c r="U47" s="66">
        <f>IF($AB47="TGD",ROUND($E47*(1+$AD47)^(U$4-$E$4),0),IF($AB47="ALTH",ROUND($AE47+$AF47*U$4,0),IF($AB47="IR",ROUND(Proyeccion_Localidades!AR47,0),IF($AB47="RT",ROUND(Proyeccion_Localidades!BO47,0),"*****"))))</f>
        <v>18291</v>
      </c>
      <c r="V47" s="66">
        <f>IF($AB47="TGD",ROUND($E47*(1+$AD47)^(V$4-$E$4),0),IF($AB47="ALTH",ROUND($AE47+$AF47*V$4,0),IF($AB47="IR",ROUND(Proyeccion_Localidades!AS47,0),IF($AB47="RT",ROUND(Proyeccion_Localidades!BP47,0),"*****"))))</f>
        <v>18472</v>
      </c>
      <c r="W47" s="66">
        <f>IF($AB47="TGD",ROUND($E47*(1+$AD47)^(W$4-$E$4),0),IF($AB47="ALTH",ROUND($AE47+$AF47*W$4,0),IF($AB47="IR",ROUND(Proyeccion_Localidades!AT47,0),IF($AB47="RT",ROUND(Proyeccion_Localidades!BQ47,0),"*****"))))</f>
        <v>18653</v>
      </c>
      <c r="X47" s="66">
        <f>IF($AB47="TGD",ROUND($E47*(1+$AD47)^(X$4-$E$4),0),IF($AB47="ALTH",ROUND($AE47+$AF47*X$4,0),IF($AB47="IR",ROUND(Proyeccion_Localidades!AU47,0),IF($AB47="RT",ROUND(Proyeccion_Localidades!BR47,0),"*****"))))</f>
        <v>18835</v>
      </c>
      <c r="Y47" s="66">
        <f>IF($AB47="TGD",ROUND($E47*(1+$AD47)^(Y$4-$E$4),0),IF($AB47="ALTH",ROUND($AE47+$AF47*Y$4,0),IF($AB47="IR",ROUND(Proyeccion_Localidades!AV47,0),IF($AB47="RT",ROUND(Proyeccion_Localidades!BS47,0),"*****"))))</f>
        <v>19016</v>
      </c>
      <c r="Z47" s="66">
        <f>IF($AB47="TGD",ROUND($E47*(1+$AD47)^(Z$4-$E$4),0),IF($AB47="ALTH",ROUND($AE47+$AF47*Z$4,0),IF($AB47="IR",ROUND(Proyeccion_Localidades!AW47,0),IF($AB47="RT",ROUND(Proyeccion_Localidades!BT47,0),"*****"))))</f>
        <v>19197</v>
      </c>
      <c r="AA47" s="66">
        <f>IF($AB47="TGD",ROUND($E47*(1+$AD47)^(AA$4-$E$4),0),IF($AB47="ALTH",ROUND($AE47+$AF47*AA$4,0),IF($AB47="IR",ROUND(Proyeccion_Localidades!AX47,0),IF($AB47="RT",ROUND(Proyeccion_Localidades!BU47,0),"*****"))))</f>
        <v>19378</v>
      </c>
      <c r="AB47" s="67" t="str">
        <f>Proyeccion_Localidades!N47</f>
        <v>ALTH</v>
      </c>
      <c r="AC47" s="73" t="s">
        <v>36</v>
      </c>
      <c r="AD47" s="51" t="str">
        <f>IF(AB47="TGD",Proyeccion_Localidades!Z47,"-")</f>
        <v>-</v>
      </c>
      <c r="AE47" s="51">
        <f>IF($AB47="ALTH",Proyeccion_Localidades!AA47,"-")</f>
        <v>-350993.47601476026</v>
      </c>
      <c r="AF47" s="51">
        <f>IF($AB47="ALTH",Proyeccion_Localidades!AB47,"-")</f>
        <v>181.11070110701112</v>
      </c>
      <c r="AG47" s="51"/>
      <c r="AH47" s="51"/>
      <c r="AI47" s="66">
        <f t="shared" si="2"/>
        <v>15393</v>
      </c>
    </row>
    <row r="48" spans="1:35" ht="24.95" customHeight="1">
      <c r="A48" s="69" t="str">
        <f>+Proyeccion_Localidades!C48</f>
        <v>Carlos Casares</v>
      </c>
      <c r="B48" s="70">
        <v>44</v>
      </c>
      <c r="C48" s="71" t="str">
        <f>+Proyeccion_Localidades!B48</f>
        <v>Carlos Casares</v>
      </c>
      <c r="D48" s="261">
        <f t="shared" si="3"/>
        <v>44</v>
      </c>
      <c r="E48" s="72">
        <f>+Proyeccion_Localidades!F48</f>
        <v>18347</v>
      </c>
      <c r="F48" s="66">
        <f>IF($AB48="TGD",ROUND($E48*(1+$AD48)^(F$4-$E$4),0),IF($AB48="ALTH",ROUND($AE48+$AF48*F$4,0),IF($AB48="IR",ROUND(Proyeccion_Localidades!AC48,0),IF($AB48="RT",ROUND(Proyeccion_Localidades!AZ48,0),"*****"))))</f>
        <v>20066</v>
      </c>
      <c r="G48" s="66">
        <f>IF($AB48="TGD",ROUND($E48*(1+$AD48)^(G$4-$E$4),0),IF($AB48="ALTH",ROUND($AE48+$AF48*G$4,0),IF($AB48="IR",ROUND(Proyeccion_Localidades!AD48,0),IF($AB48="RT",ROUND(Proyeccion_Localidades!BA48,0),"*****"))))</f>
        <v>20216</v>
      </c>
      <c r="H48" s="66">
        <f>IF($AB48="TGD",ROUND($E48*(1+$AD48)^(H$4-$E$4),0),IF($AB48="ALTH",ROUND($AE48+$AF48*H$4,0),IF($AB48="IR",ROUND(Proyeccion_Localidades!AE48,0),IF($AB48="RT",ROUND(Proyeccion_Localidades!BB48,0),"*****"))))</f>
        <v>20674</v>
      </c>
      <c r="I48" s="66">
        <f>IF($AB48="TGD",ROUND($E48*(1+$AD48)^(I$4-$E$4),0),IF($AB48="ALTH",ROUND($AE48+$AF48*I$4,0),IF($AB48="IR",ROUND(Proyeccion_Localidades!AF48,0),IF($AB48="RT",ROUND(Proyeccion_Localidades!BC48,0),"*****"))))</f>
        <v>20829</v>
      </c>
      <c r="J48" s="66">
        <f>IF($AB48="TGD",ROUND($E48*(1+$AD48)^(J$4-$E$4),0),IF($AB48="ALTH",ROUND($AE48+$AF48*J$4,0),IF($AB48="IR",ROUND(Proyeccion_Localidades!AG48,0),IF($AB48="RT",ROUND(Proyeccion_Localidades!BD48,0),"*****"))))</f>
        <v>20985</v>
      </c>
      <c r="K48" s="66">
        <f>IF($AB48="TGD",ROUND($E48*(1+$AD48)^(K$4-$E$4),0),IF($AB48="ALTH",ROUND($AE48+$AF48*K$4,0),IF($AB48="IR",ROUND(Proyeccion_Localidades!AH48,0),IF($AB48="RT",ROUND(Proyeccion_Localidades!BE48,0),"*****"))))</f>
        <v>21142</v>
      </c>
      <c r="L48" s="66">
        <f>IF($AB48="TGD",ROUND($E48*(1+$AD48)^(L$4-$E$4),0),IF($AB48="ALTH",ROUND($AE48+$AF48*L$4,0),IF($AB48="IR",ROUND(Proyeccion_Localidades!AI48,0),IF($AB48="RT",ROUND(Proyeccion_Localidades!BF48,0),"*****"))))</f>
        <v>21301</v>
      </c>
      <c r="M48" s="66">
        <f>IF($AB48="TGD",ROUND($E48*(1+$AD48)^(M$4-$E$4),0),IF($AB48="ALTH",ROUND($AE48+$AF48*M$4,0),IF($AB48="IR",ROUND(Proyeccion_Localidades!AJ48,0),IF($AB48="RT",ROUND(Proyeccion_Localidades!BG48,0),"*****"))))</f>
        <v>21460</v>
      </c>
      <c r="N48" s="66">
        <f>IF($AB48="TGD",ROUND($E48*(1+$AD48)^(N$4-$E$4),0),IF($AB48="ALTH",ROUND($AE48+$AF48*N$4,0),IF($AB48="IR",ROUND(Proyeccion_Localidades!AK48,0),IF($AB48="RT",ROUND(Proyeccion_Localidades!BH48,0),"*****"))))</f>
        <v>21621</v>
      </c>
      <c r="O48" s="66">
        <f>IF($AB48="TGD",ROUND($E48*(1+$AD48)^(O$4-$E$4),0),IF($AB48="ALTH",ROUND($AE48+$AF48*O$4,0),IF($AB48="IR",ROUND(Proyeccion_Localidades!AL48,0),IF($AB48="RT",ROUND(Proyeccion_Localidades!BI48,0),"*****"))))</f>
        <v>21783</v>
      </c>
      <c r="P48" s="66">
        <f>IF($AB48="TGD",ROUND($E48*(1+$AD48)^(P$4-$E$4),0),IF($AB48="ALTH",ROUND($AE48+$AF48*P$4,0),IF($AB48="IR",ROUND(Proyeccion_Localidades!AM48,0),IF($AB48="RT",ROUND(Proyeccion_Localidades!BJ48,0),"*****"))))</f>
        <v>21946</v>
      </c>
      <c r="Q48" s="66">
        <f>IF($AB48="TGD",ROUND($E48*(1+$AD48)^(Q$4-$E$4),0),IF($AB48="ALTH",ROUND($AE48+$AF48*Q$4,0),IF($AB48="IR",ROUND(Proyeccion_Localidades!AN48,0),IF($AB48="RT",ROUND(Proyeccion_Localidades!BK48,0),"*****"))))</f>
        <v>22111</v>
      </c>
      <c r="R48" s="66">
        <f>IF($AB48="TGD",ROUND($E48*(1+$AD48)^(R$4-$E$4),0),IF($AB48="ALTH",ROUND($AE48+$AF48*R$4,0),IF($AB48="IR",ROUND(Proyeccion_Localidades!AO48,0),IF($AB48="RT",ROUND(Proyeccion_Localidades!BL48,0),"*****"))))</f>
        <v>22276</v>
      </c>
      <c r="S48" s="66">
        <f>IF($AB48="TGD",ROUND($E48*(1+$AD48)^(S$4-$E$4),0),IF($AB48="ALTH",ROUND($AE48+$AF48*S$4,0),IF($AB48="IR",ROUND(Proyeccion_Localidades!AP48,0),IF($AB48="RT",ROUND(Proyeccion_Localidades!BM48,0),"*****"))))</f>
        <v>22443</v>
      </c>
      <c r="T48" s="66">
        <f>IF($AB48="TGD",ROUND($E48*(1+$AD48)^(T$4-$E$4),0),IF($AB48="ALTH",ROUND($AE48+$AF48*T$4,0),IF($AB48="IR",ROUND(Proyeccion_Localidades!AQ48,0),IF($AB48="RT",ROUND(Proyeccion_Localidades!BN48,0),"*****"))))</f>
        <v>22612</v>
      </c>
      <c r="U48" s="66">
        <f>IF($AB48="TGD",ROUND($E48*(1+$AD48)^(U$4-$E$4),0),IF($AB48="ALTH",ROUND($AE48+$AF48*U$4,0),IF($AB48="IR",ROUND(Proyeccion_Localidades!AR48,0),IF($AB48="RT",ROUND(Proyeccion_Localidades!BO48,0),"*****"))))</f>
        <v>22781</v>
      </c>
      <c r="V48" s="66">
        <f>IF($AB48="TGD",ROUND($E48*(1+$AD48)^(V$4-$E$4),0),IF($AB48="ALTH",ROUND($AE48+$AF48*V$4,0),IF($AB48="IR",ROUND(Proyeccion_Localidades!AS48,0),IF($AB48="RT",ROUND(Proyeccion_Localidades!BP48,0),"*****"))))</f>
        <v>22952</v>
      </c>
      <c r="W48" s="66">
        <f>IF($AB48="TGD",ROUND($E48*(1+$AD48)^(W$4-$E$4),0),IF($AB48="ALTH",ROUND($AE48+$AF48*W$4,0),IF($AB48="IR",ROUND(Proyeccion_Localidades!AT48,0),IF($AB48="RT",ROUND(Proyeccion_Localidades!BQ48,0),"*****"))))</f>
        <v>23124</v>
      </c>
      <c r="X48" s="66">
        <f>IF($AB48="TGD",ROUND($E48*(1+$AD48)^(X$4-$E$4),0),IF($AB48="ALTH",ROUND($AE48+$AF48*X$4,0),IF($AB48="IR",ROUND(Proyeccion_Localidades!AU48,0),IF($AB48="RT",ROUND(Proyeccion_Localidades!BR48,0),"*****"))))</f>
        <v>23297</v>
      </c>
      <c r="Y48" s="66">
        <f>IF($AB48="TGD",ROUND($E48*(1+$AD48)^(Y$4-$E$4),0),IF($AB48="ALTH",ROUND($AE48+$AF48*Y$4,0),IF($AB48="IR",ROUND(Proyeccion_Localidades!AV48,0),IF($AB48="RT",ROUND(Proyeccion_Localidades!BS48,0),"*****"))))</f>
        <v>23471</v>
      </c>
      <c r="Z48" s="66">
        <f>IF($AB48="TGD",ROUND($E48*(1+$AD48)^(Z$4-$E$4),0),IF($AB48="ALTH",ROUND($AE48+$AF48*Z$4,0),IF($AB48="IR",ROUND(Proyeccion_Localidades!AW48,0),IF($AB48="RT",ROUND(Proyeccion_Localidades!BT48,0),"*****"))))</f>
        <v>23647</v>
      </c>
      <c r="AA48" s="66">
        <f>IF($AB48="TGD",ROUND($E48*(1+$AD48)^(AA$4-$E$4),0),IF($AB48="ALTH",ROUND($AE48+$AF48*AA$4,0),IF($AB48="IR",ROUND(Proyeccion_Localidades!AX48,0),IF($AB48="RT",ROUND(Proyeccion_Localidades!BU48,0),"*****"))))</f>
        <v>23824</v>
      </c>
      <c r="AB48" s="67" t="str">
        <f>Proyeccion_Localidades!N48</f>
        <v>TGD</v>
      </c>
      <c r="AC48" s="68" t="s">
        <v>35</v>
      </c>
      <c r="AD48" s="51">
        <f>IF(AB48="TGD",Proyeccion_Localidades!Z48,"-")</f>
        <v>7.4919695336037595E-3</v>
      </c>
      <c r="AE48" s="51" t="str">
        <f>IF($AB48="ALTH",Proyeccion_Localidades!AA48,"-")</f>
        <v>-</v>
      </c>
      <c r="AF48" s="51" t="str">
        <f>IF($AB48="ALTH",Proyeccion_Localidades!AB48,"-")</f>
        <v>-</v>
      </c>
      <c r="AG48" s="51"/>
      <c r="AH48" s="51"/>
      <c r="AI48" s="66">
        <f t="shared" si="2"/>
        <v>20216</v>
      </c>
    </row>
    <row r="49" spans="1:35" ht="24.95" customHeight="1">
      <c r="A49" s="69" t="str">
        <f>+Proyeccion_Localidades!C49</f>
        <v>Carlos Tejedor</v>
      </c>
      <c r="B49" s="70">
        <v>45</v>
      </c>
      <c r="C49" s="71" t="str">
        <f>+Proyeccion_Localidades!B49</f>
        <v>Carlos Tejedor</v>
      </c>
      <c r="D49" s="261">
        <f t="shared" si="3"/>
        <v>45</v>
      </c>
      <c r="E49" s="72">
        <f>+Proyeccion_Localidades!F49</f>
        <v>5178</v>
      </c>
      <c r="F49" s="66">
        <f>IF($AB49="TGD",ROUND($E49*(1+$AD49)^(F$4-$E$4),0),IF($AB49="ALTH",ROUND($AE49+$AF49*F$4,0),IF($AB49="IR",ROUND(Proyeccion_Localidades!AC49,0),IF($AB49="RT",ROUND(Proyeccion_Localidades!AZ49,0),"*****"))))</f>
        <v>5466</v>
      </c>
      <c r="G49" s="66">
        <f>IF($AB49="TGD",ROUND($E49*(1+$AD49)^(G$4-$E$4),0),IF($AB49="ALTH",ROUND($AE49+$AF49*G$4,0),IF($AB49="IR",ROUND(Proyeccion_Localidades!AD49,0),IF($AB49="RT",ROUND(Proyeccion_Localidades!BA49,0),"*****"))))</f>
        <v>5486</v>
      </c>
      <c r="H49" s="66">
        <f>IF($AB49="TGD",ROUND($E49*(1+$AD49)^(H$4-$E$4),0),IF($AB49="ALTH",ROUND($AE49+$AF49*H$4,0),IF($AB49="IR",ROUND(Proyeccion_Localidades!AE49,0),IF($AB49="RT",ROUND(Proyeccion_Localidades!BB49,0),"*****"))))</f>
        <v>5547</v>
      </c>
      <c r="I49" s="66">
        <f>IF($AB49="TGD",ROUND($E49*(1+$AD49)^(I$4-$E$4),0),IF($AB49="ALTH",ROUND($AE49+$AF49*I$4,0),IF($AB49="IR",ROUND(Proyeccion_Localidades!AF49,0),IF($AB49="RT",ROUND(Proyeccion_Localidades!BC49,0),"*****"))))</f>
        <v>5567</v>
      </c>
      <c r="J49" s="66">
        <f>IF($AB49="TGD",ROUND($E49*(1+$AD49)^(J$4-$E$4),0),IF($AB49="ALTH",ROUND($AE49+$AF49*J$4,0),IF($AB49="IR",ROUND(Proyeccion_Localidades!AG49,0),IF($AB49="RT",ROUND(Proyeccion_Localidades!BD49,0),"*****"))))</f>
        <v>5588</v>
      </c>
      <c r="K49" s="66">
        <f>IF($AB49="TGD",ROUND($E49*(1+$AD49)^(K$4-$E$4),0),IF($AB49="ALTH",ROUND($AE49+$AF49*K$4,0),IF($AB49="IR",ROUND(Proyeccion_Localidades!AH49,0),IF($AB49="RT",ROUND(Proyeccion_Localidades!BE49,0),"*****"))))</f>
        <v>5608</v>
      </c>
      <c r="L49" s="66">
        <f>IF($AB49="TGD",ROUND($E49*(1+$AD49)^(L$4-$E$4),0),IF($AB49="ALTH",ROUND($AE49+$AF49*L$4,0),IF($AB49="IR",ROUND(Proyeccion_Localidades!AI49,0),IF($AB49="RT",ROUND(Proyeccion_Localidades!BF49,0),"*****"))))</f>
        <v>5628</v>
      </c>
      <c r="M49" s="66">
        <f>IF($AB49="TGD",ROUND($E49*(1+$AD49)^(M$4-$E$4),0),IF($AB49="ALTH",ROUND($AE49+$AF49*M$4,0),IF($AB49="IR",ROUND(Proyeccion_Localidades!AJ49,0),IF($AB49="RT",ROUND(Proyeccion_Localidades!BG49,0),"*****"))))</f>
        <v>5648</v>
      </c>
      <c r="N49" s="66">
        <f>IF($AB49="TGD",ROUND($E49*(1+$AD49)^(N$4-$E$4),0),IF($AB49="ALTH",ROUND($AE49+$AF49*N$4,0),IF($AB49="IR",ROUND(Proyeccion_Localidades!AK49,0),IF($AB49="RT",ROUND(Proyeccion_Localidades!BH49,0),"*****"))))</f>
        <v>5668</v>
      </c>
      <c r="O49" s="66">
        <f>IF($AB49="TGD",ROUND($E49*(1+$AD49)^(O$4-$E$4),0),IF($AB49="ALTH",ROUND($AE49+$AF49*O$4,0),IF($AB49="IR",ROUND(Proyeccion_Localidades!AL49,0),IF($AB49="RT",ROUND(Proyeccion_Localidades!BI49,0),"*****"))))</f>
        <v>5689</v>
      </c>
      <c r="P49" s="66">
        <f>IF($AB49="TGD",ROUND($E49*(1+$AD49)^(P$4-$E$4),0),IF($AB49="ALTH",ROUND($AE49+$AF49*P$4,0),IF($AB49="IR",ROUND(Proyeccion_Localidades!AM49,0),IF($AB49="RT",ROUND(Proyeccion_Localidades!BJ49,0),"*****"))))</f>
        <v>5709</v>
      </c>
      <c r="Q49" s="66">
        <f>IF($AB49="TGD",ROUND($E49*(1+$AD49)^(Q$4-$E$4),0),IF($AB49="ALTH",ROUND($AE49+$AF49*Q$4,0),IF($AB49="IR",ROUND(Proyeccion_Localidades!AN49,0),IF($AB49="RT",ROUND(Proyeccion_Localidades!BK49,0),"*****"))))</f>
        <v>5729</v>
      </c>
      <c r="R49" s="66">
        <f>IF($AB49="TGD",ROUND($E49*(1+$AD49)^(R$4-$E$4),0),IF($AB49="ALTH",ROUND($AE49+$AF49*R$4,0),IF($AB49="IR",ROUND(Proyeccion_Localidades!AO49,0),IF($AB49="RT",ROUND(Proyeccion_Localidades!BL49,0),"*****"))))</f>
        <v>5749</v>
      </c>
      <c r="S49" s="66">
        <f>IF($AB49="TGD",ROUND($E49*(1+$AD49)^(S$4-$E$4),0),IF($AB49="ALTH",ROUND($AE49+$AF49*S$4,0),IF($AB49="IR",ROUND(Proyeccion_Localidades!AP49,0),IF($AB49="RT",ROUND(Proyeccion_Localidades!BM49,0),"*****"))))</f>
        <v>5770</v>
      </c>
      <c r="T49" s="66">
        <f>IF($AB49="TGD",ROUND($E49*(1+$AD49)^(T$4-$E$4),0),IF($AB49="ALTH",ROUND($AE49+$AF49*T$4,0),IF($AB49="IR",ROUND(Proyeccion_Localidades!AQ49,0),IF($AB49="RT",ROUND(Proyeccion_Localidades!BN49,0),"*****"))))</f>
        <v>5790</v>
      </c>
      <c r="U49" s="66">
        <f>IF($AB49="TGD",ROUND($E49*(1+$AD49)^(U$4-$E$4),0),IF($AB49="ALTH",ROUND($AE49+$AF49*U$4,0),IF($AB49="IR",ROUND(Proyeccion_Localidades!AR49,0),IF($AB49="RT",ROUND(Proyeccion_Localidades!BO49,0),"*****"))))</f>
        <v>5810</v>
      </c>
      <c r="V49" s="66">
        <f>IF($AB49="TGD",ROUND($E49*(1+$AD49)^(V$4-$E$4),0),IF($AB49="ALTH",ROUND($AE49+$AF49*V$4,0),IF($AB49="IR",ROUND(Proyeccion_Localidades!AS49,0),IF($AB49="RT",ROUND(Proyeccion_Localidades!BP49,0),"*****"))))</f>
        <v>5830</v>
      </c>
      <c r="W49" s="66">
        <f>IF($AB49="TGD",ROUND($E49*(1+$AD49)^(W$4-$E$4),0),IF($AB49="ALTH",ROUND($AE49+$AF49*W$4,0),IF($AB49="IR",ROUND(Proyeccion_Localidades!AT49,0),IF($AB49="RT",ROUND(Proyeccion_Localidades!BQ49,0),"*****"))))</f>
        <v>5851</v>
      </c>
      <c r="X49" s="66">
        <f>IF($AB49="TGD",ROUND($E49*(1+$AD49)^(X$4-$E$4),0),IF($AB49="ALTH",ROUND($AE49+$AF49*X$4,0),IF($AB49="IR",ROUND(Proyeccion_Localidades!AU49,0),IF($AB49="RT",ROUND(Proyeccion_Localidades!BR49,0),"*****"))))</f>
        <v>5871</v>
      </c>
      <c r="Y49" s="66">
        <f>IF($AB49="TGD",ROUND($E49*(1+$AD49)^(Y$4-$E$4),0),IF($AB49="ALTH",ROUND($AE49+$AF49*Y$4,0),IF($AB49="IR",ROUND(Proyeccion_Localidades!AV49,0),IF($AB49="RT",ROUND(Proyeccion_Localidades!BS49,0),"*****"))))</f>
        <v>5891</v>
      </c>
      <c r="Z49" s="66">
        <f>IF($AB49="TGD",ROUND($E49*(1+$AD49)^(Z$4-$E$4),0),IF($AB49="ALTH",ROUND($AE49+$AF49*Z$4,0),IF($AB49="IR",ROUND(Proyeccion_Localidades!AW49,0),IF($AB49="RT",ROUND(Proyeccion_Localidades!BT49,0),"*****"))))</f>
        <v>5911</v>
      </c>
      <c r="AA49" s="66">
        <f>IF($AB49="TGD",ROUND($E49*(1+$AD49)^(AA$4-$E$4),0),IF($AB49="ALTH",ROUND($AE49+$AF49*AA$4,0),IF($AB49="IR",ROUND(Proyeccion_Localidades!AX49,0),IF($AB49="RT",ROUND(Proyeccion_Localidades!BU49,0),"*****"))))</f>
        <v>5932</v>
      </c>
      <c r="AB49" s="67" t="str">
        <f>Proyeccion_Localidades!N49</f>
        <v>ALTH</v>
      </c>
      <c r="AC49" s="73" t="s">
        <v>36</v>
      </c>
      <c r="AD49" s="51" t="str">
        <f>IF(AB49="TGD",Proyeccion_Localidades!Z49,"-")</f>
        <v>-</v>
      </c>
      <c r="AE49" s="51">
        <f>IF($AB49="ALTH",Proyeccion_Localidades!AA49,"-")</f>
        <v>-35455.173431734322</v>
      </c>
      <c r="AF49" s="51">
        <f>IF($AB49="ALTH",Proyeccion_Localidades!AB49,"-")</f>
        <v>20.238007380073803</v>
      </c>
      <c r="AG49" s="51"/>
      <c r="AH49" s="51"/>
      <c r="AI49" s="66">
        <f t="shared" si="2"/>
        <v>5486</v>
      </c>
    </row>
    <row r="50" spans="1:35" ht="24.95" customHeight="1">
      <c r="A50" s="69" t="str">
        <f>+Proyeccion_Localidades!C50</f>
        <v>Carmen de Areco</v>
      </c>
      <c r="B50" s="70">
        <v>46</v>
      </c>
      <c r="C50" s="71" t="str">
        <f>+Proyeccion_Localidades!B50</f>
        <v>Carmen de Areco</v>
      </c>
      <c r="D50" s="261">
        <f t="shared" si="3"/>
        <v>46</v>
      </c>
      <c r="E50" s="72">
        <f>+Proyeccion_Localidades!F50</f>
        <v>12775</v>
      </c>
      <c r="F50" s="66">
        <f>IF($AB50="TGD",ROUND($E50*(1+$AD50)^(F$4-$E$4),0),IF($AB50="ALTH",ROUND($AE50+$AF50*F$4,0),IF($AB50="IR",ROUND(Proyeccion_Localidades!AC50,0),IF($AB50="RT",ROUND(Proyeccion_Localidades!AZ50,0),"*****"))))</f>
        <v>15061</v>
      </c>
      <c r="G50" s="66">
        <f>IF($AB50="TGD",ROUND($E50*(1+$AD50)^(G$4-$E$4),0),IF($AB50="ALTH",ROUND($AE50+$AF50*G$4,0),IF($AB50="IR",ROUND(Proyeccion_Localidades!AD50,0),IF($AB50="RT",ROUND(Proyeccion_Localidades!BA50,0),"*****"))))</f>
        <v>15229</v>
      </c>
      <c r="H50" s="66">
        <f>IF($AB50="TGD",ROUND($E50*(1+$AD50)^(H$4-$E$4),0),IF($AB50="ALTH",ROUND($AE50+$AF50*H$4,0),IF($AB50="IR",ROUND(Proyeccion_Localidades!AE50,0),IF($AB50="RT",ROUND(Proyeccion_Localidades!BB50,0),"*****"))))</f>
        <v>15736</v>
      </c>
      <c r="I50" s="66">
        <f>IF($AB50="TGD",ROUND($E50*(1+$AD50)^(I$4-$E$4),0),IF($AB50="ALTH",ROUND($AE50+$AF50*I$4,0),IF($AB50="IR",ROUND(Proyeccion_Localidades!AF50,0),IF($AB50="RT",ROUND(Proyeccion_Localidades!BC50,0),"*****"))))</f>
        <v>15905</v>
      </c>
      <c r="J50" s="66">
        <f>IF($AB50="TGD",ROUND($E50*(1+$AD50)^(J$4-$E$4),0),IF($AB50="ALTH",ROUND($AE50+$AF50*J$4,0),IF($AB50="IR",ROUND(Proyeccion_Localidades!AG50,0),IF($AB50="RT",ROUND(Proyeccion_Localidades!BD50,0),"*****"))))</f>
        <v>16074</v>
      </c>
      <c r="K50" s="66">
        <f>IF($AB50="TGD",ROUND($E50*(1+$AD50)^(K$4-$E$4),0),IF($AB50="ALTH",ROUND($AE50+$AF50*K$4,0),IF($AB50="IR",ROUND(Proyeccion_Localidades!AH50,0),IF($AB50="RT",ROUND(Proyeccion_Localidades!BE50,0),"*****"))))</f>
        <v>16242</v>
      </c>
      <c r="L50" s="66">
        <f>IF($AB50="TGD",ROUND($E50*(1+$AD50)^(L$4-$E$4),0),IF($AB50="ALTH",ROUND($AE50+$AF50*L$4,0),IF($AB50="IR",ROUND(Proyeccion_Localidades!AI50,0),IF($AB50="RT",ROUND(Proyeccion_Localidades!BF50,0),"*****"))))</f>
        <v>16411</v>
      </c>
      <c r="M50" s="66">
        <f>IF($AB50="TGD",ROUND($E50*(1+$AD50)^(M$4-$E$4),0),IF($AB50="ALTH",ROUND($AE50+$AF50*M$4,0),IF($AB50="IR",ROUND(Proyeccion_Localidades!AJ50,0),IF($AB50="RT",ROUND(Proyeccion_Localidades!BG50,0),"*****"))))</f>
        <v>16580</v>
      </c>
      <c r="N50" s="66">
        <f>IF($AB50="TGD",ROUND($E50*(1+$AD50)^(N$4-$E$4),0),IF($AB50="ALTH",ROUND($AE50+$AF50*N$4,0),IF($AB50="IR",ROUND(Proyeccion_Localidades!AK50,0),IF($AB50="RT",ROUND(Proyeccion_Localidades!BH50,0),"*****"))))</f>
        <v>16749</v>
      </c>
      <c r="O50" s="66">
        <f>IF($AB50="TGD",ROUND($E50*(1+$AD50)^(O$4-$E$4),0),IF($AB50="ALTH",ROUND($AE50+$AF50*O$4,0),IF($AB50="IR",ROUND(Proyeccion_Localidades!AL50,0),IF($AB50="RT",ROUND(Proyeccion_Localidades!BI50,0),"*****"))))</f>
        <v>16918</v>
      </c>
      <c r="P50" s="66">
        <f>IF($AB50="TGD",ROUND($E50*(1+$AD50)^(P$4-$E$4),0),IF($AB50="ALTH",ROUND($AE50+$AF50*P$4,0),IF($AB50="IR",ROUND(Proyeccion_Localidades!AM50,0),IF($AB50="RT",ROUND(Proyeccion_Localidades!BJ50,0),"*****"))))</f>
        <v>17087</v>
      </c>
      <c r="Q50" s="66">
        <f>IF($AB50="TGD",ROUND($E50*(1+$AD50)^(Q$4-$E$4),0),IF($AB50="ALTH",ROUND($AE50+$AF50*Q$4,0),IF($AB50="IR",ROUND(Proyeccion_Localidades!AN50,0),IF($AB50="RT",ROUND(Proyeccion_Localidades!BK50,0),"*****"))))</f>
        <v>17255</v>
      </c>
      <c r="R50" s="66">
        <f>IF($AB50="TGD",ROUND($E50*(1+$AD50)^(R$4-$E$4),0),IF($AB50="ALTH",ROUND($AE50+$AF50*R$4,0),IF($AB50="IR",ROUND(Proyeccion_Localidades!AO50,0),IF($AB50="RT",ROUND(Proyeccion_Localidades!BL50,0),"*****"))))</f>
        <v>17424</v>
      </c>
      <c r="S50" s="66">
        <f>IF($AB50="TGD",ROUND($E50*(1+$AD50)^(S$4-$E$4),0),IF($AB50="ALTH",ROUND($AE50+$AF50*S$4,0),IF($AB50="IR",ROUND(Proyeccion_Localidades!AP50,0),IF($AB50="RT",ROUND(Proyeccion_Localidades!BM50,0),"*****"))))</f>
        <v>17593</v>
      </c>
      <c r="T50" s="66">
        <f>IF($AB50="TGD",ROUND($E50*(1+$AD50)^(T$4-$E$4),0),IF($AB50="ALTH",ROUND($AE50+$AF50*T$4,0),IF($AB50="IR",ROUND(Proyeccion_Localidades!AQ50,0),IF($AB50="RT",ROUND(Proyeccion_Localidades!BN50,0),"*****"))))</f>
        <v>17762</v>
      </c>
      <c r="U50" s="66">
        <f>IF($AB50="TGD",ROUND($E50*(1+$AD50)^(U$4-$E$4),0),IF($AB50="ALTH",ROUND($AE50+$AF50*U$4,0),IF($AB50="IR",ROUND(Proyeccion_Localidades!AR50,0),IF($AB50="RT",ROUND(Proyeccion_Localidades!BO50,0),"*****"))))</f>
        <v>17931</v>
      </c>
      <c r="V50" s="66">
        <f>IF($AB50="TGD",ROUND($E50*(1+$AD50)^(V$4-$E$4),0),IF($AB50="ALTH",ROUND($AE50+$AF50*V$4,0),IF($AB50="IR",ROUND(Proyeccion_Localidades!AS50,0),IF($AB50="RT",ROUND(Proyeccion_Localidades!BP50,0),"*****"))))</f>
        <v>18100</v>
      </c>
      <c r="W50" s="66">
        <f>IF($AB50="TGD",ROUND($E50*(1+$AD50)^(W$4-$E$4),0),IF($AB50="ALTH",ROUND($AE50+$AF50*W$4,0),IF($AB50="IR",ROUND(Proyeccion_Localidades!AT50,0),IF($AB50="RT",ROUND(Proyeccion_Localidades!BQ50,0),"*****"))))</f>
        <v>18269</v>
      </c>
      <c r="X50" s="66">
        <f>IF($AB50="TGD",ROUND($E50*(1+$AD50)^(X$4-$E$4),0),IF($AB50="ALTH",ROUND($AE50+$AF50*X$4,0),IF($AB50="IR",ROUND(Proyeccion_Localidades!AU50,0),IF($AB50="RT",ROUND(Proyeccion_Localidades!BR50,0),"*****"))))</f>
        <v>18437</v>
      </c>
      <c r="Y50" s="66">
        <f>IF($AB50="TGD",ROUND($E50*(1+$AD50)^(Y$4-$E$4),0),IF($AB50="ALTH",ROUND($AE50+$AF50*Y$4,0),IF($AB50="IR",ROUND(Proyeccion_Localidades!AV50,0),IF($AB50="RT",ROUND(Proyeccion_Localidades!BS50,0),"*****"))))</f>
        <v>18606</v>
      </c>
      <c r="Z50" s="66">
        <f>IF($AB50="TGD",ROUND($E50*(1+$AD50)^(Z$4-$E$4),0),IF($AB50="ALTH",ROUND($AE50+$AF50*Z$4,0),IF($AB50="IR",ROUND(Proyeccion_Localidades!AW50,0),IF($AB50="RT",ROUND(Proyeccion_Localidades!BT50,0),"*****"))))</f>
        <v>18775</v>
      </c>
      <c r="AA50" s="66">
        <f>IF($AB50="TGD",ROUND($E50*(1+$AD50)^(AA$4-$E$4),0),IF($AB50="ALTH",ROUND($AE50+$AF50*AA$4,0),IF($AB50="IR",ROUND(Proyeccion_Localidades!AX50,0),IF($AB50="RT",ROUND(Proyeccion_Localidades!BU50,0),"*****"))))</f>
        <v>18944</v>
      </c>
      <c r="AB50" s="67" t="str">
        <f>Proyeccion_Localidades!N50</f>
        <v>ALTH</v>
      </c>
      <c r="AC50" s="68" t="s">
        <v>36</v>
      </c>
      <c r="AD50" s="51" t="str">
        <f>IF(AB50="TGD",Proyeccion_Localidades!Z50,"-")</f>
        <v>-</v>
      </c>
      <c r="AE50" s="51">
        <f>IF($AB50="ALTH",Proyeccion_Localidades!AA50,"-")</f>
        <v>-326332.85977859772</v>
      </c>
      <c r="AF50" s="51">
        <f>IF($AB50="ALTH",Proyeccion_Localidades!AB50,"-")</f>
        <v>168.83948339483391</v>
      </c>
      <c r="AG50" s="51"/>
      <c r="AH50" s="51"/>
      <c r="AI50" s="66">
        <f t="shared" si="2"/>
        <v>15229</v>
      </c>
    </row>
    <row r="51" spans="1:35" ht="24.95" customHeight="1">
      <c r="A51" s="69" t="str">
        <f>+Proyeccion_Localidades!C51</f>
        <v>Castelli</v>
      </c>
      <c r="B51" s="70">
        <v>47</v>
      </c>
      <c r="C51" s="71" t="str">
        <f>+Proyeccion_Localidades!B51</f>
        <v>Castelli</v>
      </c>
      <c r="D51" s="261">
        <f t="shared" si="3"/>
        <v>47</v>
      </c>
      <c r="E51" s="72">
        <f>+Proyeccion_Localidades!F51</f>
        <v>6859</v>
      </c>
      <c r="F51" s="66">
        <f>IF($AB51="TGD",ROUND($E51*(1+$AD51)^(F$4-$E$4),0),IF($AB51="ALTH",ROUND($AE51+$AF51*F$4,0),IF($AB51="IR",ROUND(Proyeccion_Localidades!AC51,0),IF($AB51="RT",ROUND(Proyeccion_Localidades!AZ51,0),"*****"))))</f>
        <v>8615</v>
      </c>
      <c r="G51" s="66">
        <f>IF($AB51="TGD",ROUND($E51*(1+$AD51)^(G$4-$E$4),0),IF($AB51="ALTH",ROUND($AE51+$AF51*G$4,0),IF($AB51="IR",ROUND(Proyeccion_Localidades!AD51,0),IF($AB51="RT",ROUND(Proyeccion_Localidades!BA51,0),"*****"))))</f>
        <v>8784</v>
      </c>
      <c r="H51" s="66">
        <f>IF($AB51="TGD",ROUND($E51*(1+$AD51)^(H$4-$E$4),0),IF($AB51="ALTH",ROUND($AE51+$AF51*H$4,0),IF($AB51="IR",ROUND(Proyeccion_Localidades!AE51,0),IF($AB51="RT",ROUND(Proyeccion_Localidades!BB51,0),"*****"))))</f>
        <v>9289</v>
      </c>
      <c r="I51" s="66">
        <f>IF($AB51="TGD",ROUND($E51*(1+$AD51)^(I$4-$E$4),0),IF($AB51="ALTH",ROUND($AE51+$AF51*I$4,0),IF($AB51="IR",ROUND(Proyeccion_Localidades!AF51,0),IF($AB51="RT",ROUND(Proyeccion_Localidades!BC51,0),"*****"))))</f>
        <v>9457</v>
      </c>
      <c r="J51" s="66">
        <f>IF($AB51="TGD",ROUND($E51*(1+$AD51)^(J$4-$E$4),0),IF($AB51="ALTH",ROUND($AE51+$AF51*J$4,0),IF($AB51="IR",ROUND(Proyeccion_Localidades!AG51,0),IF($AB51="RT",ROUND(Proyeccion_Localidades!BD51,0),"*****"))))</f>
        <v>9626</v>
      </c>
      <c r="K51" s="66">
        <f>IF($AB51="TGD",ROUND($E51*(1+$AD51)^(K$4-$E$4),0),IF($AB51="ALTH",ROUND($AE51+$AF51*K$4,0),IF($AB51="IR",ROUND(Proyeccion_Localidades!AH51,0),IF($AB51="RT",ROUND(Proyeccion_Localidades!BE51,0),"*****"))))</f>
        <v>9794</v>
      </c>
      <c r="L51" s="66">
        <f>IF($AB51="TGD",ROUND($E51*(1+$AD51)^(L$4-$E$4),0),IF($AB51="ALTH",ROUND($AE51+$AF51*L$4,0),IF($AB51="IR",ROUND(Proyeccion_Localidades!AI51,0),IF($AB51="RT",ROUND(Proyeccion_Localidades!BF51,0),"*****"))))</f>
        <v>9962</v>
      </c>
      <c r="M51" s="66">
        <f>IF($AB51="TGD",ROUND($E51*(1+$AD51)^(M$4-$E$4),0),IF($AB51="ALTH",ROUND($AE51+$AF51*M$4,0),IF($AB51="IR",ROUND(Proyeccion_Localidades!AJ51,0),IF($AB51="RT",ROUND(Proyeccion_Localidades!BG51,0),"*****"))))</f>
        <v>10169</v>
      </c>
      <c r="N51" s="66">
        <f>IF($AB51="TGD",ROUND($E51*(1+$AD51)^(N$4-$E$4),0),IF($AB51="ALTH",ROUND($AE51+$AF51*N$4,0),IF($AB51="IR",ROUND(Proyeccion_Localidades!AK51,0),IF($AB51="RT",ROUND(Proyeccion_Localidades!BH51,0),"*****"))))</f>
        <v>10375</v>
      </c>
      <c r="O51" s="66">
        <f>IF($AB51="TGD",ROUND($E51*(1+$AD51)^(O$4-$E$4),0),IF($AB51="ALTH",ROUND($AE51+$AF51*O$4,0),IF($AB51="IR",ROUND(Proyeccion_Localidades!AL51,0),IF($AB51="RT",ROUND(Proyeccion_Localidades!BI51,0),"*****"))))</f>
        <v>10582</v>
      </c>
      <c r="P51" s="66">
        <f>IF($AB51="TGD",ROUND($E51*(1+$AD51)^(P$4-$E$4),0),IF($AB51="ALTH",ROUND($AE51+$AF51*P$4,0),IF($AB51="IR",ROUND(Proyeccion_Localidades!AM51,0),IF($AB51="RT",ROUND(Proyeccion_Localidades!BJ51,0),"*****"))))</f>
        <v>10788</v>
      </c>
      <c r="Q51" s="66">
        <f>IF($AB51="TGD",ROUND($E51*(1+$AD51)^(Q$4-$E$4),0),IF($AB51="ALTH",ROUND($AE51+$AF51*Q$4,0),IF($AB51="IR",ROUND(Proyeccion_Localidades!AN51,0),IF($AB51="RT",ROUND(Proyeccion_Localidades!BK51,0),"*****"))))</f>
        <v>10995</v>
      </c>
      <c r="R51" s="66">
        <f>IF($AB51="TGD",ROUND($E51*(1+$AD51)^(R$4-$E$4),0),IF($AB51="ALTH",ROUND($AE51+$AF51*R$4,0),IF($AB51="IR",ROUND(Proyeccion_Localidades!AO51,0),IF($AB51="RT",ROUND(Proyeccion_Localidades!BL51,0),"*****"))))</f>
        <v>11201</v>
      </c>
      <c r="S51" s="66">
        <f>IF($AB51="TGD",ROUND($E51*(1+$AD51)^(S$4-$E$4),0),IF($AB51="ALTH",ROUND($AE51+$AF51*S$4,0),IF($AB51="IR",ROUND(Proyeccion_Localidades!AP51,0),IF($AB51="RT",ROUND(Proyeccion_Localidades!BM51,0),"*****"))))</f>
        <v>11408</v>
      </c>
      <c r="T51" s="66">
        <f>IF($AB51="TGD",ROUND($E51*(1+$AD51)^(T$4-$E$4),0),IF($AB51="ALTH",ROUND($AE51+$AF51*T$4,0),IF($AB51="IR",ROUND(Proyeccion_Localidades!AQ51,0),IF($AB51="RT",ROUND(Proyeccion_Localidades!BN51,0),"*****"))))</f>
        <v>11614</v>
      </c>
      <c r="U51" s="66">
        <f>IF($AB51="TGD",ROUND($E51*(1+$AD51)^(U$4-$E$4),0),IF($AB51="ALTH",ROUND($AE51+$AF51*U$4,0),IF($AB51="IR",ROUND(Proyeccion_Localidades!AR51,0),IF($AB51="RT",ROUND(Proyeccion_Localidades!BO51,0),"*****"))))</f>
        <v>11820</v>
      </c>
      <c r="V51" s="66">
        <f>IF($AB51="TGD",ROUND($E51*(1+$AD51)^(V$4-$E$4),0),IF($AB51="ALTH",ROUND($AE51+$AF51*V$4,0),IF($AB51="IR",ROUND(Proyeccion_Localidades!AS51,0),IF($AB51="RT",ROUND(Proyeccion_Localidades!BP51,0),"*****"))))</f>
        <v>12027</v>
      </c>
      <c r="W51" s="66">
        <f>IF($AB51="TGD",ROUND($E51*(1+$AD51)^(W$4-$E$4),0),IF($AB51="ALTH",ROUND($AE51+$AF51*W$4,0),IF($AB51="IR",ROUND(Proyeccion_Localidades!AT51,0),IF($AB51="RT",ROUND(Proyeccion_Localidades!BQ51,0),"*****"))))</f>
        <v>12233</v>
      </c>
      <c r="X51" s="66">
        <f>IF($AB51="TGD",ROUND($E51*(1+$AD51)^(X$4-$E$4),0),IF($AB51="ALTH",ROUND($AE51+$AF51*X$4,0),IF($AB51="IR",ROUND(Proyeccion_Localidades!AU51,0),IF($AB51="RT",ROUND(Proyeccion_Localidades!BR51,0),"*****"))))</f>
        <v>12440</v>
      </c>
      <c r="Y51" s="66">
        <f>IF($AB51="TGD",ROUND($E51*(1+$AD51)^(Y$4-$E$4),0),IF($AB51="ALTH",ROUND($AE51+$AF51*Y$4,0),IF($AB51="IR",ROUND(Proyeccion_Localidades!AV51,0),IF($AB51="RT",ROUND(Proyeccion_Localidades!BS51,0),"*****"))))</f>
        <v>12646</v>
      </c>
      <c r="Z51" s="66">
        <f>IF($AB51="TGD",ROUND($E51*(1+$AD51)^(Z$4-$E$4),0),IF($AB51="ALTH",ROUND($AE51+$AF51*Z$4,0),IF($AB51="IR",ROUND(Proyeccion_Localidades!AW51,0),IF($AB51="RT",ROUND(Proyeccion_Localidades!BT51,0),"*****"))))</f>
        <v>12853</v>
      </c>
      <c r="AA51" s="66">
        <f>IF($AB51="TGD",ROUND($E51*(1+$AD51)^(AA$4-$E$4),0),IF($AB51="ALTH",ROUND($AE51+$AF51*AA$4,0),IF($AB51="IR",ROUND(Proyeccion_Localidades!AX51,0),IF($AB51="RT",ROUND(Proyeccion_Localidades!BU51,0),"*****"))))</f>
        <v>13059</v>
      </c>
      <c r="AB51" s="67" t="str">
        <f>Proyeccion_Localidades!N51</f>
        <v>RT</v>
      </c>
      <c r="AC51" s="73" t="s">
        <v>35</v>
      </c>
      <c r="AD51" s="51" t="str">
        <f>IF(AB51="TGD",Proyeccion_Localidades!Z51,"-")</f>
        <v>-</v>
      </c>
      <c r="AE51" s="51" t="str">
        <f>IF($AB51="ALTH",Proyeccion_Localidades!AA51,"-")</f>
        <v>-</v>
      </c>
      <c r="AF51" s="51" t="str">
        <f>IF($AB51="ALTH",Proyeccion_Localidades!AB51,"-")</f>
        <v>-</v>
      </c>
      <c r="AG51" s="51"/>
      <c r="AH51" s="51"/>
      <c r="AI51" s="66">
        <f t="shared" si="2"/>
        <v>8784</v>
      </c>
    </row>
    <row r="52" spans="1:35" ht="24.95" customHeight="1">
      <c r="A52" s="69" t="str">
        <f>+Proyeccion_Localidades!C52</f>
        <v>Chacabuco</v>
      </c>
      <c r="B52" s="70">
        <v>48</v>
      </c>
      <c r="C52" s="71" t="str">
        <f>+Proyeccion_Localidades!B52</f>
        <v>Chacabuco</v>
      </c>
      <c r="D52" s="261">
        <f t="shared" si="3"/>
        <v>48</v>
      </c>
      <c r="E52" s="72">
        <f>+Proyeccion_Localidades!F52</f>
        <v>38418</v>
      </c>
      <c r="F52" s="66">
        <f>IF($AB52="TGD",ROUND($E52*(1+$AD52)^(F$4-$E$4),0),IF($AB52="ALTH",ROUND($AE52+$AF52*F$4,0),IF($AB52="IR",ROUND(Proyeccion_Localidades!AC52,0),IF($AB52="RT",ROUND(Proyeccion_Localidades!AZ52,0),"*****"))))</f>
        <v>43499</v>
      </c>
      <c r="G52" s="66">
        <f>IF($AB52="TGD",ROUND($E52*(1+$AD52)^(G$4-$E$4),0),IF($AB52="ALTH",ROUND($AE52+$AF52*G$4,0),IF($AB52="IR",ROUND(Proyeccion_Localidades!AD52,0),IF($AB52="RT",ROUND(Proyeccion_Localidades!BA52,0),"*****"))))</f>
        <v>43914</v>
      </c>
      <c r="H52" s="66">
        <f>IF($AB52="TGD",ROUND($E52*(1+$AD52)^(H$4-$E$4),0),IF($AB52="ALTH",ROUND($AE52+$AF52*H$4,0),IF($AB52="IR",ROUND(Proyeccion_Localidades!AE52,0),IF($AB52="RT",ROUND(Proyeccion_Localidades!BB52,0),"*****"))))</f>
        <v>45160</v>
      </c>
      <c r="I52" s="66">
        <f>IF($AB52="TGD",ROUND($E52*(1+$AD52)^(I$4-$E$4),0),IF($AB52="ALTH",ROUND($AE52+$AF52*I$4,0),IF($AB52="IR",ROUND(Proyeccion_Localidades!AF52,0),IF($AB52="RT",ROUND(Proyeccion_Localidades!BC52,0),"*****"))))</f>
        <v>45576</v>
      </c>
      <c r="J52" s="66">
        <f>IF($AB52="TGD",ROUND($E52*(1+$AD52)^(J$4-$E$4),0),IF($AB52="ALTH",ROUND($AE52+$AF52*J$4,0),IF($AB52="IR",ROUND(Proyeccion_Localidades!AG52,0),IF($AB52="RT",ROUND(Proyeccion_Localidades!BD52,0),"*****"))))</f>
        <v>45991</v>
      </c>
      <c r="K52" s="66">
        <f>IF($AB52="TGD",ROUND($E52*(1+$AD52)^(K$4-$E$4),0),IF($AB52="ALTH",ROUND($AE52+$AF52*K$4,0),IF($AB52="IR",ROUND(Proyeccion_Localidades!AH52,0),IF($AB52="RT",ROUND(Proyeccion_Localidades!BE52,0),"*****"))))</f>
        <v>46407</v>
      </c>
      <c r="L52" s="66">
        <f>IF($AB52="TGD",ROUND($E52*(1+$AD52)^(L$4-$E$4),0),IF($AB52="ALTH",ROUND($AE52+$AF52*L$4,0),IF($AB52="IR",ROUND(Proyeccion_Localidades!AI52,0),IF($AB52="RT",ROUND(Proyeccion_Localidades!BF52,0),"*****"))))</f>
        <v>46822</v>
      </c>
      <c r="M52" s="66">
        <f>IF($AB52="TGD",ROUND($E52*(1+$AD52)^(M$4-$E$4),0),IF($AB52="ALTH",ROUND($AE52+$AF52*M$4,0),IF($AB52="IR",ROUND(Proyeccion_Localidades!AJ52,0),IF($AB52="RT",ROUND(Proyeccion_Localidades!BG52,0),"*****"))))</f>
        <v>47237</v>
      </c>
      <c r="N52" s="66">
        <f>IF($AB52="TGD",ROUND($E52*(1+$AD52)^(N$4-$E$4),0),IF($AB52="ALTH",ROUND($AE52+$AF52*N$4,0),IF($AB52="IR",ROUND(Proyeccion_Localidades!AK52,0),IF($AB52="RT",ROUND(Proyeccion_Localidades!BH52,0),"*****"))))</f>
        <v>47653</v>
      </c>
      <c r="O52" s="66">
        <f>IF($AB52="TGD",ROUND($E52*(1+$AD52)^(O$4-$E$4),0),IF($AB52="ALTH",ROUND($AE52+$AF52*O$4,0),IF($AB52="IR",ROUND(Proyeccion_Localidades!AL52,0),IF($AB52="RT",ROUND(Proyeccion_Localidades!BI52,0),"*****"))))</f>
        <v>48068</v>
      </c>
      <c r="P52" s="66">
        <f>IF($AB52="TGD",ROUND($E52*(1+$AD52)^(P$4-$E$4),0),IF($AB52="ALTH",ROUND($AE52+$AF52*P$4,0),IF($AB52="IR",ROUND(Proyeccion_Localidades!AM52,0),IF($AB52="RT",ROUND(Proyeccion_Localidades!BJ52,0),"*****"))))</f>
        <v>48484</v>
      </c>
      <c r="Q52" s="66">
        <f>IF($AB52="TGD",ROUND($E52*(1+$AD52)^(Q$4-$E$4),0),IF($AB52="ALTH",ROUND($AE52+$AF52*Q$4,0),IF($AB52="IR",ROUND(Proyeccion_Localidades!AN52,0),IF($AB52="RT",ROUND(Proyeccion_Localidades!BK52,0),"*****"))))</f>
        <v>48899</v>
      </c>
      <c r="R52" s="66">
        <f>IF($AB52="TGD",ROUND($E52*(1+$AD52)^(R$4-$E$4),0),IF($AB52="ALTH",ROUND($AE52+$AF52*R$4,0),IF($AB52="IR",ROUND(Proyeccion_Localidades!AO52,0),IF($AB52="RT",ROUND(Proyeccion_Localidades!BL52,0),"*****"))))</f>
        <v>49314</v>
      </c>
      <c r="S52" s="66">
        <f>IF($AB52="TGD",ROUND($E52*(1+$AD52)^(S$4-$E$4),0),IF($AB52="ALTH",ROUND($AE52+$AF52*S$4,0),IF($AB52="IR",ROUND(Proyeccion_Localidades!AP52,0),IF($AB52="RT",ROUND(Proyeccion_Localidades!BM52,0),"*****"))))</f>
        <v>49730</v>
      </c>
      <c r="T52" s="66">
        <f>IF($AB52="TGD",ROUND($E52*(1+$AD52)^(T$4-$E$4),0),IF($AB52="ALTH",ROUND($AE52+$AF52*T$4,0),IF($AB52="IR",ROUND(Proyeccion_Localidades!AQ52,0),IF($AB52="RT",ROUND(Proyeccion_Localidades!BN52,0),"*****"))))</f>
        <v>50145</v>
      </c>
      <c r="U52" s="66">
        <f>IF($AB52="TGD",ROUND($E52*(1+$AD52)^(U$4-$E$4),0),IF($AB52="ALTH",ROUND($AE52+$AF52*U$4,0),IF($AB52="IR",ROUND(Proyeccion_Localidades!AR52,0),IF($AB52="RT",ROUND(Proyeccion_Localidades!BO52,0),"*****"))))</f>
        <v>50561</v>
      </c>
      <c r="V52" s="66">
        <f>IF($AB52="TGD",ROUND($E52*(1+$AD52)^(V$4-$E$4),0),IF($AB52="ALTH",ROUND($AE52+$AF52*V$4,0),IF($AB52="IR",ROUND(Proyeccion_Localidades!AS52,0),IF($AB52="RT",ROUND(Proyeccion_Localidades!BP52,0),"*****"))))</f>
        <v>50976</v>
      </c>
      <c r="W52" s="66">
        <f>IF($AB52="TGD",ROUND($E52*(1+$AD52)^(W$4-$E$4),0),IF($AB52="ALTH",ROUND($AE52+$AF52*W$4,0),IF($AB52="IR",ROUND(Proyeccion_Localidades!AT52,0),IF($AB52="RT",ROUND(Proyeccion_Localidades!BQ52,0),"*****"))))</f>
        <v>51391</v>
      </c>
      <c r="X52" s="66">
        <f>IF($AB52="TGD",ROUND($E52*(1+$AD52)^(X$4-$E$4),0),IF($AB52="ALTH",ROUND($AE52+$AF52*X$4,0),IF($AB52="IR",ROUND(Proyeccion_Localidades!AU52,0),IF($AB52="RT",ROUND(Proyeccion_Localidades!BR52,0),"*****"))))</f>
        <v>51807</v>
      </c>
      <c r="Y52" s="66">
        <f>IF($AB52="TGD",ROUND($E52*(1+$AD52)^(Y$4-$E$4),0),IF($AB52="ALTH",ROUND($AE52+$AF52*Y$4,0),IF($AB52="IR",ROUND(Proyeccion_Localidades!AV52,0),IF($AB52="RT",ROUND(Proyeccion_Localidades!BS52,0),"*****"))))</f>
        <v>52222</v>
      </c>
      <c r="Z52" s="66">
        <f>IF($AB52="TGD",ROUND($E52*(1+$AD52)^(Z$4-$E$4),0),IF($AB52="ALTH",ROUND($AE52+$AF52*Z$4,0),IF($AB52="IR",ROUND(Proyeccion_Localidades!AW52,0),IF($AB52="RT",ROUND(Proyeccion_Localidades!BT52,0),"*****"))))</f>
        <v>52638</v>
      </c>
      <c r="AA52" s="66">
        <f>IF($AB52="TGD",ROUND($E52*(1+$AD52)^(AA$4-$E$4),0),IF($AB52="ALTH",ROUND($AE52+$AF52*AA$4,0),IF($AB52="IR",ROUND(Proyeccion_Localidades!AX52,0),IF($AB52="RT",ROUND(Proyeccion_Localidades!BU52,0),"*****"))))</f>
        <v>53053</v>
      </c>
      <c r="AB52" s="67" t="str">
        <f>Proyeccion_Localidades!N52</f>
        <v>ALTH</v>
      </c>
      <c r="AC52" s="73" t="s">
        <v>36</v>
      </c>
      <c r="AD52" s="51" t="str">
        <f>IF(AB52="TGD",Proyeccion_Localidades!Z52,"-")</f>
        <v>-</v>
      </c>
      <c r="AE52" s="51">
        <f>IF($AB52="ALTH",Proyeccion_Localidades!AA52,"-")</f>
        <v>-796440.67158671597</v>
      </c>
      <c r="AF52" s="51">
        <f>IF($AB52="ALTH",Proyeccion_Localidades!AB52,"-")</f>
        <v>415.40036900369006</v>
      </c>
      <c r="AG52" s="51"/>
      <c r="AH52" s="51"/>
      <c r="AI52" s="66">
        <f t="shared" si="2"/>
        <v>43914</v>
      </c>
    </row>
    <row r="53" spans="1:35" ht="24.95" customHeight="1">
      <c r="A53" s="69" t="str">
        <f>+Proyeccion_Localidades!C53</f>
        <v>Chascomús</v>
      </c>
      <c r="B53" s="70">
        <f>+B52+1</f>
        <v>49</v>
      </c>
      <c r="C53" s="71" t="str">
        <f>+Proyeccion_Localidades!B53</f>
        <v>Chascomús</v>
      </c>
      <c r="D53" s="261">
        <f t="shared" si="3"/>
        <v>49</v>
      </c>
      <c r="E53" s="72">
        <f>+Proyeccion_Localidades!F53</f>
        <v>33607</v>
      </c>
      <c r="F53" s="66">
        <f>IF($AB53="TGD",ROUND($E53*(1+$AD53)^(F$4-$E$4),0),IF($AB53="ALTH",ROUND($AE53+$AF53*F$4,0),IF($AB53="IR",ROUND(Proyeccion_Localidades!AC53,0),IF($AB53="RT",ROUND(Proyeccion_Localidades!AZ53,0),"*****"))))</f>
        <v>37965</v>
      </c>
      <c r="G53" s="66">
        <f>IF($AB53="TGD",ROUND($E53*(1+$AD53)^(G$4-$E$4),0),IF($AB53="ALTH",ROUND($AE53+$AF53*G$4,0),IF($AB53="IR",ROUND(Proyeccion_Localidades!AD53,0),IF($AB53="RT",ROUND(Proyeccion_Localidades!BA53,0),"*****"))))</f>
        <v>38353</v>
      </c>
      <c r="H53" s="66">
        <f>IF($AB53="TGD",ROUND($E53*(1+$AD53)^(H$4-$E$4),0),IF($AB53="ALTH",ROUND($AE53+$AF53*H$4,0),IF($AB53="IR",ROUND(Proyeccion_Localidades!AE53,0),IF($AB53="RT",ROUND(Proyeccion_Localidades!BB53,0),"*****"))))</f>
        <v>39540</v>
      </c>
      <c r="I53" s="66">
        <f>IF($AB53="TGD",ROUND($E53*(1+$AD53)^(I$4-$E$4),0),IF($AB53="ALTH",ROUND($AE53+$AF53*I$4,0),IF($AB53="IR",ROUND(Proyeccion_Localidades!AF53,0),IF($AB53="RT",ROUND(Proyeccion_Localidades!BC53,0),"*****"))))</f>
        <v>39944</v>
      </c>
      <c r="J53" s="66">
        <f>IF($AB53="TGD",ROUND($E53*(1+$AD53)^(J$4-$E$4),0),IF($AB53="ALTH",ROUND($AE53+$AF53*J$4,0),IF($AB53="IR",ROUND(Proyeccion_Localidades!AG53,0),IF($AB53="RT",ROUND(Proyeccion_Localidades!BD53,0),"*****"))))</f>
        <v>40352</v>
      </c>
      <c r="K53" s="66">
        <f>IF($AB53="TGD",ROUND($E53*(1+$AD53)^(K$4-$E$4),0),IF($AB53="ALTH",ROUND($AE53+$AF53*K$4,0),IF($AB53="IR",ROUND(Proyeccion_Localidades!AH53,0),IF($AB53="RT",ROUND(Proyeccion_Localidades!BE53,0),"*****"))))</f>
        <v>40764</v>
      </c>
      <c r="L53" s="66">
        <f>IF($AB53="TGD",ROUND($E53*(1+$AD53)^(L$4-$E$4),0),IF($AB53="ALTH",ROUND($AE53+$AF53*L$4,0),IF($AB53="IR",ROUND(Proyeccion_Localidades!AI53,0),IF($AB53="RT",ROUND(Proyeccion_Localidades!BF53,0),"*****"))))</f>
        <v>41180</v>
      </c>
      <c r="M53" s="66">
        <f>IF($AB53="TGD",ROUND($E53*(1+$AD53)^(M$4-$E$4),0),IF($AB53="ALTH",ROUND($AE53+$AF53*M$4,0),IF($AB53="IR",ROUND(Proyeccion_Localidades!AJ53,0),IF($AB53="RT",ROUND(Proyeccion_Localidades!BG53,0),"*****"))))</f>
        <v>41601</v>
      </c>
      <c r="N53" s="66">
        <f>IF($AB53="TGD",ROUND($E53*(1+$AD53)^(N$4-$E$4),0),IF($AB53="ALTH",ROUND($AE53+$AF53*N$4,0),IF($AB53="IR",ROUND(Proyeccion_Localidades!AK53,0),IF($AB53="RT",ROUND(Proyeccion_Localidades!BH53,0),"*****"))))</f>
        <v>42026</v>
      </c>
      <c r="O53" s="66">
        <f>IF($AB53="TGD",ROUND($E53*(1+$AD53)^(O$4-$E$4),0),IF($AB53="ALTH",ROUND($AE53+$AF53*O$4,0),IF($AB53="IR",ROUND(Proyeccion_Localidades!AL53,0),IF($AB53="RT",ROUND(Proyeccion_Localidades!BI53,0),"*****"))))</f>
        <v>42455</v>
      </c>
      <c r="P53" s="66">
        <f>IF($AB53="TGD",ROUND($E53*(1+$AD53)^(P$4-$E$4),0),IF($AB53="ALTH",ROUND($AE53+$AF53*P$4,0),IF($AB53="IR",ROUND(Proyeccion_Localidades!AM53,0),IF($AB53="RT",ROUND(Proyeccion_Localidades!BJ53,0),"*****"))))</f>
        <v>42888</v>
      </c>
      <c r="Q53" s="66">
        <f>IF($AB53="TGD",ROUND($E53*(1+$AD53)^(Q$4-$E$4),0),IF($AB53="ALTH",ROUND($AE53+$AF53*Q$4,0),IF($AB53="IR",ROUND(Proyeccion_Localidades!AN53,0),IF($AB53="RT",ROUND(Proyeccion_Localidades!BK53,0),"*****"))))</f>
        <v>43326</v>
      </c>
      <c r="R53" s="66">
        <f>IF($AB53="TGD",ROUND($E53*(1+$AD53)^(R$4-$E$4),0),IF($AB53="ALTH",ROUND($AE53+$AF53*R$4,0),IF($AB53="IR",ROUND(Proyeccion_Localidades!AO53,0),IF($AB53="RT",ROUND(Proyeccion_Localidades!BL53,0),"*****"))))</f>
        <v>43769</v>
      </c>
      <c r="S53" s="66">
        <f>IF($AB53="TGD",ROUND($E53*(1+$AD53)^(S$4-$E$4),0),IF($AB53="ALTH",ROUND($AE53+$AF53*S$4,0),IF($AB53="IR",ROUND(Proyeccion_Localidades!AP53,0),IF($AB53="RT",ROUND(Proyeccion_Localidades!BM53,0),"*****"))))</f>
        <v>44216</v>
      </c>
      <c r="T53" s="66">
        <f>IF($AB53="TGD",ROUND($E53*(1+$AD53)^(T$4-$E$4),0),IF($AB53="ALTH",ROUND($AE53+$AF53*T$4,0),IF($AB53="IR",ROUND(Proyeccion_Localidades!AQ53,0),IF($AB53="RT",ROUND(Proyeccion_Localidades!BN53,0),"*****"))))</f>
        <v>44667</v>
      </c>
      <c r="U53" s="66">
        <f>IF($AB53="TGD",ROUND($E53*(1+$AD53)^(U$4-$E$4),0),IF($AB53="ALTH",ROUND($AE53+$AF53*U$4,0),IF($AB53="IR",ROUND(Proyeccion_Localidades!AR53,0),IF($AB53="RT",ROUND(Proyeccion_Localidades!BO53,0),"*****"))))</f>
        <v>45124</v>
      </c>
      <c r="V53" s="66">
        <f>IF($AB53="TGD",ROUND($E53*(1+$AD53)^(V$4-$E$4),0),IF($AB53="ALTH",ROUND($AE53+$AF53*V$4,0),IF($AB53="IR",ROUND(Proyeccion_Localidades!AS53,0),IF($AB53="RT",ROUND(Proyeccion_Localidades!BP53,0),"*****"))))</f>
        <v>45584</v>
      </c>
      <c r="W53" s="66">
        <f>IF($AB53="TGD",ROUND($E53*(1+$AD53)^(W$4-$E$4),0),IF($AB53="ALTH",ROUND($AE53+$AF53*W$4,0),IF($AB53="IR",ROUND(Proyeccion_Localidades!AT53,0),IF($AB53="RT",ROUND(Proyeccion_Localidades!BQ53,0),"*****"))))</f>
        <v>46050</v>
      </c>
      <c r="X53" s="66">
        <f>IF($AB53="TGD",ROUND($E53*(1+$AD53)^(X$4-$E$4),0),IF($AB53="ALTH",ROUND($AE53+$AF53*X$4,0),IF($AB53="IR",ROUND(Proyeccion_Localidades!AU53,0),IF($AB53="RT",ROUND(Proyeccion_Localidades!BR53,0),"*****"))))</f>
        <v>46520</v>
      </c>
      <c r="Y53" s="66">
        <f>IF($AB53="TGD",ROUND($E53*(1+$AD53)^(Y$4-$E$4),0),IF($AB53="ALTH",ROUND($AE53+$AF53*Y$4,0),IF($AB53="IR",ROUND(Proyeccion_Localidades!AV53,0),IF($AB53="RT",ROUND(Proyeccion_Localidades!BS53,0),"*****"))))</f>
        <v>46995</v>
      </c>
      <c r="Z53" s="66">
        <f>IF($AB53="TGD",ROUND($E53*(1+$AD53)^(Z$4-$E$4),0),IF($AB53="ALTH",ROUND($AE53+$AF53*Z$4,0),IF($AB53="IR",ROUND(Proyeccion_Localidades!AW53,0),IF($AB53="RT",ROUND(Proyeccion_Localidades!BT53,0),"*****"))))</f>
        <v>47475</v>
      </c>
      <c r="AA53" s="66">
        <f>IF($AB53="TGD",ROUND($E53*(1+$AD53)^(AA$4-$E$4),0),IF($AB53="ALTH",ROUND($AE53+$AF53*AA$4,0),IF($AB53="IR",ROUND(Proyeccion_Localidades!AX53,0),IF($AB53="RT",ROUND(Proyeccion_Localidades!BU53,0),"*****"))))</f>
        <v>47960</v>
      </c>
      <c r="AB53" s="67" t="str">
        <f>Proyeccion_Localidades!N53</f>
        <v>TGD</v>
      </c>
      <c r="AC53" s="68" t="s">
        <v>35</v>
      </c>
      <c r="AD53" s="51">
        <f>IF(AB53="TGD",Proyeccion_Localidades!Z53,"-")</f>
        <v>1.0212843204522537E-2</v>
      </c>
      <c r="AE53" s="51" t="str">
        <f>IF($AB53="ALTH",Proyeccion_Localidades!AA53,"-")</f>
        <v>-</v>
      </c>
      <c r="AF53" s="51" t="str">
        <f>IF($AB53="ALTH",Proyeccion_Localidades!AB53,"-")</f>
        <v>-</v>
      </c>
      <c r="AG53" s="51"/>
      <c r="AH53" s="51"/>
      <c r="AI53" s="66">
        <f t="shared" si="2"/>
        <v>38353</v>
      </c>
    </row>
    <row r="54" spans="1:35" ht="24.95" customHeight="1">
      <c r="A54" s="69" t="str">
        <f>+Proyeccion_Localidades!C54</f>
        <v>Chivilcoy</v>
      </c>
      <c r="B54" s="70">
        <f t="shared" ref="B54:B116" si="4">+B53+1</f>
        <v>50</v>
      </c>
      <c r="C54" s="71" t="str">
        <f>+Proyeccion_Localidades!B54</f>
        <v>Chivilcoy</v>
      </c>
      <c r="D54" s="261">
        <f t="shared" si="3"/>
        <v>50</v>
      </c>
      <c r="E54" s="72">
        <f>+Proyeccion_Localidades!F54</f>
        <v>58152</v>
      </c>
      <c r="F54" s="66">
        <f>IF($AB54="TGD",ROUND($E54*(1+$AD54)^(F$4-$E$4),0),IF($AB54="ALTH",ROUND($AE54+$AF54*F$4,0),IF($AB54="IR",ROUND(Proyeccion_Localidades!AC54,0),IF($AB54="RT",ROUND(Proyeccion_Localidades!AZ54,0),"*****"))))</f>
        <v>64679</v>
      </c>
      <c r="G54" s="66">
        <f>IF($AB54="TGD",ROUND($E54*(1+$AD54)^(G$4-$E$4),0),IF($AB54="ALTH",ROUND($AE54+$AF54*G$4,0),IF($AB54="IR",ROUND(Proyeccion_Localidades!AD54,0),IF($AB54="RT",ROUND(Proyeccion_Localidades!BA54,0),"*****"))))</f>
        <v>65230</v>
      </c>
      <c r="H54" s="66">
        <f>IF($AB54="TGD",ROUND($E54*(1+$AD54)^(H$4-$E$4),0),IF($AB54="ALTH",ROUND($AE54+$AF54*H$4,0),IF($AB54="IR",ROUND(Proyeccion_Localidades!AE54,0),IF($AB54="RT",ROUND(Proyeccion_Localidades!BB54,0),"*****"))))</f>
        <v>66883</v>
      </c>
      <c r="I54" s="66">
        <f>IF($AB54="TGD",ROUND($E54*(1+$AD54)^(I$4-$E$4),0),IF($AB54="ALTH",ROUND($AE54+$AF54*I$4,0),IF($AB54="IR",ROUND(Proyeccion_Localidades!AF54,0),IF($AB54="RT",ROUND(Proyeccion_Localidades!BC54,0),"*****"))))</f>
        <v>67435</v>
      </c>
      <c r="J54" s="66">
        <f>IF($AB54="TGD",ROUND($E54*(1+$AD54)^(J$4-$E$4),0),IF($AB54="ALTH",ROUND($AE54+$AF54*J$4,0),IF($AB54="IR",ROUND(Proyeccion_Localidades!AG54,0),IF($AB54="RT",ROUND(Proyeccion_Localidades!BD54,0),"*****"))))</f>
        <v>67986</v>
      </c>
      <c r="K54" s="66">
        <f>IF($AB54="TGD",ROUND($E54*(1+$AD54)^(K$4-$E$4),0),IF($AB54="ALTH",ROUND($AE54+$AF54*K$4,0),IF($AB54="IR",ROUND(Proyeccion_Localidades!AH54,0),IF($AB54="RT",ROUND(Proyeccion_Localidades!BE54,0),"*****"))))</f>
        <v>68537</v>
      </c>
      <c r="L54" s="66">
        <f>IF($AB54="TGD",ROUND($E54*(1+$AD54)^(L$4-$E$4),0),IF($AB54="ALTH",ROUND($AE54+$AF54*L$4,0),IF($AB54="IR",ROUND(Proyeccion_Localidades!AI54,0),IF($AB54="RT",ROUND(Proyeccion_Localidades!BF54,0),"*****"))))</f>
        <v>69088</v>
      </c>
      <c r="M54" s="66">
        <f>IF($AB54="TGD",ROUND($E54*(1+$AD54)^(M$4-$E$4),0),IF($AB54="ALTH",ROUND($AE54+$AF54*M$4,0),IF($AB54="IR",ROUND(Proyeccion_Localidades!AJ54,0),IF($AB54="RT",ROUND(Proyeccion_Localidades!BG54,0),"*****"))))</f>
        <v>69639</v>
      </c>
      <c r="N54" s="66">
        <f>IF($AB54="TGD",ROUND($E54*(1+$AD54)^(N$4-$E$4),0),IF($AB54="ALTH",ROUND($AE54+$AF54*N$4,0),IF($AB54="IR",ROUND(Proyeccion_Localidades!AK54,0),IF($AB54="RT",ROUND(Proyeccion_Localidades!BH54,0),"*****"))))</f>
        <v>70190</v>
      </c>
      <c r="O54" s="66">
        <f>IF($AB54="TGD",ROUND($E54*(1+$AD54)^(O$4-$E$4),0),IF($AB54="ALTH",ROUND($AE54+$AF54*O$4,0),IF($AB54="IR",ROUND(Proyeccion_Localidades!AL54,0),IF($AB54="RT",ROUND(Proyeccion_Localidades!BI54,0),"*****"))))</f>
        <v>70742</v>
      </c>
      <c r="P54" s="66">
        <f>IF($AB54="TGD",ROUND($E54*(1+$AD54)^(P$4-$E$4),0),IF($AB54="ALTH",ROUND($AE54+$AF54*P$4,0),IF($AB54="IR",ROUND(Proyeccion_Localidades!AM54,0),IF($AB54="RT",ROUND(Proyeccion_Localidades!BJ54,0),"*****"))))</f>
        <v>71293</v>
      </c>
      <c r="Q54" s="66">
        <f>IF($AB54="TGD",ROUND($E54*(1+$AD54)^(Q$4-$E$4),0),IF($AB54="ALTH",ROUND($AE54+$AF54*Q$4,0),IF($AB54="IR",ROUND(Proyeccion_Localidades!AN54,0),IF($AB54="RT",ROUND(Proyeccion_Localidades!BK54,0),"*****"))))</f>
        <v>71844</v>
      </c>
      <c r="R54" s="66">
        <f>IF($AB54="TGD",ROUND($E54*(1+$AD54)^(R$4-$E$4),0),IF($AB54="ALTH",ROUND($AE54+$AF54*R$4,0),IF($AB54="IR",ROUND(Proyeccion_Localidades!AO54,0),IF($AB54="RT",ROUND(Proyeccion_Localidades!BL54,0),"*****"))))</f>
        <v>72395</v>
      </c>
      <c r="S54" s="66">
        <f>IF($AB54="TGD",ROUND($E54*(1+$AD54)^(S$4-$E$4),0),IF($AB54="ALTH",ROUND($AE54+$AF54*S$4,0),IF($AB54="IR",ROUND(Proyeccion_Localidades!AP54,0),IF($AB54="RT",ROUND(Proyeccion_Localidades!BM54,0),"*****"))))</f>
        <v>72946</v>
      </c>
      <c r="T54" s="66">
        <f>IF($AB54="TGD",ROUND($E54*(1+$AD54)^(T$4-$E$4),0),IF($AB54="ALTH",ROUND($AE54+$AF54*T$4,0),IF($AB54="IR",ROUND(Proyeccion_Localidades!AQ54,0),IF($AB54="RT",ROUND(Proyeccion_Localidades!BN54,0),"*****"))))</f>
        <v>73497</v>
      </c>
      <c r="U54" s="66">
        <f>IF($AB54="TGD",ROUND($E54*(1+$AD54)^(U$4-$E$4),0),IF($AB54="ALTH",ROUND($AE54+$AF54*U$4,0),IF($AB54="IR",ROUND(Proyeccion_Localidades!AR54,0),IF($AB54="RT",ROUND(Proyeccion_Localidades!BO54,0),"*****"))))</f>
        <v>74049</v>
      </c>
      <c r="V54" s="66">
        <f>IF($AB54="TGD",ROUND($E54*(1+$AD54)^(V$4-$E$4),0),IF($AB54="ALTH",ROUND($AE54+$AF54*V$4,0),IF($AB54="IR",ROUND(Proyeccion_Localidades!AS54,0),IF($AB54="RT",ROUND(Proyeccion_Localidades!BP54,0),"*****"))))</f>
        <v>74600</v>
      </c>
      <c r="W54" s="66">
        <f>IF($AB54="TGD",ROUND($E54*(1+$AD54)^(W$4-$E$4),0),IF($AB54="ALTH",ROUND($AE54+$AF54*W$4,0),IF($AB54="IR",ROUND(Proyeccion_Localidades!AT54,0),IF($AB54="RT",ROUND(Proyeccion_Localidades!BQ54,0),"*****"))))</f>
        <v>75151</v>
      </c>
      <c r="X54" s="66">
        <f>IF($AB54="TGD",ROUND($E54*(1+$AD54)^(X$4-$E$4),0),IF($AB54="ALTH",ROUND($AE54+$AF54*X$4,0),IF($AB54="IR",ROUND(Proyeccion_Localidades!AU54,0),IF($AB54="RT",ROUND(Proyeccion_Localidades!BR54,0),"*****"))))</f>
        <v>75702</v>
      </c>
      <c r="Y54" s="66">
        <f>IF($AB54="TGD",ROUND($E54*(1+$AD54)^(Y$4-$E$4),0),IF($AB54="ALTH",ROUND($AE54+$AF54*Y$4,0),IF($AB54="IR",ROUND(Proyeccion_Localidades!AV54,0),IF($AB54="RT",ROUND(Proyeccion_Localidades!BS54,0),"*****"))))</f>
        <v>76253</v>
      </c>
      <c r="Z54" s="66">
        <f>IF($AB54="TGD",ROUND($E54*(1+$AD54)^(Z$4-$E$4),0),IF($AB54="ALTH",ROUND($AE54+$AF54*Z$4,0),IF($AB54="IR",ROUND(Proyeccion_Localidades!AW54,0),IF($AB54="RT",ROUND(Proyeccion_Localidades!BT54,0),"*****"))))</f>
        <v>76804</v>
      </c>
      <c r="AA54" s="66">
        <f>IF($AB54="TGD",ROUND($E54*(1+$AD54)^(AA$4-$E$4),0),IF($AB54="ALTH",ROUND($AE54+$AF54*AA$4,0),IF($AB54="IR",ROUND(Proyeccion_Localidades!AX54,0),IF($AB54="RT",ROUND(Proyeccion_Localidades!BU54,0),"*****"))))</f>
        <v>77356</v>
      </c>
      <c r="AB54" s="67" t="str">
        <f>Proyeccion_Localidades!N54</f>
        <v>ALTH</v>
      </c>
      <c r="AC54" s="68" t="s">
        <v>36</v>
      </c>
      <c r="AD54" s="51" t="str">
        <f>IF(AB54="TGD",Proyeccion_Localidades!Z54,"-")</f>
        <v>-</v>
      </c>
      <c r="AE54" s="51">
        <f>IF($AB54="ALTH",Proyeccion_Localidades!AA54,"-")</f>
        <v>-1049790.2878228785</v>
      </c>
      <c r="AF54" s="51">
        <f>IF($AB54="ALTH",Proyeccion_Localidades!AB54,"-")</f>
        <v>551.17158671586719</v>
      </c>
      <c r="AG54" s="51"/>
      <c r="AH54" s="51"/>
      <c r="AI54" s="66">
        <f t="shared" si="2"/>
        <v>65230</v>
      </c>
    </row>
    <row r="55" spans="1:35" ht="24.95" customHeight="1">
      <c r="A55" s="69" t="str">
        <f>+Proyeccion_Localidades!C55</f>
        <v>Colón</v>
      </c>
      <c r="B55" s="70">
        <f t="shared" si="4"/>
        <v>51</v>
      </c>
      <c r="C55" s="71" t="str">
        <f>+Proyeccion_Localidades!B55</f>
        <v>Colón</v>
      </c>
      <c r="D55" s="261">
        <f t="shared" si="3"/>
        <v>51</v>
      </c>
      <c r="E55" s="72">
        <f>+Proyeccion_Localidades!F55</f>
        <v>23206</v>
      </c>
      <c r="F55" s="66">
        <f>IF($AB55="TGD",ROUND($E55*(1+$AD55)^(F$4-$E$4),0),IF($AB55="ALTH",ROUND($AE55+$AF55*F$4,0),IF($AB55="IR",ROUND(Proyeccion_Localidades!AC55,0),IF($AB55="RT",ROUND(Proyeccion_Localidades!AZ55,0),"*****"))))</f>
        <v>25860</v>
      </c>
      <c r="G55" s="66">
        <f>IF($AB55="TGD",ROUND($E55*(1+$AD55)^(G$4-$E$4),0),IF($AB55="ALTH",ROUND($AE55+$AF55*G$4,0),IF($AB55="IR",ROUND(Proyeccion_Localidades!AD55,0),IF($AB55="RT",ROUND(Proyeccion_Localidades!BA55,0),"*****"))))</f>
        <v>26094</v>
      </c>
      <c r="H55" s="66">
        <f>IF($AB55="TGD",ROUND($E55*(1+$AD55)^(H$4-$E$4),0),IF($AB55="ALTH",ROUND($AE55+$AF55*H$4,0),IF($AB55="IR",ROUND(Proyeccion_Localidades!AE55,0),IF($AB55="RT",ROUND(Proyeccion_Localidades!BB55,0),"*****"))))</f>
        <v>26810</v>
      </c>
      <c r="I55" s="66">
        <f>IF($AB55="TGD",ROUND($E55*(1+$AD55)^(I$4-$E$4),0),IF($AB55="ALTH",ROUND($AE55+$AF55*I$4,0),IF($AB55="IR",ROUND(Proyeccion_Localidades!AF55,0),IF($AB55="RT",ROUND(Proyeccion_Localidades!BC55,0),"*****"))))</f>
        <v>27053</v>
      </c>
      <c r="J55" s="66">
        <f>IF($AB55="TGD",ROUND($E55*(1+$AD55)^(J$4-$E$4),0),IF($AB55="ALTH",ROUND($AE55+$AF55*J$4,0),IF($AB55="IR",ROUND(Proyeccion_Localidades!AG55,0),IF($AB55="RT",ROUND(Proyeccion_Localidades!BD55,0),"*****"))))</f>
        <v>27298</v>
      </c>
      <c r="K55" s="66">
        <f>IF($AB55="TGD",ROUND($E55*(1+$AD55)^(K$4-$E$4),0),IF($AB55="ALTH",ROUND($AE55+$AF55*K$4,0),IF($AB55="IR",ROUND(Proyeccion_Localidades!AH55,0),IF($AB55="RT",ROUND(Proyeccion_Localidades!BE55,0),"*****"))))</f>
        <v>27546</v>
      </c>
      <c r="L55" s="66">
        <f>IF($AB55="TGD",ROUND($E55*(1+$AD55)^(L$4-$E$4),0),IF($AB55="ALTH",ROUND($AE55+$AF55*L$4,0),IF($AB55="IR",ROUND(Proyeccion_Localidades!AI55,0),IF($AB55="RT",ROUND(Proyeccion_Localidades!BF55,0),"*****"))))</f>
        <v>27795</v>
      </c>
      <c r="M55" s="66">
        <f>IF($AB55="TGD",ROUND($E55*(1+$AD55)^(M$4-$E$4),0),IF($AB55="ALTH",ROUND($AE55+$AF55*M$4,0),IF($AB55="IR",ROUND(Proyeccion_Localidades!AJ55,0),IF($AB55="RT",ROUND(Proyeccion_Localidades!BG55,0),"*****"))))</f>
        <v>28047</v>
      </c>
      <c r="N55" s="66">
        <f>IF($AB55="TGD",ROUND($E55*(1+$AD55)^(N$4-$E$4),0),IF($AB55="ALTH",ROUND($AE55+$AF55*N$4,0),IF($AB55="IR",ROUND(Proyeccion_Localidades!AK55,0),IF($AB55="RT",ROUND(Proyeccion_Localidades!BH55,0),"*****"))))</f>
        <v>28302</v>
      </c>
      <c r="O55" s="66">
        <f>IF($AB55="TGD",ROUND($E55*(1+$AD55)^(O$4-$E$4),0),IF($AB55="ALTH",ROUND($AE55+$AF55*O$4,0),IF($AB55="IR",ROUND(Proyeccion_Localidades!AL55,0),IF($AB55="RT",ROUND(Proyeccion_Localidades!BI55,0),"*****"))))</f>
        <v>28558</v>
      </c>
      <c r="P55" s="66">
        <f>IF($AB55="TGD",ROUND($E55*(1+$AD55)^(P$4-$E$4),0),IF($AB55="ALTH",ROUND($AE55+$AF55*P$4,0),IF($AB55="IR",ROUND(Proyeccion_Localidades!AM55,0),IF($AB55="RT",ROUND(Proyeccion_Localidades!BJ55,0),"*****"))))</f>
        <v>28817</v>
      </c>
      <c r="Q55" s="66">
        <f>IF($AB55="TGD",ROUND($E55*(1+$AD55)^(Q$4-$E$4),0),IF($AB55="ALTH",ROUND($AE55+$AF55*Q$4,0),IF($AB55="IR",ROUND(Proyeccion_Localidades!AN55,0),IF($AB55="RT",ROUND(Proyeccion_Localidades!BK55,0),"*****"))))</f>
        <v>29078</v>
      </c>
      <c r="R55" s="66">
        <f>IF($AB55="TGD",ROUND($E55*(1+$AD55)^(R$4-$E$4),0),IF($AB55="ALTH",ROUND($AE55+$AF55*R$4,0),IF($AB55="IR",ROUND(Proyeccion_Localidades!AO55,0),IF($AB55="RT",ROUND(Proyeccion_Localidades!BL55,0),"*****"))))</f>
        <v>29342</v>
      </c>
      <c r="S55" s="66">
        <f>IF($AB55="TGD",ROUND($E55*(1+$AD55)^(S$4-$E$4),0),IF($AB55="ALTH",ROUND($AE55+$AF55*S$4,0),IF($AB55="IR",ROUND(Proyeccion_Localidades!AP55,0),IF($AB55="RT",ROUND(Proyeccion_Localidades!BM55,0),"*****"))))</f>
        <v>29608</v>
      </c>
      <c r="T55" s="66">
        <f>IF($AB55="TGD",ROUND($E55*(1+$AD55)^(T$4-$E$4),0),IF($AB55="ALTH",ROUND($AE55+$AF55*T$4,0),IF($AB55="IR",ROUND(Proyeccion_Localidades!AQ55,0),IF($AB55="RT",ROUND(Proyeccion_Localidades!BN55,0),"*****"))))</f>
        <v>29876</v>
      </c>
      <c r="U55" s="66">
        <f>IF($AB55="TGD",ROUND($E55*(1+$AD55)^(U$4-$E$4),0),IF($AB55="ALTH",ROUND($AE55+$AF55*U$4,0),IF($AB55="IR",ROUND(Proyeccion_Localidades!AR55,0),IF($AB55="RT",ROUND(Proyeccion_Localidades!BO55,0),"*****"))))</f>
        <v>30147</v>
      </c>
      <c r="V55" s="66">
        <f>IF($AB55="TGD",ROUND($E55*(1+$AD55)^(V$4-$E$4),0),IF($AB55="ALTH",ROUND($AE55+$AF55*V$4,0),IF($AB55="IR",ROUND(Proyeccion_Localidades!AS55,0),IF($AB55="RT",ROUND(Proyeccion_Localidades!BP55,0),"*****"))))</f>
        <v>30420</v>
      </c>
      <c r="W55" s="66">
        <f>IF($AB55="TGD",ROUND($E55*(1+$AD55)^(W$4-$E$4),0),IF($AB55="ALTH",ROUND($AE55+$AF55*W$4,0),IF($AB55="IR",ROUND(Proyeccion_Localidades!AT55,0),IF($AB55="RT",ROUND(Proyeccion_Localidades!BQ55,0),"*****"))))</f>
        <v>30696</v>
      </c>
      <c r="X55" s="66">
        <f>IF($AB55="TGD",ROUND($E55*(1+$AD55)^(X$4-$E$4),0),IF($AB55="ALTH",ROUND($AE55+$AF55*X$4,0),IF($AB55="IR",ROUND(Proyeccion_Localidades!AU55,0),IF($AB55="RT",ROUND(Proyeccion_Localidades!BR55,0),"*****"))))</f>
        <v>30974</v>
      </c>
      <c r="Y55" s="66">
        <f>IF($AB55="TGD",ROUND($E55*(1+$AD55)^(Y$4-$E$4),0),IF($AB55="ALTH",ROUND($AE55+$AF55*Y$4,0),IF($AB55="IR",ROUND(Proyeccion_Localidades!AV55,0),IF($AB55="RT",ROUND(Proyeccion_Localidades!BS55,0),"*****"))))</f>
        <v>31255</v>
      </c>
      <c r="Z55" s="66">
        <f>IF($AB55="TGD",ROUND($E55*(1+$AD55)^(Z$4-$E$4),0),IF($AB55="ALTH",ROUND($AE55+$AF55*Z$4,0),IF($AB55="IR",ROUND(Proyeccion_Localidades!AW55,0),IF($AB55="RT",ROUND(Proyeccion_Localidades!BT55,0),"*****"))))</f>
        <v>31538</v>
      </c>
      <c r="AA55" s="66">
        <f>IF($AB55="TGD",ROUND($E55*(1+$AD55)^(AA$4-$E$4),0),IF($AB55="ALTH",ROUND($AE55+$AF55*AA$4,0),IF($AB55="IR",ROUND(Proyeccion_Localidades!AX55,0),IF($AB55="RT",ROUND(Proyeccion_Localidades!BU55,0),"*****"))))</f>
        <v>31824</v>
      </c>
      <c r="AB55" s="67" t="str">
        <f>Proyeccion_Localidades!N55</f>
        <v>TGD</v>
      </c>
      <c r="AC55" s="68" t="s">
        <v>35</v>
      </c>
      <c r="AD55" s="51">
        <f>IF(AB55="TGD",Proyeccion_Localidades!Z55,"-")</f>
        <v>9.063816213264575E-3</v>
      </c>
      <c r="AE55" s="51" t="str">
        <f>IF($AB55="ALTH",Proyeccion_Localidades!AA55,"-")</f>
        <v>-</v>
      </c>
      <c r="AF55" s="51" t="str">
        <f>IF($AB55="ALTH",Proyeccion_Localidades!AB55,"-")</f>
        <v>-</v>
      </c>
      <c r="AG55" s="51"/>
      <c r="AH55" s="51"/>
      <c r="AI55" s="66">
        <f t="shared" si="2"/>
        <v>26094</v>
      </c>
    </row>
    <row r="56" spans="1:35" ht="24.95" customHeight="1">
      <c r="A56" s="69" t="str">
        <f>+Proyeccion_Localidades!C56</f>
        <v>Coronel de Marina L. Rosales</v>
      </c>
      <c r="B56" s="70">
        <f t="shared" si="4"/>
        <v>52</v>
      </c>
      <c r="C56" s="71" t="str">
        <f>+Proyeccion_Localidades!B56</f>
        <v>Punta Alta</v>
      </c>
      <c r="D56" s="261">
        <f t="shared" si="3"/>
        <v>52</v>
      </c>
      <c r="E56" s="72">
        <f>+Proyeccion_Localidades!F56</f>
        <v>58315</v>
      </c>
      <c r="F56" s="66">
        <f>IF($AB56="TGD",ROUND($E56*(1+$AD56)^(F$4-$E$4),0),IF($AB56="ALTH",ROUND($AE56+$AF56*F$4,0),IF($AB56="IR",ROUND(Proyeccion_Localidades!AC56,0),IF($AB56="RT",ROUND(Proyeccion_Localidades!AZ56,0),"*****"))))</f>
        <v>60586</v>
      </c>
      <c r="G56" s="66">
        <f>IF($AB56="TGD",ROUND($E56*(1+$AD56)^(G$4-$E$4),0),IF($AB56="ALTH",ROUND($AE56+$AF56*G$4,0),IF($AB56="IR",ROUND(Proyeccion_Localidades!AD56,0),IF($AB56="RT",ROUND(Proyeccion_Localidades!BA56,0),"*****"))))</f>
        <v>60796</v>
      </c>
      <c r="H56" s="66">
        <f>IF($AB56="TGD",ROUND($E56*(1+$AD56)^(H$4-$E$4),0),IF($AB56="ALTH",ROUND($AE56+$AF56*H$4,0),IF($AB56="IR",ROUND(Proyeccion_Localidades!AE56,0),IF($AB56="RT",ROUND(Proyeccion_Localidades!BB56,0),"*****"))))</f>
        <v>61447</v>
      </c>
      <c r="I56" s="66">
        <f>IF($AB56="TGD",ROUND($E56*(1+$AD56)^(I$4-$E$4),0),IF($AB56="ALTH",ROUND($AE56+$AF56*I$4,0),IF($AB56="IR",ROUND(Proyeccion_Localidades!AF56,0),IF($AB56="RT",ROUND(Proyeccion_Localidades!BC56,0),"*****"))))</f>
        <v>61671</v>
      </c>
      <c r="J56" s="66">
        <f>IF($AB56="TGD",ROUND($E56*(1+$AD56)^(J$4-$E$4),0),IF($AB56="ALTH",ROUND($AE56+$AF56*J$4,0),IF($AB56="IR",ROUND(Proyeccion_Localidades!AG56,0),IF($AB56="RT",ROUND(Proyeccion_Localidades!BD56,0),"*****"))))</f>
        <v>61899</v>
      </c>
      <c r="K56" s="66">
        <f>IF($AB56="TGD",ROUND($E56*(1+$AD56)^(K$4-$E$4),0),IF($AB56="ALTH",ROUND($AE56+$AF56*K$4,0),IF($AB56="IR",ROUND(Proyeccion_Localidades!AH56,0),IF($AB56="RT",ROUND(Proyeccion_Localidades!BE56,0),"*****"))))</f>
        <v>62130</v>
      </c>
      <c r="L56" s="66">
        <f>IF($AB56="TGD",ROUND($E56*(1+$AD56)^(L$4-$E$4),0),IF($AB56="ALTH",ROUND($AE56+$AF56*L$4,0),IF($AB56="IR",ROUND(Proyeccion_Localidades!AI56,0),IF($AB56="RT",ROUND(Proyeccion_Localidades!BF56,0),"*****"))))</f>
        <v>62365</v>
      </c>
      <c r="M56" s="66">
        <f>IF($AB56="TGD",ROUND($E56*(1+$AD56)^(M$4-$E$4),0),IF($AB56="ALTH",ROUND($AE56+$AF56*M$4,0),IF($AB56="IR",ROUND(Proyeccion_Localidades!AJ56,0),IF($AB56="RT",ROUND(Proyeccion_Localidades!BG56,0),"*****"))))</f>
        <v>62604</v>
      </c>
      <c r="N56" s="66">
        <f>IF($AB56="TGD",ROUND($E56*(1+$AD56)^(N$4-$E$4),0),IF($AB56="ALTH",ROUND($AE56+$AF56*N$4,0),IF($AB56="IR",ROUND(Proyeccion_Localidades!AK56,0),IF($AB56="RT",ROUND(Proyeccion_Localidades!BH56,0),"*****"))))</f>
        <v>62847</v>
      </c>
      <c r="O56" s="66">
        <f>IF($AB56="TGD",ROUND($E56*(1+$AD56)^(O$4-$E$4),0),IF($AB56="ALTH",ROUND($AE56+$AF56*O$4,0),IF($AB56="IR",ROUND(Proyeccion_Localidades!AL56,0),IF($AB56="RT",ROUND(Proyeccion_Localidades!BI56,0),"*****"))))</f>
        <v>63094</v>
      </c>
      <c r="P56" s="66">
        <f>IF($AB56="TGD",ROUND($E56*(1+$AD56)^(P$4-$E$4),0),IF($AB56="ALTH",ROUND($AE56+$AF56*P$4,0),IF($AB56="IR",ROUND(Proyeccion_Localidades!AM56,0),IF($AB56="RT",ROUND(Proyeccion_Localidades!BJ56,0),"*****"))))</f>
        <v>63345</v>
      </c>
      <c r="Q56" s="66">
        <f>IF($AB56="TGD",ROUND($E56*(1+$AD56)^(Q$4-$E$4),0),IF($AB56="ALTH",ROUND($AE56+$AF56*Q$4,0),IF($AB56="IR",ROUND(Proyeccion_Localidades!AN56,0),IF($AB56="RT",ROUND(Proyeccion_Localidades!BK56,0),"*****"))))</f>
        <v>63599</v>
      </c>
      <c r="R56" s="66">
        <f>IF($AB56="TGD",ROUND($E56*(1+$AD56)^(R$4-$E$4),0),IF($AB56="ALTH",ROUND($AE56+$AF56*R$4,0),IF($AB56="IR",ROUND(Proyeccion_Localidades!AO56,0),IF($AB56="RT",ROUND(Proyeccion_Localidades!BL56,0),"*****"))))</f>
        <v>63859</v>
      </c>
      <c r="S56" s="66">
        <f>IF($AB56="TGD",ROUND($E56*(1+$AD56)^(S$4-$E$4),0),IF($AB56="ALTH",ROUND($AE56+$AF56*S$4,0),IF($AB56="IR",ROUND(Proyeccion_Localidades!AP56,0),IF($AB56="RT",ROUND(Proyeccion_Localidades!BM56,0),"*****"))))</f>
        <v>64122</v>
      </c>
      <c r="T56" s="66">
        <f>IF($AB56="TGD",ROUND($E56*(1+$AD56)^(T$4-$E$4),0),IF($AB56="ALTH",ROUND($AE56+$AF56*T$4,0),IF($AB56="IR",ROUND(Proyeccion_Localidades!AQ56,0),IF($AB56="RT",ROUND(Proyeccion_Localidades!BN56,0),"*****"))))</f>
        <v>64390</v>
      </c>
      <c r="U56" s="66">
        <f>IF($AB56="TGD",ROUND($E56*(1+$AD56)^(U$4-$E$4),0),IF($AB56="ALTH",ROUND($AE56+$AF56*U$4,0),IF($AB56="IR",ROUND(Proyeccion_Localidades!AR56,0),IF($AB56="RT",ROUND(Proyeccion_Localidades!BO56,0),"*****"))))</f>
        <v>64662</v>
      </c>
      <c r="V56" s="66">
        <f>IF($AB56="TGD",ROUND($E56*(1+$AD56)^(V$4-$E$4),0),IF($AB56="ALTH",ROUND($AE56+$AF56*V$4,0),IF($AB56="IR",ROUND(Proyeccion_Localidades!AS56,0),IF($AB56="RT",ROUND(Proyeccion_Localidades!BP56,0),"*****"))))</f>
        <v>64938</v>
      </c>
      <c r="W56" s="66">
        <f>IF($AB56="TGD",ROUND($E56*(1+$AD56)^(W$4-$E$4),0),IF($AB56="ALTH",ROUND($AE56+$AF56*W$4,0),IF($AB56="IR",ROUND(Proyeccion_Localidades!AT56,0),IF($AB56="RT",ROUND(Proyeccion_Localidades!BQ56,0),"*****"))))</f>
        <v>65219</v>
      </c>
      <c r="X56" s="66">
        <f>IF($AB56="TGD",ROUND($E56*(1+$AD56)^(X$4-$E$4),0),IF($AB56="ALTH",ROUND($AE56+$AF56*X$4,0),IF($AB56="IR",ROUND(Proyeccion_Localidades!AU56,0),IF($AB56="RT",ROUND(Proyeccion_Localidades!BR56,0),"*****"))))</f>
        <v>65504</v>
      </c>
      <c r="Y56" s="66">
        <f>IF($AB56="TGD",ROUND($E56*(1+$AD56)^(Y$4-$E$4),0),IF($AB56="ALTH",ROUND($AE56+$AF56*Y$4,0),IF($AB56="IR",ROUND(Proyeccion_Localidades!AV56,0),IF($AB56="RT",ROUND(Proyeccion_Localidades!BS56,0),"*****"))))</f>
        <v>65795</v>
      </c>
      <c r="Z56" s="66">
        <f>IF($AB56="TGD",ROUND($E56*(1+$AD56)^(Z$4-$E$4),0),IF($AB56="ALTH",ROUND($AE56+$AF56*Z$4,0),IF($AB56="IR",ROUND(Proyeccion_Localidades!AW56,0),IF($AB56="RT",ROUND(Proyeccion_Localidades!BT56,0),"*****"))))</f>
        <v>66089</v>
      </c>
      <c r="AA56" s="66">
        <f>IF($AB56="TGD",ROUND($E56*(1+$AD56)^(AA$4-$E$4),0),IF($AB56="ALTH",ROUND($AE56+$AF56*AA$4,0),IF($AB56="IR",ROUND(Proyeccion_Localidades!AX56,0),IF($AB56="RT",ROUND(Proyeccion_Localidades!BU56,0),"*****"))))</f>
        <v>66389</v>
      </c>
      <c r="AB56" s="67" t="str">
        <f>Proyeccion_Localidades!N56</f>
        <v>IR</v>
      </c>
      <c r="AC56" s="73"/>
      <c r="AD56" s="51" t="str">
        <f>IF(AB56="TGD",Proyeccion_Localidades!Z56,"-")</f>
        <v>-</v>
      </c>
      <c r="AE56" s="51" t="str">
        <f>IF($AB56="ALTH",Proyeccion_Localidades!AA56,"-")</f>
        <v>-</v>
      </c>
      <c r="AF56" s="51" t="str">
        <f>IF($AB56="ALTH",Proyeccion_Localidades!AB56,"-")</f>
        <v>-</v>
      </c>
      <c r="AG56" s="51"/>
      <c r="AH56" s="51"/>
      <c r="AI56" s="66">
        <f t="shared" si="2"/>
        <v>60796</v>
      </c>
    </row>
    <row r="57" spans="1:35" ht="24.95" customHeight="1">
      <c r="A57" s="69" t="str">
        <f>+Proyeccion_Localidades!C57</f>
        <v>Coronel Dorrego</v>
      </c>
      <c r="B57" s="70">
        <f t="shared" si="4"/>
        <v>53</v>
      </c>
      <c r="C57" s="71" t="str">
        <f>+Proyeccion_Localidades!B57</f>
        <v>Coronel Dorrego</v>
      </c>
      <c r="D57" s="261">
        <f t="shared" si="3"/>
        <v>53</v>
      </c>
      <c r="E57" s="72">
        <f>+Proyeccion_Localidades!F57</f>
        <v>11510</v>
      </c>
      <c r="F57" s="66">
        <f>IF($AB57="TGD",ROUND($E57*(1+$AD57)^(F$4-$E$4),0),IF($AB57="ALTH",ROUND($AE57+$AF57*F$4,0),IF($AB57="IR",ROUND(Proyeccion_Localidades!AC57,0),IF($AB57="RT",ROUND(Proyeccion_Localidades!AZ57,0),"*****"))))</f>
        <v>11634</v>
      </c>
      <c r="G57" s="66">
        <f>IF($AB57="TGD",ROUND($E57*(1+$AD57)^(G$4-$E$4),0),IF($AB57="ALTH",ROUND($AE57+$AF57*G$4,0),IF($AB57="IR",ROUND(Proyeccion_Localidades!AD57,0),IF($AB57="RT",ROUND(Proyeccion_Localidades!BA57,0),"*****"))))</f>
        <v>11639</v>
      </c>
      <c r="H57" s="66">
        <f>IF($AB57="TGD",ROUND($E57*(1+$AD57)^(H$4-$E$4),0),IF($AB57="ALTH",ROUND($AE57+$AF57*H$4,0),IF($AB57="IR",ROUND(Proyeccion_Localidades!AE57,0),IF($AB57="RT",ROUND(Proyeccion_Localidades!BB57,0),"*****"))))</f>
        <v>11655</v>
      </c>
      <c r="I57" s="66">
        <f>IF($AB57="TGD",ROUND($E57*(1+$AD57)^(I$4-$E$4),0),IF($AB57="ALTH",ROUND($AE57+$AF57*I$4,0),IF($AB57="IR",ROUND(Proyeccion_Localidades!AF57,0),IF($AB57="RT",ROUND(Proyeccion_Localidades!BC57,0),"*****"))))</f>
        <v>11660</v>
      </c>
      <c r="J57" s="66">
        <f>IF($AB57="TGD",ROUND($E57*(1+$AD57)^(J$4-$E$4),0),IF($AB57="ALTH",ROUND($AE57+$AF57*J$4,0),IF($AB57="IR",ROUND(Proyeccion_Localidades!AG57,0),IF($AB57="RT",ROUND(Proyeccion_Localidades!BD57,0),"*****"))))</f>
        <v>11665</v>
      </c>
      <c r="K57" s="66">
        <f>IF($AB57="TGD",ROUND($E57*(1+$AD57)^(K$4-$E$4),0),IF($AB57="ALTH",ROUND($AE57+$AF57*K$4,0),IF($AB57="IR",ROUND(Proyeccion_Localidades!AH57,0),IF($AB57="RT",ROUND(Proyeccion_Localidades!BE57,0),"*****"))))</f>
        <v>11670</v>
      </c>
      <c r="L57" s="66">
        <f>IF($AB57="TGD",ROUND($E57*(1+$AD57)^(L$4-$E$4),0),IF($AB57="ALTH",ROUND($AE57+$AF57*L$4,0),IF($AB57="IR",ROUND(Proyeccion_Localidades!AI57,0),IF($AB57="RT",ROUND(Proyeccion_Localidades!BF57,0),"*****"))))</f>
        <v>11676</v>
      </c>
      <c r="M57" s="66">
        <f>IF($AB57="TGD",ROUND($E57*(1+$AD57)^(M$4-$E$4),0),IF($AB57="ALTH",ROUND($AE57+$AF57*M$4,0),IF($AB57="IR",ROUND(Proyeccion_Localidades!AJ57,0),IF($AB57="RT",ROUND(Proyeccion_Localidades!BG57,0),"*****"))))</f>
        <v>11681</v>
      </c>
      <c r="N57" s="66">
        <f>IF($AB57="TGD",ROUND($E57*(1+$AD57)^(N$4-$E$4),0),IF($AB57="ALTH",ROUND($AE57+$AF57*N$4,0),IF($AB57="IR",ROUND(Proyeccion_Localidades!AK57,0),IF($AB57="RT",ROUND(Proyeccion_Localidades!BH57,0),"*****"))))</f>
        <v>11686</v>
      </c>
      <c r="O57" s="66">
        <f>IF($AB57="TGD",ROUND($E57*(1+$AD57)^(O$4-$E$4),0),IF($AB57="ALTH",ROUND($AE57+$AF57*O$4,0),IF($AB57="IR",ROUND(Proyeccion_Localidades!AL57,0),IF($AB57="RT",ROUND(Proyeccion_Localidades!BI57,0),"*****"))))</f>
        <v>11691</v>
      </c>
      <c r="P57" s="66">
        <f>IF($AB57="TGD",ROUND($E57*(1+$AD57)^(P$4-$E$4),0),IF($AB57="ALTH",ROUND($AE57+$AF57*P$4,0),IF($AB57="IR",ROUND(Proyeccion_Localidades!AM57,0),IF($AB57="RT",ROUND(Proyeccion_Localidades!BJ57,0),"*****"))))</f>
        <v>11696</v>
      </c>
      <c r="Q57" s="66">
        <f>IF($AB57="TGD",ROUND($E57*(1+$AD57)^(Q$4-$E$4),0),IF($AB57="ALTH",ROUND($AE57+$AF57*Q$4,0),IF($AB57="IR",ROUND(Proyeccion_Localidades!AN57,0),IF($AB57="RT",ROUND(Proyeccion_Localidades!BK57,0),"*****"))))</f>
        <v>11701</v>
      </c>
      <c r="R57" s="66">
        <f>IF($AB57="TGD",ROUND($E57*(1+$AD57)^(R$4-$E$4),0),IF($AB57="ALTH",ROUND($AE57+$AF57*R$4,0),IF($AB57="IR",ROUND(Proyeccion_Localidades!AO57,0),IF($AB57="RT",ROUND(Proyeccion_Localidades!BL57,0),"*****"))))</f>
        <v>11707</v>
      </c>
      <c r="S57" s="66">
        <f>IF($AB57="TGD",ROUND($E57*(1+$AD57)^(S$4-$E$4),0),IF($AB57="ALTH",ROUND($AE57+$AF57*S$4,0),IF($AB57="IR",ROUND(Proyeccion_Localidades!AP57,0),IF($AB57="RT",ROUND(Proyeccion_Localidades!BM57,0),"*****"))))</f>
        <v>11712</v>
      </c>
      <c r="T57" s="66">
        <f>IF($AB57="TGD",ROUND($E57*(1+$AD57)^(T$4-$E$4),0),IF($AB57="ALTH",ROUND($AE57+$AF57*T$4,0),IF($AB57="IR",ROUND(Proyeccion_Localidades!AQ57,0),IF($AB57="RT",ROUND(Proyeccion_Localidades!BN57,0),"*****"))))</f>
        <v>11717</v>
      </c>
      <c r="U57" s="66">
        <f>IF($AB57="TGD",ROUND($E57*(1+$AD57)^(U$4-$E$4),0),IF($AB57="ALTH",ROUND($AE57+$AF57*U$4,0),IF($AB57="IR",ROUND(Proyeccion_Localidades!AR57,0),IF($AB57="RT",ROUND(Proyeccion_Localidades!BO57,0),"*****"))))</f>
        <v>11722</v>
      </c>
      <c r="V57" s="66">
        <f>IF($AB57="TGD",ROUND($E57*(1+$AD57)^(V$4-$E$4),0),IF($AB57="ALTH",ROUND($AE57+$AF57*V$4,0),IF($AB57="IR",ROUND(Proyeccion_Localidades!AS57,0),IF($AB57="RT",ROUND(Proyeccion_Localidades!BP57,0),"*****"))))</f>
        <v>11727</v>
      </c>
      <c r="W57" s="66">
        <f>IF($AB57="TGD",ROUND($E57*(1+$AD57)^(W$4-$E$4),0),IF($AB57="ALTH",ROUND($AE57+$AF57*W$4,0),IF($AB57="IR",ROUND(Proyeccion_Localidades!AT57,0),IF($AB57="RT",ROUND(Proyeccion_Localidades!BQ57,0),"*****"))))</f>
        <v>11733</v>
      </c>
      <c r="X57" s="66">
        <f>IF($AB57="TGD",ROUND($E57*(1+$AD57)^(X$4-$E$4),0),IF($AB57="ALTH",ROUND($AE57+$AF57*X$4,0),IF($AB57="IR",ROUND(Proyeccion_Localidades!AU57,0),IF($AB57="RT",ROUND(Proyeccion_Localidades!BR57,0),"*****"))))</f>
        <v>11738</v>
      </c>
      <c r="Y57" s="66">
        <f>IF($AB57="TGD",ROUND($E57*(1+$AD57)^(Y$4-$E$4),0),IF($AB57="ALTH",ROUND($AE57+$AF57*Y$4,0),IF($AB57="IR",ROUND(Proyeccion_Localidades!AV57,0),IF($AB57="RT",ROUND(Proyeccion_Localidades!BS57,0),"*****"))))</f>
        <v>11743</v>
      </c>
      <c r="Z57" s="66">
        <f>IF($AB57="TGD",ROUND($E57*(1+$AD57)^(Z$4-$E$4),0),IF($AB57="ALTH",ROUND($AE57+$AF57*Z$4,0),IF($AB57="IR",ROUND(Proyeccion_Localidades!AW57,0),IF($AB57="RT",ROUND(Proyeccion_Localidades!BT57,0),"*****"))))</f>
        <v>11748</v>
      </c>
      <c r="AA57" s="66">
        <f>IF($AB57="TGD",ROUND($E57*(1+$AD57)^(AA$4-$E$4),0),IF($AB57="ALTH",ROUND($AE57+$AF57*AA$4,0),IF($AB57="IR",ROUND(Proyeccion_Localidades!AX57,0),IF($AB57="RT",ROUND(Proyeccion_Localidades!BU57,0),"*****"))))</f>
        <v>11753</v>
      </c>
      <c r="AB57" s="67" t="str">
        <f>Proyeccion_Localidades!N57</f>
        <v>ALTH</v>
      </c>
      <c r="AC57" s="68" t="s">
        <v>36</v>
      </c>
      <c r="AD57" s="51" t="str">
        <f>IF(AB57="TGD",Proyeccion_Localidades!Z57,"-")</f>
        <v>-</v>
      </c>
      <c r="AE57" s="51">
        <f>IF($AB57="ALTH",Proyeccion_Localidades!AA57,"-")</f>
        <v>1181.0701107011064</v>
      </c>
      <c r="AF57" s="51">
        <f>IF($AB57="ALTH",Proyeccion_Localidades!AB57,"-")</f>
        <v>5.1697416974169741</v>
      </c>
      <c r="AG57" s="51"/>
      <c r="AH57" s="51"/>
      <c r="AI57" s="66">
        <f t="shared" si="2"/>
        <v>11639</v>
      </c>
    </row>
    <row r="58" spans="1:35" ht="24.95" customHeight="1">
      <c r="A58" s="69" t="str">
        <f>+Proyeccion_Localidades!C58</f>
        <v>Coronel Pringles</v>
      </c>
      <c r="B58" s="70">
        <f t="shared" si="4"/>
        <v>54</v>
      </c>
      <c r="C58" s="71" t="str">
        <f>+Proyeccion_Localidades!B58</f>
        <v>Coronel Pringles</v>
      </c>
      <c r="D58" s="261">
        <f t="shared" si="3"/>
        <v>54</v>
      </c>
      <c r="E58" s="72">
        <f>+Proyeccion_Localidades!F58</f>
        <v>20263</v>
      </c>
      <c r="F58" s="66">
        <f>IF($AB58="TGD",ROUND($E58*(1+$AD58)^(F$4-$E$4),0),IF($AB58="ALTH",ROUND($AE58+$AF58*F$4,0),IF($AB58="IR",ROUND(Proyeccion_Localidades!AC58,0),IF($AB58="RT",ROUND(Proyeccion_Localidades!AZ58,0),"*****"))))</f>
        <v>20916</v>
      </c>
      <c r="G58" s="66">
        <f>IF($AB58="TGD",ROUND($E58*(1+$AD58)^(G$4-$E$4),0),IF($AB58="ALTH",ROUND($AE58+$AF58*G$4,0),IF($AB58="IR",ROUND(Proyeccion_Localidades!AD58,0),IF($AB58="RT",ROUND(Proyeccion_Localidades!BA58,0),"*****"))))</f>
        <v>21124</v>
      </c>
      <c r="H58" s="66">
        <f>IF($AB58="TGD",ROUND($E58*(1+$AD58)^(H$4-$E$4),0),IF($AB58="ALTH",ROUND($AE58+$AF58*H$4,0),IF($AB58="IR",ROUND(Proyeccion_Localidades!AE58,0),IF($AB58="RT",ROUND(Proyeccion_Localidades!BB58,0),"*****"))))</f>
        <v>21746</v>
      </c>
      <c r="I58" s="66">
        <f>IF($AB58="TGD",ROUND($E58*(1+$AD58)^(I$4-$E$4),0),IF($AB58="ALTH",ROUND($AE58+$AF58*I$4,0),IF($AB58="IR",ROUND(Proyeccion_Localidades!AF58,0),IF($AB58="RT",ROUND(Proyeccion_Localidades!BC58,0),"*****"))))</f>
        <v>21954</v>
      </c>
      <c r="J58" s="66">
        <f>IF($AB58="TGD",ROUND($E58*(1+$AD58)^(J$4-$E$4),0),IF($AB58="ALTH",ROUND($AE58+$AF58*J$4,0),IF($AB58="IR",ROUND(Proyeccion_Localidades!AG58,0),IF($AB58="RT",ROUND(Proyeccion_Localidades!BD58,0),"*****"))))</f>
        <v>22161</v>
      </c>
      <c r="K58" s="66">
        <f>IF($AB58="TGD",ROUND($E58*(1+$AD58)^(K$4-$E$4),0),IF($AB58="ALTH",ROUND($AE58+$AF58*K$4,0),IF($AB58="IR",ROUND(Proyeccion_Localidades!AH58,0),IF($AB58="RT",ROUND(Proyeccion_Localidades!BE58,0),"*****"))))</f>
        <v>22369</v>
      </c>
      <c r="L58" s="66">
        <f>IF($AB58="TGD",ROUND($E58*(1+$AD58)^(L$4-$E$4),0),IF($AB58="ALTH",ROUND($AE58+$AF58*L$4,0),IF($AB58="IR",ROUND(Proyeccion_Localidades!AI58,0),IF($AB58="RT",ROUND(Proyeccion_Localidades!BF58,0),"*****"))))</f>
        <v>22576</v>
      </c>
      <c r="M58" s="66">
        <f>IF($AB58="TGD",ROUND($E58*(1+$AD58)^(M$4-$E$4),0),IF($AB58="ALTH",ROUND($AE58+$AF58*M$4,0),IF($AB58="IR",ROUND(Proyeccion_Localidades!AJ58,0),IF($AB58="RT",ROUND(Proyeccion_Localidades!BG58,0),"*****"))))</f>
        <v>22876</v>
      </c>
      <c r="N58" s="66">
        <f>IF($AB58="TGD",ROUND($E58*(1+$AD58)^(N$4-$E$4),0),IF($AB58="ALTH",ROUND($AE58+$AF58*N$4,0),IF($AB58="IR",ROUND(Proyeccion_Localidades!AK58,0),IF($AB58="RT",ROUND(Proyeccion_Localidades!BH58,0),"*****"))))</f>
        <v>23176</v>
      </c>
      <c r="O58" s="66">
        <f>IF($AB58="TGD",ROUND($E58*(1+$AD58)^(O$4-$E$4),0),IF($AB58="ALTH",ROUND($AE58+$AF58*O$4,0),IF($AB58="IR",ROUND(Proyeccion_Localidades!AL58,0),IF($AB58="RT",ROUND(Proyeccion_Localidades!BI58,0),"*****"))))</f>
        <v>23476</v>
      </c>
      <c r="P58" s="66">
        <f>IF($AB58="TGD",ROUND($E58*(1+$AD58)^(P$4-$E$4),0),IF($AB58="ALTH",ROUND($AE58+$AF58*P$4,0),IF($AB58="IR",ROUND(Proyeccion_Localidades!AM58,0),IF($AB58="RT",ROUND(Proyeccion_Localidades!BJ58,0),"*****"))))</f>
        <v>23775</v>
      </c>
      <c r="Q58" s="66">
        <f>IF($AB58="TGD",ROUND($E58*(1+$AD58)^(Q$4-$E$4),0),IF($AB58="ALTH",ROUND($AE58+$AF58*Q$4,0),IF($AB58="IR",ROUND(Proyeccion_Localidades!AN58,0),IF($AB58="RT",ROUND(Proyeccion_Localidades!BK58,0),"*****"))))</f>
        <v>24075</v>
      </c>
      <c r="R58" s="66">
        <f>IF($AB58="TGD",ROUND($E58*(1+$AD58)^(R$4-$E$4),0),IF($AB58="ALTH",ROUND($AE58+$AF58*R$4,0),IF($AB58="IR",ROUND(Proyeccion_Localidades!AO58,0),IF($AB58="RT",ROUND(Proyeccion_Localidades!BL58,0),"*****"))))</f>
        <v>24375</v>
      </c>
      <c r="S58" s="66">
        <f>IF($AB58="TGD",ROUND($E58*(1+$AD58)^(S$4-$E$4),0),IF($AB58="ALTH",ROUND($AE58+$AF58*S$4,0),IF($AB58="IR",ROUND(Proyeccion_Localidades!AP58,0),IF($AB58="RT",ROUND(Proyeccion_Localidades!BM58,0),"*****"))))</f>
        <v>24675</v>
      </c>
      <c r="T58" s="66">
        <f>IF($AB58="TGD",ROUND($E58*(1+$AD58)^(T$4-$E$4),0),IF($AB58="ALTH",ROUND($AE58+$AF58*T$4,0),IF($AB58="IR",ROUND(Proyeccion_Localidades!AQ58,0),IF($AB58="RT",ROUND(Proyeccion_Localidades!BN58,0),"*****"))))</f>
        <v>24975</v>
      </c>
      <c r="U58" s="66">
        <f>IF($AB58="TGD",ROUND($E58*(1+$AD58)^(U$4-$E$4),0),IF($AB58="ALTH",ROUND($AE58+$AF58*U$4,0),IF($AB58="IR",ROUND(Proyeccion_Localidades!AR58,0),IF($AB58="RT",ROUND(Proyeccion_Localidades!BO58,0),"*****"))))</f>
        <v>25274</v>
      </c>
      <c r="V58" s="66">
        <f>IF($AB58="TGD",ROUND($E58*(1+$AD58)^(V$4-$E$4),0),IF($AB58="ALTH",ROUND($AE58+$AF58*V$4,0),IF($AB58="IR",ROUND(Proyeccion_Localidades!AS58,0),IF($AB58="RT",ROUND(Proyeccion_Localidades!BP58,0),"*****"))))</f>
        <v>25574</v>
      </c>
      <c r="W58" s="66">
        <f>IF($AB58="TGD",ROUND($E58*(1+$AD58)^(W$4-$E$4),0),IF($AB58="ALTH",ROUND($AE58+$AF58*W$4,0),IF($AB58="IR",ROUND(Proyeccion_Localidades!AT58,0),IF($AB58="RT",ROUND(Proyeccion_Localidades!BQ58,0),"*****"))))</f>
        <v>25874</v>
      </c>
      <c r="X58" s="66">
        <f>IF($AB58="TGD",ROUND($E58*(1+$AD58)^(X$4-$E$4),0),IF($AB58="ALTH",ROUND($AE58+$AF58*X$4,0),IF($AB58="IR",ROUND(Proyeccion_Localidades!AU58,0),IF($AB58="RT",ROUND(Proyeccion_Localidades!BR58,0),"*****"))))</f>
        <v>26174</v>
      </c>
      <c r="Y58" s="66">
        <f>IF($AB58="TGD",ROUND($E58*(1+$AD58)^(Y$4-$E$4),0),IF($AB58="ALTH",ROUND($AE58+$AF58*Y$4,0),IF($AB58="IR",ROUND(Proyeccion_Localidades!AV58,0),IF($AB58="RT",ROUND(Proyeccion_Localidades!BS58,0),"*****"))))</f>
        <v>26474</v>
      </c>
      <c r="Z58" s="66">
        <f>IF($AB58="TGD",ROUND($E58*(1+$AD58)^(Z$4-$E$4),0),IF($AB58="ALTH",ROUND($AE58+$AF58*Z$4,0),IF($AB58="IR",ROUND(Proyeccion_Localidades!AW58,0),IF($AB58="RT",ROUND(Proyeccion_Localidades!BT58,0),"*****"))))</f>
        <v>26773</v>
      </c>
      <c r="AA58" s="66">
        <f>IF($AB58="TGD",ROUND($E58*(1+$AD58)^(AA$4-$E$4),0),IF($AB58="ALTH",ROUND($AE58+$AF58*AA$4,0),IF($AB58="IR",ROUND(Proyeccion_Localidades!AX58,0),IF($AB58="RT",ROUND(Proyeccion_Localidades!BU58,0),"*****"))))</f>
        <v>27073</v>
      </c>
      <c r="AB58" s="67" t="str">
        <f>Proyeccion_Localidades!N58</f>
        <v>RT</v>
      </c>
      <c r="AC58" s="73"/>
      <c r="AD58" s="51" t="str">
        <f>IF(AB58="TGD",Proyeccion_Localidades!Z58,"-")</f>
        <v>-</v>
      </c>
      <c r="AE58" s="51" t="str">
        <f>IF($AB58="ALTH",Proyeccion_Localidades!AA58,"-")</f>
        <v>-</v>
      </c>
      <c r="AF58" s="51" t="str">
        <f>IF($AB58="ALTH",Proyeccion_Localidades!AB58,"-")</f>
        <v>-</v>
      </c>
      <c r="AG58" s="51"/>
      <c r="AH58" s="51"/>
      <c r="AI58" s="66">
        <f t="shared" si="2"/>
        <v>21124</v>
      </c>
    </row>
    <row r="59" spans="1:35" ht="24.95" customHeight="1">
      <c r="A59" s="69" t="str">
        <f>+Proyeccion_Localidades!C59</f>
        <v>Coronel Suárez</v>
      </c>
      <c r="B59" s="70">
        <f t="shared" si="4"/>
        <v>55</v>
      </c>
      <c r="C59" s="71" t="str">
        <f>+Proyeccion_Localidades!B59</f>
        <v>Coronel Suárez</v>
      </c>
      <c r="D59" s="261">
        <f t="shared" si="3"/>
        <v>55</v>
      </c>
      <c r="E59" s="72">
        <f>+Proyeccion_Localidades!F59</f>
        <v>23621</v>
      </c>
      <c r="F59" s="66">
        <f>IF($AB59="TGD",ROUND($E59*(1+$AD59)^(F$4-$E$4),0),IF($AB59="ALTH",ROUND($AE59+$AF59*F$4,0),IF($AB59="IR",ROUND(Proyeccion_Localidades!AC59,0),IF($AB59="RT",ROUND(Proyeccion_Localidades!AZ59,0),"*****"))))</f>
        <v>26028</v>
      </c>
      <c r="G59" s="66">
        <f>IF($AB59="TGD",ROUND($E59*(1+$AD59)^(G$4-$E$4),0),IF($AB59="ALTH",ROUND($AE59+$AF59*G$4,0),IF($AB59="IR",ROUND(Proyeccion_Localidades!AD59,0),IF($AB59="RT",ROUND(Proyeccion_Localidades!BA59,0),"*****"))))</f>
        <v>26351</v>
      </c>
      <c r="H59" s="66">
        <f>IF($AB59="TGD",ROUND($E59*(1+$AD59)^(H$4-$E$4),0),IF($AB59="ALTH",ROUND($AE59+$AF59*H$4,0),IF($AB59="IR",ROUND(Proyeccion_Localidades!AE59,0),IF($AB59="RT",ROUND(Proyeccion_Localidades!BB59,0),"*****"))))</f>
        <v>27320</v>
      </c>
      <c r="I59" s="66">
        <f>IF($AB59="TGD",ROUND($E59*(1+$AD59)^(I$4-$E$4),0),IF($AB59="ALTH",ROUND($AE59+$AF59*I$4,0),IF($AB59="IR",ROUND(Proyeccion_Localidades!AF59,0),IF($AB59="RT",ROUND(Proyeccion_Localidades!BC59,0),"*****"))))</f>
        <v>27643</v>
      </c>
      <c r="J59" s="66">
        <f>IF($AB59="TGD",ROUND($E59*(1+$AD59)^(J$4-$E$4),0),IF($AB59="ALTH",ROUND($AE59+$AF59*J$4,0),IF($AB59="IR",ROUND(Proyeccion_Localidades!AG59,0),IF($AB59="RT",ROUND(Proyeccion_Localidades!BD59,0),"*****"))))</f>
        <v>27966</v>
      </c>
      <c r="K59" s="66">
        <f>IF($AB59="TGD",ROUND($E59*(1+$AD59)^(K$4-$E$4),0),IF($AB59="ALTH",ROUND($AE59+$AF59*K$4,0),IF($AB59="IR",ROUND(Proyeccion_Localidades!AH59,0),IF($AB59="RT",ROUND(Proyeccion_Localidades!BE59,0),"*****"))))</f>
        <v>28289</v>
      </c>
      <c r="L59" s="66">
        <f>IF($AB59="TGD",ROUND($E59*(1+$AD59)^(L$4-$E$4),0),IF($AB59="ALTH",ROUND($AE59+$AF59*L$4,0),IF($AB59="IR",ROUND(Proyeccion_Localidades!AI59,0),IF($AB59="RT",ROUND(Proyeccion_Localidades!BF59,0),"*****"))))</f>
        <v>28612</v>
      </c>
      <c r="M59" s="66">
        <f>IF($AB59="TGD",ROUND($E59*(1+$AD59)^(M$4-$E$4),0),IF($AB59="ALTH",ROUND($AE59+$AF59*M$4,0),IF($AB59="IR",ROUND(Proyeccion_Localidades!AJ59,0),IF($AB59="RT",ROUND(Proyeccion_Localidades!BG59,0),"*****"))))</f>
        <v>29039</v>
      </c>
      <c r="N59" s="66">
        <f>IF($AB59="TGD",ROUND($E59*(1+$AD59)^(N$4-$E$4),0),IF($AB59="ALTH",ROUND($AE59+$AF59*N$4,0),IF($AB59="IR",ROUND(Proyeccion_Localidades!AK59,0),IF($AB59="RT",ROUND(Proyeccion_Localidades!BH59,0),"*****"))))</f>
        <v>29466</v>
      </c>
      <c r="O59" s="66">
        <f>IF($AB59="TGD",ROUND($E59*(1+$AD59)^(O$4-$E$4),0),IF($AB59="ALTH",ROUND($AE59+$AF59*O$4,0),IF($AB59="IR",ROUND(Proyeccion_Localidades!AL59,0),IF($AB59="RT",ROUND(Proyeccion_Localidades!BI59,0),"*****"))))</f>
        <v>29893</v>
      </c>
      <c r="P59" s="66">
        <f>IF($AB59="TGD",ROUND($E59*(1+$AD59)^(P$4-$E$4),0),IF($AB59="ALTH",ROUND($AE59+$AF59*P$4,0),IF($AB59="IR",ROUND(Proyeccion_Localidades!AM59,0),IF($AB59="RT",ROUND(Proyeccion_Localidades!BJ59,0),"*****"))))</f>
        <v>30320</v>
      </c>
      <c r="Q59" s="66">
        <f>IF($AB59="TGD",ROUND($E59*(1+$AD59)^(Q$4-$E$4),0),IF($AB59="ALTH",ROUND($AE59+$AF59*Q$4,0),IF($AB59="IR",ROUND(Proyeccion_Localidades!AN59,0),IF($AB59="RT",ROUND(Proyeccion_Localidades!BK59,0),"*****"))))</f>
        <v>30747</v>
      </c>
      <c r="R59" s="66">
        <f>IF($AB59="TGD",ROUND($E59*(1+$AD59)^(R$4-$E$4),0),IF($AB59="ALTH",ROUND($AE59+$AF59*R$4,0),IF($AB59="IR",ROUND(Proyeccion_Localidades!AO59,0),IF($AB59="RT",ROUND(Proyeccion_Localidades!BL59,0),"*****"))))</f>
        <v>31174</v>
      </c>
      <c r="S59" s="66">
        <f>IF($AB59="TGD",ROUND($E59*(1+$AD59)^(S$4-$E$4),0),IF($AB59="ALTH",ROUND($AE59+$AF59*S$4,0),IF($AB59="IR",ROUND(Proyeccion_Localidades!AP59,0),IF($AB59="RT",ROUND(Proyeccion_Localidades!BM59,0),"*****"))))</f>
        <v>31602</v>
      </c>
      <c r="T59" s="66">
        <f>IF($AB59="TGD",ROUND($E59*(1+$AD59)^(T$4-$E$4),0),IF($AB59="ALTH",ROUND($AE59+$AF59*T$4,0),IF($AB59="IR",ROUND(Proyeccion_Localidades!AQ59,0),IF($AB59="RT",ROUND(Proyeccion_Localidades!BN59,0),"*****"))))</f>
        <v>32029</v>
      </c>
      <c r="U59" s="66">
        <f>IF($AB59="TGD",ROUND($E59*(1+$AD59)^(U$4-$E$4),0),IF($AB59="ALTH",ROUND($AE59+$AF59*U$4,0),IF($AB59="IR",ROUND(Proyeccion_Localidades!AR59,0),IF($AB59="RT",ROUND(Proyeccion_Localidades!BO59,0),"*****"))))</f>
        <v>32456</v>
      </c>
      <c r="V59" s="66">
        <f>IF($AB59="TGD",ROUND($E59*(1+$AD59)^(V$4-$E$4),0),IF($AB59="ALTH",ROUND($AE59+$AF59*V$4,0),IF($AB59="IR",ROUND(Proyeccion_Localidades!AS59,0),IF($AB59="RT",ROUND(Proyeccion_Localidades!BP59,0),"*****"))))</f>
        <v>32883</v>
      </c>
      <c r="W59" s="66">
        <f>IF($AB59="TGD",ROUND($E59*(1+$AD59)^(W$4-$E$4),0),IF($AB59="ALTH",ROUND($AE59+$AF59*W$4,0),IF($AB59="IR",ROUND(Proyeccion_Localidades!AT59,0),IF($AB59="RT",ROUND(Proyeccion_Localidades!BQ59,0),"*****"))))</f>
        <v>33310</v>
      </c>
      <c r="X59" s="66">
        <f>IF($AB59="TGD",ROUND($E59*(1+$AD59)^(X$4-$E$4),0),IF($AB59="ALTH",ROUND($AE59+$AF59*X$4,0),IF($AB59="IR",ROUND(Proyeccion_Localidades!AU59,0),IF($AB59="RT",ROUND(Proyeccion_Localidades!BR59,0),"*****"))))</f>
        <v>33737</v>
      </c>
      <c r="Y59" s="66">
        <f>IF($AB59="TGD",ROUND($E59*(1+$AD59)^(Y$4-$E$4),0),IF($AB59="ALTH",ROUND($AE59+$AF59*Y$4,0),IF($AB59="IR",ROUND(Proyeccion_Localidades!AV59,0),IF($AB59="RT",ROUND(Proyeccion_Localidades!BS59,0),"*****"))))</f>
        <v>34164</v>
      </c>
      <c r="Z59" s="66">
        <f>IF($AB59="TGD",ROUND($E59*(1+$AD59)^(Z$4-$E$4),0),IF($AB59="ALTH",ROUND($AE59+$AF59*Z$4,0),IF($AB59="IR",ROUND(Proyeccion_Localidades!AW59,0),IF($AB59="RT",ROUND(Proyeccion_Localidades!BT59,0),"*****"))))</f>
        <v>34591</v>
      </c>
      <c r="AA59" s="66">
        <f>IF($AB59="TGD",ROUND($E59*(1+$AD59)^(AA$4-$E$4),0),IF($AB59="ALTH",ROUND($AE59+$AF59*AA$4,0),IF($AB59="IR",ROUND(Proyeccion_Localidades!AX59,0),IF($AB59="RT",ROUND(Proyeccion_Localidades!BU59,0),"*****"))))</f>
        <v>35018</v>
      </c>
      <c r="AB59" s="67" t="str">
        <f>Proyeccion_Localidades!N59</f>
        <v>RT</v>
      </c>
      <c r="AC59" s="73"/>
      <c r="AD59" s="51" t="str">
        <f>IF(AB59="TGD",Proyeccion_Localidades!Z59,"-")</f>
        <v>-</v>
      </c>
      <c r="AE59" s="51" t="str">
        <f>IF($AB59="ALTH",Proyeccion_Localidades!AA59,"-")</f>
        <v>-</v>
      </c>
      <c r="AF59" s="51" t="str">
        <f>IF($AB59="ALTH",Proyeccion_Localidades!AB59,"-")</f>
        <v>-</v>
      </c>
      <c r="AG59" s="51"/>
      <c r="AH59" s="51"/>
      <c r="AI59" s="66">
        <f t="shared" si="2"/>
        <v>26351</v>
      </c>
    </row>
    <row r="60" spans="1:35" ht="24.95" customHeight="1">
      <c r="A60" s="69" t="str">
        <f>+Proyeccion_Localidades!C60</f>
        <v>Daireaux</v>
      </c>
      <c r="B60" s="70">
        <f t="shared" si="4"/>
        <v>56</v>
      </c>
      <c r="C60" s="71" t="str">
        <f>+Proyeccion_Localidades!B60</f>
        <v>Daireaux</v>
      </c>
      <c r="D60" s="261">
        <f t="shared" si="3"/>
        <v>56</v>
      </c>
      <c r="E60" s="72">
        <f>+Proyeccion_Localidades!F60</f>
        <v>12122</v>
      </c>
      <c r="F60" s="66">
        <f>IF($AB60="TGD",ROUND($E60*(1+$AD60)^(F$4-$E$4),0),IF($AB60="ALTH",ROUND($AE60+$AF60*F$4,0),IF($AB60="IR",ROUND(Proyeccion_Localidades!AC60,0),IF($AB60="RT",ROUND(Proyeccion_Localidades!AZ60,0),"*****"))))</f>
        <v>13531</v>
      </c>
      <c r="G60" s="66">
        <f>IF($AB60="TGD",ROUND($E60*(1+$AD60)^(G$4-$E$4),0),IF($AB60="ALTH",ROUND($AE60+$AF60*G$4,0),IF($AB60="IR",ROUND(Proyeccion_Localidades!AD60,0),IF($AB60="RT",ROUND(Proyeccion_Localidades!BA60,0),"*****"))))</f>
        <v>13651</v>
      </c>
      <c r="H60" s="66">
        <f>IF($AB60="TGD",ROUND($E60*(1+$AD60)^(H$4-$E$4),0),IF($AB60="ALTH",ROUND($AE60+$AF60*H$4,0),IF($AB60="IR",ROUND(Proyeccion_Localidades!AE60,0),IF($AB60="RT",ROUND(Proyeccion_Localidades!BB60,0),"*****"))))</f>
        <v>14012</v>
      </c>
      <c r="I60" s="66">
        <f>IF($AB60="TGD",ROUND($E60*(1+$AD60)^(I$4-$E$4),0),IF($AB60="ALTH",ROUND($AE60+$AF60*I$4,0),IF($AB60="IR",ROUND(Proyeccion_Localidades!AF60,0),IF($AB60="RT",ROUND(Proyeccion_Localidades!BC60,0),"*****"))))</f>
        <v>14133</v>
      </c>
      <c r="J60" s="66">
        <f>IF($AB60="TGD",ROUND($E60*(1+$AD60)^(J$4-$E$4),0),IF($AB60="ALTH",ROUND($AE60+$AF60*J$4,0),IF($AB60="IR",ROUND(Proyeccion_Localidades!AG60,0),IF($AB60="RT",ROUND(Proyeccion_Localidades!BD60,0),"*****"))))</f>
        <v>14253</v>
      </c>
      <c r="K60" s="66">
        <f>IF($AB60="TGD",ROUND($E60*(1+$AD60)^(K$4-$E$4),0),IF($AB60="ALTH",ROUND($AE60+$AF60*K$4,0),IF($AB60="IR",ROUND(Proyeccion_Localidades!AH60,0),IF($AB60="RT",ROUND(Proyeccion_Localidades!BE60,0),"*****"))))</f>
        <v>14374</v>
      </c>
      <c r="L60" s="66">
        <f>IF($AB60="TGD",ROUND($E60*(1+$AD60)^(L$4-$E$4),0),IF($AB60="ALTH",ROUND($AE60+$AF60*L$4,0),IF($AB60="IR",ROUND(Proyeccion_Localidades!AI60,0),IF($AB60="RT",ROUND(Proyeccion_Localidades!BF60,0),"*****"))))</f>
        <v>14494</v>
      </c>
      <c r="M60" s="66">
        <f>IF($AB60="TGD",ROUND($E60*(1+$AD60)^(M$4-$E$4),0),IF($AB60="ALTH",ROUND($AE60+$AF60*M$4,0),IF($AB60="IR",ROUND(Proyeccion_Localidades!AJ60,0),IF($AB60="RT",ROUND(Proyeccion_Localidades!BG60,0),"*****"))))</f>
        <v>14615</v>
      </c>
      <c r="N60" s="66">
        <f>IF($AB60="TGD",ROUND($E60*(1+$AD60)^(N$4-$E$4),0),IF($AB60="ALTH",ROUND($AE60+$AF60*N$4,0),IF($AB60="IR",ROUND(Proyeccion_Localidades!AK60,0),IF($AB60="RT",ROUND(Proyeccion_Localidades!BH60,0),"*****"))))</f>
        <v>14735</v>
      </c>
      <c r="O60" s="66">
        <f>IF($AB60="TGD",ROUND($E60*(1+$AD60)^(O$4-$E$4),0),IF($AB60="ALTH",ROUND($AE60+$AF60*O$4,0),IF($AB60="IR",ROUND(Proyeccion_Localidades!AL60,0),IF($AB60="RT",ROUND(Proyeccion_Localidades!BI60,0),"*****"))))</f>
        <v>14856</v>
      </c>
      <c r="P60" s="66">
        <f>IF($AB60="TGD",ROUND($E60*(1+$AD60)^(P$4-$E$4),0),IF($AB60="ALTH",ROUND($AE60+$AF60*P$4,0),IF($AB60="IR",ROUND(Proyeccion_Localidades!AM60,0),IF($AB60="RT",ROUND(Proyeccion_Localidades!BJ60,0),"*****"))))</f>
        <v>14976</v>
      </c>
      <c r="Q60" s="66">
        <f>IF($AB60="TGD",ROUND($E60*(1+$AD60)^(Q$4-$E$4),0),IF($AB60="ALTH",ROUND($AE60+$AF60*Q$4,0),IF($AB60="IR",ROUND(Proyeccion_Localidades!AN60,0),IF($AB60="RT",ROUND(Proyeccion_Localidades!BK60,0),"*****"))))</f>
        <v>15096</v>
      </c>
      <c r="R60" s="66">
        <f>IF($AB60="TGD",ROUND($E60*(1+$AD60)^(R$4-$E$4),0),IF($AB60="ALTH",ROUND($AE60+$AF60*R$4,0),IF($AB60="IR",ROUND(Proyeccion_Localidades!AO60,0),IF($AB60="RT",ROUND(Proyeccion_Localidades!BL60,0),"*****"))))</f>
        <v>15217</v>
      </c>
      <c r="S60" s="66">
        <f>IF($AB60="TGD",ROUND($E60*(1+$AD60)^(S$4-$E$4),0),IF($AB60="ALTH",ROUND($AE60+$AF60*S$4,0),IF($AB60="IR",ROUND(Proyeccion_Localidades!AP60,0),IF($AB60="RT",ROUND(Proyeccion_Localidades!BM60,0),"*****"))))</f>
        <v>15337</v>
      </c>
      <c r="T60" s="66">
        <f>IF($AB60="TGD",ROUND($E60*(1+$AD60)^(T$4-$E$4),0),IF($AB60="ALTH",ROUND($AE60+$AF60*T$4,0),IF($AB60="IR",ROUND(Proyeccion_Localidades!AQ60,0),IF($AB60="RT",ROUND(Proyeccion_Localidades!BN60,0),"*****"))))</f>
        <v>15458</v>
      </c>
      <c r="U60" s="66">
        <f>IF($AB60="TGD",ROUND($E60*(1+$AD60)^(U$4-$E$4),0),IF($AB60="ALTH",ROUND($AE60+$AF60*U$4,0),IF($AB60="IR",ROUND(Proyeccion_Localidades!AR60,0),IF($AB60="RT",ROUND(Proyeccion_Localidades!BO60,0),"*****"))))</f>
        <v>15578</v>
      </c>
      <c r="V60" s="66">
        <f>IF($AB60="TGD",ROUND($E60*(1+$AD60)^(V$4-$E$4),0),IF($AB60="ALTH",ROUND($AE60+$AF60*V$4,0),IF($AB60="IR",ROUND(Proyeccion_Localidades!AS60,0),IF($AB60="RT",ROUND(Proyeccion_Localidades!BP60,0),"*****"))))</f>
        <v>15699</v>
      </c>
      <c r="W60" s="66">
        <f>IF($AB60="TGD",ROUND($E60*(1+$AD60)^(W$4-$E$4),0),IF($AB60="ALTH",ROUND($AE60+$AF60*W$4,0),IF($AB60="IR",ROUND(Proyeccion_Localidades!AT60,0),IF($AB60="RT",ROUND(Proyeccion_Localidades!BQ60,0),"*****"))))</f>
        <v>15819</v>
      </c>
      <c r="X60" s="66">
        <f>IF($AB60="TGD",ROUND($E60*(1+$AD60)^(X$4-$E$4),0),IF($AB60="ALTH",ROUND($AE60+$AF60*X$4,0),IF($AB60="IR",ROUND(Proyeccion_Localidades!AU60,0),IF($AB60="RT",ROUND(Proyeccion_Localidades!BR60,0),"*****"))))</f>
        <v>15939</v>
      </c>
      <c r="Y60" s="66">
        <f>IF($AB60="TGD",ROUND($E60*(1+$AD60)^(Y$4-$E$4),0),IF($AB60="ALTH",ROUND($AE60+$AF60*Y$4,0),IF($AB60="IR",ROUND(Proyeccion_Localidades!AV60,0),IF($AB60="RT",ROUND(Proyeccion_Localidades!BS60,0),"*****"))))</f>
        <v>16060</v>
      </c>
      <c r="Z60" s="66">
        <f>IF($AB60="TGD",ROUND($E60*(1+$AD60)^(Z$4-$E$4),0),IF($AB60="ALTH",ROUND($AE60+$AF60*Z$4,0),IF($AB60="IR",ROUND(Proyeccion_Localidades!AW60,0),IF($AB60="RT",ROUND(Proyeccion_Localidades!BT60,0),"*****"))))</f>
        <v>16180</v>
      </c>
      <c r="AA60" s="66">
        <f>IF($AB60="TGD",ROUND($E60*(1+$AD60)^(AA$4-$E$4),0),IF($AB60="ALTH",ROUND($AE60+$AF60*AA$4,0),IF($AB60="IR",ROUND(Proyeccion_Localidades!AX60,0),IF($AB60="RT",ROUND(Proyeccion_Localidades!BU60,0),"*****"))))</f>
        <v>16301</v>
      </c>
      <c r="AB60" s="67" t="str">
        <f>Proyeccion_Localidades!N60</f>
        <v>ALTH</v>
      </c>
      <c r="AC60" s="68" t="s">
        <v>36</v>
      </c>
      <c r="AD60" s="51" t="str">
        <f>IF(AB60="TGD",Proyeccion_Localidades!Z60,"-")</f>
        <v>-</v>
      </c>
      <c r="AE60" s="51">
        <f>IF($AB60="ALTH",Proyeccion_Localidades!AA60,"-")</f>
        <v>-229997.1881918819</v>
      </c>
      <c r="AF60" s="51">
        <f>IF($AB60="ALTH",Proyeccion_Localidades!AB60,"-")</f>
        <v>120.4391143911439</v>
      </c>
      <c r="AG60" s="51"/>
      <c r="AH60" s="51"/>
      <c r="AI60" s="66">
        <f t="shared" si="2"/>
        <v>13651</v>
      </c>
    </row>
    <row r="61" spans="1:35" ht="24.95" customHeight="1">
      <c r="A61" s="69" t="str">
        <f>+Proyeccion_Localidades!C61</f>
        <v>Dolores</v>
      </c>
      <c r="B61" s="70">
        <f t="shared" si="4"/>
        <v>57</v>
      </c>
      <c r="C61" s="71" t="str">
        <f>+Proyeccion_Localidades!B61</f>
        <v>Dolores</v>
      </c>
      <c r="D61" s="261">
        <f t="shared" si="3"/>
        <v>57</v>
      </c>
      <c r="E61" s="72">
        <f>+Proyeccion_Localidades!F61</f>
        <v>25940</v>
      </c>
      <c r="F61" s="66">
        <f>IF($AB61="TGD",ROUND($E61*(1+$AD61)^(F$4-$E$4),0),IF($AB61="ALTH",ROUND($AE61+$AF61*F$4,0),IF($AB61="IR",ROUND(Proyeccion_Localidades!AC61,0),IF($AB61="RT",ROUND(Proyeccion_Localidades!AZ61,0),"*****"))))</f>
        <v>29898</v>
      </c>
      <c r="G61" s="66">
        <f>IF($AB61="TGD",ROUND($E61*(1+$AD61)^(G$4-$E$4),0),IF($AB61="ALTH",ROUND($AE61+$AF61*G$4,0),IF($AB61="IR",ROUND(Proyeccion_Localidades!AD61,0),IF($AB61="RT",ROUND(Proyeccion_Localidades!BA61,0),"*****"))))</f>
        <v>30328</v>
      </c>
      <c r="H61" s="66">
        <f>IF($AB61="TGD",ROUND($E61*(1+$AD61)^(H$4-$E$4),0),IF($AB61="ALTH",ROUND($AE61+$AF61*H$4,0),IF($AB61="IR",ROUND(Proyeccion_Localidades!AE61,0),IF($AB61="RT",ROUND(Proyeccion_Localidades!BB61,0),"*****"))))</f>
        <v>31619</v>
      </c>
      <c r="I61" s="66">
        <f>IF($AB61="TGD",ROUND($E61*(1+$AD61)^(I$4-$E$4),0),IF($AB61="ALTH",ROUND($AE61+$AF61*I$4,0),IF($AB61="IR",ROUND(Proyeccion_Localidades!AF61,0),IF($AB61="RT",ROUND(Proyeccion_Localidades!BC61,0),"*****"))))</f>
        <v>32049</v>
      </c>
      <c r="J61" s="66">
        <f>IF($AB61="TGD",ROUND($E61*(1+$AD61)^(J$4-$E$4),0),IF($AB61="ALTH",ROUND($AE61+$AF61*J$4,0),IF($AB61="IR",ROUND(Proyeccion_Localidades!AG61,0),IF($AB61="RT",ROUND(Proyeccion_Localidades!BD61,0),"*****"))))</f>
        <v>32479</v>
      </c>
      <c r="K61" s="66">
        <f>IF($AB61="TGD",ROUND($E61*(1+$AD61)^(K$4-$E$4),0),IF($AB61="ALTH",ROUND($AE61+$AF61*K$4,0),IF($AB61="IR",ROUND(Proyeccion_Localidades!AH61,0),IF($AB61="RT",ROUND(Proyeccion_Localidades!BE61,0),"*****"))))</f>
        <v>32910</v>
      </c>
      <c r="L61" s="66">
        <f>IF($AB61="TGD",ROUND($E61*(1+$AD61)^(L$4-$E$4),0),IF($AB61="ALTH",ROUND($AE61+$AF61*L$4,0),IF($AB61="IR",ROUND(Proyeccion_Localidades!AI61,0),IF($AB61="RT",ROUND(Proyeccion_Localidades!BF61,0),"*****"))))</f>
        <v>33340</v>
      </c>
      <c r="M61" s="66">
        <f>IF($AB61="TGD",ROUND($E61*(1+$AD61)^(M$4-$E$4),0),IF($AB61="ALTH",ROUND($AE61+$AF61*M$4,0),IF($AB61="IR",ROUND(Proyeccion_Localidades!AJ61,0),IF($AB61="RT",ROUND(Proyeccion_Localidades!BG61,0),"*****"))))</f>
        <v>33885</v>
      </c>
      <c r="N61" s="66">
        <f>IF($AB61="TGD",ROUND($E61*(1+$AD61)^(N$4-$E$4),0),IF($AB61="ALTH",ROUND($AE61+$AF61*N$4,0),IF($AB61="IR",ROUND(Proyeccion_Localidades!AK61,0),IF($AB61="RT",ROUND(Proyeccion_Localidades!BH61,0),"*****"))))</f>
        <v>34431</v>
      </c>
      <c r="O61" s="66">
        <f>IF($AB61="TGD",ROUND($E61*(1+$AD61)^(O$4-$E$4),0),IF($AB61="ALTH",ROUND($AE61+$AF61*O$4,0),IF($AB61="IR",ROUND(Proyeccion_Localidades!AL61,0),IF($AB61="RT",ROUND(Proyeccion_Localidades!BI61,0),"*****"))))</f>
        <v>34976</v>
      </c>
      <c r="P61" s="66">
        <f>IF($AB61="TGD",ROUND($E61*(1+$AD61)^(P$4-$E$4),0),IF($AB61="ALTH",ROUND($AE61+$AF61*P$4,0),IF($AB61="IR",ROUND(Proyeccion_Localidades!AM61,0),IF($AB61="RT",ROUND(Proyeccion_Localidades!BJ61,0),"*****"))))</f>
        <v>35522</v>
      </c>
      <c r="Q61" s="66">
        <f>IF($AB61="TGD",ROUND($E61*(1+$AD61)^(Q$4-$E$4),0),IF($AB61="ALTH",ROUND($AE61+$AF61*Q$4,0),IF($AB61="IR",ROUND(Proyeccion_Localidades!AN61,0),IF($AB61="RT",ROUND(Proyeccion_Localidades!BK61,0),"*****"))))</f>
        <v>36067</v>
      </c>
      <c r="R61" s="66">
        <f>IF($AB61="TGD",ROUND($E61*(1+$AD61)^(R$4-$E$4),0),IF($AB61="ALTH",ROUND($AE61+$AF61*R$4,0),IF($AB61="IR",ROUND(Proyeccion_Localidades!AO61,0),IF($AB61="RT",ROUND(Proyeccion_Localidades!BL61,0),"*****"))))</f>
        <v>36613</v>
      </c>
      <c r="S61" s="66">
        <f>IF($AB61="TGD",ROUND($E61*(1+$AD61)^(S$4-$E$4),0),IF($AB61="ALTH",ROUND($AE61+$AF61*S$4,0),IF($AB61="IR",ROUND(Proyeccion_Localidades!AP61,0),IF($AB61="RT",ROUND(Proyeccion_Localidades!BM61,0),"*****"))))</f>
        <v>37158</v>
      </c>
      <c r="T61" s="66">
        <f>IF($AB61="TGD",ROUND($E61*(1+$AD61)^(T$4-$E$4),0),IF($AB61="ALTH",ROUND($AE61+$AF61*T$4,0),IF($AB61="IR",ROUND(Proyeccion_Localidades!AQ61,0),IF($AB61="RT",ROUND(Proyeccion_Localidades!BN61,0),"*****"))))</f>
        <v>37703</v>
      </c>
      <c r="U61" s="66">
        <f>IF($AB61="TGD",ROUND($E61*(1+$AD61)^(U$4-$E$4),0),IF($AB61="ALTH",ROUND($AE61+$AF61*U$4,0),IF($AB61="IR",ROUND(Proyeccion_Localidades!AR61,0),IF($AB61="RT",ROUND(Proyeccion_Localidades!BO61,0),"*****"))))</f>
        <v>38249</v>
      </c>
      <c r="V61" s="66">
        <f>IF($AB61="TGD",ROUND($E61*(1+$AD61)^(V$4-$E$4),0),IF($AB61="ALTH",ROUND($AE61+$AF61*V$4,0),IF($AB61="IR",ROUND(Proyeccion_Localidades!AS61,0),IF($AB61="RT",ROUND(Proyeccion_Localidades!BP61,0),"*****"))))</f>
        <v>38794</v>
      </c>
      <c r="W61" s="66">
        <f>IF($AB61="TGD",ROUND($E61*(1+$AD61)^(W$4-$E$4),0),IF($AB61="ALTH",ROUND($AE61+$AF61*W$4,0),IF($AB61="IR",ROUND(Proyeccion_Localidades!AT61,0),IF($AB61="RT",ROUND(Proyeccion_Localidades!BQ61,0),"*****"))))</f>
        <v>39340</v>
      </c>
      <c r="X61" s="66">
        <f>IF($AB61="TGD",ROUND($E61*(1+$AD61)^(X$4-$E$4),0),IF($AB61="ALTH",ROUND($AE61+$AF61*X$4,0),IF($AB61="IR",ROUND(Proyeccion_Localidades!AU61,0),IF($AB61="RT",ROUND(Proyeccion_Localidades!BR61,0),"*****"))))</f>
        <v>39885</v>
      </c>
      <c r="Y61" s="66">
        <f>IF($AB61="TGD",ROUND($E61*(1+$AD61)^(Y$4-$E$4),0),IF($AB61="ALTH",ROUND($AE61+$AF61*Y$4,0),IF($AB61="IR",ROUND(Proyeccion_Localidades!AV61,0),IF($AB61="RT",ROUND(Proyeccion_Localidades!BS61,0),"*****"))))</f>
        <v>40431</v>
      </c>
      <c r="Z61" s="66">
        <f>IF($AB61="TGD",ROUND($E61*(1+$AD61)^(Z$4-$E$4),0),IF($AB61="ALTH",ROUND($AE61+$AF61*Z$4,0),IF($AB61="IR",ROUND(Proyeccion_Localidades!AW61,0),IF($AB61="RT",ROUND(Proyeccion_Localidades!BT61,0),"*****"))))</f>
        <v>40976</v>
      </c>
      <c r="AA61" s="66">
        <f>IF($AB61="TGD",ROUND($E61*(1+$AD61)^(AA$4-$E$4),0),IF($AB61="ALTH",ROUND($AE61+$AF61*AA$4,0),IF($AB61="IR",ROUND(Proyeccion_Localidades!AX61,0),IF($AB61="RT",ROUND(Proyeccion_Localidades!BU61,0),"*****"))))</f>
        <v>41522</v>
      </c>
      <c r="AB61" s="67" t="str">
        <f>Proyeccion_Localidades!N61</f>
        <v>RT</v>
      </c>
      <c r="AC61" s="73"/>
      <c r="AD61" s="51" t="str">
        <f>IF(AB61="TGD",Proyeccion_Localidades!Z61,"-")</f>
        <v>-</v>
      </c>
      <c r="AE61" s="51" t="str">
        <f>IF($AB61="ALTH",Proyeccion_Localidades!AA61,"-")</f>
        <v>-</v>
      </c>
      <c r="AF61" s="51" t="str">
        <f>IF($AB61="ALTH",Proyeccion_Localidades!AB61,"-")</f>
        <v>-</v>
      </c>
      <c r="AG61" s="51"/>
      <c r="AH61" s="51"/>
      <c r="AI61" s="66">
        <f t="shared" si="2"/>
        <v>30328</v>
      </c>
    </row>
    <row r="62" spans="1:35" ht="24.95" customHeight="1">
      <c r="A62" s="69" t="str">
        <f>+Proyeccion_Localidades!C62</f>
        <v>Ensenada</v>
      </c>
      <c r="B62" s="70">
        <f t="shared" si="4"/>
        <v>58</v>
      </c>
      <c r="C62" s="71" t="str">
        <f>+Proyeccion_Localidades!B62</f>
        <v>Ensenada</v>
      </c>
      <c r="D62" s="261">
        <f t="shared" si="3"/>
        <v>58</v>
      </c>
      <c r="E62" s="72">
        <f>+Proyeccion_Localidades!F62</f>
        <v>56463</v>
      </c>
      <c r="F62" s="66">
        <f>IF($AB62="TGD",ROUND($E62*(1+$AD62)^(F$4-$E$4),0),IF($AB62="ALTH",ROUND($AE62+$AF62*F$4,0),IF($AB62="IR",ROUND(Proyeccion_Localidades!AC62,0),IF($AB62="RT",ROUND(Proyeccion_Localidades!AZ62,0),"*****"))))</f>
        <v>62632</v>
      </c>
      <c r="G62" s="66">
        <f>IF($AB62="TGD",ROUND($E62*(1+$AD62)^(G$4-$E$4),0),IF($AB62="ALTH",ROUND($AE62+$AF62*G$4,0),IF($AB62="IR",ROUND(Proyeccion_Localidades!AD62,0),IF($AB62="RT",ROUND(Proyeccion_Localidades!BA62,0),"*****"))))</f>
        <v>63176</v>
      </c>
      <c r="H62" s="66">
        <f>IF($AB62="TGD",ROUND($E62*(1+$AD62)^(H$4-$E$4),0),IF($AB62="ALTH",ROUND($AE62+$AF62*H$4,0),IF($AB62="IR",ROUND(Proyeccion_Localidades!AE62,0),IF($AB62="RT",ROUND(Proyeccion_Localidades!BB62,0),"*****"))))</f>
        <v>64835</v>
      </c>
      <c r="I62" s="66">
        <f>IF($AB62="TGD",ROUND($E62*(1+$AD62)^(I$4-$E$4),0),IF($AB62="ALTH",ROUND($AE62+$AF62*I$4,0),IF($AB62="IR",ROUND(Proyeccion_Localidades!AF62,0),IF($AB62="RT",ROUND(Proyeccion_Localidades!BC62,0),"*****"))))</f>
        <v>65398</v>
      </c>
      <c r="J62" s="66">
        <f>IF($AB62="TGD",ROUND($E62*(1+$AD62)^(J$4-$E$4),0),IF($AB62="ALTH",ROUND($AE62+$AF62*J$4,0),IF($AB62="IR",ROUND(Proyeccion_Localidades!AG62,0),IF($AB62="RT",ROUND(Proyeccion_Localidades!BD62,0),"*****"))))</f>
        <v>65965</v>
      </c>
      <c r="K62" s="66">
        <f>IF($AB62="TGD",ROUND($E62*(1+$AD62)^(K$4-$E$4),0),IF($AB62="ALTH",ROUND($AE62+$AF62*K$4,0),IF($AB62="IR",ROUND(Proyeccion_Localidades!AH62,0),IF($AB62="RT",ROUND(Proyeccion_Localidades!BE62,0),"*****"))))</f>
        <v>66538</v>
      </c>
      <c r="L62" s="66">
        <f>IF($AB62="TGD",ROUND($E62*(1+$AD62)^(L$4-$E$4),0),IF($AB62="ALTH",ROUND($AE62+$AF62*L$4,0),IF($AB62="IR",ROUND(Proyeccion_Localidades!AI62,0),IF($AB62="RT",ROUND(Proyeccion_Localidades!BF62,0),"*****"))))</f>
        <v>67115</v>
      </c>
      <c r="M62" s="66">
        <f>IF($AB62="TGD",ROUND($E62*(1+$AD62)^(M$4-$E$4),0),IF($AB62="ALTH",ROUND($AE62+$AF62*M$4,0),IF($AB62="IR",ROUND(Proyeccion_Localidades!AJ62,0),IF($AB62="RT",ROUND(Proyeccion_Localidades!BG62,0),"*****"))))</f>
        <v>67697</v>
      </c>
      <c r="N62" s="66">
        <f>IF($AB62="TGD",ROUND($E62*(1+$AD62)^(N$4-$E$4),0),IF($AB62="ALTH",ROUND($AE62+$AF62*N$4,0),IF($AB62="IR",ROUND(Proyeccion_Localidades!AK62,0),IF($AB62="RT",ROUND(Proyeccion_Localidades!BH62,0),"*****"))))</f>
        <v>68285</v>
      </c>
      <c r="O62" s="66">
        <f>IF($AB62="TGD",ROUND($E62*(1+$AD62)^(O$4-$E$4),0),IF($AB62="ALTH",ROUND($AE62+$AF62*O$4,0),IF($AB62="IR",ROUND(Proyeccion_Localidades!AL62,0),IF($AB62="RT",ROUND(Proyeccion_Localidades!BI62,0),"*****"))))</f>
        <v>68878</v>
      </c>
      <c r="P62" s="66">
        <f>IF($AB62="TGD",ROUND($E62*(1+$AD62)^(P$4-$E$4),0),IF($AB62="ALTH",ROUND($AE62+$AF62*P$4,0),IF($AB62="IR",ROUND(Proyeccion_Localidades!AM62,0),IF($AB62="RT",ROUND(Proyeccion_Localidades!BJ62,0),"*****"))))</f>
        <v>69475</v>
      </c>
      <c r="Q62" s="66">
        <f>IF($AB62="TGD",ROUND($E62*(1+$AD62)^(Q$4-$E$4),0),IF($AB62="ALTH",ROUND($AE62+$AF62*Q$4,0),IF($AB62="IR",ROUND(Proyeccion_Localidades!AN62,0),IF($AB62="RT",ROUND(Proyeccion_Localidades!BK62,0),"*****"))))</f>
        <v>70078</v>
      </c>
      <c r="R62" s="66">
        <f>IF($AB62="TGD",ROUND($E62*(1+$AD62)^(R$4-$E$4),0),IF($AB62="ALTH",ROUND($AE62+$AF62*R$4,0),IF($AB62="IR",ROUND(Proyeccion_Localidades!AO62,0),IF($AB62="RT",ROUND(Proyeccion_Localidades!BL62,0),"*****"))))</f>
        <v>70686</v>
      </c>
      <c r="S62" s="66">
        <f>IF($AB62="TGD",ROUND($E62*(1+$AD62)^(S$4-$E$4),0),IF($AB62="ALTH",ROUND($AE62+$AF62*S$4,0),IF($AB62="IR",ROUND(Proyeccion_Localidades!AP62,0),IF($AB62="RT",ROUND(Proyeccion_Localidades!BM62,0),"*****"))))</f>
        <v>71300</v>
      </c>
      <c r="T62" s="66">
        <f>IF($AB62="TGD",ROUND($E62*(1+$AD62)^(T$4-$E$4),0),IF($AB62="ALTH",ROUND($AE62+$AF62*T$4,0),IF($AB62="IR",ROUND(Proyeccion_Localidades!AQ62,0),IF($AB62="RT",ROUND(Proyeccion_Localidades!BN62,0),"*****"))))</f>
        <v>71919</v>
      </c>
      <c r="U62" s="66">
        <f>IF($AB62="TGD",ROUND($E62*(1+$AD62)^(U$4-$E$4),0),IF($AB62="ALTH",ROUND($AE62+$AF62*U$4,0),IF($AB62="IR",ROUND(Proyeccion_Localidades!AR62,0),IF($AB62="RT",ROUND(Proyeccion_Localidades!BO62,0),"*****"))))</f>
        <v>72543</v>
      </c>
      <c r="V62" s="66">
        <f>IF($AB62="TGD",ROUND($E62*(1+$AD62)^(V$4-$E$4),0),IF($AB62="ALTH",ROUND($AE62+$AF62*V$4,0),IF($AB62="IR",ROUND(Proyeccion_Localidades!AS62,0),IF($AB62="RT",ROUND(Proyeccion_Localidades!BP62,0),"*****"))))</f>
        <v>73172</v>
      </c>
      <c r="W62" s="66">
        <f>IF($AB62="TGD",ROUND($E62*(1+$AD62)^(W$4-$E$4),0),IF($AB62="ALTH",ROUND($AE62+$AF62*W$4,0),IF($AB62="IR",ROUND(Proyeccion_Localidades!AT62,0),IF($AB62="RT",ROUND(Proyeccion_Localidades!BQ62,0),"*****"))))</f>
        <v>73807</v>
      </c>
      <c r="X62" s="66">
        <f>IF($AB62="TGD",ROUND($E62*(1+$AD62)^(X$4-$E$4),0),IF($AB62="ALTH",ROUND($AE62+$AF62*X$4,0),IF($AB62="IR",ROUND(Proyeccion_Localidades!AU62,0),IF($AB62="RT",ROUND(Proyeccion_Localidades!BR62,0),"*****"))))</f>
        <v>74448</v>
      </c>
      <c r="Y62" s="66">
        <f>IF($AB62="TGD",ROUND($E62*(1+$AD62)^(Y$4-$E$4),0),IF($AB62="ALTH",ROUND($AE62+$AF62*Y$4,0),IF($AB62="IR",ROUND(Proyeccion_Localidades!AV62,0),IF($AB62="RT",ROUND(Proyeccion_Localidades!BS62,0),"*****"))))</f>
        <v>75094</v>
      </c>
      <c r="Z62" s="66">
        <f>IF($AB62="TGD",ROUND($E62*(1+$AD62)^(Z$4-$E$4),0),IF($AB62="ALTH",ROUND($AE62+$AF62*Z$4,0),IF($AB62="IR",ROUND(Proyeccion_Localidades!AW62,0),IF($AB62="RT",ROUND(Proyeccion_Localidades!BT62,0),"*****"))))</f>
        <v>75746</v>
      </c>
      <c r="AA62" s="66">
        <f>IF($AB62="TGD",ROUND($E62*(1+$AD62)^(AA$4-$E$4),0),IF($AB62="ALTH",ROUND($AE62+$AF62*AA$4,0),IF($AB62="IR",ROUND(Proyeccion_Localidades!AX62,0),IF($AB62="RT",ROUND(Proyeccion_Localidades!BU62,0),"*****"))))</f>
        <v>76403</v>
      </c>
      <c r="AB62" s="67" t="str">
        <f>Proyeccion_Localidades!N62</f>
        <v>TGD</v>
      </c>
      <c r="AC62" s="68" t="s">
        <v>35</v>
      </c>
      <c r="AD62" s="51">
        <f>IF(AB62="TGD",Proyeccion_Localidades!Z62,"-")</f>
        <v>8.6785576483277005E-3</v>
      </c>
      <c r="AE62" s="51" t="str">
        <f>IF($AB62="ALTH",Proyeccion_Localidades!AA62,"-")</f>
        <v>-</v>
      </c>
      <c r="AF62" s="51" t="str">
        <f>IF($AB62="ALTH",Proyeccion_Localidades!AB62,"-")</f>
        <v>-</v>
      </c>
      <c r="AG62" s="51"/>
      <c r="AH62" s="51"/>
      <c r="AI62" s="66">
        <f t="shared" si="2"/>
        <v>63176</v>
      </c>
    </row>
    <row r="63" spans="1:35" ht="24.95" customHeight="1">
      <c r="A63" s="69" t="str">
        <f>+Proyeccion_Localidades!C63</f>
        <v>Escobar</v>
      </c>
      <c r="B63" s="70">
        <f t="shared" si="4"/>
        <v>59</v>
      </c>
      <c r="C63" s="71" t="str">
        <f>+Proyeccion_Localidades!B63</f>
        <v>Escobar</v>
      </c>
      <c r="D63" s="261">
        <f t="shared" si="3"/>
        <v>59</v>
      </c>
      <c r="E63" s="72">
        <f>+Proyeccion_Localidades!F63</f>
        <v>212208</v>
      </c>
      <c r="F63" s="66">
        <f>IF($AB63="TGD",ROUND($E63*(1+$AD63)^(F$4-$E$4),0),IF($AB63="ALTH",ROUND($AE63+$AF63*F$4,0),IF($AB63="IR",ROUND(Proyeccion_Localidades!AC63,0),IF($AB63="RT",ROUND(Proyeccion_Localidades!AZ63,0),"*****"))))</f>
        <v>270687</v>
      </c>
      <c r="G63" s="66">
        <f>IF($AB63="TGD",ROUND($E63*(1+$AD63)^(G$4-$E$4),0),IF($AB63="ALTH",ROUND($AE63+$AF63*G$4,0),IF($AB63="IR",ROUND(Proyeccion_Localidades!AD63,0),IF($AB63="RT",ROUND(Proyeccion_Localidades!BA63,0),"*****"))))</f>
        <v>275450</v>
      </c>
      <c r="H63" s="66">
        <f>IF($AB63="TGD",ROUND($E63*(1+$AD63)^(H$4-$E$4),0),IF($AB63="ALTH",ROUND($AE63+$AF63*H$4,0),IF($AB63="IR",ROUND(Proyeccion_Localidades!AE63,0),IF($AB63="RT",ROUND(Proyeccion_Localidades!BB63,0),"*****"))))</f>
        <v>289741</v>
      </c>
      <c r="I63" s="66">
        <f>IF($AB63="TGD",ROUND($E63*(1+$AD63)^(I$4-$E$4),0),IF($AB63="ALTH",ROUND($AE63+$AF63*I$4,0),IF($AB63="IR",ROUND(Proyeccion_Localidades!AF63,0),IF($AB63="RT",ROUND(Proyeccion_Localidades!BC63,0),"*****"))))</f>
        <v>294504</v>
      </c>
      <c r="J63" s="66">
        <f>IF($AB63="TGD",ROUND($E63*(1+$AD63)^(J$4-$E$4),0),IF($AB63="ALTH",ROUND($AE63+$AF63*J$4,0),IF($AB63="IR",ROUND(Proyeccion_Localidades!AG63,0),IF($AB63="RT",ROUND(Proyeccion_Localidades!BD63,0),"*****"))))</f>
        <v>299268</v>
      </c>
      <c r="K63" s="66">
        <f>IF($AB63="TGD",ROUND($E63*(1+$AD63)^(K$4-$E$4),0),IF($AB63="ALTH",ROUND($AE63+$AF63*K$4,0),IF($AB63="IR",ROUND(Proyeccion_Localidades!AH63,0),IF($AB63="RT",ROUND(Proyeccion_Localidades!BE63,0),"*****"))))</f>
        <v>304031</v>
      </c>
      <c r="L63" s="66">
        <f>IF($AB63="TGD",ROUND($E63*(1+$AD63)^(L$4-$E$4),0),IF($AB63="ALTH",ROUND($AE63+$AF63*L$4,0),IF($AB63="IR",ROUND(Proyeccion_Localidades!AI63,0),IF($AB63="RT",ROUND(Proyeccion_Localidades!BF63,0),"*****"))))</f>
        <v>308795</v>
      </c>
      <c r="M63" s="66">
        <f>IF($AB63="TGD",ROUND($E63*(1+$AD63)^(M$4-$E$4),0),IF($AB63="ALTH",ROUND($AE63+$AF63*M$4,0),IF($AB63="IR",ROUND(Proyeccion_Localidades!AJ63,0),IF($AB63="RT",ROUND(Proyeccion_Localidades!BG63,0),"*****"))))</f>
        <v>313558</v>
      </c>
      <c r="N63" s="66">
        <f>IF($AB63="TGD",ROUND($E63*(1+$AD63)^(N$4-$E$4),0),IF($AB63="ALTH",ROUND($AE63+$AF63*N$4,0),IF($AB63="IR",ROUND(Proyeccion_Localidades!AK63,0),IF($AB63="RT",ROUND(Proyeccion_Localidades!BH63,0),"*****"))))</f>
        <v>318322</v>
      </c>
      <c r="O63" s="66">
        <f>IF($AB63="TGD",ROUND($E63*(1+$AD63)^(O$4-$E$4),0),IF($AB63="ALTH",ROUND($AE63+$AF63*O$4,0),IF($AB63="IR",ROUND(Proyeccion_Localidades!AL63,0),IF($AB63="RT",ROUND(Proyeccion_Localidades!BI63,0),"*****"))))</f>
        <v>323085</v>
      </c>
      <c r="P63" s="66">
        <f>IF($AB63="TGD",ROUND($E63*(1+$AD63)^(P$4-$E$4),0),IF($AB63="ALTH",ROUND($AE63+$AF63*P$4,0),IF($AB63="IR",ROUND(Proyeccion_Localidades!AM63,0),IF($AB63="RT",ROUND(Proyeccion_Localidades!BJ63,0),"*****"))))</f>
        <v>327849</v>
      </c>
      <c r="Q63" s="66">
        <f>IF($AB63="TGD",ROUND($E63*(1+$AD63)^(Q$4-$E$4),0),IF($AB63="ALTH",ROUND($AE63+$AF63*Q$4,0),IF($AB63="IR",ROUND(Proyeccion_Localidades!AN63,0),IF($AB63="RT",ROUND(Proyeccion_Localidades!BK63,0),"*****"))))</f>
        <v>332612</v>
      </c>
      <c r="R63" s="66">
        <f>IF($AB63="TGD",ROUND($E63*(1+$AD63)^(R$4-$E$4),0),IF($AB63="ALTH",ROUND($AE63+$AF63*R$4,0),IF($AB63="IR",ROUND(Proyeccion_Localidades!AO63,0),IF($AB63="RT",ROUND(Proyeccion_Localidades!BL63,0),"*****"))))</f>
        <v>337376</v>
      </c>
      <c r="S63" s="66">
        <f>IF($AB63="TGD",ROUND($E63*(1+$AD63)^(S$4-$E$4),0),IF($AB63="ALTH",ROUND($AE63+$AF63*S$4,0),IF($AB63="IR",ROUND(Proyeccion_Localidades!AP63,0),IF($AB63="RT",ROUND(Proyeccion_Localidades!BM63,0),"*****"))))</f>
        <v>342140</v>
      </c>
      <c r="T63" s="66">
        <f>IF($AB63="TGD",ROUND($E63*(1+$AD63)^(T$4-$E$4),0),IF($AB63="ALTH",ROUND($AE63+$AF63*T$4,0),IF($AB63="IR",ROUND(Proyeccion_Localidades!AQ63,0),IF($AB63="RT",ROUND(Proyeccion_Localidades!BN63,0),"*****"))))</f>
        <v>346903</v>
      </c>
      <c r="U63" s="66">
        <f>IF($AB63="TGD",ROUND($E63*(1+$AD63)^(U$4-$E$4),0),IF($AB63="ALTH",ROUND($AE63+$AF63*U$4,0),IF($AB63="IR",ROUND(Proyeccion_Localidades!AR63,0),IF($AB63="RT",ROUND(Proyeccion_Localidades!BO63,0),"*****"))))</f>
        <v>351667</v>
      </c>
      <c r="V63" s="66">
        <f>IF($AB63="TGD",ROUND($E63*(1+$AD63)^(V$4-$E$4),0),IF($AB63="ALTH",ROUND($AE63+$AF63*V$4,0),IF($AB63="IR",ROUND(Proyeccion_Localidades!AS63,0),IF($AB63="RT",ROUND(Proyeccion_Localidades!BP63,0),"*****"))))</f>
        <v>356430</v>
      </c>
      <c r="W63" s="66">
        <f>IF($AB63="TGD",ROUND($E63*(1+$AD63)^(W$4-$E$4),0),IF($AB63="ALTH",ROUND($AE63+$AF63*W$4,0),IF($AB63="IR",ROUND(Proyeccion_Localidades!AT63,0),IF($AB63="RT",ROUND(Proyeccion_Localidades!BQ63,0),"*****"))))</f>
        <v>361194</v>
      </c>
      <c r="X63" s="66">
        <f>IF($AB63="TGD",ROUND($E63*(1+$AD63)^(X$4-$E$4),0),IF($AB63="ALTH",ROUND($AE63+$AF63*X$4,0),IF($AB63="IR",ROUND(Proyeccion_Localidades!AU63,0),IF($AB63="RT",ROUND(Proyeccion_Localidades!BR63,0),"*****"))))</f>
        <v>365957</v>
      </c>
      <c r="Y63" s="66">
        <f>IF($AB63="TGD",ROUND($E63*(1+$AD63)^(Y$4-$E$4),0),IF($AB63="ALTH",ROUND($AE63+$AF63*Y$4,0),IF($AB63="IR",ROUND(Proyeccion_Localidades!AV63,0),IF($AB63="RT",ROUND(Proyeccion_Localidades!BS63,0),"*****"))))</f>
        <v>370721</v>
      </c>
      <c r="Z63" s="66">
        <f>IF($AB63="TGD",ROUND($E63*(1+$AD63)^(Z$4-$E$4),0),IF($AB63="ALTH",ROUND($AE63+$AF63*Z$4,0),IF($AB63="IR",ROUND(Proyeccion_Localidades!AW63,0),IF($AB63="RT",ROUND(Proyeccion_Localidades!BT63,0),"*****"))))</f>
        <v>375484</v>
      </c>
      <c r="AA63" s="66">
        <f>IF($AB63="TGD",ROUND($E63*(1+$AD63)^(AA$4-$E$4),0),IF($AB63="ALTH",ROUND($AE63+$AF63*AA$4,0),IF($AB63="IR",ROUND(Proyeccion_Localidades!AX63,0),IF($AB63="RT",ROUND(Proyeccion_Localidades!BU63,0),"*****"))))</f>
        <v>380248</v>
      </c>
      <c r="AB63" s="67" t="str">
        <f>Proyeccion_Localidades!N63</f>
        <v>ALTH</v>
      </c>
      <c r="AC63" s="68" t="s">
        <v>36</v>
      </c>
      <c r="AD63" s="51" t="str">
        <f>IF(AB63="TGD",Proyeccion_Localidades!Z63,"-")</f>
        <v>-</v>
      </c>
      <c r="AE63" s="51">
        <f>IF($AB63="ALTH",Proyeccion_Localidades!AA63,"-")</f>
        <v>-9361128.7896678951</v>
      </c>
      <c r="AF63" s="51">
        <f>IF($AB63="ALTH",Proyeccion_Localidades!AB63,"-")</f>
        <v>4763.5092250922498</v>
      </c>
      <c r="AG63" s="51"/>
      <c r="AH63" s="51"/>
      <c r="AI63" s="66">
        <f t="shared" si="2"/>
        <v>275450</v>
      </c>
    </row>
    <row r="64" spans="1:35" ht="24.95" customHeight="1">
      <c r="A64" s="69" t="str">
        <f>+Proyeccion_Localidades!C64</f>
        <v>Exaltación de la Cruz</v>
      </c>
      <c r="B64" s="70">
        <f t="shared" si="4"/>
        <v>60</v>
      </c>
      <c r="C64" s="71" t="str">
        <f>+Proyeccion_Localidades!B64</f>
        <v>Capilla del Señor</v>
      </c>
      <c r="D64" s="261">
        <f t="shared" si="3"/>
        <v>60</v>
      </c>
      <c r="E64" s="72">
        <f>+Proyeccion_Localidades!F64</f>
        <v>9244</v>
      </c>
      <c r="F64" s="66">
        <f>IF($AB64="TGD",ROUND($E64*(1+$AD64)^(F$4-$E$4),0),IF($AB64="ALTH",ROUND($AE64+$AF64*F$4,0),IF($AB64="IR",ROUND(Proyeccion_Localidades!AC64,0),IF($AB64="RT",ROUND(Proyeccion_Localidades!AZ64,0),"*****"))))</f>
        <v>11919</v>
      </c>
      <c r="G64" s="66">
        <f>IF($AB64="TGD",ROUND($E64*(1+$AD64)^(G$4-$E$4),0),IF($AB64="ALTH",ROUND($AE64+$AF64*G$4,0),IF($AB64="IR",ROUND(Proyeccion_Localidades!AD64,0),IF($AB64="RT",ROUND(Proyeccion_Localidades!BA64,0),"*****"))))</f>
        <v>12166</v>
      </c>
      <c r="H64" s="66">
        <f>IF($AB64="TGD",ROUND($E64*(1+$AD64)^(H$4-$E$4),0),IF($AB64="ALTH",ROUND($AE64+$AF64*H$4,0),IF($AB64="IR",ROUND(Proyeccion_Localidades!AE64,0),IF($AB64="RT",ROUND(Proyeccion_Localidades!BB64,0),"*****"))))</f>
        <v>12932</v>
      </c>
      <c r="I64" s="66">
        <f>IF($AB64="TGD",ROUND($E64*(1+$AD64)^(I$4-$E$4),0),IF($AB64="ALTH",ROUND($AE64+$AF64*I$4,0),IF($AB64="IR",ROUND(Proyeccion_Localidades!AF64,0),IF($AB64="RT",ROUND(Proyeccion_Localidades!BC64,0),"*****"))))</f>
        <v>13196</v>
      </c>
      <c r="J64" s="66">
        <f>IF($AB64="TGD",ROUND($E64*(1+$AD64)^(J$4-$E$4),0),IF($AB64="ALTH",ROUND($AE64+$AF64*J$4,0),IF($AB64="IR",ROUND(Proyeccion_Localidades!AG64,0),IF($AB64="RT",ROUND(Proyeccion_Localidades!BD64,0),"*****"))))</f>
        <v>13464</v>
      </c>
      <c r="K64" s="66">
        <f>IF($AB64="TGD",ROUND($E64*(1+$AD64)^(K$4-$E$4),0),IF($AB64="ALTH",ROUND($AE64+$AF64*K$4,0),IF($AB64="IR",ROUND(Proyeccion_Localidades!AH64,0),IF($AB64="RT",ROUND(Proyeccion_Localidades!BE64,0),"*****"))))</f>
        <v>13737</v>
      </c>
      <c r="L64" s="66">
        <f>IF($AB64="TGD",ROUND($E64*(1+$AD64)^(L$4-$E$4),0),IF($AB64="ALTH",ROUND($AE64+$AF64*L$4,0),IF($AB64="IR",ROUND(Proyeccion_Localidades!AI64,0),IF($AB64="RT",ROUND(Proyeccion_Localidades!BF64,0),"*****"))))</f>
        <v>14013</v>
      </c>
      <c r="M64" s="66">
        <f>IF($AB64="TGD",ROUND($E64*(1+$AD64)^(M$4-$E$4),0),IF($AB64="ALTH",ROUND($AE64+$AF64*M$4,0),IF($AB64="IR",ROUND(Proyeccion_Localidades!AJ64,0),IF($AB64="RT",ROUND(Proyeccion_Localidades!BG64,0),"*****"))))</f>
        <v>14295</v>
      </c>
      <c r="N64" s="66">
        <f>IF($AB64="TGD",ROUND($E64*(1+$AD64)^(N$4-$E$4),0),IF($AB64="ALTH",ROUND($AE64+$AF64*N$4,0),IF($AB64="IR",ROUND(Proyeccion_Localidades!AK64,0),IF($AB64="RT",ROUND(Proyeccion_Localidades!BH64,0),"*****"))))</f>
        <v>14581</v>
      </c>
      <c r="O64" s="66">
        <f>IF($AB64="TGD",ROUND($E64*(1+$AD64)^(O$4-$E$4),0),IF($AB64="ALTH",ROUND($AE64+$AF64*O$4,0),IF($AB64="IR",ROUND(Proyeccion_Localidades!AL64,0),IF($AB64="RT",ROUND(Proyeccion_Localidades!BI64,0),"*****"))))</f>
        <v>14872</v>
      </c>
      <c r="P64" s="66">
        <f>IF($AB64="TGD",ROUND($E64*(1+$AD64)^(P$4-$E$4),0),IF($AB64="ALTH",ROUND($AE64+$AF64*P$4,0),IF($AB64="IR",ROUND(Proyeccion_Localidades!AM64,0),IF($AB64="RT",ROUND(Proyeccion_Localidades!BJ64,0),"*****"))))</f>
        <v>15167</v>
      </c>
      <c r="Q64" s="66">
        <f>IF($AB64="TGD",ROUND($E64*(1+$AD64)^(Q$4-$E$4),0),IF($AB64="ALTH",ROUND($AE64+$AF64*Q$4,0),IF($AB64="IR",ROUND(Proyeccion_Localidades!AN64,0),IF($AB64="RT",ROUND(Proyeccion_Localidades!BK64,0),"*****"))))</f>
        <v>15467</v>
      </c>
      <c r="R64" s="66">
        <f>IF($AB64="TGD",ROUND($E64*(1+$AD64)^(R$4-$E$4),0),IF($AB64="ALTH",ROUND($AE64+$AF64*R$4,0),IF($AB64="IR",ROUND(Proyeccion_Localidades!AO64,0),IF($AB64="RT",ROUND(Proyeccion_Localidades!BL64,0),"*****"))))</f>
        <v>15772</v>
      </c>
      <c r="S64" s="66">
        <f>IF($AB64="TGD",ROUND($E64*(1+$AD64)^(S$4-$E$4),0),IF($AB64="ALTH",ROUND($AE64+$AF64*S$4,0),IF($AB64="IR",ROUND(Proyeccion_Localidades!AP64,0),IF($AB64="RT",ROUND(Proyeccion_Localidades!BM64,0),"*****"))))</f>
        <v>16082</v>
      </c>
      <c r="T64" s="66">
        <f>IF($AB64="TGD",ROUND($E64*(1+$AD64)^(T$4-$E$4),0),IF($AB64="ALTH",ROUND($AE64+$AF64*T$4,0),IF($AB64="IR",ROUND(Proyeccion_Localidades!AQ64,0),IF($AB64="RT",ROUND(Proyeccion_Localidades!BN64,0),"*****"))))</f>
        <v>16398</v>
      </c>
      <c r="U64" s="66">
        <f>IF($AB64="TGD",ROUND($E64*(1+$AD64)^(U$4-$E$4),0),IF($AB64="ALTH",ROUND($AE64+$AF64*U$4,0),IF($AB64="IR",ROUND(Proyeccion_Localidades!AR64,0),IF($AB64="RT",ROUND(Proyeccion_Localidades!BO64,0),"*****"))))</f>
        <v>16718</v>
      </c>
      <c r="V64" s="66">
        <f>IF($AB64="TGD",ROUND($E64*(1+$AD64)^(V$4-$E$4),0),IF($AB64="ALTH",ROUND($AE64+$AF64*V$4,0),IF($AB64="IR",ROUND(Proyeccion_Localidades!AS64,0),IF($AB64="RT",ROUND(Proyeccion_Localidades!BP64,0),"*****"))))</f>
        <v>17043</v>
      </c>
      <c r="W64" s="66">
        <f>IF($AB64="TGD",ROUND($E64*(1+$AD64)^(W$4-$E$4),0),IF($AB64="ALTH",ROUND($AE64+$AF64*W$4,0),IF($AB64="IR",ROUND(Proyeccion_Localidades!AT64,0),IF($AB64="RT",ROUND(Proyeccion_Localidades!BQ64,0),"*****"))))</f>
        <v>17374</v>
      </c>
      <c r="X64" s="66">
        <f>IF($AB64="TGD",ROUND($E64*(1+$AD64)^(X$4-$E$4),0),IF($AB64="ALTH",ROUND($AE64+$AF64*X$4,0),IF($AB64="IR",ROUND(Proyeccion_Localidades!AU64,0),IF($AB64="RT",ROUND(Proyeccion_Localidades!BR64,0),"*****"))))</f>
        <v>17710</v>
      </c>
      <c r="Y64" s="66">
        <f>IF($AB64="TGD",ROUND($E64*(1+$AD64)^(Y$4-$E$4),0),IF($AB64="ALTH",ROUND($AE64+$AF64*Y$4,0),IF($AB64="IR",ROUND(Proyeccion_Localidades!AV64,0),IF($AB64="RT",ROUND(Proyeccion_Localidades!BS64,0),"*****"))))</f>
        <v>18052</v>
      </c>
      <c r="Z64" s="66">
        <f>IF($AB64="TGD",ROUND($E64*(1+$AD64)^(Z$4-$E$4),0),IF($AB64="ALTH",ROUND($AE64+$AF64*Z$4,0),IF($AB64="IR",ROUND(Proyeccion_Localidades!AW64,0),IF($AB64="RT",ROUND(Proyeccion_Localidades!BT64,0),"*****"))))</f>
        <v>18399</v>
      </c>
      <c r="AA64" s="66">
        <f>IF($AB64="TGD",ROUND($E64*(1+$AD64)^(AA$4-$E$4),0),IF($AB64="ALTH",ROUND($AE64+$AF64*AA$4,0),IF($AB64="IR",ROUND(Proyeccion_Localidades!AX64,0),IF($AB64="RT",ROUND(Proyeccion_Localidades!BU64,0),"*****"))))</f>
        <v>18752</v>
      </c>
      <c r="AB64" s="67" t="str">
        <f>Proyeccion_Localidades!N64</f>
        <v>IR</v>
      </c>
      <c r="AC64" s="73"/>
      <c r="AD64" s="51" t="str">
        <f>IF(AB64="TGD",Proyeccion_Localidades!Z64,"-")</f>
        <v>-</v>
      </c>
      <c r="AE64" s="51" t="str">
        <f>IF($AB64="ALTH",Proyeccion_Localidades!AA64,"-")</f>
        <v>-</v>
      </c>
      <c r="AF64" s="51" t="str">
        <f>IF($AB64="ALTH",Proyeccion_Localidades!AB64,"-")</f>
        <v>-</v>
      </c>
      <c r="AG64" s="51"/>
      <c r="AH64" s="51"/>
      <c r="AI64" s="66">
        <f t="shared" si="2"/>
        <v>12166</v>
      </c>
    </row>
    <row r="65" spans="1:36" ht="24.95" customHeight="1">
      <c r="A65" s="69" t="str">
        <f>+Proyeccion_Localidades!C65</f>
        <v>Florentino Ameghino</v>
      </c>
      <c r="B65" s="70">
        <f t="shared" si="4"/>
        <v>61</v>
      </c>
      <c r="C65" s="71" t="str">
        <f>+Proyeccion_Localidades!B65</f>
        <v>Florentino Ameghino</v>
      </c>
      <c r="D65" s="261">
        <f t="shared" si="3"/>
        <v>61</v>
      </c>
      <c r="E65" s="72">
        <f>+Proyeccion_Localidades!F65</f>
        <v>7225</v>
      </c>
      <c r="F65" s="66">
        <f>IF($AB65="TGD",ROUND($E65*(1+$AD65)^(F$4-$E$4),0),IF($AB65="ALTH",ROUND($AE65+$AF65*F$4,0),IF($AB65="IR",ROUND(Proyeccion_Localidades!AC65,0),IF($AB65="RT",ROUND(Proyeccion_Localidades!AZ65,0),"*****"))))</f>
        <v>8488</v>
      </c>
      <c r="G65" s="66">
        <f>IF($AB65="TGD",ROUND($E65*(1+$AD65)^(G$4-$E$4),0),IF($AB65="ALTH",ROUND($AE65+$AF65*G$4,0),IF($AB65="IR",ROUND(Proyeccion_Localidades!AD65,0),IF($AB65="RT",ROUND(Proyeccion_Localidades!BA65,0),"*****"))))</f>
        <v>8595</v>
      </c>
      <c r="H65" s="66">
        <f>IF($AB65="TGD",ROUND($E65*(1+$AD65)^(H$4-$E$4),0),IF($AB65="ALTH",ROUND($AE65+$AF65*H$4,0),IF($AB65="IR",ROUND(Proyeccion_Localidades!AE65,0),IF($AB65="RT",ROUND(Proyeccion_Localidades!BB65,0),"*****"))))</f>
        <v>8915</v>
      </c>
      <c r="I65" s="66">
        <f>IF($AB65="TGD",ROUND($E65*(1+$AD65)^(I$4-$E$4),0),IF($AB65="ALTH",ROUND($AE65+$AF65*I$4,0),IF($AB65="IR",ROUND(Proyeccion_Localidades!AF65,0),IF($AB65="RT",ROUND(Proyeccion_Localidades!BC65,0),"*****"))))</f>
        <v>9021</v>
      </c>
      <c r="J65" s="66">
        <f>IF($AB65="TGD",ROUND($E65*(1+$AD65)^(J$4-$E$4),0),IF($AB65="ALTH",ROUND($AE65+$AF65*J$4,0),IF($AB65="IR",ROUND(Proyeccion_Localidades!AG65,0),IF($AB65="RT",ROUND(Proyeccion_Localidades!BD65,0),"*****"))))</f>
        <v>9128</v>
      </c>
      <c r="K65" s="66">
        <f>IF($AB65="TGD",ROUND($E65*(1+$AD65)^(K$4-$E$4),0),IF($AB65="ALTH",ROUND($AE65+$AF65*K$4,0),IF($AB65="IR",ROUND(Proyeccion_Localidades!AH65,0),IF($AB65="RT",ROUND(Proyeccion_Localidades!BE65,0),"*****"))))</f>
        <v>9235</v>
      </c>
      <c r="L65" s="66">
        <f>IF($AB65="TGD",ROUND($E65*(1+$AD65)^(L$4-$E$4),0),IF($AB65="ALTH",ROUND($AE65+$AF65*L$4,0),IF($AB65="IR",ROUND(Proyeccion_Localidades!AI65,0),IF($AB65="RT",ROUND(Proyeccion_Localidades!BF65,0),"*****"))))</f>
        <v>9341</v>
      </c>
      <c r="M65" s="66">
        <f>IF($AB65="TGD",ROUND($E65*(1+$AD65)^(M$4-$E$4),0),IF($AB65="ALTH",ROUND($AE65+$AF65*M$4,0),IF($AB65="IR",ROUND(Proyeccion_Localidades!AJ65,0),IF($AB65="RT",ROUND(Proyeccion_Localidades!BG65,0),"*****"))))</f>
        <v>9448</v>
      </c>
      <c r="N65" s="66">
        <f>IF($AB65="TGD",ROUND($E65*(1+$AD65)^(N$4-$E$4),0),IF($AB65="ALTH",ROUND($AE65+$AF65*N$4,0),IF($AB65="IR",ROUND(Proyeccion_Localidades!AK65,0),IF($AB65="RT",ROUND(Proyeccion_Localidades!BH65,0),"*****"))))</f>
        <v>9555</v>
      </c>
      <c r="O65" s="66">
        <f>IF($AB65="TGD",ROUND($E65*(1+$AD65)^(O$4-$E$4),0),IF($AB65="ALTH",ROUND($AE65+$AF65*O$4,0),IF($AB65="IR",ROUND(Proyeccion_Localidades!AL65,0),IF($AB65="RT",ROUND(Proyeccion_Localidades!BI65,0),"*****"))))</f>
        <v>9661</v>
      </c>
      <c r="P65" s="66">
        <f>IF($AB65="TGD",ROUND($E65*(1+$AD65)^(P$4-$E$4),0),IF($AB65="ALTH",ROUND($AE65+$AF65*P$4,0),IF($AB65="IR",ROUND(Proyeccion_Localidades!AM65,0),IF($AB65="RT",ROUND(Proyeccion_Localidades!BJ65,0),"*****"))))</f>
        <v>9768</v>
      </c>
      <c r="Q65" s="66">
        <f>IF($AB65="TGD",ROUND($E65*(1+$AD65)^(Q$4-$E$4),0),IF($AB65="ALTH",ROUND($AE65+$AF65*Q$4,0),IF($AB65="IR",ROUND(Proyeccion_Localidades!AN65,0),IF($AB65="RT",ROUND(Proyeccion_Localidades!BK65,0),"*****"))))</f>
        <v>9875</v>
      </c>
      <c r="R65" s="66">
        <f>IF($AB65="TGD",ROUND($E65*(1+$AD65)^(R$4-$E$4),0),IF($AB65="ALTH",ROUND($AE65+$AF65*R$4,0),IF($AB65="IR",ROUND(Proyeccion_Localidades!AO65,0),IF($AB65="RT",ROUND(Proyeccion_Localidades!BL65,0),"*****"))))</f>
        <v>9981</v>
      </c>
      <c r="S65" s="66">
        <f>IF($AB65="TGD",ROUND($E65*(1+$AD65)^(S$4-$E$4),0),IF($AB65="ALTH",ROUND($AE65+$AF65*S$4,0),IF($AB65="IR",ROUND(Proyeccion_Localidades!AP65,0),IF($AB65="RT",ROUND(Proyeccion_Localidades!BM65,0),"*****"))))</f>
        <v>10088</v>
      </c>
      <c r="T65" s="66">
        <f>IF($AB65="TGD",ROUND($E65*(1+$AD65)^(T$4-$E$4),0),IF($AB65="ALTH",ROUND($AE65+$AF65*T$4,0),IF($AB65="IR",ROUND(Proyeccion_Localidades!AQ65,0),IF($AB65="RT",ROUND(Proyeccion_Localidades!BN65,0),"*****"))))</f>
        <v>10195</v>
      </c>
      <c r="U65" s="66">
        <f>IF($AB65="TGD",ROUND($E65*(1+$AD65)^(U$4-$E$4),0),IF($AB65="ALTH",ROUND($AE65+$AF65*U$4,0),IF($AB65="IR",ROUND(Proyeccion_Localidades!AR65,0),IF($AB65="RT",ROUND(Proyeccion_Localidades!BO65,0),"*****"))))</f>
        <v>10301</v>
      </c>
      <c r="V65" s="66">
        <f>IF($AB65="TGD",ROUND($E65*(1+$AD65)^(V$4-$E$4),0),IF($AB65="ALTH",ROUND($AE65+$AF65*V$4,0),IF($AB65="IR",ROUND(Proyeccion_Localidades!AS65,0),IF($AB65="RT",ROUND(Proyeccion_Localidades!BP65,0),"*****"))))</f>
        <v>10408</v>
      </c>
      <c r="W65" s="66">
        <f>IF($AB65="TGD",ROUND($E65*(1+$AD65)^(W$4-$E$4),0),IF($AB65="ALTH",ROUND($AE65+$AF65*W$4,0),IF($AB65="IR",ROUND(Proyeccion_Localidades!AT65,0),IF($AB65="RT",ROUND(Proyeccion_Localidades!BQ65,0),"*****"))))</f>
        <v>10515</v>
      </c>
      <c r="X65" s="66">
        <f>IF($AB65="TGD",ROUND($E65*(1+$AD65)^(X$4-$E$4),0),IF($AB65="ALTH",ROUND($AE65+$AF65*X$4,0),IF($AB65="IR",ROUND(Proyeccion_Localidades!AU65,0),IF($AB65="RT",ROUND(Proyeccion_Localidades!BR65,0),"*****"))))</f>
        <v>10621</v>
      </c>
      <c r="Y65" s="66">
        <f>IF($AB65="TGD",ROUND($E65*(1+$AD65)^(Y$4-$E$4),0),IF($AB65="ALTH",ROUND($AE65+$AF65*Y$4,0),IF($AB65="IR",ROUND(Proyeccion_Localidades!AV65,0),IF($AB65="RT",ROUND(Proyeccion_Localidades!BS65,0),"*****"))))</f>
        <v>10728</v>
      </c>
      <c r="Z65" s="66">
        <f>IF($AB65="TGD",ROUND($E65*(1+$AD65)^(Z$4-$E$4),0),IF($AB65="ALTH",ROUND($AE65+$AF65*Z$4,0),IF($AB65="IR",ROUND(Proyeccion_Localidades!AW65,0),IF($AB65="RT",ROUND(Proyeccion_Localidades!BT65,0),"*****"))))</f>
        <v>10834</v>
      </c>
      <c r="AA65" s="66">
        <f>IF($AB65="TGD",ROUND($E65*(1+$AD65)^(AA$4-$E$4),0),IF($AB65="ALTH",ROUND($AE65+$AF65*AA$4,0),IF($AB65="IR",ROUND(Proyeccion_Localidades!AX65,0),IF($AB65="RT",ROUND(Proyeccion_Localidades!BU65,0),"*****"))))</f>
        <v>10941</v>
      </c>
      <c r="AB65" s="67" t="str">
        <f>Proyeccion_Localidades!N65</f>
        <v>ALTH</v>
      </c>
      <c r="AC65" s="68" t="s">
        <v>36</v>
      </c>
      <c r="AD65" s="51" t="str">
        <f>IF(AB65="TGD",Proyeccion_Localidades!Z65,"-")</f>
        <v>-</v>
      </c>
      <c r="AE65" s="51">
        <f>IF($AB65="ALTH",Proyeccion_Localidades!AA65,"-")</f>
        <v>-207156.99261992614</v>
      </c>
      <c r="AF65" s="51">
        <f>IF($AB65="ALTH",Proyeccion_Localidades!AB65,"-")</f>
        <v>106.64944649446491</v>
      </c>
      <c r="AG65" s="51"/>
      <c r="AH65" s="51"/>
      <c r="AI65" s="66">
        <f t="shared" si="2"/>
        <v>8595</v>
      </c>
    </row>
    <row r="66" spans="1:36" ht="24.95" customHeight="1">
      <c r="A66" s="69" t="str">
        <f>+Proyeccion_Localidades!C66</f>
        <v>General Alvarado</v>
      </c>
      <c r="B66" s="70">
        <f t="shared" si="4"/>
        <v>62</v>
      </c>
      <c r="C66" s="71" t="str">
        <f>+Proyeccion_Localidades!B66</f>
        <v>Miramar</v>
      </c>
      <c r="D66" s="261">
        <f t="shared" si="3"/>
        <v>62</v>
      </c>
      <c r="E66" s="72">
        <f>+Proyeccion_Localidades!F66</f>
        <v>29433</v>
      </c>
      <c r="F66" s="66">
        <f>IF($AB66="TGD",ROUND($E66*(1+$AD66)^(F$4-$E$4),0),IF($AB66="ALTH",ROUND($AE66+$AF66*F$4,0),IF($AB66="IR",ROUND(Proyeccion_Localidades!AC66,0),IF($AB66="RT",ROUND(Proyeccion_Localidades!AZ66,0),"*****"))))</f>
        <v>35498</v>
      </c>
      <c r="G66" s="66">
        <f>IF($AB66="TGD",ROUND($E66*(1+$AD66)^(G$4-$E$4),0),IF($AB66="ALTH",ROUND($AE66+$AF66*G$4,0),IF($AB66="IR",ROUND(Proyeccion_Localidades!AD66,0),IF($AB66="RT",ROUND(Proyeccion_Localidades!BA66,0),"*****"))))</f>
        <v>36016</v>
      </c>
      <c r="H66" s="66">
        <f>IF($AB66="TGD",ROUND($E66*(1+$AD66)^(H$4-$E$4),0),IF($AB66="ALTH",ROUND($AE66+$AF66*H$4,0),IF($AB66="IR",ROUND(Proyeccion_Localidades!AE66,0),IF($AB66="RT",ROUND(Proyeccion_Localidades!BB66,0),"*****"))))</f>
        <v>37571</v>
      </c>
      <c r="I66" s="66">
        <f>IF($AB66="TGD",ROUND($E66*(1+$AD66)^(I$4-$E$4),0),IF($AB66="ALTH",ROUND($AE66+$AF66*I$4,0),IF($AB66="IR",ROUND(Proyeccion_Localidades!AF66,0),IF($AB66="RT",ROUND(Proyeccion_Localidades!BC66,0),"*****"))))</f>
        <v>38089</v>
      </c>
      <c r="J66" s="66">
        <f>IF($AB66="TGD",ROUND($E66*(1+$AD66)^(J$4-$E$4),0),IF($AB66="ALTH",ROUND($AE66+$AF66*J$4,0),IF($AB66="IR",ROUND(Proyeccion_Localidades!AG66,0),IF($AB66="RT",ROUND(Proyeccion_Localidades!BD66,0),"*****"))))</f>
        <v>38608</v>
      </c>
      <c r="K66" s="66">
        <f>IF($AB66="TGD",ROUND($E66*(1+$AD66)^(K$4-$E$4),0),IF($AB66="ALTH",ROUND($AE66+$AF66*K$4,0),IF($AB66="IR",ROUND(Proyeccion_Localidades!AH66,0),IF($AB66="RT",ROUND(Proyeccion_Localidades!BE66,0),"*****"))))</f>
        <v>39126</v>
      </c>
      <c r="L66" s="66">
        <f>IF($AB66="TGD",ROUND($E66*(1+$AD66)^(L$4-$E$4),0),IF($AB66="ALTH",ROUND($AE66+$AF66*L$4,0),IF($AB66="IR",ROUND(Proyeccion_Localidades!AI66,0),IF($AB66="RT",ROUND(Proyeccion_Localidades!BF66,0),"*****"))))</f>
        <v>39644</v>
      </c>
      <c r="M66" s="66">
        <f>IF($AB66="TGD",ROUND($E66*(1+$AD66)^(M$4-$E$4),0),IF($AB66="ALTH",ROUND($AE66+$AF66*M$4,0),IF($AB66="IR",ROUND(Proyeccion_Localidades!AJ66,0),IF($AB66="RT",ROUND(Proyeccion_Localidades!BG66,0),"*****"))))</f>
        <v>40163</v>
      </c>
      <c r="N66" s="66">
        <f>IF($AB66="TGD",ROUND($E66*(1+$AD66)^(N$4-$E$4),0),IF($AB66="ALTH",ROUND($AE66+$AF66*N$4,0),IF($AB66="IR",ROUND(Proyeccion_Localidades!AK66,0),IF($AB66="RT",ROUND(Proyeccion_Localidades!BH66,0),"*****"))))</f>
        <v>40681</v>
      </c>
      <c r="O66" s="66">
        <f>IF($AB66="TGD",ROUND($E66*(1+$AD66)^(O$4-$E$4),0),IF($AB66="ALTH",ROUND($AE66+$AF66*O$4,0),IF($AB66="IR",ROUND(Proyeccion_Localidades!AL66,0),IF($AB66="RT",ROUND(Proyeccion_Localidades!BI66,0),"*****"))))</f>
        <v>41199</v>
      </c>
      <c r="P66" s="66">
        <f>IF($AB66="TGD",ROUND($E66*(1+$AD66)^(P$4-$E$4),0),IF($AB66="ALTH",ROUND($AE66+$AF66*P$4,0),IF($AB66="IR",ROUND(Proyeccion_Localidades!AM66,0),IF($AB66="RT",ROUND(Proyeccion_Localidades!BJ66,0),"*****"))))</f>
        <v>41718</v>
      </c>
      <c r="Q66" s="66">
        <f>IF($AB66="TGD",ROUND($E66*(1+$AD66)^(Q$4-$E$4),0),IF($AB66="ALTH",ROUND($AE66+$AF66*Q$4,0),IF($AB66="IR",ROUND(Proyeccion_Localidades!AN66,0),IF($AB66="RT",ROUND(Proyeccion_Localidades!BK66,0),"*****"))))</f>
        <v>42236</v>
      </c>
      <c r="R66" s="66">
        <f>IF($AB66="TGD",ROUND($E66*(1+$AD66)^(R$4-$E$4),0),IF($AB66="ALTH",ROUND($AE66+$AF66*R$4,0),IF($AB66="IR",ROUND(Proyeccion_Localidades!AO66,0),IF($AB66="RT",ROUND(Proyeccion_Localidades!BL66,0),"*****"))))</f>
        <v>42754</v>
      </c>
      <c r="S66" s="66">
        <f>IF($AB66="TGD",ROUND($E66*(1+$AD66)^(S$4-$E$4),0),IF($AB66="ALTH",ROUND($AE66+$AF66*S$4,0),IF($AB66="IR",ROUND(Proyeccion_Localidades!AP66,0),IF($AB66="RT",ROUND(Proyeccion_Localidades!BM66,0),"*****"))))</f>
        <v>43273</v>
      </c>
      <c r="T66" s="66">
        <f>IF($AB66="TGD",ROUND($E66*(1+$AD66)^(T$4-$E$4),0),IF($AB66="ALTH",ROUND($AE66+$AF66*T$4,0),IF($AB66="IR",ROUND(Proyeccion_Localidades!AQ66,0),IF($AB66="RT",ROUND(Proyeccion_Localidades!BN66,0),"*****"))))</f>
        <v>43791</v>
      </c>
      <c r="U66" s="66">
        <f>IF($AB66="TGD",ROUND($E66*(1+$AD66)^(U$4-$E$4),0),IF($AB66="ALTH",ROUND($AE66+$AF66*U$4,0),IF($AB66="IR",ROUND(Proyeccion_Localidades!AR66,0),IF($AB66="RT",ROUND(Proyeccion_Localidades!BO66,0),"*****"))))</f>
        <v>44309</v>
      </c>
      <c r="V66" s="66">
        <f>IF($AB66="TGD",ROUND($E66*(1+$AD66)^(V$4-$E$4),0),IF($AB66="ALTH",ROUND($AE66+$AF66*V$4,0),IF($AB66="IR",ROUND(Proyeccion_Localidades!AS66,0),IF($AB66="RT",ROUND(Proyeccion_Localidades!BP66,0),"*****"))))</f>
        <v>44828</v>
      </c>
      <c r="W66" s="66">
        <f>IF($AB66="TGD",ROUND($E66*(1+$AD66)^(W$4-$E$4),0),IF($AB66="ALTH",ROUND($AE66+$AF66*W$4,0),IF($AB66="IR",ROUND(Proyeccion_Localidades!AT66,0),IF($AB66="RT",ROUND(Proyeccion_Localidades!BQ66,0),"*****"))))</f>
        <v>45346</v>
      </c>
      <c r="X66" s="66">
        <f>IF($AB66="TGD",ROUND($E66*(1+$AD66)^(X$4-$E$4),0),IF($AB66="ALTH",ROUND($AE66+$AF66*X$4,0),IF($AB66="IR",ROUND(Proyeccion_Localidades!AU66,0),IF($AB66="RT",ROUND(Proyeccion_Localidades!BR66,0),"*****"))))</f>
        <v>45864</v>
      </c>
      <c r="Y66" s="66">
        <f>IF($AB66="TGD",ROUND($E66*(1+$AD66)^(Y$4-$E$4),0),IF($AB66="ALTH",ROUND($AE66+$AF66*Y$4,0),IF($AB66="IR",ROUND(Proyeccion_Localidades!AV66,0),IF($AB66="RT",ROUND(Proyeccion_Localidades!BS66,0),"*****"))))</f>
        <v>46383</v>
      </c>
      <c r="Z66" s="66">
        <f>IF($AB66="TGD",ROUND($E66*(1+$AD66)^(Z$4-$E$4),0),IF($AB66="ALTH",ROUND($AE66+$AF66*Z$4,0),IF($AB66="IR",ROUND(Proyeccion_Localidades!AW66,0),IF($AB66="RT",ROUND(Proyeccion_Localidades!BT66,0),"*****"))))</f>
        <v>46901</v>
      </c>
      <c r="AA66" s="66">
        <f>IF($AB66="TGD",ROUND($E66*(1+$AD66)^(AA$4-$E$4),0),IF($AB66="ALTH",ROUND($AE66+$AF66*AA$4,0),IF($AB66="IR",ROUND(Proyeccion_Localidades!AX66,0),IF($AB66="RT",ROUND(Proyeccion_Localidades!BU66,0),"*****"))))</f>
        <v>47419</v>
      </c>
      <c r="AB66" s="67" t="str">
        <f>Proyeccion_Localidades!N66</f>
        <v>ALTH</v>
      </c>
      <c r="AC66" s="68" t="s">
        <v>36</v>
      </c>
      <c r="AD66" s="51" t="str">
        <f>IF(AB66="TGD",Proyeccion_Localidades!Z66,"-")</f>
        <v>-</v>
      </c>
      <c r="AE66" s="51">
        <f>IF($AB66="ALTH",Proyeccion_Localidades!AA66,"-")</f>
        <v>-1012584.8597785978</v>
      </c>
      <c r="AF66" s="51">
        <f>IF($AB66="ALTH",Proyeccion_Localidades!AB66,"-")</f>
        <v>518.33948339483391</v>
      </c>
      <c r="AG66" s="51"/>
      <c r="AH66" s="51"/>
      <c r="AI66" s="66">
        <f t="shared" si="2"/>
        <v>36016</v>
      </c>
    </row>
    <row r="67" spans="1:36" ht="24.95" customHeight="1">
      <c r="A67" s="74" t="s">
        <v>37</v>
      </c>
      <c r="B67" s="75">
        <v>62.1</v>
      </c>
      <c r="C67" s="76" t="s">
        <v>38</v>
      </c>
      <c r="D67" s="261">
        <f t="shared" si="3"/>
        <v>62.1</v>
      </c>
      <c r="E67" s="77">
        <f>ROUND(G67/G66*E66,0)</f>
        <v>32991</v>
      </c>
      <c r="F67" s="78">
        <f>INDEX(Turísticas!$A$5:$AA$13,MATCH("Miramar",Turísticas!$A$5:$A$13,0),MATCH(Verif!F$4,Turísticas!$B$4:$AA$4,0)+1)</f>
        <v>39789</v>
      </c>
      <c r="G67" s="78">
        <f>INDEX(Turísticas!$A$5:$AA$13,MATCH("Miramar",Turísticas!$A$5:$A$13,0),MATCH(Verif!G$4,Turísticas!$B$4:$AA$4,0)+1)</f>
        <v>40370</v>
      </c>
      <c r="H67" s="78">
        <f>INDEX(Turísticas!$A$5:$AA$13,MATCH("Miramar",Turísticas!$A$5:$A$13,0),MATCH(Verif!H$4,Turísticas!$B$4:$AA$4,0)+1)</f>
        <v>42113</v>
      </c>
      <c r="I67" s="78">
        <f>INDEX(Turísticas!$A$5:$AA$13,MATCH("Miramar",Turísticas!$A$5:$A$13,0),MATCH(Verif!I$4,Turísticas!$B$4:$AA$4,0)+1)</f>
        <v>42694</v>
      </c>
      <c r="J67" s="78">
        <f>INDEX(Turísticas!$A$5:$AA$13,MATCH("Miramar",Turísticas!$A$5:$A$13,0),MATCH(Verif!J$4,Turísticas!$B$4:$AA$4,0)+1)</f>
        <v>43275</v>
      </c>
      <c r="K67" s="78">
        <f>INDEX(Turísticas!$A$5:$AA$13,MATCH("Miramar",Turísticas!$A$5:$A$13,0),MATCH(Verif!K$4,Turísticas!$B$4:$AA$4,0)+1)</f>
        <v>43856</v>
      </c>
      <c r="L67" s="78">
        <f>INDEX(Turísticas!$A$5:$AA$13,MATCH("Miramar",Turísticas!$A$5:$A$13,0),MATCH(Verif!L$4,Turísticas!$B$4:$AA$4,0)+1)</f>
        <v>44437</v>
      </c>
      <c r="M67" s="78">
        <f>INDEX(Turísticas!$A$5:$AA$13,MATCH("Miramar",Turísticas!$A$5:$A$13,0),MATCH(Verif!M$4,Turísticas!$B$4:$AA$4,0)+1)</f>
        <v>45018</v>
      </c>
      <c r="N67" s="78">
        <f>INDEX(Turísticas!$A$5:$AA$13,MATCH("Miramar",Turísticas!$A$5:$A$13,0),MATCH(Verif!N$4,Turísticas!$B$4:$AA$4,0)+1)</f>
        <v>45599</v>
      </c>
      <c r="O67" s="78">
        <f>INDEX(Turísticas!$A$5:$AA$13,MATCH("Miramar",Turísticas!$A$5:$A$13,0),MATCH(Verif!O$4,Turísticas!$B$4:$AA$4,0)+1)</f>
        <v>46180</v>
      </c>
      <c r="P67" s="78">
        <f>INDEX(Turísticas!$A$5:$AA$13,MATCH("Miramar",Turísticas!$A$5:$A$13,0),MATCH(Verif!P$4,Turísticas!$B$4:$AA$4,0)+1)</f>
        <v>46761</v>
      </c>
      <c r="Q67" s="78">
        <f>INDEX(Turísticas!$A$5:$AA$13,MATCH("Miramar",Turísticas!$A$5:$A$13,0),MATCH(Verif!Q$4,Turísticas!$B$4:$AA$4,0)+1)</f>
        <v>47342</v>
      </c>
      <c r="R67" s="78">
        <f>INDEX(Turísticas!$A$5:$AA$13,MATCH("Miramar",Turísticas!$A$5:$A$13,0),MATCH(Verif!R$4,Turísticas!$B$4:$AA$4,0)+1)</f>
        <v>47923</v>
      </c>
      <c r="S67" s="78">
        <f>INDEX(Turísticas!$A$5:$AA$13,MATCH("Miramar",Turísticas!$A$5:$A$13,0),MATCH(Verif!S$4,Turísticas!$B$4:$AA$4,0)+1)</f>
        <v>48504</v>
      </c>
      <c r="T67" s="78">
        <f>INDEX(Turísticas!$A$5:$AA$13,MATCH("Miramar",Turísticas!$A$5:$A$13,0),MATCH(Verif!T$4,Turísticas!$B$4:$AA$4,0)+1)</f>
        <v>49085</v>
      </c>
      <c r="U67" s="78">
        <f>INDEX(Turísticas!$A$5:$AA$13,MATCH("Miramar",Turísticas!$A$5:$A$13,0),MATCH(Verif!U$4,Turísticas!$B$4:$AA$4,0)+1)</f>
        <v>49666</v>
      </c>
      <c r="V67" s="78">
        <f>INDEX(Turísticas!$A$5:$AA$13,MATCH("Miramar",Turísticas!$A$5:$A$13,0),MATCH(Verif!V$4,Turísticas!$B$4:$AA$4,0)+1)</f>
        <v>50247</v>
      </c>
      <c r="W67" s="78">
        <f>INDEX(Turísticas!$A$5:$AA$13,MATCH("Miramar",Turísticas!$A$5:$A$13,0),MATCH(Verif!W$4,Turísticas!$B$4:$AA$4,0)+1)</f>
        <v>50828</v>
      </c>
      <c r="X67" s="78">
        <f>INDEX(Turísticas!$A$5:$AA$13,MATCH("Miramar",Turísticas!$A$5:$A$13,0),MATCH(Verif!X$4,Turísticas!$B$4:$AA$4,0)+1)</f>
        <v>51409</v>
      </c>
      <c r="Y67" s="78">
        <f>INDEX(Turísticas!$A$5:$AA$13,MATCH("Miramar",Turísticas!$A$5:$A$13,0),MATCH(Verif!Y$4,Turísticas!$B$4:$AA$4,0)+1)</f>
        <v>51990</v>
      </c>
      <c r="Z67" s="78">
        <f>INDEX(Turísticas!$A$5:$AA$13,MATCH("Miramar",Turísticas!$A$5:$A$13,0),MATCH(Verif!Z$4,Turísticas!$B$4:$AA$4,0)+1)</f>
        <v>52571</v>
      </c>
      <c r="AA67" s="78">
        <f>INDEX(Turísticas!$A$5:$AA$13,MATCH("Miramar",Turísticas!$A$5:$A$13,0),MATCH(Verif!AA$4,Turísticas!$B$4:$AA$4,0)+1)</f>
        <v>53152</v>
      </c>
      <c r="AB67" s="79" t="s">
        <v>39</v>
      </c>
      <c r="AC67" s="80"/>
      <c r="AD67" s="51" t="str">
        <f>IF(AB67="TGD",Proyeccion_Localidades!Z67,"-")</f>
        <v>-</v>
      </c>
      <c r="AE67" s="51" t="str">
        <f>IF($AB67="ALTH",Proyeccion_Localidades!AA67,"-")</f>
        <v>-</v>
      </c>
      <c r="AF67" s="51" t="str">
        <f>IF($AB67="ALTH",Proyeccion_Localidades!AB67,"-")</f>
        <v>-</v>
      </c>
      <c r="AG67" s="81"/>
      <c r="AH67" s="81"/>
      <c r="AI67" s="82">
        <f t="shared" si="2"/>
        <v>40370</v>
      </c>
      <c r="AJ67" s="83"/>
    </row>
    <row r="68" spans="1:36" ht="24.95" customHeight="1">
      <c r="A68" s="84" t="str">
        <f>+Proyeccion_Localidades!C68</f>
        <v>General Alvear</v>
      </c>
      <c r="B68" s="70">
        <f>+B66+1</f>
        <v>63</v>
      </c>
      <c r="C68" s="71" t="str">
        <f>+Proyeccion_Localidades!B68</f>
        <v>General Alvear</v>
      </c>
      <c r="D68" s="261">
        <f t="shared" si="3"/>
        <v>63</v>
      </c>
      <c r="E68" s="72">
        <f>+Proyeccion_Localidades!F68</f>
        <v>9812</v>
      </c>
      <c r="F68" s="66">
        <f>IF($AB68="TGD",ROUND($E68*(1+$AD68)^(F$4-$E$4),0),IF($AB68="ALTH",ROUND($AE68+$AF68*F$4,0),IF($AB68="IR",ROUND(Proyeccion_Localidades!AC68,0),IF($AB68="RT",ROUND(Proyeccion_Localidades!AZ68,0),"*****"))))</f>
        <v>10175</v>
      </c>
      <c r="G68" s="66">
        <f>IF($AB68="TGD",ROUND($E68*(1+$AD68)^(G$4-$E$4),0),IF($AB68="ALTH",ROUND($AE68+$AF68*G$4,0),IF($AB68="IR",ROUND(Proyeccion_Localidades!AD68,0),IF($AB68="RT",ROUND(Proyeccion_Localidades!BA68,0),"*****"))))</f>
        <v>10206</v>
      </c>
      <c r="H68" s="66">
        <f>IF($AB68="TGD",ROUND($E68*(1+$AD68)^(H$4-$E$4),0),IF($AB68="ALTH",ROUND($AE68+$AF68*H$4,0),IF($AB68="IR",ROUND(Proyeccion_Localidades!AE68,0),IF($AB68="RT",ROUND(Proyeccion_Localidades!BB68,0),"*****"))))</f>
        <v>10299</v>
      </c>
      <c r="I68" s="66">
        <f>IF($AB68="TGD",ROUND($E68*(1+$AD68)^(I$4-$E$4),0),IF($AB68="ALTH",ROUND($AE68+$AF68*I$4,0),IF($AB68="IR",ROUND(Proyeccion_Localidades!AF68,0),IF($AB68="RT",ROUND(Proyeccion_Localidades!BC68,0),"*****"))))</f>
        <v>10331</v>
      </c>
      <c r="J68" s="66">
        <f>IF($AB68="TGD",ROUND($E68*(1+$AD68)^(J$4-$E$4),0),IF($AB68="ALTH",ROUND($AE68+$AF68*J$4,0),IF($AB68="IR",ROUND(Proyeccion_Localidades!AG68,0),IF($AB68="RT",ROUND(Proyeccion_Localidades!BD68,0),"*****"))))</f>
        <v>10362</v>
      </c>
      <c r="K68" s="66">
        <f>IF($AB68="TGD",ROUND($E68*(1+$AD68)^(K$4-$E$4),0),IF($AB68="ALTH",ROUND($AE68+$AF68*K$4,0),IF($AB68="IR",ROUND(Proyeccion_Localidades!AH68,0),IF($AB68="RT",ROUND(Proyeccion_Localidades!BE68,0),"*****"))))</f>
        <v>10394</v>
      </c>
      <c r="L68" s="66">
        <f>IF($AB68="TGD",ROUND($E68*(1+$AD68)^(L$4-$E$4),0),IF($AB68="ALTH",ROUND($AE68+$AF68*L$4,0),IF($AB68="IR",ROUND(Proyeccion_Localidades!AI68,0),IF($AB68="RT",ROUND(Proyeccion_Localidades!BF68,0),"*****"))))</f>
        <v>10425</v>
      </c>
      <c r="M68" s="66">
        <f>IF($AB68="TGD",ROUND($E68*(1+$AD68)^(M$4-$E$4),0),IF($AB68="ALTH",ROUND($AE68+$AF68*M$4,0),IF($AB68="IR",ROUND(Proyeccion_Localidades!AJ68,0),IF($AB68="RT",ROUND(Proyeccion_Localidades!BG68,0),"*****"))))</f>
        <v>10457</v>
      </c>
      <c r="N68" s="66">
        <f>IF($AB68="TGD",ROUND($E68*(1+$AD68)^(N$4-$E$4),0),IF($AB68="ALTH",ROUND($AE68+$AF68*N$4,0),IF($AB68="IR",ROUND(Proyeccion_Localidades!AK68,0),IF($AB68="RT",ROUND(Proyeccion_Localidades!BH68,0),"*****"))))</f>
        <v>10488</v>
      </c>
      <c r="O68" s="66">
        <f>IF($AB68="TGD",ROUND($E68*(1+$AD68)^(O$4-$E$4),0),IF($AB68="ALTH",ROUND($AE68+$AF68*O$4,0),IF($AB68="IR",ROUND(Proyeccion_Localidades!AL68,0),IF($AB68="RT",ROUND(Proyeccion_Localidades!BI68,0),"*****"))))</f>
        <v>10520</v>
      </c>
      <c r="P68" s="66">
        <f>IF($AB68="TGD",ROUND($E68*(1+$AD68)^(P$4-$E$4),0),IF($AB68="ALTH",ROUND($AE68+$AF68*P$4,0),IF($AB68="IR",ROUND(Proyeccion_Localidades!AM68,0),IF($AB68="RT",ROUND(Proyeccion_Localidades!BJ68,0),"*****"))))</f>
        <v>10552</v>
      </c>
      <c r="Q68" s="66">
        <f>IF($AB68="TGD",ROUND($E68*(1+$AD68)^(Q$4-$E$4),0),IF($AB68="ALTH",ROUND($AE68+$AF68*Q$4,0),IF($AB68="IR",ROUND(Proyeccion_Localidades!AN68,0),IF($AB68="RT",ROUND(Proyeccion_Localidades!BK68,0),"*****"))))</f>
        <v>10584</v>
      </c>
      <c r="R68" s="66">
        <f>IF($AB68="TGD",ROUND($E68*(1+$AD68)^(R$4-$E$4),0),IF($AB68="ALTH",ROUND($AE68+$AF68*R$4,0),IF($AB68="IR",ROUND(Proyeccion_Localidades!AO68,0),IF($AB68="RT",ROUND(Proyeccion_Localidades!BL68,0),"*****"))))</f>
        <v>10616</v>
      </c>
      <c r="S68" s="66">
        <f>IF($AB68="TGD",ROUND($E68*(1+$AD68)^(S$4-$E$4),0),IF($AB68="ALTH",ROUND($AE68+$AF68*S$4,0),IF($AB68="IR",ROUND(Proyeccion_Localidades!AP68,0),IF($AB68="RT",ROUND(Proyeccion_Localidades!BM68,0),"*****"))))</f>
        <v>10649</v>
      </c>
      <c r="T68" s="66">
        <f>IF($AB68="TGD",ROUND($E68*(1+$AD68)^(T$4-$E$4),0),IF($AB68="ALTH",ROUND($AE68+$AF68*T$4,0),IF($AB68="IR",ROUND(Proyeccion_Localidades!AQ68,0),IF($AB68="RT",ROUND(Proyeccion_Localidades!BN68,0),"*****"))))</f>
        <v>10681</v>
      </c>
      <c r="U68" s="66">
        <f>IF($AB68="TGD",ROUND($E68*(1+$AD68)^(U$4-$E$4),0),IF($AB68="ALTH",ROUND($AE68+$AF68*U$4,0),IF($AB68="IR",ROUND(Proyeccion_Localidades!AR68,0),IF($AB68="RT",ROUND(Proyeccion_Localidades!BO68,0),"*****"))))</f>
        <v>10713</v>
      </c>
      <c r="V68" s="66">
        <f>IF($AB68="TGD",ROUND($E68*(1+$AD68)^(V$4-$E$4),0),IF($AB68="ALTH",ROUND($AE68+$AF68*V$4,0),IF($AB68="IR",ROUND(Proyeccion_Localidades!AS68,0),IF($AB68="RT",ROUND(Proyeccion_Localidades!BP68,0),"*****"))))</f>
        <v>10746</v>
      </c>
      <c r="W68" s="66">
        <f>IF($AB68="TGD",ROUND($E68*(1+$AD68)^(W$4-$E$4),0),IF($AB68="ALTH",ROUND($AE68+$AF68*W$4,0),IF($AB68="IR",ROUND(Proyeccion_Localidades!AT68,0),IF($AB68="RT",ROUND(Proyeccion_Localidades!BQ68,0),"*****"))))</f>
        <v>10778</v>
      </c>
      <c r="X68" s="66">
        <f>IF($AB68="TGD",ROUND($E68*(1+$AD68)^(X$4-$E$4),0),IF($AB68="ALTH",ROUND($AE68+$AF68*X$4,0),IF($AB68="IR",ROUND(Proyeccion_Localidades!AU68,0),IF($AB68="RT",ROUND(Proyeccion_Localidades!BR68,0),"*****"))))</f>
        <v>10811</v>
      </c>
      <c r="Y68" s="66">
        <f>IF($AB68="TGD",ROUND($E68*(1+$AD68)^(Y$4-$E$4),0),IF($AB68="ALTH",ROUND($AE68+$AF68*Y$4,0),IF($AB68="IR",ROUND(Proyeccion_Localidades!AV68,0),IF($AB68="RT",ROUND(Proyeccion_Localidades!BS68,0),"*****"))))</f>
        <v>10844</v>
      </c>
      <c r="Z68" s="66">
        <f>IF($AB68="TGD",ROUND($E68*(1+$AD68)^(Z$4-$E$4),0),IF($AB68="ALTH",ROUND($AE68+$AF68*Z$4,0),IF($AB68="IR",ROUND(Proyeccion_Localidades!AW68,0),IF($AB68="RT",ROUND(Proyeccion_Localidades!BT68,0),"*****"))))</f>
        <v>10877</v>
      </c>
      <c r="AA68" s="66">
        <f>IF($AB68="TGD",ROUND($E68*(1+$AD68)^(AA$4-$E$4),0),IF($AB68="ALTH",ROUND($AE68+$AF68*AA$4,0),IF($AB68="IR",ROUND(Proyeccion_Localidades!AX68,0),IF($AB68="RT",ROUND(Proyeccion_Localidades!BU68,0),"*****"))))</f>
        <v>10910</v>
      </c>
      <c r="AB68" s="67" t="str">
        <f>Proyeccion_Localidades!N68</f>
        <v>TGD</v>
      </c>
      <c r="AC68" s="68" t="s">
        <v>35</v>
      </c>
      <c r="AD68" s="51">
        <f>IF(AB68="TGD",Proyeccion_Localidades!Z68,"-")</f>
        <v>3.0350874595734822E-3</v>
      </c>
      <c r="AE68" s="51" t="str">
        <f>IF($AB68="ALTH",Proyeccion_Localidades!AA68,"-")</f>
        <v>-</v>
      </c>
      <c r="AF68" s="51" t="str">
        <f>IF($AB68="ALTH",Proyeccion_Localidades!AB68,"-")</f>
        <v>-</v>
      </c>
      <c r="AG68" s="51"/>
      <c r="AH68" s="51"/>
      <c r="AI68" s="66">
        <f t="shared" si="2"/>
        <v>10206</v>
      </c>
    </row>
    <row r="69" spans="1:36" ht="24.95" customHeight="1">
      <c r="A69" s="84" t="str">
        <f>+Proyeccion_Localidades!C69</f>
        <v>General Arenales</v>
      </c>
      <c r="B69" s="70">
        <f t="shared" si="4"/>
        <v>64</v>
      </c>
      <c r="C69" s="71" t="str">
        <f>+Proyeccion_Localidades!B69</f>
        <v>General Arenales</v>
      </c>
      <c r="D69" s="261">
        <f t="shared" si="3"/>
        <v>64</v>
      </c>
      <c r="E69" s="72">
        <f>+Proyeccion_Localidades!F69</f>
        <v>4321</v>
      </c>
      <c r="F69" s="66">
        <f>IF($AB69="TGD",ROUND($E69*(1+$AD69)^(F$4-$E$4),0),IF($AB69="ALTH",ROUND($AE69+$AF69*F$4,0),IF($AB69="IR",ROUND(Proyeccion_Localidades!AC69,0),IF($AB69="RT",ROUND(Proyeccion_Localidades!AZ69,0),"*****"))))</f>
        <v>4823</v>
      </c>
      <c r="G69" s="66">
        <f>IF($AB69="TGD",ROUND($E69*(1+$AD69)^(G$4-$E$4),0),IF($AB69="ALTH",ROUND($AE69+$AF69*G$4,0),IF($AB69="IR",ROUND(Proyeccion_Localidades!AD69,0),IF($AB69="RT",ROUND(Proyeccion_Localidades!BA69,0),"*****"))))</f>
        <v>4864</v>
      </c>
      <c r="H69" s="66">
        <f>IF($AB69="TGD",ROUND($E69*(1+$AD69)^(H$4-$E$4),0),IF($AB69="ALTH",ROUND($AE69+$AF69*H$4,0),IF($AB69="IR",ROUND(Proyeccion_Localidades!AE69,0),IF($AB69="RT",ROUND(Proyeccion_Localidades!BB69,0),"*****"))))</f>
        <v>4988</v>
      </c>
      <c r="I69" s="66">
        <f>IF($AB69="TGD",ROUND($E69*(1+$AD69)^(I$4-$E$4),0),IF($AB69="ALTH",ROUND($AE69+$AF69*I$4,0),IF($AB69="IR",ROUND(Proyeccion_Localidades!AF69,0),IF($AB69="RT",ROUND(Proyeccion_Localidades!BC69,0),"*****"))))</f>
        <v>5029</v>
      </c>
      <c r="J69" s="66">
        <f>IF($AB69="TGD",ROUND($E69*(1+$AD69)^(J$4-$E$4),0),IF($AB69="ALTH",ROUND($AE69+$AF69*J$4,0),IF($AB69="IR",ROUND(Proyeccion_Localidades!AG69,0),IF($AB69="RT",ROUND(Proyeccion_Localidades!BD69,0),"*****"))))</f>
        <v>5070</v>
      </c>
      <c r="K69" s="66">
        <f>IF($AB69="TGD",ROUND($E69*(1+$AD69)^(K$4-$E$4),0),IF($AB69="ALTH",ROUND($AE69+$AF69*K$4,0),IF($AB69="IR",ROUND(Proyeccion_Localidades!AH69,0),IF($AB69="RT",ROUND(Proyeccion_Localidades!BE69,0),"*****"))))</f>
        <v>5112</v>
      </c>
      <c r="L69" s="66">
        <f>IF($AB69="TGD",ROUND($E69*(1+$AD69)^(L$4-$E$4),0),IF($AB69="ALTH",ROUND($AE69+$AF69*L$4,0),IF($AB69="IR",ROUND(Proyeccion_Localidades!AI69,0),IF($AB69="RT",ROUND(Proyeccion_Localidades!BF69,0),"*****"))))</f>
        <v>5153</v>
      </c>
      <c r="M69" s="66">
        <f>IF($AB69="TGD",ROUND($E69*(1+$AD69)^(M$4-$E$4),0),IF($AB69="ALTH",ROUND($AE69+$AF69*M$4,0),IF($AB69="IR",ROUND(Proyeccion_Localidades!AJ69,0),IF($AB69="RT",ROUND(Proyeccion_Localidades!BG69,0),"*****"))))</f>
        <v>5194</v>
      </c>
      <c r="N69" s="66">
        <f>IF($AB69="TGD",ROUND($E69*(1+$AD69)^(N$4-$E$4),0),IF($AB69="ALTH",ROUND($AE69+$AF69*N$4,0),IF($AB69="IR",ROUND(Proyeccion_Localidades!AK69,0),IF($AB69="RT",ROUND(Proyeccion_Localidades!BH69,0),"*****"))))</f>
        <v>5235</v>
      </c>
      <c r="O69" s="66">
        <f>IF($AB69="TGD",ROUND($E69*(1+$AD69)^(O$4-$E$4),0),IF($AB69="ALTH",ROUND($AE69+$AF69*O$4,0),IF($AB69="IR",ROUND(Proyeccion_Localidades!AL69,0),IF($AB69="RT",ROUND(Proyeccion_Localidades!BI69,0),"*****"))))</f>
        <v>5276</v>
      </c>
      <c r="P69" s="66">
        <f>IF($AB69="TGD",ROUND($E69*(1+$AD69)^(P$4-$E$4),0),IF($AB69="ALTH",ROUND($AE69+$AF69*P$4,0),IF($AB69="IR",ROUND(Proyeccion_Localidades!AM69,0),IF($AB69="RT",ROUND(Proyeccion_Localidades!BJ69,0),"*****"))))</f>
        <v>5318</v>
      </c>
      <c r="Q69" s="66">
        <f>IF($AB69="TGD",ROUND($E69*(1+$AD69)^(Q$4-$E$4),0),IF($AB69="ALTH",ROUND($AE69+$AF69*Q$4,0),IF($AB69="IR",ROUND(Proyeccion_Localidades!AN69,0),IF($AB69="RT",ROUND(Proyeccion_Localidades!BK69,0),"*****"))))</f>
        <v>5359</v>
      </c>
      <c r="R69" s="66">
        <f>IF($AB69="TGD",ROUND($E69*(1+$AD69)^(R$4-$E$4),0),IF($AB69="ALTH",ROUND($AE69+$AF69*R$4,0),IF($AB69="IR",ROUND(Proyeccion_Localidades!AO69,0),IF($AB69="RT",ROUND(Proyeccion_Localidades!BL69,0),"*****"))))</f>
        <v>5400</v>
      </c>
      <c r="S69" s="66">
        <f>IF($AB69="TGD",ROUND($E69*(1+$AD69)^(S$4-$E$4),0),IF($AB69="ALTH",ROUND($AE69+$AF69*S$4,0),IF($AB69="IR",ROUND(Proyeccion_Localidades!AP69,0),IF($AB69="RT",ROUND(Proyeccion_Localidades!BM69,0),"*****"))))</f>
        <v>5441</v>
      </c>
      <c r="T69" s="66">
        <f>IF($AB69="TGD",ROUND($E69*(1+$AD69)^(T$4-$E$4),0),IF($AB69="ALTH",ROUND($AE69+$AF69*T$4,0),IF($AB69="IR",ROUND(Proyeccion_Localidades!AQ69,0),IF($AB69="RT",ROUND(Proyeccion_Localidades!BN69,0),"*****"))))</f>
        <v>5482</v>
      </c>
      <c r="U69" s="66">
        <f>IF($AB69="TGD",ROUND($E69*(1+$AD69)^(U$4-$E$4),0),IF($AB69="ALTH",ROUND($AE69+$AF69*U$4,0),IF($AB69="IR",ROUND(Proyeccion_Localidades!AR69,0),IF($AB69="RT",ROUND(Proyeccion_Localidades!BO69,0),"*****"))))</f>
        <v>5524</v>
      </c>
      <c r="V69" s="66">
        <f>IF($AB69="TGD",ROUND($E69*(1+$AD69)^(V$4-$E$4),0),IF($AB69="ALTH",ROUND($AE69+$AF69*V$4,0),IF($AB69="IR",ROUND(Proyeccion_Localidades!AS69,0),IF($AB69="RT",ROUND(Proyeccion_Localidades!BP69,0),"*****"))))</f>
        <v>5565</v>
      </c>
      <c r="W69" s="66">
        <f>IF($AB69="TGD",ROUND($E69*(1+$AD69)^(W$4-$E$4),0),IF($AB69="ALTH",ROUND($AE69+$AF69*W$4,0),IF($AB69="IR",ROUND(Proyeccion_Localidades!AT69,0),IF($AB69="RT",ROUND(Proyeccion_Localidades!BQ69,0),"*****"))))</f>
        <v>5606</v>
      </c>
      <c r="X69" s="66">
        <f>IF($AB69="TGD",ROUND($E69*(1+$AD69)^(X$4-$E$4),0),IF($AB69="ALTH",ROUND($AE69+$AF69*X$4,0),IF($AB69="IR",ROUND(Proyeccion_Localidades!AU69,0),IF($AB69="RT",ROUND(Proyeccion_Localidades!BR69,0),"*****"))))</f>
        <v>5647</v>
      </c>
      <c r="Y69" s="66">
        <f>IF($AB69="TGD",ROUND($E69*(1+$AD69)^(Y$4-$E$4),0),IF($AB69="ALTH",ROUND($AE69+$AF69*Y$4,0),IF($AB69="IR",ROUND(Proyeccion_Localidades!AV69,0),IF($AB69="RT",ROUND(Proyeccion_Localidades!BS69,0),"*****"))))</f>
        <v>5688</v>
      </c>
      <c r="Z69" s="66">
        <f>IF($AB69="TGD",ROUND($E69*(1+$AD69)^(Z$4-$E$4),0),IF($AB69="ALTH",ROUND($AE69+$AF69*Z$4,0),IF($AB69="IR",ROUND(Proyeccion_Localidades!AW69,0),IF($AB69="RT",ROUND(Proyeccion_Localidades!BT69,0),"*****"))))</f>
        <v>5730</v>
      </c>
      <c r="AA69" s="66">
        <f>IF($AB69="TGD",ROUND($E69*(1+$AD69)^(AA$4-$E$4),0),IF($AB69="ALTH",ROUND($AE69+$AF69*AA$4,0),IF($AB69="IR",ROUND(Proyeccion_Localidades!AX69,0),IF($AB69="RT",ROUND(Proyeccion_Localidades!BU69,0),"*****"))))</f>
        <v>5771</v>
      </c>
      <c r="AB69" s="67" t="str">
        <f>Proyeccion_Localidades!N69</f>
        <v>ALTH</v>
      </c>
      <c r="AC69" s="68" t="s">
        <v>36</v>
      </c>
      <c r="AD69" s="51" t="str">
        <f>IF(AB69="TGD",Proyeccion_Localidades!Z69,"-")</f>
        <v>-</v>
      </c>
      <c r="AE69" s="51">
        <f>IF($AB69="ALTH",Proyeccion_Localidades!AA69,"-")</f>
        <v>-78481.656826568273</v>
      </c>
      <c r="AF69" s="51">
        <f>IF($AB69="ALTH",Proyeccion_Localidades!AB69,"-")</f>
        <v>41.199261992619924</v>
      </c>
      <c r="AG69" s="51"/>
      <c r="AH69" s="51"/>
      <c r="AI69" s="66">
        <f t="shared" si="2"/>
        <v>4864</v>
      </c>
    </row>
    <row r="70" spans="1:36" ht="24.95" customHeight="1">
      <c r="A70" s="84" t="str">
        <f>+Proyeccion_Localidades!C70</f>
        <v>General Belgrano</v>
      </c>
      <c r="B70" s="70">
        <f t="shared" si="4"/>
        <v>65</v>
      </c>
      <c r="C70" s="71" t="str">
        <f>+Proyeccion_Localidades!B70</f>
        <v>General Belgrano</v>
      </c>
      <c r="D70" s="261">
        <f t="shared" si="3"/>
        <v>65</v>
      </c>
      <c r="E70" s="72">
        <f>+Proyeccion_Localidades!F70</f>
        <v>15394</v>
      </c>
      <c r="F70" s="66">
        <f>IF($AB70="TGD",ROUND($E70*(1+$AD70)^(F$4-$E$4),0),IF($AB70="ALTH",ROUND($AE70+$AF70*F$4,0),IF($AB70="IR",ROUND(Proyeccion_Localidades!AC70,0),IF($AB70="RT",ROUND(Proyeccion_Localidades!AZ70,0),"*****"))))</f>
        <v>18310</v>
      </c>
      <c r="G70" s="66">
        <f>IF($AB70="TGD",ROUND($E70*(1+$AD70)^(G$4-$E$4),0),IF($AB70="ALTH",ROUND($AE70+$AF70*G$4,0),IF($AB70="IR",ROUND(Proyeccion_Localidades!AD70,0),IF($AB70="RT",ROUND(Proyeccion_Localidades!BA70,0),"*****"))))</f>
        <v>18577</v>
      </c>
      <c r="H70" s="66">
        <f>IF($AB70="TGD",ROUND($E70*(1+$AD70)^(H$4-$E$4),0),IF($AB70="ALTH",ROUND($AE70+$AF70*H$4,0),IF($AB70="IR",ROUND(Proyeccion_Localidades!AE70,0),IF($AB70="RT",ROUND(Proyeccion_Localidades!BB70,0),"*****"))))</f>
        <v>19400</v>
      </c>
      <c r="I70" s="66">
        <f>IF($AB70="TGD",ROUND($E70*(1+$AD70)^(I$4-$E$4),0),IF($AB70="ALTH",ROUND($AE70+$AF70*I$4,0),IF($AB70="IR",ROUND(Proyeccion_Localidades!AF70,0),IF($AB70="RT",ROUND(Proyeccion_Localidades!BC70,0),"*****"))))</f>
        <v>19682</v>
      </c>
      <c r="J70" s="66">
        <f>IF($AB70="TGD",ROUND($E70*(1+$AD70)^(J$4-$E$4),0),IF($AB70="ALTH",ROUND($AE70+$AF70*J$4,0),IF($AB70="IR",ROUND(Proyeccion_Localidades!AG70,0),IF($AB70="RT",ROUND(Proyeccion_Localidades!BD70,0),"*****"))))</f>
        <v>19969</v>
      </c>
      <c r="K70" s="66">
        <f>IF($AB70="TGD",ROUND($E70*(1+$AD70)^(K$4-$E$4),0),IF($AB70="ALTH",ROUND($AE70+$AF70*K$4,0),IF($AB70="IR",ROUND(Proyeccion_Localidades!AH70,0),IF($AB70="RT",ROUND(Proyeccion_Localidades!BE70,0),"*****"))))</f>
        <v>20260</v>
      </c>
      <c r="L70" s="66">
        <f>IF($AB70="TGD",ROUND($E70*(1+$AD70)^(L$4-$E$4),0),IF($AB70="ALTH",ROUND($AE70+$AF70*L$4,0),IF($AB70="IR",ROUND(Proyeccion_Localidades!AI70,0),IF($AB70="RT",ROUND(Proyeccion_Localidades!BF70,0),"*****"))))</f>
        <v>20555</v>
      </c>
      <c r="M70" s="66">
        <f>IF($AB70="TGD",ROUND($E70*(1+$AD70)^(M$4-$E$4),0),IF($AB70="ALTH",ROUND($AE70+$AF70*M$4,0),IF($AB70="IR",ROUND(Proyeccion_Localidades!AJ70,0),IF($AB70="RT",ROUND(Proyeccion_Localidades!BG70,0),"*****"))))</f>
        <v>20854</v>
      </c>
      <c r="N70" s="66">
        <f>IF($AB70="TGD",ROUND($E70*(1+$AD70)^(N$4-$E$4),0),IF($AB70="ALTH",ROUND($AE70+$AF70*N$4,0),IF($AB70="IR",ROUND(Proyeccion_Localidades!AK70,0),IF($AB70="RT",ROUND(Proyeccion_Localidades!BH70,0),"*****"))))</f>
        <v>21158</v>
      </c>
      <c r="O70" s="66">
        <f>IF($AB70="TGD",ROUND($E70*(1+$AD70)^(O$4-$E$4),0),IF($AB70="ALTH",ROUND($AE70+$AF70*O$4,0),IF($AB70="IR",ROUND(Proyeccion_Localidades!AL70,0),IF($AB70="RT",ROUND(Proyeccion_Localidades!BI70,0),"*****"))))</f>
        <v>21466</v>
      </c>
      <c r="P70" s="66">
        <f>IF($AB70="TGD",ROUND($E70*(1+$AD70)^(P$4-$E$4),0),IF($AB70="ALTH",ROUND($AE70+$AF70*P$4,0),IF($AB70="IR",ROUND(Proyeccion_Localidades!AM70,0),IF($AB70="RT",ROUND(Proyeccion_Localidades!BJ70,0),"*****"))))</f>
        <v>21778</v>
      </c>
      <c r="Q70" s="66">
        <f>IF($AB70="TGD",ROUND($E70*(1+$AD70)^(Q$4-$E$4),0),IF($AB70="ALTH",ROUND($AE70+$AF70*Q$4,0),IF($AB70="IR",ROUND(Proyeccion_Localidades!AN70,0),IF($AB70="RT",ROUND(Proyeccion_Localidades!BK70,0),"*****"))))</f>
        <v>22096</v>
      </c>
      <c r="R70" s="66">
        <f>IF($AB70="TGD",ROUND($E70*(1+$AD70)^(R$4-$E$4),0),IF($AB70="ALTH",ROUND($AE70+$AF70*R$4,0),IF($AB70="IR",ROUND(Proyeccion_Localidades!AO70,0),IF($AB70="RT",ROUND(Proyeccion_Localidades!BL70,0),"*****"))))</f>
        <v>22417</v>
      </c>
      <c r="S70" s="66">
        <f>IF($AB70="TGD",ROUND($E70*(1+$AD70)^(S$4-$E$4),0),IF($AB70="ALTH",ROUND($AE70+$AF70*S$4,0),IF($AB70="IR",ROUND(Proyeccion_Localidades!AP70,0),IF($AB70="RT",ROUND(Proyeccion_Localidades!BM70,0),"*****"))))</f>
        <v>22744</v>
      </c>
      <c r="T70" s="66">
        <f>IF($AB70="TGD",ROUND($E70*(1+$AD70)^(T$4-$E$4),0),IF($AB70="ALTH",ROUND($AE70+$AF70*T$4,0),IF($AB70="IR",ROUND(Proyeccion_Localidades!AQ70,0),IF($AB70="RT",ROUND(Proyeccion_Localidades!BN70,0),"*****"))))</f>
        <v>23075</v>
      </c>
      <c r="U70" s="66">
        <f>IF($AB70="TGD",ROUND($E70*(1+$AD70)^(U$4-$E$4),0),IF($AB70="ALTH",ROUND($AE70+$AF70*U$4,0),IF($AB70="IR",ROUND(Proyeccion_Localidades!AR70,0),IF($AB70="RT",ROUND(Proyeccion_Localidades!BO70,0),"*****"))))</f>
        <v>23411</v>
      </c>
      <c r="V70" s="66">
        <f>IF($AB70="TGD",ROUND($E70*(1+$AD70)^(V$4-$E$4),0),IF($AB70="ALTH",ROUND($AE70+$AF70*V$4,0),IF($AB70="IR",ROUND(Proyeccion_Localidades!AS70,0),IF($AB70="RT",ROUND(Proyeccion_Localidades!BP70,0),"*****"))))</f>
        <v>23752</v>
      </c>
      <c r="W70" s="66">
        <f>IF($AB70="TGD",ROUND($E70*(1+$AD70)^(W$4-$E$4),0),IF($AB70="ALTH",ROUND($AE70+$AF70*W$4,0),IF($AB70="IR",ROUND(Proyeccion_Localidades!AT70,0),IF($AB70="RT",ROUND(Proyeccion_Localidades!BQ70,0),"*****"))))</f>
        <v>24098</v>
      </c>
      <c r="X70" s="66">
        <f>IF($AB70="TGD",ROUND($E70*(1+$AD70)^(X$4-$E$4),0),IF($AB70="ALTH",ROUND($AE70+$AF70*X$4,0),IF($AB70="IR",ROUND(Proyeccion_Localidades!AU70,0),IF($AB70="RT",ROUND(Proyeccion_Localidades!BR70,0),"*****"))))</f>
        <v>24448</v>
      </c>
      <c r="Y70" s="66">
        <f>IF($AB70="TGD",ROUND($E70*(1+$AD70)^(Y$4-$E$4),0),IF($AB70="ALTH",ROUND($AE70+$AF70*Y$4,0),IF($AB70="IR",ROUND(Proyeccion_Localidades!AV70,0),IF($AB70="RT",ROUND(Proyeccion_Localidades!BS70,0),"*****"))))</f>
        <v>24804</v>
      </c>
      <c r="Z70" s="66">
        <f>IF($AB70="TGD",ROUND($E70*(1+$AD70)^(Z$4-$E$4),0),IF($AB70="ALTH",ROUND($AE70+$AF70*Z$4,0),IF($AB70="IR",ROUND(Proyeccion_Localidades!AW70,0),IF($AB70="RT",ROUND(Proyeccion_Localidades!BT70,0),"*****"))))</f>
        <v>25166</v>
      </c>
      <c r="AA70" s="66">
        <f>IF($AB70="TGD",ROUND($E70*(1+$AD70)^(AA$4-$E$4),0),IF($AB70="ALTH",ROUND($AE70+$AF70*AA$4,0),IF($AB70="IR",ROUND(Proyeccion_Localidades!AX70,0),IF($AB70="RT",ROUND(Proyeccion_Localidades!BU70,0),"*****"))))</f>
        <v>25532</v>
      </c>
      <c r="AB70" s="67" t="str">
        <f>Proyeccion_Localidades!N70</f>
        <v>TGD</v>
      </c>
      <c r="AC70" s="68" t="s">
        <v>35</v>
      </c>
      <c r="AD70" s="51">
        <f>IF(AB70="TGD",Proyeccion_Localidades!Z70,"-")</f>
        <v>1.4560954310670393E-2</v>
      </c>
      <c r="AE70" s="51" t="str">
        <f>IF($AB70="ALTH",Proyeccion_Localidades!AA70,"-")</f>
        <v>-</v>
      </c>
      <c r="AF70" s="51" t="str">
        <f>IF($AB70="ALTH",Proyeccion_Localidades!AB70,"-")</f>
        <v>-</v>
      </c>
      <c r="AG70" s="51"/>
      <c r="AH70" s="51"/>
      <c r="AI70" s="66">
        <f t="shared" ref="AI70:AI133" si="5">+G70</f>
        <v>18577</v>
      </c>
    </row>
    <row r="71" spans="1:36" ht="24.95" customHeight="1">
      <c r="A71" s="84" t="str">
        <f>+Proyeccion_Localidades!C71</f>
        <v>General Guido</v>
      </c>
      <c r="B71" s="70">
        <f t="shared" si="4"/>
        <v>66</v>
      </c>
      <c r="C71" s="71" t="str">
        <f>+Proyeccion_Localidades!B71</f>
        <v>General Guido</v>
      </c>
      <c r="D71" s="261">
        <f t="shared" ref="D71:D134" si="6">+B71</f>
        <v>66</v>
      </c>
      <c r="E71" s="72">
        <f>+Proyeccion_Localidades!F71</f>
        <v>1291</v>
      </c>
      <c r="F71" s="66">
        <f>IF($AB71="TGD",ROUND($E71*(1+$AD71)^(F$4-$E$4),0),IF($AB71="ALTH",ROUND($AE71+$AF71*F$4,0),IF($AB71="IR",ROUND(Proyeccion_Localidades!AC71,0),IF($AB71="RT",ROUND(Proyeccion_Localidades!AZ71,0),"*****"))))</f>
        <v>1478</v>
      </c>
      <c r="G71" s="66">
        <f>IF($AB71="TGD",ROUND($E71*(1+$AD71)^(G$4-$E$4),0),IF($AB71="ALTH",ROUND($AE71+$AF71*G$4,0),IF($AB71="IR",ROUND(Proyeccion_Localidades!AD71,0),IF($AB71="RT",ROUND(Proyeccion_Localidades!BA71,0),"*****"))))</f>
        <v>1495</v>
      </c>
      <c r="H71" s="66">
        <f>IF($AB71="TGD",ROUND($E71*(1+$AD71)^(H$4-$E$4),0),IF($AB71="ALTH",ROUND($AE71+$AF71*H$4,0),IF($AB71="IR",ROUND(Proyeccion_Localidades!AE71,0),IF($AB71="RT",ROUND(Proyeccion_Localidades!BB71,0),"*****"))))</f>
        <v>1546</v>
      </c>
      <c r="I71" s="66">
        <f>IF($AB71="TGD",ROUND($E71*(1+$AD71)^(I$4-$E$4),0),IF($AB71="ALTH",ROUND($AE71+$AF71*I$4,0),IF($AB71="IR",ROUND(Proyeccion_Localidades!AF71,0),IF($AB71="RT",ROUND(Proyeccion_Localidades!BC71,0),"*****"))))</f>
        <v>1564</v>
      </c>
      <c r="J71" s="66">
        <f>IF($AB71="TGD",ROUND($E71*(1+$AD71)^(J$4-$E$4),0),IF($AB71="ALTH",ROUND($AE71+$AF71*J$4,0),IF($AB71="IR",ROUND(Proyeccion_Localidades!AG71,0),IF($AB71="RT",ROUND(Proyeccion_Localidades!BD71,0),"*****"))))</f>
        <v>1581</v>
      </c>
      <c r="K71" s="66">
        <f>IF($AB71="TGD",ROUND($E71*(1+$AD71)^(K$4-$E$4),0),IF($AB71="ALTH",ROUND($AE71+$AF71*K$4,0),IF($AB71="IR",ROUND(Proyeccion_Localidades!AH71,0),IF($AB71="RT",ROUND(Proyeccion_Localidades!BE71,0),"*****"))))</f>
        <v>1599</v>
      </c>
      <c r="L71" s="66">
        <f>IF($AB71="TGD",ROUND($E71*(1+$AD71)^(L$4-$E$4),0),IF($AB71="ALTH",ROUND($AE71+$AF71*L$4,0),IF($AB71="IR",ROUND(Proyeccion_Localidades!AI71,0),IF($AB71="RT",ROUND(Proyeccion_Localidades!BF71,0),"*****"))))</f>
        <v>1617</v>
      </c>
      <c r="M71" s="66">
        <f>IF($AB71="TGD",ROUND($E71*(1+$AD71)^(M$4-$E$4),0),IF($AB71="ALTH",ROUND($AE71+$AF71*M$4,0),IF($AB71="IR",ROUND(Proyeccion_Localidades!AJ71,0),IF($AB71="RT",ROUND(Proyeccion_Localidades!BG71,0),"*****"))))</f>
        <v>1636</v>
      </c>
      <c r="N71" s="66">
        <f>IF($AB71="TGD",ROUND($E71*(1+$AD71)^(N$4-$E$4),0),IF($AB71="ALTH",ROUND($AE71+$AF71*N$4,0),IF($AB71="IR",ROUND(Proyeccion_Localidades!AK71,0),IF($AB71="RT",ROUND(Proyeccion_Localidades!BH71,0),"*****"))))</f>
        <v>1654</v>
      </c>
      <c r="O71" s="66">
        <f>IF($AB71="TGD",ROUND($E71*(1+$AD71)^(O$4-$E$4),0),IF($AB71="ALTH",ROUND($AE71+$AF71*O$4,0),IF($AB71="IR",ROUND(Proyeccion_Localidades!AL71,0),IF($AB71="RT",ROUND(Proyeccion_Localidades!BI71,0),"*****"))))</f>
        <v>1673</v>
      </c>
      <c r="P71" s="66">
        <f>IF($AB71="TGD",ROUND($E71*(1+$AD71)^(P$4-$E$4),0),IF($AB71="ALTH",ROUND($AE71+$AF71*P$4,0),IF($AB71="IR",ROUND(Proyeccion_Localidades!AM71,0),IF($AB71="RT",ROUND(Proyeccion_Localidades!BJ71,0),"*****"))))</f>
        <v>1692</v>
      </c>
      <c r="Q71" s="66">
        <f>IF($AB71="TGD",ROUND($E71*(1+$AD71)^(Q$4-$E$4),0),IF($AB71="ALTH",ROUND($AE71+$AF71*Q$4,0),IF($AB71="IR",ROUND(Proyeccion_Localidades!AN71,0),IF($AB71="RT",ROUND(Proyeccion_Localidades!BK71,0),"*****"))))</f>
        <v>1711</v>
      </c>
      <c r="R71" s="66">
        <f>IF($AB71="TGD",ROUND($E71*(1+$AD71)^(R$4-$E$4),0),IF($AB71="ALTH",ROUND($AE71+$AF71*R$4,0),IF($AB71="IR",ROUND(Proyeccion_Localidades!AO71,0),IF($AB71="RT",ROUND(Proyeccion_Localidades!BL71,0),"*****"))))</f>
        <v>1730</v>
      </c>
      <c r="S71" s="66">
        <f>IF($AB71="TGD",ROUND($E71*(1+$AD71)^(S$4-$E$4),0),IF($AB71="ALTH",ROUND($AE71+$AF71*S$4,0),IF($AB71="IR",ROUND(Proyeccion_Localidades!AP71,0),IF($AB71="RT",ROUND(Proyeccion_Localidades!BM71,0),"*****"))))</f>
        <v>1750</v>
      </c>
      <c r="T71" s="66">
        <f>IF($AB71="TGD",ROUND($E71*(1+$AD71)^(T$4-$E$4),0),IF($AB71="ALTH",ROUND($AE71+$AF71*T$4,0),IF($AB71="IR",ROUND(Proyeccion_Localidades!AQ71,0),IF($AB71="RT",ROUND(Proyeccion_Localidades!BN71,0),"*****"))))</f>
        <v>1770</v>
      </c>
      <c r="U71" s="66">
        <f>IF($AB71="TGD",ROUND($E71*(1+$AD71)^(U$4-$E$4),0),IF($AB71="ALTH",ROUND($AE71+$AF71*U$4,0),IF($AB71="IR",ROUND(Proyeccion_Localidades!AR71,0),IF($AB71="RT",ROUND(Proyeccion_Localidades!BO71,0),"*****"))))</f>
        <v>1790</v>
      </c>
      <c r="V71" s="66">
        <f>IF($AB71="TGD",ROUND($E71*(1+$AD71)^(V$4-$E$4),0),IF($AB71="ALTH",ROUND($AE71+$AF71*V$4,0),IF($AB71="IR",ROUND(Proyeccion_Localidades!AS71,0),IF($AB71="RT",ROUND(Proyeccion_Localidades!BP71,0),"*****"))))</f>
        <v>1810</v>
      </c>
      <c r="W71" s="66">
        <f>IF($AB71="TGD",ROUND($E71*(1+$AD71)^(W$4-$E$4),0),IF($AB71="ALTH",ROUND($AE71+$AF71*W$4,0),IF($AB71="IR",ROUND(Proyeccion_Localidades!AT71,0),IF($AB71="RT",ROUND(Proyeccion_Localidades!BQ71,0),"*****"))))</f>
        <v>1831</v>
      </c>
      <c r="X71" s="66">
        <f>IF($AB71="TGD",ROUND($E71*(1+$AD71)^(X$4-$E$4),0),IF($AB71="ALTH",ROUND($AE71+$AF71*X$4,0),IF($AB71="IR",ROUND(Proyeccion_Localidades!AU71,0),IF($AB71="RT",ROUND(Proyeccion_Localidades!BR71,0),"*****"))))</f>
        <v>1851</v>
      </c>
      <c r="Y71" s="66">
        <f>IF($AB71="TGD",ROUND($E71*(1+$AD71)^(Y$4-$E$4),0),IF($AB71="ALTH",ROUND($AE71+$AF71*Y$4,0),IF($AB71="IR",ROUND(Proyeccion_Localidades!AV71,0),IF($AB71="RT",ROUND(Proyeccion_Localidades!BS71,0),"*****"))))</f>
        <v>1872</v>
      </c>
      <c r="Z71" s="66">
        <f>IF($AB71="TGD",ROUND($E71*(1+$AD71)^(Z$4-$E$4),0),IF($AB71="ALTH",ROUND($AE71+$AF71*Z$4,0),IF($AB71="IR",ROUND(Proyeccion_Localidades!AW71,0),IF($AB71="RT",ROUND(Proyeccion_Localidades!BT71,0),"*****"))))</f>
        <v>1894</v>
      </c>
      <c r="AA71" s="66">
        <f>IF($AB71="TGD",ROUND($E71*(1+$AD71)^(AA$4-$E$4),0),IF($AB71="ALTH",ROUND($AE71+$AF71*AA$4,0),IF($AB71="IR",ROUND(Proyeccion_Localidades!AX71,0),IF($AB71="RT",ROUND(Proyeccion_Localidades!BU71,0),"*****"))))</f>
        <v>1915</v>
      </c>
      <c r="AB71" s="67" t="str">
        <f>Proyeccion_Localidades!N71</f>
        <v>TGD</v>
      </c>
      <c r="AC71" s="68" t="s">
        <v>35</v>
      </c>
      <c r="AD71" s="51">
        <f>IF(AB71="TGD",Proyeccion_Localidades!Z71,"-")</f>
        <v>1.1330365224628602E-2</v>
      </c>
      <c r="AE71" s="51" t="str">
        <f>IF($AB71="ALTH",Proyeccion_Localidades!AA71,"-")</f>
        <v>-</v>
      </c>
      <c r="AF71" s="51" t="str">
        <f>IF($AB71="ALTH",Proyeccion_Localidades!AB71,"-")</f>
        <v>-</v>
      </c>
      <c r="AG71" s="51"/>
      <c r="AH71" s="51"/>
      <c r="AI71" s="66">
        <f t="shared" si="5"/>
        <v>1495</v>
      </c>
    </row>
    <row r="72" spans="1:36" ht="24.95" customHeight="1">
      <c r="A72" s="84" t="str">
        <f>+Proyeccion_Localidades!C72</f>
        <v>General Juan Madariaga</v>
      </c>
      <c r="B72" s="70">
        <f t="shared" si="4"/>
        <v>67</v>
      </c>
      <c r="C72" s="71" t="str">
        <f>+Proyeccion_Localidades!B72</f>
        <v>General Juan Madariaga</v>
      </c>
      <c r="D72" s="261">
        <f t="shared" si="6"/>
        <v>67</v>
      </c>
      <c r="E72" s="72">
        <f>+Proyeccion_Localidades!F72</f>
        <v>18089</v>
      </c>
      <c r="F72" s="66">
        <f>IF($AB72="TGD",ROUND($E72*(1+$AD72)^(F$4-$E$4),0),IF($AB72="ALTH",ROUND($AE72+$AF72*F$4,0),IF($AB72="IR",ROUND(Proyeccion_Localidades!AC72,0),IF($AB72="RT",ROUND(Proyeccion_Localidades!AZ72,0),"*****"))))</f>
        <v>21045</v>
      </c>
      <c r="G72" s="66">
        <f>IF($AB72="TGD",ROUND($E72*(1+$AD72)^(G$4-$E$4),0),IF($AB72="ALTH",ROUND($AE72+$AF72*G$4,0),IF($AB72="IR",ROUND(Proyeccion_Localidades!AD72,0),IF($AB72="RT",ROUND(Proyeccion_Localidades!BA72,0),"*****"))))</f>
        <v>21318</v>
      </c>
      <c r="H72" s="66">
        <f>IF($AB72="TGD",ROUND($E72*(1+$AD72)^(H$4-$E$4),0),IF($AB72="ALTH",ROUND($AE72+$AF72*H$4,0),IF($AB72="IR",ROUND(Proyeccion_Localidades!AE72,0),IF($AB72="RT",ROUND(Proyeccion_Localidades!BB72,0),"*****"))))</f>
        <v>22165</v>
      </c>
      <c r="I72" s="66">
        <f>IF($AB72="TGD",ROUND($E72*(1+$AD72)^(I$4-$E$4),0),IF($AB72="ALTH",ROUND($AE72+$AF72*I$4,0),IF($AB72="IR",ROUND(Proyeccion_Localidades!AF72,0),IF($AB72="RT",ROUND(Proyeccion_Localidades!BC72,0),"*****"))))</f>
        <v>22456</v>
      </c>
      <c r="J72" s="66">
        <f>IF($AB72="TGD",ROUND($E72*(1+$AD72)^(J$4-$E$4),0),IF($AB72="ALTH",ROUND($AE72+$AF72*J$4,0),IF($AB72="IR",ROUND(Proyeccion_Localidades!AG72,0),IF($AB72="RT",ROUND(Proyeccion_Localidades!BD72,0),"*****"))))</f>
        <v>22752</v>
      </c>
      <c r="K72" s="66">
        <f>IF($AB72="TGD",ROUND($E72*(1+$AD72)^(K$4-$E$4),0),IF($AB72="ALTH",ROUND($AE72+$AF72*K$4,0),IF($AB72="IR",ROUND(Proyeccion_Localidades!AH72,0),IF($AB72="RT",ROUND(Proyeccion_Localidades!BE72,0),"*****"))))</f>
        <v>23053</v>
      </c>
      <c r="L72" s="66">
        <f>IF($AB72="TGD",ROUND($E72*(1+$AD72)^(L$4-$E$4),0),IF($AB72="ALTH",ROUND($AE72+$AF72*L$4,0),IF($AB72="IR",ROUND(Proyeccion_Localidades!AI72,0),IF($AB72="RT",ROUND(Proyeccion_Localidades!BF72,0),"*****"))))</f>
        <v>23359</v>
      </c>
      <c r="M72" s="66">
        <f>IF($AB72="TGD",ROUND($E72*(1+$AD72)^(M$4-$E$4),0),IF($AB72="ALTH",ROUND($AE72+$AF72*M$4,0),IF($AB72="IR",ROUND(Proyeccion_Localidades!AJ72,0),IF($AB72="RT",ROUND(Proyeccion_Localidades!BG72,0),"*****"))))</f>
        <v>23670</v>
      </c>
      <c r="N72" s="66">
        <f>IF($AB72="TGD",ROUND($E72*(1+$AD72)^(N$4-$E$4),0),IF($AB72="ALTH",ROUND($AE72+$AF72*N$4,0),IF($AB72="IR",ROUND(Proyeccion_Localidades!AK72,0),IF($AB72="RT",ROUND(Proyeccion_Localidades!BH72,0),"*****"))))</f>
        <v>23986</v>
      </c>
      <c r="O72" s="66">
        <f>IF($AB72="TGD",ROUND($E72*(1+$AD72)^(O$4-$E$4),0),IF($AB72="ALTH",ROUND($AE72+$AF72*O$4,0),IF($AB72="IR",ROUND(Proyeccion_Localidades!AL72,0),IF($AB72="RT",ROUND(Proyeccion_Localidades!BI72,0),"*****"))))</f>
        <v>24307</v>
      </c>
      <c r="P72" s="66">
        <f>IF($AB72="TGD",ROUND($E72*(1+$AD72)^(P$4-$E$4),0),IF($AB72="ALTH",ROUND($AE72+$AF72*P$4,0),IF($AB72="IR",ROUND(Proyeccion_Localidades!AM72,0),IF($AB72="RT",ROUND(Proyeccion_Localidades!BJ72,0),"*****"))))</f>
        <v>24634</v>
      </c>
      <c r="Q72" s="66">
        <f>IF($AB72="TGD",ROUND($E72*(1+$AD72)^(Q$4-$E$4),0),IF($AB72="ALTH",ROUND($AE72+$AF72*Q$4,0),IF($AB72="IR",ROUND(Proyeccion_Localidades!AN72,0),IF($AB72="RT",ROUND(Proyeccion_Localidades!BK72,0),"*****"))))</f>
        <v>24966</v>
      </c>
      <c r="R72" s="66">
        <f>IF($AB72="TGD",ROUND($E72*(1+$AD72)^(R$4-$E$4),0),IF($AB72="ALTH",ROUND($AE72+$AF72*R$4,0),IF($AB72="IR",ROUND(Proyeccion_Localidades!AO72,0),IF($AB72="RT",ROUND(Proyeccion_Localidades!BL72,0),"*****"))))</f>
        <v>25303</v>
      </c>
      <c r="S72" s="66">
        <f>IF($AB72="TGD",ROUND($E72*(1+$AD72)^(S$4-$E$4),0),IF($AB72="ALTH",ROUND($AE72+$AF72*S$4,0),IF($AB72="IR",ROUND(Proyeccion_Localidades!AP72,0),IF($AB72="RT",ROUND(Proyeccion_Localidades!BM72,0),"*****"))))</f>
        <v>25645</v>
      </c>
      <c r="T72" s="66">
        <f>IF($AB72="TGD",ROUND($E72*(1+$AD72)^(T$4-$E$4),0),IF($AB72="ALTH",ROUND($AE72+$AF72*T$4,0),IF($AB72="IR",ROUND(Proyeccion_Localidades!AQ72,0),IF($AB72="RT",ROUND(Proyeccion_Localidades!BN72,0),"*****"))))</f>
        <v>25994</v>
      </c>
      <c r="U72" s="66">
        <f>IF($AB72="TGD",ROUND($E72*(1+$AD72)^(U$4-$E$4),0),IF($AB72="ALTH",ROUND($AE72+$AF72*U$4,0),IF($AB72="IR",ROUND(Proyeccion_Localidades!AR72,0),IF($AB72="RT",ROUND(Proyeccion_Localidades!BO72,0),"*****"))))</f>
        <v>26348</v>
      </c>
      <c r="V72" s="66">
        <f>IF($AB72="TGD",ROUND($E72*(1+$AD72)^(V$4-$E$4),0),IF($AB72="ALTH",ROUND($AE72+$AF72*V$4,0),IF($AB72="IR",ROUND(Proyeccion_Localidades!AS72,0),IF($AB72="RT",ROUND(Proyeccion_Localidades!BP72,0),"*****"))))</f>
        <v>26707</v>
      </c>
      <c r="W72" s="66">
        <f>IF($AB72="TGD",ROUND($E72*(1+$AD72)^(W$4-$E$4),0),IF($AB72="ALTH",ROUND($AE72+$AF72*W$4,0),IF($AB72="IR",ROUND(Proyeccion_Localidades!AT72,0),IF($AB72="RT",ROUND(Proyeccion_Localidades!BQ72,0),"*****"))))</f>
        <v>27073</v>
      </c>
      <c r="X72" s="66">
        <f>IF($AB72="TGD",ROUND($E72*(1+$AD72)^(X$4-$E$4),0),IF($AB72="ALTH",ROUND($AE72+$AF72*X$4,0),IF($AB72="IR",ROUND(Proyeccion_Localidades!AU72,0),IF($AB72="RT",ROUND(Proyeccion_Localidades!BR72,0),"*****"))))</f>
        <v>27444</v>
      </c>
      <c r="Y72" s="66">
        <f>IF($AB72="TGD",ROUND($E72*(1+$AD72)^(Y$4-$E$4),0),IF($AB72="ALTH",ROUND($AE72+$AF72*Y$4,0),IF($AB72="IR",ROUND(Proyeccion_Localidades!AV72,0),IF($AB72="RT",ROUND(Proyeccion_Localidades!BS72,0),"*****"))))</f>
        <v>27822</v>
      </c>
      <c r="Z72" s="66">
        <f>IF($AB72="TGD",ROUND($E72*(1+$AD72)^(Z$4-$E$4),0),IF($AB72="ALTH",ROUND($AE72+$AF72*Z$4,0),IF($AB72="IR",ROUND(Proyeccion_Localidades!AW72,0),IF($AB72="RT",ROUND(Proyeccion_Localidades!BT72,0),"*****"))))</f>
        <v>28206</v>
      </c>
      <c r="AA72" s="66">
        <f>IF($AB72="TGD",ROUND($E72*(1+$AD72)^(AA$4-$E$4),0),IF($AB72="ALTH",ROUND($AE72+$AF72*AA$4,0),IF($AB72="IR",ROUND(Proyeccion_Localidades!AX72,0),IF($AB72="RT",ROUND(Proyeccion_Localidades!BU72,0),"*****"))))</f>
        <v>28596</v>
      </c>
      <c r="AB72" s="67" t="str">
        <f>Proyeccion_Localidades!N72</f>
        <v>IR</v>
      </c>
      <c r="AC72" s="73"/>
      <c r="AD72" s="51" t="str">
        <f>IF(AB72="TGD",Proyeccion_Localidades!Z72,"-")</f>
        <v>-</v>
      </c>
      <c r="AE72" s="51" t="str">
        <f>IF($AB72="ALTH",Proyeccion_Localidades!AA72,"-")</f>
        <v>-</v>
      </c>
      <c r="AF72" s="51" t="str">
        <f>IF($AB72="ALTH",Proyeccion_Localidades!AB72,"-")</f>
        <v>-</v>
      </c>
      <c r="AG72" s="51"/>
      <c r="AH72" s="51"/>
      <c r="AI72" s="66">
        <f t="shared" si="5"/>
        <v>21318</v>
      </c>
    </row>
    <row r="73" spans="1:36" ht="24.95" customHeight="1">
      <c r="A73" s="84" t="str">
        <f>+Proyeccion_Localidades!C73</f>
        <v>General La Madrid</v>
      </c>
      <c r="B73" s="70">
        <f t="shared" si="4"/>
        <v>68</v>
      </c>
      <c r="C73" s="71" t="str">
        <f>+Proyeccion_Localidades!B73</f>
        <v>General La Madrid</v>
      </c>
      <c r="D73" s="261">
        <f t="shared" si="6"/>
        <v>68</v>
      </c>
      <c r="E73" s="72">
        <f>+Proyeccion_Localidades!F73</f>
        <v>8073</v>
      </c>
      <c r="F73" s="66">
        <f>IF($AB73="TGD",ROUND($E73*(1+$AD73)^(F$4-$E$4),0),IF($AB73="ALTH",ROUND($AE73+$AF73*F$4,0),IF($AB73="IR",ROUND(Proyeccion_Localidades!AC73,0),IF($AB73="RT",ROUND(Proyeccion_Localidades!AZ73,0),"*****"))))</f>
        <v>8869</v>
      </c>
      <c r="G73" s="66">
        <f>IF($AB73="TGD",ROUND($E73*(1+$AD73)^(G$4-$E$4),0),IF($AB73="ALTH",ROUND($AE73+$AF73*G$4,0),IF($AB73="IR",ROUND(Proyeccion_Localidades!AD73,0),IF($AB73="RT",ROUND(Proyeccion_Localidades!BA73,0),"*****"))))</f>
        <v>8982</v>
      </c>
      <c r="H73" s="66">
        <f>IF($AB73="TGD",ROUND($E73*(1+$AD73)^(H$4-$E$4),0),IF($AB73="ALTH",ROUND($AE73+$AF73*H$4,0),IF($AB73="IR",ROUND(Proyeccion_Localidades!AE73,0),IF($AB73="RT",ROUND(Proyeccion_Localidades!BB73,0),"*****"))))</f>
        <v>9322</v>
      </c>
      <c r="I73" s="66">
        <f>IF($AB73="TGD",ROUND($E73*(1+$AD73)^(I$4-$E$4),0),IF($AB73="ALTH",ROUND($AE73+$AF73*I$4,0),IF($AB73="IR",ROUND(Proyeccion_Localidades!AF73,0),IF($AB73="RT",ROUND(Proyeccion_Localidades!BC73,0),"*****"))))</f>
        <v>9435</v>
      </c>
      <c r="J73" s="66">
        <f>IF($AB73="TGD",ROUND($E73*(1+$AD73)^(J$4-$E$4),0),IF($AB73="ALTH",ROUND($AE73+$AF73*J$4,0),IF($AB73="IR",ROUND(Proyeccion_Localidades!AG73,0),IF($AB73="RT",ROUND(Proyeccion_Localidades!BD73,0),"*****"))))</f>
        <v>9548</v>
      </c>
      <c r="K73" s="66">
        <f>IF($AB73="TGD",ROUND($E73*(1+$AD73)^(K$4-$E$4),0),IF($AB73="ALTH",ROUND($AE73+$AF73*K$4,0),IF($AB73="IR",ROUND(Proyeccion_Localidades!AH73,0),IF($AB73="RT",ROUND(Proyeccion_Localidades!BE73,0),"*****"))))</f>
        <v>9661</v>
      </c>
      <c r="L73" s="66">
        <f>IF($AB73="TGD",ROUND($E73*(1+$AD73)^(L$4-$E$4),0),IF($AB73="ALTH",ROUND($AE73+$AF73*L$4,0),IF($AB73="IR",ROUND(Proyeccion_Localidades!AI73,0),IF($AB73="RT",ROUND(Proyeccion_Localidades!BF73,0),"*****"))))</f>
        <v>9774</v>
      </c>
      <c r="M73" s="66">
        <f>IF($AB73="TGD",ROUND($E73*(1+$AD73)^(M$4-$E$4),0),IF($AB73="ALTH",ROUND($AE73+$AF73*M$4,0),IF($AB73="IR",ROUND(Proyeccion_Localidades!AJ73,0),IF($AB73="RT",ROUND(Proyeccion_Localidades!BG73,0),"*****"))))</f>
        <v>9924</v>
      </c>
      <c r="N73" s="66">
        <f>IF($AB73="TGD",ROUND($E73*(1+$AD73)^(N$4-$E$4),0),IF($AB73="ALTH",ROUND($AE73+$AF73*N$4,0),IF($AB73="IR",ROUND(Proyeccion_Localidades!AK73,0),IF($AB73="RT",ROUND(Proyeccion_Localidades!BH73,0),"*****"))))</f>
        <v>10075</v>
      </c>
      <c r="O73" s="66">
        <f>IF($AB73="TGD",ROUND($E73*(1+$AD73)^(O$4-$E$4),0),IF($AB73="ALTH",ROUND($AE73+$AF73*O$4,0),IF($AB73="IR",ROUND(Proyeccion_Localidades!AL73,0),IF($AB73="RT",ROUND(Proyeccion_Localidades!BI73,0),"*****"))))</f>
        <v>10225</v>
      </c>
      <c r="P73" s="66">
        <f>IF($AB73="TGD",ROUND($E73*(1+$AD73)^(P$4-$E$4),0),IF($AB73="ALTH",ROUND($AE73+$AF73*P$4,0),IF($AB73="IR",ROUND(Proyeccion_Localidades!AM73,0),IF($AB73="RT",ROUND(Proyeccion_Localidades!BJ73,0),"*****"))))</f>
        <v>10375</v>
      </c>
      <c r="Q73" s="66">
        <f>IF($AB73="TGD",ROUND($E73*(1+$AD73)^(Q$4-$E$4),0),IF($AB73="ALTH",ROUND($AE73+$AF73*Q$4,0),IF($AB73="IR",ROUND(Proyeccion_Localidades!AN73,0),IF($AB73="RT",ROUND(Proyeccion_Localidades!BK73,0),"*****"))))</f>
        <v>10526</v>
      </c>
      <c r="R73" s="66">
        <f>IF($AB73="TGD",ROUND($E73*(1+$AD73)^(R$4-$E$4),0),IF($AB73="ALTH",ROUND($AE73+$AF73*R$4,0),IF($AB73="IR",ROUND(Proyeccion_Localidades!AO73,0),IF($AB73="RT",ROUND(Proyeccion_Localidades!BL73,0),"*****"))))</f>
        <v>10676</v>
      </c>
      <c r="S73" s="66">
        <f>IF($AB73="TGD",ROUND($E73*(1+$AD73)^(S$4-$E$4),0),IF($AB73="ALTH",ROUND($AE73+$AF73*S$4,0),IF($AB73="IR",ROUND(Proyeccion_Localidades!AP73,0),IF($AB73="RT",ROUND(Proyeccion_Localidades!BM73,0),"*****"))))</f>
        <v>10826</v>
      </c>
      <c r="T73" s="66">
        <f>IF($AB73="TGD",ROUND($E73*(1+$AD73)^(T$4-$E$4),0),IF($AB73="ALTH",ROUND($AE73+$AF73*T$4,0),IF($AB73="IR",ROUND(Proyeccion_Localidades!AQ73,0),IF($AB73="RT",ROUND(Proyeccion_Localidades!BN73,0),"*****"))))</f>
        <v>10976</v>
      </c>
      <c r="U73" s="66">
        <f>IF($AB73="TGD",ROUND($E73*(1+$AD73)^(U$4-$E$4),0),IF($AB73="ALTH",ROUND($AE73+$AF73*U$4,0),IF($AB73="IR",ROUND(Proyeccion_Localidades!AR73,0),IF($AB73="RT",ROUND(Proyeccion_Localidades!BO73,0),"*****"))))</f>
        <v>11127</v>
      </c>
      <c r="V73" s="66">
        <f>IF($AB73="TGD",ROUND($E73*(1+$AD73)^(V$4-$E$4),0),IF($AB73="ALTH",ROUND($AE73+$AF73*V$4,0),IF($AB73="IR",ROUND(Proyeccion_Localidades!AS73,0),IF($AB73="RT",ROUND(Proyeccion_Localidades!BP73,0),"*****"))))</f>
        <v>11277</v>
      </c>
      <c r="W73" s="66">
        <f>IF($AB73="TGD",ROUND($E73*(1+$AD73)^(W$4-$E$4),0),IF($AB73="ALTH",ROUND($AE73+$AF73*W$4,0),IF($AB73="IR",ROUND(Proyeccion_Localidades!AT73,0),IF($AB73="RT",ROUND(Proyeccion_Localidades!BQ73,0),"*****"))))</f>
        <v>11427</v>
      </c>
      <c r="X73" s="66">
        <f>IF($AB73="TGD",ROUND($E73*(1+$AD73)^(X$4-$E$4),0),IF($AB73="ALTH",ROUND($AE73+$AF73*X$4,0),IF($AB73="IR",ROUND(Proyeccion_Localidades!AU73,0),IF($AB73="RT",ROUND(Proyeccion_Localidades!BR73,0),"*****"))))</f>
        <v>11578</v>
      </c>
      <c r="Y73" s="66">
        <f>IF($AB73="TGD",ROUND($E73*(1+$AD73)^(Y$4-$E$4),0),IF($AB73="ALTH",ROUND($AE73+$AF73*Y$4,0),IF($AB73="IR",ROUND(Proyeccion_Localidades!AV73,0),IF($AB73="RT",ROUND(Proyeccion_Localidades!BS73,0),"*****"))))</f>
        <v>11728</v>
      </c>
      <c r="Z73" s="66">
        <f>IF($AB73="TGD",ROUND($E73*(1+$AD73)^(Z$4-$E$4),0),IF($AB73="ALTH",ROUND($AE73+$AF73*Z$4,0),IF($AB73="IR",ROUND(Proyeccion_Localidades!AW73,0),IF($AB73="RT",ROUND(Proyeccion_Localidades!BT73,0),"*****"))))</f>
        <v>11878</v>
      </c>
      <c r="AA73" s="66">
        <f>IF($AB73="TGD",ROUND($E73*(1+$AD73)^(AA$4-$E$4),0),IF($AB73="ALTH",ROUND($AE73+$AF73*AA$4,0),IF($AB73="IR",ROUND(Proyeccion_Localidades!AX73,0),IF($AB73="RT",ROUND(Proyeccion_Localidades!BU73,0),"*****"))))</f>
        <v>12029</v>
      </c>
      <c r="AB73" s="67" t="str">
        <f>Proyeccion_Localidades!N73</f>
        <v>RT</v>
      </c>
      <c r="AC73" s="73"/>
      <c r="AD73" s="51" t="str">
        <f>IF(AB73="TGD",Proyeccion_Localidades!Z73,"-")</f>
        <v>-</v>
      </c>
      <c r="AE73" s="51" t="str">
        <f>IF($AB73="ALTH",Proyeccion_Localidades!AA73,"-")</f>
        <v>-</v>
      </c>
      <c r="AF73" s="51" t="str">
        <f>IF($AB73="ALTH",Proyeccion_Localidades!AB73,"-")</f>
        <v>-</v>
      </c>
      <c r="AG73" s="51"/>
      <c r="AH73" s="51"/>
      <c r="AI73" s="66">
        <f t="shared" si="5"/>
        <v>8982</v>
      </c>
    </row>
    <row r="74" spans="1:36" ht="24.95" customHeight="1">
      <c r="A74" s="84" t="str">
        <f>+Proyeccion_Localidades!C74</f>
        <v>General Las Heras</v>
      </c>
      <c r="B74" s="70">
        <f t="shared" si="4"/>
        <v>69</v>
      </c>
      <c r="C74" s="71" t="str">
        <f>+Proyeccion_Localidades!B74</f>
        <v>General Las Heras</v>
      </c>
      <c r="D74" s="261">
        <f t="shared" si="6"/>
        <v>69</v>
      </c>
      <c r="E74" s="72">
        <f>+Proyeccion_Localidades!F74</f>
        <v>11331</v>
      </c>
      <c r="F74" s="66">
        <f>IF($AB74="TGD",ROUND($E74*(1+$AD74)^(F$4-$E$4),0),IF($AB74="ALTH",ROUND($AE74+$AF74*F$4,0),IF($AB74="IR",ROUND(Proyeccion_Localidades!AC74,0),IF($AB74="RT",ROUND(Proyeccion_Localidades!AZ74,0),"*****"))))</f>
        <v>13577</v>
      </c>
      <c r="G74" s="66">
        <f>IF($AB74="TGD",ROUND($E74*(1+$AD74)^(G$4-$E$4),0),IF($AB74="ALTH",ROUND($AE74+$AF74*G$4,0),IF($AB74="IR",ROUND(Proyeccion_Localidades!AD74,0),IF($AB74="RT",ROUND(Proyeccion_Localidades!BA74,0),"*****"))))</f>
        <v>13762</v>
      </c>
      <c r="H74" s="66">
        <f>IF($AB74="TGD",ROUND($E74*(1+$AD74)^(H$4-$E$4),0),IF($AB74="ALTH",ROUND($AE74+$AF74*H$4,0),IF($AB74="IR",ROUND(Proyeccion_Localidades!AE74,0),IF($AB74="RT",ROUND(Proyeccion_Localidades!BB74,0),"*****"))))</f>
        <v>14317</v>
      </c>
      <c r="I74" s="66">
        <f>IF($AB74="TGD",ROUND($E74*(1+$AD74)^(I$4-$E$4),0),IF($AB74="ALTH",ROUND($AE74+$AF74*I$4,0),IF($AB74="IR",ROUND(Proyeccion_Localidades!AF74,0),IF($AB74="RT",ROUND(Proyeccion_Localidades!BC74,0),"*****"))))</f>
        <v>14502</v>
      </c>
      <c r="J74" s="66">
        <f>IF($AB74="TGD",ROUND($E74*(1+$AD74)^(J$4-$E$4),0),IF($AB74="ALTH",ROUND($AE74+$AF74*J$4,0),IF($AB74="IR",ROUND(Proyeccion_Localidades!AG74,0),IF($AB74="RT",ROUND(Proyeccion_Localidades!BD74,0),"*****"))))</f>
        <v>14687</v>
      </c>
      <c r="K74" s="66">
        <f>IF($AB74="TGD",ROUND($E74*(1+$AD74)^(K$4-$E$4),0),IF($AB74="ALTH",ROUND($AE74+$AF74*K$4,0),IF($AB74="IR",ROUND(Proyeccion_Localidades!AH74,0),IF($AB74="RT",ROUND(Proyeccion_Localidades!BE74,0),"*****"))))</f>
        <v>14873</v>
      </c>
      <c r="L74" s="66">
        <f>IF($AB74="TGD",ROUND($E74*(1+$AD74)^(L$4-$E$4),0),IF($AB74="ALTH",ROUND($AE74+$AF74*L$4,0),IF($AB74="IR",ROUND(Proyeccion_Localidades!AI74,0),IF($AB74="RT",ROUND(Proyeccion_Localidades!BF74,0),"*****"))))</f>
        <v>15058</v>
      </c>
      <c r="M74" s="66">
        <f>IF($AB74="TGD",ROUND($E74*(1+$AD74)^(M$4-$E$4),0),IF($AB74="ALTH",ROUND($AE74+$AF74*M$4,0),IF($AB74="IR",ROUND(Proyeccion_Localidades!AJ74,0),IF($AB74="RT",ROUND(Proyeccion_Localidades!BG74,0),"*****"))))</f>
        <v>15243</v>
      </c>
      <c r="N74" s="66">
        <f>IF($AB74="TGD",ROUND($E74*(1+$AD74)^(N$4-$E$4),0),IF($AB74="ALTH",ROUND($AE74+$AF74*N$4,0),IF($AB74="IR",ROUND(Proyeccion_Localidades!AK74,0),IF($AB74="RT",ROUND(Proyeccion_Localidades!BH74,0),"*****"))))</f>
        <v>15428</v>
      </c>
      <c r="O74" s="66">
        <f>IF($AB74="TGD",ROUND($E74*(1+$AD74)^(O$4-$E$4),0),IF($AB74="ALTH",ROUND($AE74+$AF74*O$4,0),IF($AB74="IR",ROUND(Proyeccion_Localidades!AL74,0),IF($AB74="RT",ROUND(Proyeccion_Localidades!BI74,0),"*****"))))</f>
        <v>15613</v>
      </c>
      <c r="P74" s="66">
        <f>IF($AB74="TGD",ROUND($E74*(1+$AD74)^(P$4-$E$4),0),IF($AB74="ALTH",ROUND($AE74+$AF74*P$4,0),IF($AB74="IR",ROUND(Proyeccion_Localidades!AM74,0),IF($AB74="RT",ROUND(Proyeccion_Localidades!BJ74,0),"*****"))))</f>
        <v>15798</v>
      </c>
      <c r="Q74" s="66">
        <f>IF($AB74="TGD",ROUND($E74*(1+$AD74)^(Q$4-$E$4),0),IF($AB74="ALTH",ROUND($AE74+$AF74*Q$4,0),IF($AB74="IR",ROUND(Proyeccion_Localidades!AN74,0),IF($AB74="RT",ROUND(Proyeccion_Localidades!BK74,0),"*****"))))</f>
        <v>15983</v>
      </c>
      <c r="R74" s="66">
        <f>IF($AB74="TGD",ROUND($E74*(1+$AD74)^(R$4-$E$4),0),IF($AB74="ALTH",ROUND($AE74+$AF74*R$4,0),IF($AB74="IR",ROUND(Proyeccion_Localidades!AO74,0),IF($AB74="RT",ROUND(Proyeccion_Localidades!BL74,0),"*****"))))</f>
        <v>16168</v>
      </c>
      <c r="S74" s="66">
        <f>IF($AB74="TGD",ROUND($E74*(1+$AD74)^(S$4-$E$4),0),IF($AB74="ALTH",ROUND($AE74+$AF74*S$4,0),IF($AB74="IR",ROUND(Proyeccion_Localidades!AP74,0),IF($AB74="RT",ROUND(Proyeccion_Localidades!BM74,0),"*****"))))</f>
        <v>16354</v>
      </c>
      <c r="T74" s="66">
        <f>IF($AB74="TGD",ROUND($E74*(1+$AD74)^(T$4-$E$4),0),IF($AB74="ALTH",ROUND($AE74+$AF74*T$4,0),IF($AB74="IR",ROUND(Proyeccion_Localidades!AQ74,0),IF($AB74="RT",ROUND(Proyeccion_Localidades!BN74,0),"*****"))))</f>
        <v>16539</v>
      </c>
      <c r="U74" s="66">
        <f>IF($AB74="TGD",ROUND($E74*(1+$AD74)^(U$4-$E$4),0),IF($AB74="ALTH",ROUND($AE74+$AF74*U$4,0),IF($AB74="IR",ROUND(Proyeccion_Localidades!AR74,0),IF($AB74="RT",ROUND(Proyeccion_Localidades!BO74,0),"*****"))))</f>
        <v>16724</v>
      </c>
      <c r="V74" s="66">
        <f>IF($AB74="TGD",ROUND($E74*(1+$AD74)^(V$4-$E$4),0),IF($AB74="ALTH",ROUND($AE74+$AF74*V$4,0),IF($AB74="IR",ROUND(Proyeccion_Localidades!AS74,0),IF($AB74="RT",ROUND(Proyeccion_Localidades!BP74,0),"*****"))))</f>
        <v>16909</v>
      </c>
      <c r="W74" s="66">
        <f>IF($AB74="TGD",ROUND($E74*(1+$AD74)^(W$4-$E$4),0),IF($AB74="ALTH",ROUND($AE74+$AF74*W$4,0),IF($AB74="IR",ROUND(Proyeccion_Localidades!AT74,0),IF($AB74="RT",ROUND(Proyeccion_Localidades!BQ74,0),"*****"))))</f>
        <v>17094</v>
      </c>
      <c r="X74" s="66">
        <f>IF($AB74="TGD",ROUND($E74*(1+$AD74)^(X$4-$E$4),0),IF($AB74="ALTH",ROUND($AE74+$AF74*X$4,0),IF($AB74="IR",ROUND(Proyeccion_Localidades!AU74,0),IF($AB74="RT",ROUND(Proyeccion_Localidades!BR74,0),"*****"))))</f>
        <v>17279</v>
      </c>
      <c r="Y74" s="66">
        <f>IF($AB74="TGD",ROUND($E74*(1+$AD74)^(Y$4-$E$4),0),IF($AB74="ALTH",ROUND($AE74+$AF74*Y$4,0),IF($AB74="IR",ROUND(Proyeccion_Localidades!AV74,0),IF($AB74="RT",ROUND(Proyeccion_Localidades!BS74,0),"*****"))))</f>
        <v>17464</v>
      </c>
      <c r="Z74" s="66">
        <f>IF($AB74="TGD",ROUND($E74*(1+$AD74)^(Z$4-$E$4),0),IF($AB74="ALTH",ROUND($AE74+$AF74*Z$4,0),IF($AB74="IR",ROUND(Proyeccion_Localidades!AW74,0),IF($AB74="RT",ROUND(Proyeccion_Localidades!BT74,0),"*****"))))</f>
        <v>17650</v>
      </c>
      <c r="AA74" s="66">
        <f>IF($AB74="TGD",ROUND($E74*(1+$AD74)^(AA$4-$E$4),0),IF($AB74="ALTH",ROUND($AE74+$AF74*AA$4,0),IF($AB74="IR",ROUND(Proyeccion_Localidades!AX74,0),IF($AB74="RT",ROUND(Proyeccion_Localidades!BU74,0),"*****"))))</f>
        <v>17835</v>
      </c>
      <c r="AB74" s="67" t="str">
        <f>Proyeccion_Localidades!N74</f>
        <v>ALTH</v>
      </c>
      <c r="AC74" s="68" t="s">
        <v>36</v>
      </c>
      <c r="AD74" s="51" t="str">
        <f>IF(AB74="TGD",Proyeccion_Localidades!Z74,"-")</f>
        <v>-</v>
      </c>
      <c r="AE74" s="51">
        <f>IF($AB74="ALTH",Proyeccion_Localidades!AA74,"-")</f>
        <v>-360750.69741697412</v>
      </c>
      <c r="AF74" s="51">
        <f>IF($AB74="ALTH",Proyeccion_Localidades!AB74,"-")</f>
        <v>185.12730627306269</v>
      </c>
      <c r="AG74" s="51"/>
      <c r="AH74" s="51"/>
      <c r="AI74" s="66">
        <f t="shared" si="5"/>
        <v>13762</v>
      </c>
    </row>
    <row r="75" spans="1:36" ht="24.95" customHeight="1">
      <c r="A75" s="84" t="str">
        <f>+Proyeccion_Localidades!C75</f>
        <v>General Lavalle</v>
      </c>
      <c r="B75" s="70">
        <f t="shared" si="4"/>
        <v>70</v>
      </c>
      <c r="C75" s="71" t="str">
        <f>+Proyeccion_Localidades!B75</f>
        <v>General Lavalle</v>
      </c>
      <c r="D75" s="261">
        <f t="shared" si="6"/>
        <v>70</v>
      </c>
      <c r="E75" s="72">
        <f>+Proyeccion_Localidades!F75</f>
        <v>1827</v>
      </c>
      <c r="F75" s="66">
        <f>IF($AB75="TGD",ROUND($E75*(1+$AD75)^(F$4-$E$4),0),IF($AB75="ALTH",ROUND($AE75+$AF75*F$4,0),IF($AB75="IR",ROUND(Proyeccion_Localidades!AC75,0),IF($AB75="RT",ROUND(Proyeccion_Localidades!AZ75,0),"*****"))))</f>
        <v>2437</v>
      </c>
      <c r="G75" s="66">
        <f>IF($AB75="TGD",ROUND($E75*(1+$AD75)^(G$4-$E$4),0),IF($AB75="ALTH",ROUND($AE75+$AF75*G$4,0),IF($AB75="IR",ROUND(Proyeccion_Localidades!AD75,0),IF($AB75="RT",ROUND(Proyeccion_Localidades!BA75,0),"*****"))))</f>
        <v>2496</v>
      </c>
      <c r="H75" s="66">
        <f>IF($AB75="TGD",ROUND($E75*(1+$AD75)^(H$4-$E$4),0),IF($AB75="ALTH",ROUND($AE75+$AF75*H$4,0),IF($AB75="IR",ROUND(Proyeccion_Localidades!AE75,0),IF($AB75="RT",ROUND(Proyeccion_Localidades!BB75,0),"*****"))))</f>
        <v>2683</v>
      </c>
      <c r="I75" s="66">
        <f>IF($AB75="TGD",ROUND($E75*(1+$AD75)^(I$4-$E$4),0),IF($AB75="ALTH",ROUND($AE75+$AF75*I$4,0),IF($AB75="IR",ROUND(Proyeccion_Localidades!AF75,0),IF($AB75="RT",ROUND(Proyeccion_Localidades!BC75,0),"*****"))))</f>
        <v>2748</v>
      </c>
      <c r="J75" s="66">
        <f>IF($AB75="TGD",ROUND($E75*(1+$AD75)^(J$4-$E$4),0),IF($AB75="ALTH",ROUND($AE75+$AF75*J$4,0),IF($AB75="IR",ROUND(Proyeccion_Localidades!AG75,0),IF($AB75="RT",ROUND(Proyeccion_Localidades!BD75,0),"*****"))))</f>
        <v>2814</v>
      </c>
      <c r="K75" s="66">
        <f>IF($AB75="TGD",ROUND($E75*(1+$AD75)^(K$4-$E$4),0),IF($AB75="ALTH",ROUND($AE75+$AF75*K$4,0),IF($AB75="IR",ROUND(Proyeccion_Localidades!AH75,0),IF($AB75="RT",ROUND(Proyeccion_Localidades!BE75,0),"*****"))))</f>
        <v>2883</v>
      </c>
      <c r="L75" s="66">
        <f>IF($AB75="TGD",ROUND($E75*(1+$AD75)^(L$4-$E$4),0),IF($AB75="ALTH",ROUND($AE75+$AF75*L$4,0),IF($AB75="IR",ROUND(Proyeccion_Localidades!AI75,0),IF($AB75="RT",ROUND(Proyeccion_Localidades!BF75,0),"*****"))))</f>
        <v>2953</v>
      </c>
      <c r="M75" s="66">
        <f>IF($AB75="TGD",ROUND($E75*(1+$AD75)^(M$4-$E$4),0),IF($AB75="ALTH",ROUND($AE75+$AF75*M$4,0),IF($AB75="IR",ROUND(Proyeccion_Localidades!AJ75,0),IF($AB75="RT",ROUND(Proyeccion_Localidades!BG75,0),"*****"))))</f>
        <v>3025</v>
      </c>
      <c r="N75" s="66">
        <f>IF($AB75="TGD",ROUND($E75*(1+$AD75)^(N$4-$E$4),0),IF($AB75="ALTH",ROUND($AE75+$AF75*N$4,0),IF($AB75="IR",ROUND(Proyeccion_Localidades!AK75,0),IF($AB75="RT",ROUND(Proyeccion_Localidades!BH75,0),"*****"))))</f>
        <v>3098</v>
      </c>
      <c r="O75" s="66">
        <f>IF($AB75="TGD",ROUND($E75*(1+$AD75)^(O$4-$E$4),0),IF($AB75="ALTH",ROUND($AE75+$AF75*O$4,0),IF($AB75="IR",ROUND(Proyeccion_Localidades!AL75,0),IF($AB75="RT",ROUND(Proyeccion_Localidades!BI75,0),"*****"))))</f>
        <v>3173</v>
      </c>
      <c r="P75" s="66">
        <f>IF($AB75="TGD",ROUND($E75*(1+$AD75)^(P$4-$E$4),0),IF($AB75="ALTH",ROUND($AE75+$AF75*P$4,0),IF($AB75="IR",ROUND(Proyeccion_Localidades!AM75,0),IF($AB75="RT",ROUND(Proyeccion_Localidades!BJ75,0),"*****"))))</f>
        <v>3251</v>
      </c>
      <c r="Q75" s="66">
        <f>IF($AB75="TGD",ROUND($E75*(1+$AD75)^(Q$4-$E$4),0),IF($AB75="ALTH",ROUND($AE75+$AF75*Q$4,0),IF($AB75="IR",ROUND(Proyeccion_Localidades!AN75,0),IF($AB75="RT",ROUND(Proyeccion_Localidades!BK75,0),"*****"))))</f>
        <v>3330</v>
      </c>
      <c r="R75" s="66">
        <f>IF($AB75="TGD",ROUND($E75*(1+$AD75)^(R$4-$E$4),0),IF($AB75="ALTH",ROUND($AE75+$AF75*R$4,0),IF($AB75="IR",ROUND(Proyeccion_Localidades!AO75,0),IF($AB75="RT",ROUND(Proyeccion_Localidades!BL75,0),"*****"))))</f>
        <v>3410</v>
      </c>
      <c r="S75" s="66">
        <f>IF($AB75="TGD",ROUND($E75*(1+$AD75)^(S$4-$E$4),0),IF($AB75="ALTH",ROUND($AE75+$AF75*S$4,0),IF($AB75="IR",ROUND(Proyeccion_Localidades!AP75,0),IF($AB75="RT",ROUND(Proyeccion_Localidades!BM75,0),"*****"))))</f>
        <v>3493</v>
      </c>
      <c r="T75" s="66">
        <f>IF($AB75="TGD",ROUND($E75*(1+$AD75)^(T$4-$E$4),0),IF($AB75="ALTH",ROUND($AE75+$AF75*T$4,0),IF($AB75="IR",ROUND(Proyeccion_Localidades!AQ75,0),IF($AB75="RT",ROUND(Proyeccion_Localidades!BN75,0),"*****"))))</f>
        <v>3578</v>
      </c>
      <c r="U75" s="66">
        <f>IF($AB75="TGD",ROUND($E75*(1+$AD75)^(U$4-$E$4),0),IF($AB75="ALTH",ROUND($AE75+$AF75*U$4,0),IF($AB75="IR",ROUND(Proyeccion_Localidades!AR75,0),IF($AB75="RT",ROUND(Proyeccion_Localidades!BO75,0),"*****"))))</f>
        <v>3665</v>
      </c>
      <c r="V75" s="66">
        <f>IF($AB75="TGD",ROUND($E75*(1+$AD75)^(V$4-$E$4),0),IF($AB75="ALTH",ROUND($AE75+$AF75*V$4,0),IF($AB75="IR",ROUND(Proyeccion_Localidades!AS75,0),IF($AB75="RT",ROUND(Proyeccion_Localidades!BP75,0),"*****"))))</f>
        <v>3754</v>
      </c>
      <c r="W75" s="66">
        <f>IF($AB75="TGD",ROUND($E75*(1+$AD75)^(W$4-$E$4),0),IF($AB75="ALTH",ROUND($AE75+$AF75*W$4,0),IF($AB75="IR",ROUND(Proyeccion_Localidades!AT75,0),IF($AB75="RT",ROUND(Proyeccion_Localidades!BQ75,0),"*****"))))</f>
        <v>3845</v>
      </c>
      <c r="X75" s="66">
        <f>IF($AB75="TGD",ROUND($E75*(1+$AD75)^(X$4-$E$4),0),IF($AB75="ALTH",ROUND($AE75+$AF75*X$4,0),IF($AB75="IR",ROUND(Proyeccion_Localidades!AU75,0),IF($AB75="RT",ROUND(Proyeccion_Localidades!BR75,0),"*****"))))</f>
        <v>3939</v>
      </c>
      <c r="Y75" s="66">
        <f>IF($AB75="TGD",ROUND($E75*(1+$AD75)^(Y$4-$E$4),0),IF($AB75="ALTH",ROUND($AE75+$AF75*Y$4,0),IF($AB75="IR",ROUND(Proyeccion_Localidades!AV75,0),IF($AB75="RT",ROUND(Proyeccion_Localidades!BS75,0),"*****"))))</f>
        <v>4034</v>
      </c>
      <c r="Z75" s="66">
        <f>IF($AB75="TGD",ROUND($E75*(1+$AD75)^(Z$4-$E$4),0),IF($AB75="ALTH",ROUND($AE75+$AF75*Z$4,0),IF($AB75="IR",ROUND(Proyeccion_Localidades!AW75,0),IF($AB75="RT",ROUND(Proyeccion_Localidades!BT75,0),"*****"))))</f>
        <v>4132</v>
      </c>
      <c r="AA75" s="66">
        <f>IF($AB75="TGD",ROUND($E75*(1+$AD75)^(AA$4-$E$4),0),IF($AB75="ALTH",ROUND($AE75+$AF75*AA$4,0),IF($AB75="IR",ROUND(Proyeccion_Localidades!AX75,0),IF($AB75="RT",ROUND(Proyeccion_Localidades!BU75,0),"*****"))))</f>
        <v>4233</v>
      </c>
      <c r="AB75" s="67" t="str">
        <f>Proyeccion_Localidades!N75</f>
        <v>TGD</v>
      </c>
      <c r="AC75" s="68" t="s">
        <v>35</v>
      </c>
      <c r="AD75" s="51">
        <f>IF(AB75="TGD",Proyeccion_Localidades!Z75,"-")</f>
        <v>2.4296379099756349E-2</v>
      </c>
      <c r="AE75" s="51" t="str">
        <f>IF($AB75="ALTH",Proyeccion_Localidades!AA75,"-")</f>
        <v>-</v>
      </c>
      <c r="AF75" s="51" t="str">
        <f>IF($AB75="ALTH",Proyeccion_Localidades!AB75,"-")</f>
        <v>-</v>
      </c>
      <c r="AG75" s="51"/>
      <c r="AH75" s="51"/>
      <c r="AI75" s="66">
        <f t="shared" si="5"/>
        <v>2496</v>
      </c>
    </row>
    <row r="76" spans="1:36" ht="24.95" customHeight="1">
      <c r="A76" s="84" t="str">
        <f>+Proyeccion_Localidades!C76</f>
        <v>General Paz</v>
      </c>
      <c r="B76" s="70">
        <f t="shared" si="4"/>
        <v>71</v>
      </c>
      <c r="C76" s="71" t="str">
        <f>+Proyeccion_Localidades!B76</f>
        <v>Ranchos</v>
      </c>
      <c r="D76" s="261">
        <f t="shared" si="6"/>
        <v>71</v>
      </c>
      <c r="E76" s="72">
        <f>+Proyeccion_Localidades!F76</f>
        <v>7916</v>
      </c>
      <c r="F76" s="66">
        <f>IF($AB76="TGD",ROUND($E76*(1+$AD76)^(F$4-$E$4),0),IF($AB76="ALTH",ROUND($AE76+$AF76*F$4,0),IF($AB76="IR",ROUND(Proyeccion_Localidades!AC76,0),IF($AB76="RT",ROUND(Proyeccion_Localidades!AZ76,0),"*****"))))</f>
        <v>9741</v>
      </c>
      <c r="G76" s="66">
        <f>IF($AB76="TGD",ROUND($E76*(1+$AD76)^(G$4-$E$4),0),IF($AB76="ALTH",ROUND($AE76+$AF76*G$4,0),IF($AB76="IR",ROUND(Proyeccion_Localidades!AD76,0),IF($AB76="RT",ROUND(Proyeccion_Localidades!BA76,0),"*****"))))</f>
        <v>9918</v>
      </c>
      <c r="H76" s="66">
        <f>IF($AB76="TGD",ROUND($E76*(1+$AD76)^(H$4-$E$4),0),IF($AB76="ALTH",ROUND($AE76+$AF76*H$4,0),IF($AB76="IR",ROUND(Proyeccion_Localidades!AE76,0),IF($AB76="RT",ROUND(Proyeccion_Localidades!BB76,0),"*****"))))</f>
        <v>10448</v>
      </c>
      <c r="I76" s="66">
        <f>IF($AB76="TGD",ROUND($E76*(1+$AD76)^(I$4-$E$4),0),IF($AB76="ALTH",ROUND($AE76+$AF76*I$4,0),IF($AB76="IR",ROUND(Proyeccion_Localidades!AF76,0),IF($AB76="RT",ROUND(Proyeccion_Localidades!BC76,0),"*****"))))</f>
        <v>10625</v>
      </c>
      <c r="J76" s="66">
        <f>IF($AB76="TGD",ROUND($E76*(1+$AD76)^(J$4-$E$4),0),IF($AB76="ALTH",ROUND($AE76+$AF76*J$4,0),IF($AB76="IR",ROUND(Proyeccion_Localidades!AG76,0),IF($AB76="RT",ROUND(Proyeccion_Localidades!BD76,0),"*****"))))</f>
        <v>10802</v>
      </c>
      <c r="K76" s="66">
        <f>IF($AB76="TGD",ROUND($E76*(1+$AD76)^(K$4-$E$4),0),IF($AB76="ALTH",ROUND($AE76+$AF76*K$4,0),IF($AB76="IR",ROUND(Proyeccion_Localidades!AH76,0),IF($AB76="RT",ROUND(Proyeccion_Localidades!BE76,0),"*****"))))</f>
        <v>10979</v>
      </c>
      <c r="L76" s="66">
        <f>IF($AB76="TGD",ROUND($E76*(1+$AD76)^(L$4-$E$4),0),IF($AB76="ALTH",ROUND($AE76+$AF76*L$4,0),IF($AB76="IR",ROUND(Proyeccion_Localidades!AI76,0),IF($AB76="RT",ROUND(Proyeccion_Localidades!BF76,0),"*****"))))</f>
        <v>11156</v>
      </c>
      <c r="M76" s="66">
        <f>IF($AB76="TGD",ROUND($E76*(1+$AD76)^(M$4-$E$4),0),IF($AB76="ALTH",ROUND($AE76+$AF76*M$4,0),IF($AB76="IR",ROUND(Proyeccion_Localidades!AJ76,0),IF($AB76="RT",ROUND(Proyeccion_Localidades!BG76,0),"*****"))))</f>
        <v>11374</v>
      </c>
      <c r="N76" s="66">
        <f>IF($AB76="TGD",ROUND($E76*(1+$AD76)^(N$4-$E$4),0),IF($AB76="ALTH",ROUND($AE76+$AF76*N$4,0),IF($AB76="IR",ROUND(Proyeccion_Localidades!AK76,0),IF($AB76="RT",ROUND(Proyeccion_Localidades!BH76,0),"*****"))))</f>
        <v>11591</v>
      </c>
      <c r="O76" s="66">
        <f>IF($AB76="TGD",ROUND($E76*(1+$AD76)^(O$4-$E$4),0),IF($AB76="ALTH",ROUND($AE76+$AF76*O$4,0),IF($AB76="IR",ROUND(Proyeccion_Localidades!AL76,0),IF($AB76="RT",ROUND(Proyeccion_Localidades!BI76,0),"*****"))))</f>
        <v>11808</v>
      </c>
      <c r="P76" s="66">
        <f>IF($AB76="TGD",ROUND($E76*(1+$AD76)^(P$4-$E$4),0),IF($AB76="ALTH",ROUND($AE76+$AF76*P$4,0),IF($AB76="IR",ROUND(Proyeccion_Localidades!AM76,0),IF($AB76="RT",ROUND(Proyeccion_Localidades!BJ76,0),"*****"))))</f>
        <v>12026</v>
      </c>
      <c r="Q76" s="66">
        <f>IF($AB76="TGD",ROUND($E76*(1+$AD76)^(Q$4-$E$4),0),IF($AB76="ALTH",ROUND($AE76+$AF76*Q$4,0),IF($AB76="IR",ROUND(Proyeccion_Localidades!AN76,0),IF($AB76="RT",ROUND(Proyeccion_Localidades!BK76,0),"*****"))))</f>
        <v>12243</v>
      </c>
      <c r="R76" s="66">
        <f>IF($AB76="TGD",ROUND($E76*(1+$AD76)^(R$4-$E$4),0),IF($AB76="ALTH",ROUND($AE76+$AF76*R$4,0),IF($AB76="IR",ROUND(Proyeccion_Localidades!AO76,0),IF($AB76="RT",ROUND(Proyeccion_Localidades!BL76,0),"*****"))))</f>
        <v>12461</v>
      </c>
      <c r="S76" s="66">
        <f>IF($AB76="TGD",ROUND($E76*(1+$AD76)^(S$4-$E$4),0),IF($AB76="ALTH",ROUND($AE76+$AF76*S$4,0),IF($AB76="IR",ROUND(Proyeccion_Localidades!AP76,0),IF($AB76="RT",ROUND(Proyeccion_Localidades!BM76,0),"*****"))))</f>
        <v>12678</v>
      </c>
      <c r="T76" s="66">
        <f>IF($AB76="TGD",ROUND($E76*(1+$AD76)^(T$4-$E$4),0),IF($AB76="ALTH",ROUND($AE76+$AF76*T$4,0),IF($AB76="IR",ROUND(Proyeccion_Localidades!AQ76,0),IF($AB76="RT",ROUND(Proyeccion_Localidades!BN76,0),"*****"))))</f>
        <v>12896</v>
      </c>
      <c r="U76" s="66">
        <f>IF($AB76="TGD",ROUND($E76*(1+$AD76)^(U$4-$E$4),0),IF($AB76="ALTH",ROUND($AE76+$AF76*U$4,0),IF($AB76="IR",ROUND(Proyeccion_Localidades!AR76,0),IF($AB76="RT",ROUND(Proyeccion_Localidades!BO76,0),"*****"))))</f>
        <v>13113</v>
      </c>
      <c r="V76" s="66">
        <f>IF($AB76="TGD",ROUND($E76*(1+$AD76)^(V$4-$E$4),0),IF($AB76="ALTH",ROUND($AE76+$AF76*V$4,0),IF($AB76="IR",ROUND(Proyeccion_Localidades!AS76,0),IF($AB76="RT",ROUND(Proyeccion_Localidades!BP76,0),"*****"))))</f>
        <v>13331</v>
      </c>
      <c r="W76" s="66">
        <f>IF($AB76="TGD",ROUND($E76*(1+$AD76)^(W$4-$E$4),0),IF($AB76="ALTH",ROUND($AE76+$AF76*W$4,0),IF($AB76="IR",ROUND(Proyeccion_Localidades!AT76,0),IF($AB76="RT",ROUND(Proyeccion_Localidades!BQ76,0),"*****"))))</f>
        <v>13548</v>
      </c>
      <c r="X76" s="66">
        <f>IF($AB76="TGD",ROUND($E76*(1+$AD76)^(X$4-$E$4),0),IF($AB76="ALTH",ROUND($AE76+$AF76*X$4,0),IF($AB76="IR",ROUND(Proyeccion_Localidades!AU76,0),IF($AB76="RT",ROUND(Proyeccion_Localidades!BR76,0),"*****"))))</f>
        <v>13766</v>
      </c>
      <c r="Y76" s="66">
        <f>IF($AB76="TGD",ROUND($E76*(1+$AD76)^(Y$4-$E$4),0),IF($AB76="ALTH",ROUND($AE76+$AF76*Y$4,0),IF($AB76="IR",ROUND(Proyeccion_Localidades!AV76,0),IF($AB76="RT",ROUND(Proyeccion_Localidades!BS76,0),"*****"))))</f>
        <v>13983</v>
      </c>
      <c r="Z76" s="66">
        <f>IF($AB76="TGD",ROUND($E76*(1+$AD76)^(Z$4-$E$4),0),IF($AB76="ALTH",ROUND($AE76+$AF76*Z$4,0),IF($AB76="IR",ROUND(Proyeccion_Localidades!AW76,0),IF($AB76="RT",ROUND(Proyeccion_Localidades!BT76,0),"*****"))))</f>
        <v>14200</v>
      </c>
      <c r="AA76" s="66">
        <f>IF($AB76="TGD",ROUND($E76*(1+$AD76)^(AA$4-$E$4),0),IF($AB76="ALTH",ROUND($AE76+$AF76*AA$4,0),IF($AB76="IR",ROUND(Proyeccion_Localidades!AX76,0),IF($AB76="RT",ROUND(Proyeccion_Localidades!BU76,0),"*****"))))</f>
        <v>14418</v>
      </c>
      <c r="AB76" s="67" t="str">
        <f>Proyeccion_Localidades!N76</f>
        <v>RT</v>
      </c>
      <c r="AC76" s="73"/>
      <c r="AD76" s="51" t="str">
        <f>IF(AB76="TGD",Proyeccion_Localidades!Z76,"-")</f>
        <v>-</v>
      </c>
      <c r="AE76" s="51" t="str">
        <f>IF($AB76="ALTH",Proyeccion_Localidades!AA76,"-")</f>
        <v>-</v>
      </c>
      <c r="AF76" s="51" t="str">
        <f>IF($AB76="ALTH",Proyeccion_Localidades!AB76,"-")</f>
        <v>-</v>
      </c>
      <c r="AG76" s="51"/>
      <c r="AH76" s="51"/>
      <c r="AI76" s="66">
        <f t="shared" si="5"/>
        <v>9918</v>
      </c>
    </row>
    <row r="77" spans="1:36" ht="24.95" customHeight="1">
      <c r="A77" s="84" t="str">
        <f>+Proyeccion_Localidades!C77</f>
        <v>General Pinto</v>
      </c>
      <c r="B77" s="70">
        <f t="shared" si="4"/>
        <v>72</v>
      </c>
      <c r="C77" s="71" t="str">
        <f>+Proyeccion_Localidades!B77</f>
        <v>General Pinto</v>
      </c>
      <c r="D77" s="261">
        <f t="shared" si="6"/>
        <v>72</v>
      </c>
      <c r="E77" s="72">
        <f>+Proyeccion_Localidades!F77</f>
        <v>6557</v>
      </c>
      <c r="F77" s="66">
        <f>IF($AB77="TGD",ROUND($E77*(1+$AD77)^(F$4-$E$4),0),IF($AB77="ALTH",ROUND($AE77+$AF77*F$4,0),IF($AB77="IR",ROUND(Proyeccion_Localidades!AC77,0),IF($AB77="RT",ROUND(Proyeccion_Localidades!AZ77,0),"*****"))))</f>
        <v>7089</v>
      </c>
      <c r="G77" s="66">
        <f>IF($AB77="TGD",ROUND($E77*(1+$AD77)^(G$4-$E$4),0),IF($AB77="ALTH",ROUND($AE77+$AF77*G$4,0),IF($AB77="IR",ROUND(Proyeccion_Localidades!AD77,0),IF($AB77="RT",ROUND(Proyeccion_Localidades!BA77,0),"*****"))))</f>
        <v>7133</v>
      </c>
      <c r="H77" s="66">
        <f>IF($AB77="TGD",ROUND($E77*(1+$AD77)^(H$4-$E$4),0),IF($AB77="ALTH",ROUND($AE77+$AF77*H$4,0),IF($AB77="IR",ROUND(Proyeccion_Localidades!AE77,0),IF($AB77="RT",ROUND(Proyeccion_Localidades!BB77,0),"*****"))))</f>
        <v>7267</v>
      </c>
      <c r="I77" s="66">
        <f>IF($AB77="TGD",ROUND($E77*(1+$AD77)^(I$4-$E$4),0),IF($AB77="ALTH",ROUND($AE77+$AF77*I$4,0),IF($AB77="IR",ROUND(Proyeccion_Localidades!AF77,0),IF($AB77="RT",ROUND(Proyeccion_Localidades!BC77,0),"*****"))))</f>
        <v>7311</v>
      </c>
      <c r="J77" s="66">
        <f>IF($AB77="TGD",ROUND($E77*(1+$AD77)^(J$4-$E$4),0),IF($AB77="ALTH",ROUND($AE77+$AF77*J$4,0),IF($AB77="IR",ROUND(Proyeccion_Localidades!AG77,0),IF($AB77="RT",ROUND(Proyeccion_Localidades!BD77,0),"*****"))))</f>
        <v>7355</v>
      </c>
      <c r="K77" s="66">
        <f>IF($AB77="TGD",ROUND($E77*(1+$AD77)^(K$4-$E$4),0),IF($AB77="ALTH",ROUND($AE77+$AF77*K$4,0),IF($AB77="IR",ROUND(Proyeccion_Localidades!AH77,0),IF($AB77="RT",ROUND(Proyeccion_Localidades!BE77,0),"*****"))))</f>
        <v>7400</v>
      </c>
      <c r="L77" s="66">
        <f>IF($AB77="TGD",ROUND($E77*(1+$AD77)^(L$4-$E$4),0),IF($AB77="ALTH",ROUND($AE77+$AF77*L$4,0),IF($AB77="IR",ROUND(Proyeccion_Localidades!AI77,0),IF($AB77="RT",ROUND(Proyeccion_Localidades!BF77,0),"*****"))))</f>
        <v>7444</v>
      </c>
      <c r="M77" s="66">
        <f>IF($AB77="TGD",ROUND($E77*(1+$AD77)^(M$4-$E$4),0),IF($AB77="ALTH",ROUND($AE77+$AF77*M$4,0),IF($AB77="IR",ROUND(Proyeccion_Localidades!AJ77,0),IF($AB77="RT",ROUND(Proyeccion_Localidades!BG77,0),"*****"))))</f>
        <v>7489</v>
      </c>
      <c r="N77" s="66">
        <f>IF($AB77="TGD",ROUND($E77*(1+$AD77)^(N$4-$E$4),0),IF($AB77="ALTH",ROUND($AE77+$AF77*N$4,0),IF($AB77="IR",ROUND(Proyeccion_Localidades!AK77,0),IF($AB77="RT",ROUND(Proyeccion_Localidades!BH77,0),"*****"))))</f>
        <v>7533</v>
      </c>
      <c r="O77" s="66">
        <f>IF($AB77="TGD",ROUND($E77*(1+$AD77)^(O$4-$E$4),0),IF($AB77="ALTH",ROUND($AE77+$AF77*O$4,0),IF($AB77="IR",ROUND(Proyeccion_Localidades!AL77,0),IF($AB77="RT",ROUND(Proyeccion_Localidades!BI77,0),"*****"))))</f>
        <v>7577</v>
      </c>
      <c r="P77" s="66">
        <f>IF($AB77="TGD",ROUND($E77*(1+$AD77)^(P$4-$E$4),0),IF($AB77="ALTH",ROUND($AE77+$AF77*P$4,0),IF($AB77="IR",ROUND(Proyeccion_Localidades!AM77,0),IF($AB77="RT",ROUND(Proyeccion_Localidades!BJ77,0),"*****"))))</f>
        <v>7622</v>
      </c>
      <c r="Q77" s="66">
        <f>IF($AB77="TGD",ROUND($E77*(1+$AD77)^(Q$4-$E$4),0),IF($AB77="ALTH",ROUND($AE77+$AF77*Q$4,0),IF($AB77="IR",ROUND(Proyeccion_Localidades!AN77,0),IF($AB77="RT",ROUND(Proyeccion_Localidades!BK77,0),"*****"))))</f>
        <v>7666</v>
      </c>
      <c r="R77" s="66">
        <f>IF($AB77="TGD",ROUND($E77*(1+$AD77)^(R$4-$E$4),0),IF($AB77="ALTH",ROUND($AE77+$AF77*R$4,0),IF($AB77="IR",ROUND(Proyeccion_Localidades!AO77,0),IF($AB77="RT",ROUND(Proyeccion_Localidades!BL77,0),"*****"))))</f>
        <v>7711</v>
      </c>
      <c r="S77" s="66">
        <f>IF($AB77="TGD",ROUND($E77*(1+$AD77)^(S$4-$E$4),0),IF($AB77="ALTH",ROUND($AE77+$AF77*S$4,0),IF($AB77="IR",ROUND(Proyeccion_Localidades!AP77,0),IF($AB77="RT",ROUND(Proyeccion_Localidades!BM77,0),"*****"))))</f>
        <v>7755</v>
      </c>
      <c r="T77" s="66">
        <f>IF($AB77="TGD",ROUND($E77*(1+$AD77)^(T$4-$E$4),0),IF($AB77="ALTH",ROUND($AE77+$AF77*T$4,0),IF($AB77="IR",ROUND(Proyeccion_Localidades!AQ77,0),IF($AB77="RT",ROUND(Proyeccion_Localidades!BN77,0),"*****"))))</f>
        <v>7799</v>
      </c>
      <c r="U77" s="66">
        <f>IF($AB77="TGD",ROUND($E77*(1+$AD77)^(U$4-$E$4),0),IF($AB77="ALTH",ROUND($AE77+$AF77*U$4,0),IF($AB77="IR",ROUND(Proyeccion_Localidades!AR77,0),IF($AB77="RT",ROUND(Proyeccion_Localidades!BO77,0),"*****"))))</f>
        <v>7844</v>
      </c>
      <c r="V77" s="66">
        <f>IF($AB77="TGD",ROUND($E77*(1+$AD77)^(V$4-$E$4),0),IF($AB77="ALTH",ROUND($AE77+$AF77*V$4,0),IF($AB77="IR",ROUND(Proyeccion_Localidades!AS77,0),IF($AB77="RT",ROUND(Proyeccion_Localidades!BP77,0),"*****"))))</f>
        <v>7888</v>
      </c>
      <c r="W77" s="66">
        <f>IF($AB77="TGD",ROUND($E77*(1+$AD77)^(W$4-$E$4),0),IF($AB77="ALTH",ROUND($AE77+$AF77*W$4,0),IF($AB77="IR",ROUND(Proyeccion_Localidades!AT77,0),IF($AB77="RT",ROUND(Proyeccion_Localidades!BQ77,0),"*****"))))</f>
        <v>7933</v>
      </c>
      <c r="X77" s="66">
        <f>IF($AB77="TGD",ROUND($E77*(1+$AD77)^(X$4-$E$4),0),IF($AB77="ALTH",ROUND($AE77+$AF77*X$4,0),IF($AB77="IR",ROUND(Proyeccion_Localidades!AU77,0),IF($AB77="RT",ROUND(Proyeccion_Localidades!BR77,0),"*****"))))</f>
        <v>7977</v>
      </c>
      <c r="Y77" s="66">
        <f>IF($AB77="TGD",ROUND($E77*(1+$AD77)^(Y$4-$E$4),0),IF($AB77="ALTH",ROUND($AE77+$AF77*Y$4,0),IF($AB77="IR",ROUND(Proyeccion_Localidades!AV77,0),IF($AB77="RT",ROUND(Proyeccion_Localidades!BS77,0),"*****"))))</f>
        <v>8022</v>
      </c>
      <c r="Z77" s="66">
        <f>IF($AB77="TGD",ROUND($E77*(1+$AD77)^(Z$4-$E$4),0),IF($AB77="ALTH",ROUND($AE77+$AF77*Z$4,0),IF($AB77="IR",ROUND(Proyeccion_Localidades!AW77,0),IF($AB77="RT",ROUND(Proyeccion_Localidades!BT77,0),"*****"))))</f>
        <v>8066</v>
      </c>
      <c r="AA77" s="66">
        <f>IF($AB77="TGD",ROUND($E77*(1+$AD77)^(AA$4-$E$4),0),IF($AB77="ALTH",ROUND($AE77+$AF77*AA$4,0),IF($AB77="IR",ROUND(Proyeccion_Localidades!AX77,0),IF($AB77="RT",ROUND(Proyeccion_Localidades!BU77,0),"*****"))))</f>
        <v>8110</v>
      </c>
      <c r="AB77" s="67" t="str">
        <f>Proyeccion_Localidades!N77</f>
        <v>ALTH</v>
      </c>
      <c r="AC77" s="68" t="s">
        <v>36</v>
      </c>
      <c r="AD77" s="51" t="str">
        <f>IF(AB77="TGD",Proyeccion_Localidades!Z77,"-")</f>
        <v>-</v>
      </c>
      <c r="AE77" s="51">
        <f>IF($AB77="ALTH",Proyeccion_Localidades!AA77,"-")</f>
        <v>-82718.53505535057</v>
      </c>
      <c r="AF77" s="51">
        <f>IF($AB77="ALTH",Proyeccion_Localidades!AB77,"-")</f>
        <v>44.415129151291517</v>
      </c>
      <c r="AG77" s="51"/>
      <c r="AH77" s="51"/>
      <c r="AI77" s="66">
        <f t="shared" si="5"/>
        <v>7133</v>
      </c>
    </row>
    <row r="78" spans="1:36" ht="24.95" customHeight="1">
      <c r="A78" s="84" t="str">
        <f>+Proyeccion_Localidades!C78</f>
        <v>General Pueyrredón</v>
      </c>
      <c r="B78" s="70">
        <f t="shared" si="4"/>
        <v>73</v>
      </c>
      <c r="C78" s="71" t="str">
        <f>+Proyeccion_Localidades!B78</f>
        <v>Mar del Plata</v>
      </c>
      <c r="D78" s="261">
        <f t="shared" si="6"/>
        <v>73</v>
      </c>
      <c r="E78" s="72">
        <f>+Proyeccion_Localidades!F78</f>
        <v>593337</v>
      </c>
      <c r="F78" s="66">
        <f>IF($AB78="TGD",ROUND($E78*(1+$AD78)^(F$4-$E$4),0),IF($AB78="ALTH",ROUND($AE78+$AF78*F$4,0),IF($AB78="IR",ROUND(Proyeccion_Localidades!AC78,0),IF($AB78="RT",ROUND(Proyeccion_Localidades!AZ78,0),"*****"))))</f>
        <v>651564</v>
      </c>
      <c r="G78" s="66">
        <f>IF($AB78="TGD",ROUND($E78*(1+$AD78)^(G$4-$E$4),0),IF($AB78="ALTH",ROUND($AE78+$AF78*G$4,0),IF($AB78="IR",ROUND(Proyeccion_Localidades!AD78,0),IF($AB78="RT",ROUND(Proyeccion_Localidades!BA78,0),"*****"))))</f>
        <v>656667</v>
      </c>
      <c r="H78" s="66">
        <f>IF($AB78="TGD",ROUND($E78*(1+$AD78)^(H$4-$E$4),0),IF($AB78="ALTH",ROUND($AE78+$AF78*H$4,0),IF($AB78="IR",ROUND(Proyeccion_Localidades!AE78,0),IF($AB78="RT",ROUND(Proyeccion_Localidades!BB78,0),"*****"))))</f>
        <v>672217</v>
      </c>
      <c r="I78" s="66">
        <f>IF($AB78="TGD",ROUND($E78*(1+$AD78)^(I$4-$E$4),0),IF($AB78="ALTH",ROUND($AE78+$AF78*I$4,0),IF($AB78="IR",ROUND(Proyeccion_Localidades!AF78,0),IF($AB78="RT",ROUND(Proyeccion_Localidades!BC78,0),"*****"))))</f>
        <v>677481</v>
      </c>
      <c r="J78" s="66">
        <f>IF($AB78="TGD",ROUND($E78*(1+$AD78)^(J$4-$E$4),0),IF($AB78="ALTH",ROUND($AE78+$AF78*J$4,0),IF($AB78="IR",ROUND(Proyeccion_Localidades!AG78,0),IF($AB78="RT",ROUND(Proyeccion_Localidades!BD78,0),"*****"))))</f>
        <v>682787</v>
      </c>
      <c r="K78" s="66">
        <f>IF($AB78="TGD",ROUND($E78*(1+$AD78)^(K$4-$E$4),0),IF($AB78="ALTH",ROUND($AE78+$AF78*K$4,0),IF($AB78="IR",ROUND(Proyeccion_Localidades!AH78,0),IF($AB78="RT",ROUND(Proyeccion_Localidades!BE78,0),"*****"))))</f>
        <v>688134</v>
      </c>
      <c r="L78" s="66">
        <f>IF($AB78="TGD",ROUND($E78*(1+$AD78)^(L$4-$E$4),0),IF($AB78="ALTH",ROUND($AE78+$AF78*L$4,0),IF($AB78="IR",ROUND(Proyeccion_Localidades!AI78,0),IF($AB78="RT",ROUND(Proyeccion_Localidades!BF78,0),"*****"))))</f>
        <v>693523</v>
      </c>
      <c r="M78" s="66">
        <f>IF($AB78="TGD",ROUND($E78*(1+$AD78)^(M$4-$E$4),0),IF($AB78="ALTH",ROUND($AE78+$AF78*M$4,0),IF($AB78="IR",ROUND(Proyeccion_Localidades!AJ78,0),IF($AB78="RT",ROUND(Proyeccion_Localidades!BG78,0),"*****"))))</f>
        <v>698955</v>
      </c>
      <c r="N78" s="66">
        <f>IF($AB78="TGD",ROUND($E78*(1+$AD78)^(N$4-$E$4),0),IF($AB78="ALTH",ROUND($AE78+$AF78*N$4,0),IF($AB78="IR",ROUND(Proyeccion_Localidades!AK78,0),IF($AB78="RT",ROUND(Proyeccion_Localidades!BH78,0),"*****"))))</f>
        <v>704429</v>
      </c>
      <c r="O78" s="66">
        <f>IF($AB78="TGD",ROUND($E78*(1+$AD78)^(O$4-$E$4),0),IF($AB78="ALTH",ROUND($AE78+$AF78*O$4,0),IF($AB78="IR",ROUND(Proyeccion_Localidades!AL78,0),IF($AB78="RT",ROUND(Proyeccion_Localidades!BI78,0),"*****"))))</f>
        <v>709946</v>
      </c>
      <c r="P78" s="66">
        <f>IF($AB78="TGD",ROUND($E78*(1+$AD78)^(P$4-$E$4),0),IF($AB78="ALTH",ROUND($AE78+$AF78*P$4,0),IF($AB78="IR",ROUND(Proyeccion_Localidades!AM78,0),IF($AB78="RT",ROUND(Proyeccion_Localidades!BJ78,0),"*****"))))</f>
        <v>715506</v>
      </c>
      <c r="Q78" s="66">
        <f>IF($AB78="TGD",ROUND($E78*(1+$AD78)^(Q$4-$E$4),0),IF($AB78="ALTH",ROUND($AE78+$AF78*Q$4,0),IF($AB78="IR",ROUND(Proyeccion_Localidades!AN78,0),IF($AB78="RT",ROUND(Proyeccion_Localidades!BK78,0),"*****"))))</f>
        <v>721109</v>
      </c>
      <c r="R78" s="66">
        <f>IF($AB78="TGD",ROUND($E78*(1+$AD78)^(R$4-$E$4),0),IF($AB78="ALTH",ROUND($AE78+$AF78*R$4,0),IF($AB78="IR",ROUND(Proyeccion_Localidades!AO78,0),IF($AB78="RT",ROUND(Proyeccion_Localidades!BL78,0),"*****"))))</f>
        <v>726757</v>
      </c>
      <c r="S78" s="66">
        <f>IF($AB78="TGD",ROUND($E78*(1+$AD78)^(S$4-$E$4),0),IF($AB78="ALTH",ROUND($AE78+$AF78*S$4,0),IF($AB78="IR",ROUND(Proyeccion_Localidades!AP78,0),IF($AB78="RT",ROUND(Proyeccion_Localidades!BM78,0),"*****"))))</f>
        <v>732448</v>
      </c>
      <c r="T78" s="66">
        <f>IF($AB78="TGD",ROUND($E78*(1+$AD78)^(T$4-$E$4),0),IF($AB78="ALTH",ROUND($AE78+$AF78*T$4,0),IF($AB78="IR",ROUND(Proyeccion_Localidades!AQ78,0),IF($AB78="RT",ROUND(Proyeccion_Localidades!BN78,0),"*****"))))</f>
        <v>738185</v>
      </c>
      <c r="U78" s="66">
        <f>IF($AB78="TGD",ROUND($E78*(1+$AD78)^(U$4-$E$4),0),IF($AB78="ALTH",ROUND($AE78+$AF78*U$4,0),IF($AB78="IR",ROUND(Proyeccion_Localidades!AR78,0),IF($AB78="RT",ROUND(Proyeccion_Localidades!BO78,0),"*****"))))</f>
        <v>743966</v>
      </c>
      <c r="V78" s="66">
        <f>IF($AB78="TGD",ROUND($E78*(1+$AD78)^(V$4-$E$4),0),IF($AB78="ALTH",ROUND($AE78+$AF78*V$4,0),IF($AB78="IR",ROUND(Proyeccion_Localidades!AS78,0),IF($AB78="RT",ROUND(Proyeccion_Localidades!BP78,0),"*****"))))</f>
        <v>749792</v>
      </c>
      <c r="W78" s="66">
        <f>IF($AB78="TGD",ROUND($E78*(1+$AD78)^(W$4-$E$4),0),IF($AB78="ALTH",ROUND($AE78+$AF78*W$4,0),IF($AB78="IR",ROUND(Proyeccion_Localidades!AT78,0),IF($AB78="RT",ROUND(Proyeccion_Localidades!BQ78,0),"*****"))))</f>
        <v>755664</v>
      </c>
      <c r="X78" s="66">
        <f>IF($AB78="TGD",ROUND($E78*(1+$AD78)^(X$4-$E$4),0),IF($AB78="ALTH",ROUND($AE78+$AF78*X$4,0),IF($AB78="IR",ROUND(Proyeccion_Localidades!AU78,0),IF($AB78="RT",ROUND(Proyeccion_Localidades!BR78,0),"*****"))))</f>
        <v>761582</v>
      </c>
      <c r="Y78" s="66">
        <f>IF($AB78="TGD",ROUND($E78*(1+$AD78)^(Y$4-$E$4),0),IF($AB78="ALTH",ROUND($AE78+$AF78*Y$4,0),IF($AB78="IR",ROUND(Proyeccion_Localidades!AV78,0),IF($AB78="RT",ROUND(Proyeccion_Localidades!BS78,0),"*****"))))</f>
        <v>767547</v>
      </c>
      <c r="Z78" s="66">
        <f>IF($AB78="TGD",ROUND($E78*(1+$AD78)^(Z$4-$E$4),0),IF($AB78="ALTH",ROUND($AE78+$AF78*Z$4,0),IF($AB78="IR",ROUND(Proyeccion_Localidades!AW78,0),IF($AB78="RT",ROUND(Proyeccion_Localidades!BT78,0),"*****"))))</f>
        <v>773558</v>
      </c>
      <c r="AA78" s="66">
        <f>IF($AB78="TGD",ROUND($E78*(1+$AD78)^(AA$4-$E$4),0),IF($AB78="ALTH",ROUND($AE78+$AF78*AA$4,0),IF($AB78="IR",ROUND(Proyeccion_Localidades!AX78,0),IF($AB78="RT",ROUND(Proyeccion_Localidades!BU78,0),"*****"))))</f>
        <v>779616</v>
      </c>
      <c r="AB78" s="67" t="str">
        <f>Proyeccion_Localidades!N78</f>
        <v>TGD</v>
      </c>
      <c r="AC78" s="68" t="s">
        <v>35</v>
      </c>
      <c r="AD78" s="51">
        <f>IF(AB78="TGD",Proyeccion_Localidades!Z78,"-")</f>
        <v>7.8316293497922018E-3</v>
      </c>
      <c r="AE78" s="51" t="str">
        <f>IF($AB78="ALTH",Proyeccion_Localidades!AA78,"-")</f>
        <v>-</v>
      </c>
      <c r="AF78" s="51" t="str">
        <f>IF($AB78="ALTH",Proyeccion_Localidades!AB78,"-")</f>
        <v>-</v>
      </c>
      <c r="AG78" s="51"/>
      <c r="AH78" s="51"/>
      <c r="AI78" s="66">
        <f t="shared" si="5"/>
        <v>656667</v>
      </c>
    </row>
    <row r="79" spans="1:36" ht="24.95" customHeight="1">
      <c r="A79" s="74" t="s">
        <v>40</v>
      </c>
      <c r="B79" s="75">
        <v>73.099999999999994</v>
      </c>
      <c r="C79" s="76" t="s">
        <v>41</v>
      </c>
      <c r="D79" s="261">
        <f t="shared" si="6"/>
        <v>73.099999999999994</v>
      </c>
      <c r="E79" s="77">
        <f>ROUND(G79/G78*E78,0)</f>
        <v>234708</v>
      </c>
      <c r="F79" s="78">
        <f>INDEX(Turísticas!$A$5:$AA$13,MATCH("Mar del Plata",Turísticas!$A$5:$A$13,0),MATCH(Verif!F$4,Turísticas!$B$4:$AA$4,0)+1)</f>
        <v>257741</v>
      </c>
      <c r="G79" s="78">
        <f>INDEX(Turísticas!$A$5:$AA$13,MATCH("Mar del Plata",Turísticas!$A$5:$A$13,0),MATCH(Verif!G$4,Turísticas!$B$4:$AA$4,0)+1)</f>
        <v>259760</v>
      </c>
      <c r="H79" s="78">
        <f>INDEX(Turísticas!$A$5:$AA$13,MATCH("Mar del Plata",Turísticas!$A$5:$A$13,0),MATCH(Verif!H$4,Turísticas!$B$4:$AA$4,0)+1)</f>
        <v>265910</v>
      </c>
      <c r="I79" s="78">
        <f>INDEX(Turísticas!$A$5:$AA$13,MATCH("Mar del Plata",Turísticas!$A$5:$A$13,0),MATCH(Verif!I$4,Turísticas!$B$4:$AA$4,0)+1)</f>
        <v>267992</v>
      </c>
      <c r="J79" s="78">
        <f>INDEX(Turísticas!$A$5:$AA$13,MATCH("Mar del Plata",Turísticas!$A$5:$A$13,0),MATCH(Verif!J$4,Turísticas!$B$4:$AA$4,0)+1)</f>
        <v>270091</v>
      </c>
      <c r="K79" s="78">
        <f>INDEX(Turísticas!$A$5:$AA$13,MATCH("Mar del Plata",Turísticas!$A$5:$A$13,0),MATCH(Verif!K$4,Turísticas!$B$4:$AA$4,0)+1)</f>
        <v>272206</v>
      </c>
      <c r="L79" s="78">
        <f>INDEX(Turísticas!$A$5:$AA$13,MATCH("Mar del Plata",Turísticas!$A$5:$A$13,0),MATCH(Verif!L$4,Turísticas!$B$4:$AA$4,0)+1)</f>
        <v>274338</v>
      </c>
      <c r="M79" s="78">
        <f>INDEX(Turísticas!$A$5:$AA$13,MATCH("Mar del Plata",Turísticas!$A$5:$A$13,0),MATCH(Verif!M$4,Turísticas!$B$4:$AA$4,0)+1)</f>
        <v>276487</v>
      </c>
      <c r="N79" s="78">
        <f>INDEX(Turísticas!$A$5:$AA$13,MATCH("Mar del Plata",Turísticas!$A$5:$A$13,0),MATCH(Verif!N$4,Turísticas!$B$4:$AA$4,0)+1)</f>
        <v>278652</v>
      </c>
      <c r="O79" s="78">
        <f>INDEX(Turísticas!$A$5:$AA$13,MATCH("Mar del Plata",Turísticas!$A$5:$A$13,0),MATCH(Verif!O$4,Turísticas!$B$4:$AA$4,0)+1)</f>
        <v>280834</v>
      </c>
      <c r="P79" s="78">
        <f>INDEX(Turísticas!$A$5:$AA$13,MATCH("Mar del Plata",Turísticas!$A$5:$A$13,0),MATCH(Verif!P$4,Turísticas!$B$4:$AA$4,0)+1)</f>
        <v>283033</v>
      </c>
      <c r="Q79" s="78">
        <f>INDEX(Turísticas!$A$5:$AA$13,MATCH("Mar del Plata",Turísticas!$A$5:$A$13,0),MATCH(Verif!Q$4,Turísticas!$B$4:$AA$4,0)+1)</f>
        <v>285249</v>
      </c>
      <c r="R79" s="78">
        <f>INDEX(Turísticas!$A$5:$AA$13,MATCH("Mar del Plata",Turísticas!$A$5:$A$13,0),MATCH(Verif!R$4,Turísticas!$B$4:$AA$4,0)+1)</f>
        <v>287483</v>
      </c>
      <c r="S79" s="78">
        <f>INDEX(Turísticas!$A$5:$AA$13,MATCH("Mar del Plata",Turísticas!$A$5:$A$13,0),MATCH(Verif!S$4,Turísticas!$B$4:$AA$4,0)+1)</f>
        <v>289734</v>
      </c>
      <c r="T79" s="78">
        <f>INDEX(Turísticas!$A$5:$AA$13,MATCH("Mar del Plata",Turísticas!$A$5:$A$13,0),MATCH(Verif!T$4,Turísticas!$B$4:$AA$4,0)+1)</f>
        <v>292003</v>
      </c>
      <c r="U79" s="78">
        <f>INDEX(Turísticas!$A$5:$AA$13,MATCH("Mar del Plata",Turísticas!$A$5:$A$13,0),MATCH(Verif!U$4,Turísticas!$B$4:$AA$4,0)+1)</f>
        <v>294290</v>
      </c>
      <c r="V79" s="78">
        <f>INDEX(Turísticas!$A$5:$AA$13,MATCH("Mar del Plata",Turísticas!$A$5:$A$13,0),MATCH(Verif!V$4,Turísticas!$B$4:$AA$4,0)+1)</f>
        <v>296595</v>
      </c>
      <c r="W79" s="78">
        <f>INDEX(Turísticas!$A$5:$AA$13,MATCH("Mar del Plata",Turísticas!$A$5:$A$13,0),MATCH(Verif!W$4,Turísticas!$B$4:$AA$4,0)+1)</f>
        <v>298918</v>
      </c>
      <c r="X79" s="78">
        <f>INDEX(Turísticas!$A$5:$AA$13,MATCH("Mar del Plata",Turísticas!$A$5:$A$13,0),MATCH(Verif!X$4,Turísticas!$B$4:$AA$4,0)+1)</f>
        <v>301259</v>
      </c>
      <c r="Y79" s="78">
        <f>INDEX(Turísticas!$A$5:$AA$13,MATCH("Mar del Plata",Turísticas!$A$5:$A$13,0),MATCH(Verif!Y$4,Turísticas!$B$4:$AA$4,0)+1)</f>
        <v>303619</v>
      </c>
      <c r="Z79" s="78">
        <f>INDEX(Turísticas!$A$5:$AA$13,MATCH("Mar del Plata",Turísticas!$A$5:$A$13,0),MATCH(Verif!Z$4,Turísticas!$B$4:$AA$4,0)+1)</f>
        <v>305997</v>
      </c>
      <c r="AA79" s="78">
        <f>INDEX(Turísticas!$A$5:$AA$13,MATCH("Mar del Plata",Turísticas!$A$5:$A$13,0),MATCH(Verif!AA$4,Turísticas!$B$4:$AA$4,0)+1)</f>
        <v>308393</v>
      </c>
      <c r="AB79" s="79" t="s">
        <v>39</v>
      </c>
      <c r="AC79" s="85"/>
      <c r="AD79" s="51" t="str">
        <f>IF(AB79="TGD",Proyeccion_Localidades!Z79,"-")</f>
        <v>-</v>
      </c>
      <c r="AE79" s="51" t="str">
        <f>IF($AB79="ALTH",Proyeccion_Localidades!AA79,"-")</f>
        <v>-</v>
      </c>
      <c r="AF79" s="51" t="str">
        <f>IF($AB79="ALTH",Proyeccion_Localidades!AB79,"-")</f>
        <v>-</v>
      </c>
      <c r="AG79" s="81"/>
      <c r="AH79" s="81"/>
      <c r="AI79" s="82">
        <f t="shared" si="5"/>
        <v>259760</v>
      </c>
      <c r="AJ79" s="83"/>
    </row>
    <row r="80" spans="1:36" ht="24.95" customHeight="1">
      <c r="A80" s="86" t="str">
        <f>+Proyeccion_Localidades!C80</f>
        <v>General Rodríguez</v>
      </c>
      <c r="B80" s="70">
        <f>+B78+1</f>
        <v>74</v>
      </c>
      <c r="C80" s="71" t="str">
        <f>+Proyeccion_Localidades!B80</f>
        <v>General Rodríguez</v>
      </c>
      <c r="D80" s="261">
        <f t="shared" si="6"/>
        <v>74</v>
      </c>
      <c r="E80" s="72">
        <f>+Proyeccion_Localidades!F80</f>
        <v>85315</v>
      </c>
      <c r="F80" s="66">
        <f>IF($AB80="TGD",ROUND($E80*(1+$AD80)^(F$4-$E$4),0),IF($AB80="ALTH",ROUND($AE80+$AF80*F$4,0),IF($AB80="IR",ROUND(Proyeccion_Localidades!AC80,0),IF($AB80="RT",ROUND(Proyeccion_Localidades!AZ80,0),"*****"))))</f>
        <v>134349</v>
      </c>
      <c r="G80" s="66">
        <f>IF($AB80="TGD",ROUND($E80*(1+$AD80)^(G$4-$E$4),0),IF($AB80="ALTH",ROUND($AE80+$AF80*G$4,0),IF($AB80="IR",ROUND(Proyeccion_Localidades!AD80,0),IF($AB80="RT",ROUND(Proyeccion_Localidades!BA80,0),"*****"))))</f>
        <v>138882</v>
      </c>
      <c r="H80" s="66">
        <f>IF($AB80="TGD",ROUND($E80*(1+$AD80)^(H$4-$E$4),0),IF($AB80="ALTH",ROUND($AE80+$AF80*H$4,0),IF($AB80="IR",ROUND(Proyeccion_Localidades!AE80,0),IF($AB80="RT",ROUND(Proyeccion_Localidades!BB80,0),"*****"))))</f>
        <v>152927</v>
      </c>
      <c r="I80" s="66">
        <f>IF($AB80="TGD",ROUND($E80*(1+$AD80)^(I$4-$E$4),0),IF($AB80="ALTH",ROUND($AE80+$AF80*I$4,0),IF($AB80="IR",ROUND(Proyeccion_Localidades!AF80,0),IF($AB80="RT",ROUND(Proyeccion_Localidades!BC80,0),"*****"))))</f>
        <v>157762</v>
      </c>
      <c r="J80" s="66">
        <f>IF($AB80="TGD",ROUND($E80*(1+$AD80)^(J$4-$E$4),0),IF($AB80="ALTH",ROUND($AE80+$AF80*J$4,0),IF($AB80="IR",ROUND(Proyeccion_Localidades!AG80,0),IF($AB80="RT",ROUND(Proyeccion_Localidades!BD80,0),"*****"))))</f>
        <v>162676</v>
      </c>
      <c r="K80" s="66">
        <f>IF($AB80="TGD",ROUND($E80*(1+$AD80)^(K$4-$E$4),0),IF($AB80="ALTH",ROUND($AE80+$AF80*K$4,0),IF($AB80="IR",ROUND(Proyeccion_Localidades!AH80,0),IF($AB80="RT",ROUND(Proyeccion_Localidades!BE80,0),"*****"))))</f>
        <v>167671</v>
      </c>
      <c r="L80" s="66">
        <f>IF($AB80="TGD",ROUND($E80*(1+$AD80)^(L$4-$E$4),0),IF($AB80="ALTH",ROUND($AE80+$AF80*L$4,0),IF($AB80="IR",ROUND(Proyeccion_Localidades!AI80,0),IF($AB80="RT",ROUND(Proyeccion_Localidades!BF80,0),"*****"))))</f>
        <v>172747</v>
      </c>
      <c r="M80" s="66">
        <f>IF($AB80="TGD",ROUND($E80*(1+$AD80)^(M$4-$E$4),0),IF($AB80="ALTH",ROUND($AE80+$AF80*M$4,0),IF($AB80="IR",ROUND(Proyeccion_Localidades!AJ80,0),IF($AB80="RT",ROUND(Proyeccion_Localidades!BG80,0),"*****"))))</f>
        <v>177905</v>
      </c>
      <c r="N80" s="66">
        <f>IF($AB80="TGD",ROUND($E80*(1+$AD80)^(N$4-$E$4),0),IF($AB80="ALTH",ROUND($AE80+$AF80*N$4,0),IF($AB80="IR",ROUND(Proyeccion_Localidades!AK80,0),IF($AB80="RT",ROUND(Proyeccion_Localidades!BH80,0),"*****"))))</f>
        <v>183148</v>
      </c>
      <c r="O80" s="66">
        <f>IF($AB80="TGD",ROUND($E80*(1+$AD80)^(O$4-$E$4),0),IF($AB80="ALTH",ROUND($AE80+$AF80*O$4,0),IF($AB80="IR",ROUND(Proyeccion_Localidades!AL80,0),IF($AB80="RT",ROUND(Proyeccion_Localidades!BI80,0),"*****"))))</f>
        <v>188477</v>
      </c>
      <c r="P80" s="66">
        <f>IF($AB80="TGD",ROUND($E80*(1+$AD80)^(P$4-$E$4),0),IF($AB80="ALTH",ROUND($AE80+$AF80*P$4,0),IF($AB80="IR",ROUND(Proyeccion_Localidades!AM80,0),IF($AB80="RT",ROUND(Proyeccion_Localidades!BJ80,0),"*****"))))</f>
        <v>193892</v>
      </c>
      <c r="Q80" s="66">
        <f>IF($AB80="TGD",ROUND($E80*(1+$AD80)^(Q$4-$E$4),0),IF($AB80="ALTH",ROUND($AE80+$AF80*Q$4,0),IF($AB80="IR",ROUND(Proyeccion_Localidades!AN80,0),IF($AB80="RT",ROUND(Proyeccion_Localidades!BK80,0),"*****"))))</f>
        <v>199395</v>
      </c>
      <c r="R80" s="66">
        <f>IF($AB80="TGD",ROUND($E80*(1+$AD80)^(R$4-$E$4),0),IF($AB80="ALTH",ROUND($AE80+$AF80*R$4,0),IF($AB80="IR",ROUND(Proyeccion_Localidades!AO80,0),IF($AB80="RT",ROUND(Proyeccion_Localidades!BL80,0),"*****"))))</f>
        <v>204989</v>
      </c>
      <c r="S80" s="66">
        <f>IF($AB80="TGD",ROUND($E80*(1+$AD80)^(S$4-$E$4),0),IF($AB80="ALTH",ROUND($AE80+$AF80*S$4,0),IF($AB80="IR",ROUND(Proyeccion_Localidades!AP80,0),IF($AB80="RT",ROUND(Proyeccion_Localidades!BM80,0),"*****"))))</f>
        <v>210673</v>
      </c>
      <c r="T80" s="66">
        <f>IF($AB80="TGD",ROUND($E80*(1+$AD80)^(T$4-$E$4),0),IF($AB80="ALTH",ROUND($AE80+$AF80*T$4,0),IF($AB80="IR",ROUND(Proyeccion_Localidades!AQ80,0),IF($AB80="RT",ROUND(Proyeccion_Localidades!BN80,0),"*****"))))</f>
        <v>216451</v>
      </c>
      <c r="U80" s="66">
        <f>IF($AB80="TGD",ROUND($E80*(1+$AD80)^(U$4-$E$4),0),IF($AB80="ALTH",ROUND($AE80+$AF80*U$4,0),IF($AB80="IR",ROUND(Proyeccion_Localidades!AR80,0),IF($AB80="RT",ROUND(Proyeccion_Localidades!BO80,0),"*****"))))</f>
        <v>222322</v>
      </c>
      <c r="V80" s="66">
        <f>IF($AB80="TGD",ROUND($E80*(1+$AD80)^(V$4-$E$4),0),IF($AB80="ALTH",ROUND($AE80+$AF80*V$4,0),IF($AB80="IR",ROUND(Proyeccion_Localidades!AS80,0),IF($AB80="RT",ROUND(Proyeccion_Localidades!BP80,0),"*****"))))</f>
        <v>228290</v>
      </c>
      <c r="W80" s="66">
        <f>IF($AB80="TGD",ROUND($E80*(1+$AD80)^(W$4-$E$4),0),IF($AB80="ALTH",ROUND($AE80+$AF80*W$4,0),IF($AB80="IR",ROUND(Proyeccion_Localidades!AT80,0),IF($AB80="RT",ROUND(Proyeccion_Localidades!BQ80,0),"*****"))))</f>
        <v>234355</v>
      </c>
      <c r="X80" s="66">
        <f>IF($AB80="TGD",ROUND($E80*(1+$AD80)^(X$4-$E$4),0),IF($AB80="ALTH",ROUND($AE80+$AF80*X$4,0),IF($AB80="IR",ROUND(Proyeccion_Localidades!AU80,0),IF($AB80="RT",ROUND(Proyeccion_Localidades!BR80,0),"*****"))))</f>
        <v>240518</v>
      </c>
      <c r="Y80" s="66">
        <f>IF($AB80="TGD",ROUND($E80*(1+$AD80)^(Y$4-$E$4),0),IF($AB80="ALTH",ROUND($AE80+$AF80*Y$4,0),IF($AB80="IR",ROUND(Proyeccion_Localidades!AV80,0),IF($AB80="RT",ROUND(Proyeccion_Localidades!BS80,0),"*****"))))</f>
        <v>246782</v>
      </c>
      <c r="Z80" s="66">
        <f>IF($AB80="TGD",ROUND($E80*(1+$AD80)^(Z$4-$E$4),0),IF($AB80="ALTH",ROUND($AE80+$AF80*Z$4,0),IF($AB80="IR",ROUND(Proyeccion_Localidades!AW80,0),IF($AB80="RT",ROUND(Proyeccion_Localidades!BT80,0),"*****"))))</f>
        <v>253149</v>
      </c>
      <c r="AA80" s="66">
        <f>IF($AB80="TGD",ROUND($E80*(1+$AD80)^(AA$4-$E$4),0),IF($AB80="ALTH",ROUND($AE80+$AF80*AA$4,0),IF($AB80="IR",ROUND(Proyeccion_Localidades!AX80,0),IF($AB80="RT",ROUND(Proyeccion_Localidades!BU80,0),"*****"))))</f>
        <v>259619</v>
      </c>
      <c r="AB80" s="67" t="str">
        <f>Proyeccion_Localidades!N80</f>
        <v>IR</v>
      </c>
      <c r="AC80" s="73"/>
      <c r="AD80" s="51" t="str">
        <f>IF(AB80="TGD",Proyeccion_Localidades!Z80,"-")</f>
        <v>-</v>
      </c>
      <c r="AE80" s="51" t="str">
        <f>IF($AB80="ALTH",Proyeccion_Localidades!AA80,"-")</f>
        <v>-</v>
      </c>
      <c r="AF80" s="51" t="str">
        <f>IF($AB80="ALTH",Proyeccion_Localidades!AB80,"-")</f>
        <v>-</v>
      </c>
      <c r="AG80" s="51"/>
      <c r="AH80" s="51"/>
      <c r="AI80" s="66">
        <f t="shared" si="5"/>
        <v>138882</v>
      </c>
    </row>
    <row r="81" spans="1:44" ht="24.95" customHeight="1">
      <c r="A81" s="86" t="str">
        <f>+Proyeccion_Localidades!C81</f>
        <v>General Viamonte</v>
      </c>
      <c r="B81" s="70">
        <f t="shared" si="4"/>
        <v>75</v>
      </c>
      <c r="C81" s="71" t="str">
        <f>+Proyeccion_Localidades!B81</f>
        <v>Los Toldos</v>
      </c>
      <c r="D81" s="261">
        <f t="shared" si="6"/>
        <v>75</v>
      </c>
      <c r="E81" s="72">
        <f>+Proyeccion_Localidades!F81</f>
        <v>14496</v>
      </c>
      <c r="F81" s="66">
        <f>IF($AB81="TGD",ROUND($E81*(1+$AD81)^(F$4-$E$4),0),IF($AB81="ALTH",ROUND($AE81+$AF81*F$4,0),IF($AB81="IR",ROUND(Proyeccion_Localidades!AC81,0),IF($AB81="RT",ROUND(Proyeccion_Localidades!AZ81,0),"*****"))))</f>
        <v>15973</v>
      </c>
      <c r="G81" s="66">
        <f>IF($AB81="TGD",ROUND($E81*(1+$AD81)^(G$4-$E$4),0),IF($AB81="ALTH",ROUND($AE81+$AF81*G$4,0),IF($AB81="IR",ROUND(Proyeccion_Localidades!AD81,0),IF($AB81="RT",ROUND(Proyeccion_Localidades!BA81,0),"*****"))))</f>
        <v>16095</v>
      </c>
      <c r="H81" s="66">
        <f>IF($AB81="TGD",ROUND($E81*(1+$AD81)^(H$4-$E$4),0),IF($AB81="ALTH",ROUND($AE81+$AF81*H$4,0),IF($AB81="IR",ROUND(Proyeccion_Localidades!AE81,0),IF($AB81="RT",ROUND(Proyeccion_Localidades!BB81,0),"*****"))))</f>
        <v>16459</v>
      </c>
      <c r="I81" s="66">
        <f>IF($AB81="TGD",ROUND($E81*(1+$AD81)^(I$4-$E$4),0),IF($AB81="ALTH",ROUND($AE81+$AF81*I$4,0),IF($AB81="IR",ROUND(Proyeccion_Localidades!AF81,0),IF($AB81="RT",ROUND(Proyeccion_Localidades!BC81,0),"*****"))))</f>
        <v>16580</v>
      </c>
      <c r="J81" s="66">
        <f>IF($AB81="TGD",ROUND($E81*(1+$AD81)^(J$4-$E$4),0),IF($AB81="ALTH",ROUND($AE81+$AF81*J$4,0),IF($AB81="IR",ROUND(Proyeccion_Localidades!AG81,0),IF($AB81="RT",ROUND(Proyeccion_Localidades!BD81,0),"*****"))))</f>
        <v>16702</v>
      </c>
      <c r="K81" s="66">
        <f>IF($AB81="TGD",ROUND($E81*(1+$AD81)^(K$4-$E$4),0),IF($AB81="ALTH",ROUND($AE81+$AF81*K$4,0),IF($AB81="IR",ROUND(Proyeccion_Localidades!AH81,0),IF($AB81="RT",ROUND(Proyeccion_Localidades!BE81,0),"*****"))))</f>
        <v>16823</v>
      </c>
      <c r="L81" s="66">
        <f>IF($AB81="TGD",ROUND($E81*(1+$AD81)^(L$4-$E$4),0),IF($AB81="ALTH",ROUND($AE81+$AF81*L$4,0),IF($AB81="IR",ROUND(Proyeccion_Localidades!AI81,0),IF($AB81="RT",ROUND(Proyeccion_Localidades!BF81,0),"*****"))))</f>
        <v>16945</v>
      </c>
      <c r="M81" s="66">
        <f>IF($AB81="TGD",ROUND($E81*(1+$AD81)^(M$4-$E$4),0),IF($AB81="ALTH",ROUND($AE81+$AF81*M$4,0),IF($AB81="IR",ROUND(Proyeccion_Localidades!AJ81,0),IF($AB81="RT",ROUND(Proyeccion_Localidades!BG81,0),"*****"))))</f>
        <v>17066</v>
      </c>
      <c r="N81" s="66">
        <f>IF($AB81="TGD",ROUND($E81*(1+$AD81)^(N$4-$E$4),0),IF($AB81="ALTH",ROUND($AE81+$AF81*N$4,0),IF($AB81="IR",ROUND(Proyeccion_Localidades!AK81,0),IF($AB81="RT",ROUND(Proyeccion_Localidades!BH81,0),"*****"))))</f>
        <v>17188</v>
      </c>
      <c r="O81" s="66">
        <f>IF($AB81="TGD",ROUND($E81*(1+$AD81)^(O$4-$E$4),0),IF($AB81="ALTH",ROUND($AE81+$AF81*O$4,0),IF($AB81="IR",ROUND(Proyeccion_Localidades!AL81,0),IF($AB81="RT",ROUND(Proyeccion_Localidades!BI81,0),"*****"))))</f>
        <v>17309</v>
      </c>
      <c r="P81" s="66">
        <f>IF($AB81="TGD",ROUND($E81*(1+$AD81)^(P$4-$E$4),0),IF($AB81="ALTH",ROUND($AE81+$AF81*P$4,0),IF($AB81="IR",ROUND(Proyeccion_Localidades!AM81,0),IF($AB81="RT",ROUND(Proyeccion_Localidades!BJ81,0),"*****"))))</f>
        <v>17430</v>
      </c>
      <c r="Q81" s="66">
        <f>IF($AB81="TGD",ROUND($E81*(1+$AD81)^(Q$4-$E$4),0),IF($AB81="ALTH",ROUND($AE81+$AF81*Q$4,0),IF($AB81="IR",ROUND(Proyeccion_Localidades!AN81,0),IF($AB81="RT",ROUND(Proyeccion_Localidades!BK81,0),"*****"))))</f>
        <v>17552</v>
      </c>
      <c r="R81" s="66">
        <f>IF($AB81="TGD",ROUND($E81*(1+$AD81)^(R$4-$E$4),0),IF($AB81="ALTH",ROUND($AE81+$AF81*R$4,0),IF($AB81="IR",ROUND(Proyeccion_Localidades!AO81,0),IF($AB81="RT",ROUND(Proyeccion_Localidades!BL81,0),"*****"))))</f>
        <v>17673</v>
      </c>
      <c r="S81" s="66">
        <f>IF($AB81="TGD",ROUND($E81*(1+$AD81)^(S$4-$E$4),0),IF($AB81="ALTH",ROUND($AE81+$AF81*S$4,0),IF($AB81="IR",ROUND(Proyeccion_Localidades!AP81,0),IF($AB81="RT",ROUND(Proyeccion_Localidades!BM81,0),"*****"))))</f>
        <v>17795</v>
      </c>
      <c r="T81" s="66">
        <f>IF($AB81="TGD",ROUND($E81*(1+$AD81)^(T$4-$E$4),0),IF($AB81="ALTH",ROUND($AE81+$AF81*T$4,0),IF($AB81="IR",ROUND(Proyeccion_Localidades!AQ81,0),IF($AB81="RT",ROUND(Proyeccion_Localidades!BN81,0),"*****"))))</f>
        <v>17916</v>
      </c>
      <c r="U81" s="66">
        <f>IF($AB81="TGD",ROUND($E81*(1+$AD81)^(U$4-$E$4),0),IF($AB81="ALTH",ROUND($AE81+$AF81*U$4,0),IF($AB81="IR",ROUND(Proyeccion_Localidades!AR81,0),IF($AB81="RT",ROUND(Proyeccion_Localidades!BO81,0),"*****"))))</f>
        <v>18038</v>
      </c>
      <c r="V81" s="66">
        <f>IF($AB81="TGD",ROUND($E81*(1+$AD81)^(V$4-$E$4),0),IF($AB81="ALTH",ROUND($AE81+$AF81*V$4,0),IF($AB81="IR",ROUND(Proyeccion_Localidades!AS81,0),IF($AB81="RT",ROUND(Proyeccion_Localidades!BP81,0),"*****"))))</f>
        <v>18159</v>
      </c>
      <c r="W81" s="66">
        <f>IF($AB81="TGD",ROUND($E81*(1+$AD81)^(W$4-$E$4),0),IF($AB81="ALTH",ROUND($AE81+$AF81*W$4,0),IF($AB81="IR",ROUND(Proyeccion_Localidades!AT81,0),IF($AB81="RT",ROUND(Proyeccion_Localidades!BQ81,0),"*****"))))</f>
        <v>18280</v>
      </c>
      <c r="X81" s="66">
        <f>IF($AB81="TGD",ROUND($E81*(1+$AD81)^(X$4-$E$4),0),IF($AB81="ALTH",ROUND($AE81+$AF81*X$4,0),IF($AB81="IR",ROUND(Proyeccion_Localidades!AU81,0),IF($AB81="RT",ROUND(Proyeccion_Localidades!BR81,0),"*****"))))</f>
        <v>18402</v>
      </c>
      <c r="Y81" s="66">
        <f>IF($AB81="TGD",ROUND($E81*(1+$AD81)^(Y$4-$E$4),0),IF($AB81="ALTH",ROUND($AE81+$AF81*Y$4,0),IF($AB81="IR",ROUND(Proyeccion_Localidades!AV81,0),IF($AB81="RT",ROUND(Proyeccion_Localidades!BS81,0),"*****"))))</f>
        <v>18523</v>
      </c>
      <c r="Z81" s="66">
        <f>IF($AB81="TGD",ROUND($E81*(1+$AD81)^(Z$4-$E$4),0),IF($AB81="ALTH",ROUND($AE81+$AF81*Z$4,0),IF($AB81="IR",ROUND(Proyeccion_Localidades!AW81,0),IF($AB81="RT",ROUND(Proyeccion_Localidades!BT81,0),"*****"))))</f>
        <v>18645</v>
      </c>
      <c r="AA81" s="66">
        <f>IF($AB81="TGD",ROUND($E81*(1+$AD81)^(AA$4-$E$4),0),IF($AB81="ALTH",ROUND($AE81+$AF81*AA$4,0),IF($AB81="IR",ROUND(Proyeccion_Localidades!AX81,0),IF($AB81="RT",ROUND(Proyeccion_Localidades!BU81,0),"*****"))))</f>
        <v>18766</v>
      </c>
      <c r="AB81" s="67" t="str">
        <f>Proyeccion_Localidades!N81</f>
        <v>ALTH</v>
      </c>
      <c r="AC81" s="68" t="s">
        <v>36</v>
      </c>
      <c r="AD81" s="51" t="str">
        <f>IF(AB81="TGD",Proyeccion_Localidades!Z81,"-")</f>
        <v>-</v>
      </c>
      <c r="AE81" s="51">
        <f>IF($AB81="ALTH",Proyeccion_Localidades!AA81,"-")</f>
        <v>-229542.96678966787</v>
      </c>
      <c r="AF81" s="51">
        <f>IF($AB81="ALTH",Proyeccion_Localidades!AB81,"-")</f>
        <v>121.42250922509223</v>
      </c>
      <c r="AG81" s="51"/>
      <c r="AH81" s="51"/>
      <c r="AI81" s="66">
        <f t="shared" si="5"/>
        <v>16095</v>
      </c>
    </row>
    <row r="82" spans="1:44" ht="24.95" customHeight="1">
      <c r="A82" s="86" t="str">
        <f>+Proyeccion_Localidades!C82</f>
        <v>General Villegas</v>
      </c>
      <c r="B82" s="70">
        <f t="shared" si="4"/>
        <v>76</v>
      </c>
      <c r="C82" s="71" t="str">
        <f>+Proyeccion_Localidades!B82</f>
        <v>General Villegas</v>
      </c>
      <c r="D82" s="261">
        <f t="shared" si="6"/>
        <v>76</v>
      </c>
      <c r="E82" s="72">
        <f>+Proyeccion_Localidades!F82</f>
        <v>18275</v>
      </c>
      <c r="F82" s="66">
        <f>IF($AB82="TGD",ROUND($E82*(1+$AD82)^(F$4-$E$4),0),IF($AB82="ALTH",ROUND($AE82+$AF82*F$4,0),IF($AB82="IR",ROUND(Proyeccion_Localidades!AC82,0),IF($AB82="RT",ROUND(Proyeccion_Localidades!AZ82,0),"*****"))))</f>
        <v>21338</v>
      </c>
      <c r="G82" s="66">
        <f>IF($AB82="TGD",ROUND($E82*(1+$AD82)^(G$4-$E$4),0),IF($AB82="ALTH",ROUND($AE82+$AF82*G$4,0),IF($AB82="IR",ROUND(Proyeccion_Localidades!AD82,0),IF($AB82="RT",ROUND(Proyeccion_Localidades!BA82,0),"*****"))))</f>
        <v>21615</v>
      </c>
      <c r="H82" s="66">
        <f>IF($AB82="TGD",ROUND($E82*(1+$AD82)^(H$4-$E$4),0),IF($AB82="ALTH",ROUND($AE82+$AF82*H$4,0),IF($AB82="IR",ROUND(Proyeccion_Localidades!AE82,0),IF($AB82="RT",ROUND(Proyeccion_Localidades!BB82,0),"*****"))))</f>
        <v>22469</v>
      </c>
      <c r="I82" s="66">
        <f>IF($AB82="TGD",ROUND($E82*(1+$AD82)^(I$4-$E$4),0),IF($AB82="ALTH",ROUND($AE82+$AF82*I$4,0),IF($AB82="IR",ROUND(Proyeccion_Localidades!AF82,0),IF($AB82="RT",ROUND(Proyeccion_Localidades!BC82,0),"*****"))))</f>
        <v>22761</v>
      </c>
      <c r="J82" s="66">
        <f>IF($AB82="TGD",ROUND($E82*(1+$AD82)^(J$4-$E$4),0),IF($AB82="ALTH",ROUND($AE82+$AF82*J$4,0),IF($AB82="IR",ROUND(Proyeccion_Localidades!AG82,0),IF($AB82="RT",ROUND(Proyeccion_Localidades!BD82,0),"*****"))))</f>
        <v>23057</v>
      </c>
      <c r="K82" s="66">
        <f>IF($AB82="TGD",ROUND($E82*(1+$AD82)^(K$4-$E$4),0),IF($AB82="ALTH",ROUND($AE82+$AF82*K$4,0),IF($AB82="IR",ROUND(Proyeccion_Localidades!AH82,0),IF($AB82="RT",ROUND(Proyeccion_Localidades!BE82,0),"*****"))))</f>
        <v>23356</v>
      </c>
      <c r="L82" s="66">
        <f>IF($AB82="TGD",ROUND($E82*(1+$AD82)^(L$4-$E$4),0),IF($AB82="ALTH",ROUND($AE82+$AF82*L$4,0),IF($AB82="IR",ROUND(Proyeccion_Localidades!AI82,0),IF($AB82="RT",ROUND(Proyeccion_Localidades!BF82,0),"*****"))))</f>
        <v>23660</v>
      </c>
      <c r="M82" s="66">
        <f>IF($AB82="TGD",ROUND($E82*(1+$AD82)^(M$4-$E$4),0),IF($AB82="ALTH",ROUND($AE82+$AF82*M$4,0),IF($AB82="IR",ROUND(Proyeccion_Localidades!AJ82,0),IF($AB82="RT",ROUND(Proyeccion_Localidades!BG82,0),"*****"))))</f>
        <v>23967</v>
      </c>
      <c r="N82" s="66">
        <f>IF($AB82="TGD",ROUND($E82*(1+$AD82)^(N$4-$E$4),0),IF($AB82="ALTH",ROUND($AE82+$AF82*N$4,0),IF($AB82="IR",ROUND(Proyeccion_Localidades!AK82,0),IF($AB82="RT",ROUND(Proyeccion_Localidades!BH82,0),"*****"))))</f>
        <v>24279</v>
      </c>
      <c r="O82" s="66">
        <f>IF($AB82="TGD",ROUND($E82*(1+$AD82)^(O$4-$E$4),0),IF($AB82="ALTH",ROUND($AE82+$AF82*O$4,0),IF($AB82="IR",ROUND(Proyeccion_Localidades!AL82,0),IF($AB82="RT",ROUND(Proyeccion_Localidades!BI82,0),"*****"))))</f>
        <v>24594</v>
      </c>
      <c r="P82" s="66">
        <f>IF($AB82="TGD",ROUND($E82*(1+$AD82)^(P$4-$E$4),0),IF($AB82="ALTH",ROUND($AE82+$AF82*P$4,0),IF($AB82="IR",ROUND(Proyeccion_Localidades!AM82,0),IF($AB82="RT",ROUND(Proyeccion_Localidades!BJ82,0),"*****"))))</f>
        <v>24914</v>
      </c>
      <c r="Q82" s="66">
        <f>IF($AB82="TGD",ROUND($E82*(1+$AD82)^(Q$4-$E$4),0),IF($AB82="ALTH",ROUND($AE82+$AF82*Q$4,0),IF($AB82="IR",ROUND(Proyeccion_Localidades!AN82,0),IF($AB82="RT",ROUND(Proyeccion_Localidades!BK82,0),"*****"))))</f>
        <v>25238</v>
      </c>
      <c r="R82" s="66">
        <f>IF($AB82="TGD",ROUND($E82*(1+$AD82)^(R$4-$E$4),0),IF($AB82="ALTH",ROUND($AE82+$AF82*R$4,0),IF($AB82="IR",ROUND(Proyeccion_Localidades!AO82,0),IF($AB82="RT",ROUND(Proyeccion_Localidades!BL82,0),"*****"))))</f>
        <v>25566</v>
      </c>
      <c r="S82" s="66">
        <f>IF($AB82="TGD",ROUND($E82*(1+$AD82)^(S$4-$E$4),0),IF($AB82="ALTH",ROUND($AE82+$AF82*S$4,0),IF($AB82="IR",ROUND(Proyeccion_Localidades!AP82,0),IF($AB82="RT",ROUND(Proyeccion_Localidades!BM82,0),"*****"))))</f>
        <v>25898</v>
      </c>
      <c r="T82" s="66">
        <f>IF($AB82="TGD",ROUND($E82*(1+$AD82)^(T$4-$E$4),0),IF($AB82="ALTH",ROUND($AE82+$AF82*T$4,0),IF($AB82="IR",ROUND(Proyeccion_Localidades!AQ82,0),IF($AB82="RT",ROUND(Proyeccion_Localidades!BN82,0),"*****"))))</f>
        <v>26235</v>
      </c>
      <c r="U82" s="66">
        <f>IF($AB82="TGD",ROUND($E82*(1+$AD82)^(U$4-$E$4),0),IF($AB82="ALTH",ROUND($AE82+$AF82*U$4,0),IF($AB82="IR",ROUND(Proyeccion_Localidades!AR82,0),IF($AB82="RT",ROUND(Proyeccion_Localidades!BO82,0),"*****"))))</f>
        <v>26576</v>
      </c>
      <c r="V82" s="66">
        <f>IF($AB82="TGD",ROUND($E82*(1+$AD82)^(V$4-$E$4),0),IF($AB82="ALTH",ROUND($AE82+$AF82*V$4,0),IF($AB82="IR",ROUND(Proyeccion_Localidades!AS82,0),IF($AB82="RT",ROUND(Proyeccion_Localidades!BP82,0),"*****"))))</f>
        <v>26921</v>
      </c>
      <c r="W82" s="66">
        <f>IF($AB82="TGD",ROUND($E82*(1+$AD82)^(W$4-$E$4),0),IF($AB82="ALTH",ROUND($AE82+$AF82*W$4,0),IF($AB82="IR",ROUND(Proyeccion_Localidades!AT82,0),IF($AB82="RT",ROUND(Proyeccion_Localidades!BQ82,0),"*****"))))</f>
        <v>27271</v>
      </c>
      <c r="X82" s="66">
        <f>IF($AB82="TGD",ROUND($E82*(1+$AD82)^(X$4-$E$4),0),IF($AB82="ALTH",ROUND($AE82+$AF82*X$4,0),IF($AB82="IR",ROUND(Proyeccion_Localidades!AU82,0),IF($AB82="RT",ROUND(Proyeccion_Localidades!BR82,0),"*****"))))</f>
        <v>27625</v>
      </c>
      <c r="Y82" s="66">
        <f>IF($AB82="TGD",ROUND($E82*(1+$AD82)^(Y$4-$E$4),0),IF($AB82="ALTH",ROUND($AE82+$AF82*Y$4,0),IF($AB82="IR",ROUND(Proyeccion_Localidades!AV82,0),IF($AB82="RT",ROUND(Proyeccion_Localidades!BS82,0),"*****"))))</f>
        <v>27984</v>
      </c>
      <c r="Z82" s="66">
        <f>IF($AB82="TGD",ROUND($E82*(1+$AD82)^(Z$4-$E$4),0),IF($AB82="ALTH",ROUND($AE82+$AF82*Z$4,0),IF($AB82="IR",ROUND(Proyeccion_Localidades!AW82,0),IF($AB82="RT",ROUND(Proyeccion_Localidades!BT82,0),"*****"))))</f>
        <v>28348</v>
      </c>
      <c r="AA82" s="66">
        <f>IF($AB82="TGD",ROUND($E82*(1+$AD82)^(AA$4-$E$4),0),IF($AB82="ALTH",ROUND($AE82+$AF82*AA$4,0),IF($AB82="IR",ROUND(Proyeccion_Localidades!AX82,0),IF($AB82="RT",ROUND(Proyeccion_Localidades!BU82,0),"*****"))))</f>
        <v>28716</v>
      </c>
      <c r="AB82" s="67" t="str">
        <f>Proyeccion_Localidades!N82</f>
        <v>TGD</v>
      </c>
      <c r="AC82" s="68" t="s">
        <v>35</v>
      </c>
      <c r="AD82" s="51">
        <f>IF(AB82="TGD",Proyeccion_Localidades!Z82,"-")</f>
        <v>1.2996066979530374E-2</v>
      </c>
      <c r="AE82" s="51" t="str">
        <f>IF($AB82="ALTH",Proyeccion_Localidades!AA82,"-")</f>
        <v>-</v>
      </c>
      <c r="AF82" s="51" t="str">
        <f>IF($AB82="ALTH",Proyeccion_Localidades!AB82,"-")</f>
        <v>-</v>
      </c>
      <c r="AG82" s="51"/>
      <c r="AH82" s="51"/>
      <c r="AI82" s="66">
        <f t="shared" si="5"/>
        <v>21615</v>
      </c>
    </row>
    <row r="83" spans="1:44" ht="24.95" customHeight="1">
      <c r="A83" s="86" t="str">
        <f>+Proyeccion_Localidades!C83</f>
        <v>Guaminí</v>
      </c>
      <c r="B83" s="70">
        <f t="shared" si="4"/>
        <v>77</v>
      </c>
      <c r="C83" s="71" t="str">
        <f>+Proyeccion_Localidades!B83</f>
        <v>Guaminí</v>
      </c>
      <c r="D83" s="261">
        <f t="shared" si="6"/>
        <v>77</v>
      </c>
      <c r="E83" s="72">
        <f>+Proyeccion_Localidades!F83</f>
        <v>2845</v>
      </c>
      <c r="F83" s="66">
        <f>IF($AB83="TGD",ROUND($E83*(1+$AD83)^(F$4-$E$4),0),IF($AB83="ALTH",ROUND($AE83+$AF83*F$4,0),IF($AB83="IR",ROUND(Proyeccion_Localidades!AC83,0),IF($AB83="RT",ROUND(Proyeccion_Localidades!AZ83,0),"*****"))))</f>
        <v>2883</v>
      </c>
      <c r="G83" s="66">
        <f>IF($AB83="TGD",ROUND($E83*(1+$AD83)^(G$4-$E$4),0),IF($AB83="ALTH",ROUND($AE83+$AF83*G$4,0),IF($AB83="IR",ROUND(Proyeccion_Localidades!AD83,0),IF($AB83="RT",ROUND(Proyeccion_Localidades!BA83,0),"*****"))))</f>
        <v>2889</v>
      </c>
      <c r="H83" s="66">
        <f>IF($AB83="TGD",ROUND($E83*(1+$AD83)^(H$4-$E$4),0),IF($AB83="ALTH",ROUND($AE83+$AF83*H$4,0),IF($AB83="IR",ROUND(Proyeccion_Localidades!AE83,0),IF($AB83="RT",ROUND(Proyeccion_Localidades!BB83,0),"*****"))))</f>
        <v>2906</v>
      </c>
      <c r="I83" s="66">
        <f>IF($AB83="TGD",ROUND($E83*(1+$AD83)^(I$4-$E$4),0),IF($AB83="ALTH",ROUND($AE83+$AF83*I$4,0),IF($AB83="IR",ROUND(Proyeccion_Localidades!AF83,0),IF($AB83="RT",ROUND(Proyeccion_Localidades!BC83,0),"*****"))))</f>
        <v>2912</v>
      </c>
      <c r="J83" s="66">
        <f>IF($AB83="TGD",ROUND($E83*(1+$AD83)^(J$4-$E$4),0),IF($AB83="ALTH",ROUND($AE83+$AF83*J$4,0),IF($AB83="IR",ROUND(Proyeccion_Localidades!AG83,0),IF($AB83="RT",ROUND(Proyeccion_Localidades!BD83,0),"*****"))))</f>
        <v>2917</v>
      </c>
      <c r="K83" s="66">
        <f>IF($AB83="TGD",ROUND($E83*(1+$AD83)^(K$4-$E$4),0),IF($AB83="ALTH",ROUND($AE83+$AF83*K$4,0),IF($AB83="IR",ROUND(Proyeccion_Localidades!AH83,0),IF($AB83="RT",ROUND(Proyeccion_Localidades!BE83,0),"*****"))))</f>
        <v>2923</v>
      </c>
      <c r="L83" s="66">
        <f>IF($AB83="TGD",ROUND($E83*(1+$AD83)^(L$4-$E$4),0),IF($AB83="ALTH",ROUND($AE83+$AF83*L$4,0),IF($AB83="IR",ROUND(Proyeccion_Localidades!AI83,0),IF($AB83="RT",ROUND(Proyeccion_Localidades!BF83,0),"*****"))))</f>
        <v>2929</v>
      </c>
      <c r="M83" s="66">
        <f>IF($AB83="TGD",ROUND($E83*(1+$AD83)^(M$4-$E$4),0),IF($AB83="ALTH",ROUND($AE83+$AF83*M$4,0),IF($AB83="IR",ROUND(Proyeccion_Localidades!AJ83,0),IF($AB83="RT",ROUND(Proyeccion_Localidades!BG83,0),"*****"))))</f>
        <v>2935</v>
      </c>
      <c r="N83" s="66">
        <f>IF($AB83="TGD",ROUND($E83*(1+$AD83)^(N$4-$E$4),0),IF($AB83="ALTH",ROUND($AE83+$AF83*N$4,0),IF($AB83="IR",ROUND(Proyeccion_Localidades!AK83,0),IF($AB83="RT",ROUND(Proyeccion_Localidades!BH83,0),"*****"))))</f>
        <v>2940</v>
      </c>
      <c r="O83" s="66">
        <f>IF($AB83="TGD",ROUND($E83*(1+$AD83)^(O$4-$E$4),0),IF($AB83="ALTH",ROUND($AE83+$AF83*O$4,0),IF($AB83="IR",ROUND(Proyeccion_Localidades!AL83,0),IF($AB83="RT",ROUND(Proyeccion_Localidades!BI83,0),"*****"))))</f>
        <v>2946</v>
      </c>
      <c r="P83" s="66">
        <f>IF($AB83="TGD",ROUND($E83*(1+$AD83)^(P$4-$E$4),0),IF($AB83="ALTH",ROUND($AE83+$AF83*P$4,0),IF($AB83="IR",ROUND(Proyeccion_Localidades!AM83,0),IF($AB83="RT",ROUND(Proyeccion_Localidades!BJ83,0),"*****"))))</f>
        <v>2952</v>
      </c>
      <c r="Q83" s="66">
        <f>IF($AB83="TGD",ROUND($E83*(1+$AD83)^(Q$4-$E$4),0),IF($AB83="ALTH",ROUND($AE83+$AF83*Q$4,0),IF($AB83="IR",ROUND(Proyeccion_Localidades!AN83,0),IF($AB83="RT",ROUND(Proyeccion_Localidades!BK83,0),"*****"))))</f>
        <v>2957</v>
      </c>
      <c r="R83" s="66">
        <f>IF($AB83="TGD",ROUND($E83*(1+$AD83)^(R$4-$E$4),0),IF($AB83="ALTH",ROUND($AE83+$AF83*R$4,0),IF($AB83="IR",ROUND(Proyeccion_Localidades!AO83,0),IF($AB83="RT",ROUND(Proyeccion_Localidades!BL83,0),"*****"))))</f>
        <v>2963</v>
      </c>
      <c r="S83" s="66">
        <f>IF($AB83="TGD",ROUND($E83*(1+$AD83)^(S$4-$E$4),0),IF($AB83="ALTH",ROUND($AE83+$AF83*S$4,0),IF($AB83="IR",ROUND(Proyeccion_Localidades!AP83,0),IF($AB83="RT",ROUND(Proyeccion_Localidades!BM83,0),"*****"))))</f>
        <v>2969</v>
      </c>
      <c r="T83" s="66">
        <f>IF($AB83="TGD",ROUND($E83*(1+$AD83)^(T$4-$E$4),0),IF($AB83="ALTH",ROUND($AE83+$AF83*T$4,0),IF($AB83="IR",ROUND(Proyeccion_Localidades!AQ83,0),IF($AB83="RT",ROUND(Proyeccion_Localidades!BN83,0),"*****"))))</f>
        <v>2975</v>
      </c>
      <c r="U83" s="66">
        <f>IF($AB83="TGD",ROUND($E83*(1+$AD83)^(U$4-$E$4),0),IF($AB83="ALTH",ROUND($AE83+$AF83*U$4,0),IF($AB83="IR",ROUND(Proyeccion_Localidades!AR83,0),IF($AB83="RT",ROUND(Proyeccion_Localidades!BO83,0),"*****"))))</f>
        <v>2980</v>
      </c>
      <c r="V83" s="66">
        <f>IF($AB83="TGD",ROUND($E83*(1+$AD83)^(V$4-$E$4),0),IF($AB83="ALTH",ROUND($AE83+$AF83*V$4,0),IF($AB83="IR",ROUND(Proyeccion_Localidades!AS83,0),IF($AB83="RT",ROUND(Proyeccion_Localidades!BP83,0),"*****"))))</f>
        <v>2986</v>
      </c>
      <c r="W83" s="66">
        <f>IF($AB83="TGD",ROUND($E83*(1+$AD83)^(W$4-$E$4),0),IF($AB83="ALTH",ROUND($AE83+$AF83*W$4,0),IF($AB83="IR",ROUND(Proyeccion_Localidades!AT83,0),IF($AB83="RT",ROUND(Proyeccion_Localidades!BQ83,0),"*****"))))</f>
        <v>2992</v>
      </c>
      <c r="X83" s="66">
        <f>IF($AB83="TGD",ROUND($E83*(1+$AD83)^(X$4-$E$4),0),IF($AB83="ALTH",ROUND($AE83+$AF83*X$4,0),IF($AB83="IR",ROUND(Proyeccion_Localidades!AU83,0),IF($AB83="RT",ROUND(Proyeccion_Localidades!BR83,0),"*****"))))</f>
        <v>2998</v>
      </c>
      <c r="Y83" s="66">
        <f>IF($AB83="TGD",ROUND($E83*(1+$AD83)^(Y$4-$E$4),0),IF($AB83="ALTH",ROUND($AE83+$AF83*Y$4,0),IF($AB83="IR",ROUND(Proyeccion_Localidades!AV83,0),IF($AB83="RT",ROUND(Proyeccion_Localidades!BS83,0),"*****"))))</f>
        <v>3003</v>
      </c>
      <c r="Z83" s="66">
        <f>IF($AB83="TGD",ROUND($E83*(1+$AD83)^(Z$4-$E$4),0),IF($AB83="ALTH",ROUND($AE83+$AF83*Z$4,0),IF($AB83="IR",ROUND(Proyeccion_Localidades!AW83,0),IF($AB83="RT",ROUND(Proyeccion_Localidades!BT83,0),"*****"))))</f>
        <v>3009</v>
      </c>
      <c r="AA83" s="66">
        <f>IF($AB83="TGD",ROUND($E83*(1+$AD83)^(AA$4-$E$4),0),IF($AB83="ALTH",ROUND($AE83+$AF83*AA$4,0),IF($AB83="IR",ROUND(Proyeccion_Localidades!AX83,0),IF($AB83="RT",ROUND(Proyeccion_Localidades!BU83,0),"*****"))))</f>
        <v>3015</v>
      </c>
      <c r="AB83" s="67" t="str">
        <f>Proyeccion_Localidades!N83</f>
        <v>ALTH</v>
      </c>
      <c r="AC83" s="68" t="s">
        <v>36</v>
      </c>
      <c r="AD83" s="51" t="str">
        <f>IF(AB83="TGD",Proyeccion_Localidades!Z83,"-")</f>
        <v>-</v>
      </c>
      <c r="AE83" s="51">
        <f>IF($AB83="ALTH",Proyeccion_Localidades!AA83,"-")</f>
        <v>-8708.0996309963102</v>
      </c>
      <c r="AF83" s="51">
        <f>IF($AB83="ALTH",Proyeccion_Localidades!AB83,"-")</f>
        <v>5.732472324723247</v>
      </c>
      <c r="AG83" s="51"/>
      <c r="AH83" s="51"/>
      <c r="AI83" s="66">
        <f t="shared" si="5"/>
        <v>2889</v>
      </c>
    </row>
    <row r="84" spans="1:44" ht="24.95" customHeight="1">
      <c r="A84" s="86" t="str">
        <f>+Proyeccion_Localidades!C84</f>
        <v>Hipólito Yrigoyen</v>
      </c>
      <c r="B84" s="70">
        <f t="shared" si="4"/>
        <v>78</v>
      </c>
      <c r="C84" s="71" t="str">
        <f>+Proyeccion_Localidades!B84</f>
        <v>Henderson</v>
      </c>
      <c r="D84" s="261">
        <f t="shared" si="6"/>
        <v>78</v>
      </c>
      <c r="E84" s="72">
        <f>+Proyeccion_Localidades!F84</f>
        <v>8645</v>
      </c>
      <c r="F84" s="66">
        <f>IF($AB84="TGD",ROUND($E84*(1+$AD84)^(F$4-$E$4),0),IF($AB84="ALTH",ROUND($AE84+$AF84*F$4,0),IF($AB84="IR",ROUND(Proyeccion_Localidades!AC84,0),IF($AB84="RT",ROUND(Proyeccion_Localidades!AZ84,0),"*****"))))</f>
        <v>9263</v>
      </c>
      <c r="G84" s="66">
        <f>IF($AB84="TGD",ROUND($E84*(1+$AD84)^(G$4-$E$4),0),IF($AB84="ALTH",ROUND($AE84+$AF84*G$4,0),IF($AB84="IR",ROUND(Proyeccion_Localidades!AD84,0),IF($AB84="RT",ROUND(Proyeccion_Localidades!BA84,0),"*****"))))</f>
        <v>9317</v>
      </c>
      <c r="H84" s="66">
        <f>IF($AB84="TGD",ROUND($E84*(1+$AD84)^(H$4-$E$4),0),IF($AB84="ALTH",ROUND($AE84+$AF84*H$4,0),IF($AB84="IR",ROUND(Proyeccion_Localidades!AE84,0),IF($AB84="RT",ROUND(Proyeccion_Localidades!BB84,0),"*****"))))</f>
        <v>9479</v>
      </c>
      <c r="I84" s="66">
        <f>IF($AB84="TGD",ROUND($E84*(1+$AD84)^(I$4-$E$4),0),IF($AB84="ALTH",ROUND($AE84+$AF84*I$4,0),IF($AB84="IR",ROUND(Proyeccion_Localidades!AF84,0),IF($AB84="RT",ROUND(Proyeccion_Localidades!BC84,0),"*****"))))</f>
        <v>9534</v>
      </c>
      <c r="J84" s="66">
        <f>IF($AB84="TGD",ROUND($E84*(1+$AD84)^(J$4-$E$4),0),IF($AB84="ALTH",ROUND($AE84+$AF84*J$4,0),IF($AB84="IR",ROUND(Proyeccion_Localidades!AG84,0),IF($AB84="RT",ROUND(Proyeccion_Localidades!BD84,0),"*****"))))</f>
        <v>9589</v>
      </c>
      <c r="K84" s="66">
        <f>IF($AB84="TGD",ROUND($E84*(1+$AD84)^(K$4-$E$4),0),IF($AB84="ALTH",ROUND($AE84+$AF84*K$4,0),IF($AB84="IR",ROUND(Proyeccion_Localidades!AH84,0),IF($AB84="RT",ROUND(Proyeccion_Localidades!BE84,0),"*****"))))</f>
        <v>9644</v>
      </c>
      <c r="L84" s="66">
        <f>IF($AB84="TGD",ROUND($E84*(1+$AD84)^(L$4-$E$4),0),IF($AB84="ALTH",ROUND($AE84+$AF84*L$4,0),IF($AB84="IR",ROUND(Proyeccion_Localidades!AI84,0),IF($AB84="RT",ROUND(Proyeccion_Localidades!BF84,0),"*****"))))</f>
        <v>9700</v>
      </c>
      <c r="M84" s="66">
        <f>IF($AB84="TGD",ROUND($E84*(1+$AD84)^(M$4-$E$4),0),IF($AB84="ALTH",ROUND($AE84+$AF84*M$4,0),IF($AB84="IR",ROUND(Proyeccion_Localidades!AJ84,0),IF($AB84="RT",ROUND(Proyeccion_Localidades!BG84,0),"*****"))))</f>
        <v>9756</v>
      </c>
      <c r="N84" s="66">
        <f>IF($AB84="TGD",ROUND($E84*(1+$AD84)^(N$4-$E$4),0),IF($AB84="ALTH",ROUND($AE84+$AF84*N$4,0),IF($AB84="IR",ROUND(Proyeccion_Localidades!AK84,0),IF($AB84="RT",ROUND(Proyeccion_Localidades!BH84,0),"*****"))))</f>
        <v>9812</v>
      </c>
      <c r="O84" s="66">
        <f>IF($AB84="TGD",ROUND($E84*(1+$AD84)^(O$4-$E$4),0),IF($AB84="ALTH",ROUND($AE84+$AF84*O$4,0),IF($AB84="IR",ROUND(Proyeccion_Localidades!AL84,0),IF($AB84="RT",ROUND(Proyeccion_Localidades!BI84,0),"*****"))))</f>
        <v>9869</v>
      </c>
      <c r="P84" s="66">
        <f>IF($AB84="TGD",ROUND($E84*(1+$AD84)^(P$4-$E$4),0),IF($AB84="ALTH",ROUND($AE84+$AF84*P$4,0),IF($AB84="IR",ROUND(Proyeccion_Localidades!AM84,0),IF($AB84="RT",ROUND(Proyeccion_Localidades!BJ84,0),"*****"))))</f>
        <v>9926</v>
      </c>
      <c r="Q84" s="66">
        <f>IF($AB84="TGD",ROUND($E84*(1+$AD84)^(Q$4-$E$4),0),IF($AB84="ALTH",ROUND($AE84+$AF84*Q$4,0),IF($AB84="IR",ROUND(Proyeccion_Localidades!AN84,0),IF($AB84="RT",ROUND(Proyeccion_Localidades!BK84,0),"*****"))))</f>
        <v>9983</v>
      </c>
      <c r="R84" s="66">
        <f>IF($AB84="TGD",ROUND($E84*(1+$AD84)^(R$4-$E$4),0),IF($AB84="ALTH",ROUND($AE84+$AF84*R$4,0),IF($AB84="IR",ROUND(Proyeccion_Localidades!AO84,0),IF($AB84="RT",ROUND(Proyeccion_Localidades!BL84,0),"*****"))))</f>
        <v>10041</v>
      </c>
      <c r="S84" s="66">
        <f>IF($AB84="TGD",ROUND($E84*(1+$AD84)^(S$4-$E$4),0),IF($AB84="ALTH",ROUND($AE84+$AF84*S$4,0),IF($AB84="IR",ROUND(Proyeccion_Localidades!AP84,0),IF($AB84="RT",ROUND(Proyeccion_Localidades!BM84,0),"*****"))))</f>
        <v>10099</v>
      </c>
      <c r="T84" s="66">
        <f>IF($AB84="TGD",ROUND($E84*(1+$AD84)^(T$4-$E$4),0),IF($AB84="ALTH",ROUND($AE84+$AF84*T$4,0),IF($AB84="IR",ROUND(Proyeccion_Localidades!AQ84,0),IF($AB84="RT",ROUND(Proyeccion_Localidades!BN84,0),"*****"))))</f>
        <v>10157</v>
      </c>
      <c r="U84" s="66">
        <f>IF($AB84="TGD",ROUND($E84*(1+$AD84)^(U$4-$E$4),0),IF($AB84="ALTH",ROUND($AE84+$AF84*U$4,0),IF($AB84="IR",ROUND(Proyeccion_Localidades!AR84,0),IF($AB84="RT",ROUND(Proyeccion_Localidades!BO84,0),"*****"))))</f>
        <v>10216</v>
      </c>
      <c r="V84" s="66">
        <f>IF($AB84="TGD",ROUND($E84*(1+$AD84)^(V$4-$E$4),0),IF($AB84="ALTH",ROUND($AE84+$AF84*V$4,0),IF($AB84="IR",ROUND(Proyeccion_Localidades!AS84,0),IF($AB84="RT",ROUND(Proyeccion_Localidades!BP84,0),"*****"))))</f>
        <v>10275</v>
      </c>
      <c r="W84" s="66">
        <f>IF($AB84="TGD",ROUND($E84*(1+$AD84)^(W$4-$E$4),0),IF($AB84="ALTH",ROUND($AE84+$AF84*W$4,0),IF($AB84="IR",ROUND(Proyeccion_Localidades!AT84,0),IF($AB84="RT",ROUND(Proyeccion_Localidades!BQ84,0),"*****"))))</f>
        <v>10334</v>
      </c>
      <c r="X84" s="66">
        <f>IF($AB84="TGD",ROUND($E84*(1+$AD84)^(X$4-$E$4),0),IF($AB84="ALTH",ROUND($AE84+$AF84*X$4,0),IF($AB84="IR",ROUND(Proyeccion_Localidades!AU84,0),IF($AB84="RT",ROUND(Proyeccion_Localidades!BR84,0),"*****"))))</f>
        <v>10394</v>
      </c>
      <c r="Y84" s="66">
        <f>IF($AB84="TGD",ROUND($E84*(1+$AD84)^(Y$4-$E$4),0),IF($AB84="ALTH",ROUND($AE84+$AF84*Y$4,0),IF($AB84="IR",ROUND(Proyeccion_Localidades!AV84,0),IF($AB84="RT",ROUND(Proyeccion_Localidades!BS84,0),"*****"))))</f>
        <v>10454</v>
      </c>
      <c r="Z84" s="66">
        <f>IF($AB84="TGD",ROUND($E84*(1+$AD84)^(Z$4-$E$4),0),IF($AB84="ALTH",ROUND($AE84+$AF84*Z$4,0),IF($AB84="IR",ROUND(Proyeccion_Localidades!AW84,0),IF($AB84="RT",ROUND(Proyeccion_Localidades!BT84,0),"*****"))))</f>
        <v>10514</v>
      </c>
      <c r="AA84" s="66">
        <f>IF($AB84="TGD",ROUND($E84*(1+$AD84)^(AA$4-$E$4),0),IF($AB84="ALTH",ROUND($AE84+$AF84*AA$4,0),IF($AB84="IR",ROUND(Proyeccion_Localidades!AX84,0),IF($AB84="RT",ROUND(Proyeccion_Localidades!BU84,0),"*****"))))</f>
        <v>10575</v>
      </c>
      <c r="AB84" s="67" t="str">
        <f>Proyeccion_Localidades!N84</f>
        <v>TGD</v>
      </c>
      <c r="AC84" s="68" t="s">
        <v>35</v>
      </c>
      <c r="AD84" s="51">
        <f>IF(AB84="TGD",Proyeccion_Localidades!Z84,"-")</f>
        <v>5.7736712015492575E-3</v>
      </c>
      <c r="AE84" s="51" t="str">
        <f>IF($AB84="ALTH",Proyeccion_Localidades!AA84,"-")</f>
        <v>-</v>
      </c>
      <c r="AF84" s="51" t="str">
        <f>IF($AB84="ALTH",Proyeccion_Localidades!AB84,"-")</f>
        <v>-</v>
      </c>
      <c r="AG84" s="51"/>
      <c r="AH84" s="51"/>
      <c r="AI84" s="66">
        <f t="shared" si="5"/>
        <v>9317</v>
      </c>
    </row>
    <row r="85" spans="1:44" ht="24.95" customHeight="1">
      <c r="A85" s="86" t="str">
        <f>+Proyeccion_Localidades!C85</f>
        <v>Junín</v>
      </c>
      <c r="B85" s="70">
        <f t="shared" si="4"/>
        <v>79</v>
      </c>
      <c r="C85" s="71" t="str">
        <f>+Proyeccion_Localidades!B85</f>
        <v>Junín</v>
      </c>
      <c r="D85" s="261">
        <f t="shared" si="6"/>
        <v>79</v>
      </c>
      <c r="E85" s="72">
        <f>+Proyeccion_Localidades!F85</f>
        <v>87509</v>
      </c>
      <c r="F85" s="66">
        <f>IF($AB85="TGD",ROUND($E85*(1+$AD85)^(F$4-$E$4),0),IF($AB85="ALTH",ROUND($AE85+$AF85*F$4,0),IF($AB85="IR",ROUND(Proyeccion_Localidades!AC85,0),IF($AB85="RT",ROUND(Proyeccion_Localidades!AZ85,0),"*****"))))</f>
        <v>95726</v>
      </c>
      <c r="G85" s="66">
        <f>IF($AB85="TGD",ROUND($E85*(1+$AD85)^(G$4-$E$4),0),IF($AB85="ALTH",ROUND($AE85+$AF85*G$4,0),IF($AB85="IR",ROUND(Proyeccion_Localidades!AD85,0),IF($AB85="RT",ROUND(Proyeccion_Localidades!BA85,0),"*****"))))</f>
        <v>96386</v>
      </c>
      <c r="H85" s="66">
        <f>IF($AB85="TGD",ROUND($E85*(1+$AD85)^(H$4-$E$4),0),IF($AB85="ALTH",ROUND($AE85+$AF85*H$4,0),IF($AB85="IR",ROUND(Proyeccion_Localidades!AE85,0),IF($AB85="RT",ROUND(Proyeccion_Localidades!BB85,0),"*****"))))</f>
        <v>98366</v>
      </c>
      <c r="I85" s="66">
        <f>IF($AB85="TGD",ROUND($E85*(1+$AD85)^(I$4-$E$4),0),IF($AB85="ALTH",ROUND($AE85+$AF85*I$4,0),IF($AB85="IR",ROUND(Proyeccion_Localidades!AF85,0),IF($AB85="RT",ROUND(Proyeccion_Localidades!BC85,0),"*****"))))</f>
        <v>99027</v>
      </c>
      <c r="J85" s="66">
        <f>IF($AB85="TGD",ROUND($E85*(1+$AD85)^(J$4-$E$4),0),IF($AB85="ALTH",ROUND($AE85+$AF85*J$4,0),IF($AB85="IR",ROUND(Proyeccion_Localidades!AG85,0),IF($AB85="RT",ROUND(Proyeccion_Localidades!BD85,0),"*****"))))</f>
        <v>99687</v>
      </c>
      <c r="K85" s="66">
        <f>IF($AB85="TGD",ROUND($E85*(1+$AD85)^(K$4-$E$4),0),IF($AB85="ALTH",ROUND($AE85+$AF85*K$4,0),IF($AB85="IR",ROUND(Proyeccion_Localidades!AH85,0),IF($AB85="RT",ROUND(Proyeccion_Localidades!BE85,0),"*****"))))</f>
        <v>100347</v>
      </c>
      <c r="L85" s="66">
        <f>IF($AB85="TGD",ROUND($E85*(1+$AD85)^(L$4-$E$4),0),IF($AB85="ALTH",ROUND($AE85+$AF85*L$4,0),IF($AB85="IR",ROUND(Proyeccion_Localidades!AI85,0),IF($AB85="RT",ROUND(Proyeccion_Localidades!BF85,0),"*****"))))</f>
        <v>101007</v>
      </c>
      <c r="M85" s="66">
        <f>IF($AB85="TGD",ROUND($E85*(1+$AD85)^(M$4-$E$4),0),IF($AB85="ALTH",ROUND($AE85+$AF85*M$4,0),IF($AB85="IR",ROUND(Proyeccion_Localidades!AJ85,0),IF($AB85="RT",ROUND(Proyeccion_Localidades!BG85,0),"*****"))))</f>
        <v>101667</v>
      </c>
      <c r="N85" s="66">
        <f>IF($AB85="TGD",ROUND($E85*(1+$AD85)^(N$4-$E$4),0),IF($AB85="ALTH",ROUND($AE85+$AF85*N$4,0),IF($AB85="IR",ROUND(Proyeccion_Localidades!AK85,0),IF($AB85="RT",ROUND(Proyeccion_Localidades!BH85,0),"*****"))))</f>
        <v>102327</v>
      </c>
      <c r="O85" s="66">
        <f>IF($AB85="TGD",ROUND($E85*(1+$AD85)^(O$4-$E$4),0),IF($AB85="ALTH",ROUND($AE85+$AF85*O$4,0),IF($AB85="IR",ROUND(Proyeccion_Localidades!AL85,0),IF($AB85="RT",ROUND(Proyeccion_Localidades!BI85,0),"*****"))))</f>
        <v>102987</v>
      </c>
      <c r="P85" s="66">
        <f>IF($AB85="TGD",ROUND($E85*(1+$AD85)^(P$4-$E$4),0),IF($AB85="ALTH",ROUND($AE85+$AF85*P$4,0),IF($AB85="IR",ROUND(Proyeccion_Localidades!AM85,0),IF($AB85="RT",ROUND(Proyeccion_Localidades!BJ85,0),"*****"))))</f>
        <v>103647</v>
      </c>
      <c r="Q85" s="66">
        <f>IF($AB85="TGD",ROUND($E85*(1+$AD85)^(Q$4-$E$4),0),IF($AB85="ALTH",ROUND($AE85+$AF85*Q$4,0),IF($AB85="IR",ROUND(Proyeccion_Localidades!AN85,0),IF($AB85="RT",ROUND(Proyeccion_Localidades!BK85,0),"*****"))))</f>
        <v>104307</v>
      </c>
      <c r="R85" s="66">
        <f>IF($AB85="TGD",ROUND($E85*(1+$AD85)^(R$4-$E$4),0),IF($AB85="ALTH",ROUND($AE85+$AF85*R$4,0),IF($AB85="IR",ROUND(Proyeccion_Localidades!AO85,0),IF($AB85="RT",ROUND(Proyeccion_Localidades!BL85,0),"*****"))))</f>
        <v>104967</v>
      </c>
      <c r="S85" s="66">
        <f>IF($AB85="TGD",ROUND($E85*(1+$AD85)^(S$4-$E$4),0),IF($AB85="ALTH",ROUND($AE85+$AF85*S$4,0),IF($AB85="IR",ROUND(Proyeccion_Localidades!AP85,0),IF($AB85="RT",ROUND(Proyeccion_Localidades!BM85,0),"*****"))))</f>
        <v>105627</v>
      </c>
      <c r="T85" s="66">
        <f>IF($AB85="TGD",ROUND($E85*(1+$AD85)^(T$4-$E$4),0),IF($AB85="ALTH",ROUND($AE85+$AF85*T$4,0),IF($AB85="IR",ROUND(Proyeccion_Localidades!AQ85,0),IF($AB85="RT",ROUND(Proyeccion_Localidades!BN85,0),"*****"))))</f>
        <v>106288</v>
      </c>
      <c r="U85" s="66">
        <f>IF($AB85="TGD",ROUND($E85*(1+$AD85)^(U$4-$E$4),0),IF($AB85="ALTH",ROUND($AE85+$AF85*U$4,0),IF($AB85="IR",ROUND(Proyeccion_Localidades!AR85,0),IF($AB85="RT",ROUND(Proyeccion_Localidades!BO85,0),"*****"))))</f>
        <v>106948</v>
      </c>
      <c r="V85" s="66">
        <f>IF($AB85="TGD",ROUND($E85*(1+$AD85)^(V$4-$E$4),0),IF($AB85="ALTH",ROUND($AE85+$AF85*V$4,0),IF($AB85="IR",ROUND(Proyeccion_Localidades!AS85,0),IF($AB85="RT",ROUND(Proyeccion_Localidades!BP85,0),"*****"))))</f>
        <v>107608</v>
      </c>
      <c r="W85" s="66">
        <f>IF($AB85="TGD",ROUND($E85*(1+$AD85)^(W$4-$E$4),0),IF($AB85="ALTH",ROUND($AE85+$AF85*W$4,0),IF($AB85="IR",ROUND(Proyeccion_Localidades!AT85,0),IF($AB85="RT",ROUND(Proyeccion_Localidades!BQ85,0),"*****"))))</f>
        <v>108268</v>
      </c>
      <c r="X85" s="66">
        <f>IF($AB85="TGD",ROUND($E85*(1+$AD85)^(X$4-$E$4),0),IF($AB85="ALTH",ROUND($AE85+$AF85*X$4,0),IF($AB85="IR",ROUND(Proyeccion_Localidades!AU85,0),IF($AB85="RT",ROUND(Proyeccion_Localidades!BR85,0),"*****"))))</f>
        <v>108928</v>
      </c>
      <c r="Y85" s="66">
        <f>IF($AB85="TGD",ROUND($E85*(1+$AD85)^(Y$4-$E$4),0),IF($AB85="ALTH",ROUND($AE85+$AF85*Y$4,0),IF($AB85="IR",ROUND(Proyeccion_Localidades!AV85,0),IF($AB85="RT",ROUND(Proyeccion_Localidades!BS85,0),"*****"))))</f>
        <v>109588</v>
      </c>
      <c r="Z85" s="66">
        <f>IF($AB85="TGD",ROUND($E85*(1+$AD85)^(Z$4-$E$4),0),IF($AB85="ALTH",ROUND($AE85+$AF85*Z$4,0),IF($AB85="IR",ROUND(Proyeccion_Localidades!AW85,0),IF($AB85="RT",ROUND(Proyeccion_Localidades!BT85,0),"*****"))))</f>
        <v>110248</v>
      </c>
      <c r="AA85" s="66">
        <f>IF($AB85="TGD",ROUND($E85*(1+$AD85)^(AA$4-$E$4),0),IF($AB85="ALTH",ROUND($AE85+$AF85*AA$4,0),IF($AB85="IR",ROUND(Proyeccion_Localidades!AX85,0),IF($AB85="RT",ROUND(Proyeccion_Localidades!BU85,0),"*****"))))</f>
        <v>110908</v>
      </c>
      <c r="AB85" s="67" t="str">
        <f>Proyeccion_Localidades!N85</f>
        <v>ALTH</v>
      </c>
      <c r="AC85" s="68" t="s">
        <v>36</v>
      </c>
      <c r="AD85" s="51" t="str">
        <f>IF(AB85="TGD",Proyeccion_Localidades!Z85,"-")</f>
        <v>-</v>
      </c>
      <c r="AE85" s="51">
        <f>IF($AB85="ALTH",Proyeccion_Localidades!AA85,"-")</f>
        <v>-1238965.4649446495</v>
      </c>
      <c r="AF85" s="51">
        <f>IF($AB85="ALTH",Proyeccion_Localidades!AB85,"-")</f>
        <v>660.08487084870842</v>
      </c>
      <c r="AG85" s="51"/>
      <c r="AH85" s="51"/>
      <c r="AI85" s="66">
        <f t="shared" si="5"/>
        <v>96386</v>
      </c>
    </row>
    <row r="86" spans="1:44" ht="24.95" customHeight="1">
      <c r="A86" s="86" t="str">
        <f>+Proyeccion_Localidades!C86</f>
        <v>La Costa</v>
      </c>
      <c r="B86" s="70">
        <f t="shared" si="4"/>
        <v>80</v>
      </c>
      <c r="C86" s="71" t="str">
        <f>+Proyeccion_Localidades!B86</f>
        <v>Mar de Ajó - San Bernardo</v>
      </c>
      <c r="D86" s="261">
        <f t="shared" si="6"/>
        <v>80</v>
      </c>
      <c r="E86" s="72">
        <f>+Proyeccion_Localidades!F86</f>
        <v>28466</v>
      </c>
      <c r="F86" s="66">
        <f>IF($AB86="TGD",ROUND($E86*(1+$AD86)^(F$4-$E$4),0),IF($AB86="ALTH",ROUND($AE86+$AF86*F$4,0),IF($AB86="IR",ROUND(Proyeccion_Localidades!AC86,0),IF($AB86="RT",ROUND(Proyeccion_Localidades!AZ86,0),"*****"))))</f>
        <v>43974</v>
      </c>
      <c r="G86" s="66">
        <f>IF($AB86="TGD",ROUND($E86*(1+$AD86)^(G$4-$E$4),0),IF($AB86="ALTH",ROUND($AE86+$AF86*G$4,0),IF($AB86="IR",ROUND(Proyeccion_Localidades!AD86,0),IF($AB86="RT",ROUND(Proyeccion_Localidades!BA86,0),"*****"))))</f>
        <v>45346</v>
      </c>
      <c r="H86" s="66">
        <f>IF($AB86="TGD",ROUND($E86*(1+$AD86)^(H$4-$E$4),0),IF($AB86="ALTH",ROUND($AE86+$AF86*H$4,0),IF($AB86="IR",ROUND(Proyeccion_Localidades!AE86,0),IF($AB86="RT",ROUND(Proyeccion_Localidades!BB86,0),"*****"))))</f>
        <v>49465</v>
      </c>
      <c r="I86" s="66">
        <f>IF($AB86="TGD",ROUND($E86*(1+$AD86)^(I$4-$E$4),0),IF($AB86="ALTH",ROUND($AE86+$AF86*I$4,0),IF($AB86="IR",ROUND(Proyeccion_Localidades!AF86,0),IF($AB86="RT",ROUND(Proyeccion_Localidades!BC86,0),"*****"))))</f>
        <v>50838</v>
      </c>
      <c r="J86" s="66">
        <f>IF($AB86="TGD",ROUND($E86*(1+$AD86)^(J$4-$E$4),0),IF($AB86="ALTH",ROUND($AE86+$AF86*J$4,0),IF($AB86="IR",ROUND(Proyeccion_Localidades!AG86,0),IF($AB86="RT",ROUND(Proyeccion_Localidades!BD86,0),"*****"))))</f>
        <v>52210</v>
      </c>
      <c r="K86" s="66">
        <f>IF($AB86="TGD",ROUND($E86*(1+$AD86)^(K$4-$E$4),0),IF($AB86="ALTH",ROUND($AE86+$AF86*K$4,0),IF($AB86="IR",ROUND(Proyeccion_Localidades!AH86,0),IF($AB86="RT",ROUND(Proyeccion_Localidades!BE86,0),"*****"))))</f>
        <v>53583</v>
      </c>
      <c r="L86" s="66">
        <f>IF($AB86="TGD",ROUND($E86*(1+$AD86)^(L$4-$E$4),0),IF($AB86="ALTH",ROUND($AE86+$AF86*L$4,0),IF($AB86="IR",ROUND(Proyeccion_Localidades!AI86,0),IF($AB86="RT",ROUND(Proyeccion_Localidades!BF86,0),"*****"))))</f>
        <v>54956</v>
      </c>
      <c r="M86" s="66">
        <f>IF($AB86="TGD",ROUND($E86*(1+$AD86)^(M$4-$E$4),0),IF($AB86="ALTH",ROUND($AE86+$AF86*M$4,0),IF($AB86="IR",ROUND(Proyeccion_Localidades!AJ86,0),IF($AB86="RT",ROUND(Proyeccion_Localidades!BG86,0),"*****"))))</f>
        <v>56638</v>
      </c>
      <c r="N86" s="66">
        <f>IF($AB86="TGD",ROUND($E86*(1+$AD86)^(N$4-$E$4),0),IF($AB86="ALTH",ROUND($AE86+$AF86*N$4,0),IF($AB86="IR",ROUND(Proyeccion_Localidades!AK86,0),IF($AB86="RT",ROUND(Proyeccion_Localidades!BH86,0),"*****"))))</f>
        <v>58321</v>
      </c>
      <c r="O86" s="66">
        <f>IF($AB86="TGD",ROUND($E86*(1+$AD86)^(O$4-$E$4),0),IF($AB86="ALTH",ROUND($AE86+$AF86*O$4,0),IF($AB86="IR",ROUND(Proyeccion_Localidades!AL86,0),IF($AB86="RT",ROUND(Proyeccion_Localidades!BI86,0),"*****"))))</f>
        <v>60003</v>
      </c>
      <c r="P86" s="66">
        <f>IF($AB86="TGD",ROUND($E86*(1+$AD86)^(P$4-$E$4),0),IF($AB86="ALTH",ROUND($AE86+$AF86*P$4,0),IF($AB86="IR",ROUND(Proyeccion_Localidades!AM86,0),IF($AB86="RT",ROUND(Proyeccion_Localidades!BJ86,0),"*****"))))</f>
        <v>61685</v>
      </c>
      <c r="Q86" s="66">
        <f>IF($AB86="TGD",ROUND($E86*(1+$AD86)^(Q$4-$E$4),0),IF($AB86="ALTH",ROUND($AE86+$AF86*Q$4,0),IF($AB86="IR",ROUND(Proyeccion_Localidades!AN86,0),IF($AB86="RT",ROUND(Proyeccion_Localidades!BK86,0),"*****"))))</f>
        <v>63368</v>
      </c>
      <c r="R86" s="66">
        <f>IF($AB86="TGD",ROUND($E86*(1+$AD86)^(R$4-$E$4),0),IF($AB86="ALTH",ROUND($AE86+$AF86*R$4,0),IF($AB86="IR",ROUND(Proyeccion_Localidades!AO86,0),IF($AB86="RT",ROUND(Proyeccion_Localidades!BL86,0),"*****"))))</f>
        <v>65050</v>
      </c>
      <c r="S86" s="66">
        <f>IF($AB86="TGD",ROUND($E86*(1+$AD86)^(S$4-$E$4),0),IF($AB86="ALTH",ROUND($AE86+$AF86*S$4,0),IF($AB86="IR",ROUND(Proyeccion_Localidades!AP86,0),IF($AB86="RT",ROUND(Proyeccion_Localidades!BM86,0),"*****"))))</f>
        <v>66733</v>
      </c>
      <c r="T86" s="66">
        <f>IF($AB86="TGD",ROUND($E86*(1+$AD86)^(T$4-$E$4),0),IF($AB86="ALTH",ROUND($AE86+$AF86*T$4,0),IF($AB86="IR",ROUND(Proyeccion_Localidades!AQ86,0),IF($AB86="RT",ROUND(Proyeccion_Localidades!BN86,0),"*****"))))</f>
        <v>68415</v>
      </c>
      <c r="U86" s="66">
        <f>IF($AB86="TGD",ROUND($E86*(1+$AD86)^(U$4-$E$4),0),IF($AB86="ALTH",ROUND($AE86+$AF86*U$4,0),IF($AB86="IR",ROUND(Proyeccion_Localidades!AR86,0),IF($AB86="RT",ROUND(Proyeccion_Localidades!BO86,0),"*****"))))</f>
        <v>70097</v>
      </c>
      <c r="V86" s="66">
        <f>IF($AB86="TGD",ROUND($E86*(1+$AD86)^(V$4-$E$4),0),IF($AB86="ALTH",ROUND($AE86+$AF86*V$4,0),IF($AB86="IR",ROUND(Proyeccion_Localidades!AS86,0),IF($AB86="RT",ROUND(Proyeccion_Localidades!BP86,0),"*****"))))</f>
        <v>71780</v>
      </c>
      <c r="W86" s="66">
        <f>IF($AB86="TGD",ROUND($E86*(1+$AD86)^(W$4-$E$4),0),IF($AB86="ALTH",ROUND($AE86+$AF86*W$4,0),IF($AB86="IR",ROUND(Proyeccion_Localidades!AT86,0),IF($AB86="RT",ROUND(Proyeccion_Localidades!BQ86,0),"*****"))))</f>
        <v>73462</v>
      </c>
      <c r="X86" s="66">
        <f>IF($AB86="TGD",ROUND($E86*(1+$AD86)^(X$4-$E$4),0),IF($AB86="ALTH",ROUND($AE86+$AF86*X$4,0),IF($AB86="IR",ROUND(Proyeccion_Localidades!AU86,0),IF($AB86="RT",ROUND(Proyeccion_Localidades!BR86,0),"*****"))))</f>
        <v>75145</v>
      </c>
      <c r="Y86" s="66">
        <f>IF($AB86="TGD",ROUND($E86*(1+$AD86)^(Y$4-$E$4),0),IF($AB86="ALTH",ROUND($AE86+$AF86*Y$4,0),IF($AB86="IR",ROUND(Proyeccion_Localidades!AV86,0),IF($AB86="RT",ROUND(Proyeccion_Localidades!BS86,0),"*****"))))</f>
        <v>76827</v>
      </c>
      <c r="Z86" s="66">
        <f>IF($AB86="TGD",ROUND($E86*(1+$AD86)^(Z$4-$E$4),0),IF($AB86="ALTH",ROUND($AE86+$AF86*Z$4,0),IF($AB86="IR",ROUND(Proyeccion_Localidades!AW86,0),IF($AB86="RT",ROUND(Proyeccion_Localidades!BT86,0),"*****"))))</f>
        <v>78510</v>
      </c>
      <c r="AA86" s="66">
        <f>IF($AB86="TGD",ROUND($E86*(1+$AD86)^(AA$4-$E$4),0),IF($AB86="ALTH",ROUND($AE86+$AF86*AA$4,0),IF($AB86="IR",ROUND(Proyeccion_Localidades!AX86,0),IF($AB86="RT",ROUND(Proyeccion_Localidades!BU86,0),"*****"))))</f>
        <v>80192</v>
      </c>
      <c r="AB86" s="67" t="str">
        <f>Proyeccion_Localidades!N86</f>
        <v>RT</v>
      </c>
      <c r="AC86" s="73"/>
      <c r="AD86" s="51" t="str">
        <f>IF(AB86="TGD",Proyeccion_Localidades!Z86,"-")</f>
        <v>-</v>
      </c>
      <c r="AE86" s="51" t="str">
        <f>IF($AB86="ALTH",Proyeccion_Localidades!AA86,"-")</f>
        <v>-</v>
      </c>
      <c r="AF86" s="51" t="str">
        <f>IF($AB86="ALTH",Proyeccion_Localidades!AB86,"-")</f>
        <v>-</v>
      </c>
      <c r="AG86" s="51"/>
      <c r="AH86" s="51"/>
      <c r="AI86" s="66">
        <f t="shared" si="5"/>
        <v>45346</v>
      </c>
    </row>
    <row r="87" spans="1:44" ht="24.95" customHeight="1">
      <c r="A87" s="74" t="s">
        <v>42</v>
      </c>
      <c r="B87" s="75">
        <v>80.099999999999994</v>
      </c>
      <c r="C87" s="76" t="s">
        <v>43</v>
      </c>
      <c r="D87" s="261">
        <f t="shared" si="6"/>
        <v>80.099999999999994</v>
      </c>
      <c r="E87" s="77">
        <f>ROUND(G87/G86*E86,0)</f>
        <v>86520</v>
      </c>
      <c r="F87" s="78">
        <f>INDEX(Turísticas!$A$5:$AA$13,MATCH("Mar de Ajó - San Bernardo",Turísticas!$A$5:$A$13,0),MATCH(Verif!F$4,Turísticas!$B$4:$AA$4,0)+1)</f>
        <v>133654</v>
      </c>
      <c r="G87" s="78">
        <f>INDEX(Turísticas!$A$5:$AA$13,MATCH("Mar de Ajó - San Bernardo",Turísticas!$A$5:$A$13,0),MATCH(Verif!G$4,Turísticas!$B$4:$AA$4,0)+1)</f>
        <v>137826</v>
      </c>
      <c r="H87" s="78">
        <f>INDEX(Turísticas!$A$5:$AA$13,MATCH("Mar de Ajó - San Bernardo",Turísticas!$A$5:$A$13,0),MATCH(Verif!H$4,Turísticas!$B$4:$AA$4,0)+1)</f>
        <v>150342</v>
      </c>
      <c r="I87" s="78">
        <f>INDEX(Turísticas!$A$5:$AA$13,MATCH("Mar de Ajó - San Bernardo",Turísticas!$A$5:$A$13,0),MATCH(Verif!I$4,Turísticas!$B$4:$AA$4,0)+1)</f>
        <v>154514</v>
      </c>
      <c r="J87" s="78">
        <f>INDEX(Turísticas!$A$5:$AA$13,MATCH("Mar de Ajó - San Bernardo",Turísticas!$A$5:$A$13,0),MATCH(Verif!J$4,Turísticas!$B$4:$AA$4,0)+1)</f>
        <v>158686</v>
      </c>
      <c r="K87" s="78">
        <f>INDEX(Turísticas!$A$5:$AA$13,MATCH("Mar de Ajó - San Bernardo",Turísticas!$A$5:$A$13,0),MATCH(Verif!K$4,Turísticas!$B$4:$AA$4,0)+1)</f>
        <v>162858</v>
      </c>
      <c r="L87" s="78">
        <f>INDEX(Turísticas!$A$5:$AA$13,MATCH("Mar de Ajó - San Bernardo",Turísticas!$A$5:$A$13,0),MATCH(Verif!L$4,Turísticas!$B$4:$AA$4,0)+1)</f>
        <v>167030</v>
      </c>
      <c r="M87" s="78">
        <f>INDEX(Turísticas!$A$5:$AA$13,MATCH("Mar de Ajó - San Bernardo",Turísticas!$A$5:$A$13,0),MATCH(Verif!M$4,Turísticas!$B$4:$AA$4,0)+1)</f>
        <v>172143</v>
      </c>
      <c r="N87" s="78">
        <f>INDEX(Turísticas!$A$5:$AA$13,MATCH("Mar de Ajó - San Bernardo",Turísticas!$A$5:$A$13,0),MATCH(Verif!N$4,Turísticas!$B$4:$AA$4,0)+1)</f>
        <v>177256</v>
      </c>
      <c r="O87" s="78">
        <f>INDEX(Turísticas!$A$5:$AA$13,MATCH("Mar de Ajó - San Bernardo",Turísticas!$A$5:$A$13,0),MATCH(Verif!O$4,Turísticas!$B$4:$AA$4,0)+1)</f>
        <v>182369</v>
      </c>
      <c r="P87" s="78">
        <f>INDEX(Turísticas!$A$5:$AA$13,MATCH("Mar de Ajó - San Bernardo",Turísticas!$A$5:$A$13,0),MATCH(Verif!P$4,Turísticas!$B$4:$AA$4,0)+1)</f>
        <v>187482</v>
      </c>
      <c r="Q87" s="78">
        <f>INDEX(Turísticas!$A$5:$AA$13,MATCH("Mar de Ajó - San Bernardo",Turísticas!$A$5:$A$13,0),MATCH(Verif!Q$4,Turísticas!$B$4:$AA$4,0)+1)</f>
        <v>192595</v>
      </c>
      <c r="R87" s="78">
        <f>INDEX(Turísticas!$A$5:$AA$13,MATCH("Mar de Ajó - San Bernardo",Turísticas!$A$5:$A$13,0),MATCH(Verif!R$4,Turísticas!$B$4:$AA$4,0)+1)</f>
        <v>197708</v>
      </c>
      <c r="S87" s="78">
        <f>INDEX(Turísticas!$A$5:$AA$13,MATCH("Mar de Ajó - San Bernardo",Turísticas!$A$5:$A$13,0),MATCH(Verif!S$4,Turísticas!$B$4:$AA$4,0)+1)</f>
        <v>202821</v>
      </c>
      <c r="T87" s="78">
        <f>INDEX(Turísticas!$A$5:$AA$13,MATCH("Mar de Ajó - San Bernardo",Turísticas!$A$5:$A$13,0),MATCH(Verif!T$4,Turísticas!$B$4:$AA$4,0)+1)</f>
        <v>207934</v>
      </c>
      <c r="U87" s="78">
        <f>INDEX(Turísticas!$A$5:$AA$13,MATCH("Mar de Ajó - San Bernardo",Turísticas!$A$5:$A$13,0),MATCH(Verif!U$4,Turísticas!$B$4:$AA$4,0)+1)</f>
        <v>213047</v>
      </c>
      <c r="V87" s="78">
        <f>INDEX(Turísticas!$A$5:$AA$13,MATCH("Mar de Ajó - San Bernardo",Turísticas!$A$5:$A$13,0),MATCH(Verif!V$4,Turísticas!$B$4:$AA$4,0)+1)</f>
        <v>218160</v>
      </c>
      <c r="W87" s="78">
        <f>INDEX(Turísticas!$A$5:$AA$13,MATCH("Mar de Ajó - San Bernardo",Turísticas!$A$5:$A$13,0),MATCH(Verif!W$4,Turísticas!$B$4:$AA$4,0)+1)</f>
        <v>223273</v>
      </c>
      <c r="X87" s="78">
        <f>INDEX(Turísticas!$A$5:$AA$13,MATCH("Mar de Ajó - San Bernardo",Turísticas!$A$5:$A$13,0),MATCH(Verif!X$4,Turísticas!$B$4:$AA$4,0)+1)</f>
        <v>228386</v>
      </c>
      <c r="Y87" s="78">
        <f>INDEX(Turísticas!$A$5:$AA$13,MATCH("Mar de Ajó - San Bernardo",Turísticas!$A$5:$A$13,0),MATCH(Verif!Y$4,Turísticas!$B$4:$AA$4,0)+1)</f>
        <v>233499</v>
      </c>
      <c r="Z87" s="78">
        <f>INDEX(Turísticas!$A$5:$AA$13,MATCH("Mar de Ajó - San Bernardo",Turísticas!$A$5:$A$13,0),MATCH(Verif!Z$4,Turísticas!$B$4:$AA$4,0)+1)</f>
        <v>238612</v>
      </c>
      <c r="AA87" s="78">
        <f>INDEX(Turísticas!$A$5:$AA$13,MATCH("Mar de Ajó - San Bernardo",Turísticas!$A$5:$A$13,0),MATCH(Verif!AA$4,Turísticas!$B$4:$AA$4,0)+1)</f>
        <v>243725</v>
      </c>
      <c r="AB87" s="79" t="s">
        <v>39</v>
      </c>
      <c r="AC87" s="80"/>
      <c r="AD87" s="51" t="str">
        <f>IF(AB87="TGD",Proyeccion_Localidades!Z87,"-")</f>
        <v>-</v>
      </c>
      <c r="AE87" s="51" t="str">
        <f>IF($AB87="ALTH",Proyeccion_Localidades!AA87,"-")</f>
        <v>-</v>
      </c>
      <c r="AF87" s="51" t="str">
        <f>IF($AB87="ALTH",Proyeccion_Localidades!AB87,"-")</f>
        <v>-</v>
      </c>
      <c r="AG87" s="81"/>
      <c r="AH87" s="81"/>
      <c r="AI87" s="82">
        <f t="shared" si="5"/>
        <v>137826</v>
      </c>
      <c r="AJ87" s="83"/>
      <c r="AK87" s="83"/>
      <c r="AL87" s="83"/>
      <c r="AM87" s="83"/>
    </row>
    <row r="88" spans="1:44" ht="24.95" customHeight="1">
      <c r="A88" s="84" t="str">
        <f>+Proyeccion_Localidades!C88</f>
        <v>La Costa</v>
      </c>
      <c r="B88" s="70">
        <f>+B86+1</f>
        <v>81</v>
      </c>
      <c r="C88" s="87" t="str">
        <f>+Proyeccion_Localidades!B88</f>
        <v>Santa Teresita - Mar del Tuyú</v>
      </c>
      <c r="D88" s="261">
        <f t="shared" si="6"/>
        <v>81</v>
      </c>
      <c r="E88" s="72">
        <f>+Proyeccion_Localidades!F88</f>
        <v>23581</v>
      </c>
      <c r="F88" s="66">
        <f>IF($AB88="TGD",ROUND($E88*(1+$AD88)^(F$4-$E$4),0),IF($AB88="ALTH",ROUND($AE88+$AF88*F$4,0),IF($AB88="IR",ROUND(Proyeccion_Localidades!AC88,0),IF($AB88="RT",ROUND(Proyeccion_Localidades!AZ88,0),"*****"))))</f>
        <v>31698</v>
      </c>
      <c r="G88" s="66">
        <f>IF($AB88="TGD",ROUND($E88*(1+$AD88)^(G$4-$E$4),0),IF($AB88="ALTH",ROUND($AE88+$AF88*G$4,0),IF($AB88="IR",ROUND(Proyeccion_Localidades!AD88,0),IF($AB88="RT",ROUND(Proyeccion_Localidades!BA88,0),"*****"))))</f>
        <v>32318</v>
      </c>
      <c r="H88" s="66">
        <f>IF($AB88="TGD",ROUND($E88*(1+$AD88)^(H$4-$E$4),0),IF($AB88="ALTH",ROUND($AE88+$AF88*H$4,0),IF($AB88="IR",ROUND(Proyeccion_Localidades!AE88,0),IF($AB88="RT",ROUND(Proyeccion_Localidades!BB88,0),"*****"))))</f>
        <v>34179</v>
      </c>
      <c r="I88" s="66">
        <f>IF($AB88="TGD",ROUND($E88*(1+$AD88)^(I$4-$E$4),0),IF($AB88="ALTH",ROUND($AE88+$AF88*I$4,0),IF($AB88="IR",ROUND(Proyeccion_Localidades!AF88,0),IF($AB88="RT",ROUND(Proyeccion_Localidades!BC88,0),"*****"))))</f>
        <v>34800</v>
      </c>
      <c r="J88" s="66">
        <f>IF($AB88="TGD",ROUND($E88*(1+$AD88)^(J$4-$E$4),0),IF($AB88="ALTH",ROUND($AE88+$AF88*J$4,0),IF($AB88="IR",ROUND(Proyeccion_Localidades!AG88,0),IF($AB88="RT",ROUND(Proyeccion_Localidades!BD88,0),"*****"))))</f>
        <v>35420</v>
      </c>
      <c r="K88" s="66">
        <f>IF($AB88="TGD",ROUND($E88*(1+$AD88)^(K$4-$E$4),0),IF($AB88="ALTH",ROUND($AE88+$AF88*K$4,0),IF($AB88="IR",ROUND(Proyeccion_Localidades!AH88,0),IF($AB88="RT",ROUND(Proyeccion_Localidades!BE88,0),"*****"))))</f>
        <v>36040</v>
      </c>
      <c r="L88" s="66">
        <f>IF($AB88="TGD",ROUND($E88*(1+$AD88)^(L$4-$E$4),0),IF($AB88="ALTH",ROUND($AE88+$AF88*L$4,0),IF($AB88="IR",ROUND(Proyeccion_Localidades!AI88,0),IF($AB88="RT",ROUND(Proyeccion_Localidades!BF88,0),"*****"))))</f>
        <v>36661</v>
      </c>
      <c r="M88" s="66">
        <f>IF($AB88="TGD",ROUND($E88*(1+$AD88)^(M$4-$E$4),0),IF($AB88="ALTH",ROUND($AE88+$AF88*M$4,0),IF($AB88="IR",ROUND(Proyeccion_Localidades!AJ88,0),IF($AB88="RT",ROUND(Proyeccion_Localidades!BG88,0),"*****"))))</f>
        <v>37281</v>
      </c>
      <c r="N88" s="66">
        <f>IF($AB88="TGD",ROUND($E88*(1+$AD88)^(N$4-$E$4),0),IF($AB88="ALTH",ROUND($AE88+$AF88*N$4,0),IF($AB88="IR",ROUND(Proyeccion_Localidades!AK88,0),IF($AB88="RT",ROUND(Proyeccion_Localidades!BH88,0),"*****"))))</f>
        <v>37901</v>
      </c>
      <c r="O88" s="66">
        <f>IF($AB88="TGD",ROUND($E88*(1+$AD88)^(O$4-$E$4),0),IF($AB88="ALTH",ROUND($AE88+$AF88*O$4,0),IF($AB88="IR",ROUND(Proyeccion_Localidades!AL88,0),IF($AB88="RT",ROUND(Proyeccion_Localidades!BI88,0),"*****"))))</f>
        <v>38522</v>
      </c>
      <c r="P88" s="66">
        <f>IF($AB88="TGD",ROUND($E88*(1+$AD88)^(P$4-$E$4),0),IF($AB88="ALTH",ROUND($AE88+$AF88*P$4,0),IF($AB88="IR",ROUND(Proyeccion_Localidades!AM88,0),IF($AB88="RT",ROUND(Proyeccion_Localidades!BJ88,0),"*****"))))</f>
        <v>39142</v>
      </c>
      <c r="Q88" s="66">
        <f>IF($AB88="TGD",ROUND($E88*(1+$AD88)^(Q$4-$E$4),0),IF($AB88="ALTH",ROUND($AE88+$AF88*Q$4,0),IF($AB88="IR",ROUND(Proyeccion_Localidades!AN88,0),IF($AB88="RT",ROUND(Proyeccion_Localidades!BK88,0),"*****"))))</f>
        <v>39762</v>
      </c>
      <c r="R88" s="66">
        <f>IF($AB88="TGD",ROUND($E88*(1+$AD88)^(R$4-$E$4),0),IF($AB88="ALTH",ROUND($AE88+$AF88*R$4,0),IF($AB88="IR",ROUND(Proyeccion_Localidades!AO88,0),IF($AB88="RT",ROUND(Proyeccion_Localidades!BL88,0),"*****"))))</f>
        <v>40383</v>
      </c>
      <c r="S88" s="66">
        <f>IF($AB88="TGD",ROUND($E88*(1+$AD88)^(S$4-$E$4),0),IF($AB88="ALTH",ROUND($AE88+$AF88*S$4,0),IF($AB88="IR",ROUND(Proyeccion_Localidades!AP88,0),IF($AB88="RT",ROUND(Proyeccion_Localidades!BM88,0),"*****"))))</f>
        <v>41003</v>
      </c>
      <c r="T88" s="66">
        <f>IF($AB88="TGD",ROUND($E88*(1+$AD88)^(T$4-$E$4),0),IF($AB88="ALTH",ROUND($AE88+$AF88*T$4,0),IF($AB88="IR",ROUND(Proyeccion_Localidades!AQ88,0),IF($AB88="RT",ROUND(Proyeccion_Localidades!BN88,0),"*****"))))</f>
        <v>41623</v>
      </c>
      <c r="U88" s="66">
        <f>IF($AB88="TGD",ROUND($E88*(1+$AD88)^(U$4-$E$4),0),IF($AB88="ALTH",ROUND($AE88+$AF88*U$4,0),IF($AB88="IR",ROUND(Proyeccion_Localidades!AR88,0),IF($AB88="RT",ROUND(Proyeccion_Localidades!BO88,0),"*****"))))</f>
        <v>42244</v>
      </c>
      <c r="V88" s="66">
        <f>IF($AB88="TGD",ROUND($E88*(1+$AD88)^(V$4-$E$4),0),IF($AB88="ALTH",ROUND($AE88+$AF88*V$4,0),IF($AB88="IR",ROUND(Proyeccion_Localidades!AS88,0),IF($AB88="RT",ROUND(Proyeccion_Localidades!BP88,0),"*****"))))</f>
        <v>42864</v>
      </c>
      <c r="W88" s="66">
        <f>IF($AB88="TGD",ROUND($E88*(1+$AD88)^(W$4-$E$4),0),IF($AB88="ALTH",ROUND($AE88+$AF88*W$4,0),IF($AB88="IR",ROUND(Proyeccion_Localidades!AT88,0),IF($AB88="RT",ROUND(Proyeccion_Localidades!BQ88,0),"*****"))))</f>
        <v>43484</v>
      </c>
      <c r="X88" s="66">
        <f>IF($AB88="TGD",ROUND($E88*(1+$AD88)^(X$4-$E$4),0),IF($AB88="ALTH",ROUND($AE88+$AF88*X$4,0),IF($AB88="IR",ROUND(Proyeccion_Localidades!AU88,0),IF($AB88="RT",ROUND(Proyeccion_Localidades!BR88,0),"*****"))))</f>
        <v>44105</v>
      </c>
      <c r="Y88" s="66">
        <f>IF($AB88="TGD",ROUND($E88*(1+$AD88)^(Y$4-$E$4),0),IF($AB88="ALTH",ROUND($AE88+$AF88*Y$4,0),IF($AB88="IR",ROUND(Proyeccion_Localidades!AV88,0),IF($AB88="RT",ROUND(Proyeccion_Localidades!BS88,0),"*****"))))</f>
        <v>44725</v>
      </c>
      <c r="Z88" s="66">
        <f>IF($AB88="TGD",ROUND($E88*(1+$AD88)^(Z$4-$E$4),0),IF($AB88="ALTH",ROUND($AE88+$AF88*Z$4,0),IF($AB88="IR",ROUND(Proyeccion_Localidades!AW88,0),IF($AB88="RT",ROUND(Proyeccion_Localidades!BT88,0),"*****"))))</f>
        <v>45345</v>
      </c>
      <c r="AA88" s="66">
        <f>IF($AB88="TGD",ROUND($E88*(1+$AD88)^(AA$4-$E$4),0),IF($AB88="ALTH",ROUND($AE88+$AF88*AA$4,0),IF($AB88="IR",ROUND(Proyeccion_Localidades!AX88,0),IF($AB88="RT",ROUND(Proyeccion_Localidades!BU88,0),"*****"))))</f>
        <v>45966</v>
      </c>
      <c r="AB88" s="67" t="str">
        <f>Proyeccion_Localidades!N88</f>
        <v>ALTH</v>
      </c>
      <c r="AC88" s="68" t="s">
        <v>36</v>
      </c>
      <c r="AD88" s="51" t="str">
        <f>IF(AB88="TGD",Proyeccion_Localidades!Z88,"-")</f>
        <v>-</v>
      </c>
      <c r="AE88" s="51">
        <f>IF($AB88="ALTH",Proyeccion_Localidades!AA88,"-")</f>
        <v>-1222613.4280442807</v>
      </c>
      <c r="AF88" s="51">
        <f>IF($AB88="ALTH",Proyeccion_Localidades!AB88,"-")</f>
        <v>620.33210332103329</v>
      </c>
      <c r="AG88" s="51"/>
      <c r="AH88" s="51"/>
      <c r="AI88" s="66">
        <f t="shared" si="5"/>
        <v>32318</v>
      </c>
    </row>
    <row r="89" spans="1:44" ht="24.95" customHeight="1">
      <c r="A89" s="74" t="s">
        <v>42</v>
      </c>
      <c r="B89" s="75">
        <v>81.099999999999994</v>
      </c>
      <c r="C89" s="76" t="s">
        <v>44</v>
      </c>
      <c r="D89" s="261">
        <f t="shared" si="6"/>
        <v>81.099999999999994</v>
      </c>
      <c r="E89" s="77">
        <f>ROUND(G89/G88*E88,0)</f>
        <v>60487</v>
      </c>
      <c r="F89" s="78">
        <f>INDEX(Turísticas!$A$5:$AA$13,MATCH("Santa Teresita - Mar del Tuyú",Turísticas!$A$5:$A$13,0),MATCH(Verif!F$4,Turísticas!$B$4:$AA$4,0)+1)</f>
        <v>81307</v>
      </c>
      <c r="G89" s="78">
        <f>INDEX(Turísticas!$A$5:$AA$13,MATCH("Santa Teresita - Mar del Tuyú",Turísticas!$A$5:$A$13,0),MATCH(Verif!G$4,Turísticas!$B$4:$AA$4,0)+1)</f>
        <v>82898</v>
      </c>
      <c r="H89" s="78">
        <f>INDEX(Turísticas!$A$5:$AA$13,MATCH("Santa Teresita - Mar del Tuyú",Turísticas!$A$5:$A$13,0),MATCH(Verif!H$4,Turísticas!$B$4:$AA$4,0)+1)</f>
        <v>87671</v>
      </c>
      <c r="I89" s="78">
        <f>INDEX(Turísticas!$A$5:$AA$13,MATCH("Santa Teresita - Mar del Tuyú",Turísticas!$A$5:$A$13,0),MATCH(Verif!I$4,Turísticas!$B$4:$AA$4,0)+1)</f>
        <v>89262</v>
      </c>
      <c r="J89" s="78">
        <f>INDEX(Turísticas!$A$5:$AA$13,MATCH("Santa Teresita - Mar del Tuyú",Turísticas!$A$5:$A$13,0),MATCH(Verif!J$4,Turísticas!$B$4:$AA$4,0)+1)</f>
        <v>90853</v>
      </c>
      <c r="K89" s="78">
        <f>INDEX(Turísticas!$A$5:$AA$13,MATCH("Santa Teresita - Mar del Tuyú",Turísticas!$A$5:$A$13,0),MATCH(Verif!K$4,Turísticas!$B$4:$AA$4,0)+1)</f>
        <v>92444</v>
      </c>
      <c r="L89" s="78">
        <f>INDEX(Turísticas!$A$5:$AA$13,MATCH("Santa Teresita - Mar del Tuyú",Turísticas!$A$5:$A$13,0),MATCH(Verif!L$4,Turísticas!$B$4:$AA$4,0)+1)</f>
        <v>94035</v>
      </c>
      <c r="M89" s="78">
        <f>INDEX(Turísticas!$A$5:$AA$13,MATCH("Santa Teresita - Mar del Tuyú",Turísticas!$A$5:$A$13,0),MATCH(Verif!M$4,Turísticas!$B$4:$AA$4,0)+1)</f>
        <v>95626</v>
      </c>
      <c r="N89" s="78">
        <f>INDEX(Turísticas!$A$5:$AA$13,MATCH("Santa Teresita - Mar del Tuyú",Turísticas!$A$5:$A$13,0),MATCH(Verif!N$4,Turísticas!$B$4:$AA$4,0)+1)</f>
        <v>97217</v>
      </c>
      <c r="O89" s="78">
        <f>INDEX(Turísticas!$A$5:$AA$13,MATCH("Santa Teresita - Mar del Tuyú",Turísticas!$A$5:$A$13,0),MATCH(Verif!O$4,Turísticas!$B$4:$AA$4,0)+1)</f>
        <v>98808</v>
      </c>
      <c r="P89" s="78">
        <f>INDEX(Turísticas!$A$5:$AA$13,MATCH("Santa Teresita - Mar del Tuyú",Turísticas!$A$5:$A$13,0),MATCH(Verif!P$4,Turísticas!$B$4:$AA$4,0)+1)</f>
        <v>100399</v>
      </c>
      <c r="Q89" s="78">
        <f>INDEX(Turísticas!$A$5:$AA$13,MATCH("Santa Teresita - Mar del Tuyú",Turísticas!$A$5:$A$13,0),MATCH(Verif!Q$4,Turísticas!$B$4:$AA$4,0)+1)</f>
        <v>101990</v>
      </c>
      <c r="R89" s="78">
        <f>INDEX(Turísticas!$A$5:$AA$13,MATCH("Santa Teresita - Mar del Tuyú",Turísticas!$A$5:$A$13,0),MATCH(Verif!R$4,Turísticas!$B$4:$AA$4,0)+1)</f>
        <v>103581</v>
      </c>
      <c r="S89" s="78">
        <f>INDEX(Turísticas!$A$5:$AA$13,MATCH("Santa Teresita - Mar del Tuyú",Turísticas!$A$5:$A$13,0),MATCH(Verif!S$4,Turísticas!$B$4:$AA$4,0)+1)</f>
        <v>105172</v>
      </c>
      <c r="T89" s="78">
        <f>INDEX(Turísticas!$A$5:$AA$13,MATCH("Santa Teresita - Mar del Tuyú",Turísticas!$A$5:$A$13,0),MATCH(Verif!T$4,Turísticas!$B$4:$AA$4,0)+1)</f>
        <v>106763</v>
      </c>
      <c r="U89" s="78">
        <f>INDEX(Turísticas!$A$5:$AA$13,MATCH("Santa Teresita - Mar del Tuyú",Turísticas!$A$5:$A$13,0),MATCH(Verif!U$4,Turísticas!$B$4:$AA$4,0)+1)</f>
        <v>108354</v>
      </c>
      <c r="V89" s="78">
        <f>INDEX(Turísticas!$A$5:$AA$13,MATCH("Santa Teresita - Mar del Tuyú",Turísticas!$A$5:$A$13,0),MATCH(Verif!V$4,Turísticas!$B$4:$AA$4,0)+1)</f>
        <v>109945</v>
      </c>
      <c r="W89" s="78">
        <f>INDEX(Turísticas!$A$5:$AA$13,MATCH("Santa Teresita - Mar del Tuyú",Turísticas!$A$5:$A$13,0),MATCH(Verif!W$4,Turísticas!$B$4:$AA$4,0)+1)</f>
        <v>111536</v>
      </c>
      <c r="X89" s="78">
        <f>INDEX(Turísticas!$A$5:$AA$13,MATCH("Santa Teresita - Mar del Tuyú",Turísticas!$A$5:$A$13,0),MATCH(Verif!X$4,Turísticas!$B$4:$AA$4,0)+1)</f>
        <v>113127</v>
      </c>
      <c r="Y89" s="78">
        <f>INDEX(Turísticas!$A$5:$AA$13,MATCH("Santa Teresita - Mar del Tuyú",Turísticas!$A$5:$A$13,0),MATCH(Verif!Y$4,Turísticas!$B$4:$AA$4,0)+1)</f>
        <v>114718</v>
      </c>
      <c r="Z89" s="78">
        <f>INDEX(Turísticas!$A$5:$AA$13,MATCH("Santa Teresita - Mar del Tuyú",Turísticas!$A$5:$A$13,0),MATCH(Verif!Z$4,Turísticas!$B$4:$AA$4,0)+1)</f>
        <v>116309</v>
      </c>
      <c r="AA89" s="78">
        <f>INDEX(Turísticas!$A$5:$AA$13,MATCH("Santa Teresita - Mar del Tuyú",Turísticas!$A$5:$A$13,0),MATCH(Verif!AA$4,Turísticas!$B$4:$AA$4,0)+1)</f>
        <v>117900</v>
      </c>
      <c r="AB89" s="79" t="s">
        <v>39</v>
      </c>
      <c r="AC89" s="80"/>
      <c r="AD89" s="51" t="str">
        <f>IF(AB89="TGD",Proyeccion_Localidades!Z89,"-")</f>
        <v>-</v>
      </c>
      <c r="AE89" s="51" t="str">
        <f>IF($AB89="ALTH",Proyeccion_Localidades!AA89,"-")</f>
        <v>-</v>
      </c>
      <c r="AF89" s="51" t="str">
        <f>IF($AB89="ALTH",Proyeccion_Localidades!AB89,"-")</f>
        <v>-</v>
      </c>
      <c r="AG89" s="81"/>
      <c r="AH89" s="81"/>
      <c r="AI89" s="82">
        <f t="shared" si="5"/>
        <v>82898</v>
      </c>
      <c r="AJ89" s="83"/>
      <c r="AK89" s="83"/>
      <c r="AL89" s="83"/>
      <c r="AM89" s="83"/>
      <c r="AN89" s="83"/>
      <c r="AO89" s="83"/>
      <c r="AP89" s="83"/>
      <c r="AQ89" s="83"/>
      <c r="AR89" s="83"/>
    </row>
    <row r="90" spans="1:44" ht="24.95" customHeight="1">
      <c r="A90" s="84" t="str">
        <f>+Proyeccion_Localidades!C90</f>
        <v>La Plata</v>
      </c>
      <c r="B90" s="70">
        <f>+B88+1</f>
        <v>82</v>
      </c>
      <c r="C90" s="88" t="str">
        <f>+Proyeccion_Localidades!B90</f>
        <v>La Plata</v>
      </c>
      <c r="D90" s="261">
        <f t="shared" si="6"/>
        <v>82</v>
      </c>
      <c r="E90" s="72">
        <f>+Proyeccion_Localidades!F90</f>
        <v>643133</v>
      </c>
      <c r="F90" s="66">
        <f>IF($AB90="TGD",ROUND($E90*(1+$AD90)^(F$4-$E$4),0),IF($AB90="ALTH",ROUND($AE90+$AF90*F$4,0),IF($AB90="IR",ROUND(Proyeccion_Localidades!AC90,0),IF($AB90="RT",ROUND(Proyeccion_Localidades!AZ90,0),"*****"))))</f>
        <v>735333</v>
      </c>
      <c r="G90" s="66">
        <f>IF($AB90="TGD",ROUND($E90*(1+$AD90)^(G$4-$E$4),0),IF($AB90="ALTH",ROUND($AE90+$AF90*G$4,0),IF($AB90="IR",ROUND(Proyeccion_Localidades!AD90,0),IF($AB90="RT",ROUND(Proyeccion_Localidades!BA90,0),"*****"))))</f>
        <v>743588</v>
      </c>
      <c r="H90" s="66">
        <f>IF($AB90="TGD",ROUND($E90*(1+$AD90)^(H$4-$E$4),0),IF($AB90="ALTH",ROUND($AE90+$AF90*H$4,0),IF($AB90="IR",ROUND(Proyeccion_Localidades!AE90,0),IF($AB90="RT",ROUND(Proyeccion_Localidades!BB90,0),"*****"))))</f>
        <v>768915</v>
      </c>
      <c r="I90" s="66">
        <f>IF($AB90="TGD",ROUND($E90*(1+$AD90)^(I$4-$E$4),0),IF($AB90="ALTH",ROUND($AE90+$AF90*I$4,0),IF($AB90="IR",ROUND(Proyeccion_Localidades!AF90,0),IF($AB90="RT",ROUND(Proyeccion_Localidades!BC90,0),"*****"))))</f>
        <v>777548</v>
      </c>
      <c r="J90" s="66">
        <f>IF($AB90="TGD",ROUND($E90*(1+$AD90)^(J$4-$E$4),0),IF($AB90="ALTH",ROUND($AE90+$AF90*J$4,0),IF($AB90="IR",ROUND(Proyeccion_Localidades!AG90,0),IF($AB90="RT",ROUND(Proyeccion_Localidades!BD90,0),"*****"))))</f>
        <v>786277</v>
      </c>
      <c r="K90" s="66">
        <f>IF($AB90="TGD",ROUND($E90*(1+$AD90)^(K$4-$E$4),0),IF($AB90="ALTH",ROUND($AE90+$AF90*K$4,0),IF($AB90="IR",ROUND(Proyeccion_Localidades!AH90,0),IF($AB90="RT",ROUND(Proyeccion_Localidades!BE90,0),"*****"))))</f>
        <v>795105</v>
      </c>
      <c r="L90" s="66">
        <f>IF($AB90="TGD",ROUND($E90*(1+$AD90)^(L$4-$E$4),0),IF($AB90="ALTH",ROUND($AE90+$AF90*L$4,0),IF($AB90="IR",ROUND(Proyeccion_Localidades!AI90,0),IF($AB90="RT",ROUND(Proyeccion_Localidades!BF90,0),"*****"))))</f>
        <v>804031</v>
      </c>
      <c r="M90" s="66">
        <f>IF($AB90="TGD",ROUND($E90*(1+$AD90)^(M$4-$E$4),0),IF($AB90="ALTH",ROUND($AE90+$AF90*M$4,0),IF($AB90="IR",ROUND(Proyeccion_Localidades!AJ90,0),IF($AB90="RT",ROUND(Proyeccion_Localidades!BG90,0),"*****"))))</f>
        <v>813058</v>
      </c>
      <c r="N90" s="66">
        <f>IF($AB90="TGD",ROUND($E90*(1+$AD90)^(N$4-$E$4),0),IF($AB90="ALTH",ROUND($AE90+$AF90*N$4,0),IF($AB90="IR",ROUND(Proyeccion_Localidades!AK90,0),IF($AB90="RT",ROUND(Proyeccion_Localidades!BH90,0),"*****"))))</f>
        <v>822186</v>
      </c>
      <c r="O90" s="66">
        <f>IF($AB90="TGD",ROUND($E90*(1+$AD90)^(O$4-$E$4),0),IF($AB90="ALTH",ROUND($AE90+$AF90*O$4,0),IF($AB90="IR",ROUND(Proyeccion_Localidades!AL90,0),IF($AB90="RT",ROUND(Proyeccion_Localidades!BI90,0),"*****"))))</f>
        <v>831417</v>
      </c>
      <c r="P90" s="66">
        <f>IF($AB90="TGD",ROUND($E90*(1+$AD90)^(P$4-$E$4),0),IF($AB90="ALTH",ROUND($AE90+$AF90*P$4,0),IF($AB90="IR",ROUND(Proyeccion_Localidades!AM90,0),IF($AB90="RT",ROUND(Proyeccion_Localidades!BJ90,0),"*****"))))</f>
        <v>840751</v>
      </c>
      <c r="Q90" s="66">
        <f>IF($AB90="TGD",ROUND($E90*(1+$AD90)^(Q$4-$E$4),0),IF($AB90="ALTH",ROUND($AE90+$AF90*Q$4,0),IF($AB90="IR",ROUND(Proyeccion_Localidades!AN90,0),IF($AB90="RT",ROUND(Proyeccion_Localidades!BK90,0),"*****"))))</f>
        <v>850190</v>
      </c>
      <c r="R90" s="66">
        <f>IF($AB90="TGD",ROUND($E90*(1+$AD90)^(R$4-$E$4),0),IF($AB90="ALTH",ROUND($AE90+$AF90*R$4,0),IF($AB90="IR",ROUND(Proyeccion_Localidades!AO90,0),IF($AB90="RT",ROUND(Proyeccion_Localidades!BL90,0),"*****"))))</f>
        <v>859735</v>
      </c>
      <c r="S90" s="66">
        <f>IF($AB90="TGD",ROUND($E90*(1+$AD90)^(S$4-$E$4),0),IF($AB90="ALTH",ROUND($AE90+$AF90*S$4,0),IF($AB90="IR",ROUND(Proyeccion_Localidades!AP90,0),IF($AB90="RT",ROUND(Proyeccion_Localidades!BM90,0),"*****"))))</f>
        <v>869387</v>
      </c>
      <c r="T90" s="66">
        <f>IF($AB90="TGD",ROUND($E90*(1+$AD90)^(T$4-$E$4),0),IF($AB90="ALTH",ROUND($AE90+$AF90*T$4,0),IF($AB90="IR",ROUND(Proyeccion_Localidades!AQ90,0),IF($AB90="RT",ROUND(Proyeccion_Localidades!BN90,0),"*****"))))</f>
        <v>879147</v>
      </c>
      <c r="U90" s="66">
        <f>IF($AB90="TGD",ROUND($E90*(1+$AD90)^(U$4-$E$4),0),IF($AB90="ALTH",ROUND($AE90+$AF90*U$4,0),IF($AB90="IR",ROUND(Proyeccion_Localidades!AR90,0),IF($AB90="RT",ROUND(Proyeccion_Localidades!BO90,0),"*****"))))</f>
        <v>889017</v>
      </c>
      <c r="V90" s="66">
        <f>IF($AB90="TGD",ROUND($E90*(1+$AD90)^(V$4-$E$4),0),IF($AB90="ALTH",ROUND($AE90+$AF90*V$4,0),IF($AB90="IR",ROUND(Proyeccion_Localidades!AS90,0),IF($AB90="RT",ROUND(Proyeccion_Localidades!BP90,0),"*****"))))</f>
        <v>898998</v>
      </c>
      <c r="W90" s="66">
        <f>IF($AB90="TGD",ROUND($E90*(1+$AD90)^(W$4-$E$4),0),IF($AB90="ALTH",ROUND($AE90+$AF90*W$4,0),IF($AB90="IR",ROUND(Proyeccion_Localidades!AT90,0),IF($AB90="RT",ROUND(Proyeccion_Localidades!BQ90,0),"*****"))))</f>
        <v>909091</v>
      </c>
      <c r="X90" s="66">
        <f>IF($AB90="TGD",ROUND($E90*(1+$AD90)^(X$4-$E$4),0),IF($AB90="ALTH",ROUND($AE90+$AF90*X$4,0),IF($AB90="IR",ROUND(Proyeccion_Localidades!AU90,0),IF($AB90="RT",ROUND(Proyeccion_Localidades!BR90,0),"*****"))))</f>
        <v>919298</v>
      </c>
      <c r="Y90" s="66">
        <f>IF($AB90="TGD",ROUND($E90*(1+$AD90)^(Y$4-$E$4),0),IF($AB90="ALTH",ROUND($AE90+$AF90*Y$4,0),IF($AB90="IR",ROUND(Proyeccion_Localidades!AV90,0),IF($AB90="RT",ROUND(Proyeccion_Localidades!BS90,0),"*****"))))</f>
        <v>929618</v>
      </c>
      <c r="Z90" s="66">
        <f>IF($AB90="TGD",ROUND($E90*(1+$AD90)^(Z$4-$E$4),0),IF($AB90="ALTH",ROUND($AE90+$AF90*Z$4,0),IF($AB90="IR",ROUND(Proyeccion_Localidades!AW90,0),IF($AB90="RT",ROUND(Proyeccion_Localidades!BT90,0),"*****"))))</f>
        <v>940055</v>
      </c>
      <c r="AA90" s="66">
        <f>IF($AB90="TGD",ROUND($E90*(1+$AD90)^(AA$4-$E$4),0),IF($AB90="ALTH",ROUND($AE90+$AF90*AA$4,0),IF($AB90="IR",ROUND(Proyeccion_Localidades!AX90,0),IF($AB90="RT",ROUND(Proyeccion_Localidades!BU90,0),"*****"))))</f>
        <v>950609</v>
      </c>
      <c r="AB90" s="67" t="str">
        <f>Proyeccion_Localidades!N90</f>
        <v>TGD</v>
      </c>
      <c r="AC90" s="68" t="s">
        <v>35</v>
      </c>
      <c r="AD90" s="51">
        <f>IF(AB90="TGD",Proyeccion_Localidades!Z90,"-")</f>
        <v>1.1226874378114204E-2</v>
      </c>
      <c r="AE90" s="51" t="str">
        <f>IF($AB90="ALTH",Proyeccion_Localidades!AA90,"-")</f>
        <v>-</v>
      </c>
      <c r="AF90" s="51" t="str">
        <f>IF($AB90="ALTH",Proyeccion_Localidades!AB90,"-")</f>
        <v>-</v>
      </c>
      <c r="AG90" s="51"/>
      <c r="AH90" s="51"/>
      <c r="AI90" s="66">
        <f t="shared" si="5"/>
        <v>743588</v>
      </c>
    </row>
    <row r="91" spans="1:44" ht="24.95" customHeight="1">
      <c r="A91" s="84" t="str">
        <f>+Proyeccion_Localidades!C91</f>
        <v>Laprida</v>
      </c>
      <c r="B91" s="70">
        <f t="shared" si="4"/>
        <v>83</v>
      </c>
      <c r="C91" s="88" t="str">
        <f>+Proyeccion_Localidades!B91</f>
        <v>Laprida</v>
      </c>
      <c r="D91" s="261">
        <f t="shared" si="6"/>
        <v>83</v>
      </c>
      <c r="E91" s="72">
        <f>+Proyeccion_Localidades!F91</f>
        <v>8840</v>
      </c>
      <c r="F91" s="66">
        <f>IF($AB91="TGD",ROUND($E91*(1+$AD91)^(F$4-$E$4),0),IF($AB91="ALTH",ROUND($AE91+$AF91*F$4,0),IF($AB91="IR",ROUND(Proyeccion_Localidades!AC91,0),IF($AB91="RT",ROUND(Proyeccion_Localidades!AZ91,0),"*****"))))</f>
        <v>9807</v>
      </c>
      <c r="G91" s="66">
        <f>IF($AB91="TGD",ROUND($E91*(1+$AD91)^(G$4-$E$4),0),IF($AB91="ALTH",ROUND($AE91+$AF91*G$4,0),IF($AB91="IR",ROUND(Proyeccion_Localidades!AD91,0),IF($AB91="RT",ROUND(Proyeccion_Localidades!BA91,0),"*****"))))</f>
        <v>9892</v>
      </c>
      <c r="H91" s="66">
        <f>IF($AB91="TGD",ROUND($E91*(1+$AD91)^(H$4-$E$4),0),IF($AB91="ALTH",ROUND($AE91+$AF91*H$4,0),IF($AB91="IR",ROUND(Proyeccion_Localidades!AE91,0),IF($AB91="RT",ROUND(Proyeccion_Localidades!BB91,0),"*****"))))</f>
        <v>10152</v>
      </c>
      <c r="I91" s="66">
        <f>IF($AB91="TGD",ROUND($E91*(1+$AD91)^(I$4-$E$4),0),IF($AB91="ALTH",ROUND($AE91+$AF91*I$4,0),IF($AB91="IR",ROUND(Proyeccion_Localidades!AF91,0),IF($AB91="RT",ROUND(Proyeccion_Localidades!BC91,0),"*****"))))</f>
        <v>10240</v>
      </c>
      <c r="J91" s="66">
        <f>IF($AB91="TGD",ROUND($E91*(1+$AD91)^(J$4-$E$4),0),IF($AB91="ALTH",ROUND($AE91+$AF91*J$4,0),IF($AB91="IR",ROUND(Proyeccion_Localidades!AG91,0),IF($AB91="RT",ROUND(Proyeccion_Localidades!BD91,0),"*****"))))</f>
        <v>10329</v>
      </c>
      <c r="K91" s="66">
        <f>IF($AB91="TGD",ROUND($E91*(1+$AD91)^(K$4-$E$4),0),IF($AB91="ALTH",ROUND($AE91+$AF91*K$4,0),IF($AB91="IR",ROUND(Proyeccion_Localidades!AH91,0),IF($AB91="RT",ROUND(Proyeccion_Localidades!BE91,0),"*****"))))</f>
        <v>10419</v>
      </c>
      <c r="L91" s="66">
        <f>IF($AB91="TGD",ROUND($E91*(1+$AD91)^(L$4-$E$4),0),IF($AB91="ALTH",ROUND($AE91+$AF91*L$4,0),IF($AB91="IR",ROUND(Proyeccion_Localidades!AI91,0),IF($AB91="RT",ROUND(Proyeccion_Localidades!BF91,0),"*****"))))</f>
        <v>10509</v>
      </c>
      <c r="M91" s="66">
        <f>IF($AB91="TGD",ROUND($E91*(1+$AD91)^(M$4-$E$4),0),IF($AB91="ALTH",ROUND($AE91+$AF91*M$4,0),IF($AB91="IR",ROUND(Proyeccion_Localidades!AJ91,0),IF($AB91="RT",ROUND(Proyeccion_Localidades!BG91,0),"*****"))))</f>
        <v>10601</v>
      </c>
      <c r="N91" s="66">
        <f>IF($AB91="TGD",ROUND($E91*(1+$AD91)^(N$4-$E$4),0),IF($AB91="ALTH",ROUND($AE91+$AF91*N$4,0),IF($AB91="IR",ROUND(Proyeccion_Localidades!AK91,0),IF($AB91="RT",ROUND(Proyeccion_Localidades!BH91,0),"*****"))))</f>
        <v>10693</v>
      </c>
      <c r="O91" s="66">
        <f>IF($AB91="TGD",ROUND($E91*(1+$AD91)^(O$4-$E$4),0),IF($AB91="ALTH",ROUND($AE91+$AF91*O$4,0),IF($AB91="IR",ROUND(Proyeccion_Localidades!AL91,0),IF($AB91="RT",ROUND(Proyeccion_Localidades!BI91,0),"*****"))))</f>
        <v>10786</v>
      </c>
      <c r="P91" s="66">
        <f>IF($AB91="TGD",ROUND($E91*(1+$AD91)^(P$4-$E$4),0),IF($AB91="ALTH",ROUND($AE91+$AF91*P$4,0),IF($AB91="IR",ROUND(Proyeccion_Localidades!AM91,0),IF($AB91="RT",ROUND(Proyeccion_Localidades!BJ91,0),"*****"))))</f>
        <v>10879</v>
      </c>
      <c r="Q91" s="66">
        <f>IF($AB91="TGD",ROUND($E91*(1+$AD91)^(Q$4-$E$4),0),IF($AB91="ALTH",ROUND($AE91+$AF91*Q$4,0),IF($AB91="IR",ROUND(Proyeccion_Localidades!AN91,0),IF($AB91="RT",ROUND(Proyeccion_Localidades!BK91,0),"*****"))))</f>
        <v>10974</v>
      </c>
      <c r="R91" s="66">
        <f>IF($AB91="TGD",ROUND($E91*(1+$AD91)^(R$4-$E$4),0),IF($AB91="ALTH",ROUND($AE91+$AF91*R$4,0),IF($AB91="IR",ROUND(Proyeccion_Localidades!AO91,0),IF($AB91="RT",ROUND(Proyeccion_Localidades!BL91,0),"*****"))))</f>
        <v>11069</v>
      </c>
      <c r="S91" s="66">
        <f>IF($AB91="TGD",ROUND($E91*(1+$AD91)^(S$4-$E$4),0),IF($AB91="ALTH",ROUND($AE91+$AF91*S$4,0),IF($AB91="IR",ROUND(Proyeccion_Localidades!AP91,0),IF($AB91="RT",ROUND(Proyeccion_Localidades!BM91,0),"*****"))))</f>
        <v>11165</v>
      </c>
      <c r="T91" s="66">
        <f>IF($AB91="TGD",ROUND($E91*(1+$AD91)^(T$4-$E$4),0),IF($AB91="ALTH",ROUND($AE91+$AF91*T$4,0),IF($AB91="IR",ROUND(Proyeccion_Localidades!AQ91,0),IF($AB91="RT",ROUND(Proyeccion_Localidades!BN91,0),"*****"))))</f>
        <v>11262</v>
      </c>
      <c r="U91" s="66">
        <f>IF($AB91="TGD",ROUND($E91*(1+$AD91)^(U$4-$E$4),0),IF($AB91="ALTH",ROUND($AE91+$AF91*U$4,0),IF($AB91="IR",ROUND(Proyeccion_Localidades!AR91,0),IF($AB91="RT",ROUND(Proyeccion_Localidades!BO91,0),"*****"))))</f>
        <v>11360</v>
      </c>
      <c r="V91" s="66">
        <f>IF($AB91="TGD",ROUND($E91*(1+$AD91)^(V$4-$E$4),0),IF($AB91="ALTH",ROUND($AE91+$AF91*V$4,0),IF($AB91="IR",ROUND(Proyeccion_Localidades!AS91,0),IF($AB91="RT",ROUND(Proyeccion_Localidades!BP91,0),"*****"))))</f>
        <v>11459</v>
      </c>
      <c r="W91" s="66">
        <f>IF($AB91="TGD",ROUND($E91*(1+$AD91)^(W$4-$E$4),0),IF($AB91="ALTH",ROUND($AE91+$AF91*W$4,0),IF($AB91="IR",ROUND(Proyeccion_Localidades!AT91,0),IF($AB91="RT",ROUND(Proyeccion_Localidades!BQ91,0),"*****"))))</f>
        <v>11558</v>
      </c>
      <c r="X91" s="66">
        <f>IF($AB91="TGD",ROUND($E91*(1+$AD91)^(X$4-$E$4),0),IF($AB91="ALTH",ROUND($AE91+$AF91*X$4,0),IF($AB91="IR",ROUND(Proyeccion_Localidades!AU91,0),IF($AB91="RT",ROUND(Proyeccion_Localidades!BR91,0),"*****"))))</f>
        <v>11659</v>
      </c>
      <c r="Y91" s="66">
        <f>IF($AB91="TGD",ROUND($E91*(1+$AD91)^(Y$4-$E$4),0),IF($AB91="ALTH",ROUND($AE91+$AF91*Y$4,0),IF($AB91="IR",ROUND(Proyeccion_Localidades!AV91,0),IF($AB91="RT",ROUND(Proyeccion_Localidades!BS91,0),"*****"))))</f>
        <v>11760</v>
      </c>
      <c r="Z91" s="66">
        <f>IF($AB91="TGD",ROUND($E91*(1+$AD91)^(Z$4-$E$4),0),IF($AB91="ALTH",ROUND($AE91+$AF91*Z$4,0),IF($AB91="IR",ROUND(Proyeccion_Localidades!AW91,0),IF($AB91="RT",ROUND(Proyeccion_Localidades!BT91,0),"*****"))))</f>
        <v>11862</v>
      </c>
      <c r="AA91" s="66">
        <f>IF($AB91="TGD",ROUND($E91*(1+$AD91)^(AA$4-$E$4),0),IF($AB91="ALTH",ROUND($AE91+$AF91*AA$4,0),IF($AB91="IR",ROUND(Proyeccion_Localidades!AX91,0),IF($AB91="RT",ROUND(Proyeccion_Localidades!BU91,0),"*****"))))</f>
        <v>11965</v>
      </c>
      <c r="AB91" s="67" t="str">
        <f>Proyeccion_Localidades!N91</f>
        <v>TGD</v>
      </c>
      <c r="AC91" s="68" t="s">
        <v>35</v>
      </c>
      <c r="AD91" s="51">
        <f>IF(AB91="TGD",Proyeccion_Localidades!Z91,"-")</f>
        <v>8.6863150598455174E-3</v>
      </c>
      <c r="AE91" s="51" t="str">
        <f>IF($AB91="ALTH",Proyeccion_Localidades!AA91,"-")</f>
        <v>-</v>
      </c>
      <c r="AF91" s="51" t="str">
        <f>IF($AB91="ALTH",Proyeccion_Localidades!AB91,"-")</f>
        <v>-</v>
      </c>
      <c r="AG91" s="51"/>
      <c r="AH91" s="51"/>
      <c r="AI91" s="66">
        <f t="shared" si="5"/>
        <v>9892</v>
      </c>
    </row>
    <row r="92" spans="1:44" ht="24.95" customHeight="1">
      <c r="A92" s="84" t="str">
        <f>+Proyeccion_Localidades!C92</f>
        <v>Las Flores</v>
      </c>
      <c r="B92" s="70">
        <f t="shared" si="4"/>
        <v>84</v>
      </c>
      <c r="C92" s="88" t="str">
        <f>+Proyeccion_Localidades!B92</f>
        <v>Las Flores</v>
      </c>
      <c r="D92" s="261">
        <f t="shared" si="6"/>
        <v>84</v>
      </c>
      <c r="E92" s="72">
        <f>+Proyeccion_Localidades!F92</f>
        <v>21455</v>
      </c>
      <c r="F92" s="66">
        <f>IF($AB92="TGD",ROUND($E92*(1+$AD92)^(F$4-$E$4),0),IF($AB92="ALTH",ROUND($AE92+$AF92*F$4,0),IF($AB92="IR",ROUND(Proyeccion_Localidades!AC92,0),IF($AB92="RT",ROUND(Proyeccion_Localidades!AZ92,0),"*****"))))</f>
        <v>23600</v>
      </c>
      <c r="G92" s="66">
        <f>IF($AB92="TGD",ROUND($E92*(1+$AD92)^(G$4-$E$4),0),IF($AB92="ALTH",ROUND($AE92+$AF92*G$4,0),IF($AB92="IR",ROUND(Proyeccion_Localidades!AD92,0),IF($AB92="RT",ROUND(Proyeccion_Localidades!BA92,0),"*****"))))</f>
        <v>23894</v>
      </c>
      <c r="H92" s="66">
        <f>IF($AB92="TGD",ROUND($E92*(1+$AD92)^(H$4-$E$4),0),IF($AB92="ALTH",ROUND($AE92+$AF92*H$4,0),IF($AB92="IR",ROUND(Proyeccion_Localidades!AE92,0),IF($AB92="RT",ROUND(Proyeccion_Localidades!BB92,0),"*****"))))</f>
        <v>24778</v>
      </c>
      <c r="I92" s="66">
        <f>IF($AB92="TGD",ROUND($E92*(1+$AD92)^(I$4-$E$4),0),IF($AB92="ALTH",ROUND($AE92+$AF92*I$4,0),IF($AB92="IR",ROUND(Proyeccion_Localidades!AF92,0),IF($AB92="RT",ROUND(Proyeccion_Localidades!BC92,0),"*****"))))</f>
        <v>25073</v>
      </c>
      <c r="J92" s="66">
        <f>IF($AB92="TGD",ROUND($E92*(1+$AD92)^(J$4-$E$4),0),IF($AB92="ALTH",ROUND($AE92+$AF92*J$4,0),IF($AB92="IR",ROUND(Proyeccion_Localidades!AG92,0),IF($AB92="RT",ROUND(Proyeccion_Localidades!BD92,0),"*****"))))</f>
        <v>25368</v>
      </c>
      <c r="K92" s="66">
        <f>IF($AB92="TGD",ROUND($E92*(1+$AD92)^(K$4-$E$4),0),IF($AB92="ALTH",ROUND($AE92+$AF92*K$4,0),IF($AB92="IR",ROUND(Proyeccion_Localidades!AH92,0),IF($AB92="RT",ROUND(Proyeccion_Localidades!BE92,0),"*****"))))</f>
        <v>25662</v>
      </c>
      <c r="L92" s="66">
        <f>IF($AB92="TGD",ROUND($E92*(1+$AD92)^(L$4-$E$4),0),IF($AB92="ALTH",ROUND($AE92+$AF92*L$4,0),IF($AB92="IR",ROUND(Proyeccion_Localidades!AI92,0),IF($AB92="RT",ROUND(Proyeccion_Localidades!BF92,0),"*****"))))</f>
        <v>25957</v>
      </c>
      <c r="M92" s="66">
        <f>IF($AB92="TGD",ROUND($E92*(1+$AD92)^(M$4-$E$4),0),IF($AB92="ALTH",ROUND($AE92+$AF92*M$4,0),IF($AB92="IR",ROUND(Proyeccion_Localidades!AJ92,0),IF($AB92="RT",ROUND(Proyeccion_Localidades!BG92,0),"*****"))))</f>
        <v>26347</v>
      </c>
      <c r="N92" s="66">
        <f>IF($AB92="TGD",ROUND($E92*(1+$AD92)^(N$4-$E$4),0),IF($AB92="ALTH",ROUND($AE92+$AF92*N$4,0),IF($AB92="IR",ROUND(Proyeccion_Localidades!AK92,0),IF($AB92="RT",ROUND(Proyeccion_Localidades!BH92,0),"*****"))))</f>
        <v>26738</v>
      </c>
      <c r="O92" s="66">
        <f>IF($AB92="TGD",ROUND($E92*(1+$AD92)^(O$4-$E$4),0),IF($AB92="ALTH",ROUND($AE92+$AF92*O$4,0),IF($AB92="IR",ROUND(Proyeccion_Localidades!AL92,0),IF($AB92="RT",ROUND(Proyeccion_Localidades!BI92,0),"*****"))))</f>
        <v>27128</v>
      </c>
      <c r="P92" s="66">
        <f>IF($AB92="TGD",ROUND($E92*(1+$AD92)^(P$4-$E$4),0),IF($AB92="ALTH",ROUND($AE92+$AF92*P$4,0),IF($AB92="IR",ROUND(Proyeccion_Localidades!AM92,0),IF($AB92="RT",ROUND(Proyeccion_Localidades!BJ92,0),"*****"))))</f>
        <v>27519</v>
      </c>
      <c r="Q92" s="66">
        <f>IF($AB92="TGD",ROUND($E92*(1+$AD92)^(Q$4-$E$4),0),IF($AB92="ALTH",ROUND($AE92+$AF92*Q$4,0),IF($AB92="IR",ROUND(Proyeccion_Localidades!AN92,0),IF($AB92="RT",ROUND(Proyeccion_Localidades!BK92,0),"*****"))))</f>
        <v>27909</v>
      </c>
      <c r="R92" s="66">
        <f>IF($AB92="TGD",ROUND($E92*(1+$AD92)^(R$4-$E$4),0),IF($AB92="ALTH",ROUND($AE92+$AF92*R$4,0),IF($AB92="IR",ROUND(Proyeccion_Localidades!AO92,0),IF($AB92="RT",ROUND(Proyeccion_Localidades!BL92,0),"*****"))))</f>
        <v>28300</v>
      </c>
      <c r="S92" s="66">
        <f>IF($AB92="TGD",ROUND($E92*(1+$AD92)^(S$4-$E$4),0),IF($AB92="ALTH",ROUND($AE92+$AF92*S$4,0),IF($AB92="IR",ROUND(Proyeccion_Localidades!AP92,0),IF($AB92="RT",ROUND(Proyeccion_Localidades!BM92,0),"*****"))))</f>
        <v>28690</v>
      </c>
      <c r="T92" s="66">
        <f>IF($AB92="TGD",ROUND($E92*(1+$AD92)^(T$4-$E$4),0),IF($AB92="ALTH",ROUND($AE92+$AF92*T$4,0),IF($AB92="IR",ROUND(Proyeccion_Localidades!AQ92,0),IF($AB92="RT",ROUND(Proyeccion_Localidades!BN92,0),"*****"))))</f>
        <v>29081</v>
      </c>
      <c r="U92" s="66">
        <f>IF($AB92="TGD",ROUND($E92*(1+$AD92)^(U$4-$E$4),0),IF($AB92="ALTH",ROUND($AE92+$AF92*U$4,0),IF($AB92="IR",ROUND(Proyeccion_Localidades!AR92,0),IF($AB92="RT",ROUND(Proyeccion_Localidades!BO92,0),"*****"))))</f>
        <v>29471</v>
      </c>
      <c r="V92" s="66">
        <f>IF($AB92="TGD",ROUND($E92*(1+$AD92)^(V$4-$E$4),0),IF($AB92="ALTH",ROUND($AE92+$AF92*V$4,0),IF($AB92="IR",ROUND(Proyeccion_Localidades!AS92,0),IF($AB92="RT",ROUND(Proyeccion_Localidades!BP92,0),"*****"))))</f>
        <v>29862</v>
      </c>
      <c r="W92" s="66">
        <f>IF($AB92="TGD",ROUND($E92*(1+$AD92)^(W$4-$E$4),0),IF($AB92="ALTH",ROUND($AE92+$AF92*W$4,0),IF($AB92="IR",ROUND(Proyeccion_Localidades!AT92,0),IF($AB92="RT",ROUND(Proyeccion_Localidades!BQ92,0),"*****"))))</f>
        <v>30252</v>
      </c>
      <c r="X92" s="66">
        <f>IF($AB92="TGD",ROUND($E92*(1+$AD92)^(X$4-$E$4),0),IF($AB92="ALTH",ROUND($AE92+$AF92*X$4,0),IF($AB92="IR",ROUND(Proyeccion_Localidades!AU92,0),IF($AB92="RT",ROUND(Proyeccion_Localidades!BR92,0),"*****"))))</f>
        <v>30643</v>
      </c>
      <c r="Y92" s="66">
        <f>IF($AB92="TGD",ROUND($E92*(1+$AD92)^(Y$4-$E$4),0),IF($AB92="ALTH",ROUND($AE92+$AF92*Y$4,0),IF($AB92="IR",ROUND(Proyeccion_Localidades!AV92,0),IF($AB92="RT",ROUND(Proyeccion_Localidades!BS92,0),"*****"))))</f>
        <v>31033</v>
      </c>
      <c r="Z92" s="66">
        <f>IF($AB92="TGD",ROUND($E92*(1+$AD92)^(Z$4-$E$4),0),IF($AB92="ALTH",ROUND($AE92+$AF92*Z$4,0),IF($AB92="IR",ROUND(Proyeccion_Localidades!AW92,0),IF($AB92="RT",ROUND(Proyeccion_Localidades!BT92,0),"*****"))))</f>
        <v>31424</v>
      </c>
      <c r="AA92" s="66">
        <f>IF($AB92="TGD",ROUND($E92*(1+$AD92)^(AA$4-$E$4),0),IF($AB92="ALTH",ROUND($AE92+$AF92*AA$4,0),IF($AB92="IR",ROUND(Proyeccion_Localidades!AX92,0),IF($AB92="RT",ROUND(Proyeccion_Localidades!BU92,0),"*****"))))</f>
        <v>31814</v>
      </c>
      <c r="AB92" s="67" t="str">
        <f>Proyeccion_Localidades!N92</f>
        <v>RT</v>
      </c>
      <c r="AC92" s="73"/>
      <c r="AD92" s="51" t="str">
        <f>IF(AB92="TGD",Proyeccion_Localidades!Z92,"-")</f>
        <v>-</v>
      </c>
      <c r="AE92" s="51" t="str">
        <f>IF($AB92="ALTH",Proyeccion_Localidades!AA92,"-")</f>
        <v>-</v>
      </c>
      <c r="AF92" s="51" t="str">
        <f>IF($AB92="ALTH",Proyeccion_Localidades!AB92,"-")</f>
        <v>-</v>
      </c>
      <c r="AG92" s="51"/>
      <c r="AH92" s="51"/>
      <c r="AI92" s="66">
        <f t="shared" si="5"/>
        <v>23894</v>
      </c>
    </row>
    <row r="93" spans="1:44" ht="24.95" customHeight="1">
      <c r="A93" s="84" t="str">
        <f>+Proyeccion_Localidades!C93</f>
        <v>Leandro N. Alem</v>
      </c>
      <c r="B93" s="70">
        <f t="shared" si="4"/>
        <v>85</v>
      </c>
      <c r="C93" s="88" t="str">
        <f>+Proyeccion_Localidades!B93</f>
        <v>Vedia</v>
      </c>
      <c r="D93" s="261">
        <f t="shared" si="6"/>
        <v>85</v>
      </c>
      <c r="E93" s="72">
        <f>+Proyeccion_Localidades!F93</f>
        <v>8827</v>
      </c>
      <c r="F93" s="66">
        <f>IF($AB93="TGD",ROUND($E93*(1+$AD93)^(F$4-$E$4),0),IF($AB93="ALTH",ROUND($AE93+$AF93*F$4,0),IF($AB93="IR",ROUND(Proyeccion_Localidades!AC93,0),IF($AB93="RT",ROUND(Proyeccion_Localidades!AZ93,0),"*****"))))</f>
        <v>9833</v>
      </c>
      <c r="G93" s="66">
        <f>IF($AB93="TGD",ROUND($E93*(1+$AD93)^(G$4-$E$4),0),IF($AB93="ALTH",ROUND($AE93+$AF93*G$4,0),IF($AB93="IR",ROUND(Proyeccion_Localidades!AD93,0),IF($AB93="RT",ROUND(Proyeccion_Localidades!BA93,0),"*****"))))</f>
        <v>9916</v>
      </c>
      <c r="H93" s="66">
        <f>IF($AB93="TGD",ROUND($E93*(1+$AD93)^(H$4-$E$4),0),IF($AB93="ALTH",ROUND($AE93+$AF93*H$4,0),IF($AB93="IR",ROUND(Proyeccion_Localidades!AE93,0),IF($AB93="RT",ROUND(Proyeccion_Localidades!BB93,0),"*****"))))</f>
        <v>10167</v>
      </c>
      <c r="I93" s="66">
        <f>IF($AB93="TGD",ROUND($E93*(1+$AD93)^(I$4-$E$4),0),IF($AB93="ALTH",ROUND($AE93+$AF93*I$4,0),IF($AB93="IR",ROUND(Proyeccion_Localidades!AF93,0),IF($AB93="RT",ROUND(Proyeccion_Localidades!BC93,0),"*****"))))</f>
        <v>10250</v>
      </c>
      <c r="J93" s="66">
        <f>IF($AB93="TGD",ROUND($E93*(1+$AD93)^(J$4-$E$4),0),IF($AB93="ALTH",ROUND($AE93+$AF93*J$4,0),IF($AB93="IR",ROUND(Proyeccion_Localidades!AG93,0),IF($AB93="RT",ROUND(Proyeccion_Localidades!BD93,0),"*****"))))</f>
        <v>10333</v>
      </c>
      <c r="K93" s="66">
        <f>IF($AB93="TGD",ROUND($E93*(1+$AD93)^(K$4-$E$4),0),IF($AB93="ALTH",ROUND($AE93+$AF93*K$4,0),IF($AB93="IR",ROUND(Proyeccion_Localidades!AH93,0),IF($AB93="RT",ROUND(Proyeccion_Localidades!BE93,0),"*****"))))</f>
        <v>10417</v>
      </c>
      <c r="L93" s="66">
        <f>IF($AB93="TGD",ROUND($E93*(1+$AD93)^(L$4-$E$4),0),IF($AB93="ALTH",ROUND($AE93+$AF93*L$4,0),IF($AB93="IR",ROUND(Proyeccion_Localidades!AI93,0),IF($AB93="RT",ROUND(Proyeccion_Localidades!BF93,0),"*****"))))</f>
        <v>10500</v>
      </c>
      <c r="M93" s="66">
        <f>IF($AB93="TGD",ROUND($E93*(1+$AD93)^(M$4-$E$4),0),IF($AB93="ALTH",ROUND($AE93+$AF93*M$4,0),IF($AB93="IR",ROUND(Proyeccion_Localidades!AJ93,0),IF($AB93="RT",ROUND(Proyeccion_Localidades!BG93,0),"*****"))))</f>
        <v>10584</v>
      </c>
      <c r="N93" s="66">
        <f>IF($AB93="TGD",ROUND($E93*(1+$AD93)^(N$4-$E$4),0),IF($AB93="ALTH",ROUND($AE93+$AF93*N$4,0),IF($AB93="IR",ROUND(Proyeccion_Localidades!AK93,0),IF($AB93="RT",ROUND(Proyeccion_Localidades!BH93,0),"*****"))))</f>
        <v>10667</v>
      </c>
      <c r="O93" s="66">
        <f>IF($AB93="TGD",ROUND($E93*(1+$AD93)^(O$4-$E$4),0),IF($AB93="ALTH",ROUND($AE93+$AF93*O$4,0),IF($AB93="IR",ROUND(Proyeccion_Localidades!AL93,0),IF($AB93="RT",ROUND(Proyeccion_Localidades!BI93,0),"*****"))))</f>
        <v>10751</v>
      </c>
      <c r="P93" s="66">
        <f>IF($AB93="TGD",ROUND($E93*(1+$AD93)^(P$4-$E$4),0),IF($AB93="ALTH",ROUND($AE93+$AF93*P$4,0),IF($AB93="IR",ROUND(Proyeccion_Localidades!AM93,0),IF($AB93="RT",ROUND(Proyeccion_Localidades!BJ93,0),"*****"))))</f>
        <v>10834</v>
      </c>
      <c r="Q93" s="66">
        <f>IF($AB93="TGD",ROUND($E93*(1+$AD93)^(Q$4-$E$4),0),IF($AB93="ALTH",ROUND($AE93+$AF93*Q$4,0),IF($AB93="IR",ROUND(Proyeccion_Localidades!AN93,0),IF($AB93="RT",ROUND(Proyeccion_Localidades!BK93,0),"*****"))))</f>
        <v>10918</v>
      </c>
      <c r="R93" s="66">
        <f>IF($AB93="TGD",ROUND($E93*(1+$AD93)^(R$4-$E$4),0),IF($AB93="ALTH",ROUND($AE93+$AF93*R$4,0),IF($AB93="IR",ROUND(Proyeccion_Localidades!AO93,0),IF($AB93="RT",ROUND(Proyeccion_Localidades!BL93,0),"*****"))))</f>
        <v>11001</v>
      </c>
      <c r="S93" s="66">
        <f>IF($AB93="TGD",ROUND($E93*(1+$AD93)^(S$4-$E$4),0),IF($AB93="ALTH",ROUND($AE93+$AF93*S$4,0),IF($AB93="IR",ROUND(Proyeccion_Localidades!AP93,0),IF($AB93="RT",ROUND(Proyeccion_Localidades!BM93,0),"*****"))))</f>
        <v>11084</v>
      </c>
      <c r="T93" s="66">
        <f>IF($AB93="TGD",ROUND($E93*(1+$AD93)^(T$4-$E$4),0),IF($AB93="ALTH",ROUND($AE93+$AF93*T$4,0),IF($AB93="IR",ROUND(Proyeccion_Localidades!AQ93,0),IF($AB93="RT",ROUND(Proyeccion_Localidades!BN93,0),"*****"))))</f>
        <v>11168</v>
      </c>
      <c r="U93" s="66">
        <f>IF($AB93="TGD",ROUND($E93*(1+$AD93)^(U$4-$E$4),0),IF($AB93="ALTH",ROUND($AE93+$AF93*U$4,0),IF($AB93="IR",ROUND(Proyeccion_Localidades!AR93,0),IF($AB93="RT",ROUND(Proyeccion_Localidades!BO93,0),"*****"))))</f>
        <v>11251</v>
      </c>
      <c r="V93" s="66">
        <f>IF($AB93="TGD",ROUND($E93*(1+$AD93)^(V$4-$E$4),0),IF($AB93="ALTH",ROUND($AE93+$AF93*V$4,0),IF($AB93="IR",ROUND(Proyeccion_Localidades!AS93,0),IF($AB93="RT",ROUND(Proyeccion_Localidades!BP93,0),"*****"))))</f>
        <v>11335</v>
      </c>
      <c r="W93" s="66">
        <f>IF($AB93="TGD",ROUND($E93*(1+$AD93)^(W$4-$E$4),0),IF($AB93="ALTH",ROUND($AE93+$AF93*W$4,0),IF($AB93="IR",ROUND(Proyeccion_Localidades!AT93,0),IF($AB93="RT",ROUND(Proyeccion_Localidades!BQ93,0),"*****"))))</f>
        <v>11418</v>
      </c>
      <c r="X93" s="66">
        <f>IF($AB93="TGD",ROUND($E93*(1+$AD93)^(X$4-$E$4),0),IF($AB93="ALTH",ROUND($AE93+$AF93*X$4,0),IF($AB93="IR",ROUND(Proyeccion_Localidades!AU93,0),IF($AB93="RT",ROUND(Proyeccion_Localidades!BR93,0),"*****"))))</f>
        <v>11502</v>
      </c>
      <c r="Y93" s="66">
        <f>IF($AB93="TGD",ROUND($E93*(1+$AD93)^(Y$4-$E$4),0),IF($AB93="ALTH",ROUND($AE93+$AF93*Y$4,0),IF($AB93="IR",ROUND(Proyeccion_Localidades!AV93,0),IF($AB93="RT",ROUND(Proyeccion_Localidades!BS93,0),"*****"))))</f>
        <v>11585</v>
      </c>
      <c r="Z93" s="66">
        <f>IF($AB93="TGD",ROUND($E93*(1+$AD93)^(Z$4-$E$4),0),IF($AB93="ALTH",ROUND($AE93+$AF93*Z$4,0),IF($AB93="IR",ROUND(Proyeccion_Localidades!AW93,0),IF($AB93="RT",ROUND(Proyeccion_Localidades!BT93,0),"*****"))))</f>
        <v>11669</v>
      </c>
      <c r="AA93" s="66">
        <f>IF($AB93="TGD",ROUND($E93*(1+$AD93)^(AA$4-$E$4),0),IF($AB93="ALTH",ROUND($AE93+$AF93*AA$4,0),IF($AB93="IR",ROUND(Proyeccion_Localidades!AX93,0),IF($AB93="RT",ROUND(Proyeccion_Localidades!BU93,0),"*****"))))</f>
        <v>11752</v>
      </c>
      <c r="AB93" s="67" t="str">
        <f>Proyeccion_Localidades!N93</f>
        <v>ALTH</v>
      </c>
      <c r="AC93" s="68" t="s">
        <v>36</v>
      </c>
      <c r="AD93" s="51" t="str">
        <f>IF(AB93="TGD",Proyeccion_Localidades!Z93,"-")</f>
        <v>-</v>
      </c>
      <c r="AE93" s="51">
        <f>IF($AB93="ALTH",Proyeccion_Localidades!AA93,"-")</f>
        <v>-158892.26199261993</v>
      </c>
      <c r="AF93" s="51">
        <f>IF($AB93="ALTH",Proyeccion_Localidades!AB93,"-")</f>
        <v>83.444649446494452</v>
      </c>
      <c r="AG93" s="51"/>
      <c r="AH93" s="51"/>
      <c r="AI93" s="66">
        <f t="shared" si="5"/>
        <v>9916</v>
      </c>
    </row>
    <row r="94" spans="1:44" ht="24.95" customHeight="1">
      <c r="A94" s="84" t="str">
        <f>+Proyeccion_Localidades!C94</f>
        <v>Lincoln</v>
      </c>
      <c r="B94" s="70">
        <f t="shared" si="4"/>
        <v>86</v>
      </c>
      <c r="C94" s="88" t="str">
        <f>+Proyeccion_Localidades!B94</f>
        <v>Lincoln</v>
      </c>
      <c r="D94" s="261">
        <f t="shared" si="6"/>
        <v>86</v>
      </c>
      <c r="E94" s="72">
        <f>+Proyeccion_Localidades!F94</f>
        <v>28051</v>
      </c>
      <c r="F94" s="66">
        <f>IF($AB94="TGD",ROUND($E94*(1+$AD94)^(F$4-$E$4),0),IF($AB94="ALTH",ROUND($AE94+$AF94*F$4,0),IF($AB94="IR",ROUND(Proyeccion_Localidades!AC94,0),IF($AB94="RT",ROUND(Proyeccion_Localidades!AZ94,0),"*****"))))</f>
        <v>29635</v>
      </c>
      <c r="G94" s="66">
        <f>IF($AB94="TGD",ROUND($E94*(1+$AD94)^(G$4-$E$4),0),IF($AB94="ALTH",ROUND($AE94+$AF94*G$4,0),IF($AB94="IR",ROUND(Proyeccion_Localidades!AD94,0),IF($AB94="RT",ROUND(Proyeccion_Localidades!BA94,0),"*****"))))</f>
        <v>29771</v>
      </c>
      <c r="H94" s="66">
        <f>IF($AB94="TGD",ROUND($E94*(1+$AD94)^(H$4-$E$4),0),IF($AB94="ALTH",ROUND($AE94+$AF94*H$4,0),IF($AB94="IR",ROUND(Proyeccion_Localidades!AE94,0),IF($AB94="RT",ROUND(Proyeccion_Localidades!BB94,0),"*****"))))</f>
        <v>30182</v>
      </c>
      <c r="I94" s="66">
        <f>IF($AB94="TGD",ROUND($E94*(1+$AD94)^(I$4-$E$4),0),IF($AB94="ALTH",ROUND($AE94+$AF94*I$4,0),IF($AB94="IR",ROUND(Proyeccion_Localidades!AF94,0),IF($AB94="RT",ROUND(Proyeccion_Localidades!BC94,0),"*****"))))</f>
        <v>30321</v>
      </c>
      <c r="J94" s="66">
        <f>IF($AB94="TGD",ROUND($E94*(1+$AD94)^(J$4-$E$4),0),IF($AB94="ALTH",ROUND($AE94+$AF94*J$4,0),IF($AB94="IR",ROUND(Proyeccion_Localidades!AG94,0),IF($AB94="RT",ROUND(Proyeccion_Localidades!BD94,0),"*****"))))</f>
        <v>30460</v>
      </c>
      <c r="K94" s="66">
        <f>IF($AB94="TGD",ROUND($E94*(1+$AD94)^(K$4-$E$4),0),IF($AB94="ALTH",ROUND($AE94+$AF94*K$4,0),IF($AB94="IR",ROUND(Proyeccion_Localidades!AH94,0),IF($AB94="RT",ROUND(Proyeccion_Localidades!BE94,0),"*****"))))</f>
        <v>30600</v>
      </c>
      <c r="L94" s="66">
        <f>IF($AB94="TGD",ROUND($E94*(1+$AD94)^(L$4-$E$4),0),IF($AB94="ALTH",ROUND($AE94+$AF94*L$4,0),IF($AB94="IR",ROUND(Proyeccion_Localidades!AI94,0),IF($AB94="RT",ROUND(Proyeccion_Localidades!BF94,0),"*****"))))</f>
        <v>30740</v>
      </c>
      <c r="M94" s="66">
        <f>IF($AB94="TGD",ROUND($E94*(1+$AD94)^(M$4-$E$4),0),IF($AB94="ALTH",ROUND($AE94+$AF94*M$4,0),IF($AB94="IR",ROUND(Proyeccion_Localidades!AJ94,0),IF($AB94="RT",ROUND(Proyeccion_Localidades!BG94,0),"*****"))))</f>
        <v>30881</v>
      </c>
      <c r="N94" s="66">
        <f>IF($AB94="TGD",ROUND($E94*(1+$AD94)^(N$4-$E$4),0),IF($AB94="ALTH",ROUND($AE94+$AF94*N$4,0),IF($AB94="IR",ROUND(Proyeccion_Localidades!AK94,0),IF($AB94="RT",ROUND(Proyeccion_Localidades!BH94,0),"*****"))))</f>
        <v>31023</v>
      </c>
      <c r="O94" s="66">
        <f>IF($AB94="TGD",ROUND($E94*(1+$AD94)^(O$4-$E$4),0),IF($AB94="ALTH",ROUND($AE94+$AF94*O$4,0),IF($AB94="IR",ROUND(Proyeccion_Localidades!AL94,0),IF($AB94="RT",ROUND(Proyeccion_Localidades!BI94,0),"*****"))))</f>
        <v>31165</v>
      </c>
      <c r="P94" s="66">
        <f>IF($AB94="TGD",ROUND($E94*(1+$AD94)^(P$4-$E$4),0),IF($AB94="ALTH",ROUND($AE94+$AF94*P$4,0),IF($AB94="IR",ROUND(Proyeccion_Localidades!AM94,0),IF($AB94="RT",ROUND(Proyeccion_Localidades!BJ94,0),"*****"))))</f>
        <v>31308</v>
      </c>
      <c r="Q94" s="66">
        <f>IF($AB94="TGD",ROUND($E94*(1+$AD94)^(Q$4-$E$4),0),IF($AB94="ALTH",ROUND($AE94+$AF94*Q$4,0),IF($AB94="IR",ROUND(Proyeccion_Localidades!AN94,0),IF($AB94="RT",ROUND(Proyeccion_Localidades!BK94,0),"*****"))))</f>
        <v>31451</v>
      </c>
      <c r="R94" s="66">
        <f>IF($AB94="TGD",ROUND($E94*(1+$AD94)^(R$4-$E$4),0),IF($AB94="ALTH",ROUND($AE94+$AF94*R$4,0),IF($AB94="IR",ROUND(Proyeccion_Localidades!AO94,0),IF($AB94="RT",ROUND(Proyeccion_Localidades!BL94,0),"*****"))))</f>
        <v>31596</v>
      </c>
      <c r="S94" s="66">
        <f>IF($AB94="TGD",ROUND($E94*(1+$AD94)^(S$4-$E$4),0),IF($AB94="ALTH",ROUND($AE94+$AF94*S$4,0),IF($AB94="IR",ROUND(Proyeccion_Localidades!AP94,0),IF($AB94="RT",ROUND(Proyeccion_Localidades!BM94,0),"*****"))))</f>
        <v>31741</v>
      </c>
      <c r="T94" s="66">
        <f>IF($AB94="TGD",ROUND($E94*(1+$AD94)^(T$4-$E$4),0),IF($AB94="ALTH",ROUND($AE94+$AF94*T$4,0),IF($AB94="IR",ROUND(Proyeccion_Localidades!AQ94,0),IF($AB94="RT",ROUND(Proyeccion_Localidades!BN94,0),"*****"))))</f>
        <v>31886</v>
      </c>
      <c r="U94" s="66">
        <f>IF($AB94="TGD",ROUND($E94*(1+$AD94)^(U$4-$E$4),0),IF($AB94="ALTH",ROUND($AE94+$AF94*U$4,0),IF($AB94="IR",ROUND(Proyeccion_Localidades!AR94,0),IF($AB94="RT",ROUND(Proyeccion_Localidades!BO94,0),"*****"))))</f>
        <v>32033</v>
      </c>
      <c r="V94" s="66">
        <f>IF($AB94="TGD",ROUND($E94*(1+$AD94)^(V$4-$E$4),0),IF($AB94="ALTH",ROUND($AE94+$AF94*V$4,0),IF($AB94="IR",ROUND(Proyeccion_Localidades!AS94,0),IF($AB94="RT",ROUND(Proyeccion_Localidades!BP94,0),"*****"))))</f>
        <v>32180</v>
      </c>
      <c r="W94" s="66">
        <f>IF($AB94="TGD",ROUND($E94*(1+$AD94)^(W$4-$E$4),0),IF($AB94="ALTH",ROUND($AE94+$AF94*W$4,0),IF($AB94="IR",ROUND(Proyeccion_Localidades!AT94,0),IF($AB94="RT",ROUND(Proyeccion_Localidades!BQ94,0),"*****"))))</f>
        <v>32327</v>
      </c>
      <c r="X94" s="66">
        <f>IF($AB94="TGD",ROUND($E94*(1+$AD94)^(X$4-$E$4),0),IF($AB94="ALTH",ROUND($AE94+$AF94*X$4,0),IF($AB94="IR",ROUND(Proyeccion_Localidades!AU94,0),IF($AB94="RT",ROUND(Proyeccion_Localidades!BR94,0),"*****"))))</f>
        <v>32475</v>
      </c>
      <c r="Y94" s="66">
        <f>IF($AB94="TGD",ROUND($E94*(1+$AD94)^(Y$4-$E$4),0),IF($AB94="ALTH",ROUND($AE94+$AF94*Y$4,0),IF($AB94="IR",ROUND(Proyeccion_Localidades!AV94,0),IF($AB94="RT",ROUND(Proyeccion_Localidades!BS94,0),"*****"))))</f>
        <v>32624</v>
      </c>
      <c r="Z94" s="66">
        <f>IF($AB94="TGD",ROUND($E94*(1+$AD94)^(Z$4-$E$4),0),IF($AB94="ALTH",ROUND($AE94+$AF94*Z$4,0),IF($AB94="IR",ROUND(Proyeccion_Localidades!AW94,0),IF($AB94="RT",ROUND(Proyeccion_Localidades!BT94,0),"*****"))))</f>
        <v>32774</v>
      </c>
      <c r="AA94" s="66">
        <f>IF($AB94="TGD",ROUND($E94*(1+$AD94)^(AA$4-$E$4),0),IF($AB94="ALTH",ROUND($AE94+$AF94*AA$4,0),IF($AB94="IR",ROUND(Proyeccion_Localidades!AX94,0),IF($AB94="RT",ROUND(Proyeccion_Localidades!BU94,0),"*****"))))</f>
        <v>32924</v>
      </c>
      <c r="AB94" s="67" t="str">
        <f>Proyeccion_Localidades!N94</f>
        <v>TGD</v>
      </c>
      <c r="AC94" s="68" t="s">
        <v>35</v>
      </c>
      <c r="AD94" s="51">
        <f>IF(AB94="TGD",Proyeccion_Localidades!Z94,"-")</f>
        <v>4.5873704679528782E-3</v>
      </c>
      <c r="AE94" s="51" t="str">
        <f>IF($AB94="ALTH",Proyeccion_Localidades!AA94,"-")</f>
        <v>-</v>
      </c>
      <c r="AF94" s="51" t="str">
        <f>IF($AB94="ALTH",Proyeccion_Localidades!AB94,"-")</f>
        <v>-</v>
      </c>
      <c r="AG94" s="51"/>
      <c r="AH94" s="51"/>
      <c r="AI94" s="66">
        <f t="shared" si="5"/>
        <v>29771</v>
      </c>
    </row>
    <row r="95" spans="1:44" ht="24.95" customHeight="1">
      <c r="A95" s="84" t="str">
        <f>+Proyeccion_Localidades!C95</f>
        <v>Lobería</v>
      </c>
      <c r="B95" s="70">
        <f t="shared" si="4"/>
        <v>87</v>
      </c>
      <c r="C95" s="88" t="str">
        <f>+Proyeccion_Localidades!B95</f>
        <v>Lobería</v>
      </c>
      <c r="D95" s="261">
        <f t="shared" si="6"/>
        <v>87</v>
      </c>
      <c r="E95" s="72">
        <f>+Proyeccion_Localidades!F95</f>
        <v>13005</v>
      </c>
      <c r="F95" s="66">
        <f>IF($AB95="TGD",ROUND($E95*(1+$AD95)^(F$4-$E$4),0),IF($AB95="ALTH",ROUND($AE95+$AF95*F$4,0),IF($AB95="IR",ROUND(Proyeccion_Localidades!AC95,0),IF($AB95="RT",ROUND(Proyeccion_Localidades!AZ95,0),"*****"))))</f>
        <v>14163</v>
      </c>
      <c r="G95" s="66">
        <f>IF($AB95="TGD",ROUND($E95*(1+$AD95)^(G$4-$E$4),0),IF($AB95="ALTH",ROUND($AE95+$AF95*G$4,0),IF($AB95="IR",ROUND(Proyeccion_Localidades!AD95,0),IF($AB95="RT",ROUND(Proyeccion_Localidades!BA95,0),"*****"))))</f>
        <v>14264</v>
      </c>
      <c r="H95" s="66">
        <f>IF($AB95="TGD",ROUND($E95*(1+$AD95)^(H$4-$E$4),0),IF($AB95="ALTH",ROUND($AE95+$AF95*H$4,0),IF($AB95="IR",ROUND(Proyeccion_Localidades!AE95,0),IF($AB95="RT",ROUND(Proyeccion_Localidades!BB95,0),"*****"))))</f>
        <v>14572</v>
      </c>
      <c r="I95" s="66">
        <f>IF($AB95="TGD",ROUND($E95*(1+$AD95)^(I$4-$E$4),0),IF($AB95="ALTH",ROUND($AE95+$AF95*I$4,0),IF($AB95="IR",ROUND(Proyeccion_Localidades!AF95,0),IF($AB95="RT",ROUND(Proyeccion_Localidades!BC95,0),"*****"))))</f>
        <v>14676</v>
      </c>
      <c r="J95" s="66">
        <f>IF($AB95="TGD",ROUND($E95*(1+$AD95)^(J$4-$E$4),0),IF($AB95="ALTH",ROUND($AE95+$AF95*J$4,0),IF($AB95="IR",ROUND(Proyeccion_Localidades!AG95,0),IF($AB95="RT",ROUND(Proyeccion_Localidades!BD95,0),"*****"))))</f>
        <v>14780</v>
      </c>
      <c r="K95" s="66">
        <f>IF($AB95="TGD",ROUND($E95*(1+$AD95)^(K$4-$E$4),0),IF($AB95="ALTH",ROUND($AE95+$AF95*K$4,0),IF($AB95="IR",ROUND(Proyeccion_Localidades!AH95,0),IF($AB95="RT",ROUND(Proyeccion_Localidades!BE95,0),"*****"))))</f>
        <v>14886</v>
      </c>
      <c r="L95" s="66">
        <f>IF($AB95="TGD",ROUND($E95*(1+$AD95)^(L$4-$E$4),0),IF($AB95="ALTH",ROUND($AE95+$AF95*L$4,0),IF($AB95="IR",ROUND(Proyeccion_Localidades!AI95,0),IF($AB95="RT",ROUND(Proyeccion_Localidades!BF95,0),"*****"))))</f>
        <v>14992</v>
      </c>
      <c r="M95" s="66">
        <f>IF($AB95="TGD",ROUND($E95*(1+$AD95)^(M$4-$E$4),0),IF($AB95="ALTH",ROUND($AE95+$AF95*M$4,0),IF($AB95="IR",ROUND(Proyeccion_Localidades!AJ95,0),IF($AB95="RT",ROUND(Proyeccion_Localidades!BG95,0),"*****"))))</f>
        <v>15099</v>
      </c>
      <c r="N95" s="66">
        <f>IF($AB95="TGD",ROUND($E95*(1+$AD95)^(N$4-$E$4),0),IF($AB95="ALTH",ROUND($AE95+$AF95*N$4,0),IF($AB95="IR",ROUND(Proyeccion_Localidades!AK95,0),IF($AB95="RT",ROUND(Proyeccion_Localidades!BH95,0),"*****"))))</f>
        <v>15207</v>
      </c>
      <c r="O95" s="66">
        <f>IF($AB95="TGD",ROUND($E95*(1+$AD95)^(O$4-$E$4),0),IF($AB95="ALTH",ROUND($AE95+$AF95*O$4,0),IF($AB95="IR",ROUND(Proyeccion_Localidades!AL95,0),IF($AB95="RT",ROUND(Proyeccion_Localidades!BI95,0),"*****"))))</f>
        <v>15315</v>
      </c>
      <c r="P95" s="66">
        <f>IF($AB95="TGD",ROUND($E95*(1+$AD95)^(P$4-$E$4),0),IF($AB95="ALTH",ROUND($AE95+$AF95*P$4,0),IF($AB95="IR",ROUND(Proyeccion_Localidades!AM95,0),IF($AB95="RT",ROUND(Proyeccion_Localidades!BJ95,0),"*****"))))</f>
        <v>15424</v>
      </c>
      <c r="Q95" s="66">
        <f>IF($AB95="TGD",ROUND($E95*(1+$AD95)^(Q$4-$E$4),0),IF($AB95="ALTH",ROUND($AE95+$AF95*Q$4,0),IF($AB95="IR",ROUND(Proyeccion_Localidades!AN95,0),IF($AB95="RT",ROUND(Proyeccion_Localidades!BK95,0),"*****"))))</f>
        <v>15534</v>
      </c>
      <c r="R95" s="66">
        <f>IF($AB95="TGD",ROUND($E95*(1+$AD95)^(R$4-$E$4),0),IF($AB95="ALTH",ROUND($AE95+$AF95*R$4,0),IF($AB95="IR",ROUND(Proyeccion_Localidades!AO95,0),IF($AB95="RT",ROUND(Proyeccion_Localidades!BL95,0),"*****"))))</f>
        <v>15645</v>
      </c>
      <c r="S95" s="66">
        <f>IF($AB95="TGD",ROUND($E95*(1+$AD95)^(S$4-$E$4),0),IF($AB95="ALTH",ROUND($AE95+$AF95*S$4,0),IF($AB95="IR",ROUND(Proyeccion_Localidades!AP95,0),IF($AB95="RT",ROUND(Proyeccion_Localidades!BM95,0),"*****"))))</f>
        <v>15757</v>
      </c>
      <c r="T95" s="66">
        <f>IF($AB95="TGD",ROUND($E95*(1+$AD95)^(T$4-$E$4),0),IF($AB95="ALTH",ROUND($AE95+$AF95*T$4,0),IF($AB95="IR",ROUND(Proyeccion_Localidades!AQ95,0),IF($AB95="RT",ROUND(Proyeccion_Localidades!BN95,0),"*****"))))</f>
        <v>15869</v>
      </c>
      <c r="U95" s="66">
        <f>IF($AB95="TGD",ROUND($E95*(1+$AD95)^(U$4-$E$4),0),IF($AB95="ALTH",ROUND($AE95+$AF95*U$4,0),IF($AB95="IR",ROUND(Proyeccion_Localidades!AR95,0),IF($AB95="RT",ROUND(Proyeccion_Localidades!BO95,0),"*****"))))</f>
        <v>15982</v>
      </c>
      <c r="V95" s="66">
        <f>IF($AB95="TGD",ROUND($E95*(1+$AD95)^(V$4-$E$4),0),IF($AB95="ALTH",ROUND($AE95+$AF95*V$4,0),IF($AB95="IR",ROUND(Proyeccion_Localidades!AS95,0),IF($AB95="RT",ROUND(Proyeccion_Localidades!BP95,0),"*****"))))</f>
        <v>16096</v>
      </c>
      <c r="W95" s="66">
        <f>IF($AB95="TGD",ROUND($E95*(1+$AD95)^(W$4-$E$4),0),IF($AB95="ALTH",ROUND($AE95+$AF95*W$4,0),IF($AB95="IR",ROUND(Proyeccion_Localidades!AT95,0),IF($AB95="RT",ROUND(Proyeccion_Localidades!BQ95,0),"*****"))))</f>
        <v>16211</v>
      </c>
      <c r="X95" s="66">
        <f>IF($AB95="TGD",ROUND($E95*(1+$AD95)^(X$4-$E$4),0),IF($AB95="ALTH",ROUND($AE95+$AF95*X$4,0),IF($AB95="IR",ROUND(Proyeccion_Localidades!AU95,0),IF($AB95="RT",ROUND(Proyeccion_Localidades!BR95,0),"*****"))))</f>
        <v>16327</v>
      </c>
      <c r="Y95" s="66">
        <f>IF($AB95="TGD",ROUND($E95*(1+$AD95)^(Y$4-$E$4),0),IF($AB95="ALTH",ROUND($AE95+$AF95*Y$4,0),IF($AB95="IR",ROUND(Proyeccion_Localidades!AV95,0),IF($AB95="RT",ROUND(Proyeccion_Localidades!BS95,0),"*****"))))</f>
        <v>16443</v>
      </c>
      <c r="Z95" s="66">
        <f>IF($AB95="TGD",ROUND($E95*(1+$AD95)^(Z$4-$E$4),0),IF($AB95="ALTH",ROUND($AE95+$AF95*Z$4,0),IF($AB95="IR",ROUND(Proyeccion_Localidades!AW95,0),IF($AB95="RT",ROUND(Proyeccion_Localidades!BT95,0),"*****"))))</f>
        <v>16561</v>
      </c>
      <c r="AA95" s="66">
        <f>IF($AB95="TGD",ROUND($E95*(1+$AD95)^(AA$4-$E$4),0),IF($AB95="ALTH",ROUND($AE95+$AF95*AA$4,0),IF($AB95="IR",ROUND(Proyeccion_Localidades!AX95,0),IF($AB95="RT",ROUND(Proyeccion_Localidades!BU95,0),"*****"))))</f>
        <v>16679</v>
      </c>
      <c r="AB95" s="67" t="str">
        <f>Proyeccion_Localidades!N95</f>
        <v>TGD</v>
      </c>
      <c r="AC95" s="68" t="s">
        <v>35</v>
      </c>
      <c r="AD95" s="51">
        <f>IF(AB95="TGD",Proyeccion_Localidades!Z95,"-")</f>
        <v>7.1342078163527667E-3</v>
      </c>
      <c r="AE95" s="51" t="str">
        <f>IF($AB95="ALTH",Proyeccion_Localidades!AA95,"-")</f>
        <v>-</v>
      </c>
      <c r="AF95" s="51" t="str">
        <f>IF($AB95="ALTH",Proyeccion_Localidades!AB95,"-")</f>
        <v>-</v>
      </c>
      <c r="AG95" s="51"/>
      <c r="AH95" s="51"/>
      <c r="AI95" s="66">
        <f t="shared" si="5"/>
        <v>14264</v>
      </c>
    </row>
    <row r="96" spans="1:44" ht="24.95" customHeight="1">
      <c r="A96" s="84" t="str">
        <f>+Proyeccion_Localidades!C96</f>
        <v>Lobos</v>
      </c>
      <c r="B96" s="70">
        <f t="shared" si="4"/>
        <v>88</v>
      </c>
      <c r="C96" s="88" t="str">
        <f>+Proyeccion_Localidades!B96</f>
        <v>Lobos</v>
      </c>
      <c r="D96" s="261">
        <f t="shared" si="6"/>
        <v>88</v>
      </c>
      <c r="E96" s="72">
        <f>+Proyeccion_Localidades!F96</f>
        <v>29868</v>
      </c>
      <c r="F96" s="66">
        <f>IF($AB96="TGD",ROUND($E96*(1+$AD96)^(F$4-$E$4),0),IF($AB96="ALTH",ROUND($AE96+$AF96*F$4,0),IF($AB96="IR",ROUND(Proyeccion_Localidades!AC96,0),IF($AB96="RT",ROUND(Proyeccion_Localidades!AZ96,0),"*****"))))</f>
        <v>34278</v>
      </c>
      <c r="G96" s="66">
        <f>IF($AB96="TGD",ROUND($E96*(1+$AD96)^(G$4-$E$4),0),IF($AB96="ALTH",ROUND($AE96+$AF96*G$4,0),IF($AB96="IR",ROUND(Proyeccion_Localidades!AD96,0),IF($AB96="RT",ROUND(Proyeccion_Localidades!BA96,0),"*****"))))</f>
        <v>34674</v>
      </c>
      <c r="H96" s="66">
        <f>IF($AB96="TGD",ROUND($E96*(1+$AD96)^(H$4-$E$4),0),IF($AB96="ALTH",ROUND($AE96+$AF96*H$4,0),IF($AB96="IR",ROUND(Proyeccion_Localidades!AE96,0),IF($AB96="RT",ROUND(Proyeccion_Localidades!BB96,0),"*****"))))</f>
        <v>35888</v>
      </c>
      <c r="I96" s="66">
        <f>IF($AB96="TGD",ROUND($E96*(1+$AD96)^(I$4-$E$4),0),IF($AB96="ALTH",ROUND($AE96+$AF96*I$4,0),IF($AB96="IR",ROUND(Proyeccion_Localidades!AF96,0),IF($AB96="RT",ROUND(Proyeccion_Localidades!BC96,0),"*****"))))</f>
        <v>36302</v>
      </c>
      <c r="J96" s="66">
        <f>IF($AB96="TGD",ROUND($E96*(1+$AD96)^(J$4-$E$4),0),IF($AB96="ALTH",ROUND($AE96+$AF96*J$4,0),IF($AB96="IR",ROUND(Proyeccion_Localidades!AG96,0),IF($AB96="RT",ROUND(Proyeccion_Localidades!BD96,0),"*****"))))</f>
        <v>36721</v>
      </c>
      <c r="K96" s="66">
        <f>IF($AB96="TGD",ROUND($E96*(1+$AD96)^(K$4-$E$4),0),IF($AB96="ALTH",ROUND($AE96+$AF96*K$4,0),IF($AB96="IR",ROUND(Proyeccion_Localidades!AH96,0),IF($AB96="RT",ROUND(Proyeccion_Localidades!BE96,0),"*****"))))</f>
        <v>37145</v>
      </c>
      <c r="L96" s="66">
        <f>IF($AB96="TGD",ROUND($E96*(1+$AD96)^(L$4-$E$4),0),IF($AB96="ALTH",ROUND($AE96+$AF96*L$4,0),IF($AB96="IR",ROUND(Proyeccion_Localidades!AI96,0),IF($AB96="RT",ROUND(Proyeccion_Localidades!BF96,0),"*****"))))</f>
        <v>37574</v>
      </c>
      <c r="M96" s="66">
        <f>IF($AB96="TGD",ROUND($E96*(1+$AD96)^(M$4-$E$4),0),IF($AB96="ALTH",ROUND($AE96+$AF96*M$4,0),IF($AB96="IR",ROUND(Proyeccion_Localidades!AJ96,0),IF($AB96="RT",ROUND(Proyeccion_Localidades!BG96,0),"*****"))))</f>
        <v>38008</v>
      </c>
      <c r="N96" s="66">
        <f>IF($AB96="TGD",ROUND($E96*(1+$AD96)^(N$4-$E$4),0),IF($AB96="ALTH",ROUND($AE96+$AF96*N$4,0),IF($AB96="IR",ROUND(Proyeccion_Localidades!AK96,0),IF($AB96="RT",ROUND(Proyeccion_Localidades!BH96,0),"*****"))))</f>
        <v>38446</v>
      </c>
      <c r="O96" s="66">
        <f>IF($AB96="TGD",ROUND($E96*(1+$AD96)^(O$4-$E$4),0),IF($AB96="ALTH",ROUND($AE96+$AF96*O$4,0),IF($AB96="IR",ROUND(Proyeccion_Localidades!AL96,0),IF($AB96="RT",ROUND(Proyeccion_Localidades!BI96,0),"*****"))))</f>
        <v>38890</v>
      </c>
      <c r="P96" s="66">
        <f>IF($AB96="TGD",ROUND($E96*(1+$AD96)^(P$4-$E$4),0),IF($AB96="ALTH",ROUND($AE96+$AF96*P$4,0),IF($AB96="IR",ROUND(Proyeccion_Localidades!AM96,0),IF($AB96="RT",ROUND(Proyeccion_Localidades!BJ96,0),"*****"))))</f>
        <v>39339</v>
      </c>
      <c r="Q96" s="66">
        <f>IF($AB96="TGD",ROUND($E96*(1+$AD96)^(Q$4-$E$4),0),IF($AB96="ALTH",ROUND($AE96+$AF96*Q$4,0),IF($AB96="IR",ROUND(Proyeccion_Localidades!AN96,0),IF($AB96="RT",ROUND(Proyeccion_Localidades!BK96,0),"*****"))))</f>
        <v>39793</v>
      </c>
      <c r="R96" s="66">
        <f>IF($AB96="TGD",ROUND($E96*(1+$AD96)^(R$4-$E$4),0),IF($AB96="ALTH",ROUND($AE96+$AF96*R$4,0),IF($AB96="IR",ROUND(Proyeccion_Localidades!AO96,0),IF($AB96="RT",ROUND(Proyeccion_Localidades!BL96,0),"*****"))))</f>
        <v>40252</v>
      </c>
      <c r="S96" s="66">
        <f>IF($AB96="TGD",ROUND($E96*(1+$AD96)^(S$4-$E$4),0),IF($AB96="ALTH",ROUND($AE96+$AF96*S$4,0),IF($AB96="IR",ROUND(Proyeccion_Localidades!AP96,0),IF($AB96="RT",ROUND(Proyeccion_Localidades!BM96,0),"*****"))))</f>
        <v>40717</v>
      </c>
      <c r="T96" s="66">
        <f>IF($AB96="TGD",ROUND($E96*(1+$AD96)^(T$4-$E$4),0),IF($AB96="ALTH",ROUND($AE96+$AF96*T$4,0),IF($AB96="IR",ROUND(Proyeccion_Localidades!AQ96,0),IF($AB96="RT",ROUND(Proyeccion_Localidades!BN96,0),"*****"))))</f>
        <v>41187</v>
      </c>
      <c r="U96" s="66">
        <f>IF($AB96="TGD",ROUND($E96*(1+$AD96)^(U$4-$E$4),0),IF($AB96="ALTH",ROUND($AE96+$AF96*U$4,0),IF($AB96="IR",ROUND(Proyeccion_Localidades!AR96,0),IF($AB96="RT",ROUND(Proyeccion_Localidades!BO96,0),"*****"))))</f>
        <v>41662</v>
      </c>
      <c r="V96" s="66">
        <f>IF($AB96="TGD",ROUND($E96*(1+$AD96)^(V$4-$E$4),0),IF($AB96="ALTH",ROUND($AE96+$AF96*V$4,0),IF($AB96="IR",ROUND(Proyeccion_Localidades!AS96,0),IF($AB96="RT",ROUND(Proyeccion_Localidades!BP96,0),"*****"))))</f>
        <v>42143</v>
      </c>
      <c r="W96" s="66">
        <f>IF($AB96="TGD",ROUND($E96*(1+$AD96)^(W$4-$E$4),0),IF($AB96="ALTH",ROUND($AE96+$AF96*W$4,0),IF($AB96="IR",ROUND(Proyeccion_Localidades!AT96,0),IF($AB96="RT",ROUND(Proyeccion_Localidades!BQ96,0),"*****"))))</f>
        <v>42630</v>
      </c>
      <c r="X96" s="66">
        <f>IF($AB96="TGD",ROUND($E96*(1+$AD96)^(X$4-$E$4),0),IF($AB96="ALTH",ROUND($AE96+$AF96*X$4,0),IF($AB96="IR",ROUND(Proyeccion_Localidades!AU96,0),IF($AB96="RT",ROUND(Proyeccion_Localidades!BR96,0),"*****"))))</f>
        <v>43122</v>
      </c>
      <c r="Y96" s="66">
        <f>IF($AB96="TGD",ROUND($E96*(1+$AD96)^(Y$4-$E$4),0),IF($AB96="ALTH",ROUND($AE96+$AF96*Y$4,0),IF($AB96="IR",ROUND(Proyeccion_Localidades!AV96,0),IF($AB96="RT",ROUND(Proyeccion_Localidades!BS96,0),"*****"))))</f>
        <v>43620</v>
      </c>
      <c r="Z96" s="66">
        <f>IF($AB96="TGD",ROUND($E96*(1+$AD96)^(Z$4-$E$4),0),IF($AB96="ALTH",ROUND($AE96+$AF96*Z$4,0),IF($AB96="IR",ROUND(Proyeccion_Localidades!AW96,0),IF($AB96="RT",ROUND(Proyeccion_Localidades!BT96,0),"*****"))))</f>
        <v>44123</v>
      </c>
      <c r="AA96" s="66">
        <f>IF($AB96="TGD",ROUND($E96*(1+$AD96)^(AA$4-$E$4),0),IF($AB96="ALTH",ROUND($AE96+$AF96*AA$4,0),IF($AB96="IR",ROUND(Proyeccion_Localidades!AX96,0),IF($AB96="RT",ROUND(Proyeccion_Localidades!BU96,0),"*****"))))</f>
        <v>44632</v>
      </c>
      <c r="AB96" s="67" t="str">
        <f>Proyeccion_Localidades!N96</f>
        <v>TGD</v>
      </c>
      <c r="AC96" s="68" t="s">
        <v>35</v>
      </c>
      <c r="AD96" s="51">
        <f>IF(AB96="TGD",Proyeccion_Localidades!Z96,"-")</f>
        <v>1.1542424136488316E-2</v>
      </c>
      <c r="AE96" s="51" t="str">
        <f>IF($AB96="ALTH",Proyeccion_Localidades!AA96,"-")</f>
        <v>-</v>
      </c>
      <c r="AF96" s="51" t="str">
        <f>IF($AB96="ALTH",Proyeccion_Localidades!AB96,"-")</f>
        <v>-</v>
      </c>
      <c r="AG96" s="51"/>
      <c r="AH96" s="51"/>
      <c r="AI96" s="66">
        <f t="shared" si="5"/>
        <v>34674</v>
      </c>
    </row>
    <row r="97" spans="1:43" ht="24.95" customHeight="1">
      <c r="A97" s="84" t="str">
        <f>+Proyeccion_Localidades!C97</f>
        <v>Luján</v>
      </c>
      <c r="B97" s="70">
        <f t="shared" si="4"/>
        <v>89</v>
      </c>
      <c r="C97" s="88" t="str">
        <f>+Proyeccion_Localidades!B97</f>
        <v>Luján</v>
      </c>
      <c r="D97" s="261">
        <f t="shared" si="6"/>
        <v>89</v>
      </c>
      <c r="E97" s="72">
        <f>+Proyeccion_Localidades!F97</f>
        <v>97363</v>
      </c>
      <c r="F97" s="66">
        <f>IF($AB97="TGD",ROUND($E97*(1+$AD97)^(F$4-$E$4),0),IF($AB97="ALTH",ROUND($AE97+$AF97*F$4,0),IF($AB97="IR",ROUND(Proyeccion_Localidades!AC97,0),IF($AB97="RT",ROUND(Proyeccion_Localidades!AZ97,0),"*****"))))</f>
        <v>117714</v>
      </c>
      <c r="G97" s="66">
        <f>IF($AB97="TGD",ROUND($E97*(1+$AD97)^(G$4-$E$4),0),IF($AB97="ALTH",ROUND($AE97+$AF97*G$4,0),IF($AB97="IR",ROUND(Proyeccion_Localidades!AD97,0),IF($AB97="RT",ROUND(Proyeccion_Localidades!BA97,0),"*****"))))</f>
        <v>119749</v>
      </c>
      <c r="H97" s="66">
        <f>IF($AB97="TGD",ROUND($E97*(1+$AD97)^(H$4-$E$4),0),IF($AB97="ALTH",ROUND($AE97+$AF97*H$4,0),IF($AB97="IR",ROUND(Proyeccion_Localidades!AE97,0),IF($AB97="RT",ROUND(Proyeccion_Localidades!BB97,0),"*****"))))</f>
        <v>125853</v>
      </c>
      <c r="I97" s="66">
        <f>IF($AB97="TGD",ROUND($E97*(1+$AD97)^(I$4-$E$4),0),IF($AB97="ALTH",ROUND($AE97+$AF97*I$4,0),IF($AB97="IR",ROUND(Proyeccion_Localidades!AF97,0),IF($AB97="RT",ROUND(Proyeccion_Localidades!BC97,0),"*****"))))</f>
        <v>127887</v>
      </c>
      <c r="J97" s="66">
        <f>IF($AB97="TGD",ROUND($E97*(1+$AD97)^(J$4-$E$4),0),IF($AB97="ALTH",ROUND($AE97+$AF97*J$4,0),IF($AB97="IR",ROUND(Proyeccion_Localidades!AG97,0),IF($AB97="RT",ROUND(Proyeccion_Localidades!BD97,0),"*****"))))</f>
        <v>129922</v>
      </c>
      <c r="K97" s="66">
        <f>IF($AB97="TGD",ROUND($E97*(1+$AD97)^(K$4-$E$4),0),IF($AB97="ALTH",ROUND($AE97+$AF97*K$4,0),IF($AB97="IR",ROUND(Proyeccion_Localidades!AH97,0),IF($AB97="RT",ROUND(Proyeccion_Localidades!BE97,0),"*****"))))</f>
        <v>131957</v>
      </c>
      <c r="L97" s="66">
        <f>IF($AB97="TGD",ROUND($E97*(1+$AD97)^(L$4-$E$4),0),IF($AB97="ALTH",ROUND($AE97+$AF97*L$4,0),IF($AB97="IR",ROUND(Proyeccion_Localidades!AI97,0),IF($AB97="RT",ROUND(Proyeccion_Localidades!BF97,0),"*****"))))</f>
        <v>133991</v>
      </c>
      <c r="M97" s="66">
        <f>IF($AB97="TGD",ROUND($E97*(1+$AD97)^(M$4-$E$4),0),IF($AB97="ALTH",ROUND($AE97+$AF97*M$4,0),IF($AB97="IR",ROUND(Proyeccion_Localidades!AJ97,0),IF($AB97="RT",ROUND(Proyeccion_Localidades!BG97,0),"*****"))))</f>
        <v>136026</v>
      </c>
      <c r="N97" s="66">
        <f>IF($AB97="TGD",ROUND($E97*(1+$AD97)^(N$4-$E$4),0),IF($AB97="ALTH",ROUND($AE97+$AF97*N$4,0),IF($AB97="IR",ROUND(Proyeccion_Localidades!AK97,0),IF($AB97="RT",ROUND(Proyeccion_Localidades!BH97,0),"*****"))))</f>
        <v>138060</v>
      </c>
      <c r="O97" s="66">
        <f>IF($AB97="TGD",ROUND($E97*(1+$AD97)^(O$4-$E$4),0),IF($AB97="ALTH",ROUND($AE97+$AF97*O$4,0),IF($AB97="IR",ROUND(Proyeccion_Localidades!AL97,0),IF($AB97="RT",ROUND(Proyeccion_Localidades!BI97,0),"*****"))))</f>
        <v>140095</v>
      </c>
      <c r="P97" s="66">
        <f>IF($AB97="TGD",ROUND($E97*(1+$AD97)^(P$4-$E$4),0),IF($AB97="ALTH",ROUND($AE97+$AF97*P$4,0),IF($AB97="IR",ROUND(Proyeccion_Localidades!AM97,0),IF($AB97="RT",ROUND(Proyeccion_Localidades!BJ97,0),"*****"))))</f>
        <v>142130</v>
      </c>
      <c r="Q97" s="66">
        <f>IF($AB97="TGD",ROUND($E97*(1+$AD97)^(Q$4-$E$4),0),IF($AB97="ALTH",ROUND($AE97+$AF97*Q$4,0),IF($AB97="IR",ROUND(Proyeccion_Localidades!AN97,0),IF($AB97="RT",ROUND(Proyeccion_Localidades!BK97,0),"*****"))))</f>
        <v>144164</v>
      </c>
      <c r="R97" s="66">
        <f>IF($AB97="TGD",ROUND($E97*(1+$AD97)^(R$4-$E$4),0),IF($AB97="ALTH",ROUND($AE97+$AF97*R$4,0),IF($AB97="IR",ROUND(Proyeccion_Localidades!AO97,0),IF($AB97="RT",ROUND(Proyeccion_Localidades!BL97,0),"*****"))))</f>
        <v>146199</v>
      </c>
      <c r="S97" s="66">
        <f>IF($AB97="TGD",ROUND($E97*(1+$AD97)^(S$4-$E$4),0),IF($AB97="ALTH",ROUND($AE97+$AF97*S$4,0),IF($AB97="IR",ROUND(Proyeccion_Localidades!AP97,0),IF($AB97="RT",ROUND(Proyeccion_Localidades!BM97,0),"*****"))))</f>
        <v>148234</v>
      </c>
      <c r="T97" s="66">
        <f>IF($AB97="TGD",ROUND($E97*(1+$AD97)^(T$4-$E$4),0),IF($AB97="ALTH",ROUND($AE97+$AF97*T$4,0),IF($AB97="IR",ROUND(Proyeccion_Localidades!AQ97,0),IF($AB97="RT",ROUND(Proyeccion_Localidades!BN97,0),"*****"))))</f>
        <v>150268</v>
      </c>
      <c r="U97" s="66">
        <f>IF($AB97="TGD",ROUND($E97*(1+$AD97)^(U$4-$E$4),0),IF($AB97="ALTH",ROUND($AE97+$AF97*U$4,0),IF($AB97="IR",ROUND(Proyeccion_Localidades!AR97,0),IF($AB97="RT",ROUND(Proyeccion_Localidades!BO97,0),"*****"))))</f>
        <v>152303</v>
      </c>
      <c r="V97" s="66">
        <f>IF($AB97="TGD",ROUND($E97*(1+$AD97)^(V$4-$E$4),0),IF($AB97="ALTH",ROUND($AE97+$AF97*V$4,0),IF($AB97="IR",ROUND(Proyeccion_Localidades!AS97,0),IF($AB97="RT",ROUND(Proyeccion_Localidades!BP97,0),"*****"))))</f>
        <v>154337</v>
      </c>
      <c r="W97" s="66">
        <f>IF($AB97="TGD",ROUND($E97*(1+$AD97)^(W$4-$E$4),0),IF($AB97="ALTH",ROUND($AE97+$AF97*W$4,0),IF($AB97="IR",ROUND(Proyeccion_Localidades!AT97,0),IF($AB97="RT",ROUND(Proyeccion_Localidades!BQ97,0),"*****"))))</f>
        <v>156372</v>
      </c>
      <c r="X97" s="66">
        <f>IF($AB97="TGD",ROUND($E97*(1+$AD97)^(X$4-$E$4),0),IF($AB97="ALTH",ROUND($AE97+$AF97*X$4,0),IF($AB97="IR",ROUND(Proyeccion_Localidades!AU97,0),IF($AB97="RT",ROUND(Proyeccion_Localidades!BR97,0),"*****"))))</f>
        <v>158407</v>
      </c>
      <c r="Y97" s="66">
        <f>IF($AB97="TGD",ROUND($E97*(1+$AD97)^(Y$4-$E$4),0),IF($AB97="ALTH",ROUND($AE97+$AF97*Y$4,0),IF($AB97="IR",ROUND(Proyeccion_Localidades!AV97,0),IF($AB97="RT",ROUND(Proyeccion_Localidades!BS97,0),"*****"))))</f>
        <v>160441</v>
      </c>
      <c r="Z97" s="66">
        <f>IF($AB97="TGD",ROUND($E97*(1+$AD97)^(Z$4-$E$4),0),IF($AB97="ALTH",ROUND($AE97+$AF97*Z$4,0),IF($AB97="IR",ROUND(Proyeccion_Localidades!AW97,0),IF($AB97="RT",ROUND(Proyeccion_Localidades!BT97,0),"*****"))))</f>
        <v>162476</v>
      </c>
      <c r="AA97" s="66">
        <f>IF($AB97="TGD",ROUND($E97*(1+$AD97)^(AA$4-$E$4),0),IF($AB97="ALTH",ROUND($AE97+$AF97*AA$4,0),IF($AB97="IR",ROUND(Proyeccion_Localidades!AX97,0),IF($AB97="RT",ROUND(Proyeccion_Localidades!BU97,0),"*****"))))</f>
        <v>164510</v>
      </c>
      <c r="AB97" s="67" t="str">
        <f>Proyeccion_Localidades!N97</f>
        <v>ALTH</v>
      </c>
      <c r="AC97" s="68" t="s">
        <v>36</v>
      </c>
      <c r="AD97" s="51" t="str">
        <f>IF(AB97="TGD",Proyeccion_Localidades!Z97,"-")</f>
        <v>-</v>
      </c>
      <c r="AE97" s="51">
        <f>IF($AB97="ALTH",Proyeccion_Localidades!AA97,"-")</f>
        <v>-3996268.4760147603</v>
      </c>
      <c r="AF97" s="51">
        <f>IF($AB97="ALTH",Proyeccion_Localidades!AB97,"-")</f>
        <v>2034.6107011070112</v>
      </c>
      <c r="AG97" s="51"/>
      <c r="AH97" s="51"/>
      <c r="AI97" s="66">
        <f t="shared" si="5"/>
        <v>119749</v>
      </c>
    </row>
    <row r="98" spans="1:43" ht="24.95" customHeight="1">
      <c r="A98" s="84" t="str">
        <f>+Proyeccion_Localidades!C98</f>
        <v>Magdalena</v>
      </c>
      <c r="B98" s="70">
        <f t="shared" si="4"/>
        <v>90</v>
      </c>
      <c r="C98" s="88" t="str">
        <f>+Proyeccion_Localidades!B98</f>
        <v>Magdalena</v>
      </c>
      <c r="D98" s="261">
        <f t="shared" si="6"/>
        <v>90</v>
      </c>
      <c r="E98" s="72">
        <f>+Proyeccion_Localidades!F98</f>
        <v>11093</v>
      </c>
      <c r="F98" s="66">
        <f>IF($AB98="TGD",ROUND($E98*(1+$AD98)^(F$4-$E$4),0),IF($AB98="ALTH",ROUND($AE98+$AF98*F$4,0),IF($AB98="IR",ROUND(Proyeccion_Localidades!AC98,0),IF($AB98="RT",ROUND(Proyeccion_Localidades!AZ98,0),"*****"))))</f>
        <v>13206</v>
      </c>
      <c r="G98" s="66">
        <f>IF($AB98="TGD",ROUND($E98*(1+$AD98)^(G$4-$E$4),0),IF($AB98="ALTH",ROUND($AE98+$AF98*G$4,0),IF($AB98="IR",ROUND(Proyeccion_Localidades!AD98,0),IF($AB98="RT",ROUND(Proyeccion_Localidades!BA98,0),"*****"))))</f>
        <v>13387</v>
      </c>
      <c r="H98" s="66">
        <f>IF($AB98="TGD",ROUND($E98*(1+$AD98)^(H$4-$E$4),0),IF($AB98="ALTH",ROUND($AE98+$AF98*H$4,0),IF($AB98="IR",ROUND(Proyeccion_Localidades!AE98,0),IF($AB98="RT",ROUND(Proyeccion_Localidades!BB98,0),"*****"))))</f>
        <v>13929</v>
      </c>
      <c r="I98" s="66">
        <f>IF($AB98="TGD",ROUND($E98*(1+$AD98)^(I$4-$E$4),0),IF($AB98="ALTH",ROUND($AE98+$AF98*I$4,0),IF($AB98="IR",ROUND(Proyeccion_Localidades!AF98,0),IF($AB98="RT",ROUND(Proyeccion_Localidades!BC98,0),"*****"))))</f>
        <v>14110</v>
      </c>
      <c r="J98" s="66">
        <f>IF($AB98="TGD",ROUND($E98*(1+$AD98)^(J$4-$E$4),0),IF($AB98="ALTH",ROUND($AE98+$AF98*J$4,0),IF($AB98="IR",ROUND(Proyeccion_Localidades!AG98,0),IF($AB98="RT",ROUND(Proyeccion_Localidades!BD98,0),"*****"))))</f>
        <v>14291</v>
      </c>
      <c r="K98" s="66">
        <f>IF($AB98="TGD",ROUND($E98*(1+$AD98)^(K$4-$E$4),0),IF($AB98="ALTH",ROUND($AE98+$AF98*K$4,0),IF($AB98="IR",ROUND(Proyeccion_Localidades!AH98,0),IF($AB98="RT",ROUND(Proyeccion_Localidades!BE98,0),"*****"))))</f>
        <v>14472</v>
      </c>
      <c r="L98" s="66">
        <f>IF($AB98="TGD",ROUND($E98*(1+$AD98)^(L$4-$E$4),0),IF($AB98="ALTH",ROUND($AE98+$AF98*L$4,0),IF($AB98="IR",ROUND(Proyeccion_Localidades!AI98,0),IF($AB98="RT",ROUND(Proyeccion_Localidades!BF98,0),"*****"))))</f>
        <v>14653</v>
      </c>
      <c r="M98" s="66">
        <f>IF($AB98="TGD",ROUND($E98*(1+$AD98)^(M$4-$E$4),0),IF($AB98="ALTH",ROUND($AE98+$AF98*M$4,0),IF($AB98="IR",ROUND(Proyeccion_Localidades!AJ98,0),IF($AB98="RT",ROUND(Proyeccion_Localidades!BG98,0),"*****"))))</f>
        <v>14834</v>
      </c>
      <c r="N98" s="66">
        <f>IF($AB98="TGD",ROUND($E98*(1+$AD98)^(N$4-$E$4),0),IF($AB98="ALTH",ROUND($AE98+$AF98*N$4,0),IF($AB98="IR",ROUND(Proyeccion_Localidades!AK98,0),IF($AB98="RT",ROUND(Proyeccion_Localidades!BH98,0),"*****"))))</f>
        <v>15015</v>
      </c>
      <c r="O98" s="66">
        <f>IF($AB98="TGD",ROUND($E98*(1+$AD98)^(O$4-$E$4),0),IF($AB98="ALTH",ROUND($AE98+$AF98*O$4,0),IF($AB98="IR",ROUND(Proyeccion_Localidades!AL98,0),IF($AB98="RT",ROUND(Proyeccion_Localidades!BI98,0),"*****"))))</f>
        <v>15196</v>
      </c>
      <c r="P98" s="66">
        <f>IF($AB98="TGD",ROUND($E98*(1+$AD98)^(P$4-$E$4),0),IF($AB98="ALTH",ROUND($AE98+$AF98*P$4,0),IF($AB98="IR",ROUND(Proyeccion_Localidades!AM98,0),IF($AB98="RT",ROUND(Proyeccion_Localidades!BJ98,0),"*****"))))</f>
        <v>15377</v>
      </c>
      <c r="Q98" s="66">
        <f>IF($AB98="TGD",ROUND($E98*(1+$AD98)^(Q$4-$E$4),0),IF($AB98="ALTH",ROUND($AE98+$AF98*Q$4,0),IF($AB98="IR",ROUND(Proyeccion_Localidades!AN98,0),IF($AB98="RT",ROUND(Proyeccion_Localidades!BK98,0),"*****"))))</f>
        <v>15558</v>
      </c>
      <c r="R98" s="66">
        <f>IF($AB98="TGD",ROUND($E98*(1+$AD98)^(R$4-$E$4),0),IF($AB98="ALTH",ROUND($AE98+$AF98*R$4,0),IF($AB98="IR",ROUND(Proyeccion_Localidades!AO98,0),IF($AB98="RT",ROUND(Proyeccion_Localidades!BL98,0),"*****"))))</f>
        <v>15739</v>
      </c>
      <c r="S98" s="66">
        <f>IF($AB98="TGD",ROUND($E98*(1+$AD98)^(S$4-$E$4),0),IF($AB98="ALTH",ROUND($AE98+$AF98*S$4,0),IF($AB98="IR",ROUND(Proyeccion_Localidades!AP98,0),IF($AB98="RT",ROUND(Proyeccion_Localidades!BM98,0),"*****"))))</f>
        <v>15920</v>
      </c>
      <c r="T98" s="66">
        <f>IF($AB98="TGD",ROUND($E98*(1+$AD98)^(T$4-$E$4),0),IF($AB98="ALTH",ROUND($AE98+$AF98*T$4,0),IF($AB98="IR",ROUND(Proyeccion_Localidades!AQ98,0),IF($AB98="RT",ROUND(Proyeccion_Localidades!BN98,0),"*****"))))</f>
        <v>16101</v>
      </c>
      <c r="U98" s="66">
        <f>IF($AB98="TGD",ROUND($E98*(1+$AD98)^(U$4-$E$4),0),IF($AB98="ALTH",ROUND($AE98+$AF98*U$4,0),IF($AB98="IR",ROUND(Proyeccion_Localidades!AR98,0),IF($AB98="RT",ROUND(Proyeccion_Localidades!BO98,0),"*****"))))</f>
        <v>16282</v>
      </c>
      <c r="V98" s="66">
        <f>IF($AB98="TGD",ROUND($E98*(1+$AD98)^(V$4-$E$4),0),IF($AB98="ALTH",ROUND($AE98+$AF98*V$4,0),IF($AB98="IR",ROUND(Proyeccion_Localidades!AS98,0),IF($AB98="RT",ROUND(Proyeccion_Localidades!BP98,0),"*****"))))</f>
        <v>16463</v>
      </c>
      <c r="W98" s="66">
        <f>IF($AB98="TGD",ROUND($E98*(1+$AD98)^(W$4-$E$4),0),IF($AB98="ALTH",ROUND($AE98+$AF98*W$4,0),IF($AB98="IR",ROUND(Proyeccion_Localidades!AT98,0),IF($AB98="RT",ROUND(Proyeccion_Localidades!BQ98,0),"*****"))))</f>
        <v>16644</v>
      </c>
      <c r="X98" s="66">
        <f>IF($AB98="TGD",ROUND($E98*(1+$AD98)^(X$4-$E$4),0),IF($AB98="ALTH",ROUND($AE98+$AF98*X$4,0),IF($AB98="IR",ROUND(Proyeccion_Localidades!AU98,0),IF($AB98="RT",ROUND(Proyeccion_Localidades!BR98,0),"*****"))))</f>
        <v>16825</v>
      </c>
      <c r="Y98" s="66">
        <f>IF($AB98="TGD",ROUND($E98*(1+$AD98)^(Y$4-$E$4),0),IF($AB98="ALTH",ROUND($AE98+$AF98*Y$4,0),IF($AB98="IR",ROUND(Proyeccion_Localidades!AV98,0),IF($AB98="RT",ROUND(Proyeccion_Localidades!BS98,0),"*****"))))</f>
        <v>17006</v>
      </c>
      <c r="Z98" s="66">
        <f>IF($AB98="TGD",ROUND($E98*(1+$AD98)^(Z$4-$E$4),0),IF($AB98="ALTH",ROUND($AE98+$AF98*Z$4,0),IF($AB98="IR",ROUND(Proyeccion_Localidades!AW98,0),IF($AB98="RT",ROUND(Proyeccion_Localidades!BT98,0),"*****"))))</f>
        <v>17187</v>
      </c>
      <c r="AA98" s="66">
        <f>IF($AB98="TGD",ROUND($E98*(1+$AD98)^(AA$4-$E$4),0),IF($AB98="ALTH",ROUND($AE98+$AF98*AA$4,0),IF($AB98="IR",ROUND(Proyeccion_Localidades!AX98,0),IF($AB98="RT",ROUND(Proyeccion_Localidades!BU98,0),"*****"))))</f>
        <v>17368</v>
      </c>
      <c r="AB98" s="67" t="str">
        <f>Proyeccion_Localidades!N98</f>
        <v>ALTH</v>
      </c>
      <c r="AC98" s="68" t="s">
        <v>36</v>
      </c>
      <c r="AD98" s="51" t="str">
        <f>IF(AB98="TGD",Proyeccion_Localidades!Z98,"-")</f>
        <v>-</v>
      </c>
      <c r="AE98" s="51">
        <f>IF($AB98="ALTH",Proyeccion_Localidades!AA98,"-")</f>
        <v>-352683.05166051665</v>
      </c>
      <c r="AF98" s="51">
        <f>IF($AB98="ALTH",Proyeccion_Localidades!AB98,"-")</f>
        <v>180.9538745387454</v>
      </c>
      <c r="AG98" s="51"/>
      <c r="AH98" s="51"/>
      <c r="AI98" s="66">
        <f t="shared" si="5"/>
        <v>13387</v>
      </c>
    </row>
    <row r="99" spans="1:43" ht="24.95" customHeight="1">
      <c r="A99" s="84" t="str">
        <f>+Proyeccion_Localidades!C99</f>
        <v>Maipú</v>
      </c>
      <c r="B99" s="70">
        <f t="shared" si="4"/>
        <v>91</v>
      </c>
      <c r="C99" s="88" t="str">
        <f>+Proyeccion_Localidades!B99</f>
        <v>Maipú</v>
      </c>
      <c r="D99" s="261">
        <f t="shared" si="6"/>
        <v>91</v>
      </c>
      <c r="E99" s="72">
        <f>+Proyeccion_Localidades!F99</f>
        <v>8883</v>
      </c>
      <c r="F99" s="66">
        <f>IF($AB99="TGD",ROUND($E99*(1+$AD99)^(F$4-$E$4),0),IF($AB99="ALTH",ROUND($AE99+$AF99*F$4,0),IF($AB99="IR",ROUND(Proyeccion_Localidades!AC99,0),IF($AB99="RT",ROUND(Proyeccion_Localidades!AZ99,0),"*****"))))</f>
        <v>9561</v>
      </c>
      <c r="G99" s="66">
        <f>IF($AB99="TGD",ROUND($E99*(1+$AD99)^(G$4-$E$4),0),IF($AB99="ALTH",ROUND($AE99+$AF99*G$4,0),IF($AB99="IR",ROUND(Proyeccion_Localidades!AD99,0),IF($AB99="RT",ROUND(Proyeccion_Localidades!BA99,0),"*****"))))</f>
        <v>9606</v>
      </c>
      <c r="H99" s="66">
        <f>IF($AB99="TGD",ROUND($E99*(1+$AD99)^(H$4-$E$4),0),IF($AB99="ALTH",ROUND($AE99+$AF99*H$4,0),IF($AB99="IR",ROUND(Proyeccion_Localidades!AE99,0),IF($AB99="RT",ROUND(Proyeccion_Localidades!BB99,0),"*****"))))</f>
        <v>9742</v>
      </c>
      <c r="I99" s="66">
        <f>IF($AB99="TGD",ROUND($E99*(1+$AD99)^(I$4-$E$4),0),IF($AB99="ALTH",ROUND($AE99+$AF99*I$4,0),IF($AB99="IR",ROUND(Proyeccion_Localidades!AF99,0),IF($AB99="RT",ROUND(Proyeccion_Localidades!BC99,0),"*****"))))</f>
        <v>9787</v>
      </c>
      <c r="J99" s="66">
        <f>IF($AB99="TGD",ROUND($E99*(1+$AD99)^(J$4-$E$4),0),IF($AB99="ALTH",ROUND($AE99+$AF99*J$4,0),IF($AB99="IR",ROUND(Proyeccion_Localidades!AG99,0),IF($AB99="RT",ROUND(Proyeccion_Localidades!BD99,0),"*****"))))</f>
        <v>9832</v>
      </c>
      <c r="K99" s="66">
        <f>IF($AB99="TGD",ROUND($E99*(1+$AD99)^(K$4-$E$4),0),IF($AB99="ALTH",ROUND($AE99+$AF99*K$4,0),IF($AB99="IR",ROUND(Proyeccion_Localidades!AH99,0),IF($AB99="RT",ROUND(Proyeccion_Localidades!BE99,0),"*****"))))</f>
        <v>9878</v>
      </c>
      <c r="L99" s="66">
        <f>IF($AB99="TGD",ROUND($E99*(1+$AD99)^(L$4-$E$4),0),IF($AB99="ALTH",ROUND($AE99+$AF99*L$4,0),IF($AB99="IR",ROUND(Proyeccion_Localidades!AI99,0),IF($AB99="RT",ROUND(Proyeccion_Localidades!BF99,0),"*****"))))</f>
        <v>9923</v>
      </c>
      <c r="M99" s="66">
        <f>IF($AB99="TGD",ROUND($E99*(1+$AD99)^(M$4-$E$4),0),IF($AB99="ALTH",ROUND($AE99+$AF99*M$4,0),IF($AB99="IR",ROUND(Proyeccion_Localidades!AJ99,0),IF($AB99="RT",ROUND(Proyeccion_Localidades!BG99,0),"*****"))))</f>
        <v>9968</v>
      </c>
      <c r="N99" s="66">
        <f>IF($AB99="TGD",ROUND($E99*(1+$AD99)^(N$4-$E$4),0),IF($AB99="ALTH",ROUND($AE99+$AF99*N$4,0),IF($AB99="IR",ROUND(Proyeccion_Localidades!AK99,0),IF($AB99="RT",ROUND(Proyeccion_Localidades!BH99,0),"*****"))))</f>
        <v>10014</v>
      </c>
      <c r="O99" s="66">
        <f>IF($AB99="TGD",ROUND($E99*(1+$AD99)^(O$4-$E$4),0),IF($AB99="ALTH",ROUND($AE99+$AF99*O$4,0),IF($AB99="IR",ROUND(Proyeccion_Localidades!AL99,0),IF($AB99="RT",ROUND(Proyeccion_Localidades!BI99,0),"*****"))))</f>
        <v>10059</v>
      </c>
      <c r="P99" s="66">
        <f>IF($AB99="TGD",ROUND($E99*(1+$AD99)^(P$4-$E$4),0),IF($AB99="ALTH",ROUND($AE99+$AF99*P$4,0),IF($AB99="IR",ROUND(Proyeccion_Localidades!AM99,0),IF($AB99="RT",ROUND(Proyeccion_Localidades!BJ99,0),"*****"))))</f>
        <v>10104</v>
      </c>
      <c r="Q99" s="66">
        <f>IF($AB99="TGD",ROUND($E99*(1+$AD99)^(Q$4-$E$4),0),IF($AB99="ALTH",ROUND($AE99+$AF99*Q$4,0),IF($AB99="IR",ROUND(Proyeccion_Localidades!AN99,0),IF($AB99="RT",ROUND(Proyeccion_Localidades!BK99,0),"*****"))))</f>
        <v>10149</v>
      </c>
      <c r="R99" s="66">
        <f>IF($AB99="TGD",ROUND($E99*(1+$AD99)^(R$4-$E$4),0),IF($AB99="ALTH",ROUND($AE99+$AF99*R$4,0),IF($AB99="IR",ROUND(Proyeccion_Localidades!AO99,0),IF($AB99="RT",ROUND(Proyeccion_Localidades!BL99,0),"*****"))))</f>
        <v>10195</v>
      </c>
      <c r="S99" s="66">
        <f>IF($AB99="TGD",ROUND($E99*(1+$AD99)^(S$4-$E$4),0),IF($AB99="ALTH",ROUND($AE99+$AF99*S$4,0),IF($AB99="IR",ROUND(Proyeccion_Localidades!AP99,0),IF($AB99="RT",ROUND(Proyeccion_Localidades!BM99,0),"*****"))))</f>
        <v>10240</v>
      </c>
      <c r="T99" s="66">
        <f>IF($AB99="TGD",ROUND($E99*(1+$AD99)^(T$4-$E$4),0),IF($AB99="ALTH",ROUND($AE99+$AF99*T$4,0),IF($AB99="IR",ROUND(Proyeccion_Localidades!AQ99,0),IF($AB99="RT",ROUND(Proyeccion_Localidades!BN99,0),"*****"))))</f>
        <v>10285</v>
      </c>
      <c r="U99" s="66">
        <f>IF($AB99="TGD",ROUND($E99*(1+$AD99)^(U$4-$E$4),0),IF($AB99="ALTH",ROUND($AE99+$AF99*U$4,0),IF($AB99="IR",ROUND(Proyeccion_Localidades!AR99,0),IF($AB99="RT",ROUND(Proyeccion_Localidades!BO99,0),"*****"))))</f>
        <v>10331</v>
      </c>
      <c r="V99" s="66">
        <f>IF($AB99="TGD",ROUND($E99*(1+$AD99)^(V$4-$E$4),0),IF($AB99="ALTH",ROUND($AE99+$AF99*V$4,0),IF($AB99="IR",ROUND(Proyeccion_Localidades!AS99,0),IF($AB99="RT",ROUND(Proyeccion_Localidades!BP99,0),"*****"))))</f>
        <v>10376</v>
      </c>
      <c r="W99" s="66">
        <f>IF($AB99="TGD",ROUND($E99*(1+$AD99)^(W$4-$E$4),0),IF($AB99="ALTH",ROUND($AE99+$AF99*W$4,0),IF($AB99="IR",ROUND(Proyeccion_Localidades!AT99,0),IF($AB99="RT",ROUND(Proyeccion_Localidades!BQ99,0),"*****"))))</f>
        <v>10421</v>
      </c>
      <c r="X99" s="66">
        <f>IF($AB99="TGD",ROUND($E99*(1+$AD99)^(X$4-$E$4),0),IF($AB99="ALTH",ROUND($AE99+$AF99*X$4,0),IF($AB99="IR",ROUND(Proyeccion_Localidades!AU99,0),IF($AB99="RT",ROUND(Proyeccion_Localidades!BR99,0),"*****"))))</f>
        <v>10466</v>
      </c>
      <c r="Y99" s="66">
        <f>IF($AB99="TGD",ROUND($E99*(1+$AD99)^(Y$4-$E$4),0),IF($AB99="ALTH",ROUND($AE99+$AF99*Y$4,0),IF($AB99="IR",ROUND(Proyeccion_Localidades!AV99,0),IF($AB99="RT",ROUND(Proyeccion_Localidades!BS99,0),"*****"))))</f>
        <v>10512</v>
      </c>
      <c r="Z99" s="66">
        <f>IF($AB99="TGD",ROUND($E99*(1+$AD99)^(Z$4-$E$4),0),IF($AB99="ALTH",ROUND($AE99+$AF99*Z$4,0),IF($AB99="IR",ROUND(Proyeccion_Localidades!AW99,0),IF($AB99="RT",ROUND(Proyeccion_Localidades!BT99,0),"*****"))))</f>
        <v>10557</v>
      </c>
      <c r="AA99" s="66">
        <f>IF($AB99="TGD",ROUND($E99*(1+$AD99)^(AA$4-$E$4),0),IF($AB99="ALTH",ROUND($AE99+$AF99*AA$4,0),IF($AB99="IR",ROUND(Proyeccion_Localidades!AX99,0),IF($AB99="RT",ROUND(Proyeccion_Localidades!BU99,0),"*****"))))</f>
        <v>10602</v>
      </c>
      <c r="AB99" s="67" t="str">
        <f>Proyeccion_Localidades!N99</f>
        <v>ALTH</v>
      </c>
      <c r="AC99" s="68" t="s">
        <v>36</v>
      </c>
      <c r="AD99" s="51" t="str">
        <f>IF(AB99="TGD",Proyeccion_Localidades!Z99,"-")</f>
        <v>-</v>
      </c>
      <c r="AE99" s="51">
        <f>IF($AB99="ALTH",Proyeccion_Localidades!AA99,"-")</f>
        <v>-82007.47970479705</v>
      </c>
      <c r="AF99" s="51">
        <f>IF($AB99="ALTH",Proyeccion_Localidades!AB99,"-")</f>
        <v>45.285977859778598</v>
      </c>
      <c r="AG99" s="51"/>
      <c r="AH99" s="51"/>
      <c r="AI99" s="66">
        <f t="shared" si="5"/>
        <v>9606</v>
      </c>
    </row>
    <row r="100" spans="1:43" ht="24.95" customHeight="1">
      <c r="A100" s="84" t="str">
        <f>+Proyeccion_Localidades!C100</f>
        <v>Mar Chiquita</v>
      </c>
      <c r="B100" s="70">
        <f t="shared" si="4"/>
        <v>92</v>
      </c>
      <c r="C100" s="88" t="str">
        <f>+Proyeccion_Localidades!B100</f>
        <v>Coronel Vidal</v>
      </c>
      <c r="D100" s="261">
        <f t="shared" si="6"/>
        <v>92</v>
      </c>
      <c r="E100" s="72">
        <f>+Proyeccion_Localidades!F100</f>
        <v>6611</v>
      </c>
      <c r="F100" s="66">
        <f>IF($AB100="TGD",ROUND($E100*(1+$AD100)^(F$4-$E$4),0),IF($AB100="ALTH",ROUND($AE100+$AF100*F$4,0),IF($AB100="IR",ROUND(Proyeccion_Localidades!AC100,0),IF($AB100="RT",ROUND(Proyeccion_Localidades!AZ100,0),"*****"))))</f>
        <v>7333</v>
      </c>
      <c r="G100" s="66">
        <f>IF($AB100="TGD",ROUND($E100*(1+$AD100)^(G$4-$E$4),0),IF($AB100="ALTH",ROUND($AE100+$AF100*G$4,0),IF($AB100="IR",ROUND(Proyeccion_Localidades!AD100,0),IF($AB100="RT",ROUND(Proyeccion_Localidades!BA100,0),"*****"))))</f>
        <v>7427</v>
      </c>
      <c r="H100" s="66">
        <f>IF($AB100="TGD",ROUND($E100*(1+$AD100)^(H$4-$E$4),0),IF($AB100="ALTH",ROUND($AE100+$AF100*H$4,0),IF($AB100="IR",ROUND(Proyeccion_Localidades!AE100,0),IF($AB100="RT",ROUND(Proyeccion_Localidades!BB100,0),"*****"))))</f>
        <v>7707</v>
      </c>
      <c r="I100" s="66">
        <f>IF($AB100="TGD",ROUND($E100*(1+$AD100)^(I$4-$E$4),0),IF($AB100="ALTH",ROUND($AE100+$AF100*I$4,0),IF($AB100="IR",ROUND(Proyeccion_Localidades!AF100,0),IF($AB100="RT",ROUND(Proyeccion_Localidades!BC100,0),"*****"))))</f>
        <v>7801</v>
      </c>
      <c r="J100" s="66">
        <f>IF($AB100="TGD",ROUND($E100*(1+$AD100)^(J$4-$E$4),0),IF($AB100="ALTH",ROUND($AE100+$AF100*J$4,0),IF($AB100="IR",ROUND(Proyeccion_Localidades!AG100,0),IF($AB100="RT",ROUND(Proyeccion_Localidades!BD100,0),"*****"))))</f>
        <v>7894</v>
      </c>
      <c r="K100" s="66">
        <f>IF($AB100="TGD",ROUND($E100*(1+$AD100)^(K$4-$E$4),0),IF($AB100="ALTH",ROUND($AE100+$AF100*K$4,0),IF($AB100="IR",ROUND(Proyeccion_Localidades!AH100,0),IF($AB100="RT",ROUND(Proyeccion_Localidades!BE100,0),"*****"))))</f>
        <v>7988</v>
      </c>
      <c r="L100" s="66">
        <f>IF($AB100="TGD",ROUND($E100*(1+$AD100)^(L$4-$E$4),0),IF($AB100="ALTH",ROUND($AE100+$AF100*L$4,0),IF($AB100="IR",ROUND(Proyeccion_Localidades!AI100,0),IF($AB100="RT",ROUND(Proyeccion_Localidades!BF100,0),"*****"))))</f>
        <v>8081</v>
      </c>
      <c r="M100" s="66">
        <f>IF($AB100="TGD",ROUND($E100*(1+$AD100)^(M$4-$E$4),0),IF($AB100="ALTH",ROUND($AE100+$AF100*M$4,0),IF($AB100="IR",ROUND(Proyeccion_Localidades!AJ100,0),IF($AB100="RT",ROUND(Proyeccion_Localidades!BG100,0),"*****"))))</f>
        <v>8204</v>
      </c>
      <c r="N100" s="66">
        <f>IF($AB100="TGD",ROUND($E100*(1+$AD100)^(N$4-$E$4),0),IF($AB100="ALTH",ROUND($AE100+$AF100*N$4,0),IF($AB100="IR",ROUND(Proyeccion_Localidades!AK100,0),IF($AB100="RT",ROUND(Proyeccion_Localidades!BH100,0),"*****"))))</f>
        <v>8327</v>
      </c>
      <c r="O100" s="66">
        <f>IF($AB100="TGD",ROUND($E100*(1+$AD100)^(O$4-$E$4),0),IF($AB100="ALTH",ROUND($AE100+$AF100*O$4,0),IF($AB100="IR",ROUND(Proyeccion_Localidades!AL100,0),IF($AB100="RT",ROUND(Proyeccion_Localidades!BI100,0),"*****"))))</f>
        <v>8450</v>
      </c>
      <c r="P100" s="66">
        <f>IF($AB100="TGD",ROUND($E100*(1+$AD100)^(P$4-$E$4),0),IF($AB100="ALTH",ROUND($AE100+$AF100*P$4,0),IF($AB100="IR",ROUND(Proyeccion_Localidades!AM100,0),IF($AB100="RT",ROUND(Proyeccion_Localidades!BJ100,0),"*****"))))</f>
        <v>8573</v>
      </c>
      <c r="Q100" s="66">
        <f>IF($AB100="TGD",ROUND($E100*(1+$AD100)^(Q$4-$E$4),0),IF($AB100="ALTH",ROUND($AE100+$AF100*Q$4,0),IF($AB100="IR",ROUND(Proyeccion_Localidades!AN100,0),IF($AB100="RT",ROUND(Proyeccion_Localidades!BK100,0),"*****"))))</f>
        <v>8695</v>
      </c>
      <c r="R100" s="66">
        <f>IF($AB100="TGD",ROUND($E100*(1+$AD100)^(R$4-$E$4),0),IF($AB100="ALTH",ROUND($AE100+$AF100*R$4,0),IF($AB100="IR",ROUND(Proyeccion_Localidades!AO100,0),IF($AB100="RT",ROUND(Proyeccion_Localidades!BL100,0),"*****"))))</f>
        <v>8818</v>
      </c>
      <c r="S100" s="66">
        <f>IF($AB100="TGD",ROUND($E100*(1+$AD100)^(S$4-$E$4),0),IF($AB100="ALTH",ROUND($AE100+$AF100*S$4,0),IF($AB100="IR",ROUND(Proyeccion_Localidades!AP100,0),IF($AB100="RT",ROUND(Proyeccion_Localidades!BM100,0),"*****"))))</f>
        <v>8941</v>
      </c>
      <c r="T100" s="66">
        <f>IF($AB100="TGD",ROUND($E100*(1+$AD100)^(T$4-$E$4),0),IF($AB100="ALTH",ROUND($AE100+$AF100*T$4,0),IF($AB100="IR",ROUND(Proyeccion_Localidades!AQ100,0),IF($AB100="RT",ROUND(Proyeccion_Localidades!BN100,0),"*****"))))</f>
        <v>9064</v>
      </c>
      <c r="U100" s="66">
        <f>IF($AB100="TGD",ROUND($E100*(1+$AD100)^(U$4-$E$4),0),IF($AB100="ALTH",ROUND($AE100+$AF100*U$4,0),IF($AB100="IR",ROUND(Proyeccion_Localidades!AR100,0),IF($AB100="RT",ROUND(Proyeccion_Localidades!BO100,0),"*****"))))</f>
        <v>9187</v>
      </c>
      <c r="V100" s="66">
        <f>IF($AB100="TGD",ROUND($E100*(1+$AD100)^(V$4-$E$4),0),IF($AB100="ALTH",ROUND($AE100+$AF100*V$4,0),IF($AB100="IR",ROUND(Proyeccion_Localidades!AS100,0),IF($AB100="RT",ROUND(Proyeccion_Localidades!BP100,0),"*****"))))</f>
        <v>9309</v>
      </c>
      <c r="W100" s="66">
        <f>IF($AB100="TGD",ROUND($E100*(1+$AD100)^(W$4-$E$4),0),IF($AB100="ALTH",ROUND($AE100+$AF100*W$4,0),IF($AB100="IR",ROUND(Proyeccion_Localidades!AT100,0),IF($AB100="RT",ROUND(Proyeccion_Localidades!BQ100,0),"*****"))))</f>
        <v>9432</v>
      </c>
      <c r="X100" s="66">
        <f>IF($AB100="TGD",ROUND($E100*(1+$AD100)^(X$4-$E$4),0),IF($AB100="ALTH",ROUND($AE100+$AF100*X$4,0),IF($AB100="IR",ROUND(Proyeccion_Localidades!AU100,0),IF($AB100="RT",ROUND(Proyeccion_Localidades!BR100,0),"*****"))))</f>
        <v>9555</v>
      </c>
      <c r="Y100" s="66">
        <f>IF($AB100="TGD",ROUND($E100*(1+$AD100)^(Y$4-$E$4),0),IF($AB100="ALTH",ROUND($AE100+$AF100*Y$4,0),IF($AB100="IR",ROUND(Proyeccion_Localidades!AV100,0),IF($AB100="RT",ROUND(Proyeccion_Localidades!BS100,0),"*****"))))</f>
        <v>9678</v>
      </c>
      <c r="Z100" s="66">
        <f>IF($AB100="TGD",ROUND($E100*(1+$AD100)^(Z$4-$E$4),0),IF($AB100="ALTH",ROUND($AE100+$AF100*Z$4,0),IF($AB100="IR",ROUND(Proyeccion_Localidades!AW100,0),IF($AB100="RT",ROUND(Proyeccion_Localidades!BT100,0),"*****"))))</f>
        <v>9801</v>
      </c>
      <c r="AA100" s="66">
        <f>IF($AB100="TGD",ROUND($E100*(1+$AD100)^(AA$4-$E$4),0),IF($AB100="ALTH",ROUND($AE100+$AF100*AA$4,0),IF($AB100="IR",ROUND(Proyeccion_Localidades!AX100,0),IF($AB100="RT",ROUND(Proyeccion_Localidades!BU100,0),"*****"))))</f>
        <v>9923</v>
      </c>
      <c r="AB100" s="67" t="str">
        <f>Proyeccion_Localidades!N100</f>
        <v>RT</v>
      </c>
      <c r="AC100" s="73"/>
      <c r="AD100" s="51" t="str">
        <f>IF(AB100="TGD",Proyeccion_Localidades!Z100,"-")</f>
        <v>-</v>
      </c>
      <c r="AE100" s="51" t="str">
        <f>IF($AB100="ALTH",Proyeccion_Localidades!AA100,"-")</f>
        <v>-</v>
      </c>
      <c r="AF100" s="51" t="str">
        <f>IF($AB100="ALTH",Proyeccion_Localidades!AB100,"-")</f>
        <v>-</v>
      </c>
      <c r="AG100" s="51"/>
      <c r="AH100" s="51"/>
      <c r="AI100" s="66">
        <f t="shared" si="5"/>
        <v>7427</v>
      </c>
    </row>
    <row r="101" spans="1:43" ht="24.95" customHeight="1">
      <c r="A101" s="84" t="str">
        <f>+Proyeccion_Localidades!C101</f>
        <v>Marcos Paz</v>
      </c>
      <c r="B101" s="70">
        <f t="shared" si="4"/>
        <v>93</v>
      </c>
      <c r="C101" s="88" t="str">
        <f>+Proyeccion_Localidades!B101</f>
        <v>Marcos Paz</v>
      </c>
      <c r="D101" s="261">
        <f t="shared" si="6"/>
        <v>93</v>
      </c>
      <c r="E101" s="72">
        <f>+Proyeccion_Localidades!F101</f>
        <v>50460</v>
      </c>
      <c r="F101" s="66">
        <f>IF($AB101="TGD",ROUND($E101*(1+$AD101)^(F$4-$E$4),0),IF($AB101="ALTH",ROUND($AE101+$AF101*F$4,0),IF($AB101="IR",ROUND(Proyeccion_Localidades!AC101,0),IF($AB101="RT",ROUND(Proyeccion_Localidades!AZ101,0),"*****"))))</f>
        <v>66702</v>
      </c>
      <c r="G101" s="66">
        <f>IF($AB101="TGD",ROUND($E101*(1+$AD101)^(G$4-$E$4),0),IF($AB101="ALTH",ROUND($AE101+$AF101*G$4,0),IF($AB101="IR",ROUND(Proyeccion_Localidades!AD101,0),IF($AB101="RT",ROUND(Proyeccion_Localidades!BA101,0),"*****"))))</f>
        <v>68035</v>
      </c>
      <c r="H101" s="66">
        <f>IF($AB101="TGD",ROUND($E101*(1+$AD101)^(H$4-$E$4),0),IF($AB101="ALTH",ROUND($AE101+$AF101*H$4,0),IF($AB101="IR",ROUND(Proyeccion_Localidades!AE101,0),IF($AB101="RT",ROUND(Proyeccion_Localidades!BB101,0),"*****"))))</f>
        <v>72036</v>
      </c>
      <c r="I101" s="66">
        <f>IF($AB101="TGD",ROUND($E101*(1+$AD101)^(I$4-$E$4),0),IF($AB101="ALTH",ROUND($AE101+$AF101*I$4,0),IF($AB101="IR",ROUND(Proyeccion_Localidades!AF101,0),IF($AB101="RT",ROUND(Proyeccion_Localidades!BC101,0),"*****"))))</f>
        <v>73370</v>
      </c>
      <c r="J101" s="66">
        <f>IF($AB101="TGD",ROUND($E101*(1+$AD101)^(J$4-$E$4),0),IF($AB101="ALTH",ROUND($AE101+$AF101*J$4,0),IF($AB101="IR",ROUND(Proyeccion_Localidades!AG101,0),IF($AB101="RT",ROUND(Proyeccion_Localidades!BD101,0),"*****"))))</f>
        <v>74703</v>
      </c>
      <c r="K101" s="66">
        <f>IF($AB101="TGD",ROUND($E101*(1+$AD101)^(K$4-$E$4),0),IF($AB101="ALTH",ROUND($AE101+$AF101*K$4,0),IF($AB101="IR",ROUND(Proyeccion_Localidades!AH101,0),IF($AB101="RT",ROUND(Proyeccion_Localidades!BE101,0),"*****"))))</f>
        <v>76037</v>
      </c>
      <c r="L101" s="66">
        <f>IF($AB101="TGD",ROUND($E101*(1+$AD101)^(L$4-$E$4),0),IF($AB101="ALTH",ROUND($AE101+$AF101*L$4,0),IF($AB101="IR",ROUND(Proyeccion_Localidades!AI101,0),IF($AB101="RT",ROUND(Proyeccion_Localidades!BF101,0),"*****"))))</f>
        <v>77370</v>
      </c>
      <c r="M101" s="66">
        <f>IF($AB101="TGD",ROUND($E101*(1+$AD101)^(M$4-$E$4),0),IF($AB101="ALTH",ROUND($AE101+$AF101*M$4,0),IF($AB101="IR",ROUND(Proyeccion_Localidades!AJ101,0),IF($AB101="RT",ROUND(Proyeccion_Localidades!BG101,0),"*****"))))</f>
        <v>78704</v>
      </c>
      <c r="N101" s="66">
        <f>IF($AB101="TGD",ROUND($E101*(1+$AD101)^(N$4-$E$4),0),IF($AB101="ALTH",ROUND($AE101+$AF101*N$4,0),IF($AB101="IR",ROUND(Proyeccion_Localidades!AK101,0),IF($AB101="RT",ROUND(Proyeccion_Localidades!BH101,0),"*****"))))</f>
        <v>80038</v>
      </c>
      <c r="O101" s="66">
        <f>IF($AB101="TGD",ROUND($E101*(1+$AD101)^(O$4-$E$4),0),IF($AB101="ALTH",ROUND($AE101+$AF101*O$4,0),IF($AB101="IR",ROUND(Proyeccion_Localidades!AL101,0),IF($AB101="RT",ROUND(Proyeccion_Localidades!BI101,0),"*****"))))</f>
        <v>81371</v>
      </c>
      <c r="P101" s="66">
        <f>IF($AB101="TGD",ROUND($E101*(1+$AD101)^(P$4-$E$4),0),IF($AB101="ALTH",ROUND($AE101+$AF101*P$4,0),IF($AB101="IR",ROUND(Proyeccion_Localidades!AM101,0),IF($AB101="RT",ROUND(Proyeccion_Localidades!BJ101,0),"*****"))))</f>
        <v>82705</v>
      </c>
      <c r="Q101" s="66">
        <f>IF($AB101="TGD",ROUND($E101*(1+$AD101)^(Q$4-$E$4),0),IF($AB101="ALTH",ROUND($AE101+$AF101*Q$4,0),IF($AB101="IR",ROUND(Proyeccion_Localidades!AN101,0),IF($AB101="RT",ROUND(Proyeccion_Localidades!BK101,0),"*****"))))</f>
        <v>84038</v>
      </c>
      <c r="R101" s="66">
        <f>IF($AB101="TGD",ROUND($E101*(1+$AD101)^(R$4-$E$4),0),IF($AB101="ALTH",ROUND($AE101+$AF101*R$4,0),IF($AB101="IR",ROUND(Proyeccion_Localidades!AO101,0),IF($AB101="RT",ROUND(Proyeccion_Localidades!BL101,0),"*****"))))</f>
        <v>85372</v>
      </c>
      <c r="S101" s="66">
        <f>IF($AB101="TGD",ROUND($E101*(1+$AD101)^(S$4-$E$4),0),IF($AB101="ALTH",ROUND($AE101+$AF101*S$4,0),IF($AB101="IR",ROUND(Proyeccion_Localidades!AP101,0),IF($AB101="RT",ROUND(Proyeccion_Localidades!BM101,0),"*****"))))</f>
        <v>86706</v>
      </c>
      <c r="T101" s="66">
        <f>IF($AB101="TGD",ROUND($E101*(1+$AD101)^(T$4-$E$4),0),IF($AB101="ALTH",ROUND($AE101+$AF101*T$4,0),IF($AB101="IR",ROUND(Proyeccion_Localidades!AQ101,0),IF($AB101="RT",ROUND(Proyeccion_Localidades!BN101,0),"*****"))))</f>
        <v>88039</v>
      </c>
      <c r="U101" s="66">
        <f>IF($AB101="TGD",ROUND($E101*(1+$AD101)^(U$4-$E$4),0),IF($AB101="ALTH",ROUND($AE101+$AF101*U$4,0),IF($AB101="IR",ROUND(Proyeccion_Localidades!AR101,0),IF($AB101="RT",ROUND(Proyeccion_Localidades!BO101,0),"*****"))))</f>
        <v>89373</v>
      </c>
      <c r="V101" s="66">
        <f>IF($AB101="TGD",ROUND($E101*(1+$AD101)^(V$4-$E$4),0),IF($AB101="ALTH",ROUND($AE101+$AF101*V$4,0),IF($AB101="IR",ROUND(Proyeccion_Localidades!AS101,0),IF($AB101="RT",ROUND(Proyeccion_Localidades!BP101,0),"*****"))))</f>
        <v>90706</v>
      </c>
      <c r="W101" s="66">
        <f>IF($AB101="TGD",ROUND($E101*(1+$AD101)^(W$4-$E$4),0),IF($AB101="ALTH",ROUND($AE101+$AF101*W$4,0),IF($AB101="IR",ROUND(Proyeccion_Localidades!AT101,0),IF($AB101="RT",ROUND(Proyeccion_Localidades!BQ101,0),"*****"))))</f>
        <v>92040</v>
      </c>
      <c r="X101" s="66">
        <f>IF($AB101="TGD",ROUND($E101*(1+$AD101)^(X$4-$E$4),0),IF($AB101="ALTH",ROUND($AE101+$AF101*X$4,0),IF($AB101="IR",ROUND(Proyeccion_Localidades!AU101,0),IF($AB101="RT",ROUND(Proyeccion_Localidades!BR101,0),"*****"))))</f>
        <v>93373</v>
      </c>
      <c r="Y101" s="66">
        <f>IF($AB101="TGD",ROUND($E101*(1+$AD101)^(Y$4-$E$4),0),IF($AB101="ALTH",ROUND($AE101+$AF101*Y$4,0),IF($AB101="IR",ROUND(Proyeccion_Localidades!AV101,0),IF($AB101="RT",ROUND(Proyeccion_Localidades!BS101,0),"*****"))))</f>
        <v>94707</v>
      </c>
      <c r="Z101" s="66">
        <f>IF($AB101="TGD",ROUND($E101*(1+$AD101)^(Z$4-$E$4),0),IF($AB101="ALTH",ROUND($AE101+$AF101*Z$4,0),IF($AB101="IR",ROUND(Proyeccion_Localidades!AW101,0),IF($AB101="RT",ROUND(Proyeccion_Localidades!BT101,0),"*****"))))</f>
        <v>96041</v>
      </c>
      <c r="AA101" s="66">
        <f>IF($AB101="TGD",ROUND($E101*(1+$AD101)^(AA$4-$E$4),0),IF($AB101="ALTH",ROUND($AE101+$AF101*AA$4,0),IF($AB101="IR",ROUND(Proyeccion_Localidades!AX101,0),IF($AB101="RT",ROUND(Proyeccion_Localidades!BU101,0),"*****"))))</f>
        <v>97374</v>
      </c>
      <c r="AB101" s="67" t="str">
        <f>Proyeccion_Localidades!N101</f>
        <v>ALTH</v>
      </c>
      <c r="AC101" s="68" t="s">
        <v>36</v>
      </c>
      <c r="AD101" s="51" t="str">
        <f>IF(AB101="TGD",Proyeccion_Localidades!Z101,"-")</f>
        <v>-</v>
      </c>
      <c r="AE101" s="51">
        <f>IF($AB101="ALTH",Proyeccion_Localidades!AA101,"-")</f>
        <v>-2629784.3173431731</v>
      </c>
      <c r="AF101" s="51">
        <f>IF($AB101="ALTH",Proyeccion_Localidades!AB101,"-")</f>
        <v>1333.5738007380073</v>
      </c>
      <c r="AG101" s="51"/>
      <c r="AH101" s="51"/>
      <c r="AI101" s="66">
        <f t="shared" si="5"/>
        <v>68035</v>
      </c>
    </row>
    <row r="102" spans="1:43" ht="24.95" customHeight="1">
      <c r="A102" s="84" t="str">
        <f>+Proyeccion_Localidades!C102</f>
        <v>Mercedes</v>
      </c>
      <c r="B102" s="70">
        <f t="shared" si="4"/>
        <v>94</v>
      </c>
      <c r="C102" s="88" t="str">
        <f>+Proyeccion_Localidades!B102</f>
        <v>Mercedes</v>
      </c>
      <c r="D102" s="261">
        <f t="shared" si="6"/>
        <v>94</v>
      </c>
      <c r="E102" s="72">
        <f>+Proyeccion_Localidades!F102</f>
        <v>56116</v>
      </c>
      <c r="F102" s="66">
        <f>IF($AB102="TGD",ROUND($E102*(1+$AD102)^(F$4-$E$4),0),IF($AB102="ALTH",ROUND($AE102+$AF102*F$4,0),IF($AB102="IR",ROUND(Proyeccion_Localidades!AC102,0),IF($AB102="RT",ROUND(Proyeccion_Localidades!AZ102,0),"*****"))))</f>
        <v>62104</v>
      </c>
      <c r="G102" s="66">
        <f>IF($AB102="TGD",ROUND($E102*(1+$AD102)^(G$4-$E$4),0),IF($AB102="ALTH",ROUND($AE102+$AF102*G$4,0),IF($AB102="IR",ROUND(Proyeccion_Localidades!AD102,0),IF($AB102="RT",ROUND(Proyeccion_Localidades!BA102,0),"*****"))))</f>
        <v>62631</v>
      </c>
      <c r="H102" s="66">
        <f>IF($AB102="TGD",ROUND($E102*(1+$AD102)^(H$4-$E$4),0),IF($AB102="ALTH",ROUND($AE102+$AF102*H$4,0),IF($AB102="IR",ROUND(Proyeccion_Localidades!AE102,0),IF($AB102="RT",ROUND(Proyeccion_Localidades!BB102,0),"*****"))))</f>
        <v>64239</v>
      </c>
      <c r="I102" s="66">
        <f>IF($AB102="TGD",ROUND($E102*(1+$AD102)^(I$4-$E$4),0),IF($AB102="ALTH",ROUND($AE102+$AF102*I$4,0),IF($AB102="IR",ROUND(Proyeccion_Localidades!AF102,0),IF($AB102="RT",ROUND(Proyeccion_Localidades!BC102,0),"*****"))))</f>
        <v>64784</v>
      </c>
      <c r="J102" s="66">
        <f>IF($AB102="TGD",ROUND($E102*(1+$AD102)^(J$4-$E$4),0),IF($AB102="ALTH",ROUND($AE102+$AF102*J$4,0),IF($AB102="IR",ROUND(Proyeccion_Localidades!AG102,0),IF($AB102="RT",ROUND(Proyeccion_Localidades!BD102,0),"*****"))))</f>
        <v>65334</v>
      </c>
      <c r="K102" s="66">
        <f>IF($AB102="TGD",ROUND($E102*(1+$AD102)^(K$4-$E$4),0),IF($AB102="ALTH",ROUND($AE102+$AF102*K$4,0),IF($AB102="IR",ROUND(Proyeccion_Localidades!AH102,0),IF($AB102="RT",ROUND(Proyeccion_Localidades!BE102,0),"*****"))))</f>
        <v>65889</v>
      </c>
      <c r="L102" s="66">
        <f>IF($AB102="TGD",ROUND($E102*(1+$AD102)^(L$4-$E$4),0),IF($AB102="ALTH",ROUND($AE102+$AF102*L$4,0),IF($AB102="IR",ROUND(Proyeccion_Localidades!AI102,0),IF($AB102="RT",ROUND(Proyeccion_Localidades!BF102,0),"*****"))))</f>
        <v>66448</v>
      </c>
      <c r="M102" s="66">
        <f>IF($AB102="TGD",ROUND($E102*(1+$AD102)^(M$4-$E$4),0),IF($AB102="ALTH",ROUND($AE102+$AF102*M$4,0),IF($AB102="IR",ROUND(Proyeccion_Localidades!AJ102,0),IF($AB102="RT",ROUND(Proyeccion_Localidades!BG102,0),"*****"))))</f>
        <v>67011</v>
      </c>
      <c r="N102" s="66">
        <f>IF($AB102="TGD",ROUND($E102*(1+$AD102)^(N$4-$E$4),0),IF($AB102="ALTH",ROUND($AE102+$AF102*N$4,0),IF($AB102="IR",ROUND(Proyeccion_Localidades!AK102,0),IF($AB102="RT",ROUND(Proyeccion_Localidades!BH102,0),"*****"))))</f>
        <v>67580</v>
      </c>
      <c r="O102" s="66">
        <f>IF($AB102="TGD",ROUND($E102*(1+$AD102)^(O$4-$E$4),0),IF($AB102="ALTH",ROUND($AE102+$AF102*O$4,0),IF($AB102="IR",ROUND(Proyeccion_Localidades!AL102,0),IF($AB102="RT",ROUND(Proyeccion_Localidades!BI102,0),"*****"))))</f>
        <v>68154</v>
      </c>
      <c r="P102" s="66">
        <f>IF($AB102="TGD",ROUND($E102*(1+$AD102)^(P$4-$E$4),0),IF($AB102="ALTH",ROUND($AE102+$AF102*P$4,0),IF($AB102="IR",ROUND(Proyeccion_Localidades!AM102,0),IF($AB102="RT",ROUND(Proyeccion_Localidades!BJ102,0),"*****"))))</f>
        <v>68732</v>
      </c>
      <c r="Q102" s="66">
        <f>IF($AB102="TGD",ROUND($E102*(1+$AD102)^(Q$4-$E$4),0),IF($AB102="ALTH",ROUND($AE102+$AF102*Q$4,0),IF($AB102="IR",ROUND(Proyeccion_Localidades!AN102,0),IF($AB102="RT",ROUND(Proyeccion_Localidades!BK102,0),"*****"))))</f>
        <v>69315</v>
      </c>
      <c r="R102" s="66">
        <f>IF($AB102="TGD",ROUND($E102*(1+$AD102)^(R$4-$E$4),0),IF($AB102="ALTH",ROUND($AE102+$AF102*R$4,0),IF($AB102="IR",ROUND(Proyeccion_Localidades!AO102,0),IF($AB102="RT",ROUND(Proyeccion_Localidades!BL102,0),"*****"))))</f>
        <v>69903</v>
      </c>
      <c r="S102" s="66">
        <f>IF($AB102="TGD",ROUND($E102*(1+$AD102)^(S$4-$E$4),0),IF($AB102="ALTH",ROUND($AE102+$AF102*S$4,0),IF($AB102="IR",ROUND(Proyeccion_Localidades!AP102,0),IF($AB102="RT",ROUND(Proyeccion_Localidades!BM102,0),"*****"))))</f>
        <v>70496</v>
      </c>
      <c r="T102" s="66">
        <f>IF($AB102="TGD",ROUND($E102*(1+$AD102)^(T$4-$E$4),0),IF($AB102="ALTH",ROUND($AE102+$AF102*T$4,0),IF($AB102="IR",ROUND(Proyeccion_Localidades!AQ102,0),IF($AB102="RT",ROUND(Proyeccion_Localidades!BN102,0),"*****"))))</f>
        <v>71095</v>
      </c>
      <c r="U102" s="66">
        <f>IF($AB102="TGD",ROUND($E102*(1+$AD102)^(U$4-$E$4),0),IF($AB102="ALTH",ROUND($AE102+$AF102*U$4,0),IF($AB102="IR",ROUND(Proyeccion_Localidades!AR102,0),IF($AB102="RT",ROUND(Proyeccion_Localidades!BO102,0),"*****"))))</f>
        <v>71698</v>
      </c>
      <c r="V102" s="66">
        <f>IF($AB102="TGD",ROUND($E102*(1+$AD102)^(V$4-$E$4),0),IF($AB102="ALTH",ROUND($AE102+$AF102*V$4,0),IF($AB102="IR",ROUND(Proyeccion_Localidades!AS102,0),IF($AB102="RT",ROUND(Proyeccion_Localidades!BP102,0),"*****"))))</f>
        <v>72306</v>
      </c>
      <c r="W102" s="66">
        <f>IF($AB102="TGD",ROUND($E102*(1+$AD102)^(W$4-$E$4),0),IF($AB102="ALTH",ROUND($AE102+$AF102*W$4,0),IF($AB102="IR",ROUND(Proyeccion_Localidades!AT102,0),IF($AB102="RT",ROUND(Proyeccion_Localidades!BQ102,0),"*****"))))</f>
        <v>72920</v>
      </c>
      <c r="X102" s="66">
        <f>IF($AB102="TGD",ROUND($E102*(1+$AD102)^(X$4-$E$4),0),IF($AB102="ALTH",ROUND($AE102+$AF102*X$4,0),IF($AB102="IR",ROUND(Proyeccion_Localidades!AU102,0),IF($AB102="RT",ROUND(Proyeccion_Localidades!BR102,0),"*****"))))</f>
        <v>73539</v>
      </c>
      <c r="Y102" s="66">
        <f>IF($AB102="TGD",ROUND($E102*(1+$AD102)^(Y$4-$E$4),0),IF($AB102="ALTH",ROUND($AE102+$AF102*Y$4,0),IF($AB102="IR",ROUND(Proyeccion_Localidades!AV102,0),IF($AB102="RT",ROUND(Proyeccion_Localidades!BS102,0),"*****"))))</f>
        <v>74163</v>
      </c>
      <c r="Z102" s="66">
        <f>IF($AB102="TGD",ROUND($E102*(1+$AD102)^(Z$4-$E$4),0),IF($AB102="ALTH",ROUND($AE102+$AF102*Z$4,0),IF($AB102="IR",ROUND(Proyeccion_Localidades!AW102,0),IF($AB102="RT",ROUND(Proyeccion_Localidades!BT102,0),"*****"))))</f>
        <v>74792</v>
      </c>
      <c r="AA102" s="66">
        <f>IF($AB102="TGD",ROUND($E102*(1+$AD102)^(AA$4-$E$4),0),IF($AB102="ALTH",ROUND($AE102+$AF102*AA$4,0),IF($AB102="IR",ROUND(Proyeccion_Localidades!AX102,0),IF($AB102="RT",ROUND(Proyeccion_Localidades!BU102,0),"*****"))))</f>
        <v>75426</v>
      </c>
      <c r="AB102" s="67" t="str">
        <f>Proyeccion_Localidades!N102</f>
        <v>TGD</v>
      </c>
      <c r="AC102" s="68" t="s">
        <v>35</v>
      </c>
      <c r="AD102" s="51">
        <f>IF(AB102="TGD",Proyeccion_Localidades!Z102,"-")</f>
        <v>8.485441394877058E-3</v>
      </c>
      <c r="AE102" s="51" t="str">
        <f>IF($AB102="ALTH",Proyeccion_Localidades!AA102,"-")</f>
        <v>-</v>
      </c>
      <c r="AF102" s="51" t="str">
        <f>IF($AB102="ALTH",Proyeccion_Localidades!AB102,"-")</f>
        <v>-</v>
      </c>
      <c r="AG102" s="51"/>
      <c r="AH102" s="51"/>
      <c r="AI102" s="66">
        <f t="shared" si="5"/>
        <v>62631</v>
      </c>
    </row>
    <row r="103" spans="1:43" ht="24.95" customHeight="1">
      <c r="A103" s="84" t="str">
        <f>+Proyeccion_Localidades!C103</f>
        <v>Monte</v>
      </c>
      <c r="B103" s="70">
        <f t="shared" si="4"/>
        <v>95</v>
      </c>
      <c r="C103" s="88" t="str">
        <f>+Proyeccion_Localidades!B103</f>
        <v>San Miguel del Monte</v>
      </c>
      <c r="D103" s="261">
        <f t="shared" si="6"/>
        <v>95</v>
      </c>
      <c r="E103" s="72">
        <f>+Proyeccion_Localidades!F103</f>
        <v>17005</v>
      </c>
      <c r="F103" s="66">
        <f>IF($AB103="TGD",ROUND($E103*(1+$AD103)^(F$4-$E$4),0),IF($AB103="ALTH",ROUND($AE103+$AF103*F$4,0),IF($AB103="IR",ROUND(Proyeccion_Localidades!AC103,0),IF($AB103="RT",ROUND(Proyeccion_Localidades!AZ103,0),"*****"))))</f>
        <v>20688</v>
      </c>
      <c r="G103" s="66">
        <f>IF($AB103="TGD",ROUND($E103*(1+$AD103)^(G$4-$E$4),0),IF($AB103="ALTH",ROUND($AE103+$AF103*G$4,0),IF($AB103="IR",ROUND(Proyeccion_Localidades!AD103,0),IF($AB103="RT",ROUND(Proyeccion_Localidades!BA103,0),"*****"))))</f>
        <v>21015</v>
      </c>
      <c r="H103" s="66">
        <f>IF($AB103="TGD",ROUND($E103*(1+$AD103)^(H$4-$E$4),0),IF($AB103="ALTH",ROUND($AE103+$AF103*H$4,0),IF($AB103="IR",ROUND(Proyeccion_Localidades!AE103,0),IF($AB103="RT",ROUND(Proyeccion_Localidades!BB103,0),"*****"))))</f>
        <v>21995</v>
      </c>
      <c r="I103" s="66">
        <f>IF($AB103="TGD",ROUND($E103*(1+$AD103)^(I$4-$E$4),0),IF($AB103="ALTH",ROUND($AE103+$AF103*I$4,0),IF($AB103="IR",ROUND(Proyeccion_Localidades!AF103,0),IF($AB103="RT",ROUND(Proyeccion_Localidades!BC103,0),"*****"))))</f>
        <v>22321</v>
      </c>
      <c r="J103" s="66">
        <f>IF($AB103="TGD",ROUND($E103*(1+$AD103)^(J$4-$E$4),0),IF($AB103="ALTH",ROUND($AE103+$AF103*J$4,0),IF($AB103="IR",ROUND(Proyeccion_Localidades!AG103,0),IF($AB103="RT",ROUND(Proyeccion_Localidades!BD103,0),"*****"))))</f>
        <v>22648</v>
      </c>
      <c r="K103" s="66">
        <f>IF($AB103="TGD",ROUND($E103*(1+$AD103)^(K$4-$E$4),0),IF($AB103="ALTH",ROUND($AE103+$AF103*K$4,0),IF($AB103="IR",ROUND(Proyeccion_Localidades!AH103,0),IF($AB103="RT",ROUND(Proyeccion_Localidades!BE103,0),"*****"))))</f>
        <v>22974</v>
      </c>
      <c r="L103" s="66">
        <f>IF($AB103="TGD",ROUND($E103*(1+$AD103)^(L$4-$E$4),0),IF($AB103="ALTH",ROUND($AE103+$AF103*L$4,0),IF($AB103="IR",ROUND(Proyeccion_Localidades!AI103,0),IF($AB103="RT",ROUND(Proyeccion_Localidades!BF103,0),"*****"))))</f>
        <v>23301</v>
      </c>
      <c r="M103" s="66">
        <f>IF($AB103="TGD",ROUND($E103*(1+$AD103)^(M$4-$E$4),0),IF($AB103="ALTH",ROUND($AE103+$AF103*M$4,0),IF($AB103="IR",ROUND(Proyeccion_Localidades!AJ103,0),IF($AB103="RT",ROUND(Proyeccion_Localidades!BG103,0),"*****"))))</f>
        <v>23627</v>
      </c>
      <c r="N103" s="66">
        <f>IF($AB103="TGD",ROUND($E103*(1+$AD103)^(N$4-$E$4),0),IF($AB103="ALTH",ROUND($AE103+$AF103*N$4,0),IF($AB103="IR",ROUND(Proyeccion_Localidades!AK103,0),IF($AB103="RT",ROUND(Proyeccion_Localidades!BH103,0),"*****"))))</f>
        <v>23954</v>
      </c>
      <c r="O103" s="66">
        <f>IF($AB103="TGD",ROUND($E103*(1+$AD103)^(O$4-$E$4),0),IF($AB103="ALTH",ROUND($AE103+$AF103*O$4,0),IF($AB103="IR",ROUND(Proyeccion_Localidades!AL103,0),IF($AB103="RT",ROUND(Proyeccion_Localidades!BI103,0),"*****"))))</f>
        <v>24281</v>
      </c>
      <c r="P103" s="66">
        <f>IF($AB103="TGD",ROUND($E103*(1+$AD103)^(P$4-$E$4),0),IF($AB103="ALTH",ROUND($AE103+$AF103*P$4,0),IF($AB103="IR",ROUND(Proyeccion_Localidades!AM103,0),IF($AB103="RT",ROUND(Proyeccion_Localidades!BJ103,0),"*****"))))</f>
        <v>24607</v>
      </c>
      <c r="Q103" s="66">
        <f>IF($AB103="TGD",ROUND($E103*(1+$AD103)^(Q$4-$E$4),0),IF($AB103="ALTH",ROUND($AE103+$AF103*Q$4,0),IF($AB103="IR",ROUND(Proyeccion_Localidades!AN103,0),IF($AB103="RT",ROUND(Proyeccion_Localidades!BK103,0),"*****"))))</f>
        <v>24934</v>
      </c>
      <c r="R103" s="66">
        <f>IF($AB103="TGD",ROUND($E103*(1+$AD103)^(R$4-$E$4),0),IF($AB103="ALTH",ROUND($AE103+$AF103*R$4,0),IF($AB103="IR",ROUND(Proyeccion_Localidades!AO103,0),IF($AB103="RT",ROUND(Proyeccion_Localidades!BL103,0),"*****"))))</f>
        <v>25260</v>
      </c>
      <c r="S103" s="66">
        <f>IF($AB103="TGD",ROUND($E103*(1+$AD103)^(S$4-$E$4),0),IF($AB103="ALTH",ROUND($AE103+$AF103*S$4,0),IF($AB103="IR",ROUND(Proyeccion_Localidades!AP103,0),IF($AB103="RT",ROUND(Proyeccion_Localidades!BM103,0),"*****"))))</f>
        <v>25587</v>
      </c>
      <c r="T103" s="66">
        <f>IF($AB103="TGD",ROUND($E103*(1+$AD103)^(T$4-$E$4),0),IF($AB103="ALTH",ROUND($AE103+$AF103*T$4,0),IF($AB103="IR",ROUND(Proyeccion_Localidades!AQ103,0),IF($AB103="RT",ROUND(Proyeccion_Localidades!BN103,0),"*****"))))</f>
        <v>25913</v>
      </c>
      <c r="U103" s="66">
        <f>IF($AB103="TGD",ROUND($E103*(1+$AD103)^(U$4-$E$4),0),IF($AB103="ALTH",ROUND($AE103+$AF103*U$4,0),IF($AB103="IR",ROUND(Proyeccion_Localidades!AR103,0),IF($AB103="RT",ROUND(Proyeccion_Localidades!BO103,0),"*****"))))</f>
        <v>26240</v>
      </c>
      <c r="V103" s="66">
        <f>IF($AB103="TGD",ROUND($E103*(1+$AD103)^(V$4-$E$4),0),IF($AB103="ALTH",ROUND($AE103+$AF103*V$4,0),IF($AB103="IR",ROUND(Proyeccion_Localidades!AS103,0),IF($AB103="RT",ROUND(Proyeccion_Localidades!BP103,0),"*****"))))</f>
        <v>26566</v>
      </c>
      <c r="W103" s="66">
        <f>IF($AB103="TGD",ROUND($E103*(1+$AD103)^(W$4-$E$4),0),IF($AB103="ALTH",ROUND($AE103+$AF103*W$4,0),IF($AB103="IR",ROUND(Proyeccion_Localidades!AT103,0),IF($AB103="RT",ROUND(Proyeccion_Localidades!BQ103,0),"*****"))))</f>
        <v>26893</v>
      </c>
      <c r="X103" s="66">
        <f>IF($AB103="TGD",ROUND($E103*(1+$AD103)^(X$4-$E$4),0),IF($AB103="ALTH",ROUND($AE103+$AF103*X$4,0),IF($AB103="IR",ROUND(Proyeccion_Localidades!AU103,0),IF($AB103="RT",ROUND(Proyeccion_Localidades!BR103,0),"*****"))))</f>
        <v>27219</v>
      </c>
      <c r="Y103" s="66">
        <f>IF($AB103="TGD",ROUND($E103*(1+$AD103)^(Y$4-$E$4),0),IF($AB103="ALTH",ROUND($AE103+$AF103*Y$4,0),IF($AB103="IR",ROUND(Proyeccion_Localidades!AV103,0),IF($AB103="RT",ROUND(Proyeccion_Localidades!BS103,0),"*****"))))</f>
        <v>27546</v>
      </c>
      <c r="Z103" s="66">
        <f>IF($AB103="TGD",ROUND($E103*(1+$AD103)^(Z$4-$E$4),0),IF($AB103="ALTH",ROUND($AE103+$AF103*Z$4,0),IF($AB103="IR",ROUND(Proyeccion_Localidades!AW103,0),IF($AB103="RT",ROUND(Proyeccion_Localidades!BT103,0),"*****"))))</f>
        <v>27873</v>
      </c>
      <c r="AA103" s="66">
        <f>IF($AB103="TGD",ROUND($E103*(1+$AD103)^(AA$4-$E$4),0),IF($AB103="ALTH",ROUND($AE103+$AF103*AA$4,0),IF($AB103="IR",ROUND(Proyeccion_Localidades!AX103,0),IF($AB103="RT",ROUND(Proyeccion_Localidades!BU103,0),"*****"))))</f>
        <v>28199</v>
      </c>
      <c r="AB103" s="67" t="str">
        <f>Proyeccion_Localidades!N103</f>
        <v>ALTH</v>
      </c>
      <c r="AC103" s="68" t="s">
        <v>36</v>
      </c>
      <c r="AD103" s="51" t="str">
        <f>IF(AB103="TGD",Proyeccion_Localidades!Z103,"-")</f>
        <v>-</v>
      </c>
      <c r="AE103" s="51">
        <f>IF($AB103="ALTH",Proyeccion_Localidades!AA103,"-")</f>
        <v>-639599.02214022144</v>
      </c>
      <c r="AF103" s="51">
        <f>IF($AB103="ALTH",Proyeccion_Localidades!AB103,"-")</f>
        <v>326.55166051660518</v>
      </c>
      <c r="AG103" s="51"/>
      <c r="AH103" s="51"/>
      <c r="AI103" s="66">
        <f t="shared" si="5"/>
        <v>21015</v>
      </c>
    </row>
    <row r="104" spans="1:43" ht="24.95" customHeight="1">
      <c r="A104" s="84" t="str">
        <f>+Proyeccion_Localidades!C104</f>
        <v>Monte Hermoso</v>
      </c>
      <c r="B104" s="70">
        <f t="shared" si="4"/>
        <v>96</v>
      </c>
      <c r="C104" s="88" t="str">
        <f>+Proyeccion_Localidades!B104</f>
        <v>Monte Hermoso</v>
      </c>
      <c r="D104" s="261">
        <f t="shared" si="6"/>
        <v>96</v>
      </c>
      <c r="E104" s="72">
        <f>+Proyeccion_Localidades!F104</f>
        <v>6351</v>
      </c>
      <c r="F104" s="66">
        <f>IF($AB104="TGD",ROUND($E104*(1+$AD104)^(F$4-$E$4),0),IF($AB104="ALTH",ROUND($AE104+$AF104*F$4,0),IF($AB104="IR",ROUND(Proyeccion_Localidades!AC104,0),IF($AB104="RT",ROUND(Proyeccion_Localidades!AZ104,0),"*****"))))</f>
        <v>8484</v>
      </c>
      <c r="G104" s="66">
        <f>IF($AB104="TGD",ROUND($E104*(1+$AD104)^(G$4-$E$4),0),IF($AB104="ALTH",ROUND($AE104+$AF104*G$4,0),IF($AB104="IR",ROUND(Proyeccion_Localidades!AD104,0),IF($AB104="RT",ROUND(Proyeccion_Localidades!BA104,0),"*****"))))</f>
        <v>8681</v>
      </c>
      <c r="H104" s="66">
        <f>IF($AB104="TGD",ROUND($E104*(1+$AD104)^(H$4-$E$4),0),IF($AB104="ALTH",ROUND($AE104+$AF104*H$4,0),IF($AB104="IR",ROUND(Proyeccion_Localidades!AE104,0),IF($AB104="RT",ROUND(Proyeccion_Localidades!BB104,0),"*****"))))</f>
        <v>9292</v>
      </c>
      <c r="I104" s="66">
        <f>IF($AB104="TGD",ROUND($E104*(1+$AD104)^(I$4-$E$4),0),IF($AB104="ALTH",ROUND($AE104+$AF104*I$4,0),IF($AB104="IR",ROUND(Proyeccion_Localidades!AF104,0),IF($AB104="RT",ROUND(Proyeccion_Localidades!BC104,0),"*****"))))</f>
        <v>9503</v>
      </c>
      <c r="J104" s="66">
        <f>IF($AB104="TGD",ROUND($E104*(1+$AD104)^(J$4-$E$4),0),IF($AB104="ALTH",ROUND($AE104+$AF104*J$4,0),IF($AB104="IR",ROUND(Proyeccion_Localidades!AG104,0),IF($AB104="RT",ROUND(Proyeccion_Localidades!BD104,0),"*****"))))</f>
        <v>9717</v>
      </c>
      <c r="K104" s="66">
        <f>IF($AB104="TGD",ROUND($E104*(1+$AD104)^(K$4-$E$4),0),IF($AB104="ALTH",ROUND($AE104+$AF104*K$4,0),IF($AB104="IR",ROUND(Proyeccion_Localidades!AH104,0),IF($AB104="RT",ROUND(Proyeccion_Localidades!BE104,0),"*****"))))</f>
        <v>9934</v>
      </c>
      <c r="L104" s="66">
        <f>IF($AB104="TGD",ROUND($E104*(1+$AD104)^(L$4-$E$4),0),IF($AB104="ALTH",ROUND($AE104+$AF104*L$4,0),IF($AB104="IR",ROUND(Proyeccion_Localidades!AI104,0),IF($AB104="RT",ROUND(Proyeccion_Localidades!BF104,0),"*****"))))</f>
        <v>10155</v>
      </c>
      <c r="M104" s="66">
        <f>IF($AB104="TGD",ROUND($E104*(1+$AD104)^(M$4-$E$4),0),IF($AB104="ALTH",ROUND($AE104+$AF104*M$4,0),IF($AB104="IR",ROUND(Proyeccion_Localidades!AJ104,0),IF($AB104="RT",ROUND(Proyeccion_Localidades!BG104,0),"*****"))))</f>
        <v>10379</v>
      </c>
      <c r="N104" s="66">
        <f>IF($AB104="TGD",ROUND($E104*(1+$AD104)^(N$4-$E$4),0),IF($AB104="ALTH",ROUND($AE104+$AF104*N$4,0),IF($AB104="IR",ROUND(Proyeccion_Localidades!AK104,0),IF($AB104="RT",ROUND(Proyeccion_Localidades!BH104,0),"*****"))))</f>
        <v>10607</v>
      </c>
      <c r="O104" s="66">
        <f>IF($AB104="TGD",ROUND($E104*(1+$AD104)^(O$4-$E$4),0),IF($AB104="ALTH",ROUND($AE104+$AF104*O$4,0),IF($AB104="IR",ROUND(Proyeccion_Localidades!AL104,0),IF($AB104="RT",ROUND(Proyeccion_Localidades!BI104,0),"*****"))))</f>
        <v>10839</v>
      </c>
      <c r="P104" s="66">
        <f>IF($AB104="TGD",ROUND($E104*(1+$AD104)^(P$4-$E$4),0),IF($AB104="ALTH",ROUND($AE104+$AF104*P$4,0),IF($AB104="IR",ROUND(Proyeccion_Localidades!AM104,0),IF($AB104="RT",ROUND(Proyeccion_Localidades!BJ104,0),"*****"))))</f>
        <v>11075</v>
      </c>
      <c r="Q104" s="66">
        <f>IF($AB104="TGD",ROUND($E104*(1+$AD104)^(Q$4-$E$4),0),IF($AB104="ALTH",ROUND($AE104+$AF104*Q$4,0),IF($AB104="IR",ROUND(Proyeccion_Localidades!AN104,0),IF($AB104="RT",ROUND(Proyeccion_Localidades!BK104,0),"*****"))))</f>
        <v>11314</v>
      </c>
      <c r="R104" s="66">
        <f>IF($AB104="TGD",ROUND($E104*(1+$AD104)^(R$4-$E$4),0),IF($AB104="ALTH",ROUND($AE104+$AF104*R$4,0),IF($AB104="IR",ROUND(Proyeccion_Localidades!AO104,0),IF($AB104="RT",ROUND(Proyeccion_Localidades!BL104,0),"*****"))))</f>
        <v>11557</v>
      </c>
      <c r="S104" s="66">
        <f>IF($AB104="TGD",ROUND($E104*(1+$AD104)^(S$4-$E$4),0),IF($AB104="ALTH",ROUND($AE104+$AF104*S$4,0),IF($AB104="IR",ROUND(Proyeccion_Localidades!AP104,0),IF($AB104="RT",ROUND(Proyeccion_Localidades!BM104,0),"*****"))))</f>
        <v>11805</v>
      </c>
      <c r="T104" s="66">
        <f>IF($AB104="TGD",ROUND($E104*(1+$AD104)^(T$4-$E$4),0),IF($AB104="ALTH",ROUND($AE104+$AF104*T$4,0),IF($AB104="IR",ROUND(Proyeccion_Localidades!AQ104,0),IF($AB104="RT",ROUND(Proyeccion_Localidades!BN104,0),"*****"))))</f>
        <v>12056</v>
      </c>
      <c r="U104" s="66">
        <f>IF($AB104="TGD",ROUND($E104*(1+$AD104)^(U$4-$E$4),0),IF($AB104="ALTH",ROUND($AE104+$AF104*U$4,0),IF($AB104="IR",ROUND(Proyeccion_Localidades!AR104,0),IF($AB104="RT",ROUND(Proyeccion_Localidades!BO104,0),"*****"))))</f>
        <v>12311</v>
      </c>
      <c r="V104" s="66">
        <f>IF($AB104="TGD",ROUND($E104*(1+$AD104)^(V$4-$E$4),0),IF($AB104="ALTH",ROUND($AE104+$AF104*V$4,0),IF($AB104="IR",ROUND(Proyeccion_Localidades!AS104,0),IF($AB104="RT",ROUND(Proyeccion_Localidades!BP104,0),"*****"))))</f>
        <v>12571</v>
      </c>
      <c r="W104" s="66">
        <f>IF($AB104="TGD",ROUND($E104*(1+$AD104)^(W$4-$E$4),0),IF($AB104="ALTH",ROUND($AE104+$AF104*W$4,0),IF($AB104="IR",ROUND(Proyeccion_Localidades!AT104,0),IF($AB104="RT",ROUND(Proyeccion_Localidades!BQ104,0),"*****"))))</f>
        <v>12835</v>
      </c>
      <c r="X104" s="66">
        <f>IF($AB104="TGD",ROUND($E104*(1+$AD104)^(X$4-$E$4),0),IF($AB104="ALTH",ROUND($AE104+$AF104*X$4,0),IF($AB104="IR",ROUND(Proyeccion_Localidades!AU104,0),IF($AB104="RT",ROUND(Proyeccion_Localidades!BR104,0),"*****"))))</f>
        <v>13103</v>
      </c>
      <c r="Y104" s="66">
        <f>IF($AB104="TGD",ROUND($E104*(1+$AD104)^(Y$4-$E$4),0),IF($AB104="ALTH",ROUND($AE104+$AF104*Y$4,0),IF($AB104="IR",ROUND(Proyeccion_Localidades!AV104,0),IF($AB104="RT",ROUND(Proyeccion_Localidades!BS104,0),"*****"))))</f>
        <v>13375</v>
      </c>
      <c r="Z104" s="66">
        <f>IF($AB104="TGD",ROUND($E104*(1+$AD104)^(Z$4-$E$4),0),IF($AB104="ALTH",ROUND($AE104+$AF104*Z$4,0),IF($AB104="IR",ROUND(Proyeccion_Localidades!AW104,0),IF($AB104="RT",ROUND(Proyeccion_Localidades!BT104,0),"*****"))))</f>
        <v>13652</v>
      </c>
      <c r="AA104" s="66">
        <f>IF($AB104="TGD",ROUND($E104*(1+$AD104)^(AA$4-$E$4),0),IF($AB104="ALTH",ROUND($AE104+$AF104*AA$4,0),IF($AB104="IR",ROUND(Proyeccion_Localidades!AX104,0),IF($AB104="RT",ROUND(Proyeccion_Localidades!BU104,0),"*****"))))</f>
        <v>13934</v>
      </c>
      <c r="AB104" s="67" t="str">
        <f>Proyeccion_Localidades!N104</f>
        <v>IR</v>
      </c>
      <c r="AC104" s="73"/>
      <c r="AD104" s="51" t="str">
        <f>IF(AB104="TGD",Proyeccion_Localidades!Z104,"-")</f>
        <v>-</v>
      </c>
      <c r="AE104" s="51" t="str">
        <f>IF($AB104="ALTH",Proyeccion_Localidades!AA104,"-")</f>
        <v>-</v>
      </c>
      <c r="AF104" s="51" t="str">
        <f>IF($AB104="ALTH",Proyeccion_Localidades!AB104,"-")</f>
        <v>-</v>
      </c>
      <c r="AG104" s="51"/>
      <c r="AH104" s="51"/>
      <c r="AI104" s="66">
        <f t="shared" si="5"/>
        <v>8681</v>
      </c>
    </row>
    <row r="105" spans="1:43" ht="24.95" customHeight="1">
      <c r="A105" s="74" t="s">
        <v>45</v>
      </c>
      <c r="B105" s="75">
        <v>96.1</v>
      </c>
      <c r="C105" s="89" t="s">
        <v>46</v>
      </c>
      <c r="D105" s="261">
        <f t="shared" si="6"/>
        <v>96.1</v>
      </c>
      <c r="E105" s="77">
        <f>ROUND(G105/G104*E104,0)</f>
        <v>24451</v>
      </c>
      <c r="F105" s="78">
        <f>INDEX(Turísticas!$A$5:$AA$13,MATCH("Monte Hermoso",Turísticas!$A$5:$A$13,0),MATCH(Verif!F$4,Turísticas!$B$4:$AA$4,0)+1)</f>
        <v>32662</v>
      </c>
      <c r="G105" s="78">
        <f>INDEX(Turísticas!$A$5:$AA$13,MATCH("Monte Hermoso",Turísticas!$A$5:$A$13,0),MATCH(Verif!G$4,Turísticas!$B$4:$AA$4,0)+1)</f>
        <v>33421</v>
      </c>
      <c r="H105" s="78">
        <f>INDEX(Turísticas!$A$5:$AA$13,MATCH("Monte Hermoso",Turísticas!$A$5:$A$13,0),MATCH(Verif!H$4,Turísticas!$B$4:$AA$4,0)+1)</f>
        <v>35773</v>
      </c>
      <c r="I105" s="78">
        <f>INDEX(Turísticas!$A$5:$AA$13,MATCH("Monte Hermoso",Turísticas!$A$5:$A$13,0),MATCH(Verif!I$4,Turísticas!$B$4:$AA$4,0)+1)</f>
        <v>36583</v>
      </c>
      <c r="J105" s="78">
        <f>INDEX(Turísticas!$A$5:$AA$13,MATCH("Monte Hermoso",Turísticas!$A$5:$A$13,0),MATCH(Verif!J$4,Turísticas!$B$4:$AA$4,0)+1)</f>
        <v>37406</v>
      </c>
      <c r="K105" s="78">
        <f>INDEX(Turísticas!$A$5:$AA$13,MATCH("Monte Hermoso",Turísticas!$A$5:$A$13,0),MATCH(Verif!K$4,Turísticas!$B$4:$AA$4,0)+1)</f>
        <v>38242</v>
      </c>
      <c r="L105" s="78">
        <f>INDEX(Turísticas!$A$5:$AA$13,MATCH("Monte Hermoso",Turísticas!$A$5:$A$13,0),MATCH(Verif!L$4,Turísticas!$B$4:$AA$4,0)+1)</f>
        <v>39092</v>
      </c>
      <c r="M105" s="78">
        <f>INDEX(Turísticas!$A$5:$AA$13,MATCH("Monte Hermoso",Turísticas!$A$5:$A$13,0),MATCH(Verif!M$4,Turísticas!$B$4:$AA$4,0)+1)</f>
        <v>39956</v>
      </c>
      <c r="N105" s="78">
        <f>INDEX(Turísticas!$A$5:$AA$13,MATCH("Monte Hermoso",Turísticas!$A$5:$A$13,0),MATCH(Verif!N$4,Turísticas!$B$4:$AA$4,0)+1)</f>
        <v>40834</v>
      </c>
      <c r="O105" s="78">
        <f>INDEX(Turísticas!$A$5:$AA$13,MATCH("Monte Hermoso",Turísticas!$A$5:$A$13,0),MATCH(Verif!O$4,Turísticas!$B$4:$AA$4,0)+1)</f>
        <v>41726</v>
      </c>
      <c r="P105" s="78">
        <f>INDEX(Turísticas!$A$5:$AA$13,MATCH("Monte Hermoso",Turísticas!$A$5:$A$13,0),MATCH(Verif!P$4,Turísticas!$B$4:$AA$4,0)+1)</f>
        <v>42633</v>
      </c>
      <c r="Q105" s="78">
        <f>INDEX(Turísticas!$A$5:$AA$13,MATCH("Monte Hermoso",Turísticas!$A$5:$A$13,0),MATCH(Verif!Q$4,Turísticas!$B$4:$AA$4,0)+1)</f>
        <v>43555</v>
      </c>
      <c r="R105" s="78">
        <f>INDEX(Turísticas!$A$5:$AA$13,MATCH("Monte Hermoso",Turísticas!$A$5:$A$13,0),MATCH(Verif!R$4,Turísticas!$B$4:$AA$4,0)+1)</f>
        <v>44492</v>
      </c>
      <c r="S105" s="78">
        <f>INDEX(Turísticas!$A$5:$AA$13,MATCH("Monte Hermoso",Turísticas!$A$5:$A$13,0),MATCH(Verif!S$4,Turísticas!$B$4:$AA$4,0)+1)</f>
        <v>45444</v>
      </c>
      <c r="T105" s="78">
        <f>INDEX(Turísticas!$A$5:$AA$13,MATCH("Monte Hermoso",Turísticas!$A$5:$A$13,0),MATCH(Verif!T$4,Turísticas!$B$4:$AA$4,0)+1)</f>
        <v>46412</v>
      </c>
      <c r="U105" s="78">
        <f>INDEX(Turísticas!$A$5:$AA$13,MATCH("Monte Hermoso",Turísticas!$A$5:$A$13,0),MATCH(Verif!U$4,Turísticas!$B$4:$AA$4,0)+1)</f>
        <v>47395</v>
      </c>
      <c r="V105" s="78">
        <f>INDEX(Turísticas!$A$5:$AA$13,MATCH("Monte Hermoso",Turísticas!$A$5:$A$13,0),MATCH(Verif!V$4,Turísticas!$B$4:$AA$4,0)+1)</f>
        <v>48394</v>
      </c>
      <c r="W105" s="78">
        <f>INDEX(Turísticas!$A$5:$AA$13,MATCH("Monte Hermoso",Turísticas!$A$5:$A$13,0),MATCH(Verif!W$4,Turísticas!$B$4:$AA$4,0)+1)</f>
        <v>49410</v>
      </c>
      <c r="X105" s="78">
        <f>INDEX(Turísticas!$A$5:$AA$13,MATCH("Monte Hermoso",Turísticas!$A$5:$A$13,0),MATCH(Verif!X$4,Turísticas!$B$4:$AA$4,0)+1)</f>
        <v>50442</v>
      </c>
      <c r="Y105" s="78">
        <f>INDEX(Turísticas!$A$5:$AA$13,MATCH("Monte Hermoso",Turísticas!$A$5:$A$13,0),MATCH(Verif!Y$4,Turísticas!$B$4:$AA$4,0)+1)</f>
        <v>51491</v>
      </c>
      <c r="Z105" s="78">
        <f>INDEX(Turísticas!$A$5:$AA$13,MATCH("Monte Hermoso",Turísticas!$A$5:$A$13,0),MATCH(Verif!Z$4,Turísticas!$B$4:$AA$4,0)+1)</f>
        <v>52557</v>
      </c>
      <c r="AA105" s="78">
        <f>INDEX(Turísticas!$A$5:$AA$13,MATCH("Monte Hermoso",Turísticas!$A$5:$A$13,0),MATCH(Verif!AA$4,Turísticas!$B$4:$AA$4,0)+1)</f>
        <v>53641</v>
      </c>
      <c r="AB105" s="79" t="s">
        <v>39</v>
      </c>
      <c r="AC105" s="80"/>
      <c r="AD105" s="51" t="str">
        <f>IF(AB105="TGD",Proyeccion_Localidades!Z105,"-")</f>
        <v>-</v>
      </c>
      <c r="AE105" s="51" t="str">
        <f>IF($AB105="ALTH",Proyeccion_Localidades!AA105,"-")</f>
        <v>-</v>
      </c>
      <c r="AF105" s="51" t="str">
        <f>IF($AB105="ALTH",Proyeccion_Localidades!AB105,"-")</f>
        <v>-</v>
      </c>
      <c r="AG105" s="81"/>
      <c r="AH105" s="81"/>
      <c r="AI105" s="82">
        <f t="shared" si="5"/>
        <v>33421</v>
      </c>
      <c r="AJ105" s="83"/>
      <c r="AK105" s="83"/>
      <c r="AL105" s="83"/>
      <c r="AM105" s="83"/>
      <c r="AN105" s="83"/>
      <c r="AO105" s="83"/>
      <c r="AP105" s="83"/>
      <c r="AQ105" s="83"/>
    </row>
    <row r="106" spans="1:43" ht="24.95" customHeight="1">
      <c r="A106" s="84" t="str">
        <f>+Proyeccion_Localidades!C106</f>
        <v>Navarro</v>
      </c>
      <c r="B106" s="70">
        <f>+B104+1</f>
        <v>97</v>
      </c>
      <c r="C106" s="88" t="str">
        <f>+Proyeccion_Localidades!B106</f>
        <v>Navarro</v>
      </c>
      <c r="D106" s="261">
        <f t="shared" si="6"/>
        <v>97</v>
      </c>
      <c r="E106" s="72">
        <f>+Proyeccion_Localidades!F106</f>
        <v>13224</v>
      </c>
      <c r="F106" s="66">
        <f>IF($AB106="TGD",ROUND($E106*(1+$AD106)^(F$4-$E$4),0),IF($AB106="ALTH",ROUND($AE106+$AF106*F$4,0),IF($AB106="IR",ROUND(Proyeccion_Localidades!AC106,0),IF($AB106="RT",ROUND(Proyeccion_Localidades!AZ106,0),"*****"))))</f>
        <v>15817</v>
      </c>
      <c r="G106" s="66">
        <f>IF($AB106="TGD",ROUND($E106*(1+$AD106)^(G$4-$E$4),0),IF($AB106="ALTH",ROUND($AE106+$AF106*G$4,0),IF($AB106="IR",ROUND(Proyeccion_Localidades!AD106,0),IF($AB106="RT",ROUND(Proyeccion_Localidades!BA106,0),"*****"))))</f>
        <v>16055</v>
      </c>
      <c r="H106" s="66">
        <f>IF($AB106="TGD",ROUND($E106*(1+$AD106)^(H$4-$E$4),0),IF($AB106="ALTH",ROUND($AE106+$AF106*H$4,0),IF($AB106="IR",ROUND(Proyeccion_Localidades!AE106,0),IF($AB106="RT",ROUND(Proyeccion_Localidades!BB106,0),"*****"))))</f>
        <v>16790</v>
      </c>
      <c r="I106" s="66">
        <f>IF($AB106="TGD",ROUND($E106*(1+$AD106)^(I$4-$E$4),0),IF($AB106="ALTH",ROUND($AE106+$AF106*I$4,0),IF($AB106="IR",ROUND(Proyeccion_Localidades!AF106,0),IF($AB106="RT",ROUND(Proyeccion_Localidades!BC106,0),"*****"))))</f>
        <v>17043</v>
      </c>
      <c r="J106" s="66">
        <f>IF($AB106="TGD",ROUND($E106*(1+$AD106)^(J$4-$E$4),0),IF($AB106="ALTH",ROUND($AE106+$AF106*J$4,0),IF($AB106="IR",ROUND(Proyeccion_Localidades!AG106,0),IF($AB106="RT",ROUND(Proyeccion_Localidades!BD106,0),"*****"))))</f>
        <v>17299</v>
      </c>
      <c r="K106" s="66">
        <f>IF($AB106="TGD",ROUND($E106*(1+$AD106)^(K$4-$E$4),0),IF($AB106="ALTH",ROUND($AE106+$AF106*K$4,0),IF($AB106="IR",ROUND(Proyeccion_Localidades!AH106,0),IF($AB106="RT",ROUND(Proyeccion_Localidades!BE106,0),"*****"))))</f>
        <v>17559</v>
      </c>
      <c r="L106" s="66">
        <f>IF($AB106="TGD",ROUND($E106*(1+$AD106)^(L$4-$E$4),0),IF($AB106="ALTH",ROUND($AE106+$AF106*L$4,0),IF($AB106="IR",ROUND(Proyeccion_Localidades!AI106,0),IF($AB106="RT",ROUND(Proyeccion_Localidades!BF106,0),"*****"))))</f>
        <v>17823</v>
      </c>
      <c r="M106" s="66">
        <f>IF($AB106="TGD",ROUND($E106*(1+$AD106)^(M$4-$E$4),0),IF($AB106="ALTH",ROUND($AE106+$AF106*M$4,0),IF($AB106="IR",ROUND(Proyeccion_Localidades!AJ106,0),IF($AB106="RT",ROUND(Proyeccion_Localidades!BG106,0),"*****"))))</f>
        <v>18091</v>
      </c>
      <c r="N106" s="66">
        <f>IF($AB106="TGD",ROUND($E106*(1+$AD106)^(N$4-$E$4),0),IF($AB106="ALTH",ROUND($AE106+$AF106*N$4,0),IF($AB106="IR",ROUND(Proyeccion_Localidades!AK106,0),IF($AB106="RT",ROUND(Proyeccion_Localidades!BH106,0),"*****"))))</f>
        <v>18363</v>
      </c>
      <c r="O106" s="66">
        <f>IF($AB106="TGD",ROUND($E106*(1+$AD106)^(O$4-$E$4),0),IF($AB106="ALTH",ROUND($AE106+$AF106*O$4,0),IF($AB106="IR",ROUND(Proyeccion_Localidades!AL106,0),IF($AB106="RT",ROUND(Proyeccion_Localidades!BI106,0),"*****"))))</f>
        <v>18639</v>
      </c>
      <c r="P106" s="66">
        <f>IF($AB106="TGD",ROUND($E106*(1+$AD106)^(P$4-$E$4),0),IF($AB106="ALTH",ROUND($AE106+$AF106*P$4,0),IF($AB106="IR",ROUND(Proyeccion_Localidades!AM106,0),IF($AB106="RT",ROUND(Proyeccion_Localidades!BJ106,0),"*****"))))</f>
        <v>18919</v>
      </c>
      <c r="Q106" s="66">
        <f>IF($AB106="TGD",ROUND($E106*(1+$AD106)^(Q$4-$E$4),0),IF($AB106="ALTH",ROUND($AE106+$AF106*Q$4,0),IF($AB106="IR",ROUND(Proyeccion_Localidades!AN106,0),IF($AB106="RT",ROUND(Proyeccion_Localidades!BK106,0),"*****"))))</f>
        <v>19204</v>
      </c>
      <c r="R106" s="66">
        <f>IF($AB106="TGD",ROUND($E106*(1+$AD106)^(R$4-$E$4),0),IF($AB106="ALTH",ROUND($AE106+$AF106*R$4,0),IF($AB106="IR",ROUND(Proyeccion_Localidades!AO106,0),IF($AB106="RT",ROUND(Proyeccion_Localidades!BL106,0),"*****"))))</f>
        <v>19493</v>
      </c>
      <c r="S106" s="66">
        <f>IF($AB106="TGD",ROUND($E106*(1+$AD106)^(S$4-$E$4),0),IF($AB106="ALTH",ROUND($AE106+$AF106*S$4,0),IF($AB106="IR",ROUND(Proyeccion_Localidades!AP106,0),IF($AB106="RT",ROUND(Proyeccion_Localidades!BM106,0),"*****"))))</f>
        <v>19786</v>
      </c>
      <c r="T106" s="66">
        <f>IF($AB106="TGD",ROUND($E106*(1+$AD106)^(T$4-$E$4),0),IF($AB106="ALTH",ROUND($AE106+$AF106*T$4,0),IF($AB106="IR",ROUND(Proyeccion_Localidades!AQ106,0),IF($AB106="RT",ROUND(Proyeccion_Localidades!BN106,0),"*****"))))</f>
        <v>20083</v>
      </c>
      <c r="U106" s="66">
        <f>IF($AB106="TGD",ROUND($E106*(1+$AD106)^(U$4-$E$4),0),IF($AB106="ALTH",ROUND($AE106+$AF106*U$4,0),IF($AB106="IR",ROUND(Proyeccion_Localidades!AR106,0),IF($AB106="RT",ROUND(Proyeccion_Localidades!BO106,0),"*****"))))</f>
        <v>20385</v>
      </c>
      <c r="V106" s="66">
        <f>IF($AB106="TGD",ROUND($E106*(1+$AD106)^(V$4-$E$4),0),IF($AB106="ALTH",ROUND($AE106+$AF106*V$4,0),IF($AB106="IR",ROUND(Proyeccion_Localidades!AS106,0),IF($AB106="RT",ROUND(Proyeccion_Localidades!BP106,0),"*****"))))</f>
        <v>20692</v>
      </c>
      <c r="W106" s="66">
        <f>IF($AB106="TGD",ROUND($E106*(1+$AD106)^(W$4-$E$4),0),IF($AB106="ALTH",ROUND($AE106+$AF106*W$4,0),IF($AB106="IR",ROUND(Proyeccion_Localidades!AT106,0),IF($AB106="RT",ROUND(Proyeccion_Localidades!BQ106,0),"*****"))))</f>
        <v>21003</v>
      </c>
      <c r="X106" s="66">
        <f>IF($AB106="TGD",ROUND($E106*(1+$AD106)^(X$4-$E$4),0),IF($AB106="ALTH",ROUND($AE106+$AF106*X$4,0),IF($AB106="IR",ROUND(Proyeccion_Localidades!AU106,0),IF($AB106="RT",ROUND(Proyeccion_Localidades!BR106,0),"*****"))))</f>
        <v>21319</v>
      </c>
      <c r="Y106" s="66">
        <f>IF($AB106="TGD",ROUND($E106*(1+$AD106)^(Y$4-$E$4),0),IF($AB106="ALTH",ROUND($AE106+$AF106*Y$4,0),IF($AB106="IR",ROUND(Proyeccion_Localidades!AV106,0),IF($AB106="RT",ROUND(Proyeccion_Localidades!BS106,0),"*****"))))</f>
        <v>21639</v>
      </c>
      <c r="Z106" s="66">
        <f>IF($AB106="TGD",ROUND($E106*(1+$AD106)^(Z$4-$E$4),0),IF($AB106="ALTH",ROUND($AE106+$AF106*Z$4,0),IF($AB106="IR",ROUND(Proyeccion_Localidades!AW106,0),IF($AB106="RT",ROUND(Proyeccion_Localidades!BT106,0),"*****"))))</f>
        <v>21964</v>
      </c>
      <c r="AA106" s="66">
        <f>IF($AB106="TGD",ROUND($E106*(1+$AD106)^(AA$4-$E$4),0),IF($AB106="ALTH",ROUND($AE106+$AF106*AA$4,0),IF($AB106="IR",ROUND(Proyeccion_Localidades!AX106,0),IF($AB106="RT",ROUND(Proyeccion_Localidades!BU106,0),"*****"))))</f>
        <v>22295</v>
      </c>
      <c r="AB106" s="67" t="str">
        <f>Proyeccion_Localidades!N106</f>
        <v>TGD</v>
      </c>
      <c r="AC106" s="68" t="s">
        <v>35</v>
      </c>
      <c r="AD106" s="51">
        <f>IF(AB106="TGD",Proyeccion_Localidades!Z106,"-")</f>
        <v>1.503518608274601E-2</v>
      </c>
      <c r="AE106" s="51" t="str">
        <f>IF($AB106="ALTH",Proyeccion_Localidades!AA106,"-")</f>
        <v>-</v>
      </c>
      <c r="AF106" s="51" t="str">
        <f>IF($AB106="ALTH",Proyeccion_Localidades!AB106,"-")</f>
        <v>-</v>
      </c>
      <c r="AG106" s="51"/>
      <c r="AH106" s="51"/>
      <c r="AI106" s="66">
        <f t="shared" si="5"/>
        <v>16055</v>
      </c>
    </row>
    <row r="107" spans="1:43" ht="24.95" customHeight="1">
      <c r="A107" s="84" t="str">
        <f>+Proyeccion_Localidades!C107</f>
        <v>Necochea</v>
      </c>
      <c r="B107" s="70">
        <f t="shared" si="4"/>
        <v>98</v>
      </c>
      <c r="C107" s="88" t="str">
        <f>+Proyeccion_Localidades!B107</f>
        <v>Necochea - Quequén</v>
      </c>
      <c r="D107" s="261">
        <f t="shared" si="6"/>
        <v>98</v>
      </c>
      <c r="E107" s="72">
        <f>+Proyeccion_Localidades!F107</f>
        <v>84784</v>
      </c>
      <c r="F107" s="66">
        <f>IF($AB107="TGD",ROUND($E107*(1+$AD107)^(F$4-$E$4),0),IF($AB107="ALTH",ROUND($AE107+$AF107*F$4,0),IF($AB107="IR",ROUND(Proyeccion_Localidades!AC107,0),IF($AB107="RT",ROUND(Proyeccion_Localidades!AZ107,0),"*****"))))</f>
        <v>95486</v>
      </c>
      <c r="G107" s="66">
        <f>IF($AB107="TGD",ROUND($E107*(1+$AD107)^(G$4-$E$4),0),IF($AB107="ALTH",ROUND($AE107+$AF107*G$4,0),IF($AB107="IR",ROUND(Proyeccion_Localidades!AD107,0),IF($AB107="RT",ROUND(Proyeccion_Localidades!BA107,0),"*****"))))</f>
        <v>96475</v>
      </c>
      <c r="H107" s="66">
        <f>IF($AB107="TGD",ROUND($E107*(1+$AD107)^(H$4-$E$4),0),IF($AB107="ALTH",ROUND($AE107+$AF107*H$4,0),IF($AB107="IR",ROUND(Proyeccion_Localidades!AE107,0),IF($AB107="RT",ROUND(Proyeccion_Localidades!BB107,0),"*****"))))</f>
        <v>99540</v>
      </c>
      <c r="I107" s="66">
        <f>IF($AB107="TGD",ROUND($E107*(1+$AD107)^(I$4-$E$4),0),IF($AB107="ALTH",ROUND($AE107+$AF107*I$4,0),IF($AB107="IR",ROUND(Proyeccion_Localidades!AF107,0),IF($AB107="RT",ROUND(Proyeccion_Localidades!BC107,0),"*****"))))</f>
        <v>100595</v>
      </c>
      <c r="J107" s="66">
        <f>IF($AB107="TGD",ROUND($E107*(1+$AD107)^(J$4-$E$4),0),IF($AB107="ALTH",ROUND($AE107+$AF107*J$4,0),IF($AB107="IR",ROUND(Proyeccion_Localidades!AG107,0),IF($AB107="RT",ROUND(Proyeccion_Localidades!BD107,0),"*****"))))</f>
        <v>101668</v>
      </c>
      <c r="K107" s="66">
        <f>IF($AB107="TGD",ROUND($E107*(1+$AD107)^(K$4-$E$4),0),IF($AB107="ALTH",ROUND($AE107+$AF107*K$4,0),IF($AB107="IR",ROUND(Proyeccion_Localidades!AH107,0),IF($AB107="RT",ROUND(Proyeccion_Localidades!BE107,0),"*****"))))</f>
        <v>102758</v>
      </c>
      <c r="L107" s="66">
        <f>IF($AB107="TGD",ROUND($E107*(1+$AD107)^(L$4-$E$4),0),IF($AB107="ALTH",ROUND($AE107+$AF107*L$4,0),IF($AB107="IR",ROUND(Proyeccion_Localidades!AI107,0),IF($AB107="RT",ROUND(Proyeccion_Localidades!BF107,0),"*****"))))</f>
        <v>103866</v>
      </c>
      <c r="M107" s="66">
        <f>IF($AB107="TGD",ROUND($E107*(1+$AD107)^(M$4-$E$4),0),IF($AB107="ALTH",ROUND($AE107+$AF107*M$4,0),IF($AB107="IR",ROUND(Proyeccion_Localidades!AJ107,0),IF($AB107="RT",ROUND(Proyeccion_Localidades!BG107,0),"*****"))))</f>
        <v>104992</v>
      </c>
      <c r="N107" s="66">
        <f>IF($AB107="TGD",ROUND($E107*(1+$AD107)^(N$4-$E$4),0),IF($AB107="ALTH",ROUND($AE107+$AF107*N$4,0),IF($AB107="IR",ROUND(Proyeccion_Localidades!AK107,0),IF($AB107="RT",ROUND(Proyeccion_Localidades!BH107,0),"*****"))))</f>
        <v>106136</v>
      </c>
      <c r="O107" s="66">
        <f>IF($AB107="TGD",ROUND($E107*(1+$AD107)^(O$4-$E$4),0),IF($AB107="ALTH",ROUND($AE107+$AF107*O$4,0),IF($AB107="IR",ROUND(Proyeccion_Localidades!AL107,0),IF($AB107="RT",ROUND(Proyeccion_Localidades!BI107,0),"*****"))))</f>
        <v>107299</v>
      </c>
      <c r="P107" s="66">
        <f>IF($AB107="TGD",ROUND($E107*(1+$AD107)^(P$4-$E$4),0),IF($AB107="ALTH",ROUND($AE107+$AF107*P$4,0),IF($AB107="IR",ROUND(Proyeccion_Localidades!AM107,0),IF($AB107="RT",ROUND(Proyeccion_Localidades!BJ107,0),"*****"))))</f>
        <v>108481</v>
      </c>
      <c r="Q107" s="66">
        <f>IF($AB107="TGD",ROUND($E107*(1+$AD107)^(Q$4-$E$4),0),IF($AB107="ALTH",ROUND($AE107+$AF107*Q$4,0),IF($AB107="IR",ROUND(Proyeccion_Localidades!AN107,0),IF($AB107="RT",ROUND(Proyeccion_Localidades!BK107,0),"*****"))))</f>
        <v>109682</v>
      </c>
      <c r="R107" s="66">
        <f>IF($AB107="TGD",ROUND($E107*(1+$AD107)^(R$4-$E$4),0),IF($AB107="ALTH",ROUND($AE107+$AF107*R$4,0),IF($AB107="IR",ROUND(Proyeccion_Localidades!AO107,0),IF($AB107="RT",ROUND(Proyeccion_Localidades!BL107,0),"*****"))))</f>
        <v>110902</v>
      </c>
      <c r="S107" s="66">
        <f>IF($AB107="TGD",ROUND($E107*(1+$AD107)^(S$4-$E$4),0),IF($AB107="ALTH",ROUND($AE107+$AF107*S$4,0),IF($AB107="IR",ROUND(Proyeccion_Localidades!AP107,0),IF($AB107="RT",ROUND(Proyeccion_Localidades!BM107,0),"*****"))))</f>
        <v>112143</v>
      </c>
      <c r="T107" s="66">
        <f>IF($AB107="TGD",ROUND($E107*(1+$AD107)^(T$4-$E$4),0),IF($AB107="ALTH",ROUND($AE107+$AF107*T$4,0),IF($AB107="IR",ROUND(Proyeccion_Localidades!AQ107,0),IF($AB107="RT",ROUND(Proyeccion_Localidades!BN107,0),"*****"))))</f>
        <v>113404</v>
      </c>
      <c r="U107" s="66">
        <f>IF($AB107="TGD",ROUND($E107*(1+$AD107)^(U$4-$E$4),0),IF($AB107="ALTH",ROUND($AE107+$AF107*U$4,0),IF($AB107="IR",ROUND(Proyeccion_Localidades!AR107,0),IF($AB107="RT",ROUND(Proyeccion_Localidades!BO107,0),"*****"))))</f>
        <v>114685</v>
      </c>
      <c r="V107" s="66">
        <f>IF($AB107="TGD",ROUND($E107*(1+$AD107)^(V$4-$E$4),0),IF($AB107="ALTH",ROUND($AE107+$AF107*V$4,0),IF($AB107="IR",ROUND(Proyeccion_Localidades!AS107,0),IF($AB107="RT",ROUND(Proyeccion_Localidades!BP107,0),"*****"))))</f>
        <v>115988</v>
      </c>
      <c r="W107" s="66">
        <f>IF($AB107="TGD",ROUND($E107*(1+$AD107)^(W$4-$E$4),0),IF($AB107="ALTH",ROUND($AE107+$AF107*W$4,0),IF($AB107="IR",ROUND(Proyeccion_Localidades!AT107,0),IF($AB107="RT",ROUND(Proyeccion_Localidades!BQ107,0),"*****"))))</f>
        <v>117311</v>
      </c>
      <c r="X107" s="66">
        <f>IF($AB107="TGD",ROUND($E107*(1+$AD107)^(X$4-$E$4),0),IF($AB107="ALTH",ROUND($AE107+$AF107*X$4,0),IF($AB107="IR",ROUND(Proyeccion_Localidades!AU107,0),IF($AB107="RT",ROUND(Proyeccion_Localidades!BR107,0),"*****"))))</f>
        <v>118657</v>
      </c>
      <c r="Y107" s="66">
        <f>IF($AB107="TGD",ROUND($E107*(1+$AD107)^(Y$4-$E$4),0),IF($AB107="ALTH",ROUND($AE107+$AF107*Y$4,0),IF($AB107="IR",ROUND(Proyeccion_Localidades!AV107,0),IF($AB107="RT",ROUND(Proyeccion_Localidades!BS107,0),"*****"))))</f>
        <v>120024</v>
      </c>
      <c r="Z107" s="66">
        <f>IF($AB107="TGD",ROUND($E107*(1+$AD107)^(Z$4-$E$4),0),IF($AB107="ALTH",ROUND($AE107+$AF107*Z$4,0),IF($AB107="IR",ROUND(Proyeccion_Localidades!AW107,0),IF($AB107="RT",ROUND(Proyeccion_Localidades!BT107,0),"*****"))))</f>
        <v>121413</v>
      </c>
      <c r="AA107" s="66">
        <f>IF($AB107="TGD",ROUND($E107*(1+$AD107)^(AA$4-$E$4),0),IF($AB107="ALTH",ROUND($AE107+$AF107*AA$4,0),IF($AB107="IR",ROUND(Proyeccion_Localidades!AX107,0),IF($AB107="RT",ROUND(Proyeccion_Localidades!BU107,0),"*****"))))</f>
        <v>122825</v>
      </c>
      <c r="AB107" s="67" t="str">
        <f>Proyeccion_Localidades!N107</f>
        <v>IR</v>
      </c>
      <c r="AC107" s="73"/>
      <c r="AD107" s="51" t="str">
        <f>IF(AB107="TGD",Proyeccion_Localidades!Z107,"-")</f>
        <v>-</v>
      </c>
      <c r="AE107" s="51" t="str">
        <f>IF($AB107="ALTH",Proyeccion_Localidades!AA107,"-")</f>
        <v>-</v>
      </c>
      <c r="AF107" s="51" t="str">
        <f>IF($AB107="ALTH",Proyeccion_Localidades!AB107,"-")</f>
        <v>-</v>
      </c>
      <c r="AG107" s="51"/>
      <c r="AH107" s="51"/>
      <c r="AI107" s="66">
        <f t="shared" si="5"/>
        <v>96475</v>
      </c>
    </row>
    <row r="108" spans="1:43" ht="24.95" customHeight="1">
      <c r="A108" s="74" t="s">
        <v>47</v>
      </c>
      <c r="B108" s="75">
        <v>98.1</v>
      </c>
      <c r="C108" s="89" t="s">
        <v>48</v>
      </c>
      <c r="D108" s="261">
        <f t="shared" si="6"/>
        <v>98.1</v>
      </c>
      <c r="E108" s="77">
        <f>ROUND(G108/G107*E107,0)</f>
        <v>23086</v>
      </c>
      <c r="F108" s="78">
        <f>INDEX(Turísticas!$A$5:$AA$13,MATCH("Necochea - Quequén",Turísticas!$A$5:$A$13,0),MATCH(Verif!F$4,Turísticas!$B$4:$AA$4,0)+1)</f>
        <v>26000</v>
      </c>
      <c r="G108" s="78">
        <f>INDEX(Turísticas!$A$5:$AA$13,MATCH("Necochea - Quequén",Turísticas!$A$5:$A$13,0),MATCH(Verif!G$4,Turísticas!$B$4:$AA$4,0)+1)</f>
        <v>26269</v>
      </c>
      <c r="H108" s="78">
        <f>INDEX(Turísticas!$A$5:$AA$13,MATCH("Necochea - Quequén",Turísticas!$A$5:$A$13,0),MATCH(Verif!H$4,Turísticas!$B$4:$AA$4,0)+1)</f>
        <v>27104</v>
      </c>
      <c r="I108" s="78">
        <f>INDEX(Turísticas!$A$5:$AA$13,MATCH("Necochea - Quequén",Turísticas!$A$5:$A$13,0),MATCH(Verif!I$4,Turísticas!$B$4:$AA$4,0)+1)</f>
        <v>27391</v>
      </c>
      <c r="J108" s="78">
        <f>INDEX(Turísticas!$A$5:$AA$13,MATCH("Necochea - Quequén",Turísticas!$A$5:$A$13,0),MATCH(Verif!J$4,Turísticas!$B$4:$AA$4,0)+1)</f>
        <v>27683</v>
      </c>
      <c r="K108" s="78">
        <f>INDEX(Turísticas!$A$5:$AA$13,MATCH("Necochea - Quequén",Turísticas!$A$5:$A$13,0),MATCH(Verif!K$4,Turísticas!$B$4:$AA$4,0)+1)</f>
        <v>27980</v>
      </c>
      <c r="L108" s="78">
        <f>INDEX(Turísticas!$A$5:$AA$13,MATCH("Necochea - Quequén",Turísticas!$A$5:$A$13,0),MATCH(Verif!L$4,Turísticas!$B$4:$AA$4,0)+1)</f>
        <v>28282</v>
      </c>
      <c r="M108" s="78">
        <f>INDEX(Turísticas!$A$5:$AA$13,MATCH("Necochea - Quequén",Turísticas!$A$5:$A$13,0),MATCH(Verif!M$4,Turísticas!$B$4:$AA$4,0)+1)</f>
        <v>28589</v>
      </c>
      <c r="N108" s="78">
        <f>INDEX(Turísticas!$A$5:$AA$13,MATCH("Necochea - Quequén",Turísticas!$A$5:$A$13,0),MATCH(Verif!N$4,Turísticas!$B$4:$AA$4,0)+1)</f>
        <v>28901</v>
      </c>
      <c r="O108" s="78">
        <f>INDEX(Turísticas!$A$5:$AA$13,MATCH("Necochea - Quequén",Turísticas!$A$5:$A$13,0),MATCH(Verif!O$4,Turísticas!$B$4:$AA$4,0)+1)</f>
        <v>29218</v>
      </c>
      <c r="P108" s="78">
        <f>INDEX(Turísticas!$A$5:$AA$13,MATCH("Necochea - Quequén",Turísticas!$A$5:$A$13,0),MATCH(Verif!P$4,Turísticas!$B$4:$AA$4,0)+1)</f>
        <v>29540</v>
      </c>
      <c r="Q108" s="78">
        <f>INDEX(Turísticas!$A$5:$AA$13,MATCH("Necochea - Quequén",Turísticas!$A$5:$A$13,0),MATCH(Verif!Q$4,Turísticas!$B$4:$AA$4,0)+1)</f>
        <v>29867</v>
      </c>
      <c r="R108" s="78">
        <f>INDEX(Turísticas!$A$5:$AA$13,MATCH("Necochea - Quequén",Turísticas!$A$5:$A$13,0),MATCH(Verif!R$4,Turísticas!$B$4:$AA$4,0)+1)</f>
        <v>30199</v>
      </c>
      <c r="S108" s="78">
        <f>INDEX(Turísticas!$A$5:$AA$13,MATCH("Necochea - Quequén",Turísticas!$A$5:$A$13,0),MATCH(Verif!S$4,Turísticas!$B$4:$AA$4,0)+1)</f>
        <v>30537</v>
      </c>
      <c r="T108" s="78">
        <f>INDEX(Turísticas!$A$5:$AA$13,MATCH("Necochea - Quequén",Turísticas!$A$5:$A$13,0),MATCH(Verif!T$4,Turísticas!$B$4:$AA$4,0)+1)</f>
        <v>30880</v>
      </c>
      <c r="U108" s="78">
        <f>INDEX(Turísticas!$A$5:$AA$13,MATCH("Necochea - Quequén",Turísticas!$A$5:$A$13,0),MATCH(Verif!U$4,Turísticas!$B$4:$AA$4,0)+1)</f>
        <v>31229</v>
      </c>
      <c r="V108" s="78">
        <f>INDEX(Turísticas!$A$5:$AA$13,MATCH("Necochea - Quequén",Turísticas!$A$5:$A$13,0),MATCH(Verif!V$4,Turísticas!$B$4:$AA$4,0)+1)</f>
        <v>31584</v>
      </c>
      <c r="W108" s="78">
        <f>INDEX(Turísticas!$A$5:$AA$13,MATCH("Necochea - Quequén",Turísticas!$A$5:$A$13,0),MATCH(Verif!W$4,Turísticas!$B$4:$AA$4,0)+1)</f>
        <v>31944</v>
      </c>
      <c r="X108" s="78">
        <f>INDEX(Turísticas!$A$5:$AA$13,MATCH("Necochea - Quequén",Turísticas!$A$5:$A$13,0),MATCH(Verif!X$4,Turísticas!$B$4:$AA$4,0)+1)</f>
        <v>32310</v>
      </c>
      <c r="Y108" s="78">
        <f>INDEX(Turísticas!$A$5:$AA$13,MATCH("Necochea - Quequén",Turísticas!$A$5:$A$13,0),MATCH(Verif!Y$4,Turísticas!$B$4:$AA$4,0)+1)</f>
        <v>32682</v>
      </c>
      <c r="Z108" s="78">
        <f>INDEX(Turísticas!$A$5:$AA$13,MATCH("Necochea - Quequén",Turísticas!$A$5:$A$13,0),MATCH(Verif!Z$4,Turísticas!$B$4:$AA$4,0)+1)</f>
        <v>33060</v>
      </c>
      <c r="AA108" s="78">
        <f>INDEX(Turísticas!$A$5:$AA$13,MATCH("Necochea - Quequén",Turísticas!$A$5:$A$13,0),MATCH(Verif!AA$4,Turísticas!$B$4:$AA$4,0)+1)</f>
        <v>33445</v>
      </c>
      <c r="AB108" s="79" t="s">
        <v>39</v>
      </c>
      <c r="AC108" s="80"/>
      <c r="AD108" s="51" t="str">
        <f>IF(AB108="TGD",Proyeccion_Localidades!Z108,"-")</f>
        <v>-</v>
      </c>
      <c r="AE108" s="51" t="str">
        <f>IF($AB108="ALTH",Proyeccion_Localidades!AA108,"-")</f>
        <v>-</v>
      </c>
      <c r="AF108" s="51" t="str">
        <f>IF($AB108="ALTH",Proyeccion_Localidades!AB108,"-")</f>
        <v>-</v>
      </c>
      <c r="AG108" s="81"/>
      <c r="AH108" s="81"/>
      <c r="AI108" s="82">
        <f t="shared" si="5"/>
        <v>26269</v>
      </c>
      <c r="AJ108" s="83"/>
      <c r="AK108" s="83"/>
      <c r="AL108" s="83"/>
      <c r="AM108" s="83"/>
      <c r="AN108" s="83"/>
    </row>
    <row r="109" spans="1:43" ht="24.95" customHeight="1">
      <c r="A109" s="84" t="str">
        <f>+Proyeccion_Localidades!C109</f>
        <v>Olavarría</v>
      </c>
      <c r="B109" s="70">
        <f>+B107+1</f>
        <v>99</v>
      </c>
      <c r="C109" s="88" t="str">
        <f>+Proyeccion_Localidades!B109</f>
        <v>Olavarría</v>
      </c>
      <c r="D109" s="261">
        <f t="shared" si="6"/>
        <v>99</v>
      </c>
      <c r="E109" s="72">
        <f>+Proyeccion_Localidades!F109</f>
        <v>89721</v>
      </c>
      <c r="F109" s="66">
        <f>IF($AB109="TGD",ROUND($E109*(1+$AD109)^(F$4-$E$4),0),IF($AB109="ALTH",ROUND($AE109+$AF109*F$4,0),IF($AB109="IR",ROUND(Proyeccion_Localidades!AC109,0),IF($AB109="RT",ROUND(Proyeccion_Localidades!AZ109,0),"*****"))))</f>
        <v>98369</v>
      </c>
      <c r="G109" s="66">
        <f>IF($AB109="TGD",ROUND($E109*(1+$AD109)^(G$4-$E$4),0),IF($AB109="ALTH",ROUND($AE109+$AF109*G$4,0),IF($AB109="IR",ROUND(Proyeccion_Localidades!AD109,0),IF($AB109="RT",ROUND(Proyeccion_Localidades!BA109,0),"*****"))))</f>
        <v>99126</v>
      </c>
      <c r="H109" s="66">
        <f>IF($AB109="TGD",ROUND($E109*(1+$AD109)^(H$4-$E$4),0),IF($AB109="ALTH",ROUND($AE109+$AF109*H$4,0),IF($AB109="IR",ROUND(Proyeccion_Localidades!AE109,0),IF($AB109="RT",ROUND(Proyeccion_Localidades!BB109,0),"*****"))))</f>
        <v>101432</v>
      </c>
      <c r="I109" s="66">
        <f>IF($AB109="TGD",ROUND($E109*(1+$AD109)^(I$4-$E$4),0),IF($AB109="ALTH",ROUND($AE109+$AF109*I$4,0),IF($AB109="IR",ROUND(Proyeccion_Localidades!AF109,0),IF($AB109="RT",ROUND(Proyeccion_Localidades!BC109,0),"*****"))))</f>
        <v>102213</v>
      </c>
      <c r="J109" s="66">
        <f>IF($AB109="TGD",ROUND($E109*(1+$AD109)^(J$4-$E$4),0),IF($AB109="ALTH",ROUND($AE109+$AF109*J$4,0),IF($AB109="IR",ROUND(Proyeccion_Localidades!AG109,0),IF($AB109="RT",ROUND(Proyeccion_Localidades!BD109,0),"*****"))))</f>
        <v>103000</v>
      </c>
      <c r="K109" s="66">
        <f>IF($AB109="TGD",ROUND($E109*(1+$AD109)^(K$4-$E$4),0),IF($AB109="ALTH",ROUND($AE109+$AF109*K$4,0),IF($AB109="IR",ROUND(Proyeccion_Localidades!AH109,0),IF($AB109="RT",ROUND(Proyeccion_Localidades!BE109,0),"*****"))))</f>
        <v>103793</v>
      </c>
      <c r="L109" s="66">
        <f>IF($AB109="TGD",ROUND($E109*(1+$AD109)^(L$4-$E$4),0),IF($AB109="ALTH",ROUND($AE109+$AF109*L$4,0),IF($AB109="IR",ROUND(Proyeccion_Localidades!AI109,0),IF($AB109="RT",ROUND(Proyeccion_Localidades!BF109,0),"*****"))))</f>
        <v>104592</v>
      </c>
      <c r="M109" s="66">
        <f>IF($AB109="TGD",ROUND($E109*(1+$AD109)^(M$4-$E$4),0),IF($AB109="ALTH",ROUND($AE109+$AF109*M$4,0),IF($AB109="IR",ROUND(Proyeccion_Localidades!AJ109,0),IF($AB109="RT",ROUND(Proyeccion_Localidades!BG109,0),"*****"))))</f>
        <v>105397</v>
      </c>
      <c r="N109" s="66">
        <f>IF($AB109="TGD",ROUND($E109*(1+$AD109)^(N$4-$E$4),0),IF($AB109="ALTH",ROUND($AE109+$AF109*N$4,0),IF($AB109="IR",ROUND(Proyeccion_Localidades!AK109,0),IF($AB109="RT",ROUND(Proyeccion_Localidades!BH109,0),"*****"))))</f>
        <v>106208</v>
      </c>
      <c r="O109" s="66">
        <f>IF($AB109="TGD",ROUND($E109*(1+$AD109)^(O$4-$E$4),0),IF($AB109="ALTH",ROUND($AE109+$AF109*O$4,0),IF($AB109="IR",ROUND(Proyeccion_Localidades!AL109,0),IF($AB109="RT",ROUND(Proyeccion_Localidades!BI109,0),"*****"))))</f>
        <v>107026</v>
      </c>
      <c r="P109" s="66">
        <f>IF($AB109="TGD",ROUND($E109*(1+$AD109)^(P$4-$E$4),0),IF($AB109="ALTH",ROUND($AE109+$AF109*P$4,0),IF($AB109="IR",ROUND(Proyeccion_Localidades!AM109,0),IF($AB109="RT",ROUND(Proyeccion_Localidades!BJ109,0),"*****"))))</f>
        <v>107850</v>
      </c>
      <c r="Q109" s="66">
        <f>IF($AB109="TGD",ROUND($E109*(1+$AD109)^(Q$4-$E$4),0),IF($AB109="ALTH",ROUND($AE109+$AF109*Q$4,0),IF($AB109="IR",ROUND(Proyeccion_Localidades!AN109,0),IF($AB109="RT",ROUND(Proyeccion_Localidades!BK109,0),"*****"))))</f>
        <v>108680</v>
      </c>
      <c r="R109" s="66">
        <f>IF($AB109="TGD",ROUND($E109*(1+$AD109)^(R$4-$E$4),0),IF($AB109="ALTH",ROUND($AE109+$AF109*R$4,0),IF($AB109="IR",ROUND(Proyeccion_Localidades!AO109,0),IF($AB109="RT",ROUND(Proyeccion_Localidades!BL109,0),"*****"))))</f>
        <v>109516</v>
      </c>
      <c r="S109" s="66">
        <f>IF($AB109="TGD",ROUND($E109*(1+$AD109)^(S$4-$E$4),0),IF($AB109="ALTH",ROUND($AE109+$AF109*S$4,0),IF($AB109="IR",ROUND(Proyeccion_Localidades!AP109,0),IF($AB109="RT",ROUND(Proyeccion_Localidades!BM109,0),"*****"))))</f>
        <v>110359</v>
      </c>
      <c r="T109" s="66">
        <f>IF($AB109="TGD",ROUND($E109*(1+$AD109)^(T$4-$E$4),0),IF($AB109="ALTH",ROUND($AE109+$AF109*T$4,0),IF($AB109="IR",ROUND(Proyeccion_Localidades!AQ109,0),IF($AB109="RT",ROUND(Proyeccion_Localidades!BN109,0),"*****"))))</f>
        <v>111209</v>
      </c>
      <c r="U109" s="66">
        <f>IF($AB109="TGD",ROUND($E109*(1+$AD109)^(U$4-$E$4),0),IF($AB109="ALTH",ROUND($AE109+$AF109*U$4,0),IF($AB109="IR",ROUND(Proyeccion_Localidades!AR109,0),IF($AB109="RT",ROUND(Proyeccion_Localidades!BO109,0),"*****"))))</f>
        <v>112065</v>
      </c>
      <c r="V109" s="66">
        <f>IF($AB109="TGD",ROUND($E109*(1+$AD109)^(V$4-$E$4),0),IF($AB109="ALTH",ROUND($AE109+$AF109*V$4,0),IF($AB109="IR",ROUND(Proyeccion_Localidades!AS109,0),IF($AB109="RT",ROUND(Proyeccion_Localidades!BP109,0),"*****"))))</f>
        <v>112927</v>
      </c>
      <c r="W109" s="66">
        <f>IF($AB109="TGD",ROUND($E109*(1+$AD109)^(W$4-$E$4),0),IF($AB109="ALTH",ROUND($AE109+$AF109*W$4,0),IF($AB109="IR",ROUND(Proyeccion_Localidades!AT109,0),IF($AB109="RT",ROUND(Proyeccion_Localidades!BQ109,0),"*****"))))</f>
        <v>113797</v>
      </c>
      <c r="X109" s="66">
        <f>IF($AB109="TGD",ROUND($E109*(1+$AD109)^(X$4-$E$4),0),IF($AB109="ALTH",ROUND($AE109+$AF109*X$4,0),IF($AB109="IR",ROUND(Proyeccion_Localidades!AU109,0),IF($AB109="RT",ROUND(Proyeccion_Localidades!BR109,0),"*****"))))</f>
        <v>114673</v>
      </c>
      <c r="Y109" s="66">
        <f>IF($AB109="TGD",ROUND($E109*(1+$AD109)^(Y$4-$E$4),0),IF($AB109="ALTH",ROUND($AE109+$AF109*Y$4,0),IF($AB109="IR",ROUND(Proyeccion_Localidades!AV109,0),IF($AB109="RT",ROUND(Proyeccion_Localidades!BS109,0),"*****"))))</f>
        <v>115555</v>
      </c>
      <c r="Z109" s="66">
        <f>IF($AB109="TGD",ROUND($E109*(1+$AD109)^(Z$4-$E$4),0),IF($AB109="ALTH",ROUND($AE109+$AF109*Z$4,0),IF($AB109="IR",ROUND(Proyeccion_Localidades!AW109,0),IF($AB109="RT",ROUND(Proyeccion_Localidades!BT109,0),"*****"))))</f>
        <v>116445</v>
      </c>
      <c r="AA109" s="66">
        <f>IF($AB109="TGD",ROUND($E109*(1+$AD109)^(AA$4-$E$4),0),IF($AB109="ALTH",ROUND($AE109+$AF109*AA$4,0),IF($AB109="IR",ROUND(Proyeccion_Localidades!AX109,0),IF($AB109="RT",ROUND(Proyeccion_Localidades!BU109,0),"*****"))))</f>
        <v>117341</v>
      </c>
      <c r="AB109" s="67" t="str">
        <f>Proyeccion_Localidades!N109</f>
        <v>TGD</v>
      </c>
      <c r="AC109" s="68" t="s">
        <v>35</v>
      </c>
      <c r="AD109" s="51">
        <f>IF(AB109="TGD",Proyeccion_Localidades!Z109,"-")</f>
        <v>7.6974719953393222E-3</v>
      </c>
      <c r="AE109" s="51" t="str">
        <f>IF($AB109="ALTH",Proyeccion_Localidades!AA109,"-")</f>
        <v>-</v>
      </c>
      <c r="AF109" s="51" t="str">
        <f>IF($AB109="ALTH",Proyeccion_Localidades!AB109,"-")</f>
        <v>-</v>
      </c>
      <c r="AG109" s="51"/>
      <c r="AH109" s="51"/>
      <c r="AI109" s="66">
        <f t="shared" si="5"/>
        <v>99126</v>
      </c>
    </row>
    <row r="110" spans="1:43" ht="24.95" customHeight="1">
      <c r="A110" s="84" t="str">
        <f>+Proyeccion_Localidades!C110</f>
        <v>Patagones</v>
      </c>
      <c r="B110" s="70">
        <f t="shared" si="4"/>
        <v>100</v>
      </c>
      <c r="C110" s="88" t="str">
        <f>+Proyeccion_Localidades!B110</f>
        <v>Carmen de Patagones</v>
      </c>
      <c r="D110" s="261">
        <f t="shared" si="6"/>
        <v>100</v>
      </c>
      <c r="E110" s="72">
        <f>+Proyeccion_Localidades!F110</f>
        <v>20533</v>
      </c>
      <c r="F110" s="66">
        <f>IF($AB110="TGD",ROUND($E110*(1+$AD110)^(F$4-$E$4),0),IF($AB110="ALTH",ROUND($AE110+$AF110*F$4,0),IF($AB110="IR",ROUND(Proyeccion_Localidades!AC110,0),IF($AB110="RT",ROUND(Proyeccion_Localidades!AZ110,0),"*****"))))</f>
        <v>25758</v>
      </c>
      <c r="G110" s="66">
        <f>IF($AB110="TGD",ROUND($E110*(1+$AD110)^(G$4-$E$4),0),IF($AB110="ALTH",ROUND($AE110+$AF110*G$4,0),IF($AB110="IR",ROUND(Proyeccion_Localidades!AD110,0),IF($AB110="RT",ROUND(Proyeccion_Localidades!BA110,0),"*****"))))</f>
        <v>26241</v>
      </c>
      <c r="H110" s="66">
        <f>IF($AB110="TGD",ROUND($E110*(1+$AD110)^(H$4-$E$4),0),IF($AB110="ALTH",ROUND($AE110+$AF110*H$4,0),IF($AB110="IR",ROUND(Proyeccion_Localidades!AE110,0),IF($AB110="RT",ROUND(Proyeccion_Localidades!BB110,0),"*****"))))</f>
        <v>27737</v>
      </c>
      <c r="I110" s="66">
        <f>IF($AB110="TGD",ROUND($E110*(1+$AD110)^(I$4-$E$4),0),IF($AB110="ALTH",ROUND($AE110+$AF110*I$4,0),IF($AB110="IR",ROUND(Proyeccion_Localidades!AF110,0),IF($AB110="RT",ROUND(Proyeccion_Localidades!BC110,0),"*****"))))</f>
        <v>28253</v>
      </c>
      <c r="J110" s="66">
        <f>IF($AB110="TGD",ROUND($E110*(1+$AD110)^(J$4-$E$4),0),IF($AB110="ALTH",ROUND($AE110+$AF110*J$4,0),IF($AB110="IR",ROUND(Proyeccion_Localidades!AG110,0),IF($AB110="RT",ROUND(Proyeccion_Localidades!BD110,0),"*****"))))</f>
        <v>28776</v>
      </c>
      <c r="K110" s="66">
        <f>IF($AB110="TGD",ROUND($E110*(1+$AD110)^(K$4-$E$4),0),IF($AB110="ALTH",ROUND($AE110+$AF110*K$4,0),IF($AB110="IR",ROUND(Proyeccion_Localidades!AH110,0),IF($AB110="RT",ROUND(Proyeccion_Localidades!BE110,0),"*****"))))</f>
        <v>29308</v>
      </c>
      <c r="L110" s="66">
        <f>IF($AB110="TGD",ROUND($E110*(1+$AD110)^(L$4-$E$4),0),IF($AB110="ALTH",ROUND($AE110+$AF110*L$4,0),IF($AB110="IR",ROUND(Proyeccion_Localidades!AI110,0),IF($AB110="RT",ROUND(Proyeccion_Localidades!BF110,0),"*****"))))</f>
        <v>29849</v>
      </c>
      <c r="M110" s="66">
        <f>IF($AB110="TGD",ROUND($E110*(1+$AD110)^(M$4-$E$4),0),IF($AB110="ALTH",ROUND($AE110+$AF110*M$4,0),IF($AB110="IR",ROUND(Proyeccion_Localidades!AJ110,0),IF($AB110="RT",ROUND(Proyeccion_Localidades!BG110,0),"*****"))))</f>
        <v>30399</v>
      </c>
      <c r="N110" s="66">
        <f>IF($AB110="TGD",ROUND($E110*(1+$AD110)^(N$4-$E$4),0),IF($AB110="ALTH",ROUND($AE110+$AF110*N$4,0),IF($AB110="IR",ROUND(Proyeccion_Localidades!AK110,0),IF($AB110="RT",ROUND(Proyeccion_Localidades!BH110,0),"*****"))))</f>
        <v>30958</v>
      </c>
      <c r="O110" s="66">
        <f>IF($AB110="TGD",ROUND($E110*(1+$AD110)^(O$4-$E$4),0),IF($AB110="ALTH",ROUND($AE110+$AF110*O$4,0),IF($AB110="IR",ROUND(Proyeccion_Localidades!AL110,0),IF($AB110="RT",ROUND(Proyeccion_Localidades!BI110,0),"*****"))))</f>
        <v>31525</v>
      </c>
      <c r="P110" s="66">
        <f>IF($AB110="TGD",ROUND($E110*(1+$AD110)^(P$4-$E$4),0),IF($AB110="ALTH",ROUND($AE110+$AF110*P$4,0),IF($AB110="IR",ROUND(Proyeccion_Localidades!AM110,0),IF($AB110="RT",ROUND(Proyeccion_Localidades!BJ110,0),"*****"))))</f>
        <v>32102</v>
      </c>
      <c r="Q110" s="66">
        <f>IF($AB110="TGD",ROUND($E110*(1+$AD110)^(Q$4-$E$4),0),IF($AB110="ALTH",ROUND($AE110+$AF110*Q$4,0),IF($AB110="IR",ROUND(Proyeccion_Localidades!AN110,0),IF($AB110="RT",ROUND(Proyeccion_Localidades!BK110,0),"*****"))))</f>
        <v>32689</v>
      </c>
      <c r="R110" s="66">
        <f>IF($AB110="TGD",ROUND($E110*(1+$AD110)^(R$4-$E$4),0),IF($AB110="ALTH",ROUND($AE110+$AF110*R$4,0),IF($AB110="IR",ROUND(Proyeccion_Localidades!AO110,0),IF($AB110="RT",ROUND(Proyeccion_Localidades!BL110,0),"*****"))))</f>
        <v>33285</v>
      </c>
      <c r="S110" s="66">
        <f>IF($AB110="TGD",ROUND($E110*(1+$AD110)^(S$4-$E$4),0),IF($AB110="ALTH",ROUND($AE110+$AF110*S$4,0),IF($AB110="IR",ROUND(Proyeccion_Localidades!AP110,0),IF($AB110="RT",ROUND(Proyeccion_Localidades!BM110,0),"*****"))))</f>
        <v>33891</v>
      </c>
      <c r="T110" s="66">
        <f>IF($AB110="TGD",ROUND($E110*(1+$AD110)^(T$4-$E$4),0),IF($AB110="ALTH",ROUND($AE110+$AF110*T$4,0),IF($AB110="IR",ROUND(Proyeccion_Localidades!AQ110,0),IF($AB110="RT",ROUND(Proyeccion_Localidades!BN110,0),"*****"))))</f>
        <v>34506</v>
      </c>
      <c r="U110" s="66">
        <f>IF($AB110="TGD",ROUND($E110*(1+$AD110)^(U$4-$E$4),0),IF($AB110="ALTH",ROUND($AE110+$AF110*U$4,0),IF($AB110="IR",ROUND(Proyeccion_Localidades!AR110,0),IF($AB110="RT",ROUND(Proyeccion_Localidades!BO110,0),"*****"))))</f>
        <v>35132</v>
      </c>
      <c r="V110" s="66">
        <f>IF($AB110="TGD",ROUND($E110*(1+$AD110)^(V$4-$E$4),0),IF($AB110="ALTH",ROUND($AE110+$AF110*V$4,0),IF($AB110="IR",ROUND(Proyeccion_Localidades!AS110,0),IF($AB110="RT",ROUND(Proyeccion_Localidades!BP110,0),"*****"))))</f>
        <v>35768</v>
      </c>
      <c r="W110" s="66">
        <f>IF($AB110="TGD",ROUND($E110*(1+$AD110)^(W$4-$E$4),0),IF($AB110="ALTH",ROUND($AE110+$AF110*W$4,0),IF($AB110="IR",ROUND(Proyeccion_Localidades!AT110,0),IF($AB110="RT",ROUND(Proyeccion_Localidades!BQ110,0),"*****"))))</f>
        <v>36414</v>
      </c>
      <c r="X110" s="66">
        <f>IF($AB110="TGD",ROUND($E110*(1+$AD110)^(X$4-$E$4),0),IF($AB110="ALTH",ROUND($AE110+$AF110*X$4,0),IF($AB110="IR",ROUND(Proyeccion_Localidades!AU110,0),IF($AB110="RT",ROUND(Proyeccion_Localidades!BR110,0),"*****"))))</f>
        <v>37071</v>
      </c>
      <c r="Y110" s="66">
        <f>IF($AB110="TGD",ROUND($E110*(1+$AD110)^(Y$4-$E$4),0),IF($AB110="ALTH",ROUND($AE110+$AF110*Y$4,0),IF($AB110="IR",ROUND(Proyeccion_Localidades!AV110,0),IF($AB110="RT",ROUND(Proyeccion_Localidades!BS110,0),"*****"))))</f>
        <v>37738</v>
      </c>
      <c r="Z110" s="66">
        <f>IF($AB110="TGD",ROUND($E110*(1+$AD110)^(Z$4-$E$4),0),IF($AB110="ALTH",ROUND($AE110+$AF110*Z$4,0),IF($AB110="IR",ROUND(Proyeccion_Localidades!AW110,0),IF($AB110="RT",ROUND(Proyeccion_Localidades!BT110,0),"*****"))))</f>
        <v>38417</v>
      </c>
      <c r="AA110" s="66">
        <f>IF($AB110="TGD",ROUND($E110*(1+$AD110)^(AA$4-$E$4),0),IF($AB110="ALTH",ROUND($AE110+$AF110*AA$4,0),IF($AB110="IR",ROUND(Proyeccion_Localidades!AX110,0),IF($AB110="RT",ROUND(Proyeccion_Localidades!BU110,0),"*****"))))</f>
        <v>39106</v>
      </c>
      <c r="AB110" s="67" t="str">
        <f>Proyeccion_Localidades!N110</f>
        <v>IR</v>
      </c>
      <c r="AC110" s="73"/>
      <c r="AD110" s="51" t="str">
        <f>IF(AB110="TGD",Proyeccion_Localidades!Z110,"-")</f>
        <v>-</v>
      </c>
      <c r="AE110" s="51" t="str">
        <f>IF($AB110="ALTH",Proyeccion_Localidades!AA110,"-")</f>
        <v>-</v>
      </c>
      <c r="AF110" s="51" t="str">
        <f>IF($AB110="ALTH",Proyeccion_Localidades!AB110,"-")</f>
        <v>-</v>
      </c>
      <c r="AG110" s="51"/>
      <c r="AH110" s="51"/>
      <c r="AI110" s="66">
        <f t="shared" si="5"/>
        <v>26241</v>
      </c>
    </row>
    <row r="111" spans="1:43" ht="24.95" customHeight="1">
      <c r="A111" s="84" t="str">
        <f>+Proyeccion_Localidades!C111</f>
        <v>Pehuajó</v>
      </c>
      <c r="B111" s="70">
        <f t="shared" si="4"/>
        <v>101</v>
      </c>
      <c r="C111" s="88" t="str">
        <f>+Proyeccion_Localidades!B111</f>
        <v>Pehuajó</v>
      </c>
      <c r="D111" s="261">
        <f t="shared" si="6"/>
        <v>101</v>
      </c>
      <c r="E111" s="72">
        <f>+Proyeccion_Localidades!F111</f>
        <v>31533</v>
      </c>
      <c r="F111" s="66">
        <f>IF($AB111="TGD",ROUND($E111*(1+$AD111)^(F$4-$E$4),0),IF($AB111="ALTH",ROUND($AE111+$AF111*F$4,0),IF($AB111="IR",ROUND(Proyeccion_Localidades!AC111,0),IF($AB111="RT",ROUND(Proyeccion_Localidades!AZ111,0),"*****"))))</f>
        <v>33937</v>
      </c>
      <c r="G111" s="66">
        <f>IF($AB111="TGD",ROUND($E111*(1+$AD111)^(G$4-$E$4),0),IF($AB111="ALTH",ROUND($AE111+$AF111*G$4,0),IF($AB111="IR",ROUND(Proyeccion_Localidades!AD111,0),IF($AB111="RT",ROUND(Proyeccion_Localidades!BA111,0),"*****"))))</f>
        <v>34139</v>
      </c>
      <c r="H111" s="66">
        <f>IF($AB111="TGD",ROUND($E111*(1+$AD111)^(H$4-$E$4),0),IF($AB111="ALTH",ROUND($AE111+$AF111*H$4,0),IF($AB111="IR",ROUND(Proyeccion_Localidades!AE111,0),IF($AB111="RT",ROUND(Proyeccion_Localidades!BB111,0),"*****"))))</f>
        <v>34746</v>
      </c>
      <c r="I111" s="66">
        <f>IF($AB111="TGD",ROUND($E111*(1+$AD111)^(I$4-$E$4),0),IF($AB111="ALTH",ROUND($AE111+$AF111*I$4,0),IF($AB111="IR",ROUND(Proyeccion_Localidades!AF111,0),IF($AB111="RT",ROUND(Proyeccion_Localidades!BC111,0),"*****"))))</f>
        <v>34949</v>
      </c>
      <c r="J111" s="66">
        <f>IF($AB111="TGD",ROUND($E111*(1+$AD111)^(J$4-$E$4),0),IF($AB111="ALTH",ROUND($AE111+$AF111*J$4,0),IF($AB111="IR",ROUND(Proyeccion_Localidades!AG111,0),IF($AB111="RT",ROUND(Proyeccion_Localidades!BD111,0),"*****"))))</f>
        <v>35151</v>
      </c>
      <c r="K111" s="66">
        <f>IF($AB111="TGD",ROUND($E111*(1+$AD111)^(K$4-$E$4),0),IF($AB111="ALTH",ROUND($AE111+$AF111*K$4,0),IF($AB111="IR",ROUND(Proyeccion_Localidades!AH111,0),IF($AB111="RT",ROUND(Proyeccion_Localidades!BE111,0),"*****"))))</f>
        <v>35354</v>
      </c>
      <c r="L111" s="66">
        <f>IF($AB111="TGD",ROUND($E111*(1+$AD111)^(L$4-$E$4),0),IF($AB111="ALTH",ROUND($AE111+$AF111*L$4,0),IF($AB111="IR",ROUND(Proyeccion_Localidades!AI111,0),IF($AB111="RT",ROUND(Proyeccion_Localidades!BF111,0),"*****"))))</f>
        <v>35556</v>
      </c>
      <c r="M111" s="66">
        <f>IF($AB111="TGD",ROUND($E111*(1+$AD111)^(M$4-$E$4),0),IF($AB111="ALTH",ROUND($AE111+$AF111*M$4,0),IF($AB111="IR",ROUND(Proyeccion_Localidades!AJ111,0),IF($AB111="RT",ROUND(Proyeccion_Localidades!BG111,0),"*****"))))</f>
        <v>35758</v>
      </c>
      <c r="N111" s="66">
        <f>IF($AB111="TGD",ROUND($E111*(1+$AD111)^(N$4-$E$4),0),IF($AB111="ALTH",ROUND($AE111+$AF111*N$4,0),IF($AB111="IR",ROUND(Proyeccion_Localidades!AK111,0),IF($AB111="RT",ROUND(Proyeccion_Localidades!BH111,0),"*****"))))</f>
        <v>35961</v>
      </c>
      <c r="O111" s="66">
        <f>IF($AB111="TGD",ROUND($E111*(1+$AD111)^(O$4-$E$4),0),IF($AB111="ALTH",ROUND($AE111+$AF111*O$4,0),IF($AB111="IR",ROUND(Proyeccion_Localidades!AL111,0),IF($AB111="RT",ROUND(Proyeccion_Localidades!BI111,0),"*****"))))</f>
        <v>36163</v>
      </c>
      <c r="P111" s="66">
        <f>IF($AB111="TGD",ROUND($E111*(1+$AD111)^(P$4-$E$4),0),IF($AB111="ALTH",ROUND($AE111+$AF111*P$4,0),IF($AB111="IR",ROUND(Proyeccion_Localidades!AM111,0),IF($AB111="RT",ROUND(Proyeccion_Localidades!BJ111,0),"*****"))))</f>
        <v>36365</v>
      </c>
      <c r="Q111" s="66">
        <f>IF($AB111="TGD",ROUND($E111*(1+$AD111)^(Q$4-$E$4),0),IF($AB111="ALTH",ROUND($AE111+$AF111*Q$4,0),IF($AB111="IR",ROUND(Proyeccion_Localidades!AN111,0),IF($AB111="RT",ROUND(Proyeccion_Localidades!BK111,0),"*****"))))</f>
        <v>36568</v>
      </c>
      <c r="R111" s="66">
        <f>IF($AB111="TGD",ROUND($E111*(1+$AD111)^(R$4-$E$4),0),IF($AB111="ALTH",ROUND($AE111+$AF111*R$4,0),IF($AB111="IR",ROUND(Proyeccion_Localidades!AO111,0),IF($AB111="RT",ROUND(Proyeccion_Localidades!BL111,0),"*****"))))</f>
        <v>36770</v>
      </c>
      <c r="S111" s="66">
        <f>IF($AB111="TGD",ROUND($E111*(1+$AD111)^(S$4-$E$4),0),IF($AB111="ALTH",ROUND($AE111+$AF111*S$4,0),IF($AB111="IR",ROUND(Proyeccion_Localidades!AP111,0),IF($AB111="RT",ROUND(Proyeccion_Localidades!BM111,0),"*****"))))</f>
        <v>36973</v>
      </c>
      <c r="T111" s="66">
        <f>IF($AB111="TGD",ROUND($E111*(1+$AD111)^(T$4-$E$4),0),IF($AB111="ALTH",ROUND($AE111+$AF111*T$4,0),IF($AB111="IR",ROUND(Proyeccion_Localidades!AQ111,0),IF($AB111="RT",ROUND(Proyeccion_Localidades!BN111,0),"*****"))))</f>
        <v>37175</v>
      </c>
      <c r="U111" s="66">
        <f>IF($AB111="TGD",ROUND($E111*(1+$AD111)^(U$4-$E$4),0),IF($AB111="ALTH",ROUND($AE111+$AF111*U$4,0),IF($AB111="IR",ROUND(Proyeccion_Localidades!AR111,0),IF($AB111="RT",ROUND(Proyeccion_Localidades!BO111,0),"*****"))))</f>
        <v>37377</v>
      </c>
      <c r="V111" s="66">
        <f>IF($AB111="TGD",ROUND($E111*(1+$AD111)^(V$4-$E$4),0),IF($AB111="ALTH",ROUND($AE111+$AF111*V$4,0),IF($AB111="IR",ROUND(Proyeccion_Localidades!AS111,0),IF($AB111="RT",ROUND(Proyeccion_Localidades!BP111,0),"*****"))))</f>
        <v>37580</v>
      </c>
      <c r="W111" s="66">
        <f>IF($AB111="TGD",ROUND($E111*(1+$AD111)^(W$4-$E$4),0),IF($AB111="ALTH",ROUND($AE111+$AF111*W$4,0),IF($AB111="IR",ROUND(Proyeccion_Localidades!AT111,0),IF($AB111="RT",ROUND(Proyeccion_Localidades!BQ111,0),"*****"))))</f>
        <v>37782</v>
      </c>
      <c r="X111" s="66">
        <f>IF($AB111="TGD",ROUND($E111*(1+$AD111)^(X$4-$E$4),0),IF($AB111="ALTH",ROUND($AE111+$AF111*X$4,0),IF($AB111="IR",ROUND(Proyeccion_Localidades!AU111,0),IF($AB111="RT",ROUND(Proyeccion_Localidades!BR111,0),"*****"))))</f>
        <v>37985</v>
      </c>
      <c r="Y111" s="66">
        <f>IF($AB111="TGD",ROUND($E111*(1+$AD111)^(Y$4-$E$4),0),IF($AB111="ALTH",ROUND($AE111+$AF111*Y$4,0),IF($AB111="IR",ROUND(Proyeccion_Localidades!AV111,0),IF($AB111="RT",ROUND(Proyeccion_Localidades!BS111,0),"*****"))))</f>
        <v>38187</v>
      </c>
      <c r="Z111" s="66">
        <f>IF($AB111="TGD",ROUND($E111*(1+$AD111)^(Z$4-$E$4),0),IF($AB111="ALTH",ROUND($AE111+$AF111*Z$4,0),IF($AB111="IR",ROUND(Proyeccion_Localidades!AW111,0),IF($AB111="RT",ROUND(Proyeccion_Localidades!BT111,0),"*****"))))</f>
        <v>38389</v>
      </c>
      <c r="AA111" s="66">
        <f>IF($AB111="TGD",ROUND($E111*(1+$AD111)^(AA$4-$E$4),0),IF($AB111="ALTH",ROUND($AE111+$AF111*AA$4,0),IF($AB111="IR",ROUND(Proyeccion_Localidades!AX111,0),IF($AB111="RT",ROUND(Proyeccion_Localidades!BU111,0),"*****"))))</f>
        <v>38592</v>
      </c>
      <c r="AB111" s="67" t="str">
        <f>Proyeccion_Localidades!N111</f>
        <v>ALTH</v>
      </c>
      <c r="AC111" s="68" t="s">
        <v>36</v>
      </c>
      <c r="AD111" s="51" t="str">
        <f>IF(AB111="TGD",Proyeccion_Localidades!Z111,"-")</f>
        <v>-</v>
      </c>
      <c r="AE111" s="51">
        <f>IF($AB111="ALTH",Proyeccion_Localidades!AA111,"-")</f>
        <v>-375305.59778597788</v>
      </c>
      <c r="AF111" s="51">
        <f>IF($AB111="ALTH",Proyeccion_Localidades!AB111,"-")</f>
        <v>202.39483394833948</v>
      </c>
      <c r="AG111" s="51"/>
      <c r="AH111" s="51"/>
      <c r="AI111" s="66">
        <f t="shared" si="5"/>
        <v>34139</v>
      </c>
    </row>
    <row r="112" spans="1:43" ht="24.95" customHeight="1">
      <c r="A112" s="84" t="str">
        <f>+Proyeccion_Localidades!C112</f>
        <v>Pellegrini</v>
      </c>
      <c r="B112" s="70">
        <f t="shared" si="4"/>
        <v>102</v>
      </c>
      <c r="C112" s="88" t="str">
        <f>+Proyeccion_Localidades!B112</f>
        <v>Pellegrini</v>
      </c>
      <c r="D112" s="261">
        <f t="shared" si="6"/>
        <v>102</v>
      </c>
      <c r="E112" s="72">
        <f>+Proyeccion_Localidades!F112</f>
        <v>5115</v>
      </c>
      <c r="F112" s="66">
        <f>IF($AB112="TGD",ROUND($E112*(1+$AD112)^(F$4-$E$4),0),IF($AB112="ALTH",ROUND($AE112+$AF112*F$4,0),IF($AB112="IR",ROUND(Proyeccion_Localidades!AC112,0),IF($AB112="RT",ROUND(Proyeccion_Localidades!AZ112,0),"*****"))))</f>
        <v>5523</v>
      </c>
      <c r="G112" s="66">
        <f>IF($AB112="TGD",ROUND($E112*(1+$AD112)^(G$4-$E$4),0),IF($AB112="ALTH",ROUND($AE112+$AF112*G$4,0),IF($AB112="IR",ROUND(Proyeccion_Localidades!AD112,0),IF($AB112="RT",ROUND(Proyeccion_Localidades!BA112,0),"*****"))))</f>
        <v>5551</v>
      </c>
      <c r="H112" s="66">
        <f>IF($AB112="TGD",ROUND($E112*(1+$AD112)^(H$4-$E$4),0),IF($AB112="ALTH",ROUND($AE112+$AF112*H$4,0),IF($AB112="IR",ROUND(Proyeccion_Localidades!AE112,0),IF($AB112="RT",ROUND(Proyeccion_Localidades!BB112,0),"*****"))))</f>
        <v>5638</v>
      </c>
      <c r="I112" s="66">
        <f>IF($AB112="TGD",ROUND($E112*(1+$AD112)^(I$4-$E$4),0),IF($AB112="ALTH",ROUND($AE112+$AF112*I$4,0),IF($AB112="IR",ROUND(Proyeccion_Localidades!AF112,0),IF($AB112="RT",ROUND(Proyeccion_Localidades!BC112,0),"*****"))))</f>
        <v>5667</v>
      </c>
      <c r="J112" s="66">
        <f>IF($AB112="TGD",ROUND($E112*(1+$AD112)^(J$4-$E$4),0),IF($AB112="ALTH",ROUND($AE112+$AF112*J$4,0),IF($AB112="IR",ROUND(Proyeccion_Localidades!AG112,0),IF($AB112="RT",ROUND(Proyeccion_Localidades!BD112,0),"*****"))))</f>
        <v>5696</v>
      </c>
      <c r="K112" s="66">
        <f>IF($AB112="TGD",ROUND($E112*(1+$AD112)^(K$4-$E$4),0),IF($AB112="ALTH",ROUND($AE112+$AF112*K$4,0),IF($AB112="IR",ROUND(Proyeccion_Localidades!AH112,0),IF($AB112="RT",ROUND(Proyeccion_Localidades!BE112,0),"*****"))))</f>
        <v>5725</v>
      </c>
      <c r="L112" s="66">
        <f>IF($AB112="TGD",ROUND($E112*(1+$AD112)^(L$4-$E$4),0),IF($AB112="ALTH",ROUND($AE112+$AF112*L$4,0),IF($AB112="IR",ROUND(Proyeccion_Localidades!AI112,0),IF($AB112="RT",ROUND(Proyeccion_Localidades!BF112,0),"*****"))))</f>
        <v>5754</v>
      </c>
      <c r="M112" s="66">
        <f>IF($AB112="TGD",ROUND($E112*(1+$AD112)^(M$4-$E$4),0),IF($AB112="ALTH",ROUND($AE112+$AF112*M$4,0),IF($AB112="IR",ROUND(Proyeccion_Localidades!AJ112,0),IF($AB112="RT",ROUND(Proyeccion_Localidades!BG112,0),"*****"))))</f>
        <v>5783</v>
      </c>
      <c r="N112" s="66">
        <f>IF($AB112="TGD",ROUND($E112*(1+$AD112)^(N$4-$E$4),0),IF($AB112="ALTH",ROUND($AE112+$AF112*N$4,0),IF($AB112="IR",ROUND(Proyeccion_Localidades!AK112,0),IF($AB112="RT",ROUND(Proyeccion_Localidades!BH112,0),"*****"))))</f>
        <v>5811</v>
      </c>
      <c r="O112" s="66">
        <f>IF($AB112="TGD",ROUND($E112*(1+$AD112)^(O$4-$E$4),0),IF($AB112="ALTH",ROUND($AE112+$AF112*O$4,0),IF($AB112="IR",ROUND(Proyeccion_Localidades!AL112,0),IF($AB112="RT",ROUND(Proyeccion_Localidades!BI112,0),"*****"))))</f>
        <v>5840</v>
      </c>
      <c r="P112" s="66">
        <f>IF($AB112="TGD",ROUND($E112*(1+$AD112)^(P$4-$E$4),0),IF($AB112="ALTH",ROUND($AE112+$AF112*P$4,0),IF($AB112="IR",ROUND(Proyeccion_Localidades!AM112,0),IF($AB112="RT",ROUND(Proyeccion_Localidades!BJ112,0),"*****"))))</f>
        <v>5869</v>
      </c>
      <c r="Q112" s="66">
        <f>IF($AB112="TGD",ROUND($E112*(1+$AD112)^(Q$4-$E$4),0),IF($AB112="ALTH",ROUND($AE112+$AF112*Q$4,0),IF($AB112="IR",ROUND(Proyeccion_Localidades!AN112,0),IF($AB112="RT",ROUND(Proyeccion_Localidades!BK112,0),"*****"))))</f>
        <v>5898</v>
      </c>
      <c r="R112" s="66">
        <f>IF($AB112="TGD",ROUND($E112*(1+$AD112)^(R$4-$E$4),0),IF($AB112="ALTH",ROUND($AE112+$AF112*R$4,0),IF($AB112="IR",ROUND(Proyeccion_Localidades!AO112,0),IF($AB112="RT",ROUND(Proyeccion_Localidades!BL112,0),"*****"))))</f>
        <v>5927</v>
      </c>
      <c r="S112" s="66">
        <f>IF($AB112="TGD",ROUND($E112*(1+$AD112)^(S$4-$E$4),0),IF($AB112="ALTH",ROUND($AE112+$AF112*S$4,0),IF($AB112="IR",ROUND(Proyeccion_Localidades!AP112,0),IF($AB112="RT",ROUND(Proyeccion_Localidades!BM112,0),"*****"))))</f>
        <v>5956</v>
      </c>
      <c r="T112" s="66">
        <f>IF($AB112="TGD",ROUND($E112*(1+$AD112)^(T$4-$E$4),0),IF($AB112="ALTH",ROUND($AE112+$AF112*T$4,0),IF($AB112="IR",ROUND(Proyeccion_Localidades!AQ112,0),IF($AB112="RT",ROUND(Proyeccion_Localidades!BN112,0),"*****"))))</f>
        <v>5985</v>
      </c>
      <c r="U112" s="66">
        <f>IF($AB112="TGD",ROUND($E112*(1+$AD112)^(U$4-$E$4),0),IF($AB112="ALTH",ROUND($AE112+$AF112*U$4,0),IF($AB112="IR",ROUND(Proyeccion_Localidades!AR112,0),IF($AB112="RT",ROUND(Proyeccion_Localidades!BO112,0),"*****"))))</f>
        <v>6014</v>
      </c>
      <c r="V112" s="66">
        <f>IF($AB112="TGD",ROUND($E112*(1+$AD112)^(V$4-$E$4),0),IF($AB112="ALTH",ROUND($AE112+$AF112*V$4,0),IF($AB112="IR",ROUND(Proyeccion_Localidades!AS112,0),IF($AB112="RT",ROUND(Proyeccion_Localidades!BP112,0),"*****"))))</f>
        <v>6043</v>
      </c>
      <c r="W112" s="66">
        <f>IF($AB112="TGD",ROUND($E112*(1+$AD112)^(W$4-$E$4),0),IF($AB112="ALTH",ROUND($AE112+$AF112*W$4,0),IF($AB112="IR",ROUND(Proyeccion_Localidades!AT112,0),IF($AB112="RT",ROUND(Proyeccion_Localidades!BQ112,0),"*****"))))</f>
        <v>6072</v>
      </c>
      <c r="X112" s="66">
        <f>IF($AB112="TGD",ROUND($E112*(1+$AD112)^(X$4-$E$4),0),IF($AB112="ALTH",ROUND($AE112+$AF112*X$4,0),IF($AB112="IR",ROUND(Proyeccion_Localidades!AU112,0),IF($AB112="RT",ROUND(Proyeccion_Localidades!BR112,0),"*****"))))</f>
        <v>6100</v>
      </c>
      <c r="Y112" s="66">
        <f>IF($AB112="TGD",ROUND($E112*(1+$AD112)^(Y$4-$E$4),0),IF($AB112="ALTH",ROUND($AE112+$AF112*Y$4,0),IF($AB112="IR",ROUND(Proyeccion_Localidades!AV112,0),IF($AB112="RT",ROUND(Proyeccion_Localidades!BS112,0),"*****"))))</f>
        <v>6129</v>
      </c>
      <c r="Z112" s="66">
        <f>IF($AB112="TGD",ROUND($E112*(1+$AD112)^(Z$4-$E$4),0),IF($AB112="ALTH",ROUND($AE112+$AF112*Z$4,0),IF($AB112="IR",ROUND(Proyeccion_Localidades!AW112,0),IF($AB112="RT",ROUND(Proyeccion_Localidades!BT112,0),"*****"))))</f>
        <v>6158</v>
      </c>
      <c r="AA112" s="66">
        <f>IF($AB112="TGD",ROUND($E112*(1+$AD112)^(AA$4-$E$4),0),IF($AB112="ALTH",ROUND($AE112+$AF112*AA$4,0),IF($AB112="IR",ROUND(Proyeccion_Localidades!AX112,0),IF($AB112="RT",ROUND(Proyeccion_Localidades!BU112,0),"*****"))))</f>
        <v>6187</v>
      </c>
      <c r="AB112" s="67" t="str">
        <f>Proyeccion_Localidades!N112</f>
        <v>ALTH</v>
      </c>
      <c r="AC112" s="68" t="s">
        <v>36</v>
      </c>
      <c r="AD112" s="51" t="str">
        <f>IF(AB112="TGD",Proyeccion_Localidades!Z112,"-")</f>
        <v>-</v>
      </c>
      <c r="AE112" s="51">
        <f>IF($AB112="ALTH",Proyeccion_Localidades!AA112,"-")</f>
        <v>-52910.31365313656</v>
      </c>
      <c r="AF112" s="51">
        <f>IF($AB112="ALTH",Proyeccion_Localidades!AB112,"-")</f>
        <v>28.898523985239866</v>
      </c>
      <c r="AG112" s="51"/>
      <c r="AH112" s="51"/>
      <c r="AI112" s="66">
        <f t="shared" si="5"/>
        <v>5551</v>
      </c>
    </row>
    <row r="113" spans="1:54" ht="24.95" customHeight="1">
      <c r="A113" s="84" t="str">
        <f>+Proyeccion_Localidades!C113</f>
        <v>Pergamino</v>
      </c>
      <c r="B113" s="70">
        <f t="shared" si="4"/>
        <v>103</v>
      </c>
      <c r="C113" s="88" t="str">
        <f>+Proyeccion_Localidades!B113</f>
        <v>Pergamino</v>
      </c>
      <c r="D113" s="261">
        <f t="shared" si="6"/>
        <v>103</v>
      </c>
      <c r="E113" s="72">
        <f>+Proyeccion_Localidades!F113</f>
        <v>91399</v>
      </c>
      <c r="F113" s="66">
        <f>IF($AB113="TGD",ROUND($E113*(1+$AD113)^(F$4-$E$4),0),IF($AB113="ALTH",ROUND($AE113+$AF113*F$4,0),IF($AB113="IR",ROUND(Proyeccion_Localidades!AC113,0),IF($AB113="RT",ROUND(Proyeccion_Localidades!AZ113,0),"*****"))))</f>
        <v>99022</v>
      </c>
      <c r="G113" s="66">
        <f>IF($AB113="TGD",ROUND($E113*(1+$AD113)^(G$4-$E$4),0),IF($AB113="ALTH",ROUND($AE113+$AF113*G$4,0),IF($AB113="IR",ROUND(Proyeccion_Localidades!AD113,0),IF($AB113="RT",ROUND(Proyeccion_Localidades!BA113,0),"*****"))))</f>
        <v>99661</v>
      </c>
      <c r="H113" s="66">
        <f>IF($AB113="TGD",ROUND($E113*(1+$AD113)^(H$4-$E$4),0),IF($AB113="ALTH",ROUND($AE113+$AF113*H$4,0),IF($AB113="IR",ROUND(Proyeccion_Localidades!AE113,0),IF($AB113="RT",ROUND(Proyeccion_Localidades!BB113,0),"*****"))))</f>
        <v>101580</v>
      </c>
      <c r="I113" s="66">
        <f>IF($AB113="TGD",ROUND($E113*(1+$AD113)^(I$4-$E$4),0),IF($AB113="ALTH",ROUND($AE113+$AF113*I$4,0),IF($AB113="IR",ROUND(Proyeccion_Localidades!AF113,0),IF($AB113="RT",ROUND(Proyeccion_Localidades!BC113,0),"*****"))))</f>
        <v>102220</v>
      </c>
      <c r="J113" s="66">
        <f>IF($AB113="TGD",ROUND($E113*(1+$AD113)^(J$4-$E$4),0),IF($AB113="ALTH",ROUND($AE113+$AF113*J$4,0),IF($AB113="IR",ROUND(Proyeccion_Localidades!AG113,0),IF($AB113="RT",ROUND(Proyeccion_Localidades!BD113,0),"*****"))))</f>
        <v>102860</v>
      </c>
      <c r="K113" s="66">
        <f>IF($AB113="TGD",ROUND($E113*(1+$AD113)^(K$4-$E$4),0),IF($AB113="ALTH",ROUND($AE113+$AF113*K$4,0),IF($AB113="IR",ROUND(Proyeccion_Localidades!AH113,0),IF($AB113="RT",ROUND(Proyeccion_Localidades!BE113,0),"*****"))))</f>
        <v>103499</v>
      </c>
      <c r="L113" s="66">
        <f>IF($AB113="TGD",ROUND($E113*(1+$AD113)^(L$4-$E$4),0),IF($AB113="ALTH",ROUND($AE113+$AF113*L$4,0),IF($AB113="IR",ROUND(Proyeccion_Localidades!AI113,0),IF($AB113="RT",ROUND(Proyeccion_Localidades!BF113,0),"*****"))))</f>
        <v>104139</v>
      </c>
      <c r="M113" s="66">
        <f>IF($AB113="TGD",ROUND($E113*(1+$AD113)^(M$4-$E$4),0),IF($AB113="ALTH",ROUND($AE113+$AF113*M$4,0),IF($AB113="IR",ROUND(Proyeccion_Localidades!AJ113,0),IF($AB113="RT",ROUND(Proyeccion_Localidades!BG113,0),"*****"))))</f>
        <v>104779</v>
      </c>
      <c r="N113" s="66">
        <f>IF($AB113="TGD",ROUND($E113*(1+$AD113)^(N$4-$E$4),0),IF($AB113="ALTH",ROUND($AE113+$AF113*N$4,0),IF($AB113="IR",ROUND(Proyeccion_Localidades!AK113,0),IF($AB113="RT",ROUND(Proyeccion_Localidades!BH113,0),"*****"))))</f>
        <v>105418</v>
      </c>
      <c r="O113" s="66">
        <f>IF($AB113="TGD",ROUND($E113*(1+$AD113)^(O$4-$E$4),0),IF($AB113="ALTH",ROUND($AE113+$AF113*O$4,0),IF($AB113="IR",ROUND(Proyeccion_Localidades!AL113,0),IF($AB113="RT",ROUND(Proyeccion_Localidades!BI113,0),"*****"))))</f>
        <v>106058</v>
      </c>
      <c r="P113" s="66">
        <f>IF($AB113="TGD",ROUND($E113*(1+$AD113)^(P$4-$E$4),0),IF($AB113="ALTH",ROUND($AE113+$AF113*P$4,0),IF($AB113="IR",ROUND(Proyeccion_Localidades!AM113,0),IF($AB113="RT",ROUND(Proyeccion_Localidades!BJ113,0),"*****"))))</f>
        <v>106698</v>
      </c>
      <c r="Q113" s="66">
        <f>IF($AB113="TGD",ROUND($E113*(1+$AD113)^(Q$4-$E$4),0),IF($AB113="ALTH",ROUND($AE113+$AF113*Q$4,0),IF($AB113="IR",ROUND(Proyeccion_Localidades!AN113,0),IF($AB113="RT",ROUND(Proyeccion_Localidades!BK113,0),"*****"))))</f>
        <v>107337</v>
      </c>
      <c r="R113" s="66">
        <f>IF($AB113="TGD",ROUND($E113*(1+$AD113)^(R$4-$E$4),0),IF($AB113="ALTH",ROUND($AE113+$AF113*R$4,0),IF($AB113="IR",ROUND(Proyeccion_Localidades!AO113,0),IF($AB113="RT",ROUND(Proyeccion_Localidades!BL113,0),"*****"))))</f>
        <v>107977</v>
      </c>
      <c r="S113" s="66">
        <f>IF($AB113="TGD",ROUND($E113*(1+$AD113)^(S$4-$E$4),0),IF($AB113="ALTH",ROUND($AE113+$AF113*S$4,0),IF($AB113="IR",ROUND(Proyeccion_Localidades!AP113,0),IF($AB113="RT",ROUND(Proyeccion_Localidades!BM113,0),"*****"))))</f>
        <v>108617</v>
      </c>
      <c r="T113" s="66">
        <f>IF($AB113="TGD",ROUND($E113*(1+$AD113)^(T$4-$E$4),0),IF($AB113="ALTH",ROUND($AE113+$AF113*T$4,0),IF($AB113="IR",ROUND(Proyeccion_Localidades!AQ113,0),IF($AB113="RT",ROUND(Proyeccion_Localidades!BN113,0),"*****"))))</f>
        <v>109256</v>
      </c>
      <c r="U113" s="66">
        <f>IF($AB113="TGD",ROUND($E113*(1+$AD113)^(U$4-$E$4),0),IF($AB113="ALTH",ROUND($AE113+$AF113*U$4,0),IF($AB113="IR",ROUND(Proyeccion_Localidades!AR113,0),IF($AB113="RT",ROUND(Proyeccion_Localidades!BO113,0),"*****"))))</f>
        <v>109896</v>
      </c>
      <c r="V113" s="66">
        <f>IF($AB113="TGD",ROUND($E113*(1+$AD113)^(V$4-$E$4),0),IF($AB113="ALTH",ROUND($AE113+$AF113*V$4,0),IF($AB113="IR",ROUND(Proyeccion_Localidades!AS113,0),IF($AB113="RT",ROUND(Proyeccion_Localidades!BP113,0),"*****"))))</f>
        <v>110536</v>
      </c>
      <c r="W113" s="66">
        <f>IF($AB113="TGD",ROUND($E113*(1+$AD113)^(W$4-$E$4),0),IF($AB113="ALTH",ROUND($AE113+$AF113*W$4,0),IF($AB113="IR",ROUND(Proyeccion_Localidades!AT113,0),IF($AB113="RT",ROUND(Proyeccion_Localidades!BQ113,0),"*****"))))</f>
        <v>111175</v>
      </c>
      <c r="X113" s="66">
        <f>IF($AB113="TGD",ROUND($E113*(1+$AD113)^(X$4-$E$4),0),IF($AB113="ALTH",ROUND($AE113+$AF113*X$4,0),IF($AB113="IR",ROUND(Proyeccion_Localidades!AU113,0),IF($AB113="RT",ROUND(Proyeccion_Localidades!BR113,0),"*****"))))</f>
        <v>111815</v>
      </c>
      <c r="Y113" s="66">
        <f>IF($AB113="TGD",ROUND($E113*(1+$AD113)^(Y$4-$E$4),0),IF($AB113="ALTH",ROUND($AE113+$AF113*Y$4,0),IF($AB113="IR",ROUND(Proyeccion_Localidades!AV113,0),IF($AB113="RT",ROUND(Proyeccion_Localidades!BS113,0),"*****"))))</f>
        <v>112455</v>
      </c>
      <c r="Z113" s="66">
        <f>IF($AB113="TGD",ROUND($E113*(1+$AD113)^(Z$4-$E$4),0),IF($AB113="ALTH",ROUND($AE113+$AF113*Z$4,0),IF($AB113="IR",ROUND(Proyeccion_Localidades!AW113,0),IF($AB113="RT",ROUND(Proyeccion_Localidades!BT113,0),"*****"))))</f>
        <v>113094</v>
      </c>
      <c r="AA113" s="66">
        <f>IF($AB113="TGD",ROUND($E113*(1+$AD113)^(AA$4-$E$4),0),IF($AB113="ALTH",ROUND($AE113+$AF113*AA$4,0),IF($AB113="IR",ROUND(Proyeccion_Localidades!AX113,0),IF($AB113="RT",ROUND(Proyeccion_Localidades!BU113,0),"*****"))))</f>
        <v>113734</v>
      </c>
      <c r="AB113" s="67" t="str">
        <f>Proyeccion_Localidades!N113</f>
        <v>ALTH</v>
      </c>
      <c r="AC113" s="68" t="s">
        <v>36</v>
      </c>
      <c r="AD113" s="51" t="str">
        <f>IF(AB113="TGD",Proyeccion_Localidades!Z113,"-")</f>
        <v>-</v>
      </c>
      <c r="AE113" s="51">
        <f>IF($AB113="ALTH",Proyeccion_Localidades!AA113,"-")</f>
        <v>-1194383.2140221405</v>
      </c>
      <c r="AF113" s="51">
        <f>IF($AB113="ALTH",Proyeccion_Localidades!AB113,"-")</f>
        <v>639.6660516605167</v>
      </c>
      <c r="AG113" s="51"/>
      <c r="AH113" s="51"/>
      <c r="AI113" s="66">
        <f t="shared" si="5"/>
        <v>99661</v>
      </c>
    </row>
    <row r="114" spans="1:54" ht="24.95" customHeight="1">
      <c r="A114" s="84" t="str">
        <f>+Proyeccion_Localidades!C114</f>
        <v>Pila</v>
      </c>
      <c r="B114" s="70">
        <f t="shared" si="4"/>
        <v>104</v>
      </c>
      <c r="C114" s="88" t="str">
        <f>+Proyeccion_Localidades!B114</f>
        <v>Pila</v>
      </c>
      <c r="D114" s="261">
        <f t="shared" si="6"/>
        <v>104</v>
      </c>
      <c r="E114" s="72">
        <f>+Proyeccion_Localidades!F114</f>
        <v>2502</v>
      </c>
      <c r="F114" s="66">
        <f>IF($AB114="TGD",ROUND($E114*(1+$AD114)^(F$4-$E$4),0),IF($AB114="ALTH",ROUND($AE114+$AF114*F$4,0),IF($AB114="IR",ROUND(Proyeccion_Localidades!AC114,0),IF($AB114="RT",ROUND(Proyeccion_Localidades!AZ114,0),"*****"))))</f>
        <v>3191</v>
      </c>
      <c r="G114" s="66">
        <f>IF($AB114="TGD",ROUND($E114*(1+$AD114)^(G$4-$E$4),0),IF($AB114="ALTH",ROUND($AE114+$AF114*G$4,0),IF($AB114="IR",ROUND(Proyeccion_Localidades!AD114,0),IF($AB114="RT",ROUND(Proyeccion_Localidades!BA114,0),"*****"))))</f>
        <v>3256</v>
      </c>
      <c r="H114" s="66">
        <f>IF($AB114="TGD",ROUND($E114*(1+$AD114)^(H$4-$E$4),0),IF($AB114="ALTH",ROUND($AE114+$AF114*H$4,0),IF($AB114="IR",ROUND(Proyeccion_Localidades!AE114,0),IF($AB114="RT",ROUND(Proyeccion_Localidades!BB114,0),"*****"))))</f>
        <v>3460</v>
      </c>
      <c r="I114" s="66">
        <f>IF($AB114="TGD",ROUND($E114*(1+$AD114)^(I$4-$E$4),0),IF($AB114="ALTH",ROUND($AE114+$AF114*I$4,0),IF($AB114="IR",ROUND(Proyeccion_Localidades!AF114,0),IF($AB114="RT",ROUND(Proyeccion_Localidades!BC114,0),"*****"))))</f>
        <v>3531</v>
      </c>
      <c r="J114" s="66">
        <f>IF($AB114="TGD",ROUND($E114*(1+$AD114)^(J$4-$E$4),0),IF($AB114="ALTH",ROUND($AE114+$AF114*J$4,0),IF($AB114="IR",ROUND(Proyeccion_Localidades!AG114,0),IF($AB114="RT",ROUND(Proyeccion_Localidades!BD114,0),"*****"))))</f>
        <v>3603</v>
      </c>
      <c r="K114" s="66">
        <f>IF($AB114="TGD",ROUND($E114*(1+$AD114)^(K$4-$E$4),0),IF($AB114="ALTH",ROUND($AE114+$AF114*K$4,0),IF($AB114="IR",ROUND(Proyeccion_Localidades!AH114,0),IF($AB114="RT",ROUND(Proyeccion_Localidades!BE114,0),"*****"))))</f>
        <v>3677</v>
      </c>
      <c r="L114" s="66">
        <f>IF($AB114="TGD",ROUND($E114*(1+$AD114)^(L$4-$E$4),0),IF($AB114="ALTH",ROUND($AE114+$AF114*L$4,0),IF($AB114="IR",ROUND(Proyeccion_Localidades!AI114,0),IF($AB114="RT",ROUND(Proyeccion_Localidades!BF114,0),"*****"))))</f>
        <v>3752</v>
      </c>
      <c r="M114" s="66">
        <f>IF($AB114="TGD",ROUND($E114*(1+$AD114)^(M$4-$E$4),0),IF($AB114="ALTH",ROUND($AE114+$AF114*M$4,0),IF($AB114="IR",ROUND(Proyeccion_Localidades!AJ114,0),IF($AB114="RT",ROUND(Proyeccion_Localidades!BG114,0),"*****"))))</f>
        <v>3829</v>
      </c>
      <c r="N114" s="66">
        <f>IF($AB114="TGD",ROUND($E114*(1+$AD114)^(N$4-$E$4),0),IF($AB114="ALTH",ROUND($AE114+$AF114*N$4,0),IF($AB114="IR",ROUND(Proyeccion_Localidades!AK114,0),IF($AB114="RT",ROUND(Proyeccion_Localidades!BH114,0),"*****"))))</f>
        <v>3907</v>
      </c>
      <c r="O114" s="66">
        <f>IF($AB114="TGD",ROUND($E114*(1+$AD114)^(O$4-$E$4),0),IF($AB114="ALTH",ROUND($AE114+$AF114*O$4,0),IF($AB114="IR",ROUND(Proyeccion_Localidades!AL114,0),IF($AB114="RT",ROUND(Proyeccion_Localidades!BI114,0),"*****"))))</f>
        <v>3987</v>
      </c>
      <c r="P114" s="66">
        <f>IF($AB114="TGD",ROUND($E114*(1+$AD114)^(P$4-$E$4),0),IF($AB114="ALTH",ROUND($AE114+$AF114*P$4,0),IF($AB114="IR",ROUND(Proyeccion_Localidades!AM114,0),IF($AB114="RT",ROUND(Proyeccion_Localidades!BJ114,0),"*****"))))</f>
        <v>4069</v>
      </c>
      <c r="Q114" s="66">
        <f>IF($AB114="TGD",ROUND($E114*(1+$AD114)^(Q$4-$E$4),0),IF($AB114="ALTH",ROUND($AE114+$AF114*Q$4,0),IF($AB114="IR",ROUND(Proyeccion_Localidades!AN114,0),IF($AB114="RT",ROUND(Proyeccion_Localidades!BK114,0),"*****"))))</f>
        <v>4152</v>
      </c>
      <c r="R114" s="66">
        <f>IF($AB114="TGD",ROUND($E114*(1+$AD114)^(R$4-$E$4),0),IF($AB114="ALTH",ROUND($AE114+$AF114*R$4,0),IF($AB114="IR",ROUND(Proyeccion_Localidades!AO114,0),IF($AB114="RT",ROUND(Proyeccion_Localidades!BL114,0),"*****"))))</f>
        <v>4237</v>
      </c>
      <c r="S114" s="66">
        <f>IF($AB114="TGD",ROUND($E114*(1+$AD114)^(S$4-$E$4),0),IF($AB114="ALTH",ROUND($AE114+$AF114*S$4,0),IF($AB114="IR",ROUND(Proyeccion_Localidades!AP114,0),IF($AB114="RT",ROUND(Proyeccion_Localidades!BM114,0),"*****"))))</f>
        <v>4323</v>
      </c>
      <c r="T114" s="66">
        <f>IF($AB114="TGD",ROUND($E114*(1+$AD114)^(T$4-$E$4),0),IF($AB114="ALTH",ROUND($AE114+$AF114*T$4,0),IF($AB114="IR",ROUND(Proyeccion_Localidades!AQ114,0),IF($AB114="RT",ROUND(Proyeccion_Localidades!BN114,0),"*****"))))</f>
        <v>4412</v>
      </c>
      <c r="U114" s="66">
        <f>IF($AB114="TGD",ROUND($E114*(1+$AD114)^(U$4-$E$4),0),IF($AB114="ALTH",ROUND($AE114+$AF114*U$4,0),IF($AB114="IR",ROUND(Proyeccion_Localidades!AR114,0),IF($AB114="RT",ROUND(Proyeccion_Localidades!BO114,0),"*****"))))</f>
        <v>4502</v>
      </c>
      <c r="V114" s="66">
        <f>IF($AB114="TGD",ROUND($E114*(1+$AD114)^(V$4-$E$4),0),IF($AB114="ALTH",ROUND($AE114+$AF114*V$4,0),IF($AB114="IR",ROUND(Proyeccion_Localidades!AS114,0),IF($AB114="RT",ROUND(Proyeccion_Localidades!BP114,0),"*****"))))</f>
        <v>4594</v>
      </c>
      <c r="W114" s="66">
        <f>IF($AB114="TGD",ROUND($E114*(1+$AD114)^(W$4-$E$4),0),IF($AB114="ALTH",ROUND($AE114+$AF114*W$4,0),IF($AB114="IR",ROUND(Proyeccion_Localidades!AT114,0),IF($AB114="RT",ROUND(Proyeccion_Localidades!BQ114,0),"*****"))))</f>
        <v>4688</v>
      </c>
      <c r="X114" s="66">
        <f>IF($AB114="TGD",ROUND($E114*(1+$AD114)^(X$4-$E$4),0),IF($AB114="ALTH",ROUND($AE114+$AF114*X$4,0),IF($AB114="IR",ROUND(Proyeccion_Localidades!AU114,0),IF($AB114="RT",ROUND(Proyeccion_Localidades!BR114,0),"*****"))))</f>
        <v>4784</v>
      </c>
      <c r="Y114" s="66">
        <f>IF($AB114="TGD",ROUND($E114*(1+$AD114)^(Y$4-$E$4),0),IF($AB114="ALTH",ROUND($AE114+$AF114*Y$4,0),IF($AB114="IR",ROUND(Proyeccion_Localidades!AV114,0),IF($AB114="RT",ROUND(Proyeccion_Localidades!BS114,0),"*****"))))</f>
        <v>4882</v>
      </c>
      <c r="Z114" s="66">
        <f>IF($AB114="TGD",ROUND($E114*(1+$AD114)^(Z$4-$E$4),0),IF($AB114="ALTH",ROUND($AE114+$AF114*Z$4,0),IF($AB114="IR",ROUND(Proyeccion_Localidades!AW114,0),IF($AB114="RT",ROUND(Proyeccion_Localidades!BT114,0),"*****"))))</f>
        <v>4982</v>
      </c>
      <c r="AA114" s="66">
        <f>IF($AB114="TGD",ROUND($E114*(1+$AD114)^(AA$4-$E$4),0),IF($AB114="ALTH",ROUND($AE114+$AF114*AA$4,0),IF($AB114="IR",ROUND(Proyeccion_Localidades!AX114,0),IF($AB114="RT",ROUND(Proyeccion_Localidades!BU114,0),"*****"))))</f>
        <v>5084</v>
      </c>
      <c r="AB114" s="67" t="str">
        <f>Proyeccion_Localidades!N114</f>
        <v>TGD</v>
      </c>
      <c r="AC114" s="68" t="s">
        <v>35</v>
      </c>
      <c r="AD114" s="51">
        <f>IF(AB114="TGD",Proyeccion_Localidades!Z114,"-")</f>
        <v>2.046453567684825E-2</v>
      </c>
      <c r="AE114" s="51" t="str">
        <f>IF($AB114="ALTH",Proyeccion_Localidades!AA114,"-")</f>
        <v>-</v>
      </c>
      <c r="AF114" s="51" t="str">
        <f>IF($AB114="ALTH",Proyeccion_Localidades!AB114,"-")</f>
        <v>-</v>
      </c>
      <c r="AG114" s="51"/>
      <c r="AH114" s="51"/>
      <c r="AI114" s="66">
        <f t="shared" si="5"/>
        <v>3256</v>
      </c>
    </row>
    <row r="115" spans="1:54" ht="24.95" customHeight="1">
      <c r="A115" s="84" t="str">
        <f>+Proyeccion_Localidades!C115</f>
        <v>Pilar</v>
      </c>
      <c r="B115" s="70">
        <f t="shared" si="4"/>
        <v>105</v>
      </c>
      <c r="C115" s="88" t="str">
        <f>+Proyeccion_Localidades!B115</f>
        <v>Pilar</v>
      </c>
      <c r="D115" s="261">
        <f t="shared" si="6"/>
        <v>105</v>
      </c>
      <c r="E115" s="72">
        <f>+Proyeccion_Localidades!F115</f>
        <v>296826</v>
      </c>
      <c r="F115" s="66">
        <f>IF($AB115="TGD",ROUND($E115*(1+$AD115)^(F$4-$E$4),0),IF($AB115="ALTH",ROUND($AE115+$AF115*F$4,0),IF($AB115="IR",ROUND(Proyeccion_Localidades!AC115,0),IF($AB115="RT",ROUND(Proyeccion_Localidades!AZ115,0),"*****"))))</f>
        <v>400129</v>
      </c>
      <c r="G115" s="66">
        <f>IF($AB115="TGD",ROUND($E115*(1+$AD115)^(G$4-$E$4),0),IF($AB115="ALTH",ROUND($AE115+$AF115*G$4,0),IF($AB115="IR",ROUND(Proyeccion_Localidades!AD115,0),IF($AB115="RT",ROUND(Proyeccion_Localidades!BA115,0),"*****"))))</f>
        <v>408574</v>
      </c>
      <c r="H115" s="66">
        <f>IF($AB115="TGD",ROUND($E115*(1+$AD115)^(H$4-$E$4),0),IF($AB115="ALTH",ROUND($AE115+$AF115*H$4,0),IF($AB115="IR",ROUND(Proyeccion_Localidades!AE115,0),IF($AB115="RT",ROUND(Proyeccion_Localidades!BB115,0),"*****"))))</f>
        <v>433909</v>
      </c>
      <c r="I115" s="66">
        <f>IF($AB115="TGD",ROUND($E115*(1+$AD115)^(I$4-$E$4),0),IF($AB115="ALTH",ROUND($AE115+$AF115*I$4,0),IF($AB115="IR",ROUND(Proyeccion_Localidades!AF115,0),IF($AB115="RT",ROUND(Proyeccion_Localidades!BC115,0),"*****"))))</f>
        <v>442353</v>
      </c>
      <c r="J115" s="66">
        <f>IF($AB115="TGD",ROUND($E115*(1+$AD115)^(J$4-$E$4),0),IF($AB115="ALTH",ROUND($AE115+$AF115*J$4,0),IF($AB115="IR",ROUND(Proyeccion_Localidades!AG115,0),IF($AB115="RT",ROUND(Proyeccion_Localidades!BD115,0),"*****"))))</f>
        <v>450798</v>
      </c>
      <c r="K115" s="66">
        <f>IF($AB115="TGD",ROUND($E115*(1+$AD115)^(K$4-$E$4),0),IF($AB115="ALTH",ROUND($AE115+$AF115*K$4,0),IF($AB115="IR",ROUND(Proyeccion_Localidades!AH115,0),IF($AB115="RT",ROUND(Proyeccion_Localidades!BE115,0),"*****"))))</f>
        <v>459243</v>
      </c>
      <c r="L115" s="66">
        <f>IF($AB115="TGD",ROUND($E115*(1+$AD115)^(L$4-$E$4),0),IF($AB115="ALTH",ROUND($AE115+$AF115*L$4,0),IF($AB115="IR",ROUND(Proyeccion_Localidades!AI115,0),IF($AB115="RT",ROUND(Proyeccion_Localidades!BF115,0),"*****"))))</f>
        <v>467688</v>
      </c>
      <c r="M115" s="66">
        <f>IF($AB115="TGD",ROUND($E115*(1+$AD115)^(M$4-$E$4),0),IF($AB115="ALTH",ROUND($AE115+$AF115*M$4,0),IF($AB115="IR",ROUND(Proyeccion_Localidades!AJ115,0),IF($AB115="RT",ROUND(Proyeccion_Localidades!BG115,0),"*****"))))</f>
        <v>476133</v>
      </c>
      <c r="N115" s="66">
        <f>IF($AB115="TGD",ROUND($E115*(1+$AD115)^(N$4-$E$4),0),IF($AB115="ALTH",ROUND($AE115+$AF115*N$4,0),IF($AB115="IR",ROUND(Proyeccion_Localidades!AK115,0),IF($AB115="RT",ROUND(Proyeccion_Localidades!BH115,0),"*****"))))</f>
        <v>484578</v>
      </c>
      <c r="O115" s="66">
        <f>IF($AB115="TGD",ROUND($E115*(1+$AD115)^(O$4-$E$4),0),IF($AB115="ALTH",ROUND($AE115+$AF115*O$4,0),IF($AB115="IR",ROUND(Proyeccion_Localidades!AL115,0),IF($AB115="RT",ROUND(Proyeccion_Localidades!BI115,0),"*****"))))</f>
        <v>493023</v>
      </c>
      <c r="P115" s="66">
        <f>IF($AB115="TGD",ROUND($E115*(1+$AD115)^(P$4-$E$4),0),IF($AB115="ALTH",ROUND($AE115+$AF115*P$4,0),IF($AB115="IR",ROUND(Proyeccion_Localidades!AM115,0),IF($AB115="RT",ROUND(Proyeccion_Localidades!BJ115,0),"*****"))))</f>
        <v>501468</v>
      </c>
      <c r="Q115" s="66">
        <f>IF($AB115="TGD",ROUND($E115*(1+$AD115)^(Q$4-$E$4),0),IF($AB115="ALTH",ROUND($AE115+$AF115*Q$4,0),IF($AB115="IR",ROUND(Proyeccion_Localidades!AN115,0),IF($AB115="RT",ROUND(Proyeccion_Localidades!BK115,0),"*****"))))</f>
        <v>509913</v>
      </c>
      <c r="R115" s="66">
        <f>IF($AB115="TGD",ROUND($E115*(1+$AD115)^(R$4-$E$4),0),IF($AB115="ALTH",ROUND($AE115+$AF115*R$4,0),IF($AB115="IR",ROUND(Proyeccion_Localidades!AO115,0),IF($AB115="RT",ROUND(Proyeccion_Localidades!BL115,0),"*****"))))</f>
        <v>518358</v>
      </c>
      <c r="S115" s="66">
        <f>IF($AB115="TGD",ROUND($E115*(1+$AD115)^(S$4-$E$4),0),IF($AB115="ALTH",ROUND($AE115+$AF115*S$4,0),IF($AB115="IR",ROUND(Proyeccion_Localidades!AP115,0),IF($AB115="RT",ROUND(Proyeccion_Localidades!BM115,0),"*****"))))</f>
        <v>526803</v>
      </c>
      <c r="T115" s="66">
        <f>IF($AB115="TGD",ROUND($E115*(1+$AD115)^(T$4-$E$4),0),IF($AB115="ALTH",ROUND($AE115+$AF115*T$4,0),IF($AB115="IR",ROUND(Proyeccion_Localidades!AQ115,0),IF($AB115="RT",ROUND(Proyeccion_Localidades!BN115,0),"*****"))))</f>
        <v>535247</v>
      </c>
      <c r="U115" s="66">
        <f>IF($AB115="TGD",ROUND($E115*(1+$AD115)^(U$4-$E$4),0),IF($AB115="ALTH",ROUND($AE115+$AF115*U$4,0),IF($AB115="IR",ROUND(Proyeccion_Localidades!AR115,0),IF($AB115="RT",ROUND(Proyeccion_Localidades!BO115,0),"*****"))))</f>
        <v>543692</v>
      </c>
      <c r="V115" s="66">
        <f>IF($AB115="TGD",ROUND($E115*(1+$AD115)^(V$4-$E$4),0),IF($AB115="ALTH",ROUND($AE115+$AF115*V$4,0),IF($AB115="IR",ROUND(Proyeccion_Localidades!AS115,0),IF($AB115="RT",ROUND(Proyeccion_Localidades!BP115,0),"*****"))))</f>
        <v>552137</v>
      </c>
      <c r="W115" s="66">
        <f>IF($AB115="TGD",ROUND($E115*(1+$AD115)^(W$4-$E$4),0),IF($AB115="ALTH",ROUND($AE115+$AF115*W$4,0),IF($AB115="IR",ROUND(Proyeccion_Localidades!AT115,0),IF($AB115="RT",ROUND(Proyeccion_Localidades!BQ115,0),"*****"))))</f>
        <v>560582</v>
      </c>
      <c r="X115" s="66">
        <f>IF($AB115="TGD",ROUND($E115*(1+$AD115)^(X$4-$E$4),0),IF($AB115="ALTH",ROUND($AE115+$AF115*X$4,0),IF($AB115="IR",ROUND(Proyeccion_Localidades!AU115,0),IF($AB115="RT",ROUND(Proyeccion_Localidades!BR115,0),"*****"))))</f>
        <v>569027</v>
      </c>
      <c r="Y115" s="66">
        <f>IF($AB115="TGD",ROUND($E115*(1+$AD115)^(Y$4-$E$4),0),IF($AB115="ALTH",ROUND($AE115+$AF115*Y$4,0),IF($AB115="IR",ROUND(Proyeccion_Localidades!AV115,0),IF($AB115="RT",ROUND(Proyeccion_Localidades!BS115,0),"*****"))))</f>
        <v>577472</v>
      </c>
      <c r="Z115" s="66">
        <f>IF($AB115="TGD",ROUND($E115*(1+$AD115)^(Z$4-$E$4),0),IF($AB115="ALTH",ROUND($AE115+$AF115*Z$4,0),IF($AB115="IR",ROUND(Proyeccion_Localidades!AW115,0),IF($AB115="RT",ROUND(Proyeccion_Localidades!BT115,0),"*****"))))</f>
        <v>585917</v>
      </c>
      <c r="AA115" s="66">
        <f>IF($AB115="TGD",ROUND($E115*(1+$AD115)^(AA$4-$E$4),0),IF($AB115="ALTH",ROUND($AE115+$AF115*AA$4,0),IF($AB115="IR",ROUND(Proyeccion_Localidades!AX115,0),IF($AB115="RT",ROUND(Proyeccion_Localidades!BU115,0),"*****"))))</f>
        <v>594362</v>
      </c>
      <c r="AB115" s="67" t="str">
        <f>Proyeccion_Localidades!N115</f>
        <v>ALTH</v>
      </c>
      <c r="AC115" s="68" t="s">
        <v>36</v>
      </c>
      <c r="AD115" s="51" t="str">
        <f>IF(AB115="TGD",Proyeccion_Localidades!Z115,"-")</f>
        <v>-</v>
      </c>
      <c r="AE115" s="51">
        <f>IF($AB115="ALTH",Proyeccion_Localidades!AA115,"-")</f>
        <v>-16675489.535055356</v>
      </c>
      <c r="AF115" s="51">
        <f>IF($AB115="ALTH",Proyeccion_Localidades!AB115,"-")</f>
        <v>8444.9151291512935</v>
      </c>
      <c r="AG115" s="51"/>
      <c r="AH115" s="51"/>
      <c r="AI115" s="66">
        <f t="shared" si="5"/>
        <v>408574</v>
      </c>
    </row>
    <row r="116" spans="1:54" ht="24.95" customHeight="1">
      <c r="A116" s="84" t="str">
        <f>+Proyeccion_Localidades!C116</f>
        <v>Pinamar</v>
      </c>
      <c r="B116" s="70">
        <f t="shared" si="4"/>
        <v>106</v>
      </c>
      <c r="C116" s="88" t="str">
        <f>+Proyeccion_Localidades!B116</f>
        <v>Pinamar</v>
      </c>
      <c r="D116" s="261">
        <f t="shared" si="6"/>
        <v>106</v>
      </c>
      <c r="E116" s="72">
        <f>+Proyeccion_Localidades!F116</f>
        <v>25397</v>
      </c>
      <c r="F116" s="66">
        <f>IF($AB116="TGD",ROUND($E116*(1+$AD116)^(F$4-$E$4),0),IF($AB116="ALTH",ROUND($AE116+$AF116*F$4,0),IF($AB116="IR",ROUND(Proyeccion_Localidades!AC116,0),IF($AB116="RT",ROUND(Proyeccion_Localidades!AZ116,0),"*****"))))</f>
        <v>36107</v>
      </c>
      <c r="G116" s="66">
        <f>IF($AB116="TGD",ROUND($E116*(1+$AD116)^(G$4-$E$4),0),IF($AB116="ALTH",ROUND($AE116+$AF116*G$4,0),IF($AB116="IR",ROUND(Proyeccion_Localidades!AD116,0),IF($AB116="RT",ROUND(Proyeccion_Localidades!BA116,0),"*****"))))</f>
        <v>37097</v>
      </c>
      <c r="H116" s="66">
        <f>IF($AB116="TGD",ROUND($E116*(1+$AD116)^(H$4-$E$4),0),IF($AB116="ALTH",ROUND($AE116+$AF116*H$4,0),IF($AB116="IR",ROUND(Proyeccion_Localidades!AE116,0),IF($AB116="RT",ROUND(Proyeccion_Localidades!BB116,0),"*****"))))</f>
        <v>40165</v>
      </c>
      <c r="I116" s="66">
        <f>IF($AB116="TGD",ROUND($E116*(1+$AD116)^(I$4-$E$4),0),IF($AB116="ALTH",ROUND($AE116+$AF116*I$4,0),IF($AB116="IR",ROUND(Proyeccion_Localidades!AF116,0),IF($AB116="RT",ROUND(Proyeccion_Localidades!BC116,0),"*****"))))</f>
        <v>41222</v>
      </c>
      <c r="J116" s="66">
        <f>IF($AB116="TGD",ROUND($E116*(1+$AD116)^(J$4-$E$4),0),IF($AB116="ALTH",ROUND($AE116+$AF116*J$4,0),IF($AB116="IR",ROUND(Proyeccion_Localidades!AG116,0),IF($AB116="RT",ROUND(Proyeccion_Localidades!BD116,0),"*****"))))</f>
        <v>42295</v>
      </c>
      <c r="K116" s="66">
        <f>IF($AB116="TGD",ROUND($E116*(1+$AD116)^(K$4-$E$4),0),IF($AB116="ALTH",ROUND($AE116+$AF116*K$4,0),IF($AB116="IR",ROUND(Proyeccion_Localidades!AH116,0),IF($AB116="RT",ROUND(Proyeccion_Localidades!BE116,0),"*****"))))</f>
        <v>43386</v>
      </c>
      <c r="L116" s="66">
        <f>IF($AB116="TGD",ROUND($E116*(1+$AD116)^(L$4-$E$4),0),IF($AB116="ALTH",ROUND($AE116+$AF116*L$4,0),IF($AB116="IR",ROUND(Proyeccion_Localidades!AI116,0),IF($AB116="RT",ROUND(Proyeccion_Localidades!BF116,0),"*****"))))</f>
        <v>44495</v>
      </c>
      <c r="M116" s="66">
        <f>IF($AB116="TGD",ROUND($E116*(1+$AD116)^(M$4-$E$4),0),IF($AB116="ALTH",ROUND($AE116+$AF116*M$4,0),IF($AB116="IR",ROUND(Proyeccion_Localidades!AJ116,0),IF($AB116="RT",ROUND(Proyeccion_Localidades!BG116,0),"*****"))))</f>
        <v>45621</v>
      </c>
      <c r="N116" s="66">
        <f>IF($AB116="TGD",ROUND($E116*(1+$AD116)^(N$4-$E$4),0),IF($AB116="ALTH",ROUND($AE116+$AF116*N$4,0),IF($AB116="IR",ROUND(Proyeccion_Localidades!AK116,0),IF($AB116="RT",ROUND(Proyeccion_Localidades!BH116,0),"*****"))))</f>
        <v>46767</v>
      </c>
      <c r="O116" s="66">
        <f>IF($AB116="TGD",ROUND($E116*(1+$AD116)^(O$4-$E$4),0),IF($AB116="ALTH",ROUND($AE116+$AF116*O$4,0),IF($AB116="IR",ROUND(Proyeccion_Localidades!AL116,0),IF($AB116="RT",ROUND(Proyeccion_Localidades!BI116,0),"*****"))))</f>
        <v>47930</v>
      </c>
      <c r="P116" s="66">
        <f>IF($AB116="TGD",ROUND($E116*(1+$AD116)^(P$4-$E$4),0),IF($AB116="ALTH",ROUND($AE116+$AF116*P$4,0),IF($AB116="IR",ROUND(Proyeccion_Localidades!AM116,0),IF($AB116="RT",ROUND(Proyeccion_Localidades!BJ116,0),"*****"))))</f>
        <v>49113</v>
      </c>
      <c r="Q116" s="66">
        <f>IF($AB116="TGD",ROUND($E116*(1+$AD116)^(Q$4-$E$4),0),IF($AB116="ALTH",ROUND($AE116+$AF116*Q$4,0),IF($AB116="IR",ROUND(Proyeccion_Localidades!AN116,0),IF($AB116="RT",ROUND(Proyeccion_Localidades!BK116,0),"*****"))))</f>
        <v>50315</v>
      </c>
      <c r="R116" s="66">
        <f>IF($AB116="TGD",ROUND($E116*(1+$AD116)^(R$4-$E$4),0),IF($AB116="ALTH",ROUND($AE116+$AF116*R$4,0),IF($AB116="IR",ROUND(Proyeccion_Localidades!AO116,0),IF($AB116="RT",ROUND(Proyeccion_Localidades!BL116,0),"*****"))))</f>
        <v>51537</v>
      </c>
      <c r="S116" s="66">
        <f>IF($AB116="TGD",ROUND($E116*(1+$AD116)^(S$4-$E$4),0),IF($AB116="ALTH",ROUND($AE116+$AF116*S$4,0),IF($AB116="IR",ROUND(Proyeccion_Localidades!AP116,0),IF($AB116="RT",ROUND(Proyeccion_Localidades!BM116,0),"*****"))))</f>
        <v>52779</v>
      </c>
      <c r="T116" s="66">
        <f>IF($AB116="TGD",ROUND($E116*(1+$AD116)^(T$4-$E$4),0),IF($AB116="ALTH",ROUND($AE116+$AF116*T$4,0),IF($AB116="IR",ROUND(Proyeccion_Localidades!AQ116,0),IF($AB116="RT",ROUND(Proyeccion_Localidades!BN116,0),"*****"))))</f>
        <v>54041</v>
      </c>
      <c r="U116" s="66">
        <f>IF($AB116="TGD",ROUND($E116*(1+$AD116)^(U$4-$E$4),0),IF($AB116="ALTH",ROUND($AE116+$AF116*U$4,0),IF($AB116="IR",ROUND(Proyeccion_Localidades!AR116,0),IF($AB116="RT",ROUND(Proyeccion_Localidades!BO116,0),"*****"))))</f>
        <v>55323</v>
      </c>
      <c r="V116" s="66">
        <f>IF($AB116="TGD",ROUND($E116*(1+$AD116)^(V$4-$E$4),0),IF($AB116="ALTH",ROUND($AE116+$AF116*V$4,0),IF($AB116="IR",ROUND(Proyeccion_Localidades!AS116,0),IF($AB116="RT",ROUND(Proyeccion_Localidades!BP116,0),"*****"))))</f>
        <v>56627</v>
      </c>
      <c r="W116" s="66">
        <f>IF($AB116="TGD",ROUND($E116*(1+$AD116)^(W$4-$E$4),0),IF($AB116="ALTH",ROUND($AE116+$AF116*W$4,0),IF($AB116="IR",ROUND(Proyeccion_Localidades!AT116,0),IF($AB116="RT",ROUND(Proyeccion_Localidades!BQ116,0),"*****"))))</f>
        <v>57952</v>
      </c>
      <c r="X116" s="66">
        <f>IF($AB116="TGD",ROUND($E116*(1+$AD116)^(X$4-$E$4),0),IF($AB116="ALTH",ROUND($AE116+$AF116*X$4,0),IF($AB116="IR",ROUND(Proyeccion_Localidades!AU116,0),IF($AB116="RT",ROUND(Proyeccion_Localidades!BR116,0),"*****"))))</f>
        <v>59298</v>
      </c>
      <c r="Y116" s="66">
        <f>IF($AB116="TGD",ROUND($E116*(1+$AD116)^(Y$4-$E$4),0),IF($AB116="ALTH",ROUND($AE116+$AF116*Y$4,0),IF($AB116="IR",ROUND(Proyeccion_Localidades!AV116,0),IF($AB116="RT",ROUND(Proyeccion_Localidades!BS116,0),"*****"))))</f>
        <v>60666</v>
      </c>
      <c r="Z116" s="66">
        <f>IF($AB116="TGD",ROUND($E116*(1+$AD116)^(Z$4-$E$4),0),IF($AB116="ALTH",ROUND($AE116+$AF116*Z$4,0),IF($AB116="IR",ROUND(Proyeccion_Localidades!AW116,0),IF($AB116="RT",ROUND(Proyeccion_Localidades!BT116,0),"*****"))))</f>
        <v>62057</v>
      </c>
      <c r="AA116" s="66">
        <f>IF($AB116="TGD",ROUND($E116*(1+$AD116)^(AA$4-$E$4),0),IF($AB116="ALTH",ROUND($AE116+$AF116*AA$4,0),IF($AB116="IR",ROUND(Proyeccion_Localidades!AX116,0),IF($AB116="RT",ROUND(Proyeccion_Localidades!BU116,0),"*****"))))</f>
        <v>63470</v>
      </c>
      <c r="AB116" s="67" t="str">
        <f>Proyeccion_Localidades!N116</f>
        <v>IR</v>
      </c>
      <c r="AC116" s="73"/>
      <c r="AD116" s="51" t="str">
        <f>IF(AB116="TGD",Proyeccion_Localidades!Z116,"-")</f>
        <v>-</v>
      </c>
      <c r="AE116" s="51" t="str">
        <f>IF($AB116="ALTH",Proyeccion_Localidades!AA116,"-")</f>
        <v>-</v>
      </c>
      <c r="AF116" s="51" t="str">
        <f>IF($AB116="ALTH",Proyeccion_Localidades!AB116,"-")</f>
        <v>-</v>
      </c>
      <c r="AG116" s="51"/>
      <c r="AH116" s="51"/>
      <c r="AI116" s="66">
        <f t="shared" si="5"/>
        <v>37097</v>
      </c>
    </row>
    <row r="117" spans="1:54" ht="24.95" customHeight="1">
      <c r="A117" s="74" t="s">
        <v>49</v>
      </c>
      <c r="B117" s="75">
        <v>106.1</v>
      </c>
      <c r="C117" s="89" t="s">
        <v>50</v>
      </c>
      <c r="D117" s="261">
        <f t="shared" si="6"/>
        <v>106.1</v>
      </c>
      <c r="E117" s="77">
        <f>ROUND(G117/G116*E116,0)</f>
        <v>46728</v>
      </c>
      <c r="F117" s="78">
        <f>INDEX(Turísticas!$A$5:$AA$13,MATCH("Pinamar",Turísticas!$A$5:$A$13,0),MATCH(Verif!F$4,Turísticas!$B$4:$AA$4,0)+1)</f>
        <v>66434</v>
      </c>
      <c r="G117" s="78">
        <f>INDEX(Turísticas!$A$5:$AA$13,MATCH("Pinamar",Turísticas!$A$5:$A$13,0),MATCH(Verif!G$4,Turísticas!$B$4:$AA$4,0)+1)</f>
        <v>68255</v>
      </c>
      <c r="H117" s="78">
        <f>INDEX(Turísticas!$A$5:$AA$13,MATCH("Pinamar",Turísticas!$A$5:$A$13,0),MATCH(Verif!H$4,Turísticas!$B$4:$AA$4,0)+1)</f>
        <v>73899</v>
      </c>
      <c r="I117" s="78">
        <f>INDEX(Turísticas!$A$5:$AA$13,MATCH("Pinamar",Turísticas!$A$5:$A$13,0),MATCH(Verif!I$4,Turísticas!$B$4:$AA$4,0)+1)</f>
        <v>75842</v>
      </c>
      <c r="J117" s="78">
        <f>INDEX(Turísticas!$A$5:$AA$13,MATCH("Pinamar",Turísticas!$A$5:$A$13,0),MATCH(Verif!J$4,Turísticas!$B$4:$AA$4,0)+1)</f>
        <v>77817</v>
      </c>
      <c r="K117" s="78">
        <f>INDEX(Turísticas!$A$5:$AA$13,MATCH("Pinamar",Turísticas!$A$5:$A$13,0),MATCH(Verif!K$4,Turísticas!$B$4:$AA$4,0)+1)</f>
        <v>79824</v>
      </c>
      <c r="L117" s="78">
        <f>INDEX(Turísticas!$A$5:$AA$13,MATCH("Pinamar",Turísticas!$A$5:$A$13,0),MATCH(Verif!L$4,Turísticas!$B$4:$AA$4,0)+1)</f>
        <v>81864</v>
      </c>
      <c r="M117" s="78">
        <f>INDEX(Turísticas!$A$5:$AA$13,MATCH("Pinamar",Turísticas!$A$5:$A$13,0),MATCH(Verif!M$4,Turísticas!$B$4:$AA$4,0)+1)</f>
        <v>83937</v>
      </c>
      <c r="N117" s="78">
        <f>INDEX(Turísticas!$A$5:$AA$13,MATCH("Pinamar",Turísticas!$A$5:$A$13,0),MATCH(Verif!N$4,Turísticas!$B$4:$AA$4,0)+1)</f>
        <v>86044</v>
      </c>
      <c r="O117" s="78">
        <f>INDEX(Turísticas!$A$5:$AA$13,MATCH("Pinamar",Turísticas!$A$5:$A$13,0),MATCH(Verif!O$4,Turísticas!$B$4:$AA$4,0)+1)</f>
        <v>88185</v>
      </c>
      <c r="P117" s="78">
        <f>INDEX(Turísticas!$A$5:$AA$13,MATCH("Pinamar",Turísticas!$A$5:$A$13,0),MATCH(Verif!P$4,Turísticas!$B$4:$AA$4,0)+1)</f>
        <v>90361</v>
      </c>
      <c r="Q117" s="78">
        <f>INDEX(Turísticas!$A$5:$AA$13,MATCH("Pinamar",Turísticas!$A$5:$A$13,0),MATCH(Verif!Q$4,Turísticas!$B$4:$AA$4,0)+1)</f>
        <v>92573</v>
      </c>
      <c r="R117" s="78">
        <f>INDEX(Turísticas!$A$5:$AA$13,MATCH("Pinamar",Turísticas!$A$5:$A$13,0),MATCH(Verif!R$4,Turísticas!$B$4:$AA$4,0)+1)</f>
        <v>94821</v>
      </c>
      <c r="S117" s="78">
        <f>INDEX(Turísticas!$A$5:$AA$13,MATCH("Pinamar",Turísticas!$A$5:$A$13,0),MATCH(Verif!S$4,Turísticas!$B$4:$AA$4,0)+1)</f>
        <v>97106</v>
      </c>
      <c r="T117" s="78">
        <f>INDEX(Turísticas!$A$5:$AA$13,MATCH("Pinamar",Turísticas!$A$5:$A$13,0),MATCH(Verif!T$4,Turísticas!$B$4:$AA$4,0)+1)</f>
        <v>99428</v>
      </c>
      <c r="U117" s="78">
        <f>INDEX(Turísticas!$A$5:$AA$13,MATCH("Pinamar",Turísticas!$A$5:$A$13,0),MATCH(Verif!U$4,Turísticas!$B$4:$AA$4,0)+1)</f>
        <v>101788</v>
      </c>
      <c r="V117" s="78">
        <f>INDEX(Turísticas!$A$5:$AA$13,MATCH("Pinamar",Turísticas!$A$5:$A$13,0),MATCH(Verif!V$4,Turísticas!$B$4:$AA$4,0)+1)</f>
        <v>104186</v>
      </c>
      <c r="W117" s="78">
        <f>INDEX(Turísticas!$A$5:$AA$13,MATCH("Pinamar",Turísticas!$A$5:$A$13,0),MATCH(Verif!W$4,Turísticas!$B$4:$AA$4,0)+1)</f>
        <v>106623</v>
      </c>
      <c r="X117" s="78">
        <f>INDEX(Turísticas!$A$5:$AA$13,MATCH("Pinamar",Turísticas!$A$5:$A$13,0),MATCH(Verif!X$4,Turísticas!$B$4:$AA$4,0)+1)</f>
        <v>109100</v>
      </c>
      <c r="Y117" s="78">
        <f>INDEX(Turísticas!$A$5:$AA$13,MATCH("Pinamar",Turísticas!$A$5:$A$13,0),MATCH(Verif!Y$4,Turísticas!$B$4:$AA$4,0)+1)</f>
        <v>111617</v>
      </c>
      <c r="Z117" s="78">
        <f>INDEX(Turísticas!$A$5:$AA$13,MATCH("Pinamar",Turísticas!$A$5:$A$13,0),MATCH(Verif!Z$4,Turísticas!$B$4:$AA$4,0)+1)</f>
        <v>114176</v>
      </c>
      <c r="AA117" s="78">
        <f>INDEX(Turísticas!$A$5:$AA$13,MATCH("Pinamar",Turísticas!$A$5:$A$13,0),MATCH(Verif!AA$4,Turísticas!$B$4:$AA$4,0)+1)</f>
        <v>116776</v>
      </c>
      <c r="AB117" s="79" t="s">
        <v>39</v>
      </c>
      <c r="AC117" s="80"/>
      <c r="AD117" s="51" t="str">
        <f>IF(AB117="TGD",Proyeccion_Localidades!Z117,"-")</f>
        <v>-</v>
      </c>
      <c r="AE117" s="51" t="str">
        <f>IF($AB117="ALTH",Proyeccion_Localidades!AA117,"-")</f>
        <v>-</v>
      </c>
      <c r="AF117" s="51" t="str">
        <f>IF($AB117="ALTH",Proyeccion_Localidades!AB117,"-")</f>
        <v>-</v>
      </c>
      <c r="AG117" s="81"/>
      <c r="AH117" s="81"/>
      <c r="AI117" s="82">
        <f t="shared" si="5"/>
        <v>68255</v>
      </c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</row>
    <row r="118" spans="1:54" ht="24.95" customHeight="1">
      <c r="A118" s="86" t="str">
        <f>+Proyeccion_Localidades!C118</f>
        <v>Presidente Perón</v>
      </c>
      <c r="B118" s="70">
        <f>+B116+1</f>
        <v>107</v>
      </c>
      <c r="C118" s="88" t="str">
        <f>+Proyeccion_Localidades!B118</f>
        <v>Presidente Perón</v>
      </c>
      <c r="D118" s="261">
        <f t="shared" si="6"/>
        <v>107</v>
      </c>
      <c r="E118" s="72">
        <f>+Proyeccion_Localidades!F118</f>
        <v>80824</v>
      </c>
      <c r="F118" s="66">
        <f>IF($AB118="TGD",ROUND($E118*(1+$AD118)^(F$4-$E$4),0),IF($AB118="ALTH",ROUND($AE118+$AF118*F$4,0),IF($AB118="IR",ROUND(Proyeccion_Localidades!AC118,0),IF($AB118="RT",ROUND(Proyeccion_Localidades!AZ118,0),"*****"))))</f>
        <v>105499</v>
      </c>
      <c r="G118" s="66">
        <f>IF($AB118="TGD",ROUND($E118*(1+$AD118)^(G$4-$E$4),0),IF($AB118="ALTH",ROUND($AE118+$AF118*G$4,0),IF($AB118="IR",ROUND(Proyeccion_Localidades!AD118,0),IF($AB118="RT",ROUND(Proyeccion_Localidades!BA118,0),"*****"))))</f>
        <v>107614</v>
      </c>
      <c r="H118" s="66">
        <f>IF($AB118="TGD",ROUND($E118*(1+$AD118)^(H$4-$E$4),0),IF($AB118="ALTH",ROUND($AE118+$AF118*H$4,0),IF($AB118="IR",ROUND(Proyeccion_Localidades!AE118,0),IF($AB118="RT",ROUND(Proyeccion_Localidades!BB118,0),"*****"))))</f>
        <v>113959</v>
      </c>
      <c r="I118" s="66">
        <f>IF($AB118="TGD",ROUND($E118*(1+$AD118)^(I$4-$E$4),0),IF($AB118="ALTH",ROUND($AE118+$AF118*I$4,0),IF($AB118="IR",ROUND(Proyeccion_Localidades!AF118,0),IF($AB118="RT",ROUND(Proyeccion_Localidades!BC118,0),"*****"))))</f>
        <v>116074</v>
      </c>
      <c r="J118" s="66">
        <f>IF($AB118="TGD",ROUND($E118*(1+$AD118)^(J$4-$E$4),0),IF($AB118="ALTH",ROUND($AE118+$AF118*J$4,0),IF($AB118="IR",ROUND(Proyeccion_Localidades!AG118,0),IF($AB118="RT",ROUND(Proyeccion_Localidades!BD118,0),"*****"))))</f>
        <v>118189</v>
      </c>
      <c r="K118" s="66">
        <f>IF($AB118="TGD",ROUND($E118*(1+$AD118)^(K$4-$E$4),0),IF($AB118="ALTH",ROUND($AE118+$AF118*K$4,0),IF($AB118="IR",ROUND(Proyeccion_Localidades!AH118,0),IF($AB118="RT",ROUND(Proyeccion_Localidades!BE118,0),"*****"))))</f>
        <v>120304</v>
      </c>
      <c r="L118" s="66">
        <f>IF($AB118="TGD",ROUND($E118*(1+$AD118)^(L$4-$E$4),0),IF($AB118="ALTH",ROUND($AE118+$AF118*L$4,0),IF($AB118="IR",ROUND(Proyeccion_Localidades!AI118,0),IF($AB118="RT",ROUND(Proyeccion_Localidades!BF118,0),"*****"))))</f>
        <v>122420</v>
      </c>
      <c r="M118" s="66">
        <f>IF($AB118="TGD",ROUND($E118*(1+$AD118)^(M$4-$E$4),0),IF($AB118="ALTH",ROUND($AE118+$AF118*M$4,0),IF($AB118="IR",ROUND(Proyeccion_Localidades!AJ118,0),IF($AB118="RT",ROUND(Proyeccion_Localidades!BG118,0),"*****"))))</f>
        <v>124535</v>
      </c>
      <c r="N118" s="66">
        <f>IF($AB118="TGD",ROUND($E118*(1+$AD118)^(N$4-$E$4),0),IF($AB118="ALTH",ROUND($AE118+$AF118*N$4,0),IF($AB118="IR",ROUND(Proyeccion_Localidades!AK118,0),IF($AB118="RT",ROUND(Proyeccion_Localidades!BH118,0),"*****"))))</f>
        <v>126650</v>
      </c>
      <c r="O118" s="66">
        <f>IF($AB118="TGD",ROUND($E118*(1+$AD118)^(O$4-$E$4),0),IF($AB118="ALTH",ROUND($AE118+$AF118*O$4,0),IF($AB118="IR",ROUND(Proyeccion_Localidades!AL118,0),IF($AB118="RT",ROUND(Proyeccion_Localidades!BI118,0),"*****"))))</f>
        <v>128765</v>
      </c>
      <c r="P118" s="66">
        <f>IF($AB118="TGD",ROUND($E118*(1+$AD118)^(P$4-$E$4),0),IF($AB118="ALTH",ROUND($AE118+$AF118*P$4,0),IF($AB118="IR",ROUND(Proyeccion_Localidades!AM118,0),IF($AB118="RT",ROUND(Proyeccion_Localidades!BJ118,0),"*****"))))</f>
        <v>130880</v>
      </c>
      <c r="Q118" s="66">
        <f>IF($AB118="TGD",ROUND($E118*(1+$AD118)^(Q$4-$E$4),0),IF($AB118="ALTH",ROUND($AE118+$AF118*Q$4,0),IF($AB118="IR",ROUND(Proyeccion_Localidades!AN118,0),IF($AB118="RT",ROUND(Proyeccion_Localidades!BK118,0),"*****"))))</f>
        <v>132995</v>
      </c>
      <c r="R118" s="66">
        <f>IF($AB118="TGD",ROUND($E118*(1+$AD118)^(R$4-$E$4),0),IF($AB118="ALTH",ROUND($AE118+$AF118*R$4,0),IF($AB118="IR",ROUND(Proyeccion_Localidades!AO118,0),IF($AB118="RT",ROUND(Proyeccion_Localidades!BL118,0),"*****"))))</f>
        <v>135110</v>
      </c>
      <c r="S118" s="66">
        <f>IF($AB118="TGD",ROUND($E118*(1+$AD118)^(S$4-$E$4),0),IF($AB118="ALTH",ROUND($AE118+$AF118*S$4,0),IF($AB118="IR",ROUND(Proyeccion_Localidades!AP118,0),IF($AB118="RT",ROUND(Proyeccion_Localidades!BM118,0),"*****"))))</f>
        <v>137225</v>
      </c>
      <c r="T118" s="66">
        <f>IF($AB118="TGD",ROUND($E118*(1+$AD118)^(T$4-$E$4),0),IF($AB118="ALTH",ROUND($AE118+$AF118*T$4,0),IF($AB118="IR",ROUND(Proyeccion_Localidades!AQ118,0),IF($AB118="RT",ROUND(Proyeccion_Localidades!BN118,0),"*****"))))</f>
        <v>139341</v>
      </c>
      <c r="U118" s="66">
        <f>IF($AB118="TGD",ROUND($E118*(1+$AD118)^(U$4-$E$4),0),IF($AB118="ALTH",ROUND($AE118+$AF118*U$4,0),IF($AB118="IR",ROUND(Proyeccion_Localidades!AR118,0),IF($AB118="RT",ROUND(Proyeccion_Localidades!BO118,0),"*****"))))</f>
        <v>141456</v>
      </c>
      <c r="V118" s="66">
        <f>IF($AB118="TGD",ROUND($E118*(1+$AD118)^(V$4-$E$4),0),IF($AB118="ALTH",ROUND($AE118+$AF118*V$4,0),IF($AB118="IR",ROUND(Proyeccion_Localidades!AS118,0),IF($AB118="RT",ROUND(Proyeccion_Localidades!BP118,0),"*****"))))</f>
        <v>143571</v>
      </c>
      <c r="W118" s="66">
        <f>IF($AB118="TGD",ROUND($E118*(1+$AD118)^(W$4-$E$4),0),IF($AB118="ALTH",ROUND($AE118+$AF118*W$4,0),IF($AB118="IR",ROUND(Proyeccion_Localidades!AT118,0),IF($AB118="RT",ROUND(Proyeccion_Localidades!BQ118,0),"*****"))))</f>
        <v>145686</v>
      </c>
      <c r="X118" s="66">
        <f>IF($AB118="TGD",ROUND($E118*(1+$AD118)^(X$4-$E$4),0),IF($AB118="ALTH",ROUND($AE118+$AF118*X$4,0),IF($AB118="IR",ROUND(Proyeccion_Localidades!AU118,0),IF($AB118="RT",ROUND(Proyeccion_Localidades!BR118,0),"*****"))))</f>
        <v>147801</v>
      </c>
      <c r="Y118" s="66">
        <f>IF($AB118="TGD",ROUND($E118*(1+$AD118)^(Y$4-$E$4),0),IF($AB118="ALTH",ROUND($AE118+$AF118*Y$4,0),IF($AB118="IR",ROUND(Proyeccion_Localidades!AV118,0),IF($AB118="RT",ROUND(Proyeccion_Localidades!BS118,0),"*****"))))</f>
        <v>149916</v>
      </c>
      <c r="Z118" s="66">
        <f>IF($AB118="TGD",ROUND($E118*(1+$AD118)^(Z$4-$E$4),0),IF($AB118="ALTH",ROUND($AE118+$AF118*Z$4,0),IF($AB118="IR",ROUND(Proyeccion_Localidades!AW118,0),IF($AB118="RT",ROUND(Proyeccion_Localidades!BT118,0),"*****"))))</f>
        <v>152031</v>
      </c>
      <c r="AA118" s="66">
        <f>IF($AB118="TGD",ROUND($E118*(1+$AD118)^(AA$4-$E$4),0),IF($AB118="ALTH",ROUND($AE118+$AF118*AA$4,0),IF($AB118="IR",ROUND(Proyeccion_Localidades!AX118,0),IF($AB118="RT",ROUND(Proyeccion_Localidades!BU118,0),"*****"))))</f>
        <v>154146</v>
      </c>
      <c r="AB118" s="67" t="str">
        <f>Proyeccion_Localidades!N118</f>
        <v>ALTH</v>
      </c>
      <c r="AC118" s="68" t="s">
        <v>36</v>
      </c>
      <c r="AD118" s="51" t="str">
        <f>IF(AB118="TGD",Proyeccion_Localidades!Z118,"-")</f>
        <v>-</v>
      </c>
      <c r="AE118" s="51">
        <f>IF($AB118="ALTH",Proyeccion_Localidades!AA118,"-")</f>
        <v>-4171277.6236162353</v>
      </c>
      <c r="AF118" s="51">
        <f>IF($AB118="ALTH",Proyeccion_Localidades!AB118,"-")</f>
        <v>2115.1217712177117</v>
      </c>
      <c r="AG118" s="51"/>
      <c r="AH118" s="51"/>
      <c r="AI118" s="66">
        <f t="shared" si="5"/>
        <v>107614</v>
      </c>
    </row>
    <row r="119" spans="1:54" ht="24.95" customHeight="1">
      <c r="A119" s="86" t="str">
        <f>+Proyeccion_Localidades!C119</f>
        <v>Puán</v>
      </c>
      <c r="B119" s="70">
        <f t="shared" ref="B119:B147" si="7">+B118+1</f>
        <v>108</v>
      </c>
      <c r="C119" s="88" t="str">
        <f>+Proyeccion_Localidades!B119</f>
        <v>Puán</v>
      </c>
      <c r="D119" s="261">
        <f t="shared" si="6"/>
        <v>108</v>
      </c>
      <c r="E119" s="72">
        <f>+Proyeccion_Localidades!F119</f>
        <v>4743</v>
      </c>
      <c r="F119" s="66">
        <f>IF($AB119="TGD",ROUND($E119*(1+$AD119)^(F$4-$E$4),0),IF($AB119="ALTH",ROUND($AE119+$AF119*F$4,0),IF($AB119="IR",ROUND(Proyeccion_Localidades!AC119,0),IF($AB119="RT",ROUND(Proyeccion_Localidades!AZ119,0),"*****"))))</f>
        <v>4881</v>
      </c>
      <c r="G119" s="66">
        <f>IF($AB119="TGD",ROUND($E119*(1+$AD119)^(G$4-$E$4),0),IF($AB119="ALTH",ROUND($AE119+$AF119*G$4,0),IF($AB119="IR",ROUND(Proyeccion_Localidades!AD119,0),IF($AB119="RT",ROUND(Proyeccion_Localidades!BA119,0),"*****"))))</f>
        <v>4927</v>
      </c>
      <c r="H119" s="66">
        <f>IF($AB119="TGD",ROUND($E119*(1+$AD119)^(H$4-$E$4),0),IF($AB119="ALTH",ROUND($AE119+$AF119*H$4,0),IF($AB119="IR",ROUND(Proyeccion_Localidades!AE119,0),IF($AB119="RT",ROUND(Proyeccion_Localidades!BB119,0),"*****"))))</f>
        <v>5064</v>
      </c>
      <c r="I119" s="66">
        <f>IF($AB119="TGD",ROUND($E119*(1+$AD119)^(I$4-$E$4),0),IF($AB119="ALTH",ROUND($AE119+$AF119*I$4,0),IF($AB119="IR",ROUND(Proyeccion_Localidades!AF119,0),IF($AB119="RT",ROUND(Proyeccion_Localidades!BC119,0),"*****"))))</f>
        <v>5110</v>
      </c>
      <c r="J119" s="66">
        <f>IF($AB119="TGD",ROUND($E119*(1+$AD119)^(J$4-$E$4),0),IF($AB119="ALTH",ROUND($AE119+$AF119*J$4,0),IF($AB119="IR",ROUND(Proyeccion_Localidades!AG119,0),IF($AB119="RT",ROUND(Proyeccion_Localidades!BD119,0),"*****"))))</f>
        <v>5156</v>
      </c>
      <c r="K119" s="66">
        <f>IF($AB119="TGD",ROUND($E119*(1+$AD119)^(K$4-$E$4),0),IF($AB119="ALTH",ROUND($AE119+$AF119*K$4,0),IF($AB119="IR",ROUND(Proyeccion_Localidades!AH119,0),IF($AB119="RT",ROUND(Proyeccion_Localidades!BE119,0),"*****"))))</f>
        <v>5201</v>
      </c>
      <c r="L119" s="66">
        <f>IF($AB119="TGD",ROUND($E119*(1+$AD119)^(L$4-$E$4),0),IF($AB119="ALTH",ROUND($AE119+$AF119*L$4,0),IF($AB119="IR",ROUND(Proyeccion_Localidades!AI119,0),IF($AB119="RT",ROUND(Proyeccion_Localidades!BF119,0),"*****"))))</f>
        <v>5247</v>
      </c>
      <c r="M119" s="66">
        <f>IF($AB119="TGD",ROUND($E119*(1+$AD119)^(M$4-$E$4),0),IF($AB119="ALTH",ROUND($AE119+$AF119*M$4,0),IF($AB119="IR",ROUND(Proyeccion_Localidades!AJ119,0),IF($AB119="RT",ROUND(Proyeccion_Localidades!BG119,0),"*****"))))</f>
        <v>5314</v>
      </c>
      <c r="N119" s="66">
        <f>IF($AB119="TGD",ROUND($E119*(1+$AD119)^(N$4-$E$4),0),IF($AB119="ALTH",ROUND($AE119+$AF119*N$4,0),IF($AB119="IR",ROUND(Proyeccion_Localidades!AK119,0),IF($AB119="RT",ROUND(Proyeccion_Localidades!BH119,0),"*****"))))</f>
        <v>5380</v>
      </c>
      <c r="O119" s="66">
        <f>IF($AB119="TGD",ROUND($E119*(1+$AD119)^(O$4-$E$4),0),IF($AB119="ALTH",ROUND($AE119+$AF119*O$4,0),IF($AB119="IR",ROUND(Proyeccion_Localidades!AL119,0),IF($AB119="RT",ROUND(Proyeccion_Localidades!BI119,0),"*****"))))</f>
        <v>5447</v>
      </c>
      <c r="P119" s="66">
        <f>IF($AB119="TGD",ROUND($E119*(1+$AD119)^(P$4-$E$4),0),IF($AB119="ALTH",ROUND($AE119+$AF119*P$4,0),IF($AB119="IR",ROUND(Proyeccion_Localidades!AM119,0),IF($AB119="RT",ROUND(Proyeccion_Localidades!BJ119,0),"*****"))))</f>
        <v>5514</v>
      </c>
      <c r="Q119" s="66">
        <f>IF($AB119="TGD",ROUND($E119*(1+$AD119)^(Q$4-$E$4),0),IF($AB119="ALTH",ROUND($AE119+$AF119*Q$4,0),IF($AB119="IR",ROUND(Proyeccion_Localidades!AN119,0),IF($AB119="RT",ROUND(Proyeccion_Localidades!BK119,0),"*****"))))</f>
        <v>5580</v>
      </c>
      <c r="R119" s="66">
        <f>IF($AB119="TGD",ROUND($E119*(1+$AD119)^(R$4-$E$4),0),IF($AB119="ALTH",ROUND($AE119+$AF119*R$4,0),IF($AB119="IR",ROUND(Proyeccion_Localidades!AO119,0),IF($AB119="RT",ROUND(Proyeccion_Localidades!BL119,0),"*****"))))</f>
        <v>5647</v>
      </c>
      <c r="S119" s="66">
        <f>IF($AB119="TGD",ROUND($E119*(1+$AD119)^(S$4-$E$4),0),IF($AB119="ALTH",ROUND($AE119+$AF119*S$4,0),IF($AB119="IR",ROUND(Proyeccion_Localidades!AP119,0),IF($AB119="RT",ROUND(Proyeccion_Localidades!BM119,0),"*****"))))</f>
        <v>5714</v>
      </c>
      <c r="T119" s="66">
        <f>IF($AB119="TGD",ROUND($E119*(1+$AD119)^(T$4-$E$4),0),IF($AB119="ALTH",ROUND($AE119+$AF119*T$4,0),IF($AB119="IR",ROUND(Proyeccion_Localidades!AQ119,0),IF($AB119="RT",ROUND(Proyeccion_Localidades!BN119,0),"*****"))))</f>
        <v>5780</v>
      </c>
      <c r="U119" s="66">
        <f>IF($AB119="TGD",ROUND($E119*(1+$AD119)^(U$4-$E$4),0),IF($AB119="ALTH",ROUND($AE119+$AF119*U$4,0),IF($AB119="IR",ROUND(Proyeccion_Localidades!AR119,0),IF($AB119="RT",ROUND(Proyeccion_Localidades!BO119,0),"*****"))))</f>
        <v>5847</v>
      </c>
      <c r="V119" s="66">
        <f>IF($AB119="TGD",ROUND($E119*(1+$AD119)^(V$4-$E$4),0),IF($AB119="ALTH",ROUND($AE119+$AF119*V$4,0),IF($AB119="IR",ROUND(Proyeccion_Localidades!AS119,0),IF($AB119="RT",ROUND(Proyeccion_Localidades!BP119,0),"*****"))))</f>
        <v>5913</v>
      </c>
      <c r="W119" s="66">
        <f>IF($AB119="TGD",ROUND($E119*(1+$AD119)^(W$4-$E$4),0),IF($AB119="ALTH",ROUND($AE119+$AF119*W$4,0),IF($AB119="IR",ROUND(Proyeccion_Localidades!AT119,0),IF($AB119="RT",ROUND(Proyeccion_Localidades!BQ119,0),"*****"))))</f>
        <v>5980</v>
      </c>
      <c r="X119" s="66">
        <f>IF($AB119="TGD",ROUND($E119*(1+$AD119)^(X$4-$E$4),0),IF($AB119="ALTH",ROUND($AE119+$AF119*X$4,0),IF($AB119="IR",ROUND(Proyeccion_Localidades!AU119,0),IF($AB119="RT",ROUND(Proyeccion_Localidades!BR119,0),"*****"))))</f>
        <v>6047</v>
      </c>
      <c r="Y119" s="66">
        <f>IF($AB119="TGD",ROUND($E119*(1+$AD119)^(Y$4-$E$4),0),IF($AB119="ALTH",ROUND($AE119+$AF119*Y$4,0),IF($AB119="IR",ROUND(Proyeccion_Localidades!AV119,0),IF($AB119="RT",ROUND(Proyeccion_Localidades!BS119,0),"*****"))))</f>
        <v>6113</v>
      </c>
      <c r="Z119" s="66">
        <f>IF($AB119="TGD",ROUND($E119*(1+$AD119)^(Z$4-$E$4),0),IF($AB119="ALTH",ROUND($AE119+$AF119*Z$4,0),IF($AB119="IR",ROUND(Proyeccion_Localidades!AW119,0),IF($AB119="RT",ROUND(Proyeccion_Localidades!BT119,0),"*****"))))</f>
        <v>6180</v>
      </c>
      <c r="AA119" s="66">
        <f>IF($AB119="TGD",ROUND($E119*(1+$AD119)^(AA$4-$E$4),0),IF($AB119="ALTH",ROUND($AE119+$AF119*AA$4,0),IF($AB119="IR",ROUND(Proyeccion_Localidades!AX119,0),IF($AB119="RT",ROUND(Proyeccion_Localidades!BU119,0),"*****"))))</f>
        <v>6247</v>
      </c>
      <c r="AB119" s="67" t="str">
        <f>Proyeccion_Localidades!N119</f>
        <v>RT</v>
      </c>
      <c r="AC119" s="73"/>
      <c r="AD119" s="51" t="str">
        <f>IF(AB119="TGD",Proyeccion_Localidades!Z119,"-")</f>
        <v>-</v>
      </c>
      <c r="AE119" s="51" t="str">
        <f>IF($AB119="ALTH",Proyeccion_Localidades!AA119,"-")</f>
        <v>-</v>
      </c>
      <c r="AF119" s="51" t="str">
        <f>IF($AB119="ALTH",Proyeccion_Localidades!AB119,"-")</f>
        <v>-</v>
      </c>
      <c r="AG119" s="51"/>
      <c r="AH119" s="51"/>
      <c r="AI119" s="66">
        <f t="shared" si="5"/>
        <v>4927</v>
      </c>
    </row>
    <row r="120" spans="1:54" ht="24.95" customHeight="1">
      <c r="A120" s="86" t="str">
        <f>+Proyeccion_Localidades!C120</f>
        <v>Punta Indio</v>
      </c>
      <c r="B120" s="70">
        <f t="shared" si="7"/>
        <v>109</v>
      </c>
      <c r="C120" s="88" t="str">
        <f>+Proyeccion_Localidades!B120</f>
        <v>Verónica</v>
      </c>
      <c r="D120" s="261">
        <f t="shared" si="6"/>
        <v>109</v>
      </c>
      <c r="E120" s="72">
        <f>+Proyeccion_Localidades!F120</f>
        <v>6546</v>
      </c>
      <c r="F120" s="66">
        <f>IF($AB120="TGD",ROUND($E120*(1+$AD120)^(F$4-$E$4),0),IF($AB120="ALTH",ROUND($AE120+$AF120*F$4,0),IF($AB120="IR",ROUND(Proyeccion_Localidades!AC120,0),IF($AB120="RT",ROUND(Proyeccion_Localidades!AZ120,0),"*****"))))</f>
        <v>8271</v>
      </c>
      <c r="G120" s="66">
        <f>IF($AB120="TGD",ROUND($E120*(1+$AD120)^(G$4-$E$4),0),IF($AB120="ALTH",ROUND($AE120+$AF120*G$4,0),IF($AB120="IR",ROUND(Proyeccion_Localidades!AD120,0),IF($AB120="RT",ROUND(Proyeccion_Localidades!BA120,0),"*****"))))</f>
        <v>8431</v>
      </c>
      <c r="H120" s="66">
        <f>IF($AB120="TGD",ROUND($E120*(1+$AD120)^(H$4-$E$4),0),IF($AB120="ALTH",ROUND($AE120+$AF120*H$4,0),IF($AB120="IR",ROUND(Proyeccion_Localidades!AE120,0),IF($AB120="RT",ROUND(Proyeccion_Localidades!BB120,0),"*****"))))</f>
        <v>8925</v>
      </c>
      <c r="I120" s="66">
        <f>IF($AB120="TGD",ROUND($E120*(1+$AD120)^(I$4-$E$4),0),IF($AB120="ALTH",ROUND($AE120+$AF120*I$4,0),IF($AB120="IR",ROUND(Proyeccion_Localidades!AF120,0),IF($AB120="RT",ROUND(Proyeccion_Localidades!BC120,0),"*****"))))</f>
        <v>9095</v>
      </c>
      <c r="J120" s="66">
        <f>IF($AB120="TGD",ROUND($E120*(1+$AD120)^(J$4-$E$4),0),IF($AB120="ALTH",ROUND($AE120+$AF120*J$4,0),IF($AB120="IR",ROUND(Proyeccion_Localidades!AG120,0),IF($AB120="RT",ROUND(Proyeccion_Localidades!BD120,0),"*****"))))</f>
        <v>9268</v>
      </c>
      <c r="K120" s="66">
        <f>IF($AB120="TGD",ROUND($E120*(1+$AD120)^(K$4-$E$4),0),IF($AB120="ALTH",ROUND($AE120+$AF120*K$4,0),IF($AB120="IR",ROUND(Proyeccion_Localidades!AH120,0),IF($AB120="RT",ROUND(Proyeccion_Localidades!BE120,0),"*****"))))</f>
        <v>9444</v>
      </c>
      <c r="L120" s="66">
        <f>IF($AB120="TGD",ROUND($E120*(1+$AD120)^(L$4-$E$4),0),IF($AB120="ALTH",ROUND($AE120+$AF120*L$4,0),IF($AB120="IR",ROUND(Proyeccion_Localidades!AI120,0),IF($AB120="RT",ROUND(Proyeccion_Localidades!BF120,0),"*****"))))</f>
        <v>9622</v>
      </c>
      <c r="M120" s="66">
        <f>IF($AB120="TGD",ROUND($E120*(1+$AD120)^(M$4-$E$4),0),IF($AB120="ALTH",ROUND($AE120+$AF120*M$4,0),IF($AB120="IR",ROUND(Proyeccion_Localidades!AJ120,0),IF($AB120="RT",ROUND(Proyeccion_Localidades!BG120,0),"*****"))))</f>
        <v>9804</v>
      </c>
      <c r="N120" s="66">
        <f>IF($AB120="TGD",ROUND($E120*(1+$AD120)^(N$4-$E$4),0),IF($AB120="ALTH",ROUND($AE120+$AF120*N$4,0),IF($AB120="IR",ROUND(Proyeccion_Localidades!AK120,0),IF($AB120="RT",ROUND(Proyeccion_Localidades!BH120,0),"*****"))))</f>
        <v>9988</v>
      </c>
      <c r="O120" s="66">
        <f>IF($AB120="TGD",ROUND($E120*(1+$AD120)^(O$4-$E$4),0),IF($AB120="ALTH",ROUND($AE120+$AF120*O$4,0),IF($AB120="IR",ROUND(Proyeccion_Localidades!AL120,0),IF($AB120="RT",ROUND(Proyeccion_Localidades!BI120,0),"*****"))))</f>
        <v>10176</v>
      </c>
      <c r="P120" s="66">
        <f>IF($AB120="TGD",ROUND($E120*(1+$AD120)^(P$4-$E$4),0),IF($AB120="ALTH",ROUND($AE120+$AF120*P$4,0),IF($AB120="IR",ROUND(Proyeccion_Localidades!AM120,0),IF($AB120="RT",ROUND(Proyeccion_Localidades!BJ120,0),"*****"))))</f>
        <v>10366</v>
      </c>
      <c r="Q120" s="66">
        <f>IF($AB120="TGD",ROUND($E120*(1+$AD120)^(Q$4-$E$4),0),IF($AB120="ALTH",ROUND($AE120+$AF120*Q$4,0),IF($AB120="IR",ROUND(Proyeccion_Localidades!AN120,0),IF($AB120="RT",ROUND(Proyeccion_Localidades!BK120,0),"*****"))))</f>
        <v>10560</v>
      </c>
      <c r="R120" s="66">
        <f>IF($AB120="TGD",ROUND($E120*(1+$AD120)^(R$4-$E$4),0),IF($AB120="ALTH",ROUND($AE120+$AF120*R$4,0),IF($AB120="IR",ROUND(Proyeccion_Localidades!AO120,0),IF($AB120="RT",ROUND(Proyeccion_Localidades!BL120,0),"*****"))))</f>
        <v>10757</v>
      </c>
      <c r="S120" s="66">
        <f>IF($AB120="TGD",ROUND($E120*(1+$AD120)^(S$4-$E$4),0),IF($AB120="ALTH",ROUND($AE120+$AF120*S$4,0),IF($AB120="IR",ROUND(Proyeccion_Localidades!AP120,0),IF($AB120="RT",ROUND(Proyeccion_Localidades!BM120,0),"*****"))))</f>
        <v>10957</v>
      </c>
      <c r="T120" s="66">
        <f>IF($AB120="TGD",ROUND($E120*(1+$AD120)^(T$4-$E$4),0),IF($AB120="ALTH",ROUND($AE120+$AF120*T$4,0),IF($AB120="IR",ROUND(Proyeccion_Localidades!AQ120,0),IF($AB120="RT",ROUND(Proyeccion_Localidades!BN120,0),"*****"))))</f>
        <v>11160</v>
      </c>
      <c r="U120" s="66">
        <f>IF($AB120="TGD",ROUND($E120*(1+$AD120)^(U$4-$E$4),0),IF($AB120="ALTH",ROUND($AE120+$AF120*U$4,0),IF($AB120="IR",ROUND(Proyeccion_Localidades!AR120,0),IF($AB120="RT",ROUND(Proyeccion_Localidades!BO120,0),"*****"))))</f>
        <v>11367</v>
      </c>
      <c r="V120" s="66">
        <f>IF($AB120="TGD",ROUND($E120*(1+$AD120)^(V$4-$E$4),0),IF($AB120="ALTH",ROUND($AE120+$AF120*V$4,0),IF($AB120="IR",ROUND(Proyeccion_Localidades!AS120,0),IF($AB120="RT",ROUND(Proyeccion_Localidades!BP120,0),"*****"))))</f>
        <v>11577</v>
      </c>
      <c r="W120" s="66">
        <f>IF($AB120="TGD",ROUND($E120*(1+$AD120)^(W$4-$E$4),0),IF($AB120="ALTH",ROUND($AE120+$AF120*W$4,0),IF($AB120="IR",ROUND(Proyeccion_Localidades!AT120,0),IF($AB120="RT",ROUND(Proyeccion_Localidades!BQ120,0),"*****"))))</f>
        <v>11790</v>
      </c>
      <c r="X120" s="66">
        <f>IF($AB120="TGD",ROUND($E120*(1+$AD120)^(X$4-$E$4),0),IF($AB120="ALTH",ROUND($AE120+$AF120*X$4,0),IF($AB120="IR",ROUND(Proyeccion_Localidades!AU120,0),IF($AB120="RT",ROUND(Proyeccion_Localidades!BR120,0),"*****"))))</f>
        <v>12007</v>
      </c>
      <c r="Y120" s="66">
        <f>IF($AB120="TGD",ROUND($E120*(1+$AD120)^(Y$4-$E$4),0),IF($AB120="ALTH",ROUND($AE120+$AF120*Y$4,0),IF($AB120="IR",ROUND(Proyeccion_Localidades!AV120,0),IF($AB120="RT",ROUND(Proyeccion_Localidades!BS120,0),"*****"))))</f>
        <v>12227</v>
      </c>
      <c r="Z120" s="66">
        <f>IF($AB120="TGD",ROUND($E120*(1+$AD120)^(Z$4-$E$4),0),IF($AB120="ALTH",ROUND($AE120+$AF120*Z$4,0),IF($AB120="IR",ROUND(Proyeccion_Localidades!AW120,0),IF($AB120="RT",ROUND(Proyeccion_Localidades!BT120,0),"*****"))))</f>
        <v>12451</v>
      </c>
      <c r="AA120" s="66">
        <f>IF($AB120="TGD",ROUND($E120*(1+$AD120)^(AA$4-$E$4),0),IF($AB120="ALTH",ROUND($AE120+$AF120*AA$4,0),IF($AB120="IR",ROUND(Proyeccion_Localidades!AX120,0),IF($AB120="RT",ROUND(Proyeccion_Localidades!BU120,0),"*****"))))</f>
        <v>12679</v>
      </c>
      <c r="AB120" s="67" t="str">
        <f>Proyeccion_Localidades!N120</f>
        <v>IR</v>
      </c>
      <c r="AC120" s="73"/>
      <c r="AD120" s="51" t="str">
        <f>IF(AB120="TGD",Proyeccion_Localidades!Z120,"-")</f>
        <v>-</v>
      </c>
      <c r="AE120" s="51" t="str">
        <f>IF($AB120="ALTH",Proyeccion_Localidades!AA120,"-")</f>
        <v>-</v>
      </c>
      <c r="AF120" s="51" t="str">
        <f>IF($AB120="ALTH",Proyeccion_Localidades!AB120,"-")</f>
        <v>-</v>
      </c>
      <c r="AG120" s="51"/>
      <c r="AH120" s="51"/>
      <c r="AI120" s="66">
        <f t="shared" si="5"/>
        <v>8431</v>
      </c>
    </row>
    <row r="121" spans="1:54" ht="24.95" customHeight="1">
      <c r="A121" s="86" t="str">
        <f>+Proyeccion_Localidades!C121</f>
        <v>Ramallo</v>
      </c>
      <c r="B121" s="70">
        <f t="shared" si="7"/>
        <v>110</v>
      </c>
      <c r="C121" s="88" t="str">
        <f>+Proyeccion_Localidades!B121</f>
        <v>Ramallo</v>
      </c>
      <c r="D121" s="261">
        <f t="shared" si="6"/>
        <v>110</v>
      </c>
      <c r="E121" s="72">
        <f>+Proyeccion_Localidades!F121</f>
        <v>13319</v>
      </c>
      <c r="F121" s="66">
        <f>IF($AB121="TGD",ROUND($E121*(1+$AD121)^(F$4-$E$4),0),IF($AB121="ALTH",ROUND($AE121+$AF121*F$4,0),IF($AB121="IR",ROUND(Proyeccion_Localidades!AC121,0),IF($AB121="RT",ROUND(Proyeccion_Localidades!AZ121,0),"*****"))))</f>
        <v>15742</v>
      </c>
      <c r="G121" s="66">
        <f>IF($AB121="TGD",ROUND($E121*(1+$AD121)^(G$4-$E$4),0),IF($AB121="ALTH",ROUND($AE121+$AF121*G$4,0),IF($AB121="IR",ROUND(Proyeccion_Localidades!AD121,0),IF($AB121="RT",ROUND(Proyeccion_Localidades!BA121,0),"*****"))))</f>
        <v>15962</v>
      </c>
      <c r="H121" s="66">
        <f>IF($AB121="TGD",ROUND($E121*(1+$AD121)^(H$4-$E$4),0),IF($AB121="ALTH",ROUND($AE121+$AF121*H$4,0),IF($AB121="IR",ROUND(Proyeccion_Localidades!AE121,0),IF($AB121="RT",ROUND(Proyeccion_Localidades!BB121,0),"*****"))))</f>
        <v>16644</v>
      </c>
      <c r="I121" s="66">
        <f>IF($AB121="TGD",ROUND($E121*(1+$AD121)^(I$4-$E$4),0),IF($AB121="ALTH",ROUND($AE121+$AF121*I$4,0),IF($AB121="IR",ROUND(Proyeccion_Localidades!AF121,0),IF($AB121="RT",ROUND(Proyeccion_Localidades!BC121,0),"*****"))))</f>
        <v>16877</v>
      </c>
      <c r="J121" s="66">
        <f>IF($AB121="TGD",ROUND($E121*(1+$AD121)^(J$4-$E$4),0),IF($AB121="ALTH",ROUND($AE121+$AF121*J$4,0),IF($AB121="IR",ROUND(Proyeccion_Localidades!AG121,0),IF($AB121="RT",ROUND(Proyeccion_Localidades!BD121,0),"*****"))))</f>
        <v>17114</v>
      </c>
      <c r="K121" s="66">
        <f>IF($AB121="TGD",ROUND($E121*(1+$AD121)^(K$4-$E$4),0),IF($AB121="ALTH",ROUND($AE121+$AF121*K$4,0),IF($AB121="IR",ROUND(Proyeccion_Localidades!AH121,0),IF($AB121="RT",ROUND(Proyeccion_Localidades!BE121,0),"*****"))))</f>
        <v>17354</v>
      </c>
      <c r="L121" s="66">
        <f>IF($AB121="TGD",ROUND($E121*(1+$AD121)^(L$4-$E$4),0),IF($AB121="ALTH",ROUND($AE121+$AF121*L$4,0),IF($AB121="IR",ROUND(Proyeccion_Localidades!AI121,0),IF($AB121="RT",ROUND(Proyeccion_Localidades!BF121,0),"*****"))))</f>
        <v>17597</v>
      </c>
      <c r="M121" s="66">
        <f>IF($AB121="TGD",ROUND($E121*(1+$AD121)^(M$4-$E$4),0),IF($AB121="ALTH",ROUND($AE121+$AF121*M$4,0),IF($AB121="IR",ROUND(Proyeccion_Localidades!AJ121,0),IF($AB121="RT",ROUND(Proyeccion_Localidades!BG121,0),"*****"))))</f>
        <v>17844</v>
      </c>
      <c r="N121" s="66">
        <f>IF($AB121="TGD",ROUND($E121*(1+$AD121)^(N$4-$E$4),0),IF($AB121="ALTH",ROUND($AE121+$AF121*N$4,0),IF($AB121="IR",ROUND(Proyeccion_Localidades!AK121,0),IF($AB121="RT",ROUND(Proyeccion_Localidades!BH121,0),"*****"))))</f>
        <v>18094</v>
      </c>
      <c r="O121" s="66">
        <f>IF($AB121="TGD",ROUND($E121*(1+$AD121)^(O$4-$E$4),0),IF($AB121="ALTH",ROUND($AE121+$AF121*O$4,0),IF($AB121="IR",ROUND(Proyeccion_Localidades!AL121,0),IF($AB121="RT",ROUND(Proyeccion_Localidades!BI121,0),"*****"))))</f>
        <v>18348</v>
      </c>
      <c r="P121" s="66">
        <f>IF($AB121="TGD",ROUND($E121*(1+$AD121)^(P$4-$E$4),0),IF($AB121="ALTH",ROUND($AE121+$AF121*P$4,0),IF($AB121="IR",ROUND(Proyeccion_Localidades!AM121,0),IF($AB121="RT",ROUND(Proyeccion_Localidades!BJ121,0),"*****"))))</f>
        <v>18605</v>
      </c>
      <c r="Q121" s="66">
        <f>IF($AB121="TGD",ROUND($E121*(1+$AD121)^(Q$4-$E$4),0),IF($AB121="ALTH",ROUND($AE121+$AF121*Q$4,0),IF($AB121="IR",ROUND(Proyeccion_Localidades!AN121,0),IF($AB121="RT",ROUND(Proyeccion_Localidades!BK121,0),"*****"))))</f>
        <v>18866</v>
      </c>
      <c r="R121" s="66">
        <f>IF($AB121="TGD",ROUND($E121*(1+$AD121)^(R$4-$E$4),0),IF($AB121="ALTH",ROUND($AE121+$AF121*R$4,0),IF($AB121="IR",ROUND(Proyeccion_Localidades!AO121,0),IF($AB121="RT",ROUND(Proyeccion_Localidades!BL121,0),"*****"))))</f>
        <v>19131</v>
      </c>
      <c r="S121" s="66">
        <f>IF($AB121="TGD",ROUND($E121*(1+$AD121)^(S$4-$E$4),0),IF($AB121="ALTH",ROUND($AE121+$AF121*S$4,0),IF($AB121="IR",ROUND(Proyeccion_Localidades!AP121,0),IF($AB121="RT",ROUND(Proyeccion_Localidades!BM121,0),"*****"))))</f>
        <v>19399</v>
      </c>
      <c r="T121" s="66">
        <f>IF($AB121="TGD",ROUND($E121*(1+$AD121)^(T$4-$E$4),0),IF($AB121="ALTH",ROUND($AE121+$AF121*T$4,0),IF($AB121="IR",ROUND(Proyeccion_Localidades!AQ121,0),IF($AB121="RT",ROUND(Proyeccion_Localidades!BN121,0),"*****"))))</f>
        <v>19671</v>
      </c>
      <c r="U121" s="66">
        <f>IF($AB121="TGD",ROUND($E121*(1+$AD121)^(U$4-$E$4),0),IF($AB121="ALTH",ROUND($AE121+$AF121*U$4,0),IF($AB121="IR",ROUND(Proyeccion_Localidades!AR121,0),IF($AB121="RT",ROUND(Proyeccion_Localidades!BO121,0),"*****"))))</f>
        <v>19947</v>
      </c>
      <c r="V121" s="66">
        <f>IF($AB121="TGD",ROUND($E121*(1+$AD121)^(V$4-$E$4),0),IF($AB121="ALTH",ROUND($AE121+$AF121*V$4,0),IF($AB121="IR",ROUND(Proyeccion_Localidades!AS121,0),IF($AB121="RT",ROUND(Proyeccion_Localidades!BP121,0),"*****"))))</f>
        <v>20227</v>
      </c>
      <c r="W121" s="66">
        <f>IF($AB121="TGD",ROUND($E121*(1+$AD121)^(W$4-$E$4),0),IF($AB121="ALTH",ROUND($AE121+$AF121*W$4,0),IF($AB121="IR",ROUND(Proyeccion_Localidades!AT121,0),IF($AB121="RT",ROUND(Proyeccion_Localidades!BQ121,0),"*****"))))</f>
        <v>20510</v>
      </c>
      <c r="X121" s="66">
        <f>IF($AB121="TGD",ROUND($E121*(1+$AD121)^(X$4-$E$4),0),IF($AB121="ALTH",ROUND($AE121+$AF121*X$4,0),IF($AB121="IR",ROUND(Proyeccion_Localidades!AU121,0),IF($AB121="RT",ROUND(Proyeccion_Localidades!BR121,0),"*****"))))</f>
        <v>20798</v>
      </c>
      <c r="Y121" s="66">
        <f>IF($AB121="TGD",ROUND($E121*(1+$AD121)^(Y$4-$E$4),0),IF($AB121="ALTH",ROUND($AE121+$AF121*Y$4,0),IF($AB121="IR",ROUND(Proyeccion_Localidades!AV121,0),IF($AB121="RT",ROUND(Proyeccion_Localidades!BS121,0),"*****"))))</f>
        <v>21090</v>
      </c>
      <c r="Z121" s="66">
        <f>IF($AB121="TGD",ROUND($E121*(1+$AD121)^(Z$4-$E$4),0),IF($AB121="ALTH",ROUND($AE121+$AF121*Z$4,0),IF($AB121="IR",ROUND(Proyeccion_Localidades!AW121,0),IF($AB121="RT",ROUND(Proyeccion_Localidades!BT121,0),"*****"))))</f>
        <v>21385</v>
      </c>
      <c r="AA121" s="66">
        <f>IF($AB121="TGD",ROUND($E121*(1+$AD121)^(AA$4-$E$4),0),IF($AB121="ALTH",ROUND($AE121+$AF121*AA$4,0),IF($AB121="IR",ROUND(Proyeccion_Localidades!AX121,0),IF($AB121="RT",ROUND(Proyeccion_Localidades!BU121,0),"*****"))))</f>
        <v>21685</v>
      </c>
      <c r="AB121" s="67" t="str">
        <f>Proyeccion_Localidades!N121</f>
        <v>TGD</v>
      </c>
      <c r="AC121" s="68" t="s">
        <v>35</v>
      </c>
      <c r="AD121" s="51">
        <f>IF(AB121="TGD",Proyeccion_Localidades!Z121,"-")</f>
        <v>1.4024214135467505E-2</v>
      </c>
      <c r="AE121" s="51" t="str">
        <f>IF($AB121="ALTH",Proyeccion_Localidades!AA121,"-")</f>
        <v>-</v>
      </c>
      <c r="AF121" s="51" t="str">
        <f>IF($AB121="ALTH",Proyeccion_Localidades!AB121,"-")</f>
        <v>-</v>
      </c>
      <c r="AG121" s="51"/>
      <c r="AH121" s="51"/>
      <c r="AI121" s="66">
        <f t="shared" si="5"/>
        <v>15962</v>
      </c>
    </row>
    <row r="122" spans="1:54" ht="24.95" customHeight="1">
      <c r="A122" s="86" t="str">
        <f>+Proyeccion_Localidades!C122</f>
        <v>Rauch</v>
      </c>
      <c r="B122" s="70">
        <f t="shared" si="7"/>
        <v>111</v>
      </c>
      <c r="C122" s="88" t="str">
        <f>+Proyeccion_Localidades!B122</f>
        <v>Rauch</v>
      </c>
      <c r="D122" s="261">
        <f t="shared" si="6"/>
        <v>111</v>
      </c>
      <c r="E122" s="72">
        <f>+Proyeccion_Localidades!F122</f>
        <v>12705</v>
      </c>
      <c r="F122" s="66">
        <f>IF($AB122="TGD",ROUND($E122*(1+$AD122)^(F$4-$E$4),0),IF($AB122="ALTH",ROUND($AE122+$AF122*F$4,0),IF($AB122="IR",ROUND(Proyeccion_Localidades!AC122,0),IF($AB122="RT",ROUND(Proyeccion_Localidades!AZ122,0),"*****"))))</f>
        <v>14210</v>
      </c>
      <c r="G122" s="66">
        <f>IF($AB122="TGD",ROUND($E122*(1+$AD122)^(G$4-$E$4),0),IF($AB122="ALTH",ROUND($AE122+$AF122*G$4,0),IF($AB122="IR",ROUND(Proyeccion_Localidades!AD122,0),IF($AB122="RT",ROUND(Proyeccion_Localidades!BA122,0),"*****"))))</f>
        <v>14338</v>
      </c>
      <c r="H122" s="66">
        <f>IF($AB122="TGD",ROUND($E122*(1+$AD122)^(H$4-$E$4),0),IF($AB122="ALTH",ROUND($AE122+$AF122*H$4,0),IF($AB122="IR",ROUND(Proyeccion_Localidades!AE122,0),IF($AB122="RT",ROUND(Proyeccion_Localidades!BB122,0),"*****"))))</f>
        <v>14720</v>
      </c>
      <c r="I122" s="66">
        <f>IF($AB122="TGD",ROUND($E122*(1+$AD122)^(I$4-$E$4),0),IF($AB122="ALTH",ROUND($AE122+$AF122*I$4,0),IF($AB122="IR",ROUND(Proyeccion_Localidades!AF122,0),IF($AB122="RT",ROUND(Proyeccion_Localidades!BC122,0),"*****"))))</f>
        <v>14848</v>
      </c>
      <c r="J122" s="66">
        <f>IF($AB122="TGD",ROUND($E122*(1+$AD122)^(J$4-$E$4),0),IF($AB122="ALTH",ROUND($AE122+$AF122*J$4,0),IF($AB122="IR",ROUND(Proyeccion_Localidades!AG122,0),IF($AB122="RT",ROUND(Proyeccion_Localidades!BD122,0),"*****"))))</f>
        <v>14975</v>
      </c>
      <c r="K122" s="66">
        <f>IF($AB122="TGD",ROUND($E122*(1+$AD122)^(K$4-$E$4),0),IF($AB122="ALTH",ROUND($AE122+$AF122*K$4,0),IF($AB122="IR",ROUND(Proyeccion_Localidades!AH122,0),IF($AB122="RT",ROUND(Proyeccion_Localidades!BE122,0),"*****"))))</f>
        <v>15103</v>
      </c>
      <c r="L122" s="66">
        <f>IF($AB122="TGD",ROUND($E122*(1+$AD122)^(L$4-$E$4),0),IF($AB122="ALTH",ROUND($AE122+$AF122*L$4,0),IF($AB122="IR",ROUND(Proyeccion_Localidades!AI122,0),IF($AB122="RT",ROUND(Proyeccion_Localidades!BF122,0),"*****"))))</f>
        <v>15230</v>
      </c>
      <c r="M122" s="66">
        <f>IF($AB122="TGD",ROUND($E122*(1+$AD122)^(M$4-$E$4),0),IF($AB122="ALTH",ROUND($AE122+$AF122*M$4,0),IF($AB122="IR",ROUND(Proyeccion_Localidades!AJ122,0),IF($AB122="RT",ROUND(Proyeccion_Localidades!BG122,0),"*****"))))</f>
        <v>15358</v>
      </c>
      <c r="N122" s="66">
        <f>IF($AB122="TGD",ROUND($E122*(1+$AD122)^(N$4-$E$4),0),IF($AB122="ALTH",ROUND($AE122+$AF122*N$4,0),IF($AB122="IR",ROUND(Proyeccion_Localidades!AK122,0),IF($AB122="RT",ROUND(Proyeccion_Localidades!BH122,0),"*****"))))</f>
        <v>15486</v>
      </c>
      <c r="O122" s="66">
        <f>IF($AB122="TGD",ROUND($E122*(1+$AD122)^(O$4-$E$4),0),IF($AB122="ALTH",ROUND($AE122+$AF122*O$4,0),IF($AB122="IR",ROUND(Proyeccion_Localidades!AL122,0),IF($AB122="RT",ROUND(Proyeccion_Localidades!BI122,0),"*****"))))</f>
        <v>15613</v>
      </c>
      <c r="P122" s="66">
        <f>IF($AB122="TGD",ROUND($E122*(1+$AD122)^(P$4-$E$4),0),IF($AB122="ALTH",ROUND($AE122+$AF122*P$4,0),IF($AB122="IR",ROUND(Proyeccion_Localidades!AM122,0),IF($AB122="RT",ROUND(Proyeccion_Localidades!BJ122,0),"*****"))))</f>
        <v>15741</v>
      </c>
      <c r="Q122" s="66">
        <f>IF($AB122="TGD",ROUND($E122*(1+$AD122)^(Q$4-$E$4),0),IF($AB122="ALTH",ROUND($AE122+$AF122*Q$4,0),IF($AB122="IR",ROUND(Proyeccion_Localidades!AN122,0),IF($AB122="RT",ROUND(Proyeccion_Localidades!BK122,0),"*****"))))</f>
        <v>15868</v>
      </c>
      <c r="R122" s="66">
        <f>IF($AB122="TGD",ROUND($E122*(1+$AD122)^(R$4-$E$4),0),IF($AB122="ALTH",ROUND($AE122+$AF122*R$4,0),IF($AB122="IR",ROUND(Proyeccion_Localidades!AO122,0),IF($AB122="RT",ROUND(Proyeccion_Localidades!BL122,0),"*****"))))</f>
        <v>15996</v>
      </c>
      <c r="S122" s="66">
        <f>IF($AB122="TGD",ROUND($E122*(1+$AD122)^(S$4-$E$4),0),IF($AB122="ALTH",ROUND($AE122+$AF122*S$4,0),IF($AB122="IR",ROUND(Proyeccion_Localidades!AP122,0),IF($AB122="RT",ROUND(Proyeccion_Localidades!BM122,0),"*****"))))</f>
        <v>16123</v>
      </c>
      <c r="T122" s="66">
        <f>IF($AB122="TGD",ROUND($E122*(1+$AD122)^(T$4-$E$4),0),IF($AB122="ALTH",ROUND($AE122+$AF122*T$4,0),IF($AB122="IR",ROUND(Proyeccion_Localidades!AQ122,0),IF($AB122="RT",ROUND(Proyeccion_Localidades!BN122,0),"*****"))))</f>
        <v>16251</v>
      </c>
      <c r="U122" s="66">
        <f>IF($AB122="TGD",ROUND($E122*(1+$AD122)^(U$4-$E$4),0),IF($AB122="ALTH",ROUND($AE122+$AF122*U$4,0),IF($AB122="IR",ROUND(Proyeccion_Localidades!AR122,0),IF($AB122="RT",ROUND(Proyeccion_Localidades!BO122,0),"*****"))))</f>
        <v>16378</v>
      </c>
      <c r="V122" s="66">
        <f>IF($AB122="TGD",ROUND($E122*(1+$AD122)^(V$4-$E$4),0),IF($AB122="ALTH",ROUND($AE122+$AF122*V$4,0),IF($AB122="IR",ROUND(Proyeccion_Localidades!AS122,0),IF($AB122="RT",ROUND(Proyeccion_Localidades!BP122,0),"*****"))))</f>
        <v>16506</v>
      </c>
      <c r="W122" s="66">
        <f>IF($AB122="TGD",ROUND($E122*(1+$AD122)^(W$4-$E$4),0),IF($AB122="ALTH",ROUND($AE122+$AF122*W$4,0),IF($AB122="IR",ROUND(Proyeccion_Localidades!AT122,0),IF($AB122="RT",ROUND(Proyeccion_Localidades!BQ122,0),"*****"))))</f>
        <v>16634</v>
      </c>
      <c r="X122" s="66">
        <f>IF($AB122="TGD",ROUND($E122*(1+$AD122)^(X$4-$E$4),0),IF($AB122="ALTH",ROUND($AE122+$AF122*X$4,0),IF($AB122="IR",ROUND(Proyeccion_Localidades!AU122,0),IF($AB122="RT",ROUND(Proyeccion_Localidades!BR122,0),"*****"))))</f>
        <v>16761</v>
      </c>
      <c r="Y122" s="66">
        <f>IF($AB122="TGD",ROUND($E122*(1+$AD122)^(Y$4-$E$4),0),IF($AB122="ALTH",ROUND($AE122+$AF122*Y$4,0),IF($AB122="IR",ROUND(Proyeccion_Localidades!AV122,0),IF($AB122="RT",ROUND(Proyeccion_Localidades!BS122,0),"*****"))))</f>
        <v>16889</v>
      </c>
      <c r="Z122" s="66">
        <f>IF($AB122="TGD",ROUND($E122*(1+$AD122)^(Z$4-$E$4),0),IF($AB122="ALTH",ROUND($AE122+$AF122*Z$4,0),IF($AB122="IR",ROUND(Proyeccion_Localidades!AW122,0),IF($AB122="RT",ROUND(Proyeccion_Localidades!BT122,0),"*****"))))</f>
        <v>17016</v>
      </c>
      <c r="AA122" s="66">
        <f>IF($AB122="TGD",ROUND($E122*(1+$AD122)^(AA$4-$E$4),0),IF($AB122="ALTH",ROUND($AE122+$AF122*AA$4,0),IF($AB122="IR",ROUND(Proyeccion_Localidades!AX122,0),IF($AB122="RT",ROUND(Proyeccion_Localidades!BU122,0),"*****"))))</f>
        <v>17144</v>
      </c>
      <c r="AB122" s="67" t="str">
        <f>Proyeccion_Localidades!N122</f>
        <v>ALTH</v>
      </c>
      <c r="AC122" s="68" t="s">
        <v>36</v>
      </c>
      <c r="AD122" s="51" t="str">
        <f>IF(AB122="TGD",Proyeccion_Localidades!Z122,"-")</f>
        <v>-</v>
      </c>
      <c r="AE122" s="51">
        <f>IF($AB122="ALTH",Proyeccion_Localidades!AA122,"-")</f>
        <v>-243695.66420664199</v>
      </c>
      <c r="AF122" s="51">
        <f>IF($AB122="ALTH",Proyeccion_Localidades!AB122,"-")</f>
        <v>127.54981549815494</v>
      </c>
      <c r="AG122" s="51"/>
      <c r="AH122" s="51"/>
      <c r="AI122" s="66">
        <f t="shared" si="5"/>
        <v>14338</v>
      </c>
    </row>
    <row r="123" spans="1:54" ht="24.95" customHeight="1">
      <c r="A123" s="86" t="str">
        <f>+Proyeccion_Localidades!C123</f>
        <v>Rivadavia</v>
      </c>
      <c r="B123" s="70">
        <f t="shared" si="7"/>
        <v>112</v>
      </c>
      <c r="C123" s="88" t="str">
        <f>+Proyeccion_Localidades!B123</f>
        <v>América</v>
      </c>
      <c r="D123" s="261">
        <f t="shared" si="6"/>
        <v>112</v>
      </c>
      <c r="E123" s="72">
        <f>+Proyeccion_Localidades!F123</f>
        <v>11685</v>
      </c>
      <c r="F123" s="66">
        <f>IF($AB123="TGD",ROUND($E123*(1+$AD123)^(F$4-$E$4),0),IF($AB123="ALTH",ROUND($AE123+$AF123*F$4,0),IF($AB123="IR",ROUND(Proyeccion_Localidades!AC123,0),IF($AB123="RT",ROUND(Proyeccion_Localidades!AZ123,0),"*****"))))</f>
        <v>13341</v>
      </c>
      <c r="G123" s="66">
        <f>IF($AB123="TGD",ROUND($E123*(1+$AD123)^(G$4-$E$4),0),IF($AB123="ALTH",ROUND($AE123+$AF123*G$4,0),IF($AB123="IR",ROUND(Proyeccion_Localidades!AD123,0),IF($AB123="RT",ROUND(Proyeccion_Localidades!BA123,0),"*****"))))</f>
        <v>13481</v>
      </c>
      <c r="H123" s="66">
        <f>IF($AB123="TGD",ROUND($E123*(1+$AD123)^(H$4-$E$4),0),IF($AB123="ALTH",ROUND($AE123+$AF123*H$4,0),IF($AB123="IR",ROUND(Proyeccion_Localidades!AE123,0),IF($AB123="RT",ROUND(Proyeccion_Localidades!BB123,0),"*****"))))</f>
        <v>13901</v>
      </c>
      <c r="I123" s="66">
        <f>IF($AB123="TGD",ROUND($E123*(1+$AD123)^(I$4-$E$4),0),IF($AB123="ALTH",ROUND($AE123+$AF123*I$4,0),IF($AB123="IR",ROUND(Proyeccion_Localidades!AF123,0),IF($AB123="RT",ROUND(Proyeccion_Localidades!BC123,0),"*****"))))</f>
        <v>14041</v>
      </c>
      <c r="J123" s="66">
        <f>IF($AB123="TGD",ROUND($E123*(1+$AD123)^(J$4-$E$4),0),IF($AB123="ALTH",ROUND($AE123+$AF123*J$4,0),IF($AB123="IR",ROUND(Proyeccion_Localidades!AG123,0),IF($AB123="RT",ROUND(Proyeccion_Localidades!BD123,0),"*****"))))</f>
        <v>14180</v>
      </c>
      <c r="K123" s="66">
        <f>IF($AB123="TGD",ROUND($E123*(1+$AD123)^(K$4-$E$4),0),IF($AB123="ALTH",ROUND($AE123+$AF123*K$4,0),IF($AB123="IR",ROUND(Proyeccion_Localidades!AH123,0),IF($AB123="RT",ROUND(Proyeccion_Localidades!BE123,0),"*****"))))</f>
        <v>14320</v>
      </c>
      <c r="L123" s="66">
        <f>IF($AB123="TGD",ROUND($E123*(1+$AD123)^(L$4-$E$4),0),IF($AB123="ALTH",ROUND($AE123+$AF123*L$4,0),IF($AB123="IR",ROUND(Proyeccion_Localidades!AI123,0),IF($AB123="RT",ROUND(Proyeccion_Localidades!BF123,0),"*****"))))</f>
        <v>14460</v>
      </c>
      <c r="M123" s="66">
        <f>IF($AB123="TGD",ROUND($E123*(1+$AD123)^(M$4-$E$4),0),IF($AB123="ALTH",ROUND($AE123+$AF123*M$4,0),IF($AB123="IR",ROUND(Proyeccion_Localidades!AJ123,0),IF($AB123="RT",ROUND(Proyeccion_Localidades!BG123,0),"*****"))))</f>
        <v>14600</v>
      </c>
      <c r="N123" s="66">
        <f>IF($AB123="TGD",ROUND($E123*(1+$AD123)^(N$4-$E$4),0),IF($AB123="ALTH",ROUND($AE123+$AF123*N$4,0),IF($AB123="IR",ROUND(Proyeccion_Localidades!AK123,0),IF($AB123="RT",ROUND(Proyeccion_Localidades!BH123,0),"*****"))))</f>
        <v>14740</v>
      </c>
      <c r="O123" s="66">
        <f>IF($AB123="TGD",ROUND($E123*(1+$AD123)^(O$4-$E$4),0),IF($AB123="ALTH",ROUND($AE123+$AF123*O$4,0),IF($AB123="IR",ROUND(Proyeccion_Localidades!AL123,0),IF($AB123="RT",ROUND(Proyeccion_Localidades!BI123,0),"*****"))))</f>
        <v>14880</v>
      </c>
      <c r="P123" s="66">
        <f>IF($AB123="TGD",ROUND($E123*(1+$AD123)^(P$4-$E$4),0),IF($AB123="ALTH",ROUND($AE123+$AF123*P$4,0),IF($AB123="IR",ROUND(Proyeccion_Localidades!AM123,0),IF($AB123="RT",ROUND(Proyeccion_Localidades!BJ123,0),"*****"))))</f>
        <v>15020</v>
      </c>
      <c r="Q123" s="66">
        <f>IF($AB123="TGD",ROUND($E123*(1+$AD123)^(Q$4-$E$4),0),IF($AB123="ALTH",ROUND($AE123+$AF123*Q$4,0),IF($AB123="IR",ROUND(Proyeccion_Localidades!AN123,0),IF($AB123="RT",ROUND(Proyeccion_Localidades!BK123,0),"*****"))))</f>
        <v>15160</v>
      </c>
      <c r="R123" s="66">
        <f>IF($AB123="TGD",ROUND($E123*(1+$AD123)^(R$4-$E$4),0),IF($AB123="ALTH",ROUND($AE123+$AF123*R$4,0),IF($AB123="IR",ROUND(Proyeccion_Localidades!AO123,0),IF($AB123="RT",ROUND(Proyeccion_Localidades!BL123,0),"*****"))))</f>
        <v>15299</v>
      </c>
      <c r="S123" s="66">
        <f>IF($AB123="TGD",ROUND($E123*(1+$AD123)^(S$4-$E$4),0),IF($AB123="ALTH",ROUND($AE123+$AF123*S$4,0),IF($AB123="IR",ROUND(Proyeccion_Localidades!AP123,0),IF($AB123="RT",ROUND(Proyeccion_Localidades!BM123,0),"*****"))))</f>
        <v>15439</v>
      </c>
      <c r="T123" s="66">
        <f>IF($AB123="TGD",ROUND($E123*(1+$AD123)^(T$4-$E$4),0),IF($AB123="ALTH",ROUND($AE123+$AF123*T$4,0),IF($AB123="IR",ROUND(Proyeccion_Localidades!AQ123,0),IF($AB123="RT",ROUND(Proyeccion_Localidades!BN123,0),"*****"))))</f>
        <v>15579</v>
      </c>
      <c r="U123" s="66">
        <f>IF($AB123="TGD",ROUND($E123*(1+$AD123)^(U$4-$E$4),0),IF($AB123="ALTH",ROUND($AE123+$AF123*U$4,0),IF($AB123="IR",ROUND(Proyeccion_Localidades!AR123,0),IF($AB123="RT",ROUND(Proyeccion_Localidades!BO123,0),"*****"))))</f>
        <v>15719</v>
      </c>
      <c r="V123" s="66">
        <f>IF($AB123="TGD",ROUND($E123*(1+$AD123)^(V$4-$E$4),0),IF($AB123="ALTH",ROUND($AE123+$AF123*V$4,0),IF($AB123="IR",ROUND(Proyeccion_Localidades!AS123,0),IF($AB123="RT",ROUND(Proyeccion_Localidades!BP123,0),"*****"))))</f>
        <v>15859</v>
      </c>
      <c r="W123" s="66">
        <f>IF($AB123="TGD",ROUND($E123*(1+$AD123)^(W$4-$E$4),0),IF($AB123="ALTH",ROUND($AE123+$AF123*W$4,0),IF($AB123="IR",ROUND(Proyeccion_Localidades!AT123,0),IF($AB123="RT",ROUND(Proyeccion_Localidades!BQ123,0),"*****"))))</f>
        <v>15999</v>
      </c>
      <c r="X123" s="66">
        <f>IF($AB123="TGD",ROUND($E123*(1+$AD123)^(X$4-$E$4),0),IF($AB123="ALTH",ROUND($AE123+$AF123*X$4,0),IF($AB123="IR",ROUND(Proyeccion_Localidades!AU123,0),IF($AB123="RT",ROUND(Proyeccion_Localidades!BR123,0),"*****"))))</f>
        <v>16139</v>
      </c>
      <c r="Y123" s="66">
        <f>IF($AB123="TGD",ROUND($E123*(1+$AD123)^(Y$4-$E$4),0),IF($AB123="ALTH",ROUND($AE123+$AF123*Y$4,0),IF($AB123="IR",ROUND(Proyeccion_Localidades!AV123,0),IF($AB123="RT",ROUND(Proyeccion_Localidades!BS123,0),"*****"))))</f>
        <v>16279</v>
      </c>
      <c r="Z123" s="66">
        <f>IF($AB123="TGD",ROUND($E123*(1+$AD123)^(Z$4-$E$4),0),IF($AB123="ALTH",ROUND($AE123+$AF123*Z$4,0),IF($AB123="IR",ROUND(Proyeccion_Localidades!AW123,0),IF($AB123="RT",ROUND(Proyeccion_Localidades!BT123,0),"*****"))))</f>
        <v>16419</v>
      </c>
      <c r="AA123" s="66">
        <f>IF($AB123="TGD",ROUND($E123*(1+$AD123)^(AA$4-$E$4),0),IF($AB123="ALTH",ROUND($AE123+$AF123*AA$4,0),IF($AB123="IR",ROUND(Proyeccion_Localidades!AX123,0),IF($AB123="RT",ROUND(Proyeccion_Localidades!BU123,0),"*****"))))</f>
        <v>16558</v>
      </c>
      <c r="AB123" s="67" t="str">
        <f>Proyeccion_Localidades!N123</f>
        <v>ALTH</v>
      </c>
      <c r="AC123" s="68" t="s">
        <v>36</v>
      </c>
      <c r="AD123" s="51" t="str">
        <f>IF(AB123="TGD",Proyeccion_Localidades!Z123,"-")</f>
        <v>-</v>
      </c>
      <c r="AE123" s="51">
        <f>IF($AB123="ALTH",Proyeccion_Localidades!AA123,"-")</f>
        <v>-269500.09225092252</v>
      </c>
      <c r="AF123" s="51">
        <f>IF($AB123="ALTH",Proyeccion_Localidades!AB123,"-")</f>
        <v>139.8819188191882</v>
      </c>
      <c r="AG123" s="51"/>
      <c r="AH123" s="51"/>
      <c r="AI123" s="66">
        <f t="shared" si="5"/>
        <v>13481</v>
      </c>
    </row>
    <row r="124" spans="1:54" ht="24.95" customHeight="1">
      <c r="A124" s="86" t="str">
        <f>+Proyeccion_Localidades!C124</f>
        <v>Rojas</v>
      </c>
      <c r="B124" s="70">
        <f t="shared" si="7"/>
        <v>113</v>
      </c>
      <c r="C124" s="88" t="str">
        <f>+Proyeccion_Localidades!B124</f>
        <v>Rojas</v>
      </c>
      <c r="D124" s="261">
        <f t="shared" si="6"/>
        <v>113</v>
      </c>
      <c r="E124" s="72">
        <f>+Proyeccion_Localidades!F124</f>
        <v>19766</v>
      </c>
      <c r="F124" s="66">
        <f>IF($AB124="TGD",ROUND($E124*(1+$AD124)^(F$4-$E$4),0),IF($AB124="ALTH",ROUND($AE124+$AF124*F$4,0),IF($AB124="IR",ROUND(Proyeccion_Localidades!AC124,0),IF($AB124="RT",ROUND(Proyeccion_Localidades!AZ124,0),"*****"))))</f>
        <v>21270</v>
      </c>
      <c r="G124" s="66">
        <f>IF($AB124="TGD",ROUND($E124*(1+$AD124)^(G$4-$E$4),0),IF($AB124="ALTH",ROUND($AE124+$AF124*G$4,0),IF($AB124="IR",ROUND(Proyeccion_Localidades!AD124,0),IF($AB124="RT",ROUND(Proyeccion_Localidades!BA124,0),"*****"))))</f>
        <v>21401</v>
      </c>
      <c r="H124" s="66">
        <f>IF($AB124="TGD",ROUND($E124*(1+$AD124)^(H$4-$E$4),0),IF($AB124="ALTH",ROUND($AE124+$AF124*H$4,0),IF($AB124="IR",ROUND(Proyeccion_Localidades!AE124,0),IF($AB124="RT",ROUND(Proyeccion_Localidades!BB124,0),"*****"))))</f>
        <v>21797</v>
      </c>
      <c r="I124" s="66">
        <f>IF($AB124="TGD",ROUND($E124*(1+$AD124)^(I$4-$E$4),0),IF($AB124="ALTH",ROUND($AE124+$AF124*I$4,0),IF($AB124="IR",ROUND(Proyeccion_Localidades!AF124,0),IF($AB124="RT",ROUND(Proyeccion_Localidades!BC124,0),"*****"))))</f>
        <v>21930</v>
      </c>
      <c r="J124" s="66">
        <f>IF($AB124="TGD",ROUND($E124*(1+$AD124)^(J$4-$E$4),0),IF($AB124="ALTH",ROUND($AE124+$AF124*J$4,0),IF($AB124="IR",ROUND(Proyeccion_Localidades!AG124,0),IF($AB124="RT",ROUND(Proyeccion_Localidades!BD124,0),"*****"))))</f>
        <v>22065</v>
      </c>
      <c r="K124" s="66">
        <f>IF($AB124="TGD",ROUND($E124*(1+$AD124)^(K$4-$E$4),0),IF($AB124="ALTH",ROUND($AE124+$AF124*K$4,0),IF($AB124="IR",ROUND(Proyeccion_Localidades!AH124,0),IF($AB124="RT",ROUND(Proyeccion_Localidades!BE124,0),"*****"))))</f>
        <v>22200</v>
      </c>
      <c r="L124" s="66">
        <f>IF($AB124="TGD",ROUND($E124*(1+$AD124)^(L$4-$E$4),0),IF($AB124="ALTH",ROUND($AE124+$AF124*L$4,0),IF($AB124="IR",ROUND(Proyeccion_Localidades!AI124,0),IF($AB124="RT",ROUND(Proyeccion_Localidades!BF124,0),"*****"))))</f>
        <v>22336</v>
      </c>
      <c r="M124" s="66">
        <f>IF($AB124="TGD",ROUND($E124*(1+$AD124)^(M$4-$E$4),0),IF($AB124="ALTH",ROUND($AE124+$AF124*M$4,0),IF($AB124="IR",ROUND(Proyeccion_Localidades!AJ124,0),IF($AB124="RT",ROUND(Proyeccion_Localidades!BG124,0),"*****"))))</f>
        <v>22473</v>
      </c>
      <c r="N124" s="66">
        <f>IF($AB124="TGD",ROUND($E124*(1+$AD124)^(N$4-$E$4),0),IF($AB124="ALTH",ROUND($AE124+$AF124*N$4,0),IF($AB124="IR",ROUND(Proyeccion_Localidades!AK124,0),IF($AB124="RT",ROUND(Proyeccion_Localidades!BH124,0),"*****"))))</f>
        <v>22611</v>
      </c>
      <c r="O124" s="66">
        <f>IF($AB124="TGD",ROUND($E124*(1+$AD124)^(O$4-$E$4),0),IF($AB124="ALTH",ROUND($AE124+$AF124*O$4,0),IF($AB124="IR",ROUND(Proyeccion_Localidades!AL124,0),IF($AB124="RT",ROUND(Proyeccion_Localidades!BI124,0),"*****"))))</f>
        <v>22750</v>
      </c>
      <c r="P124" s="66">
        <f>IF($AB124="TGD",ROUND($E124*(1+$AD124)^(P$4-$E$4),0),IF($AB124="ALTH",ROUND($AE124+$AF124*P$4,0),IF($AB124="IR",ROUND(Proyeccion_Localidades!AM124,0),IF($AB124="RT",ROUND(Proyeccion_Localidades!BJ124,0),"*****"))))</f>
        <v>22889</v>
      </c>
      <c r="Q124" s="66">
        <f>IF($AB124="TGD",ROUND($E124*(1+$AD124)^(Q$4-$E$4),0),IF($AB124="ALTH",ROUND($AE124+$AF124*Q$4,0),IF($AB124="IR",ROUND(Proyeccion_Localidades!AN124,0),IF($AB124="RT",ROUND(Proyeccion_Localidades!BK124,0),"*****"))))</f>
        <v>23029</v>
      </c>
      <c r="R124" s="66">
        <f>IF($AB124="TGD",ROUND($E124*(1+$AD124)^(R$4-$E$4),0),IF($AB124="ALTH",ROUND($AE124+$AF124*R$4,0),IF($AB124="IR",ROUND(Proyeccion_Localidades!AO124,0),IF($AB124="RT",ROUND(Proyeccion_Localidades!BL124,0),"*****"))))</f>
        <v>23171</v>
      </c>
      <c r="S124" s="66">
        <f>IF($AB124="TGD",ROUND($E124*(1+$AD124)^(S$4-$E$4),0),IF($AB124="ALTH",ROUND($AE124+$AF124*S$4,0),IF($AB124="IR",ROUND(Proyeccion_Localidades!AP124,0),IF($AB124="RT",ROUND(Proyeccion_Localidades!BM124,0),"*****"))))</f>
        <v>23313</v>
      </c>
      <c r="T124" s="66">
        <f>IF($AB124="TGD",ROUND($E124*(1+$AD124)^(T$4-$E$4),0),IF($AB124="ALTH",ROUND($AE124+$AF124*T$4,0),IF($AB124="IR",ROUND(Proyeccion_Localidades!AQ124,0),IF($AB124="RT",ROUND(Proyeccion_Localidades!BN124,0),"*****"))))</f>
        <v>23456</v>
      </c>
      <c r="U124" s="66">
        <f>IF($AB124="TGD",ROUND($E124*(1+$AD124)^(U$4-$E$4),0),IF($AB124="ALTH",ROUND($AE124+$AF124*U$4,0),IF($AB124="IR",ROUND(Proyeccion_Localidades!AR124,0),IF($AB124="RT",ROUND(Proyeccion_Localidades!BO124,0),"*****"))))</f>
        <v>23599</v>
      </c>
      <c r="V124" s="66">
        <f>IF($AB124="TGD",ROUND($E124*(1+$AD124)^(V$4-$E$4),0),IF($AB124="ALTH",ROUND($AE124+$AF124*V$4,0),IF($AB124="IR",ROUND(Proyeccion_Localidades!AS124,0),IF($AB124="RT",ROUND(Proyeccion_Localidades!BP124,0),"*****"))))</f>
        <v>23744</v>
      </c>
      <c r="W124" s="66">
        <f>IF($AB124="TGD",ROUND($E124*(1+$AD124)^(W$4-$E$4),0),IF($AB124="ALTH",ROUND($AE124+$AF124*W$4,0),IF($AB124="IR",ROUND(Proyeccion_Localidades!AT124,0),IF($AB124="RT",ROUND(Proyeccion_Localidades!BQ124,0),"*****"))))</f>
        <v>23890</v>
      </c>
      <c r="X124" s="66">
        <f>IF($AB124="TGD",ROUND($E124*(1+$AD124)^(X$4-$E$4),0),IF($AB124="ALTH",ROUND($AE124+$AF124*X$4,0),IF($AB124="IR",ROUND(Proyeccion_Localidades!AU124,0),IF($AB124="RT",ROUND(Proyeccion_Localidades!BR124,0),"*****"))))</f>
        <v>24036</v>
      </c>
      <c r="Y124" s="66">
        <f>IF($AB124="TGD",ROUND($E124*(1+$AD124)^(Y$4-$E$4),0),IF($AB124="ALTH",ROUND($AE124+$AF124*Y$4,0),IF($AB124="IR",ROUND(Proyeccion_Localidades!AV124,0),IF($AB124="RT",ROUND(Proyeccion_Localidades!BS124,0),"*****"))))</f>
        <v>24184</v>
      </c>
      <c r="Z124" s="66">
        <f>IF($AB124="TGD",ROUND($E124*(1+$AD124)^(Z$4-$E$4),0),IF($AB124="ALTH",ROUND($AE124+$AF124*Z$4,0),IF($AB124="IR",ROUND(Proyeccion_Localidades!AW124,0),IF($AB124="RT",ROUND(Proyeccion_Localidades!BT124,0),"*****"))))</f>
        <v>24332</v>
      </c>
      <c r="AA124" s="66">
        <f>IF($AB124="TGD",ROUND($E124*(1+$AD124)^(AA$4-$E$4),0),IF($AB124="ALTH",ROUND($AE124+$AF124*AA$4,0),IF($AB124="IR",ROUND(Proyeccion_Localidades!AX124,0),IF($AB124="RT",ROUND(Proyeccion_Localidades!BU124,0),"*****"))))</f>
        <v>24481</v>
      </c>
      <c r="AB124" s="67" t="str">
        <f>Proyeccion_Localidades!N124</f>
        <v>TGD</v>
      </c>
      <c r="AC124" s="68" t="s">
        <v>35</v>
      </c>
      <c r="AD124" s="51">
        <f>IF(AB124="TGD",Proyeccion_Localidades!Z124,"-")</f>
        <v>6.1311691531085177E-3</v>
      </c>
      <c r="AE124" s="51" t="str">
        <f>IF($AB124="ALTH",Proyeccion_Localidades!AA124,"-")</f>
        <v>-</v>
      </c>
      <c r="AF124" s="51" t="str">
        <f>IF($AB124="ALTH",Proyeccion_Localidades!AB124,"-")</f>
        <v>-</v>
      </c>
      <c r="AG124" s="51"/>
      <c r="AH124" s="51"/>
      <c r="AI124" s="66">
        <f t="shared" si="5"/>
        <v>21401</v>
      </c>
    </row>
    <row r="125" spans="1:54" ht="24.95" customHeight="1">
      <c r="A125" s="86" t="str">
        <f>+Proyeccion_Localidades!C125</f>
        <v>Roque Pérez</v>
      </c>
      <c r="B125" s="70">
        <f t="shared" si="7"/>
        <v>114</v>
      </c>
      <c r="C125" s="88" t="str">
        <f>+Proyeccion_Localidades!B125</f>
        <v>Roque Pérez</v>
      </c>
      <c r="D125" s="261">
        <f t="shared" si="6"/>
        <v>114</v>
      </c>
      <c r="E125" s="72">
        <f>+Proyeccion_Localidades!F125</f>
        <v>10358</v>
      </c>
      <c r="F125" s="66">
        <f>IF($AB125="TGD",ROUND($E125*(1+$AD125)^(F$4-$E$4),0),IF($AB125="ALTH",ROUND($AE125+$AF125*F$4,0),IF($AB125="IR",ROUND(Proyeccion_Localidades!AC125,0),IF($AB125="RT",ROUND(Proyeccion_Localidades!AZ125,0),"*****"))))</f>
        <v>13109</v>
      </c>
      <c r="G125" s="66">
        <f>IF($AB125="TGD",ROUND($E125*(1+$AD125)^(G$4-$E$4),0),IF($AB125="ALTH",ROUND($AE125+$AF125*G$4,0),IF($AB125="IR",ROUND(Proyeccion_Localidades!AD125,0),IF($AB125="RT",ROUND(Proyeccion_Localidades!BA125,0),"*****"))))</f>
        <v>13337</v>
      </c>
      <c r="H125" s="66">
        <f>IF($AB125="TGD",ROUND($E125*(1+$AD125)^(H$4-$E$4),0),IF($AB125="ALTH",ROUND($AE125+$AF125*H$4,0),IF($AB125="IR",ROUND(Proyeccion_Localidades!AE125,0),IF($AB125="RT",ROUND(Proyeccion_Localidades!BB125,0),"*****"))))</f>
        <v>14020</v>
      </c>
      <c r="I125" s="66">
        <f>IF($AB125="TGD",ROUND($E125*(1+$AD125)^(I$4-$E$4),0),IF($AB125="ALTH",ROUND($AE125+$AF125*I$4,0),IF($AB125="IR",ROUND(Proyeccion_Localidades!AF125,0),IF($AB125="RT",ROUND(Proyeccion_Localidades!BC125,0),"*****"))))</f>
        <v>14248</v>
      </c>
      <c r="J125" s="66">
        <f>IF($AB125="TGD",ROUND($E125*(1+$AD125)^(J$4-$E$4),0),IF($AB125="ALTH",ROUND($AE125+$AF125*J$4,0),IF($AB125="IR",ROUND(Proyeccion_Localidades!AG125,0),IF($AB125="RT",ROUND(Proyeccion_Localidades!BD125,0),"*****"))))</f>
        <v>14476</v>
      </c>
      <c r="K125" s="66">
        <f>IF($AB125="TGD",ROUND($E125*(1+$AD125)^(K$4-$E$4),0),IF($AB125="ALTH",ROUND($AE125+$AF125*K$4,0),IF($AB125="IR",ROUND(Proyeccion_Localidades!AH125,0),IF($AB125="RT",ROUND(Proyeccion_Localidades!BE125,0),"*****"))))</f>
        <v>14704</v>
      </c>
      <c r="L125" s="66">
        <f>IF($AB125="TGD",ROUND($E125*(1+$AD125)^(L$4-$E$4),0),IF($AB125="ALTH",ROUND($AE125+$AF125*L$4,0),IF($AB125="IR",ROUND(Proyeccion_Localidades!AI125,0),IF($AB125="RT",ROUND(Proyeccion_Localidades!BF125,0),"*****"))))</f>
        <v>14932</v>
      </c>
      <c r="M125" s="66">
        <f>IF($AB125="TGD",ROUND($E125*(1+$AD125)^(M$4-$E$4),0),IF($AB125="ALTH",ROUND($AE125+$AF125*M$4,0),IF($AB125="IR",ROUND(Proyeccion_Localidades!AJ125,0),IF($AB125="RT",ROUND(Proyeccion_Localidades!BG125,0),"*****"))))</f>
        <v>15160</v>
      </c>
      <c r="N125" s="66">
        <f>IF($AB125="TGD",ROUND($E125*(1+$AD125)^(N$4-$E$4),0),IF($AB125="ALTH",ROUND($AE125+$AF125*N$4,0),IF($AB125="IR",ROUND(Proyeccion_Localidades!AK125,0),IF($AB125="RT",ROUND(Proyeccion_Localidades!BH125,0),"*****"))))</f>
        <v>15387</v>
      </c>
      <c r="O125" s="66">
        <f>IF($AB125="TGD",ROUND($E125*(1+$AD125)^(O$4-$E$4),0),IF($AB125="ALTH",ROUND($AE125+$AF125*O$4,0),IF($AB125="IR",ROUND(Proyeccion_Localidades!AL125,0),IF($AB125="RT",ROUND(Proyeccion_Localidades!BI125,0),"*****"))))</f>
        <v>15615</v>
      </c>
      <c r="P125" s="66">
        <f>IF($AB125="TGD",ROUND($E125*(1+$AD125)^(P$4-$E$4),0),IF($AB125="ALTH",ROUND($AE125+$AF125*P$4,0),IF($AB125="IR",ROUND(Proyeccion_Localidades!AM125,0),IF($AB125="RT",ROUND(Proyeccion_Localidades!BJ125,0),"*****"))))</f>
        <v>15843</v>
      </c>
      <c r="Q125" s="66">
        <f>IF($AB125="TGD",ROUND($E125*(1+$AD125)^(Q$4-$E$4),0),IF($AB125="ALTH",ROUND($AE125+$AF125*Q$4,0),IF($AB125="IR",ROUND(Proyeccion_Localidades!AN125,0),IF($AB125="RT",ROUND(Proyeccion_Localidades!BK125,0),"*****"))))</f>
        <v>16071</v>
      </c>
      <c r="R125" s="66">
        <f>IF($AB125="TGD",ROUND($E125*(1+$AD125)^(R$4-$E$4),0),IF($AB125="ALTH",ROUND($AE125+$AF125*R$4,0),IF($AB125="IR",ROUND(Proyeccion_Localidades!AO125,0),IF($AB125="RT",ROUND(Proyeccion_Localidades!BL125,0),"*****"))))</f>
        <v>16299</v>
      </c>
      <c r="S125" s="66">
        <f>IF($AB125="TGD",ROUND($E125*(1+$AD125)^(S$4-$E$4),0),IF($AB125="ALTH",ROUND($AE125+$AF125*S$4,0),IF($AB125="IR",ROUND(Proyeccion_Localidades!AP125,0),IF($AB125="RT",ROUND(Proyeccion_Localidades!BM125,0),"*****"))))</f>
        <v>16527</v>
      </c>
      <c r="T125" s="66">
        <f>IF($AB125="TGD",ROUND($E125*(1+$AD125)^(T$4-$E$4),0),IF($AB125="ALTH",ROUND($AE125+$AF125*T$4,0),IF($AB125="IR",ROUND(Proyeccion_Localidades!AQ125,0),IF($AB125="RT",ROUND(Proyeccion_Localidades!BN125,0),"*****"))))</f>
        <v>16755</v>
      </c>
      <c r="U125" s="66">
        <f>IF($AB125="TGD",ROUND($E125*(1+$AD125)^(U$4-$E$4),0),IF($AB125="ALTH",ROUND($AE125+$AF125*U$4,0),IF($AB125="IR",ROUND(Proyeccion_Localidades!AR125,0),IF($AB125="RT",ROUND(Proyeccion_Localidades!BO125,0),"*****"))))</f>
        <v>16983</v>
      </c>
      <c r="V125" s="66">
        <f>IF($AB125="TGD",ROUND($E125*(1+$AD125)^(V$4-$E$4),0),IF($AB125="ALTH",ROUND($AE125+$AF125*V$4,0),IF($AB125="IR",ROUND(Proyeccion_Localidades!AS125,0),IF($AB125="RT",ROUND(Proyeccion_Localidades!BP125,0),"*****"))))</f>
        <v>17210</v>
      </c>
      <c r="W125" s="66">
        <f>IF($AB125="TGD",ROUND($E125*(1+$AD125)^(W$4-$E$4),0),IF($AB125="ALTH",ROUND($AE125+$AF125*W$4,0),IF($AB125="IR",ROUND(Proyeccion_Localidades!AT125,0),IF($AB125="RT",ROUND(Proyeccion_Localidades!BQ125,0),"*****"))))</f>
        <v>17438</v>
      </c>
      <c r="X125" s="66">
        <f>IF($AB125="TGD",ROUND($E125*(1+$AD125)^(X$4-$E$4),0),IF($AB125="ALTH",ROUND($AE125+$AF125*X$4,0),IF($AB125="IR",ROUND(Proyeccion_Localidades!AU125,0),IF($AB125="RT",ROUND(Proyeccion_Localidades!BR125,0),"*****"))))</f>
        <v>17666</v>
      </c>
      <c r="Y125" s="66">
        <f>IF($AB125="TGD",ROUND($E125*(1+$AD125)^(Y$4-$E$4),0),IF($AB125="ALTH",ROUND($AE125+$AF125*Y$4,0),IF($AB125="IR",ROUND(Proyeccion_Localidades!AV125,0),IF($AB125="RT",ROUND(Proyeccion_Localidades!BS125,0),"*****"))))</f>
        <v>17894</v>
      </c>
      <c r="Z125" s="66">
        <f>IF($AB125="TGD",ROUND($E125*(1+$AD125)^(Z$4-$E$4),0),IF($AB125="ALTH",ROUND($AE125+$AF125*Z$4,0),IF($AB125="IR",ROUND(Proyeccion_Localidades!AW125,0),IF($AB125="RT",ROUND(Proyeccion_Localidades!BT125,0),"*****"))))</f>
        <v>18122</v>
      </c>
      <c r="AA125" s="66">
        <f>IF($AB125="TGD",ROUND($E125*(1+$AD125)^(AA$4-$E$4),0),IF($AB125="ALTH",ROUND($AE125+$AF125*AA$4,0),IF($AB125="IR",ROUND(Proyeccion_Localidades!AX125,0),IF($AB125="RT",ROUND(Proyeccion_Localidades!BU125,0),"*****"))))</f>
        <v>18350</v>
      </c>
      <c r="AB125" s="67" t="str">
        <f>Proyeccion_Localidades!N125</f>
        <v>ALTH</v>
      </c>
      <c r="AC125" s="68" t="s">
        <v>36</v>
      </c>
      <c r="AD125" s="51" t="str">
        <f>IF(AB125="TGD",Proyeccion_Localidades!Z125,"-")</f>
        <v>-</v>
      </c>
      <c r="AE125" s="51">
        <f>IF($AB125="ALTH",Proyeccion_Localidades!AA125,"-")</f>
        <v>-447653.66051660531</v>
      </c>
      <c r="AF125" s="51">
        <f>IF($AB125="ALTH",Proyeccion_Localidades!AB125,"-")</f>
        <v>227.8745387453875</v>
      </c>
      <c r="AG125" s="51"/>
      <c r="AH125" s="51"/>
      <c r="AI125" s="66">
        <f t="shared" si="5"/>
        <v>13337</v>
      </c>
    </row>
    <row r="126" spans="1:54" ht="24.95" customHeight="1">
      <c r="A126" s="86" t="str">
        <f>+Proyeccion_Localidades!C126</f>
        <v>Saavedra</v>
      </c>
      <c r="B126" s="70">
        <f t="shared" si="7"/>
        <v>115</v>
      </c>
      <c r="C126" s="88" t="str">
        <f>+Proyeccion_Localidades!B126</f>
        <v>Pigüé</v>
      </c>
      <c r="D126" s="261">
        <f t="shared" si="6"/>
        <v>115</v>
      </c>
      <c r="E126" s="72">
        <f>+Proyeccion_Localidades!F126</f>
        <v>14383</v>
      </c>
      <c r="F126" s="66">
        <f>IF($AB126="TGD",ROUND($E126*(1+$AD126)^(F$4-$E$4),0),IF($AB126="ALTH",ROUND($AE126+$AF126*F$4,0),IF($AB126="IR",ROUND(Proyeccion_Localidades!AC126,0),IF($AB126="RT",ROUND(Proyeccion_Localidades!AZ126,0),"*****"))))</f>
        <v>15167</v>
      </c>
      <c r="G126" s="66">
        <f>IF($AB126="TGD",ROUND($E126*(1+$AD126)^(G$4-$E$4),0),IF($AB126="ALTH",ROUND($AE126+$AF126*G$4,0),IF($AB126="IR",ROUND(Proyeccion_Localidades!AD126,0),IF($AB126="RT",ROUND(Proyeccion_Localidades!BA126,0),"*****"))))</f>
        <v>15234</v>
      </c>
      <c r="H126" s="66">
        <f>IF($AB126="TGD",ROUND($E126*(1+$AD126)^(H$4-$E$4),0),IF($AB126="ALTH",ROUND($AE126+$AF126*H$4,0),IF($AB126="IR",ROUND(Proyeccion_Localidades!AE126,0),IF($AB126="RT",ROUND(Proyeccion_Localidades!BB126,0),"*****"))))</f>
        <v>15437</v>
      </c>
      <c r="I126" s="66">
        <f>IF($AB126="TGD",ROUND($E126*(1+$AD126)^(I$4-$E$4),0),IF($AB126="ALTH",ROUND($AE126+$AF126*I$4,0),IF($AB126="IR",ROUND(Proyeccion_Localidades!AF126,0),IF($AB126="RT",ROUND(Proyeccion_Localidades!BC126,0),"*****"))))</f>
        <v>15506</v>
      </c>
      <c r="J126" s="66">
        <f>IF($AB126="TGD",ROUND($E126*(1+$AD126)^(J$4-$E$4),0),IF($AB126="ALTH",ROUND($AE126+$AF126*J$4,0),IF($AB126="IR",ROUND(Proyeccion_Localidades!AG126,0),IF($AB126="RT",ROUND(Proyeccion_Localidades!BD126,0),"*****"))))</f>
        <v>15574</v>
      </c>
      <c r="K126" s="66">
        <f>IF($AB126="TGD",ROUND($E126*(1+$AD126)^(K$4-$E$4),0),IF($AB126="ALTH",ROUND($AE126+$AF126*K$4,0),IF($AB126="IR",ROUND(Proyeccion_Localidades!AH126,0),IF($AB126="RT",ROUND(Proyeccion_Localidades!BE126,0),"*****"))))</f>
        <v>15643</v>
      </c>
      <c r="L126" s="66">
        <f>IF($AB126="TGD",ROUND($E126*(1+$AD126)^(L$4-$E$4),0),IF($AB126="ALTH",ROUND($AE126+$AF126*L$4,0),IF($AB126="IR",ROUND(Proyeccion_Localidades!AI126,0),IF($AB126="RT",ROUND(Proyeccion_Localidades!BF126,0),"*****"))))</f>
        <v>15713</v>
      </c>
      <c r="M126" s="66">
        <f>IF($AB126="TGD",ROUND($E126*(1+$AD126)^(M$4-$E$4),0),IF($AB126="ALTH",ROUND($AE126+$AF126*M$4,0),IF($AB126="IR",ROUND(Proyeccion_Localidades!AJ126,0),IF($AB126="RT",ROUND(Proyeccion_Localidades!BG126,0),"*****"))))</f>
        <v>15782</v>
      </c>
      <c r="N126" s="66">
        <f>IF($AB126="TGD",ROUND($E126*(1+$AD126)^(N$4-$E$4),0),IF($AB126="ALTH",ROUND($AE126+$AF126*N$4,0),IF($AB126="IR",ROUND(Proyeccion_Localidades!AK126,0),IF($AB126="RT",ROUND(Proyeccion_Localidades!BH126,0),"*****"))))</f>
        <v>15852</v>
      </c>
      <c r="O126" s="66">
        <f>IF($AB126="TGD",ROUND($E126*(1+$AD126)^(O$4-$E$4),0),IF($AB126="ALTH",ROUND($AE126+$AF126*O$4,0),IF($AB126="IR",ROUND(Proyeccion_Localidades!AL126,0),IF($AB126="RT",ROUND(Proyeccion_Localidades!BI126,0),"*****"))))</f>
        <v>15922</v>
      </c>
      <c r="P126" s="66">
        <f>IF($AB126="TGD",ROUND($E126*(1+$AD126)^(P$4-$E$4),0),IF($AB126="ALTH",ROUND($AE126+$AF126*P$4,0),IF($AB126="IR",ROUND(Proyeccion_Localidades!AM126,0),IF($AB126="RT",ROUND(Proyeccion_Localidades!BJ126,0),"*****"))))</f>
        <v>15993</v>
      </c>
      <c r="Q126" s="66">
        <f>IF($AB126="TGD",ROUND($E126*(1+$AD126)^(Q$4-$E$4),0),IF($AB126="ALTH",ROUND($AE126+$AF126*Q$4,0),IF($AB126="IR",ROUND(Proyeccion_Localidades!AN126,0),IF($AB126="RT",ROUND(Proyeccion_Localidades!BK126,0),"*****"))))</f>
        <v>16064</v>
      </c>
      <c r="R126" s="66">
        <f>IF($AB126="TGD",ROUND($E126*(1+$AD126)^(R$4-$E$4),0),IF($AB126="ALTH",ROUND($AE126+$AF126*R$4,0),IF($AB126="IR",ROUND(Proyeccion_Localidades!AO126,0),IF($AB126="RT",ROUND(Proyeccion_Localidades!BL126,0),"*****"))))</f>
        <v>16135</v>
      </c>
      <c r="S126" s="66">
        <f>IF($AB126="TGD",ROUND($E126*(1+$AD126)^(S$4-$E$4),0),IF($AB126="ALTH",ROUND($AE126+$AF126*S$4,0),IF($AB126="IR",ROUND(Proyeccion_Localidades!AP126,0),IF($AB126="RT",ROUND(Proyeccion_Localidades!BM126,0),"*****"))))</f>
        <v>16206</v>
      </c>
      <c r="T126" s="66">
        <f>IF($AB126="TGD",ROUND($E126*(1+$AD126)^(T$4-$E$4),0),IF($AB126="ALTH",ROUND($AE126+$AF126*T$4,0),IF($AB126="IR",ROUND(Proyeccion_Localidades!AQ126,0),IF($AB126="RT",ROUND(Proyeccion_Localidades!BN126,0),"*****"))))</f>
        <v>16278</v>
      </c>
      <c r="U126" s="66">
        <f>IF($AB126="TGD",ROUND($E126*(1+$AD126)^(U$4-$E$4),0),IF($AB126="ALTH",ROUND($AE126+$AF126*U$4,0),IF($AB126="IR",ROUND(Proyeccion_Localidades!AR126,0),IF($AB126="RT",ROUND(Proyeccion_Localidades!BO126,0),"*****"))))</f>
        <v>16350</v>
      </c>
      <c r="V126" s="66">
        <f>IF($AB126="TGD",ROUND($E126*(1+$AD126)^(V$4-$E$4),0),IF($AB126="ALTH",ROUND($AE126+$AF126*V$4,0),IF($AB126="IR",ROUND(Proyeccion_Localidades!AS126,0),IF($AB126="RT",ROUND(Proyeccion_Localidades!BP126,0),"*****"))))</f>
        <v>16423</v>
      </c>
      <c r="W126" s="66">
        <f>IF($AB126="TGD",ROUND($E126*(1+$AD126)^(W$4-$E$4),0),IF($AB126="ALTH",ROUND($AE126+$AF126*W$4,0),IF($AB126="IR",ROUND(Proyeccion_Localidades!AT126,0),IF($AB126="RT",ROUND(Proyeccion_Localidades!BQ126,0),"*****"))))</f>
        <v>16495</v>
      </c>
      <c r="X126" s="66">
        <f>IF($AB126="TGD",ROUND($E126*(1+$AD126)^(X$4-$E$4),0),IF($AB126="ALTH",ROUND($AE126+$AF126*X$4,0),IF($AB126="IR",ROUND(Proyeccion_Localidades!AU126,0),IF($AB126="RT",ROUND(Proyeccion_Localidades!BR126,0),"*****"))))</f>
        <v>16569</v>
      </c>
      <c r="Y126" s="66">
        <f>IF($AB126="TGD",ROUND($E126*(1+$AD126)^(Y$4-$E$4),0),IF($AB126="ALTH",ROUND($AE126+$AF126*Y$4,0),IF($AB126="IR",ROUND(Proyeccion_Localidades!AV126,0),IF($AB126="RT",ROUND(Proyeccion_Localidades!BS126,0),"*****"))))</f>
        <v>16642</v>
      </c>
      <c r="Z126" s="66">
        <f>IF($AB126="TGD",ROUND($E126*(1+$AD126)^(Z$4-$E$4),0),IF($AB126="ALTH",ROUND($AE126+$AF126*Z$4,0),IF($AB126="IR",ROUND(Proyeccion_Localidades!AW126,0),IF($AB126="RT",ROUND(Proyeccion_Localidades!BT126,0),"*****"))))</f>
        <v>16716</v>
      </c>
      <c r="AA126" s="66">
        <f>IF($AB126="TGD",ROUND($E126*(1+$AD126)^(AA$4-$E$4),0),IF($AB126="ALTH",ROUND($AE126+$AF126*AA$4,0),IF($AB126="IR",ROUND(Proyeccion_Localidades!AX126,0),IF($AB126="RT",ROUND(Proyeccion_Localidades!BU126,0),"*****"))))</f>
        <v>16790</v>
      </c>
      <c r="AB126" s="67" t="str">
        <f>Proyeccion_Localidades!N126</f>
        <v>TGD</v>
      </c>
      <c r="AC126" s="68" t="s">
        <v>35</v>
      </c>
      <c r="AD126" s="51">
        <f>IF(AB126="TGD",Proyeccion_Localidades!Z126,"-")</f>
        <v>4.4303883853809012E-3</v>
      </c>
      <c r="AE126" s="51" t="str">
        <f>IF($AB126="ALTH",Proyeccion_Localidades!AA126,"-")</f>
        <v>-</v>
      </c>
      <c r="AF126" s="51" t="str">
        <f>IF($AB126="ALTH",Proyeccion_Localidades!AB126,"-")</f>
        <v>-</v>
      </c>
      <c r="AG126" s="51"/>
      <c r="AH126" s="51"/>
      <c r="AI126" s="66">
        <f t="shared" si="5"/>
        <v>15234</v>
      </c>
    </row>
    <row r="127" spans="1:54" ht="24.95" customHeight="1">
      <c r="A127" s="86" t="str">
        <f>+Proyeccion_Localidades!C127</f>
        <v>Saladillo</v>
      </c>
      <c r="B127" s="70">
        <f t="shared" si="7"/>
        <v>116</v>
      </c>
      <c r="C127" s="88" t="str">
        <f>+Proyeccion_Localidades!B127</f>
        <v>Saladillo</v>
      </c>
      <c r="D127" s="261">
        <f t="shared" si="6"/>
        <v>116</v>
      </c>
      <c r="E127" s="72">
        <f>+Proyeccion_Localidades!F127</f>
        <v>26763</v>
      </c>
      <c r="F127" s="66">
        <f>IF($AB127="TGD",ROUND($E127*(1+$AD127)^(F$4-$E$4),0),IF($AB127="ALTH",ROUND($AE127+$AF127*F$4,0),IF($AB127="IR",ROUND(Proyeccion_Localidades!AC127,0),IF($AB127="RT",ROUND(Proyeccion_Localidades!AZ127,0),"*****"))))</f>
        <v>31675</v>
      </c>
      <c r="G127" s="66">
        <f>IF($AB127="TGD",ROUND($E127*(1+$AD127)^(G$4-$E$4),0),IF($AB127="ALTH",ROUND($AE127+$AF127*G$4,0),IF($AB127="IR",ROUND(Proyeccion_Localidades!AD127,0),IF($AB127="RT",ROUND(Proyeccion_Localidades!BA127,0),"*****"))))</f>
        <v>32079</v>
      </c>
      <c r="H127" s="66">
        <f>IF($AB127="TGD",ROUND($E127*(1+$AD127)^(H$4-$E$4),0),IF($AB127="ALTH",ROUND($AE127+$AF127*H$4,0),IF($AB127="IR",ROUND(Proyeccion_Localidades!AE127,0),IF($AB127="RT",ROUND(Proyeccion_Localidades!BB127,0),"*****"))))</f>
        <v>33291</v>
      </c>
      <c r="I127" s="66">
        <f>IF($AB127="TGD",ROUND($E127*(1+$AD127)^(I$4-$E$4),0),IF($AB127="ALTH",ROUND($AE127+$AF127*I$4,0),IF($AB127="IR",ROUND(Proyeccion_Localidades!AF127,0),IF($AB127="RT",ROUND(Proyeccion_Localidades!BC127,0),"*****"))))</f>
        <v>33695</v>
      </c>
      <c r="J127" s="66">
        <f>IF($AB127="TGD",ROUND($E127*(1+$AD127)^(J$4-$E$4),0),IF($AB127="ALTH",ROUND($AE127+$AF127*J$4,0),IF($AB127="IR",ROUND(Proyeccion_Localidades!AG127,0),IF($AB127="RT",ROUND(Proyeccion_Localidades!BD127,0),"*****"))))</f>
        <v>34098</v>
      </c>
      <c r="K127" s="66">
        <f>IF($AB127="TGD",ROUND($E127*(1+$AD127)^(K$4-$E$4),0),IF($AB127="ALTH",ROUND($AE127+$AF127*K$4,0),IF($AB127="IR",ROUND(Proyeccion_Localidades!AH127,0),IF($AB127="RT",ROUND(Proyeccion_Localidades!BE127,0),"*****"))))</f>
        <v>34502</v>
      </c>
      <c r="L127" s="66">
        <f>IF($AB127="TGD",ROUND($E127*(1+$AD127)^(L$4-$E$4),0),IF($AB127="ALTH",ROUND($AE127+$AF127*L$4,0),IF($AB127="IR",ROUND(Proyeccion_Localidades!AI127,0),IF($AB127="RT",ROUND(Proyeccion_Localidades!BF127,0),"*****"))))</f>
        <v>34906</v>
      </c>
      <c r="M127" s="66">
        <f>IF($AB127="TGD",ROUND($E127*(1+$AD127)^(M$4-$E$4),0),IF($AB127="ALTH",ROUND($AE127+$AF127*M$4,0),IF($AB127="IR",ROUND(Proyeccion_Localidades!AJ127,0),IF($AB127="RT",ROUND(Proyeccion_Localidades!BG127,0),"*****"))))</f>
        <v>35310</v>
      </c>
      <c r="N127" s="66">
        <f>IF($AB127="TGD",ROUND($E127*(1+$AD127)^(N$4-$E$4),0),IF($AB127="ALTH",ROUND($AE127+$AF127*N$4,0),IF($AB127="IR",ROUND(Proyeccion_Localidades!AK127,0),IF($AB127="RT",ROUND(Proyeccion_Localidades!BH127,0),"*****"))))</f>
        <v>35714</v>
      </c>
      <c r="O127" s="66">
        <f>IF($AB127="TGD",ROUND($E127*(1+$AD127)^(O$4-$E$4),0),IF($AB127="ALTH",ROUND($AE127+$AF127*O$4,0),IF($AB127="IR",ROUND(Proyeccion_Localidades!AL127,0),IF($AB127="RT",ROUND(Proyeccion_Localidades!BI127,0),"*****"))))</f>
        <v>36118</v>
      </c>
      <c r="P127" s="66">
        <f>IF($AB127="TGD",ROUND($E127*(1+$AD127)^(P$4-$E$4),0),IF($AB127="ALTH",ROUND($AE127+$AF127*P$4,0),IF($AB127="IR",ROUND(Proyeccion_Localidades!AM127,0),IF($AB127="RT",ROUND(Proyeccion_Localidades!BJ127,0),"*****"))))</f>
        <v>36522</v>
      </c>
      <c r="Q127" s="66">
        <f>IF($AB127="TGD",ROUND($E127*(1+$AD127)^(Q$4-$E$4),0),IF($AB127="ALTH",ROUND($AE127+$AF127*Q$4,0),IF($AB127="IR",ROUND(Proyeccion_Localidades!AN127,0),IF($AB127="RT",ROUND(Proyeccion_Localidades!BK127,0),"*****"))))</f>
        <v>36926</v>
      </c>
      <c r="R127" s="66">
        <f>IF($AB127="TGD",ROUND($E127*(1+$AD127)^(R$4-$E$4),0),IF($AB127="ALTH",ROUND($AE127+$AF127*R$4,0),IF($AB127="IR",ROUND(Proyeccion_Localidades!AO127,0),IF($AB127="RT",ROUND(Proyeccion_Localidades!BL127,0),"*****"))))</f>
        <v>37330</v>
      </c>
      <c r="S127" s="66">
        <f>IF($AB127="TGD",ROUND($E127*(1+$AD127)^(S$4-$E$4),0),IF($AB127="ALTH",ROUND($AE127+$AF127*S$4,0),IF($AB127="IR",ROUND(Proyeccion_Localidades!AP127,0),IF($AB127="RT",ROUND(Proyeccion_Localidades!BM127,0),"*****"))))</f>
        <v>37734</v>
      </c>
      <c r="T127" s="66">
        <f>IF($AB127="TGD",ROUND($E127*(1+$AD127)^(T$4-$E$4),0),IF($AB127="ALTH",ROUND($AE127+$AF127*T$4,0),IF($AB127="IR",ROUND(Proyeccion_Localidades!AQ127,0),IF($AB127="RT",ROUND(Proyeccion_Localidades!BN127,0),"*****"))))</f>
        <v>38138</v>
      </c>
      <c r="U127" s="66">
        <f>IF($AB127="TGD",ROUND($E127*(1+$AD127)^(U$4-$E$4),0),IF($AB127="ALTH",ROUND($AE127+$AF127*U$4,0),IF($AB127="IR",ROUND(Proyeccion_Localidades!AR127,0),IF($AB127="RT",ROUND(Proyeccion_Localidades!BO127,0),"*****"))))</f>
        <v>38542</v>
      </c>
      <c r="V127" s="66">
        <f>IF($AB127="TGD",ROUND($E127*(1+$AD127)^(V$4-$E$4),0),IF($AB127="ALTH",ROUND($AE127+$AF127*V$4,0),IF($AB127="IR",ROUND(Proyeccion_Localidades!AS127,0),IF($AB127="RT",ROUND(Proyeccion_Localidades!BP127,0),"*****"))))</f>
        <v>38946</v>
      </c>
      <c r="W127" s="66">
        <f>IF($AB127="TGD",ROUND($E127*(1+$AD127)^(W$4-$E$4),0),IF($AB127="ALTH",ROUND($AE127+$AF127*W$4,0),IF($AB127="IR",ROUND(Proyeccion_Localidades!AT127,0),IF($AB127="RT",ROUND(Proyeccion_Localidades!BQ127,0),"*****"))))</f>
        <v>39350</v>
      </c>
      <c r="X127" s="66">
        <f>IF($AB127="TGD",ROUND($E127*(1+$AD127)^(X$4-$E$4),0),IF($AB127="ALTH",ROUND($AE127+$AF127*X$4,0),IF($AB127="IR",ROUND(Proyeccion_Localidades!AU127,0),IF($AB127="RT",ROUND(Proyeccion_Localidades!BR127,0),"*****"))))</f>
        <v>39754</v>
      </c>
      <c r="Y127" s="66">
        <f>IF($AB127="TGD",ROUND($E127*(1+$AD127)^(Y$4-$E$4),0),IF($AB127="ALTH",ROUND($AE127+$AF127*Y$4,0),IF($AB127="IR",ROUND(Proyeccion_Localidades!AV127,0),IF($AB127="RT",ROUND(Proyeccion_Localidades!BS127,0),"*****"))))</f>
        <v>40158</v>
      </c>
      <c r="Z127" s="66">
        <f>IF($AB127="TGD",ROUND($E127*(1+$AD127)^(Z$4-$E$4),0),IF($AB127="ALTH",ROUND($AE127+$AF127*Z$4,0),IF($AB127="IR",ROUND(Proyeccion_Localidades!AW127,0),IF($AB127="RT",ROUND(Proyeccion_Localidades!BT127,0),"*****"))))</f>
        <v>40562</v>
      </c>
      <c r="AA127" s="66">
        <f>IF($AB127="TGD",ROUND($E127*(1+$AD127)^(AA$4-$E$4),0),IF($AB127="ALTH",ROUND($AE127+$AF127*AA$4,0),IF($AB127="IR",ROUND(Proyeccion_Localidades!AX127,0),IF($AB127="RT",ROUND(Proyeccion_Localidades!BU127,0),"*****"))))</f>
        <v>40966</v>
      </c>
      <c r="AB127" s="67" t="str">
        <f>Proyeccion_Localidades!N127</f>
        <v>ALTH</v>
      </c>
      <c r="AC127" s="68" t="s">
        <v>36</v>
      </c>
      <c r="AD127" s="51" t="str">
        <f>IF(AB127="TGD",Proyeccion_Localidades!Z127,"-")</f>
        <v>-</v>
      </c>
      <c r="AE127" s="51">
        <f>IF($AB127="ALTH",Proyeccion_Localidades!AA127,"-")</f>
        <v>-785149.91512915154</v>
      </c>
      <c r="AF127" s="51">
        <f>IF($AB127="ALTH",Proyeccion_Localidades!AB127,"-")</f>
        <v>403.96863468634695</v>
      </c>
      <c r="AG127" s="51"/>
      <c r="AH127" s="51"/>
      <c r="AI127" s="66">
        <f t="shared" si="5"/>
        <v>32079</v>
      </c>
    </row>
    <row r="128" spans="1:54" ht="24.95" customHeight="1">
      <c r="A128" s="86" t="str">
        <f>+Proyeccion_Localidades!C128</f>
        <v>Salliqueló</v>
      </c>
      <c r="B128" s="70">
        <f t="shared" si="7"/>
        <v>117</v>
      </c>
      <c r="C128" s="88" t="str">
        <f>+Proyeccion_Localidades!B128</f>
        <v>Salliqueló</v>
      </c>
      <c r="D128" s="261">
        <f t="shared" si="6"/>
        <v>117</v>
      </c>
      <c r="E128" s="72">
        <f>+Proyeccion_Localidades!F128</f>
        <v>7617</v>
      </c>
      <c r="F128" s="66">
        <f>IF($AB128="TGD",ROUND($E128*(1+$AD128)^(F$4-$E$4),0),IF($AB128="ALTH",ROUND($AE128+$AF128*F$4,0),IF($AB128="IR",ROUND(Proyeccion_Localidades!AC128,0),IF($AB128="RT",ROUND(Proyeccion_Localidades!AZ128,0),"*****"))))</f>
        <v>8075</v>
      </c>
      <c r="G128" s="66">
        <f>IF($AB128="TGD",ROUND($E128*(1+$AD128)^(G$4-$E$4),0),IF($AB128="ALTH",ROUND($AE128+$AF128*G$4,0),IF($AB128="IR",ROUND(Proyeccion_Localidades!AD128,0),IF($AB128="RT",ROUND(Proyeccion_Localidades!BA128,0),"*****"))))</f>
        <v>8108</v>
      </c>
      <c r="H128" s="66">
        <f>IF($AB128="TGD",ROUND($E128*(1+$AD128)^(H$4-$E$4),0),IF($AB128="ALTH",ROUND($AE128+$AF128*H$4,0),IF($AB128="IR",ROUND(Proyeccion_Localidades!AE128,0),IF($AB128="RT",ROUND(Proyeccion_Localidades!BB128,0),"*****"))))</f>
        <v>8205</v>
      </c>
      <c r="I128" s="66">
        <f>IF($AB128="TGD",ROUND($E128*(1+$AD128)^(I$4-$E$4),0),IF($AB128="ALTH",ROUND($AE128+$AF128*I$4,0),IF($AB128="IR",ROUND(Proyeccion_Localidades!AF128,0),IF($AB128="RT",ROUND(Proyeccion_Localidades!BC128,0),"*****"))))</f>
        <v>8238</v>
      </c>
      <c r="J128" s="66">
        <f>IF($AB128="TGD",ROUND($E128*(1+$AD128)^(J$4-$E$4),0),IF($AB128="ALTH",ROUND($AE128+$AF128*J$4,0),IF($AB128="IR",ROUND(Proyeccion_Localidades!AG128,0),IF($AB128="RT",ROUND(Proyeccion_Localidades!BD128,0),"*****"))))</f>
        <v>8270</v>
      </c>
      <c r="K128" s="66">
        <f>IF($AB128="TGD",ROUND($E128*(1+$AD128)^(K$4-$E$4),0),IF($AB128="ALTH",ROUND($AE128+$AF128*K$4,0),IF($AB128="IR",ROUND(Proyeccion_Localidades!AH128,0),IF($AB128="RT",ROUND(Proyeccion_Localidades!BE128,0),"*****"))))</f>
        <v>8303</v>
      </c>
      <c r="L128" s="66">
        <f>IF($AB128="TGD",ROUND($E128*(1+$AD128)^(L$4-$E$4),0),IF($AB128="ALTH",ROUND($AE128+$AF128*L$4,0),IF($AB128="IR",ROUND(Proyeccion_Localidades!AI128,0),IF($AB128="RT",ROUND(Proyeccion_Localidades!BF128,0),"*****"))))</f>
        <v>8335</v>
      </c>
      <c r="M128" s="66">
        <f>IF($AB128="TGD",ROUND($E128*(1+$AD128)^(M$4-$E$4),0),IF($AB128="ALTH",ROUND($AE128+$AF128*M$4,0),IF($AB128="IR",ROUND(Proyeccion_Localidades!AJ128,0),IF($AB128="RT",ROUND(Proyeccion_Localidades!BG128,0),"*****"))))</f>
        <v>8368</v>
      </c>
      <c r="N128" s="66">
        <f>IF($AB128="TGD",ROUND($E128*(1+$AD128)^(N$4-$E$4),0),IF($AB128="ALTH",ROUND($AE128+$AF128*N$4,0),IF($AB128="IR",ROUND(Proyeccion_Localidades!AK128,0),IF($AB128="RT",ROUND(Proyeccion_Localidades!BH128,0),"*****"))))</f>
        <v>8401</v>
      </c>
      <c r="O128" s="66">
        <f>IF($AB128="TGD",ROUND($E128*(1+$AD128)^(O$4-$E$4),0),IF($AB128="ALTH",ROUND($AE128+$AF128*O$4,0),IF($AB128="IR",ROUND(Proyeccion_Localidades!AL128,0),IF($AB128="RT",ROUND(Proyeccion_Localidades!BI128,0),"*****"))))</f>
        <v>8433</v>
      </c>
      <c r="P128" s="66">
        <f>IF($AB128="TGD",ROUND($E128*(1+$AD128)^(P$4-$E$4),0),IF($AB128="ALTH",ROUND($AE128+$AF128*P$4,0),IF($AB128="IR",ROUND(Proyeccion_Localidades!AM128,0),IF($AB128="RT",ROUND(Proyeccion_Localidades!BJ128,0),"*****"))))</f>
        <v>8466</v>
      </c>
      <c r="Q128" s="66">
        <f>IF($AB128="TGD",ROUND($E128*(1+$AD128)^(Q$4-$E$4),0),IF($AB128="ALTH",ROUND($AE128+$AF128*Q$4,0),IF($AB128="IR",ROUND(Proyeccion_Localidades!AN128,0),IF($AB128="RT",ROUND(Proyeccion_Localidades!BK128,0),"*****"))))</f>
        <v>8498</v>
      </c>
      <c r="R128" s="66">
        <f>IF($AB128="TGD",ROUND($E128*(1+$AD128)^(R$4-$E$4),0),IF($AB128="ALTH",ROUND($AE128+$AF128*R$4,0),IF($AB128="IR",ROUND(Proyeccion_Localidades!AO128,0),IF($AB128="RT",ROUND(Proyeccion_Localidades!BL128,0),"*****"))))</f>
        <v>8531</v>
      </c>
      <c r="S128" s="66">
        <f>IF($AB128="TGD",ROUND($E128*(1+$AD128)^(S$4-$E$4),0),IF($AB128="ALTH",ROUND($AE128+$AF128*S$4,0),IF($AB128="IR",ROUND(Proyeccion_Localidades!AP128,0),IF($AB128="RT",ROUND(Proyeccion_Localidades!BM128,0),"*****"))))</f>
        <v>8563</v>
      </c>
      <c r="T128" s="66">
        <f>IF($AB128="TGD",ROUND($E128*(1+$AD128)^(T$4-$E$4),0),IF($AB128="ALTH",ROUND($AE128+$AF128*T$4,0),IF($AB128="IR",ROUND(Proyeccion_Localidades!AQ128,0),IF($AB128="RT",ROUND(Proyeccion_Localidades!BN128,0),"*****"))))</f>
        <v>8596</v>
      </c>
      <c r="U128" s="66">
        <f>IF($AB128="TGD",ROUND($E128*(1+$AD128)^(U$4-$E$4),0),IF($AB128="ALTH",ROUND($AE128+$AF128*U$4,0),IF($AB128="IR",ROUND(Proyeccion_Localidades!AR128,0),IF($AB128="RT",ROUND(Proyeccion_Localidades!BO128,0),"*****"))))</f>
        <v>8628</v>
      </c>
      <c r="V128" s="66">
        <f>IF($AB128="TGD",ROUND($E128*(1+$AD128)^(V$4-$E$4),0),IF($AB128="ALTH",ROUND($AE128+$AF128*V$4,0),IF($AB128="IR",ROUND(Proyeccion_Localidades!AS128,0),IF($AB128="RT",ROUND(Proyeccion_Localidades!BP128,0),"*****"))))</f>
        <v>8661</v>
      </c>
      <c r="W128" s="66">
        <f>IF($AB128="TGD",ROUND($E128*(1+$AD128)^(W$4-$E$4),0),IF($AB128="ALTH",ROUND($AE128+$AF128*W$4,0),IF($AB128="IR",ROUND(Proyeccion_Localidades!AT128,0),IF($AB128="RT",ROUND(Proyeccion_Localidades!BQ128,0),"*****"))))</f>
        <v>8693</v>
      </c>
      <c r="X128" s="66">
        <f>IF($AB128="TGD",ROUND($E128*(1+$AD128)^(X$4-$E$4),0),IF($AB128="ALTH",ROUND($AE128+$AF128*X$4,0),IF($AB128="IR",ROUND(Proyeccion_Localidades!AU128,0),IF($AB128="RT",ROUND(Proyeccion_Localidades!BR128,0),"*****"))))</f>
        <v>8726</v>
      </c>
      <c r="Y128" s="66">
        <f>IF($AB128="TGD",ROUND($E128*(1+$AD128)^(Y$4-$E$4),0),IF($AB128="ALTH",ROUND($AE128+$AF128*Y$4,0),IF($AB128="IR",ROUND(Proyeccion_Localidades!AV128,0),IF($AB128="RT",ROUND(Proyeccion_Localidades!BS128,0),"*****"))))</f>
        <v>8758</v>
      </c>
      <c r="Z128" s="66">
        <f>IF($AB128="TGD",ROUND($E128*(1+$AD128)^(Z$4-$E$4),0),IF($AB128="ALTH",ROUND($AE128+$AF128*Z$4,0),IF($AB128="IR",ROUND(Proyeccion_Localidades!AW128,0),IF($AB128="RT",ROUND(Proyeccion_Localidades!BT128,0),"*****"))))</f>
        <v>8791</v>
      </c>
      <c r="AA128" s="66">
        <f>IF($AB128="TGD",ROUND($E128*(1+$AD128)^(AA$4-$E$4),0),IF($AB128="ALTH",ROUND($AE128+$AF128*AA$4,0),IF($AB128="IR",ROUND(Proyeccion_Localidades!AX128,0),IF($AB128="RT",ROUND(Proyeccion_Localidades!BU128,0),"*****"))))</f>
        <v>8823</v>
      </c>
      <c r="AB128" s="67" t="str">
        <f>Proyeccion_Localidades!N128</f>
        <v>ALTH</v>
      </c>
      <c r="AC128" s="68" t="s">
        <v>36</v>
      </c>
      <c r="AD128" s="51" t="str">
        <f>IF(AB128="TGD",Proyeccion_Localidades!Z128,"-")</f>
        <v>-</v>
      </c>
      <c r="AE128" s="51">
        <f>IF($AB128="ALTH",Proyeccion_Localidades!AA128,"-")</f>
        <v>-57673.221402214032</v>
      </c>
      <c r="AF128" s="51">
        <f>IF($AB128="ALTH",Proyeccion_Localidades!AB128,"-")</f>
        <v>32.516605166051662</v>
      </c>
      <c r="AG128" s="51"/>
      <c r="AH128" s="51"/>
      <c r="AI128" s="66">
        <f t="shared" si="5"/>
        <v>8108</v>
      </c>
    </row>
    <row r="129" spans="1:35" ht="24.95" customHeight="1">
      <c r="A129" s="86" t="str">
        <f>+Proyeccion_Localidades!C129</f>
        <v>Salto</v>
      </c>
      <c r="B129" s="70">
        <f t="shared" si="7"/>
        <v>118</v>
      </c>
      <c r="C129" s="88" t="str">
        <f>+Proyeccion_Localidades!B129</f>
        <v>Salto</v>
      </c>
      <c r="D129" s="261">
        <f t="shared" si="6"/>
        <v>118</v>
      </c>
      <c r="E129" s="72">
        <f>+Proyeccion_Localidades!F129</f>
        <v>27466</v>
      </c>
      <c r="F129" s="66">
        <f>IF($AB129="TGD",ROUND($E129*(1+$AD129)^(F$4-$E$4),0),IF($AB129="ALTH",ROUND($AE129+$AF129*F$4,0),IF($AB129="IR",ROUND(Proyeccion_Localidades!AC129,0),IF($AB129="RT",ROUND(Proyeccion_Localidades!AZ129,0),"*****"))))</f>
        <v>32622</v>
      </c>
      <c r="G129" s="66">
        <f>IF($AB129="TGD",ROUND($E129*(1+$AD129)^(G$4-$E$4),0),IF($AB129="ALTH",ROUND($AE129+$AF129*G$4,0),IF($AB129="IR",ROUND(Proyeccion_Localidades!AD129,0),IF($AB129="RT",ROUND(Proyeccion_Localidades!BA129,0),"*****"))))</f>
        <v>33093</v>
      </c>
      <c r="H129" s="66">
        <f>IF($AB129="TGD",ROUND($E129*(1+$AD129)^(H$4-$E$4),0),IF($AB129="ALTH",ROUND($AE129+$AF129*H$4,0),IF($AB129="IR",ROUND(Proyeccion_Localidades!AE129,0),IF($AB129="RT",ROUND(Proyeccion_Localidades!BB129,0),"*****"))))</f>
        <v>34547</v>
      </c>
      <c r="I129" s="66">
        <f>IF($AB129="TGD",ROUND($E129*(1+$AD129)^(I$4-$E$4),0),IF($AB129="ALTH",ROUND($AE129+$AF129*I$4,0),IF($AB129="IR",ROUND(Proyeccion_Localidades!AF129,0),IF($AB129="RT",ROUND(Proyeccion_Localidades!BC129,0),"*****"))))</f>
        <v>35046</v>
      </c>
      <c r="J129" s="66">
        <f>IF($AB129="TGD",ROUND($E129*(1+$AD129)^(J$4-$E$4),0),IF($AB129="ALTH",ROUND($AE129+$AF129*J$4,0),IF($AB129="IR",ROUND(Proyeccion_Localidades!AG129,0),IF($AB129="RT",ROUND(Proyeccion_Localidades!BD129,0),"*****"))))</f>
        <v>35552</v>
      </c>
      <c r="K129" s="66">
        <f>IF($AB129="TGD",ROUND($E129*(1+$AD129)^(K$4-$E$4),0),IF($AB129="ALTH",ROUND($AE129+$AF129*K$4,0),IF($AB129="IR",ROUND(Proyeccion_Localidades!AH129,0),IF($AB129="RT",ROUND(Proyeccion_Localidades!BE129,0),"*****"))))</f>
        <v>36066</v>
      </c>
      <c r="L129" s="66">
        <f>IF($AB129="TGD",ROUND($E129*(1+$AD129)^(L$4-$E$4),0),IF($AB129="ALTH",ROUND($AE129+$AF129*L$4,0),IF($AB129="IR",ROUND(Proyeccion_Localidades!AI129,0),IF($AB129="RT",ROUND(Proyeccion_Localidades!BF129,0),"*****"))))</f>
        <v>36586</v>
      </c>
      <c r="M129" s="66">
        <f>IF($AB129="TGD",ROUND($E129*(1+$AD129)^(M$4-$E$4),0),IF($AB129="ALTH",ROUND($AE129+$AF129*M$4,0),IF($AB129="IR",ROUND(Proyeccion_Localidades!AJ129,0),IF($AB129="RT",ROUND(Proyeccion_Localidades!BG129,0),"*****"))))</f>
        <v>37115</v>
      </c>
      <c r="N129" s="66">
        <f>IF($AB129="TGD",ROUND($E129*(1+$AD129)^(N$4-$E$4),0),IF($AB129="ALTH",ROUND($AE129+$AF129*N$4,0),IF($AB129="IR",ROUND(Proyeccion_Localidades!AK129,0),IF($AB129="RT",ROUND(Proyeccion_Localidades!BH129,0),"*****"))))</f>
        <v>37650</v>
      </c>
      <c r="O129" s="66">
        <f>IF($AB129="TGD",ROUND($E129*(1+$AD129)^(O$4-$E$4),0),IF($AB129="ALTH",ROUND($AE129+$AF129*O$4,0),IF($AB129="IR",ROUND(Proyeccion_Localidades!AL129,0),IF($AB129="RT",ROUND(Proyeccion_Localidades!BI129,0),"*****"))))</f>
        <v>38194</v>
      </c>
      <c r="P129" s="66">
        <f>IF($AB129="TGD",ROUND($E129*(1+$AD129)^(P$4-$E$4),0),IF($AB129="ALTH",ROUND($AE129+$AF129*P$4,0),IF($AB129="IR",ROUND(Proyeccion_Localidades!AM129,0),IF($AB129="RT",ROUND(Proyeccion_Localidades!BJ129,0),"*****"))))</f>
        <v>38746</v>
      </c>
      <c r="Q129" s="66">
        <f>IF($AB129="TGD",ROUND($E129*(1+$AD129)^(Q$4-$E$4),0),IF($AB129="ALTH",ROUND($AE129+$AF129*Q$4,0),IF($AB129="IR",ROUND(Proyeccion_Localidades!AN129,0),IF($AB129="RT",ROUND(Proyeccion_Localidades!BK129,0),"*****"))))</f>
        <v>39305</v>
      </c>
      <c r="R129" s="66">
        <f>IF($AB129="TGD",ROUND($E129*(1+$AD129)^(R$4-$E$4),0),IF($AB129="ALTH",ROUND($AE129+$AF129*R$4,0),IF($AB129="IR",ROUND(Proyeccion_Localidades!AO129,0),IF($AB129="RT",ROUND(Proyeccion_Localidades!BL129,0),"*****"))))</f>
        <v>39873</v>
      </c>
      <c r="S129" s="66">
        <f>IF($AB129="TGD",ROUND($E129*(1+$AD129)^(S$4-$E$4),0),IF($AB129="ALTH",ROUND($AE129+$AF129*S$4,0),IF($AB129="IR",ROUND(Proyeccion_Localidades!AP129,0),IF($AB129="RT",ROUND(Proyeccion_Localidades!BM129,0),"*****"))))</f>
        <v>40448</v>
      </c>
      <c r="T129" s="66">
        <f>IF($AB129="TGD",ROUND($E129*(1+$AD129)^(T$4-$E$4),0),IF($AB129="ALTH",ROUND($AE129+$AF129*T$4,0),IF($AB129="IR",ROUND(Proyeccion_Localidades!AQ129,0),IF($AB129="RT",ROUND(Proyeccion_Localidades!BN129,0),"*****"))))</f>
        <v>41032</v>
      </c>
      <c r="U129" s="66">
        <f>IF($AB129="TGD",ROUND($E129*(1+$AD129)^(U$4-$E$4),0),IF($AB129="ALTH",ROUND($AE129+$AF129*U$4,0),IF($AB129="IR",ROUND(Proyeccion_Localidades!AR129,0),IF($AB129="RT",ROUND(Proyeccion_Localidades!BO129,0),"*****"))))</f>
        <v>41625</v>
      </c>
      <c r="V129" s="66">
        <f>IF($AB129="TGD",ROUND($E129*(1+$AD129)^(V$4-$E$4),0),IF($AB129="ALTH",ROUND($AE129+$AF129*V$4,0),IF($AB129="IR",ROUND(Proyeccion_Localidades!AS129,0),IF($AB129="RT",ROUND(Proyeccion_Localidades!BP129,0),"*****"))))</f>
        <v>42226</v>
      </c>
      <c r="W129" s="66">
        <f>IF($AB129="TGD",ROUND($E129*(1+$AD129)^(W$4-$E$4),0),IF($AB129="ALTH",ROUND($AE129+$AF129*W$4,0),IF($AB129="IR",ROUND(Proyeccion_Localidades!AT129,0),IF($AB129="RT",ROUND(Proyeccion_Localidades!BQ129,0),"*****"))))</f>
        <v>42836</v>
      </c>
      <c r="X129" s="66">
        <f>IF($AB129="TGD",ROUND($E129*(1+$AD129)^(X$4-$E$4),0),IF($AB129="ALTH",ROUND($AE129+$AF129*X$4,0),IF($AB129="IR",ROUND(Proyeccion_Localidades!AU129,0),IF($AB129="RT",ROUND(Proyeccion_Localidades!BR129,0),"*****"))))</f>
        <v>43454</v>
      </c>
      <c r="Y129" s="66">
        <f>IF($AB129="TGD",ROUND($E129*(1+$AD129)^(Y$4-$E$4),0),IF($AB129="ALTH",ROUND($AE129+$AF129*Y$4,0),IF($AB129="IR",ROUND(Proyeccion_Localidades!AV129,0),IF($AB129="RT",ROUND(Proyeccion_Localidades!BS129,0),"*****"))))</f>
        <v>44082</v>
      </c>
      <c r="Z129" s="66">
        <f>IF($AB129="TGD",ROUND($E129*(1+$AD129)^(Z$4-$E$4),0),IF($AB129="ALTH",ROUND($AE129+$AF129*Z$4,0),IF($AB129="IR",ROUND(Proyeccion_Localidades!AW129,0),IF($AB129="RT",ROUND(Proyeccion_Localidades!BT129,0),"*****"))))</f>
        <v>44718</v>
      </c>
      <c r="AA129" s="66">
        <f>IF($AB129="TGD",ROUND($E129*(1+$AD129)^(AA$4-$E$4),0),IF($AB129="ALTH",ROUND($AE129+$AF129*AA$4,0),IF($AB129="IR",ROUND(Proyeccion_Localidades!AX129,0),IF($AB129="RT",ROUND(Proyeccion_Localidades!BU129,0),"*****"))))</f>
        <v>45364</v>
      </c>
      <c r="AB129" s="67" t="str">
        <f>Proyeccion_Localidades!N129</f>
        <v>TGD</v>
      </c>
      <c r="AC129" s="68" t="s">
        <v>35</v>
      </c>
      <c r="AD129" s="51">
        <f>IF(AB129="TGD",Proyeccion_Localidades!Z129,"-")</f>
        <v>1.4439465734204404E-2</v>
      </c>
      <c r="AE129" s="51" t="str">
        <f>IF($AB129="ALTH",Proyeccion_Localidades!AA129,"-")</f>
        <v>-</v>
      </c>
      <c r="AF129" s="51" t="str">
        <f>IF($AB129="ALTH",Proyeccion_Localidades!AB129,"-")</f>
        <v>-</v>
      </c>
      <c r="AG129" s="51"/>
      <c r="AH129" s="51"/>
      <c r="AI129" s="66">
        <f t="shared" si="5"/>
        <v>33093</v>
      </c>
    </row>
    <row r="130" spans="1:35" ht="24.95" customHeight="1">
      <c r="A130" s="86" t="str">
        <f>+Proyeccion_Localidades!C130</f>
        <v>San Andrés de Giles</v>
      </c>
      <c r="B130" s="70">
        <f t="shared" si="7"/>
        <v>119</v>
      </c>
      <c r="C130" s="88" t="str">
        <f>+Proyeccion_Localidades!B130</f>
        <v>San Andrés de Giles</v>
      </c>
      <c r="D130" s="261">
        <f t="shared" si="6"/>
        <v>119</v>
      </c>
      <c r="E130" s="72">
        <f>+Proyeccion_Localidades!F130</f>
        <v>16243</v>
      </c>
      <c r="F130" s="66">
        <f>IF($AB130="TGD",ROUND($E130*(1+$AD130)^(F$4-$E$4),0),IF($AB130="ALTH",ROUND($AE130+$AF130*F$4,0),IF($AB130="IR",ROUND(Proyeccion_Localidades!AC130,0),IF($AB130="RT",ROUND(Proyeccion_Localidades!AZ130,0),"*****"))))</f>
        <v>19343</v>
      </c>
      <c r="G130" s="66">
        <f>IF($AB130="TGD",ROUND($E130*(1+$AD130)^(G$4-$E$4),0),IF($AB130="ALTH",ROUND($AE130+$AF130*G$4,0),IF($AB130="IR",ROUND(Proyeccion_Localidades!AD130,0),IF($AB130="RT",ROUND(Proyeccion_Localidades!BA130,0),"*****"))))</f>
        <v>19601</v>
      </c>
      <c r="H130" s="66">
        <f>IF($AB130="TGD",ROUND($E130*(1+$AD130)^(H$4-$E$4),0),IF($AB130="ALTH",ROUND($AE130+$AF130*H$4,0),IF($AB130="IR",ROUND(Proyeccion_Localidades!AE130,0),IF($AB130="RT",ROUND(Proyeccion_Localidades!BB130,0),"*****"))))</f>
        <v>20375</v>
      </c>
      <c r="I130" s="66">
        <f>IF($AB130="TGD",ROUND($E130*(1+$AD130)^(I$4-$E$4),0),IF($AB130="ALTH",ROUND($AE130+$AF130*I$4,0),IF($AB130="IR",ROUND(Proyeccion_Localidades!AF130,0),IF($AB130="RT",ROUND(Proyeccion_Localidades!BC130,0),"*****"))))</f>
        <v>20632</v>
      </c>
      <c r="J130" s="66">
        <f>IF($AB130="TGD",ROUND($E130*(1+$AD130)^(J$4-$E$4),0),IF($AB130="ALTH",ROUND($AE130+$AF130*J$4,0),IF($AB130="IR",ROUND(Proyeccion_Localidades!AG130,0),IF($AB130="RT",ROUND(Proyeccion_Localidades!BD130,0),"*****"))))</f>
        <v>20890</v>
      </c>
      <c r="K130" s="66">
        <f>IF($AB130="TGD",ROUND($E130*(1+$AD130)^(K$4-$E$4),0),IF($AB130="ALTH",ROUND($AE130+$AF130*K$4,0),IF($AB130="IR",ROUND(Proyeccion_Localidades!AH130,0),IF($AB130="RT",ROUND(Proyeccion_Localidades!BE130,0),"*****"))))</f>
        <v>21148</v>
      </c>
      <c r="L130" s="66">
        <f>IF($AB130="TGD",ROUND($E130*(1+$AD130)^(L$4-$E$4),0),IF($AB130="ALTH",ROUND($AE130+$AF130*L$4,0),IF($AB130="IR",ROUND(Proyeccion_Localidades!AI130,0),IF($AB130="RT",ROUND(Proyeccion_Localidades!BF130,0),"*****"))))</f>
        <v>21406</v>
      </c>
      <c r="M130" s="66">
        <f>IF($AB130="TGD",ROUND($E130*(1+$AD130)^(M$4-$E$4),0),IF($AB130="ALTH",ROUND($AE130+$AF130*M$4,0),IF($AB130="IR",ROUND(Proyeccion_Localidades!AJ130,0),IF($AB130="RT",ROUND(Proyeccion_Localidades!BG130,0),"*****"))))</f>
        <v>21664</v>
      </c>
      <c r="N130" s="66">
        <f>IF($AB130="TGD",ROUND($E130*(1+$AD130)^(N$4-$E$4),0),IF($AB130="ALTH",ROUND($AE130+$AF130*N$4,0),IF($AB130="IR",ROUND(Proyeccion_Localidades!AK130,0),IF($AB130="RT",ROUND(Proyeccion_Localidades!BH130,0),"*****"))))</f>
        <v>21921</v>
      </c>
      <c r="O130" s="66">
        <f>IF($AB130="TGD",ROUND($E130*(1+$AD130)^(O$4-$E$4),0),IF($AB130="ALTH",ROUND($AE130+$AF130*O$4,0),IF($AB130="IR",ROUND(Proyeccion_Localidades!AL130,0),IF($AB130="RT",ROUND(Proyeccion_Localidades!BI130,0),"*****"))))</f>
        <v>22179</v>
      </c>
      <c r="P130" s="66">
        <f>IF($AB130="TGD",ROUND($E130*(1+$AD130)^(P$4-$E$4),0),IF($AB130="ALTH",ROUND($AE130+$AF130*P$4,0),IF($AB130="IR",ROUND(Proyeccion_Localidades!AM130,0),IF($AB130="RT",ROUND(Proyeccion_Localidades!BJ130,0),"*****"))))</f>
        <v>22437</v>
      </c>
      <c r="Q130" s="66">
        <f>IF($AB130="TGD",ROUND($E130*(1+$AD130)^(Q$4-$E$4),0),IF($AB130="ALTH",ROUND($AE130+$AF130*Q$4,0),IF($AB130="IR",ROUND(Proyeccion_Localidades!AN130,0),IF($AB130="RT",ROUND(Proyeccion_Localidades!BK130,0),"*****"))))</f>
        <v>22695</v>
      </c>
      <c r="R130" s="66">
        <f>IF($AB130="TGD",ROUND($E130*(1+$AD130)^(R$4-$E$4),0),IF($AB130="ALTH",ROUND($AE130+$AF130*R$4,0),IF($AB130="IR",ROUND(Proyeccion_Localidades!AO130,0),IF($AB130="RT",ROUND(Proyeccion_Localidades!BL130,0),"*****"))))</f>
        <v>22953</v>
      </c>
      <c r="S130" s="66">
        <f>IF($AB130="TGD",ROUND($E130*(1+$AD130)^(S$4-$E$4),0),IF($AB130="ALTH",ROUND($AE130+$AF130*S$4,0),IF($AB130="IR",ROUND(Proyeccion_Localidades!AP130,0),IF($AB130="RT",ROUND(Proyeccion_Localidades!BM130,0),"*****"))))</f>
        <v>23211</v>
      </c>
      <c r="T130" s="66">
        <f>IF($AB130="TGD",ROUND($E130*(1+$AD130)^(T$4-$E$4),0),IF($AB130="ALTH",ROUND($AE130+$AF130*T$4,0),IF($AB130="IR",ROUND(Proyeccion_Localidades!AQ130,0),IF($AB130="RT",ROUND(Proyeccion_Localidades!BN130,0),"*****"))))</f>
        <v>23468</v>
      </c>
      <c r="U130" s="66">
        <f>IF($AB130="TGD",ROUND($E130*(1+$AD130)^(U$4-$E$4),0),IF($AB130="ALTH",ROUND($AE130+$AF130*U$4,0),IF($AB130="IR",ROUND(Proyeccion_Localidades!AR130,0),IF($AB130="RT",ROUND(Proyeccion_Localidades!BO130,0),"*****"))))</f>
        <v>23726</v>
      </c>
      <c r="V130" s="66">
        <f>IF($AB130="TGD",ROUND($E130*(1+$AD130)^(V$4-$E$4),0),IF($AB130="ALTH",ROUND($AE130+$AF130*V$4,0),IF($AB130="IR",ROUND(Proyeccion_Localidades!AS130,0),IF($AB130="RT",ROUND(Proyeccion_Localidades!BP130,0),"*****"))))</f>
        <v>23984</v>
      </c>
      <c r="W130" s="66">
        <f>IF($AB130="TGD",ROUND($E130*(1+$AD130)^(W$4-$E$4),0),IF($AB130="ALTH",ROUND($AE130+$AF130*W$4,0),IF($AB130="IR",ROUND(Proyeccion_Localidades!AT130,0),IF($AB130="RT",ROUND(Proyeccion_Localidades!BQ130,0),"*****"))))</f>
        <v>24242</v>
      </c>
      <c r="X130" s="66">
        <f>IF($AB130="TGD",ROUND($E130*(1+$AD130)^(X$4-$E$4),0),IF($AB130="ALTH",ROUND($AE130+$AF130*X$4,0),IF($AB130="IR",ROUND(Proyeccion_Localidades!AU130,0),IF($AB130="RT",ROUND(Proyeccion_Localidades!BR130,0),"*****"))))</f>
        <v>24500</v>
      </c>
      <c r="Y130" s="66">
        <f>IF($AB130="TGD",ROUND($E130*(1+$AD130)^(Y$4-$E$4),0),IF($AB130="ALTH",ROUND($AE130+$AF130*Y$4,0),IF($AB130="IR",ROUND(Proyeccion_Localidades!AV130,0),IF($AB130="RT",ROUND(Proyeccion_Localidades!BS130,0),"*****"))))</f>
        <v>24758</v>
      </c>
      <c r="Z130" s="66">
        <f>IF($AB130="TGD",ROUND($E130*(1+$AD130)^(Z$4-$E$4),0),IF($AB130="ALTH",ROUND($AE130+$AF130*Z$4,0),IF($AB130="IR",ROUND(Proyeccion_Localidades!AW130,0),IF($AB130="RT",ROUND(Proyeccion_Localidades!BT130,0),"*****"))))</f>
        <v>25015</v>
      </c>
      <c r="AA130" s="66">
        <f>IF($AB130="TGD",ROUND($E130*(1+$AD130)^(AA$4-$E$4),0),IF($AB130="ALTH",ROUND($AE130+$AF130*AA$4,0),IF($AB130="IR",ROUND(Proyeccion_Localidades!AX130,0),IF($AB130="RT",ROUND(Proyeccion_Localidades!BU130,0),"*****"))))</f>
        <v>25273</v>
      </c>
      <c r="AB130" s="67" t="str">
        <f>Proyeccion_Localidades!N130</f>
        <v>ALTH</v>
      </c>
      <c r="AC130" s="68" t="s">
        <v>36</v>
      </c>
      <c r="AD130" s="51" t="str">
        <f>IF(AB130="TGD",Proyeccion_Localidades!Z130,"-")</f>
        <v>-</v>
      </c>
      <c r="AE130" s="51">
        <f>IF($AB130="ALTH",Proyeccion_Localidades!AA130,"-")</f>
        <v>-501974.63837638375</v>
      </c>
      <c r="AF130" s="51">
        <f>IF($AB130="ALTH",Proyeccion_Localidades!AB130,"-")</f>
        <v>257.82287822878226</v>
      </c>
      <c r="AG130" s="51"/>
      <c r="AH130" s="51"/>
      <c r="AI130" s="66">
        <f t="shared" si="5"/>
        <v>19601</v>
      </c>
    </row>
    <row r="131" spans="1:35" ht="24.95" customHeight="1">
      <c r="A131" s="86" t="str">
        <f>+Proyeccion_Localidades!C131</f>
        <v>San Antonio de Areco</v>
      </c>
      <c r="B131" s="70">
        <f t="shared" si="7"/>
        <v>120</v>
      </c>
      <c r="C131" s="88" t="str">
        <f>+Proyeccion_Localidades!B131</f>
        <v>San Antonio de Areco</v>
      </c>
      <c r="D131" s="261">
        <f t="shared" si="6"/>
        <v>120</v>
      </c>
      <c r="E131" s="72">
        <f>+Proyeccion_Localidades!F131</f>
        <v>19768</v>
      </c>
      <c r="F131" s="66">
        <f>IF($AB131="TGD",ROUND($E131*(1+$AD131)^(F$4-$E$4),0),IF($AB131="ALTH",ROUND($AE131+$AF131*F$4,0),IF($AB131="IR",ROUND(Proyeccion_Localidades!AC131,0),IF($AB131="RT",ROUND(Proyeccion_Localidades!AZ131,0),"*****"))))</f>
        <v>22554</v>
      </c>
      <c r="G131" s="66">
        <f>IF($AB131="TGD",ROUND($E131*(1+$AD131)^(G$4-$E$4),0),IF($AB131="ALTH",ROUND($AE131+$AF131*G$4,0),IF($AB131="IR",ROUND(Proyeccion_Localidades!AD131,0),IF($AB131="RT",ROUND(Proyeccion_Localidades!BA131,0),"*****"))))</f>
        <v>22784</v>
      </c>
      <c r="H131" s="66">
        <f>IF($AB131="TGD",ROUND($E131*(1+$AD131)^(H$4-$E$4),0),IF($AB131="ALTH",ROUND($AE131+$AF131*H$4,0),IF($AB131="IR",ROUND(Proyeccion_Localidades!AE131,0),IF($AB131="RT",ROUND(Proyeccion_Localidades!BB131,0),"*****"))))</f>
        <v>23475</v>
      </c>
      <c r="I131" s="66">
        <f>IF($AB131="TGD",ROUND($E131*(1+$AD131)^(I$4-$E$4),0),IF($AB131="ALTH",ROUND($AE131+$AF131*I$4,0),IF($AB131="IR",ROUND(Proyeccion_Localidades!AF131,0),IF($AB131="RT",ROUND(Proyeccion_Localidades!BC131,0),"*****"))))</f>
        <v>23705</v>
      </c>
      <c r="J131" s="66">
        <f>IF($AB131="TGD",ROUND($E131*(1+$AD131)^(J$4-$E$4),0),IF($AB131="ALTH",ROUND($AE131+$AF131*J$4,0),IF($AB131="IR",ROUND(Proyeccion_Localidades!AG131,0),IF($AB131="RT",ROUND(Proyeccion_Localidades!BD131,0),"*****"))))</f>
        <v>23936</v>
      </c>
      <c r="K131" s="66">
        <f>IF($AB131="TGD",ROUND($E131*(1+$AD131)^(K$4-$E$4),0),IF($AB131="ALTH",ROUND($AE131+$AF131*K$4,0),IF($AB131="IR",ROUND(Proyeccion_Localidades!AH131,0),IF($AB131="RT",ROUND(Proyeccion_Localidades!BE131,0),"*****"))))</f>
        <v>24166</v>
      </c>
      <c r="L131" s="66">
        <f>IF($AB131="TGD",ROUND($E131*(1+$AD131)^(L$4-$E$4),0),IF($AB131="ALTH",ROUND($AE131+$AF131*L$4,0),IF($AB131="IR",ROUND(Proyeccion_Localidades!AI131,0),IF($AB131="RT",ROUND(Proyeccion_Localidades!BF131,0),"*****"))))</f>
        <v>24396</v>
      </c>
      <c r="M131" s="66">
        <f>IF($AB131="TGD",ROUND($E131*(1+$AD131)^(M$4-$E$4),0),IF($AB131="ALTH",ROUND($AE131+$AF131*M$4,0),IF($AB131="IR",ROUND(Proyeccion_Localidades!AJ131,0),IF($AB131="RT",ROUND(Proyeccion_Localidades!BG131,0),"*****"))))</f>
        <v>24626</v>
      </c>
      <c r="N131" s="66">
        <f>IF($AB131="TGD",ROUND($E131*(1+$AD131)^(N$4-$E$4),0),IF($AB131="ALTH",ROUND($AE131+$AF131*N$4,0),IF($AB131="IR",ROUND(Proyeccion_Localidades!AK131,0),IF($AB131="RT",ROUND(Proyeccion_Localidades!BH131,0),"*****"))))</f>
        <v>24857</v>
      </c>
      <c r="O131" s="66">
        <f>IF($AB131="TGD",ROUND($E131*(1+$AD131)^(O$4-$E$4),0),IF($AB131="ALTH",ROUND($AE131+$AF131*O$4,0),IF($AB131="IR",ROUND(Proyeccion_Localidades!AL131,0),IF($AB131="RT",ROUND(Proyeccion_Localidades!BI131,0),"*****"))))</f>
        <v>25087</v>
      </c>
      <c r="P131" s="66">
        <f>IF($AB131="TGD",ROUND($E131*(1+$AD131)^(P$4-$E$4),0),IF($AB131="ALTH",ROUND($AE131+$AF131*P$4,0),IF($AB131="IR",ROUND(Proyeccion_Localidades!AM131,0),IF($AB131="RT",ROUND(Proyeccion_Localidades!BJ131,0),"*****"))))</f>
        <v>25317</v>
      </c>
      <c r="Q131" s="66">
        <f>IF($AB131="TGD",ROUND($E131*(1+$AD131)^(Q$4-$E$4),0),IF($AB131="ALTH",ROUND($AE131+$AF131*Q$4,0),IF($AB131="IR",ROUND(Proyeccion_Localidades!AN131,0),IF($AB131="RT",ROUND(Proyeccion_Localidades!BK131,0),"*****"))))</f>
        <v>25547</v>
      </c>
      <c r="R131" s="66">
        <f>IF($AB131="TGD",ROUND($E131*(1+$AD131)^(R$4-$E$4),0),IF($AB131="ALTH",ROUND($AE131+$AF131*R$4,0),IF($AB131="IR",ROUND(Proyeccion_Localidades!AO131,0),IF($AB131="RT",ROUND(Proyeccion_Localidades!BL131,0),"*****"))))</f>
        <v>25777</v>
      </c>
      <c r="S131" s="66">
        <f>IF($AB131="TGD",ROUND($E131*(1+$AD131)^(S$4-$E$4),0),IF($AB131="ALTH",ROUND($AE131+$AF131*S$4,0),IF($AB131="IR",ROUND(Proyeccion_Localidades!AP131,0),IF($AB131="RT",ROUND(Proyeccion_Localidades!BM131,0),"*****"))))</f>
        <v>26008</v>
      </c>
      <c r="T131" s="66">
        <f>IF($AB131="TGD",ROUND($E131*(1+$AD131)^(T$4-$E$4),0),IF($AB131="ALTH",ROUND($AE131+$AF131*T$4,0),IF($AB131="IR",ROUND(Proyeccion_Localidades!AQ131,0),IF($AB131="RT",ROUND(Proyeccion_Localidades!BN131,0),"*****"))))</f>
        <v>26238</v>
      </c>
      <c r="U131" s="66">
        <f>IF($AB131="TGD",ROUND($E131*(1+$AD131)^(U$4-$E$4),0),IF($AB131="ALTH",ROUND($AE131+$AF131*U$4,0),IF($AB131="IR",ROUND(Proyeccion_Localidades!AR131,0),IF($AB131="RT",ROUND(Proyeccion_Localidades!BO131,0),"*****"))))</f>
        <v>26468</v>
      </c>
      <c r="V131" s="66">
        <f>IF($AB131="TGD",ROUND($E131*(1+$AD131)^(V$4-$E$4),0),IF($AB131="ALTH",ROUND($AE131+$AF131*V$4,0),IF($AB131="IR",ROUND(Proyeccion_Localidades!AS131,0),IF($AB131="RT",ROUND(Proyeccion_Localidades!BP131,0),"*****"))))</f>
        <v>26698</v>
      </c>
      <c r="W131" s="66">
        <f>IF($AB131="TGD",ROUND($E131*(1+$AD131)^(W$4-$E$4),0),IF($AB131="ALTH",ROUND($AE131+$AF131*W$4,0),IF($AB131="IR",ROUND(Proyeccion_Localidades!AT131,0),IF($AB131="RT",ROUND(Proyeccion_Localidades!BQ131,0),"*****"))))</f>
        <v>26929</v>
      </c>
      <c r="X131" s="66">
        <f>IF($AB131="TGD",ROUND($E131*(1+$AD131)^(X$4-$E$4),0),IF($AB131="ALTH",ROUND($AE131+$AF131*X$4,0),IF($AB131="IR",ROUND(Proyeccion_Localidades!AU131,0),IF($AB131="RT",ROUND(Proyeccion_Localidades!BR131,0),"*****"))))</f>
        <v>27159</v>
      </c>
      <c r="Y131" s="66">
        <f>IF($AB131="TGD",ROUND($E131*(1+$AD131)^(Y$4-$E$4),0),IF($AB131="ALTH",ROUND($AE131+$AF131*Y$4,0),IF($AB131="IR",ROUND(Proyeccion_Localidades!AV131,0),IF($AB131="RT",ROUND(Proyeccion_Localidades!BS131,0),"*****"))))</f>
        <v>27389</v>
      </c>
      <c r="Z131" s="66">
        <f>IF($AB131="TGD",ROUND($E131*(1+$AD131)^(Z$4-$E$4),0),IF($AB131="ALTH",ROUND($AE131+$AF131*Z$4,0),IF($AB131="IR",ROUND(Proyeccion_Localidades!AW131,0),IF($AB131="RT",ROUND(Proyeccion_Localidades!BT131,0),"*****"))))</f>
        <v>27619</v>
      </c>
      <c r="AA131" s="66">
        <f>IF($AB131="TGD",ROUND($E131*(1+$AD131)^(AA$4-$E$4),0),IF($AB131="ALTH",ROUND($AE131+$AF131*AA$4,0),IF($AB131="IR",ROUND(Proyeccion_Localidades!AX131,0),IF($AB131="RT",ROUND(Proyeccion_Localidades!BU131,0),"*****"))))</f>
        <v>27849</v>
      </c>
      <c r="AB131" s="67" t="str">
        <f>Proyeccion_Localidades!N131</f>
        <v>ALTH</v>
      </c>
      <c r="AC131" s="68" t="s">
        <v>36</v>
      </c>
      <c r="AD131" s="51" t="str">
        <f>IF(AB131="TGD",Proyeccion_Localidades!Z131,"-")</f>
        <v>-</v>
      </c>
      <c r="AE131" s="51">
        <f>IF($AB131="ALTH",Proyeccion_Localidades!AA131,"-")</f>
        <v>-442968.38376383763</v>
      </c>
      <c r="AF131" s="51">
        <f>IF($AB131="ALTH",Proyeccion_Localidades!AB131,"-")</f>
        <v>230.22878228782287</v>
      </c>
      <c r="AG131" s="51"/>
      <c r="AH131" s="51"/>
      <c r="AI131" s="66">
        <f t="shared" si="5"/>
        <v>22784</v>
      </c>
    </row>
    <row r="132" spans="1:35" ht="24.95" customHeight="1">
      <c r="A132" s="86" t="str">
        <f>+Proyeccion_Localidades!C132</f>
        <v>San Cayetano</v>
      </c>
      <c r="B132" s="70">
        <f t="shared" si="7"/>
        <v>121</v>
      </c>
      <c r="C132" s="88" t="str">
        <f>+Proyeccion_Localidades!B132</f>
        <v>San Cayetano</v>
      </c>
      <c r="D132" s="261">
        <f t="shared" si="6"/>
        <v>121</v>
      </c>
      <c r="E132" s="72">
        <f>+Proyeccion_Localidades!F132</f>
        <v>7354</v>
      </c>
      <c r="F132" s="66">
        <f>IF($AB132="TGD",ROUND($E132*(1+$AD132)^(F$4-$E$4),0),IF($AB132="ALTH",ROUND($AE132+$AF132*F$4,0),IF($AB132="IR",ROUND(Proyeccion_Localidades!AC132,0),IF($AB132="RT",ROUND(Proyeccion_Localidades!AZ132,0),"*****"))))</f>
        <v>8233</v>
      </c>
      <c r="G132" s="66">
        <f>IF($AB132="TGD",ROUND($E132*(1+$AD132)^(G$4-$E$4),0),IF($AB132="ALTH",ROUND($AE132+$AF132*G$4,0),IF($AB132="IR",ROUND(Proyeccion_Localidades!AD132,0),IF($AB132="RT",ROUND(Proyeccion_Localidades!BA132,0),"*****"))))</f>
        <v>8311</v>
      </c>
      <c r="H132" s="66">
        <f>IF($AB132="TGD",ROUND($E132*(1+$AD132)^(H$4-$E$4),0),IF($AB132="ALTH",ROUND($AE132+$AF132*H$4,0),IF($AB132="IR",ROUND(Proyeccion_Localidades!AE132,0),IF($AB132="RT",ROUND(Proyeccion_Localidades!BB132,0),"*****"))))</f>
        <v>8549</v>
      </c>
      <c r="I132" s="66">
        <f>IF($AB132="TGD",ROUND($E132*(1+$AD132)^(I$4-$E$4),0),IF($AB132="ALTH",ROUND($AE132+$AF132*I$4,0),IF($AB132="IR",ROUND(Proyeccion_Localidades!AF132,0),IF($AB132="RT",ROUND(Proyeccion_Localidades!BC132,0),"*****"))))</f>
        <v>8629</v>
      </c>
      <c r="J132" s="66">
        <f>IF($AB132="TGD",ROUND($E132*(1+$AD132)^(J$4-$E$4),0),IF($AB132="ALTH",ROUND($AE132+$AF132*J$4,0),IF($AB132="IR",ROUND(Proyeccion_Localidades!AG132,0),IF($AB132="RT",ROUND(Proyeccion_Localidades!BD132,0),"*****"))))</f>
        <v>8711</v>
      </c>
      <c r="K132" s="66">
        <f>IF($AB132="TGD",ROUND($E132*(1+$AD132)^(K$4-$E$4),0),IF($AB132="ALTH",ROUND($AE132+$AF132*K$4,0),IF($AB132="IR",ROUND(Proyeccion_Localidades!AH132,0),IF($AB132="RT",ROUND(Proyeccion_Localidades!BE132,0),"*****"))))</f>
        <v>8793</v>
      </c>
      <c r="L132" s="66">
        <f>IF($AB132="TGD",ROUND($E132*(1+$AD132)^(L$4-$E$4),0),IF($AB132="ALTH",ROUND($AE132+$AF132*L$4,0),IF($AB132="IR",ROUND(Proyeccion_Localidades!AI132,0),IF($AB132="RT",ROUND(Proyeccion_Localidades!BF132,0),"*****"))))</f>
        <v>8876</v>
      </c>
      <c r="M132" s="66">
        <f>IF($AB132="TGD",ROUND($E132*(1+$AD132)^(M$4-$E$4),0),IF($AB132="ALTH",ROUND($AE132+$AF132*M$4,0),IF($AB132="IR",ROUND(Proyeccion_Localidades!AJ132,0),IF($AB132="RT",ROUND(Proyeccion_Localidades!BG132,0),"*****"))))</f>
        <v>8960</v>
      </c>
      <c r="N132" s="66">
        <f>IF($AB132="TGD",ROUND($E132*(1+$AD132)^(N$4-$E$4),0),IF($AB132="ALTH",ROUND($AE132+$AF132*N$4,0),IF($AB132="IR",ROUND(Proyeccion_Localidades!AK132,0),IF($AB132="RT",ROUND(Proyeccion_Localidades!BH132,0),"*****"))))</f>
        <v>9045</v>
      </c>
      <c r="O132" s="66">
        <f>IF($AB132="TGD",ROUND($E132*(1+$AD132)^(O$4-$E$4),0),IF($AB132="ALTH",ROUND($AE132+$AF132*O$4,0),IF($AB132="IR",ROUND(Proyeccion_Localidades!AL132,0),IF($AB132="RT",ROUND(Proyeccion_Localidades!BI132,0),"*****"))))</f>
        <v>9130</v>
      </c>
      <c r="P132" s="66">
        <f>IF($AB132="TGD",ROUND($E132*(1+$AD132)^(P$4-$E$4),0),IF($AB132="ALTH",ROUND($AE132+$AF132*P$4,0),IF($AB132="IR",ROUND(Proyeccion_Localidades!AM132,0),IF($AB132="RT",ROUND(Proyeccion_Localidades!BJ132,0),"*****"))))</f>
        <v>9217</v>
      </c>
      <c r="Q132" s="66">
        <f>IF($AB132="TGD",ROUND($E132*(1+$AD132)^(Q$4-$E$4),0),IF($AB132="ALTH",ROUND($AE132+$AF132*Q$4,0),IF($AB132="IR",ROUND(Proyeccion_Localidades!AN132,0),IF($AB132="RT",ROUND(Proyeccion_Localidades!BK132,0),"*****"))))</f>
        <v>9304</v>
      </c>
      <c r="R132" s="66">
        <f>IF($AB132="TGD",ROUND($E132*(1+$AD132)^(R$4-$E$4),0),IF($AB132="ALTH",ROUND($AE132+$AF132*R$4,0),IF($AB132="IR",ROUND(Proyeccion_Localidades!AO132,0),IF($AB132="RT",ROUND(Proyeccion_Localidades!BL132,0),"*****"))))</f>
        <v>9392</v>
      </c>
      <c r="S132" s="66">
        <f>IF($AB132="TGD",ROUND($E132*(1+$AD132)^(S$4-$E$4),0),IF($AB132="ALTH",ROUND($AE132+$AF132*S$4,0),IF($AB132="IR",ROUND(Proyeccion_Localidades!AP132,0),IF($AB132="RT",ROUND(Proyeccion_Localidades!BM132,0),"*****"))))</f>
        <v>9481</v>
      </c>
      <c r="T132" s="66">
        <f>IF($AB132="TGD",ROUND($E132*(1+$AD132)^(T$4-$E$4),0),IF($AB132="ALTH",ROUND($AE132+$AF132*T$4,0),IF($AB132="IR",ROUND(Proyeccion_Localidades!AQ132,0),IF($AB132="RT",ROUND(Proyeccion_Localidades!BN132,0),"*****"))))</f>
        <v>9570</v>
      </c>
      <c r="U132" s="66">
        <f>IF($AB132="TGD",ROUND($E132*(1+$AD132)^(U$4-$E$4),0),IF($AB132="ALTH",ROUND($AE132+$AF132*U$4,0),IF($AB132="IR",ROUND(Proyeccion_Localidades!AR132,0),IF($AB132="RT",ROUND(Proyeccion_Localidades!BO132,0),"*****"))))</f>
        <v>9661</v>
      </c>
      <c r="V132" s="66">
        <f>IF($AB132="TGD",ROUND($E132*(1+$AD132)^(V$4-$E$4),0),IF($AB132="ALTH",ROUND($AE132+$AF132*V$4,0),IF($AB132="IR",ROUND(Proyeccion_Localidades!AS132,0),IF($AB132="RT",ROUND(Proyeccion_Localidades!BP132,0),"*****"))))</f>
        <v>9752</v>
      </c>
      <c r="W132" s="66">
        <f>IF($AB132="TGD",ROUND($E132*(1+$AD132)^(W$4-$E$4),0),IF($AB132="ALTH",ROUND($AE132+$AF132*W$4,0),IF($AB132="IR",ROUND(Proyeccion_Localidades!AT132,0),IF($AB132="RT",ROUND(Proyeccion_Localidades!BQ132,0),"*****"))))</f>
        <v>9844</v>
      </c>
      <c r="X132" s="66">
        <f>IF($AB132="TGD",ROUND($E132*(1+$AD132)^(X$4-$E$4),0),IF($AB132="ALTH",ROUND($AE132+$AF132*X$4,0),IF($AB132="IR",ROUND(Proyeccion_Localidades!AU132,0),IF($AB132="RT",ROUND(Proyeccion_Localidades!BR132,0),"*****"))))</f>
        <v>9937</v>
      </c>
      <c r="Y132" s="66">
        <f>IF($AB132="TGD",ROUND($E132*(1+$AD132)^(Y$4-$E$4),0),IF($AB132="ALTH",ROUND($AE132+$AF132*Y$4,0),IF($AB132="IR",ROUND(Proyeccion_Localidades!AV132,0),IF($AB132="RT",ROUND(Proyeccion_Localidades!BS132,0),"*****"))))</f>
        <v>10031</v>
      </c>
      <c r="Z132" s="66">
        <f>IF($AB132="TGD",ROUND($E132*(1+$AD132)^(Z$4-$E$4),0),IF($AB132="ALTH",ROUND($AE132+$AF132*Z$4,0),IF($AB132="IR",ROUND(Proyeccion_Localidades!AW132,0),IF($AB132="RT",ROUND(Proyeccion_Localidades!BT132,0),"*****"))))</f>
        <v>10126</v>
      </c>
      <c r="AA132" s="66">
        <f>IF($AB132="TGD",ROUND($E132*(1+$AD132)^(AA$4-$E$4),0),IF($AB132="ALTH",ROUND($AE132+$AF132*AA$4,0),IF($AB132="IR",ROUND(Proyeccion_Localidades!AX132,0),IF($AB132="RT",ROUND(Proyeccion_Localidades!BU132,0),"*****"))))</f>
        <v>10222</v>
      </c>
      <c r="AB132" s="67" t="str">
        <f>Proyeccion_Localidades!N132</f>
        <v>TGD</v>
      </c>
      <c r="AC132" s="68" t="s">
        <v>35</v>
      </c>
      <c r="AD132" s="51">
        <f>IF(AB132="TGD",Proyeccion_Localidades!Z132,"-")</f>
        <v>9.4516516457401334E-3</v>
      </c>
      <c r="AE132" s="51" t="str">
        <f>IF($AB132="ALTH",Proyeccion_Localidades!AA132,"-")</f>
        <v>-</v>
      </c>
      <c r="AF132" s="51" t="str">
        <f>IF($AB132="ALTH",Proyeccion_Localidades!AB132,"-")</f>
        <v>-</v>
      </c>
      <c r="AG132" s="51"/>
      <c r="AH132" s="51"/>
      <c r="AI132" s="66">
        <f t="shared" si="5"/>
        <v>8311</v>
      </c>
    </row>
    <row r="133" spans="1:35" ht="24.95" customHeight="1">
      <c r="A133" s="86" t="str">
        <f>+Proyeccion_Localidades!C133</f>
        <v>San Nicolás</v>
      </c>
      <c r="B133" s="70">
        <f t="shared" si="7"/>
        <v>122</v>
      </c>
      <c r="C133" s="88" t="str">
        <f>+Proyeccion_Localidades!B133</f>
        <v>San Nicolás de los Arroyos</v>
      </c>
      <c r="D133" s="261">
        <f t="shared" si="6"/>
        <v>122</v>
      </c>
      <c r="E133" s="72">
        <f>+Proyeccion_Localidades!F133</f>
        <v>133602</v>
      </c>
      <c r="F133" s="66">
        <f>IF($AB133="TGD",ROUND($E133*(1+$AD133)^(F$4-$E$4),0),IF($AB133="ALTH",ROUND($AE133+$AF133*F$4,0),IF($AB133="IR",ROUND(Proyeccion_Localidades!AC133,0),IF($AB133="RT",ROUND(Proyeccion_Localidades!AZ133,0),"*****"))))</f>
        <v>151867</v>
      </c>
      <c r="G133" s="66">
        <f>IF($AB133="TGD",ROUND($E133*(1+$AD133)^(G$4-$E$4),0),IF($AB133="ALTH",ROUND($AE133+$AF133*G$4,0),IF($AB133="IR",ROUND(Proyeccion_Localidades!AD133,0),IF($AB133="RT",ROUND(Proyeccion_Localidades!BA133,0),"*****"))))</f>
        <v>153555</v>
      </c>
      <c r="H133" s="66">
        <f>IF($AB133="TGD",ROUND($E133*(1+$AD133)^(H$4-$E$4),0),IF($AB133="ALTH",ROUND($AE133+$AF133*H$4,0),IF($AB133="IR",ROUND(Proyeccion_Localidades!AE133,0),IF($AB133="RT",ROUND(Proyeccion_Localidades!BB133,0),"*****"))))</f>
        <v>158787</v>
      </c>
      <c r="I133" s="66">
        <f>IF($AB133="TGD",ROUND($E133*(1+$AD133)^(I$4-$E$4),0),IF($AB133="ALTH",ROUND($AE133+$AF133*I$4,0),IF($AB133="IR",ROUND(Proyeccion_Localidades!AF133,0),IF($AB133="RT",ROUND(Proyeccion_Localidades!BC133,0),"*****"))))</f>
        <v>160588</v>
      </c>
      <c r="J133" s="66">
        <f>IF($AB133="TGD",ROUND($E133*(1+$AD133)^(J$4-$E$4),0),IF($AB133="ALTH",ROUND($AE133+$AF133*J$4,0),IF($AB133="IR",ROUND(Proyeccion_Localidades!AG133,0),IF($AB133="RT",ROUND(Proyeccion_Localidades!BD133,0),"*****"))))</f>
        <v>162418</v>
      </c>
      <c r="K133" s="66">
        <f>IF($AB133="TGD",ROUND($E133*(1+$AD133)^(K$4-$E$4),0),IF($AB133="ALTH",ROUND($AE133+$AF133*K$4,0),IF($AB133="IR",ROUND(Proyeccion_Localidades!AH133,0),IF($AB133="RT",ROUND(Proyeccion_Localidades!BE133,0),"*****"))))</f>
        <v>164279</v>
      </c>
      <c r="L133" s="66">
        <f>IF($AB133="TGD",ROUND($E133*(1+$AD133)^(L$4-$E$4),0),IF($AB133="ALTH",ROUND($AE133+$AF133*L$4,0),IF($AB133="IR",ROUND(Proyeccion_Localidades!AI133,0),IF($AB133="RT",ROUND(Proyeccion_Localidades!BF133,0),"*****"))))</f>
        <v>166169</v>
      </c>
      <c r="M133" s="66">
        <f>IF($AB133="TGD",ROUND($E133*(1+$AD133)^(M$4-$E$4),0),IF($AB133="ALTH",ROUND($AE133+$AF133*M$4,0),IF($AB133="IR",ROUND(Proyeccion_Localidades!AJ133,0),IF($AB133="RT",ROUND(Proyeccion_Localidades!BG133,0),"*****"))))</f>
        <v>168091</v>
      </c>
      <c r="N133" s="66">
        <f>IF($AB133="TGD",ROUND($E133*(1+$AD133)^(N$4-$E$4),0),IF($AB133="ALTH",ROUND($AE133+$AF133*N$4,0),IF($AB133="IR",ROUND(Proyeccion_Localidades!AK133,0),IF($AB133="RT",ROUND(Proyeccion_Localidades!BH133,0),"*****"))))</f>
        <v>170044</v>
      </c>
      <c r="O133" s="66">
        <f>IF($AB133="TGD",ROUND($E133*(1+$AD133)^(O$4-$E$4),0),IF($AB133="ALTH",ROUND($AE133+$AF133*O$4,0),IF($AB133="IR",ROUND(Proyeccion_Localidades!AL133,0),IF($AB133="RT",ROUND(Proyeccion_Localidades!BI133,0),"*****"))))</f>
        <v>172029</v>
      </c>
      <c r="P133" s="66">
        <f>IF($AB133="TGD",ROUND($E133*(1+$AD133)^(P$4-$E$4),0),IF($AB133="ALTH",ROUND($AE133+$AF133*P$4,0),IF($AB133="IR",ROUND(Proyeccion_Localidades!AM133,0),IF($AB133="RT",ROUND(Proyeccion_Localidades!BJ133,0),"*****"))))</f>
        <v>174046</v>
      </c>
      <c r="Q133" s="66">
        <f>IF($AB133="TGD",ROUND($E133*(1+$AD133)^(Q$4-$E$4),0),IF($AB133="ALTH",ROUND($AE133+$AF133*Q$4,0),IF($AB133="IR",ROUND(Proyeccion_Localidades!AN133,0),IF($AB133="RT",ROUND(Proyeccion_Localidades!BK133,0),"*****"))))</f>
        <v>176096</v>
      </c>
      <c r="R133" s="66">
        <f>IF($AB133="TGD",ROUND($E133*(1+$AD133)^(R$4-$E$4),0),IF($AB133="ALTH",ROUND($AE133+$AF133*R$4,0),IF($AB133="IR",ROUND(Proyeccion_Localidades!AO133,0),IF($AB133="RT",ROUND(Proyeccion_Localidades!BL133,0),"*****"))))</f>
        <v>178179</v>
      </c>
      <c r="S133" s="66">
        <f>IF($AB133="TGD",ROUND($E133*(1+$AD133)^(S$4-$E$4),0),IF($AB133="ALTH",ROUND($AE133+$AF133*S$4,0),IF($AB133="IR",ROUND(Proyeccion_Localidades!AP133,0),IF($AB133="RT",ROUND(Proyeccion_Localidades!BM133,0),"*****"))))</f>
        <v>180297</v>
      </c>
      <c r="T133" s="66">
        <f>IF($AB133="TGD",ROUND($E133*(1+$AD133)^(T$4-$E$4),0),IF($AB133="ALTH",ROUND($AE133+$AF133*T$4,0),IF($AB133="IR",ROUND(Proyeccion_Localidades!AQ133,0),IF($AB133="RT",ROUND(Proyeccion_Localidades!BN133,0),"*****"))))</f>
        <v>182449</v>
      </c>
      <c r="U133" s="66">
        <f>IF($AB133="TGD",ROUND($E133*(1+$AD133)^(U$4-$E$4),0),IF($AB133="ALTH",ROUND($AE133+$AF133*U$4,0),IF($AB133="IR",ROUND(Proyeccion_Localidades!AR133,0),IF($AB133="RT",ROUND(Proyeccion_Localidades!BO133,0),"*****"))))</f>
        <v>184636</v>
      </c>
      <c r="V133" s="66">
        <f>IF($AB133="TGD",ROUND($E133*(1+$AD133)^(V$4-$E$4),0),IF($AB133="ALTH",ROUND($AE133+$AF133*V$4,0),IF($AB133="IR",ROUND(Proyeccion_Localidades!AS133,0),IF($AB133="RT",ROUND(Proyeccion_Localidades!BP133,0),"*****"))))</f>
        <v>186858</v>
      </c>
      <c r="W133" s="66">
        <f>IF($AB133="TGD",ROUND($E133*(1+$AD133)^(W$4-$E$4),0),IF($AB133="ALTH",ROUND($AE133+$AF133*W$4,0),IF($AB133="IR",ROUND(Proyeccion_Localidades!AT133,0),IF($AB133="RT",ROUND(Proyeccion_Localidades!BQ133,0),"*****"))))</f>
        <v>189118</v>
      </c>
      <c r="X133" s="66">
        <f>IF($AB133="TGD",ROUND($E133*(1+$AD133)^(X$4-$E$4),0),IF($AB133="ALTH",ROUND($AE133+$AF133*X$4,0),IF($AB133="IR",ROUND(Proyeccion_Localidades!AU133,0),IF($AB133="RT",ROUND(Proyeccion_Localidades!BR133,0),"*****"))))</f>
        <v>191413</v>
      </c>
      <c r="Y133" s="66">
        <f>IF($AB133="TGD",ROUND($E133*(1+$AD133)^(Y$4-$E$4),0),IF($AB133="ALTH",ROUND($AE133+$AF133*Y$4,0),IF($AB133="IR",ROUND(Proyeccion_Localidades!AV133,0),IF($AB133="RT",ROUND(Proyeccion_Localidades!BS133,0),"*****"))))</f>
        <v>193747</v>
      </c>
      <c r="Z133" s="66">
        <f>IF($AB133="TGD",ROUND($E133*(1+$AD133)^(Z$4-$E$4),0),IF($AB133="ALTH",ROUND($AE133+$AF133*Z$4,0),IF($AB133="IR",ROUND(Proyeccion_Localidades!AW133,0),IF($AB133="RT",ROUND(Proyeccion_Localidades!BT133,0),"*****"))))</f>
        <v>196118</v>
      </c>
      <c r="AA133" s="66">
        <f>IF($AB133="TGD",ROUND($E133*(1+$AD133)^(AA$4-$E$4),0),IF($AB133="ALTH",ROUND($AE133+$AF133*AA$4,0),IF($AB133="IR",ROUND(Proyeccion_Localidades!AX133,0),IF($AB133="RT",ROUND(Proyeccion_Localidades!BU133,0),"*****"))))</f>
        <v>198528</v>
      </c>
      <c r="AB133" s="67" t="str">
        <f>Proyeccion_Localidades!N133</f>
        <v>IR</v>
      </c>
      <c r="AC133" s="73"/>
      <c r="AD133" s="51" t="str">
        <f>IF(AB133="TGD",Proyeccion_Localidades!Z133,"-")</f>
        <v>-</v>
      </c>
      <c r="AE133" s="51" t="str">
        <f>IF($AB133="ALTH",Proyeccion_Localidades!AA133,"-")</f>
        <v>-</v>
      </c>
      <c r="AF133" s="51" t="str">
        <f>IF($AB133="ALTH",Proyeccion_Localidades!AB133,"-")</f>
        <v>-</v>
      </c>
      <c r="AG133" s="51"/>
      <c r="AH133" s="51"/>
      <c r="AI133" s="66">
        <f t="shared" si="5"/>
        <v>153555</v>
      </c>
    </row>
    <row r="134" spans="1:35" ht="24.95" customHeight="1">
      <c r="A134" s="86" t="str">
        <f>+Proyeccion_Localidades!C134</f>
        <v>San Pedro</v>
      </c>
      <c r="B134" s="70">
        <f t="shared" si="7"/>
        <v>123</v>
      </c>
      <c r="C134" s="88" t="str">
        <f>+Proyeccion_Localidades!B134</f>
        <v>San Pedro</v>
      </c>
      <c r="D134" s="261">
        <f t="shared" si="6"/>
        <v>123</v>
      </c>
      <c r="E134" s="72">
        <f>+Proyeccion_Localidades!F134</f>
        <v>47452</v>
      </c>
      <c r="F134" s="66">
        <f>IF($AB134="TGD",ROUND($E134*(1+$AD134)^(F$4-$E$4),0),IF($AB134="ALTH",ROUND($AE134+$AF134*F$4,0),IF($AB134="IR",ROUND(Proyeccion_Localidades!AC134,0),IF($AB134="RT",ROUND(Proyeccion_Localidades!AZ134,0),"*****"))))</f>
        <v>55571</v>
      </c>
      <c r="G134" s="66">
        <f>IF($AB134="TGD",ROUND($E134*(1+$AD134)^(G$4-$E$4),0),IF($AB134="ALTH",ROUND($AE134+$AF134*G$4,0),IF($AB134="IR",ROUND(Proyeccion_Localidades!AD134,0),IF($AB134="RT",ROUND(Proyeccion_Localidades!BA134,0),"*****"))))</f>
        <v>56308</v>
      </c>
      <c r="H134" s="66">
        <f>IF($AB134="TGD",ROUND($E134*(1+$AD134)^(H$4-$E$4),0),IF($AB134="ALTH",ROUND($AE134+$AF134*H$4,0),IF($AB134="IR",ROUND(Proyeccion_Localidades!AE134,0),IF($AB134="RT",ROUND(Proyeccion_Localidades!BB134,0),"*****"))))</f>
        <v>58575</v>
      </c>
      <c r="I134" s="66">
        <f>IF($AB134="TGD",ROUND($E134*(1+$AD134)^(I$4-$E$4),0),IF($AB134="ALTH",ROUND($AE134+$AF134*I$4,0),IF($AB134="IR",ROUND(Proyeccion_Localidades!AF134,0),IF($AB134="RT",ROUND(Proyeccion_Localidades!BC134,0),"*****"))))</f>
        <v>59351</v>
      </c>
      <c r="J134" s="66">
        <f>IF($AB134="TGD",ROUND($E134*(1+$AD134)^(J$4-$E$4),0),IF($AB134="ALTH",ROUND($AE134+$AF134*J$4,0),IF($AB134="IR",ROUND(Proyeccion_Localidades!AG134,0),IF($AB134="RT",ROUND(Proyeccion_Localidades!BD134,0),"*****"))))</f>
        <v>60138</v>
      </c>
      <c r="K134" s="66">
        <f>IF($AB134="TGD",ROUND($E134*(1+$AD134)^(K$4-$E$4),0),IF($AB134="ALTH",ROUND($AE134+$AF134*K$4,0),IF($AB134="IR",ROUND(Proyeccion_Localidades!AH134,0),IF($AB134="RT",ROUND(Proyeccion_Localidades!BE134,0),"*****"))))</f>
        <v>60935</v>
      </c>
      <c r="L134" s="66">
        <f>IF($AB134="TGD",ROUND($E134*(1+$AD134)^(L$4-$E$4),0),IF($AB134="ALTH",ROUND($AE134+$AF134*L$4,0),IF($AB134="IR",ROUND(Proyeccion_Localidades!AI134,0),IF($AB134="RT",ROUND(Proyeccion_Localidades!BF134,0),"*****"))))</f>
        <v>61742</v>
      </c>
      <c r="M134" s="66">
        <f>IF($AB134="TGD",ROUND($E134*(1+$AD134)^(M$4-$E$4),0),IF($AB134="ALTH",ROUND($AE134+$AF134*M$4,0),IF($AB134="IR",ROUND(Proyeccion_Localidades!AJ134,0),IF($AB134="RT",ROUND(Proyeccion_Localidades!BG134,0),"*****"))))</f>
        <v>62560</v>
      </c>
      <c r="N134" s="66">
        <f>IF($AB134="TGD",ROUND($E134*(1+$AD134)^(N$4-$E$4),0),IF($AB134="ALTH",ROUND($AE134+$AF134*N$4,0),IF($AB134="IR",ROUND(Proyeccion_Localidades!AK134,0),IF($AB134="RT",ROUND(Proyeccion_Localidades!BH134,0),"*****"))))</f>
        <v>63389</v>
      </c>
      <c r="O134" s="66">
        <f>IF($AB134="TGD",ROUND($E134*(1+$AD134)^(O$4-$E$4),0),IF($AB134="ALTH",ROUND($AE134+$AF134*O$4,0),IF($AB134="IR",ROUND(Proyeccion_Localidades!AL134,0),IF($AB134="RT",ROUND(Proyeccion_Localidades!BI134,0),"*****"))))</f>
        <v>64229</v>
      </c>
      <c r="P134" s="66">
        <f>IF($AB134="TGD",ROUND($E134*(1+$AD134)^(P$4-$E$4),0),IF($AB134="ALTH",ROUND($AE134+$AF134*P$4,0),IF($AB134="IR",ROUND(Proyeccion_Localidades!AM134,0),IF($AB134="RT",ROUND(Proyeccion_Localidades!BJ134,0),"*****"))))</f>
        <v>65080</v>
      </c>
      <c r="Q134" s="66">
        <f>IF($AB134="TGD",ROUND($E134*(1+$AD134)^(Q$4-$E$4),0),IF($AB134="ALTH",ROUND($AE134+$AF134*Q$4,0),IF($AB134="IR",ROUND(Proyeccion_Localidades!AN134,0),IF($AB134="RT",ROUND(Proyeccion_Localidades!BK134,0),"*****"))))</f>
        <v>65942</v>
      </c>
      <c r="R134" s="66">
        <f>IF($AB134="TGD",ROUND($E134*(1+$AD134)^(R$4-$E$4),0),IF($AB134="ALTH",ROUND($AE134+$AF134*R$4,0),IF($AB134="IR",ROUND(Proyeccion_Localidades!AO134,0),IF($AB134="RT",ROUND(Proyeccion_Localidades!BL134,0),"*****"))))</f>
        <v>66816</v>
      </c>
      <c r="S134" s="66">
        <f>IF($AB134="TGD",ROUND($E134*(1+$AD134)^(S$4-$E$4),0),IF($AB134="ALTH",ROUND($AE134+$AF134*S$4,0),IF($AB134="IR",ROUND(Proyeccion_Localidades!AP134,0),IF($AB134="RT",ROUND(Proyeccion_Localidades!BM134,0),"*****"))))</f>
        <v>67701</v>
      </c>
      <c r="T134" s="66">
        <f>IF($AB134="TGD",ROUND($E134*(1+$AD134)^(T$4-$E$4),0),IF($AB134="ALTH",ROUND($AE134+$AF134*T$4,0),IF($AB134="IR",ROUND(Proyeccion_Localidades!AQ134,0),IF($AB134="RT",ROUND(Proyeccion_Localidades!BN134,0),"*****"))))</f>
        <v>68598</v>
      </c>
      <c r="U134" s="66">
        <f>IF($AB134="TGD",ROUND($E134*(1+$AD134)^(U$4-$E$4),0),IF($AB134="ALTH",ROUND($AE134+$AF134*U$4,0),IF($AB134="IR",ROUND(Proyeccion_Localidades!AR134,0),IF($AB134="RT",ROUND(Proyeccion_Localidades!BO134,0),"*****"))))</f>
        <v>69507</v>
      </c>
      <c r="V134" s="66">
        <f>IF($AB134="TGD",ROUND($E134*(1+$AD134)^(V$4-$E$4),0),IF($AB134="ALTH",ROUND($AE134+$AF134*V$4,0),IF($AB134="IR",ROUND(Proyeccion_Localidades!AS134,0),IF($AB134="RT",ROUND(Proyeccion_Localidades!BP134,0),"*****"))))</f>
        <v>70428</v>
      </c>
      <c r="W134" s="66">
        <f>IF($AB134="TGD",ROUND($E134*(1+$AD134)^(W$4-$E$4),0),IF($AB134="ALTH",ROUND($AE134+$AF134*W$4,0),IF($AB134="IR",ROUND(Proyeccion_Localidades!AT134,0),IF($AB134="RT",ROUND(Proyeccion_Localidades!BQ134,0),"*****"))))</f>
        <v>71361</v>
      </c>
      <c r="X134" s="66">
        <f>IF($AB134="TGD",ROUND($E134*(1+$AD134)^(X$4-$E$4),0),IF($AB134="ALTH",ROUND($AE134+$AF134*X$4,0),IF($AB134="IR",ROUND(Proyeccion_Localidades!AU134,0),IF($AB134="RT",ROUND(Proyeccion_Localidades!BR134,0),"*****"))))</f>
        <v>72306</v>
      </c>
      <c r="Y134" s="66">
        <f>IF($AB134="TGD",ROUND($E134*(1+$AD134)^(Y$4-$E$4),0),IF($AB134="ALTH",ROUND($AE134+$AF134*Y$4,0),IF($AB134="IR",ROUND(Proyeccion_Localidades!AV134,0),IF($AB134="RT",ROUND(Proyeccion_Localidades!BS134,0),"*****"))))</f>
        <v>73264</v>
      </c>
      <c r="Z134" s="66">
        <f>IF($AB134="TGD",ROUND($E134*(1+$AD134)^(Z$4-$E$4),0),IF($AB134="ALTH",ROUND($AE134+$AF134*Z$4,0),IF($AB134="IR",ROUND(Proyeccion_Localidades!AW134,0),IF($AB134="RT",ROUND(Proyeccion_Localidades!BT134,0),"*****"))))</f>
        <v>74235</v>
      </c>
      <c r="AA134" s="66">
        <f>IF($AB134="TGD",ROUND($E134*(1+$AD134)^(AA$4-$E$4),0),IF($AB134="ALTH",ROUND($AE134+$AF134*AA$4,0),IF($AB134="IR",ROUND(Proyeccion_Localidades!AX134,0),IF($AB134="RT",ROUND(Proyeccion_Localidades!BU134,0),"*****"))))</f>
        <v>75219</v>
      </c>
      <c r="AB134" s="67" t="str">
        <f>Proyeccion_Localidades!N134</f>
        <v>TGD</v>
      </c>
      <c r="AC134" s="68" t="s">
        <v>35</v>
      </c>
      <c r="AD134" s="51">
        <f>IF(AB134="TGD",Proyeccion_Localidades!Z134,"-")</f>
        <v>1.3249255385757497E-2</v>
      </c>
      <c r="AE134" s="51" t="str">
        <f>IF($AB134="ALTH",Proyeccion_Localidades!AA134,"-")</f>
        <v>-</v>
      </c>
      <c r="AF134" s="51" t="str">
        <f>IF($AB134="ALTH",Proyeccion_Localidades!AB134,"-")</f>
        <v>-</v>
      </c>
      <c r="AG134" s="51"/>
      <c r="AH134" s="51"/>
      <c r="AI134" s="66">
        <f t="shared" ref="AI134:AI169" si="8">+G134</f>
        <v>56308</v>
      </c>
    </row>
    <row r="135" spans="1:35" ht="24.95" customHeight="1">
      <c r="A135" s="86" t="str">
        <f>+Proyeccion_Localidades!C135</f>
        <v>San Vicente</v>
      </c>
      <c r="B135" s="70">
        <f t="shared" si="7"/>
        <v>124</v>
      </c>
      <c r="C135" s="88" t="str">
        <f>+Proyeccion_Localidades!B135</f>
        <v>San Vicente</v>
      </c>
      <c r="D135" s="261">
        <f t="shared" ref="D135:D169" si="9">+B135</f>
        <v>124</v>
      </c>
      <c r="E135" s="72">
        <f>+Proyeccion_Localidades!F135</f>
        <v>58165</v>
      </c>
      <c r="F135" s="66">
        <f>IF($AB135="TGD",ROUND($E135*(1+$AD135)^(F$4-$E$4),0),IF($AB135="ALTH",ROUND($AE135+$AF135*F$4,0),IF($AB135="IR",ROUND(Proyeccion_Localidades!AC135,0),IF($AB135="RT",ROUND(Proyeccion_Localidades!AZ135,0),"*****"))))</f>
        <v>96435</v>
      </c>
      <c r="G135" s="66">
        <f>IF($AB135="TGD",ROUND($E135*(1+$AD135)^(G$4-$E$4),0),IF($AB135="ALTH",ROUND($AE135+$AF135*G$4,0),IF($AB135="IR",ROUND(Proyeccion_Localidades!AD135,0),IF($AB135="RT",ROUND(Proyeccion_Localidades!BA135,0),"*****"))))</f>
        <v>99973</v>
      </c>
      <c r="H135" s="66">
        <f>IF($AB135="TGD",ROUND($E135*(1+$AD135)^(H$4-$E$4),0),IF($AB135="ALTH",ROUND($AE135+$AF135*H$4,0),IF($AB135="IR",ROUND(Proyeccion_Localidades!AE135,0),IF($AB135="RT",ROUND(Proyeccion_Localidades!BB135,0),"*****"))))</f>
        <v>110935</v>
      </c>
      <c r="I135" s="66">
        <f>IF($AB135="TGD",ROUND($E135*(1+$AD135)^(I$4-$E$4),0),IF($AB135="ALTH",ROUND($AE135+$AF135*I$4,0),IF($AB135="IR",ROUND(Proyeccion_Localidades!AF135,0),IF($AB135="RT",ROUND(Proyeccion_Localidades!BC135,0),"*****"))))</f>
        <v>114709</v>
      </c>
      <c r="J135" s="66">
        <f>IF($AB135="TGD",ROUND($E135*(1+$AD135)^(J$4-$E$4),0),IF($AB135="ALTH",ROUND($AE135+$AF135*J$4,0),IF($AB135="IR",ROUND(Proyeccion_Localidades!AG135,0),IF($AB135="RT",ROUND(Proyeccion_Localidades!BD135,0),"*****"))))</f>
        <v>118544</v>
      </c>
      <c r="K135" s="66">
        <f>IF($AB135="TGD",ROUND($E135*(1+$AD135)^(K$4-$E$4),0),IF($AB135="ALTH",ROUND($AE135+$AF135*K$4,0),IF($AB135="IR",ROUND(Proyeccion_Localidades!AH135,0),IF($AB135="RT",ROUND(Proyeccion_Localidades!BE135,0),"*****"))))</f>
        <v>122442</v>
      </c>
      <c r="L135" s="66">
        <f>IF($AB135="TGD",ROUND($E135*(1+$AD135)^(L$4-$E$4),0),IF($AB135="ALTH",ROUND($AE135+$AF135*L$4,0),IF($AB135="IR",ROUND(Proyeccion_Localidades!AI135,0),IF($AB135="RT",ROUND(Proyeccion_Localidades!BF135,0),"*****"))))</f>
        <v>126404</v>
      </c>
      <c r="M135" s="66">
        <f>IF($AB135="TGD",ROUND($E135*(1+$AD135)^(M$4-$E$4),0),IF($AB135="ALTH",ROUND($AE135+$AF135*M$4,0),IF($AB135="IR",ROUND(Proyeccion_Localidades!AJ135,0),IF($AB135="RT",ROUND(Proyeccion_Localidades!BG135,0),"*****"))))</f>
        <v>130430</v>
      </c>
      <c r="N135" s="66">
        <f>IF($AB135="TGD",ROUND($E135*(1+$AD135)^(N$4-$E$4),0),IF($AB135="ALTH",ROUND($AE135+$AF135*N$4,0),IF($AB135="IR",ROUND(Proyeccion_Localidades!AK135,0),IF($AB135="RT",ROUND(Proyeccion_Localidades!BH135,0),"*****"))))</f>
        <v>134522</v>
      </c>
      <c r="O135" s="66">
        <f>IF($AB135="TGD",ROUND($E135*(1+$AD135)^(O$4-$E$4),0),IF($AB135="ALTH",ROUND($AE135+$AF135*O$4,0),IF($AB135="IR",ROUND(Proyeccion_Localidades!AL135,0),IF($AB135="RT",ROUND(Proyeccion_Localidades!BI135,0),"*****"))))</f>
        <v>138681</v>
      </c>
      <c r="P135" s="66">
        <f>IF($AB135="TGD",ROUND($E135*(1+$AD135)^(P$4-$E$4),0),IF($AB135="ALTH",ROUND($AE135+$AF135*P$4,0),IF($AB135="IR",ROUND(Proyeccion_Localidades!AM135,0),IF($AB135="RT",ROUND(Proyeccion_Localidades!BJ135,0),"*****"))))</f>
        <v>142907</v>
      </c>
      <c r="Q135" s="66">
        <f>IF($AB135="TGD",ROUND($E135*(1+$AD135)^(Q$4-$E$4),0),IF($AB135="ALTH",ROUND($AE135+$AF135*Q$4,0),IF($AB135="IR",ROUND(Proyeccion_Localidades!AN135,0),IF($AB135="RT",ROUND(Proyeccion_Localidades!BK135,0),"*****"))))</f>
        <v>147203</v>
      </c>
      <c r="R135" s="66">
        <f>IF($AB135="TGD",ROUND($E135*(1+$AD135)^(R$4-$E$4),0),IF($AB135="ALTH",ROUND($AE135+$AF135*R$4,0),IF($AB135="IR",ROUND(Proyeccion_Localidades!AO135,0),IF($AB135="RT",ROUND(Proyeccion_Localidades!BL135,0),"*****"))))</f>
        <v>151568</v>
      </c>
      <c r="S135" s="66">
        <f>IF($AB135="TGD",ROUND($E135*(1+$AD135)^(S$4-$E$4),0),IF($AB135="ALTH",ROUND($AE135+$AF135*S$4,0),IF($AB135="IR",ROUND(Proyeccion_Localidades!AP135,0),IF($AB135="RT",ROUND(Proyeccion_Localidades!BM135,0),"*****"))))</f>
        <v>156005</v>
      </c>
      <c r="T135" s="66">
        <f>IF($AB135="TGD",ROUND($E135*(1+$AD135)^(T$4-$E$4),0),IF($AB135="ALTH",ROUND($AE135+$AF135*T$4,0),IF($AB135="IR",ROUND(Proyeccion_Localidades!AQ135,0),IF($AB135="RT",ROUND(Proyeccion_Localidades!BN135,0),"*****"))))</f>
        <v>160514</v>
      </c>
      <c r="U135" s="66">
        <f>IF($AB135="TGD",ROUND($E135*(1+$AD135)^(U$4-$E$4),0),IF($AB135="ALTH",ROUND($AE135+$AF135*U$4,0),IF($AB135="IR",ROUND(Proyeccion_Localidades!AR135,0),IF($AB135="RT",ROUND(Proyeccion_Localidades!BO135,0),"*****"))))</f>
        <v>165097</v>
      </c>
      <c r="V135" s="66">
        <f>IF($AB135="TGD",ROUND($E135*(1+$AD135)^(V$4-$E$4),0),IF($AB135="ALTH",ROUND($AE135+$AF135*V$4,0),IF($AB135="IR",ROUND(Proyeccion_Localidades!AS135,0),IF($AB135="RT",ROUND(Proyeccion_Localidades!BP135,0),"*****"))))</f>
        <v>169754</v>
      </c>
      <c r="W135" s="66">
        <f>IF($AB135="TGD",ROUND($E135*(1+$AD135)^(W$4-$E$4),0),IF($AB135="ALTH",ROUND($AE135+$AF135*W$4,0),IF($AB135="IR",ROUND(Proyeccion_Localidades!AT135,0),IF($AB135="RT",ROUND(Proyeccion_Localidades!BQ135,0),"*****"))))</f>
        <v>174487</v>
      </c>
      <c r="X135" s="66">
        <f>IF($AB135="TGD",ROUND($E135*(1+$AD135)^(X$4-$E$4),0),IF($AB135="ALTH",ROUND($AE135+$AF135*X$4,0),IF($AB135="IR",ROUND(Proyeccion_Localidades!AU135,0),IF($AB135="RT",ROUND(Proyeccion_Localidades!BR135,0),"*****"))))</f>
        <v>179298</v>
      </c>
      <c r="Y135" s="66">
        <f>IF($AB135="TGD",ROUND($E135*(1+$AD135)^(Y$4-$E$4),0),IF($AB135="ALTH",ROUND($AE135+$AF135*Y$4,0),IF($AB135="IR",ROUND(Proyeccion_Localidades!AV135,0),IF($AB135="RT",ROUND(Proyeccion_Localidades!BS135,0),"*****"))))</f>
        <v>184187</v>
      </c>
      <c r="Z135" s="66">
        <f>IF($AB135="TGD",ROUND($E135*(1+$AD135)^(Z$4-$E$4),0),IF($AB135="ALTH",ROUND($AE135+$AF135*Z$4,0),IF($AB135="IR",ROUND(Proyeccion_Localidades!AW135,0),IF($AB135="RT",ROUND(Proyeccion_Localidades!BT135,0),"*****"))))</f>
        <v>189156</v>
      </c>
      <c r="AA135" s="66">
        <f>IF($AB135="TGD",ROUND($E135*(1+$AD135)^(AA$4-$E$4),0),IF($AB135="ALTH",ROUND($AE135+$AF135*AA$4,0),IF($AB135="IR",ROUND(Proyeccion_Localidades!AX135,0),IF($AB135="RT",ROUND(Proyeccion_Localidades!BU135,0),"*****"))))</f>
        <v>194206</v>
      </c>
      <c r="AB135" s="67" t="str">
        <f>Proyeccion_Localidades!N135</f>
        <v>IR</v>
      </c>
      <c r="AC135" s="73"/>
      <c r="AD135" s="51" t="str">
        <f>IF(AB135="TGD",Proyeccion_Localidades!Z135,"-")</f>
        <v>-</v>
      </c>
      <c r="AE135" s="51" t="str">
        <f>IF($AB135="ALTH",Proyeccion_Localidades!AA135,"-")</f>
        <v>-</v>
      </c>
      <c r="AF135" s="51" t="str">
        <f>IF($AB135="ALTH",Proyeccion_Localidades!AB135,"-")</f>
        <v>-</v>
      </c>
      <c r="AG135" s="51"/>
      <c r="AH135" s="51"/>
      <c r="AI135" s="66">
        <f t="shared" si="8"/>
        <v>99973</v>
      </c>
    </row>
    <row r="136" spans="1:35" ht="24.95" customHeight="1">
      <c r="A136" s="86" t="str">
        <f>+Proyeccion_Localidades!C136</f>
        <v>Suipacha</v>
      </c>
      <c r="B136" s="70">
        <f t="shared" si="7"/>
        <v>125</v>
      </c>
      <c r="C136" s="88" t="str">
        <f>+Proyeccion_Localidades!B136</f>
        <v>Suipacha</v>
      </c>
      <c r="D136" s="261">
        <f t="shared" si="9"/>
        <v>125</v>
      </c>
      <c r="E136" s="72">
        <f>+Proyeccion_Localidades!F136</f>
        <v>8403</v>
      </c>
      <c r="F136" s="66">
        <f>IF($AB136="TGD",ROUND($E136*(1+$AD136)^(F$4-$E$4),0),IF($AB136="ALTH",ROUND($AE136+$AF136*F$4,0),IF($AB136="IR",ROUND(Proyeccion_Localidades!AC136,0),IF($AB136="RT",ROUND(Proyeccion_Localidades!AZ136,0),"*****"))))</f>
        <v>9951</v>
      </c>
      <c r="G136" s="66">
        <f>IF($AB136="TGD",ROUND($E136*(1+$AD136)^(G$4-$E$4),0),IF($AB136="ALTH",ROUND($AE136+$AF136*G$4,0),IF($AB136="IR",ROUND(Proyeccion_Localidades!AD136,0),IF($AB136="RT",ROUND(Proyeccion_Localidades!BA136,0),"*****"))))</f>
        <v>10082</v>
      </c>
      <c r="H136" s="66">
        <f>IF($AB136="TGD",ROUND($E136*(1+$AD136)^(H$4-$E$4),0),IF($AB136="ALTH",ROUND($AE136+$AF136*H$4,0),IF($AB136="IR",ROUND(Proyeccion_Localidades!AE136,0),IF($AB136="RT",ROUND(Proyeccion_Localidades!BB136,0),"*****"))))</f>
        <v>10476</v>
      </c>
      <c r="I136" s="66">
        <f>IF($AB136="TGD",ROUND($E136*(1+$AD136)^(I$4-$E$4),0),IF($AB136="ALTH",ROUND($AE136+$AF136*I$4,0),IF($AB136="IR",ROUND(Proyeccion_Localidades!AF136,0),IF($AB136="RT",ROUND(Proyeccion_Localidades!BC136,0),"*****"))))</f>
        <v>10607</v>
      </c>
      <c r="J136" s="66">
        <f>IF($AB136="TGD",ROUND($E136*(1+$AD136)^(J$4-$E$4),0),IF($AB136="ALTH",ROUND($AE136+$AF136*J$4,0),IF($AB136="IR",ROUND(Proyeccion_Localidades!AG136,0),IF($AB136="RT",ROUND(Proyeccion_Localidades!BD136,0),"*****"))))</f>
        <v>10738</v>
      </c>
      <c r="K136" s="66">
        <f>IF($AB136="TGD",ROUND($E136*(1+$AD136)^(K$4-$E$4),0),IF($AB136="ALTH",ROUND($AE136+$AF136*K$4,0),IF($AB136="IR",ROUND(Proyeccion_Localidades!AH136,0),IF($AB136="RT",ROUND(Proyeccion_Localidades!BE136,0),"*****"))))</f>
        <v>10869</v>
      </c>
      <c r="L136" s="66">
        <f>IF($AB136="TGD",ROUND($E136*(1+$AD136)^(L$4-$E$4),0),IF($AB136="ALTH",ROUND($AE136+$AF136*L$4,0),IF($AB136="IR",ROUND(Proyeccion_Localidades!AI136,0),IF($AB136="RT",ROUND(Proyeccion_Localidades!BF136,0),"*****"))))</f>
        <v>11000</v>
      </c>
      <c r="M136" s="66">
        <f>IF($AB136="TGD",ROUND($E136*(1+$AD136)^(M$4-$E$4),0),IF($AB136="ALTH",ROUND($AE136+$AF136*M$4,0),IF($AB136="IR",ROUND(Proyeccion_Localidades!AJ136,0),IF($AB136="RT",ROUND(Proyeccion_Localidades!BG136,0),"*****"))))</f>
        <v>11131</v>
      </c>
      <c r="N136" s="66">
        <f>IF($AB136="TGD",ROUND($E136*(1+$AD136)^(N$4-$E$4),0),IF($AB136="ALTH",ROUND($AE136+$AF136*N$4,0),IF($AB136="IR",ROUND(Proyeccion_Localidades!AK136,0),IF($AB136="RT",ROUND(Proyeccion_Localidades!BH136,0),"*****"))))</f>
        <v>11262</v>
      </c>
      <c r="O136" s="66">
        <f>IF($AB136="TGD",ROUND($E136*(1+$AD136)^(O$4-$E$4),0),IF($AB136="ALTH",ROUND($AE136+$AF136*O$4,0),IF($AB136="IR",ROUND(Proyeccion_Localidades!AL136,0),IF($AB136="RT",ROUND(Proyeccion_Localidades!BI136,0),"*****"))))</f>
        <v>11394</v>
      </c>
      <c r="P136" s="66">
        <f>IF($AB136="TGD",ROUND($E136*(1+$AD136)^(P$4-$E$4),0),IF($AB136="ALTH",ROUND($AE136+$AF136*P$4,0),IF($AB136="IR",ROUND(Proyeccion_Localidades!AM136,0),IF($AB136="RT",ROUND(Proyeccion_Localidades!BJ136,0),"*****"))))</f>
        <v>11525</v>
      </c>
      <c r="Q136" s="66">
        <f>IF($AB136="TGD",ROUND($E136*(1+$AD136)^(Q$4-$E$4),0),IF($AB136="ALTH",ROUND($AE136+$AF136*Q$4,0),IF($AB136="IR",ROUND(Proyeccion_Localidades!AN136,0),IF($AB136="RT",ROUND(Proyeccion_Localidades!BK136,0),"*****"))))</f>
        <v>11656</v>
      </c>
      <c r="R136" s="66">
        <f>IF($AB136="TGD",ROUND($E136*(1+$AD136)^(R$4-$E$4),0),IF($AB136="ALTH",ROUND($AE136+$AF136*R$4,0),IF($AB136="IR",ROUND(Proyeccion_Localidades!AO136,0),IF($AB136="RT",ROUND(Proyeccion_Localidades!BL136,0),"*****"))))</f>
        <v>11787</v>
      </c>
      <c r="S136" s="66">
        <f>IF($AB136="TGD",ROUND($E136*(1+$AD136)^(S$4-$E$4),0),IF($AB136="ALTH",ROUND($AE136+$AF136*S$4,0),IF($AB136="IR",ROUND(Proyeccion_Localidades!AP136,0),IF($AB136="RT",ROUND(Proyeccion_Localidades!BM136,0),"*****"))))</f>
        <v>11918</v>
      </c>
      <c r="T136" s="66">
        <f>IF($AB136="TGD",ROUND($E136*(1+$AD136)^(T$4-$E$4),0),IF($AB136="ALTH",ROUND($AE136+$AF136*T$4,0),IF($AB136="IR",ROUND(Proyeccion_Localidades!AQ136,0),IF($AB136="RT",ROUND(Proyeccion_Localidades!BN136,0),"*****"))))</f>
        <v>12049</v>
      </c>
      <c r="U136" s="66">
        <f>IF($AB136="TGD",ROUND($E136*(1+$AD136)^(U$4-$E$4),0),IF($AB136="ALTH",ROUND($AE136+$AF136*U$4,0),IF($AB136="IR",ROUND(Proyeccion_Localidades!AR136,0),IF($AB136="RT",ROUND(Proyeccion_Localidades!BO136,0),"*****"))))</f>
        <v>12180</v>
      </c>
      <c r="V136" s="66">
        <f>IF($AB136="TGD",ROUND($E136*(1+$AD136)^(V$4-$E$4),0),IF($AB136="ALTH",ROUND($AE136+$AF136*V$4,0),IF($AB136="IR",ROUND(Proyeccion_Localidades!AS136,0),IF($AB136="RT",ROUND(Proyeccion_Localidades!BP136,0),"*****"))))</f>
        <v>12311</v>
      </c>
      <c r="W136" s="66">
        <f>IF($AB136="TGD",ROUND($E136*(1+$AD136)^(W$4-$E$4),0),IF($AB136="ALTH",ROUND($AE136+$AF136*W$4,0),IF($AB136="IR",ROUND(Proyeccion_Localidades!AT136,0),IF($AB136="RT",ROUND(Proyeccion_Localidades!BQ136,0),"*****"))))</f>
        <v>12443</v>
      </c>
      <c r="X136" s="66">
        <f>IF($AB136="TGD",ROUND($E136*(1+$AD136)^(X$4-$E$4),0),IF($AB136="ALTH",ROUND($AE136+$AF136*X$4,0),IF($AB136="IR",ROUND(Proyeccion_Localidades!AU136,0),IF($AB136="RT",ROUND(Proyeccion_Localidades!BR136,0),"*****"))))</f>
        <v>12574</v>
      </c>
      <c r="Y136" s="66">
        <f>IF($AB136="TGD",ROUND($E136*(1+$AD136)^(Y$4-$E$4),0),IF($AB136="ALTH",ROUND($AE136+$AF136*Y$4,0),IF($AB136="IR",ROUND(Proyeccion_Localidades!AV136,0),IF($AB136="RT",ROUND(Proyeccion_Localidades!BS136,0),"*****"))))</f>
        <v>12705</v>
      </c>
      <c r="Z136" s="66">
        <f>IF($AB136="TGD",ROUND($E136*(1+$AD136)^(Z$4-$E$4),0),IF($AB136="ALTH",ROUND($AE136+$AF136*Z$4,0),IF($AB136="IR",ROUND(Proyeccion_Localidades!AW136,0),IF($AB136="RT",ROUND(Proyeccion_Localidades!BT136,0),"*****"))))</f>
        <v>12836</v>
      </c>
      <c r="AA136" s="66">
        <f>IF($AB136="TGD",ROUND($E136*(1+$AD136)^(AA$4-$E$4),0),IF($AB136="ALTH",ROUND($AE136+$AF136*AA$4,0),IF($AB136="IR",ROUND(Proyeccion_Localidades!AX136,0),IF($AB136="RT",ROUND(Proyeccion_Localidades!BU136,0),"*****"))))</f>
        <v>12967</v>
      </c>
      <c r="AB136" s="67" t="str">
        <f>Proyeccion_Localidades!N136</f>
        <v>ALTH</v>
      </c>
      <c r="AC136" s="68" t="s">
        <v>36</v>
      </c>
      <c r="AD136" s="51" t="str">
        <f>IF(AB136="TGD",Proyeccion_Localidades!Z136,"-")</f>
        <v>-</v>
      </c>
      <c r="AE136" s="51">
        <f>IF($AB136="ALTH",Proyeccion_Localidades!AA136,"-")</f>
        <v>-255192.05535055351</v>
      </c>
      <c r="AF136" s="51">
        <f>IF($AB136="ALTH",Proyeccion_Localidades!AB136,"-")</f>
        <v>131.1291512915129</v>
      </c>
      <c r="AG136" s="51"/>
      <c r="AH136" s="51"/>
      <c r="AI136" s="66">
        <f t="shared" si="8"/>
        <v>10082</v>
      </c>
    </row>
    <row r="137" spans="1:35" ht="24.95" customHeight="1">
      <c r="A137" s="86" t="str">
        <f>+Proyeccion_Localidades!C137</f>
        <v>Tandil</v>
      </c>
      <c r="B137" s="70">
        <f t="shared" si="7"/>
        <v>126</v>
      </c>
      <c r="C137" s="88" t="str">
        <f>+Proyeccion_Localidades!B137</f>
        <v>Tandil</v>
      </c>
      <c r="D137" s="261">
        <f t="shared" si="9"/>
        <v>126</v>
      </c>
      <c r="E137" s="72">
        <f>+Proyeccion_Localidades!F137</f>
        <v>116916</v>
      </c>
      <c r="F137" s="66">
        <f>IF($AB137="TGD",ROUND($E137*(1+$AD137)^(F$4-$E$4),0),IF($AB137="ALTH",ROUND($AE137+$AF137*F$4,0),IF($AB137="IR",ROUND(Proyeccion_Localidades!AC137,0),IF($AB137="RT",ROUND(Proyeccion_Localidades!AZ137,0),"*****"))))</f>
        <v>137133</v>
      </c>
      <c r="G137" s="66">
        <f>IF($AB137="TGD",ROUND($E137*(1+$AD137)^(G$4-$E$4),0),IF($AB137="ALTH",ROUND($AE137+$AF137*G$4,0),IF($AB137="IR",ROUND(Proyeccion_Localidades!AD137,0),IF($AB137="RT",ROUND(Proyeccion_Localidades!BA137,0),"*****"))))</f>
        <v>138968</v>
      </c>
      <c r="H137" s="66">
        <f>IF($AB137="TGD",ROUND($E137*(1+$AD137)^(H$4-$E$4),0),IF($AB137="ALTH",ROUND($AE137+$AF137*H$4,0),IF($AB137="IR",ROUND(Proyeccion_Localidades!AE137,0),IF($AB137="RT",ROUND(Proyeccion_Localidades!BB137,0),"*****"))))</f>
        <v>144621</v>
      </c>
      <c r="I137" s="66">
        <f>IF($AB137="TGD",ROUND($E137*(1+$AD137)^(I$4-$E$4),0),IF($AB137="ALTH",ROUND($AE137+$AF137*I$4,0),IF($AB137="IR",ROUND(Proyeccion_Localidades!AF137,0),IF($AB137="RT",ROUND(Proyeccion_Localidades!BC137,0),"*****"))))</f>
        <v>146556</v>
      </c>
      <c r="J137" s="66">
        <f>IF($AB137="TGD",ROUND($E137*(1+$AD137)^(J$4-$E$4),0),IF($AB137="ALTH",ROUND($AE137+$AF137*J$4,0),IF($AB137="IR",ROUND(Proyeccion_Localidades!AG137,0),IF($AB137="RT",ROUND(Proyeccion_Localidades!BD137,0),"*****"))))</f>
        <v>148517</v>
      </c>
      <c r="K137" s="66">
        <f>IF($AB137="TGD",ROUND($E137*(1+$AD137)^(K$4-$E$4),0),IF($AB137="ALTH",ROUND($AE137+$AF137*K$4,0),IF($AB137="IR",ROUND(Proyeccion_Localidades!AH137,0),IF($AB137="RT",ROUND(Proyeccion_Localidades!BE137,0),"*****"))))</f>
        <v>150504</v>
      </c>
      <c r="L137" s="66">
        <f>IF($AB137="TGD",ROUND($E137*(1+$AD137)^(L$4-$E$4),0),IF($AB137="ALTH",ROUND($AE137+$AF137*L$4,0),IF($AB137="IR",ROUND(Proyeccion_Localidades!AI137,0),IF($AB137="RT",ROUND(Proyeccion_Localidades!BF137,0),"*****"))))</f>
        <v>152517</v>
      </c>
      <c r="M137" s="66">
        <f>IF($AB137="TGD",ROUND($E137*(1+$AD137)^(M$4-$E$4),0),IF($AB137="ALTH",ROUND($AE137+$AF137*M$4,0),IF($AB137="IR",ROUND(Proyeccion_Localidades!AJ137,0),IF($AB137="RT",ROUND(Proyeccion_Localidades!BG137,0),"*****"))))</f>
        <v>154558</v>
      </c>
      <c r="N137" s="66">
        <f>IF($AB137="TGD",ROUND($E137*(1+$AD137)^(N$4-$E$4),0),IF($AB137="ALTH",ROUND($AE137+$AF137*N$4,0),IF($AB137="IR",ROUND(Proyeccion_Localidades!AK137,0),IF($AB137="RT",ROUND(Proyeccion_Localidades!BH137,0),"*****"))))</f>
        <v>156626</v>
      </c>
      <c r="O137" s="66">
        <f>IF($AB137="TGD",ROUND($E137*(1+$AD137)^(O$4-$E$4),0),IF($AB137="ALTH",ROUND($AE137+$AF137*O$4,0),IF($AB137="IR",ROUND(Proyeccion_Localidades!AL137,0),IF($AB137="RT",ROUND(Proyeccion_Localidades!BI137,0),"*****"))))</f>
        <v>158722</v>
      </c>
      <c r="P137" s="66">
        <f>IF($AB137="TGD",ROUND($E137*(1+$AD137)^(P$4-$E$4),0),IF($AB137="ALTH",ROUND($AE137+$AF137*P$4,0),IF($AB137="IR",ROUND(Proyeccion_Localidades!AM137,0),IF($AB137="RT",ROUND(Proyeccion_Localidades!BJ137,0),"*****"))))</f>
        <v>160845</v>
      </c>
      <c r="Q137" s="66">
        <f>IF($AB137="TGD",ROUND($E137*(1+$AD137)^(Q$4-$E$4),0),IF($AB137="ALTH",ROUND($AE137+$AF137*Q$4,0),IF($AB137="IR",ROUND(Proyeccion_Localidades!AN137,0),IF($AB137="RT",ROUND(Proyeccion_Localidades!BK137,0),"*****"))))</f>
        <v>162997</v>
      </c>
      <c r="R137" s="66">
        <f>IF($AB137="TGD",ROUND($E137*(1+$AD137)^(R$4-$E$4),0),IF($AB137="ALTH",ROUND($AE137+$AF137*R$4,0),IF($AB137="IR",ROUND(Proyeccion_Localidades!AO137,0),IF($AB137="RT",ROUND(Proyeccion_Localidades!BL137,0),"*****"))))</f>
        <v>165178</v>
      </c>
      <c r="S137" s="66">
        <f>IF($AB137="TGD",ROUND($E137*(1+$AD137)^(S$4-$E$4),0),IF($AB137="ALTH",ROUND($AE137+$AF137*S$4,0),IF($AB137="IR",ROUND(Proyeccion_Localidades!AP137,0),IF($AB137="RT",ROUND(Proyeccion_Localidades!BM137,0),"*****"))))</f>
        <v>167388</v>
      </c>
      <c r="T137" s="66">
        <f>IF($AB137="TGD",ROUND($E137*(1+$AD137)^(T$4-$E$4),0),IF($AB137="ALTH",ROUND($AE137+$AF137*T$4,0),IF($AB137="IR",ROUND(Proyeccion_Localidades!AQ137,0),IF($AB137="RT",ROUND(Proyeccion_Localidades!BN137,0),"*****"))))</f>
        <v>169628</v>
      </c>
      <c r="U137" s="66">
        <f>IF($AB137="TGD",ROUND($E137*(1+$AD137)^(U$4-$E$4),0),IF($AB137="ALTH",ROUND($AE137+$AF137*U$4,0),IF($AB137="IR",ROUND(Proyeccion_Localidades!AR137,0),IF($AB137="RT",ROUND(Proyeccion_Localidades!BO137,0),"*****"))))</f>
        <v>171898</v>
      </c>
      <c r="V137" s="66">
        <f>IF($AB137="TGD",ROUND($E137*(1+$AD137)^(V$4-$E$4),0),IF($AB137="ALTH",ROUND($AE137+$AF137*V$4,0),IF($AB137="IR",ROUND(Proyeccion_Localidades!AS137,0),IF($AB137="RT",ROUND(Proyeccion_Localidades!BP137,0),"*****"))))</f>
        <v>174198</v>
      </c>
      <c r="W137" s="66">
        <f>IF($AB137="TGD",ROUND($E137*(1+$AD137)^(W$4-$E$4),0),IF($AB137="ALTH",ROUND($AE137+$AF137*W$4,0),IF($AB137="IR",ROUND(Proyeccion_Localidades!AT137,0),IF($AB137="RT",ROUND(Proyeccion_Localidades!BQ137,0),"*****"))))</f>
        <v>176528</v>
      </c>
      <c r="X137" s="66">
        <f>IF($AB137="TGD",ROUND($E137*(1+$AD137)^(X$4-$E$4),0),IF($AB137="ALTH",ROUND($AE137+$AF137*X$4,0),IF($AB137="IR",ROUND(Proyeccion_Localidades!AU137,0),IF($AB137="RT",ROUND(Proyeccion_Localidades!BR137,0),"*****"))))</f>
        <v>178890</v>
      </c>
      <c r="Y137" s="66">
        <f>IF($AB137="TGD",ROUND($E137*(1+$AD137)^(Y$4-$E$4),0),IF($AB137="ALTH",ROUND($AE137+$AF137*Y$4,0),IF($AB137="IR",ROUND(Proyeccion_Localidades!AV137,0),IF($AB137="RT",ROUND(Proyeccion_Localidades!BS137,0),"*****"))))</f>
        <v>181284</v>
      </c>
      <c r="Z137" s="66">
        <f>IF($AB137="TGD",ROUND($E137*(1+$AD137)^(Z$4-$E$4),0),IF($AB137="ALTH",ROUND($AE137+$AF137*Z$4,0),IF($AB137="IR",ROUND(Proyeccion_Localidades!AW137,0),IF($AB137="RT",ROUND(Proyeccion_Localidades!BT137,0),"*****"))))</f>
        <v>183709</v>
      </c>
      <c r="AA137" s="66">
        <f>IF($AB137="TGD",ROUND($E137*(1+$AD137)^(AA$4-$E$4),0),IF($AB137="ALTH",ROUND($AE137+$AF137*AA$4,0),IF($AB137="IR",ROUND(Proyeccion_Localidades!AX137,0),IF($AB137="RT",ROUND(Proyeccion_Localidades!BU137,0),"*****"))))</f>
        <v>186167</v>
      </c>
      <c r="AB137" s="67" t="str">
        <f>Proyeccion_Localidades!N137</f>
        <v>TGD</v>
      </c>
      <c r="AC137" s="68" t="s">
        <v>35</v>
      </c>
      <c r="AD137" s="51">
        <f>IF(AB137="TGD",Proyeccion_Localidades!Z137,"-")</f>
        <v>1.3379876589176498E-2</v>
      </c>
      <c r="AE137" s="51" t="str">
        <f>IF($AB137="ALTH",Proyeccion_Localidades!AA137,"-")</f>
        <v>-</v>
      </c>
      <c r="AF137" s="51" t="str">
        <f>IF($AB137="ALTH",Proyeccion_Localidades!AB137,"-")</f>
        <v>-</v>
      </c>
      <c r="AG137" s="51"/>
      <c r="AH137" s="51"/>
      <c r="AI137" s="66">
        <f t="shared" si="8"/>
        <v>138968</v>
      </c>
    </row>
    <row r="138" spans="1:35" ht="24.95" customHeight="1">
      <c r="A138" s="86" t="str">
        <f>+Proyeccion_Localidades!C138</f>
        <v>Tapalqué</v>
      </c>
      <c r="B138" s="70">
        <f t="shared" si="7"/>
        <v>127</v>
      </c>
      <c r="C138" s="88" t="str">
        <f>+Proyeccion_Localidades!B138</f>
        <v>Tapalqué</v>
      </c>
      <c r="D138" s="261">
        <f t="shared" si="9"/>
        <v>127</v>
      </c>
      <c r="E138" s="72">
        <f>+Proyeccion_Localidades!F138</f>
        <v>7444</v>
      </c>
      <c r="F138" s="66">
        <f>IF($AB138="TGD",ROUND($E138*(1+$AD138)^(F$4-$E$4),0),IF($AB138="ALTH",ROUND($AE138+$AF138*F$4,0),IF($AB138="IR",ROUND(Proyeccion_Localidades!AC138,0),IF($AB138="RT",ROUND(Proyeccion_Localidades!AZ138,0),"*****"))))</f>
        <v>8731</v>
      </c>
      <c r="G138" s="66">
        <f>IF($AB138="TGD",ROUND($E138*(1+$AD138)^(G$4-$E$4),0),IF($AB138="ALTH",ROUND($AE138+$AF138*G$4,0),IF($AB138="IR",ROUND(Proyeccion_Localidades!AD138,0),IF($AB138="RT",ROUND(Proyeccion_Localidades!BA138,0),"*****"))))</f>
        <v>8848</v>
      </c>
      <c r="H138" s="66">
        <f>IF($AB138="TGD",ROUND($E138*(1+$AD138)^(H$4-$E$4),0),IF($AB138="ALTH",ROUND($AE138+$AF138*H$4,0),IF($AB138="IR",ROUND(Proyeccion_Localidades!AE138,0),IF($AB138="RT",ROUND(Proyeccion_Localidades!BB138,0),"*****"))))</f>
        <v>9207</v>
      </c>
      <c r="I138" s="66">
        <f>IF($AB138="TGD",ROUND($E138*(1+$AD138)^(I$4-$E$4),0),IF($AB138="ALTH",ROUND($AE138+$AF138*I$4,0),IF($AB138="IR",ROUND(Proyeccion_Localidades!AF138,0),IF($AB138="RT",ROUND(Proyeccion_Localidades!BC138,0),"*****"))))</f>
        <v>9330</v>
      </c>
      <c r="J138" s="66">
        <f>IF($AB138="TGD",ROUND($E138*(1+$AD138)^(J$4-$E$4),0),IF($AB138="ALTH",ROUND($AE138+$AF138*J$4,0),IF($AB138="IR",ROUND(Proyeccion_Localidades!AG138,0),IF($AB138="RT",ROUND(Proyeccion_Localidades!BD138,0),"*****"))))</f>
        <v>9455</v>
      </c>
      <c r="K138" s="66">
        <f>IF($AB138="TGD",ROUND($E138*(1+$AD138)^(K$4-$E$4),0),IF($AB138="ALTH",ROUND($AE138+$AF138*K$4,0),IF($AB138="IR",ROUND(Proyeccion_Localidades!AH138,0),IF($AB138="RT",ROUND(Proyeccion_Localidades!BE138,0),"*****"))))</f>
        <v>9582</v>
      </c>
      <c r="L138" s="66">
        <f>IF($AB138="TGD",ROUND($E138*(1+$AD138)^(L$4-$E$4),0),IF($AB138="ALTH",ROUND($AE138+$AF138*L$4,0),IF($AB138="IR",ROUND(Proyeccion_Localidades!AI138,0),IF($AB138="RT",ROUND(Proyeccion_Localidades!BF138,0),"*****"))))</f>
        <v>9710</v>
      </c>
      <c r="M138" s="66">
        <f>IF($AB138="TGD",ROUND($E138*(1+$AD138)^(M$4-$E$4),0),IF($AB138="ALTH",ROUND($AE138+$AF138*M$4,0),IF($AB138="IR",ROUND(Proyeccion_Localidades!AJ138,0),IF($AB138="RT",ROUND(Proyeccion_Localidades!BG138,0),"*****"))))</f>
        <v>9840</v>
      </c>
      <c r="N138" s="66">
        <f>IF($AB138="TGD",ROUND($E138*(1+$AD138)^(N$4-$E$4),0),IF($AB138="ALTH",ROUND($AE138+$AF138*N$4,0),IF($AB138="IR",ROUND(Proyeccion_Localidades!AK138,0),IF($AB138="RT",ROUND(Proyeccion_Localidades!BH138,0),"*****"))))</f>
        <v>9971</v>
      </c>
      <c r="O138" s="66">
        <f>IF($AB138="TGD",ROUND($E138*(1+$AD138)^(O$4-$E$4),0),IF($AB138="ALTH",ROUND($AE138+$AF138*O$4,0),IF($AB138="IR",ROUND(Proyeccion_Localidades!AL138,0),IF($AB138="RT",ROUND(Proyeccion_Localidades!BI138,0),"*****"))))</f>
        <v>10105</v>
      </c>
      <c r="P138" s="66">
        <f>IF($AB138="TGD",ROUND($E138*(1+$AD138)^(P$4-$E$4),0),IF($AB138="ALTH",ROUND($AE138+$AF138*P$4,0),IF($AB138="IR",ROUND(Proyeccion_Localidades!AM138,0),IF($AB138="RT",ROUND(Proyeccion_Localidades!BJ138,0),"*****"))))</f>
        <v>10240</v>
      </c>
      <c r="Q138" s="66">
        <f>IF($AB138="TGD",ROUND($E138*(1+$AD138)^(Q$4-$E$4),0),IF($AB138="ALTH",ROUND($AE138+$AF138*Q$4,0),IF($AB138="IR",ROUND(Proyeccion_Localidades!AN138,0),IF($AB138="RT",ROUND(Proyeccion_Localidades!BK138,0),"*****"))))</f>
        <v>10377</v>
      </c>
      <c r="R138" s="66">
        <f>IF($AB138="TGD",ROUND($E138*(1+$AD138)^(R$4-$E$4),0),IF($AB138="ALTH",ROUND($AE138+$AF138*R$4,0),IF($AB138="IR",ROUND(Proyeccion_Localidades!AO138,0),IF($AB138="RT",ROUND(Proyeccion_Localidades!BL138,0),"*****"))))</f>
        <v>10516</v>
      </c>
      <c r="S138" s="66">
        <f>IF($AB138="TGD",ROUND($E138*(1+$AD138)^(S$4-$E$4),0),IF($AB138="ALTH",ROUND($AE138+$AF138*S$4,0),IF($AB138="IR",ROUND(Proyeccion_Localidades!AP138,0),IF($AB138="RT",ROUND(Proyeccion_Localidades!BM138,0),"*****"))))</f>
        <v>10656</v>
      </c>
      <c r="T138" s="66">
        <f>IF($AB138="TGD",ROUND($E138*(1+$AD138)^(T$4-$E$4),0),IF($AB138="ALTH",ROUND($AE138+$AF138*T$4,0),IF($AB138="IR",ROUND(Proyeccion_Localidades!AQ138,0),IF($AB138="RT",ROUND(Proyeccion_Localidades!BN138,0),"*****"))))</f>
        <v>10799</v>
      </c>
      <c r="U138" s="66">
        <f>IF($AB138="TGD",ROUND($E138*(1+$AD138)^(U$4-$E$4),0),IF($AB138="ALTH",ROUND($AE138+$AF138*U$4,0),IF($AB138="IR",ROUND(Proyeccion_Localidades!AR138,0),IF($AB138="RT",ROUND(Proyeccion_Localidades!BO138,0),"*****"))))</f>
        <v>10943</v>
      </c>
      <c r="V138" s="66">
        <f>IF($AB138="TGD",ROUND($E138*(1+$AD138)^(V$4-$E$4),0),IF($AB138="ALTH",ROUND($AE138+$AF138*V$4,0),IF($AB138="IR",ROUND(Proyeccion_Localidades!AS138,0),IF($AB138="RT",ROUND(Proyeccion_Localidades!BP138,0),"*****"))))</f>
        <v>11090</v>
      </c>
      <c r="W138" s="66">
        <f>IF($AB138="TGD",ROUND($E138*(1+$AD138)^(W$4-$E$4),0),IF($AB138="ALTH",ROUND($AE138+$AF138*W$4,0),IF($AB138="IR",ROUND(Proyeccion_Localidades!AT138,0),IF($AB138="RT",ROUND(Proyeccion_Localidades!BQ138,0),"*****"))))</f>
        <v>11238</v>
      </c>
      <c r="X138" s="66">
        <f>IF($AB138="TGD",ROUND($E138*(1+$AD138)^(X$4-$E$4),0),IF($AB138="ALTH",ROUND($AE138+$AF138*X$4,0),IF($AB138="IR",ROUND(Proyeccion_Localidades!AU138,0),IF($AB138="RT",ROUND(Proyeccion_Localidades!BR138,0),"*****"))))</f>
        <v>11388</v>
      </c>
      <c r="Y138" s="66">
        <f>IF($AB138="TGD",ROUND($E138*(1+$AD138)^(Y$4-$E$4),0),IF($AB138="ALTH",ROUND($AE138+$AF138*Y$4,0),IF($AB138="IR",ROUND(Proyeccion_Localidades!AV138,0),IF($AB138="RT",ROUND(Proyeccion_Localidades!BS138,0),"*****"))))</f>
        <v>11541</v>
      </c>
      <c r="Z138" s="66">
        <f>IF($AB138="TGD",ROUND($E138*(1+$AD138)^(Z$4-$E$4),0),IF($AB138="ALTH",ROUND($AE138+$AF138*Z$4,0),IF($AB138="IR",ROUND(Proyeccion_Localidades!AW138,0),IF($AB138="RT",ROUND(Proyeccion_Localidades!BT138,0),"*****"))))</f>
        <v>11695</v>
      </c>
      <c r="AA138" s="66">
        <f>IF($AB138="TGD",ROUND($E138*(1+$AD138)^(AA$4-$E$4),0),IF($AB138="ALTH",ROUND($AE138+$AF138*AA$4,0),IF($AB138="IR",ROUND(Proyeccion_Localidades!AX138,0),IF($AB138="RT",ROUND(Proyeccion_Localidades!BU138,0),"*****"))))</f>
        <v>11851</v>
      </c>
      <c r="AB138" s="67" t="str">
        <f>Proyeccion_Localidades!N138</f>
        <v>TGD</v>
      </c>
      <c r="AC138" s="68" t="s">
        <v>35</v>
      </c>
      <c r="AD138" s="51">
        <f>IF(AB138="TGD",Proyeccion_Localidades!Z138,"-")</f>
        <v>1.3375484379190672E-2</v>
      </c>
      <c r="AE138" s="51" t="str">
        <f>IF($AB138="ALTH",Proyeccion_Localidades!AA138,"-")</f>
        <v>-</v>
      </c>
      <c r="AF138" s="51" t="str">
        <f>IF($AB138="ALTH",Proyeccion_Localidades!AB138,"-")</f>
        <v>-</v>
      </c>
      <c r="AG138" s="51"/>
      <c r="AH138" s="51"/>
      <c r="AI138" s="66">
        <f t="shared" si="8"/>
        <v>8848</v>
      </c>
    </row>
    <row r="139" spans="1:35" ht="24.95" customHeight="1">
      <c r="A139" s="86" t="str">
        <f>+Proyeccion_Localidades!C139</f>
        <v>Tordillo</v>
      </c>
      <c r="B139" s="70">
        <f t="shared" si="7"/>
        <v>128</v>
      </c>
      <c r="C139" s="88" t="str">
        <f>+Proyeccion_Localidades!B139</f>
        <v>General Conesa</v>
      </c>
      <c r="D139" s="261">
        <f t="shared" si="9"/>
        <v>128</v>
      </c>
      <c r="E139" s="72">
        <f>+Proyeccion_Localidades!F139</f>
        <v>1302</v>
      </c>
      <c r="F139" s="66">
        <f>IF($AB139="TGD",ROUND($E139*(1+$AD139)^(F$4-$E$4),0),IF($AB139="ALTH",ROUND($AE139+$AF139*F$4,0),IF($AB139="IR",ROUND(Proyeccion_Localidades!AC139,0),IF($AB139="RT",ROUND(Proyeccion_Localidades!AZ139,0),"*****"))))</f>
        <v>1941</v>
      </c>
      <c r="G139" s="66">
        <f>IF($AB139="TGD",ROUND($E139*(1+$AD139)^(G$4-$E$4),0),IF($AB139="ALTH",ROUND($AE139+$AF139*G$4,0),IF($AB139="IR",ROUND(Proyeccion_Localidades!AD139,0),IF($AB139="RT",ROUND(Proyeccion_Localidades!BA139,0),"*****"))))</f>
        <v>1999</v>
      </c>
      <c r="H139" s="66">
        <f>IF($AB139="TGD",ROUND($E139*(1+$AD139)^(H$4-$E$4),0),IF($AB139="ALTH",ROUND($AE139+$AF139*H$4,0),IF($AB139="IR",ROUND(Proyeccion_Localidades!AE139,0),IF($AB139="RT",ROUND(Proyeccion_Localidades!BB139,0),"*****"))))</f>
        <v>2173</v>
      </c>
      <c r="I139" s="66">
        <f>IF($AB139="TGD",ROUND($E139*(1+$AD139)^(I$4-$E$4),0),IF($AB139="ALTH",ROUND($AE139+$AF139*I$4,0),IF($AB139="IR",ROUND(Proyeccion_Localidades!AF139,0),IF($AB139="RT",ROUND(Proyeccion_Localidades!BC139,0),"*****"))))</f>
        <v>2231</v>
      </c>
      <c r="J139" s="66">
        <f>IF($AB139="TGD",ROUND($E139*(1+$AD139)^(J$4-$E$4),0),IF($AB139="ALTH",ROUND($AE139+$AF139*J$4,0),IF($AB139="IR",ROUND(Proyeccion_Localidades!AG139,0),IF($AB139="RT",ROUND(Proyeccion_Localidades!BD139,0),"*****"))))</f>
        <v>2289</v>
      </c>
      <c r="K139" s="66">
        <f>IF($AB139="TGD",ROUND($E139*(1+$AD139)^(K$4-$E$4),0),IF($AB139="ALTH",ROUND($AE139+$AF139*K$4,0),IF($AB139="IR",ROUND(Proyeccion_Localidades!AH139,0),IF($AB139="RT",ROUND(Proyeccion_Localidades!BE139,0),"*****"))))</f>
        <v>2347</v>
      </c>
      <c r="L139" s="66">
        <f>IF($AB139="TGD",ROUND($E139*(1+$AD139)^(L$4-$E$4),0),IF($AB139="ALTH",ROUND($AE139+$AF139*L$4,0),IF($AB139="IR",ROUND(Proyeccion_Localidades!AI139,0),IF($AB139="RT",ROUND(Proyeccion_Localidades!BF139,0),"*****"))))</f>
        <v>2404</v>
      </c>
      <c r="M139" s="66">
        <f>IF($AB139="TGD",ROUND($E139*(1+$AD139)^(M$4-$E$4),0),IF($AB139="ALTH",ROUND($AE139+$AF139*M$4,0),IF($AB139="IR",ROUND(Proyeccion_Localidades!AJ139,0),IF($AB139="RT",ROUND(Proyeccion_Localidades!BG139,0),"*****"))))</f>
        <v>2476</v>
      </c>
      <c r="N139" s="66">
        <f>IF($AB139="TGD",ROUND($E139*(1+$AD139)^(N$4-$E$4),0),IF($AB139="ALTH",ROUND($AE139+$AF139*N$4,0),IF($AB139="IR",ROUND(Proyeccion_Localidades!AK139,0),IF($AB139="RT",ROUND(Proyeccion_Localidades!BH139,0),"*****"))))</f>
        <v>2547</v>
      </c>
      <c r="O139" s="66">
        <f>IF($AB139="TGD",ROUND($E139*(1+$AD139)^(O$4-$E$4),0),IF($AB139="ALTH",ROUND($AE139+$AF139*O$4,0),IF($AB139="IR",ROUND(Proyeccion_Localidades!AL139,0),IF($AB139="RT",ROUND(Proyeccion_Localidades!BI139,0),"*****"))))</f>
        <v>2619</v>
      </c>
      <c r="P139" s="66">
        <f>IF($AB139="TGD",ROUND($E139*(1+$AD139)^(P$4-$E$4),0),IF($AB139="ALTH",ROUND($AE139+$AF139*P$4,0),IF($AB139="IR",ROUND(Proyeccion_Localidades!AM139,0),IF($AB139="RT",ROUND(Proyeccion_Localidades!BJ139,0),"*****"))))</f>
        <v>2690</v>
      </c>
      <c r="Q139" s="66">
        <f>IF($AB139="TGD",ROUND($E139*(1+$AD139)^(Q$4-$E$4),0),IF($AB139="ALTH",ROUND($AE139+$AF139*Q$4,0),IF($AB139="IR",ROUND(Proyeccion_Localidades!AN139,0),IF($AB139="RT",ROUND(Proyeccion_Localidades!BK139,0),"*****"))))</f>
        <v>2761</v>
      </c>
      <c r="R139" s="66">
        <f>IF($AB139="TGD",ROUND($E139*(1+$AD139)^(R$4-$E$4),0),IF($AB139="ALTH",ROUND($AE139+$AF139*R$4,0),IF($AB139="IR",ROUND(Proyeccion_Localidades!AO139,0),IF($AB139="RT",ROUND(Proyeccion_Localidades!BL139,0),"*****"))))</f>
        <v>2833</v>
      </c>
      <c r="S139" s="66">
        <f>IF($AB139="TGD",ROUND($E139*(1+$AD139)^(S$4-$E$4),0),IF($AB139="ALTH",ROUND($AE139+$AF139*S$4,0),IF($AB139="IR",ROUND(Proyeccion_Localidades!AP139,0),IF($AB139="RT",ROUND(Proyeccion_Localidades!BM139,0),"*****"))))</f>
        <v>2904</v>
      </c>
      <c r="T139" s="66">
        <f>IF($AB139="TGD",ROUND($E139*(1+$AD139)^(T$4-$E$4),0),IF($AB139="ALTH",ROUND($AE139+$AF139*T$4,0),IF($AB139="IR",ROUND(Proyeccion_Localidades!AQ139,0),IF($AB139="RT",ROUND(Proyeccion_Localidades!BN139,0),"*****"))))</f>
        <v>2975</v>
      </c>
      <c r="U139" s="66">
        <f>IF($AB139="TGD",ROUND($E139*(1+$AD139)^(U$4-$E$4),0),IF($AB139="ALTH",ROUND($AE139+$AF139*U$4,0),IF($AB139="IR",ROUND(Proyeccion_Localidades!AR139,0),IF($AB139="RT",ROUND(Proyeccion_Localidades!BO139,0),"*****"))))</f>
        <v>3047</v>
      </c>
      <c r="V139" s="66">
        <f>IF($AB139="TGD",ROUND($E139*(1+$AD139)^(V$4-$E$4),0),IF($AB139="ALTH",ROUND($AE139+$AF139*V$4,0),IF($AB139="IR",ROUND(Proyeccion_Localidades!AS139,0),IF($AB139="RT",ROUND(Proyeccion_Localidades!BP139,0),"*****"))))</f>
        <v>3118</v>
      </c>
      <c r="W139" s="66">
        <f>IF($AB139="TGD",ROUND($E139*(1+$AD139)^(W$4-$E$4),0),IF($AB139="ALTH",ROUND($AE139+$AF139*W$4,0),IF($AB139="IR",ROUND(Proyeccion_Localidades!AT139,0),IF($AB139="RT",ROUND(Proyeccion_Localidades!BQ139,0),"*****"))))</f>
        <v>3190</v>
      </c>
      <c r="X139" s="66">
        <f>IF($AB139="TGD",ROUND($E139*(1+$AD139)^(X$4-$E$4),0),IF($AB139="ALTH",ROUND($AE139+$AF139*X$4,0),IF($AB139="IR",ROUND(Proyeccion_Localidades!AU139,0),IF($AB139="RT",ROUND(Proyeccion_Localidades!BR139,0),"*****"))))</f>
        <v>3261</v>
      </c>
      <c r="Y139" s="66">
        <f>IF($AB139="TGD",ROUND($E139*(1+$AD139)^(Y$4-$E$4),0),IF($AB139="ALTH",ROUND($AE139+$AF139*Y$4,0),IF($AB139="IR",ROUND(Proyeccion_Localidades!AV139,0),IF($AB139="RT",ROUND(Proyeccion_Localidades!BS139,0),"*****"))))</f>
        <v>3332</v>
      </c>
      <c r="Z139" s="66">
        <f>IF($AB139="TGD",ROUND($E139*(1+$AD139)^(Z$4-$E$4),0),IF($AB139="ALTH",ROUND($AE139+$AF139*Z$4,0),IF($AB139="IR",ROUND(Proyeccion_Localidades!AW139,0),IF($AB139="RT",ROUND(Proyeccion_Localidades!BT139,0),"*****"))))</f>
        <v>3404</v>
      </c>
      <c r="AA139" s="66">
        <f>IF($AB139="TGD",ROUND($E139*(1+$AD139)^(AA$4-$E$4),0),IF($AB139="ALTH",ROUND($AE139+$AF139*AA$4,0),IF($AB139="IR",ROUND(Proyeccion_Localidades!AX139,0),IF($AB139="RT",ROUND(Proyeccion_Localidades!BU139,0),"*****"))))</f>
        <v>3475</v>
      </c>
      <c r="AB139" s="67" t="str">
        <f>Proyeccion_Localidades!N139</f>
        <v>RT</v>
      </c>
      <c r="AC139" s="73"/>
      <c r="AD139" s="51" t="str">
        <f>IF(AB139="TGD",Proyeccion_Localidades!Z139,"-")</f>
        <v>-</v>
      </c>
      <c r="AE139" s="51" t="str">
        <f>IF($AB139="ALTH",Proyeccion_Localidades!AA139,"-")</f>
        <v>-</v>
      </c>
      <c r="AF139" s="51" t="str">
        <f>IF($AB139="ALTH",Proyeccion_Localidades!AB139,"-")</f>
        <v>-</v>
      </c>
      <c r="AG139" s="51"/>
      <c r="AH139" s="51"/>
      <c r="AI139" s="66">
        <f t="shared" si="8"/>
        <v>1999</v>
      </c>
    </row>
    <row r="140" spans="1:35" ht="24.95" customHeight="1">
      <c r="A140" s="86" t="str">
        <f>+Proyeccion_Localidades!C140</f>
        <v>Tornquist</v>
      </c>
      <c r="B140" s="70">
        <f t="shared" si="7"/>
        <v>129</v>
      </c>
      <c r="C140" s="88" t="str">
        <f>+Proyeccion_Localidades!B140</f>
        <v>Tornquist</v>
      </c>
      <c r="D140" s="261">
        <f t="shared" si="9"/>
        <v>129</v>
      </c>
      <c r="E140" s="72">
        <f>+Proyeccion_Localidades!F140</f>
        <v>6473</v>
      </c>
      <c r="F140" s="66">
        <f>IF($AB140="TGD",ROUND($E140*(1+$AD140)^(F$4-$E$4),0),IF($AB140="ALTH",ROUND($AE140+$AF140*F$4,0),IF($AB140="IR",ROUND(Proyeccion_Localidades!AC140,0),IF($AB140="RT",ROUND(Proyeccion_Localidades!AZ140,0),"*****"))))</f>
        <v>7290</v>
      </c>
      <c r="G140" s="66">
        <f>IF($AB140="TGD",ROUND($E140*(1+$AD140)^(G$4-$E$4),0),IF($AB140="ALTH",ROUND($AE140+$AF140*G$4,0),IF($AB140="IR",ROUND(Proyeccion_Localidades!AD140,0),IF($AB140="RT",ROUND(Proyeccion_Localidades!BA140,0),"*****"))))</f>
        <v>7386</v>
      </c>
      <c r="H140" s="66">
        <f>IF($AB140="TGD",ROUND($E140*(1+$AD140)^(H$4-$E$4),0),IF($AB140="ALTH",ROUND($AE140+$AF140*H$4,0),IF($AB140="IR",ROUND(Proyeccion_Localidades!AE140,0),IF($AB140="RT",ROUND(Proyeccion_Localidades!BB140,0),"*****"))))</f>
        <v>7675</v>
      </c>
      <c r="I140" s="66">
        <f>IF($AB140="TGD",ROUND($E140*(1+$AD140)^(I$4-$E$4),0),IF($AB140="ALTH",ROUND($AE140+$AF140*I$4,0),IF($AB140="IR",ROUND(Proyeccion_Localidades!AF140,0),IF($AB140="RT",ROUND(Proyeccion_Localidades!BC140,0),"*****"))))</f>
        <v>7772</v>
      </c>
      <c r="J140" s="66">
        <f>IF($AB140="TGD",ROUND($E140*(1+$AD140)^(J$4-$E$4),0),IF($AB140="ALTH",ROUND($AE140+$AF140*J$4,0),IF($AB140="IR",ROUND(Proyeccion_Localidades!AG140,0),IF($AB140="RT",ROUND(Proyeccion_Localidades!BD140,0),"*****"))))</f>
        <v>7868</v>
      </c>
      <c r="K140" s="66">
        <f>IF($AB140="TGD",ROUND($E140*(1+$AD140)^(K$4-$E$4),0),IF($AB140="ALTH",ROUND($AE140+$AF140*K$4,0),IF($AB140="IR",ROUND(Proyeccion_Localidades!AH140,0),IF($AB140="RT",ROUND(Proyeccion_Localidades!BE140,0),"*****"))))</f>
        <v>7964</v>
      </c>
      <c r="L140" s="66">
        <f>IF($AB140="TGD",ROUND($E140*(1+$AD140)^(L$4-$E$4),0),IF($AB140="ALTH",ROUND($AE140+$AF140*L$4,0),IF($AB140="IR",ROUND(Proyeccion_Localidades!AI140,0),IF($AB140="RT",ROUND(Proyeccion_Localidades!BF140,0),"*****"))))</f>
        <v>8060</v>
      </c>
      <c r="M140" s="66">
        <f>IF($AB140="TGD",ROUND($E140*(1+$AD140)^(M$4-$E$4),0),IF($AB140="ALTH",ROUND($AE140+$AF140*M$4,0),IF($AB140="IR",ROUND(Proyeccion_Localidades!AJ140,0),IF($AB140="RT",ROUND(Proyeccion_Localidades!BG140,0),"*****"))))</f>
        <v>8185</v>
      </c>
      <c r="N140" s="66">
        <f>IF($AB140="TGD",ROUND($E140*(1+$AD140)^(N$4-$E$4),0),IF($AB140="ALTH",ROUND($AE140+$AF140*N$4,0),IF($AB140="IR",ROUND(Proyeccion_Localidades!AK140,0),IF($AB140="RT",ROUND(Proyeccion_Localidades!BH140,0),"*****"))))</f>
        <v>8309</v>
      </c>
      <c r="O140" s="66">
        <f>IF($AB140="TGD",ROUND($E140*(1+$AD140)^(O$4-$E$4),0),IF($AB140="ALTH",ROUND($AE140+$AF140*O$4,0),IF($AB140="IR",ROUND(Proyeccion_Localidades!AL140,0),IF($AB140="RT",ROUND(Proyeccion_Localidades!BI140,0),"*****"))))</f>
        <v>8434</v>
      </c>
      <c r="P140" s="66">
        <f>IF($AB140="TGD",ROUND($E140*(1+$AD140)^(P$4-$E$4),0),IF($AB140="ALTH",ROUND($AE140+$AF140*P$4,0),IF($AB140="IR",ROUND(Proyeccion_Localidades!AM140,0),IF($AB140="RT",ROUND(Proyeccion_Localidades!BJ140,0),"*****"))))</f>
        <v>8558</v>
      </c>
      <c r="Q140" s="66">
        <f>IF($AB140="TGD",ROUND($E140*(1+$AD140)^(Q$4-$E$4),0),IF($AB140="ALTH",ROUND($AE140+$AF140*Q$4,0),IF($AB140="IR",ROUND(Proyeccion_Localidades!AN140,0),IF($AB140="RT",ROUND(Proyeccion_Localidades!BK140,0),"*****"))))</f>
        <v>8683</v>
      </c>
      <c r="R140" s="66">
        <f>IF($AB140="TGD",ROUND($E140*(1+$AD140)^(R$4-$E$4),0),IF($AB140="ALTH",ROUND($AE140+$AF140*R$4,0),IF($AB140="IR",ROUND(Proyeccion_Localidades!AO140,0),IF($AB140="RT",ROUND(Proyeccion_Localidades!BL140,0),"*****"))))</f>
        <v>8807</v>
      </c>
      <c r="S140" s="66">
        <f>IF($AB140="TGD",ROUND($E140*(1+$AD140)^(S$4-$E$4),0),IF($AB140="ALTH",ROUND($AE140+$AF140*S$4,0),IF($AB140="IR",ROUND(Proyeccion_Localidades!AP140,0),IF($AB140="RT",ROUND(Proyeccion_Localidades!BM140,0),"*****"))))</f>
        <v>8931</v>
      </c>
      <c r="T140" s="66">
        <f>IF($AB140="TGD",ROUND($E140*(1+$AD140)^(T$4-$E$4),0),IF($AB140="ALTH",ROUND($AE140+$AF140*T$4,0),IF($AB140="IR",ROUND(Proyeccion_Localidades!AQ140,0),IF($AB140="RT",ROUND(Proyeccion_Localidades!BN140,0),"*****"))))</f>
        <v>9056</v>
      </c>
      <c r="U140" s="66">
        <f>IF($AB140="TGD",ROUND($E140*(1+$AD140)^(U$4-$E$4),0),IF($AB140="ALTH",ROUND($AE140+$AF140*U$4,0),IF($AB140="IR",ROUND(Proyeccion_Localidades!AR140,0),IF($AB140="RT",ROUND(Proyeccion_Localidades!BO140,0),"*****"))))</f>
        <v>9180</v>
      </c>
      <c r="V140" s="66">
        <f>IF($AB140="TGD",ROUND($E140*(1+$AD140)^(V$4-$E$4),0),IF($AB140="ALTH",ROUND($AE140+$AF140*V$4,0),IF($AB140="IR",ROUND(Proyeccion_Localidades!AS140,0),IF($AB140="RT",ROUND(Proyeccion_Localidades!BP140,0),"*****"))))</f>
        <v>9305</v>
      </c>
      <c r="W140" s="66">
        <f>IF($AB140="TGD",ROUND($E140*(1+$AD140)^(W$4-$E$4),0),IF($AB140="ALTH",ROUND($AE140+$AF140*W$4,0),IF($AB140="IR",ROUND(Proyeccion_Localidades!AT140,0),IF($AB140="RT",ROUND(Proyeccion_Localidades!BQ140,0),"*****"))))</f>
        <v>9429</v>
      </c>
      <c r="X140" s="66">
        <f>IF($AB140="TGD",ROUND($E140*(1+$AD140)^(X$4-$E$4),0),IF($AB140="ALTH",ROUND($AE140+$AF140*X$4,0),IF($AB140="IR",ROUND(Proyeccion_Localidades!AU140,0),IF($AB140="RT",ROUND(Proyeccion_Localidades!BR140,0),"*****"))))</f>
        <v>9554</v>
      </c>
      <c r="Y140" s="66">
        <f>IF($AB140="TGD",ROUND($E140*(1+$AD140)^(Y$4-$E$4),0),IF($AB140="ALTH",ROUND($AE140+$AF140*Y$4,0),IF($AB140="IR",ROUND(Proyeccion_Localidades!AV140,0),IF($AB140="RT",ROUND(Proyeccion_Localidades!BS140,0),"*****"))))</f>
        <v>9678</v>
      </c>
      <c r="Z140" s="66">
        <f>IF($AB140="TGD",ROUND($E140*(1+$AD140)^(Z$4-$E$4),0),IF($AB140="ALTH",ROUND($AE140+$AF140*Z$4,0),IF($AB140="IR",ROUND(Proyeccion_Localidades!AW140,0),IF($AB140="RT",ROUND(Proyeccion_Localidades!BT140,0),"*****"))))</f>
        <v>9802</v>
      </c>
      <c r="AA140" s="66">
        <f>IF($AB140="TGD",ROUND($E140*(1+$AD140)^(AA$4-$E$4),0),IF($AB140="ALTH",ROUND($AE140+$AF140*AA$4,0),IF($AB140="IR",ROUND(Proyeccion_Localidades!AX140,0),IF($AB140="RT",ROUND(Proyeccion_Localidades!BU140,0),"*****"))))</f>
        <v>9927</v>
      </c>
      <c r="AB140" s="67" t="str">
        <f>Proyeccion_Localidades!N140</f>
        <v>RT</v>
      </c>
      <c r="AC140" s="73"/>
      <c r="AD140" s="51" t="str">
        <f>IF(AB140="TGD",Proyeccion_Localidades!Z140,"-")</f>
        <v>-</v>
      </c>
      <c r="AE140" s="51" t="str">
        <f>IF($AB140="ALTH",Proyeccion_Localidades!AA140,"-")</f>
        <v>-</v>
      </c>
      <c r="AF140" s="51" t="str">
        <f>IF($AB140="ALTH",Proyeccion_Localidades!AB140,"-")</f>
        <v>-</v>
      </c>
      <c r="AG140" s="51"/>
      <c r="AH140" s="51"/>
      <c r="AI140" s="66">
        <f t="shared" si="8"/>
        <v>7386</v>
      </c>
    </row>
    <row r="141" spans="1:35" ht="24.95" customHeight="1">
      <c r="A141" s="86" t="str">
        <f>+Proyeccion_Localidades!C141</f>
        <v>Trenque Lauquen</v>
      </c>
      <c r="B141" s="70">
        <f t="shared" si="7"/>
        <v>130</v>
      </c>
      <c r="C141" s="88" t="str">
        <f>+Proyeccion_Localidades!B141</f>
        <v>Trenque Lauquen</v>
      </c>
      <c r="D141" s="261">
        <f t="shared" si="9"/>
        <v>130</v>
      </c>
      <c r="E141" s="72">
        <f>+Proyeccion_Localidades!F141</f>
        <v>33442</v>
      </c>
      <c r="F141" s="66">
        <f>IF($AB141="TGD",ROUND($E141*(1+$AD141)^(F$4-$E$4),0),IF($AB141="ALTH",ROUND($AE141+$AF141*F$4,0),IF($AB141="IR",ROUND(Proyeccion_Localidades!AC141,0),IF($AB141="RT",ROUND(Proyeccion_Localidades!AZ141,0),"*****"))))</f>
        <v>37379</v>
      </c>
      <c r="G141" s="66">
        <f>IF($AB141="TGD",ROUND($E141*(1+$AD141)^(G$4-$E$4),0),IF($AB141="ALTH",ROUND($AE141+$AF141*G$4,0),IF($AB141="IR",ROUND(Proyeccion_Localidades!AD141,0),IF($AB141="RT",ROUND(Proyeccion_Localidades!BA141,0),"*****"))))</f>
        <v>37727</v>
      </c>
      <c r="H141" s="66">
        <f>IF($AB141="TGD",ROUND($E141*(1+$AD141)^(H$4-$E$4),0),IF($AB141="ALTH",ROUND($AE141+$AF141*H$4,0),IF($AB141="IR",ROUND(Proyeccion_Localidades!AE141,0),IF($AB141="RT",ROUND(Proyeccion_Localidades!BB141,0),"*****"))))</f>
        <v>38791</v>
      </c>
      <c r="I141" s="66">
        <f>IF($AB141="TGD",ROUND($E141*(1+$AD141)^(I$4-$E$4),0),IF($AB141="ALTH",ROUND($AE141+$AF141*I$4,0),IF($AB141="IR",ROUND(Proyeccion_Localidades!AF141,0),IF($AB141="RT",ROUND(Proyeccion_Localidades!BC141,0),"*****"))))</f>
        <v>39153</v>
      </c>
      <c r="J141" s="66">
        <f>IF($AB141="TGD",ROUND($E141*(1+$AD141)^(J$4-$E$4),0),IF($AB141="ALTH",ROUND($AE141+$AF141*J$4,0),IF($AB141="IR",ROUND(Proyeccion_Localidades!AG141,0),IF($AB141="RT",ROUND(Proyeccion_Localidades!BD141,0),"*****"))))</f>
        <v>39518</v>
      </c>
      <c r="K141" s="66">
        <f>IF($AB141="TGD",ROUND($E141*(1+$AD141)^(K$4-$E$4),0),IF($AB141="ALTH",ROUND($AE141+$AF141*K$4,0),IF($AB141="IR",ROUND(Proyeccion_Localidades!AH141,0),IF($AB141="RT",ROUND(Proyeccion_Localidades!BE141,0),"*****"))))</f>
        <v>39886</v>
      </c>
      <c r="L141" s="66">
        <f>IF($AB141="TGD",ROUND($E141*(1+$AD141)^(L$4-$E$4),0),IF($AB141="ALTH",ROUND($AE141+$AF141*L$4,0),IF($AB141="IR",ROUND(Proyeccion_Localidades!AI141,0),IF($AB141="RT",ROUND(Proyeccion_Localidades!BF141,0),"*****"))))</f>
        <v>40257</v>
      </c>
      <c r="M141" s="66">
        <f>IF($AB141="TGD",ROUND($E141*(1+$AD141)^(M$4-$E$4),0),IF($AB141="ALTH",ROUND($AE141+$AF141*M$4,0),IF($AB141="IR",ROUND(Proyeccion_Localidades!AJ141,0),IF($AB141="RT",ROUND(Proyeccion_Localidades!BG141,0),"*****"))))</f>
        <v>40633</v>
      </c>
      <c r="N141" s="66">
        <f>IF($AB141="TGD",ROUND($E141*(1+$AD141)^(N$4-$E$4),0),IF($AB141="ALTH",ROUND($AE141+$AF141*N$4,0),IF($AB141="IR",ROUND(Proyeccion_Localidades!AK141,0),IF($AB141="RT",ROUND(Proyeccion_Localidades!BH141,0),"*****"))))</f>
        <v>41011</v>
      </c>
      <c r="O141" s="66">
        <f>IF($AB141="TGD",ROUND($E141*(1+$AD141)^(O$4-$E$4),0),IF($AB141="ALTH",ROUND($AE141+$AF141*O$4,0),IF($AB141="IR",ROUND(Proyeccion_Localidades!AL141,0),IF($AB141="RT",ROUND(Proyeccion_Localidades!BI141,0),"*****"))))</f>
        <v>41393</v>
      </c>
      <c r="P141" s="66">
        <f>IF($AB141="TGD",ROUND($E141*(1+$AD141)^(P$4-$E$4),0),IF($AB141="ALTH",ROUND($AE141+$AF141*P$4,0),IF($AB141="IR",ROUND(Proyeccion_Localidades!AM141,0),IF($AB141="RT",ROUND(Proyeccion_Localidades!BJ141,0),"*****"))))</f>
        <v>41779</v>
      </c>
      <c r="Q141" s="66">
        <f>IF($AB141="TGD",ROUND($E141*(1+$AD141)^(Q$4-$E$4),0),IF($AB141="ALTH",ROUND($AE141+$AF141*Q$4,0),IF($AB141="IR",ROUND(Proyeccion_Localidades!AN141,0),IF($AB141="RT",ROUND(Proyeccion_Localidades!BK141,0),"*****"))))</f>
        <v>42168</v>
      </c>
      <c r="R141" s="66">
        <f>IF($AB141="TGD",ROUND($E141*(1+$AD141)^(R$4-$E$4),0),IF($AB141="ALTH",ROUND($AE141+$AF141*R$4,0),IF($AB141="IR",ROUND(Proyeccion_Localidades!AO141,0),IF($AB141="RT",ROUND(Proyeccion_Localidades!BL141,0),"*****"))))</f>
        <v>42561</v>
      </c>
      <c r="S141" s="66">
        <f>IF($AB141="TGD",ROUND($E141*(1+$AD141)^(S$4-$E$4),0),IF($AB141="ALTH",ROUND($AE141+$AF141*S$4,0),IF($AB141="IR",ROUND(Proyeccion_Localidades!AP141,0),IF($AB141="RT",ROUND(Proyeccion_Localidades!BM141,0),"*****"))))</f>
        <v>42958</v>
      </c>
      <c r="T141" s="66">
        <f>IF($AB141="TGD",ROUND($E141*(1+$AD141)^(T$4-$E$4),0),IF($AB141="ALTH",ROUND($AE141+$AF141*T$4,0),IF($AB141="IR",ROUND(Proyeccion_Localidades!AQ141,0),IF($AB141="RT",ROUND(Proyeccion_Localidades!BN141,0),"*****"))))</f>
        <v>43358</v>
      </c>
      <c r="U141" s="66">
        <f>IF($AB141="TGD",ROUND($E141*(1+$AD141)^(U$4-$E$4),0),IF($AB141="ALTH",ROUND($AE141+$AF141*U$4,0),IF($AB141="IR",ROUND(Proyeccion_Localidades!AR141,0),IF($AB141="RT",ROUND(Proyeccion_Localidades!BO141,0),"*****"))))</f>
        <v>43762</v>
      </c>
      <c r="V141" s="66">
        <f>IF($AB141="TGD",ROUND($E141*(1+$AD141)^(V$4-$E$4),0),IF($AB141="ALTH",ROUND($AE141+$AF141*V$4,0),IF($AB141="IR",ROUND(Proyeccion_Localidades!AS141,0),IF($AB141="RT",ROUND(Proyeccion_Localidades!BP141,0),"*****"))))</f>
        <v>44170</v>
      </c>
      <c r="W141" s="66">
        <f>IF($AB141="TGD",ROUND($E141*(1+$AD141)^(W$4-$E$4),0),IF($AB141="ALTH",ROUND($AE141+$AF141*W$4,0),IF($AB141="IR",ROUND(Proyeccion_Localidades!AT141,0),IF($AB141="RT",ROUND(Proyeccion_Localidades!BQ141,0),"*****"))))</f>
        <v>44581</v>
      </c>
      <c r="X141" s="66">
        <f>IF($AB141="TGD",ROUND($E141*(1+$AD141)^(X$4-$E$4),0),IF($AB141="ALTH",ROUND($AE141+$AF141*X$4,0),IF($AB141="IR",ROUND(Proyeccion_Localidades!AU141,0),IF($AB141="RT",ROUND(Proyeccion_Localidades!BR141,0),"*****"))))</f>
        <v>44997</v>
      </c>
      <c r="Y141" s="66">
        <f>IF($AB141="TGD",ROUND($E141*(1+$AD141)^(Y$4-$E$4),0),IF($AB141="ALTH",ROUND($AE141+$AF141*Y$4,0),IF($AB141="IR",ROUND(Proyeccion_Localidades!AV141,0),IF($AB141="RT",ROUND(Proyeccion_Localidades!BS141,0),"*****"))))</f>
        <v>45416</v>
      </c>
      <c r="Z141" s="66">
        <f>IF($AB141="TGD",ROUND($E141*(1+$AD141)^(Z$4-$E$4),0),IF($AB141="ALTH",ROUND($AE141+$AF141*Z$4,0),IF($AB141="IR",ROUND(Proyeccion_Localidades!AW141,0),IF($AB141="RT",ROUND(Proyeccion_Localidades!BT141,0),"*****"))))</f>
        <v>45839</v>
      </c>
      <c r="AA141" s="66">
        <f>IF($AB141="TGD",ROUND($E141*(1+$AD141)^(AA$4-$E$4),0),IF($AB141="ALTH",ROUND($AE141+$AF141*AA$4,0),IF($AB141="IR",ROUND(Proyeccion_Localidades!AX141,0),IF($AB141="RT",ROUND(Proyeccion_Localidades!BU141,0),"*****"))))</f>
        <v>46266</v>
      </c>
      <c r="AB141" s="67" t="str">
        <f>Proyeccion_Localidades!N141</f>
        <v>TGD</v>
      </c>
      <c r="AC141" s="68" t="s">
        <v>35</v>
      </c>
      <c r="AD141" s="51">
        <f>IF(AB141="TGD",Proyeccion_Localidades!Z141,"-")</f>
        <v>9.3172960155802897E-3</v>
      </c>
      <c r="AE141" s="51" t="str">
        <f>IF($AB141="ALTH",Proyeccion_Localidades!AA141,"-")</f>
        <v>-</v>
      </c>
      <c r="AF141" s="51" t="str">
        <f>IF($AB141="ALTH",Proyeccion_Localidades!AB141,"-")</f>
        <v>-</v>
      </c>
      <c r="AG141" s="51"/>
      <c r="AH141" s="51"/>
      <c r="AI141" s="66">
        <f t="shared" si="8"/>
        <v>37727</v>
      </c>
    </row>
    <row r="142" spans="1:35" ht="24.95" customHeight="1">
      <c r="A142" s="86" t="str">
        <f>+Proyeccion_Localidades!C142</f>
        <v>Tres Arroyos</v>
      </c>
      <c r="B142" s="70">
        <f t="shared" si="7"/>
        <v>131</v>
      </c>
      <c r="C142" s="88" t="str">
        <f>+Proyeccion_Localidades!B142</f>
        <v>Tres Arroyos</v>
      </c>
      <c r="D142" s="261">
        <f t="shared" si="9"/>
        <v>131</v>
      </c>
      <c r="E142" s="72">
        <f>+Proyeccion_Localidades!F142</f>
        <v>46867</v>
      </c>
      <c r="F142" s="66">
        <f>IF($AB142="TGD",ROUND($E142*(1+$AD142)^(F$4-$E$4),0),IF($AB142="ALTH",ROUND($AE142+$AF142*F$4,0),IF($AB142="IR",ROUND(Proyeccion_Localidades!AC142,0),IF($AB142="RT",ROUND(Proyeccion_Localidades!AZ142,0),"*****"))))</f>
        <v>48831</v>
      </c>
      <c r="G142" s="66">
        <f>IF($AB142="TGD",ROUND($E142*(1+$AD142)^(G$4-$E$4),0),IF($AB142="ALTH",ROUND($AE142+$AF142*G$4,0),IF($AB142="IR",ROUND(Proyeccion_Localidades!AD142,0),IF($AB142="RT",ROUND(Proyeccion_Localidades!BA142,0),"*****"))))</f>
        <v>49012</v>
      </c>
      <c r="H142" s="66">
        <f>IF($AB142="TGD",ROUND($E142*(1+$AD142)^(H$4-$E$4),0),IF($AB142="ALTH",ROUND($AE142+$AF142*H$4,0),IF($AB142="IR",ROUND(Proyeccion_Localidades!AE142,0),IF($AB142="RT",ROUND(Proyeccion_Localidades!BB142,0),"*****"))))</f>
        <v>49575</v>
      </c>
      <c r="I142" s="66">
        <f>IF($AB142="TGD",ROUND($E142*(1+$AD142)^(I$4-$E$4),0),IF($AB142="ALTH",ROUND($AE142+$AF142*I$4,0),IF($AB142="IR",ROUND(Proyeccion_Localidades!AF142,0),IF($AB142="RT",ROUND(Proyeccion_Localidades!BC142,0),"*****"))))</f>
        <v>49768</v>
      </c>
      <c r="J142" s="66">
        <f>IF($AB142="TGD",ROUND($E142*(1+$AD142)^(J$4-$E$4),0),IF($AB142="ALTH",ROUND($AE142+$AF142*J$4,0),IF($AB142="IR",ROUND(Proyeccion_Localidades!AG142,0),IF($AB142="RT",ROUND(Proyeccion_Localidades!BD142,0),"*****"))))</f>
        <v>49965</v>
      </c>
      <c r="K142" s="66">
        <f>IF($AB142="TGD",ROUND($E142*(1+$AD142)^(K$4-$E$4),0),IF($AB142="ALTH",ROUND($AE142+$AF142*K$4,0),IF($AB142="IR",ROUND(Proyeccion_Localidades!AH142,0),IF($AB142="RT",ROUND(Proyeccion_Localidades!BE142,0),"*****"))))</f>
        <v>50165</v>
      </c>
      <c r="L142" s="66">
        <f>IF($AB142="TGD",ROUND($E142*(1+$AD142)^(L$4-$E$4),0),IF($AB142="ALTH",ROUND($AE142+$AF142*L$4,0),IF($AB142="IR",ROUND(Proyeccion_Localidades!AI142,0),IF($AB142="RT",ROUND(Proyeccion_Localidades!BF142,0),"*****"))))</f>
        <v>50369</v>
      </c>
      <c r="M142" s="66">
        <f>IF($AB142="TGD",ROUND($E142*(1+$AD142)^(M$4-$E$4),0),IF($AB142="ALTH",ROUND($AE142+$AF142*M$4,0),IF($AB142="IR",ROUND(Proyeccion_Localidades!AJ142,0),IF($AB142="RT",ROUND(Proyeccion_Localidades!BG142,0),"*****"))))</f>
        <v>50575</v>
      </c>
      <c r="N142" s="66">
        <f>IF($AB142="TGD",ROUND($E142*(1+$AD142)^(N$4-$E$4),0),IF($AB142="ALTH",ROUND($AE142+$AF142*N$4,0),IF($AB142="IR",ROUND(Proyeccion_Localidades!AK142,0),IF($AB142="RT",ROUND(Proyeccion_Localidades!BH142,0),"*****"))))</f>
        <v>50785</v>
      </c>
      <c r="O142" s="66">
        <f>IF($AB142="TGD",ROUND($E142*(1+$AD142)^(O$4-$E$4),0),IF($AB142="ALTH",ROUND($AE142+$AF142*O$4,0),IF($AB142="IR",ROUND(Proyeccion_Localidades!AL142,0),IF($AB142="RT",ROUND(Proyeccion_Localidades!BI142,0),"*****"))))</f>
        <v>50999</v>
      </c>
      <c r="P142" s="66">
        <f>IF($AB142="TGD",ROUND($E142*(1+$AD142)^(P$4-$E$4),0),IF($AB142="ALTH",ROUND($AE142+$AF142*P$4,0),IF($AB142="IR",ROUND(Proyeccion_Localidades!AM142,0),IF($AB142="RT",ROUND(Proyeccion_Localidades!BJ142,0),"*****"))))</f>
        <v>51215</v>
      </c>
      <c r="Q142" s="66">
        <f>IF($AB142="TGD",ROUND($E142*(1+$AD142)^(Q$4-$E$4),0),IF($AB142="ALTH",ROUND($AE142+$AF142*Q$4,0),IF($AB142="IR",ROUND(Proyeccion_Localidades!AN142,0),IF($AB142="RT",ROUND(Proyeccion_Localidades!BK142,0),"*****"))))</f>
        <v>51436</v>
      </c>
      <c r="R142" s="66">
        <f>IF($AB142="TGD",ROUND($E142*(1+$AD142)^(R$4-$E$4),0),IF($AB142="ALTH",ROUND($AE142+$AF142*R$4,0),IF($AB142="IR",ROUND(Proyeccion_Localidades!AO142,0),IF($AB142="RT",ROUND(Proyeccion_Localidades!BL142,0),"*****"))))</f>
        <v>51660</v>
      </c>
      <c r="S142" s="66">
        <f>IF($AB142="TGD",ROUND($E142*(1+$AD142)^(S$4-$E$4),0),IF($AB142="ALTH",ROUND($AE142+$AF142*S$4,0),IF($AB142="IR",ROUND(Proyeccion_Localidades!AP142,0),IF($AB142="RT",ROUND(Proyeccion_Localidades!BM142,0),"*****"))))</f>
        <v>51887</v>
      </c>
      <c r="T142" s="66">
        <f>IF($AB142="TGD",ROUND($E142*(1+$AD142)^(T$4-$E$4),0),IF($AB142="ALTH",ROUND($AE142+$AF142*T$4,0),IF($AB142="IR",ROUND(Proyeccion_Localidades!AQ142,0),IF($AB142="RT",ROUND(Proyeccion_Localidades!BN142,0),"*****"))))</f>
        <v>52119</v>
      </c>
      <c r="U142" s="66">
        <f>IF($AB142="TGD",ROUND($E142*(1+$AD142)^(U$4-$E$4),0),IF($AB142="ALTH",ROUND($AE142+$AF142*U$4,0),IF($AB142="IR",ROUND(Proyeccion_Localidades!AR142,0),IF($AB142="RT",ROUND(Proyeccion_Localidades!BO142,0),"*****"))))</f>
        <v>52354</v>
      </c>
      <c r="V142" s="66">
        <f>IF($AB142="TGD",ROUND($E142*(1+$AD142)^(V$4-$E$4),0),IF($AB142="ALTH",ROUND($AE142+$AF142*V$4,0),IF($AB142="IR",ROUND(Proyeccion_Localidades!AS142,0),IF($AB142="RT",ROUND(Proyeccion_Localidades!BP142,0),"*****"))))</f>
        <v>52593</v>
      </c>
      <c r="W142" s="66">
        <f>IF($AB142="TGD",ROUND($E142*(1+$AD142)^(W$4-$E$4),0),IF($AB142="ALTH",ROUND($AE142+$AF142*W$4,0),IF($AB142="IR",ROUND(Proyeccion_Localidades!AT142,0),IF($AB142="RT",ROUND(Proyeccion_Localidades!BQ142,0),"*****"))))</f>
        <v>52836</v>
      </c>
      <c r="X142" s="66">
        <f>IF($AB142="TGD",ROUND($E142*(1+$AD142)^(X$4-$E$4),0),IF($AB142="ALTH",ROUND($AE142+$AF142*X$4,0),IF($AB142="IR",ROUND(Proyeccion_Localidades!AU142,0),IF($AB142="RT",ROUND(Proyeccion_Localidades!BR142,0),"*****"))))</f>
        <v>53083</v>
      </c>
      <c r="Y142" s="66">
        <f>IF($AB142="TGD",ROUND($E142*(1+$AD142)^(Y$4-$E$4),0),IF($AB142="ALTH",ROUND($AE142+$AF142*Y$4,0),IF($AB142="IR",ROUND(Proyeccion_Localidades!AV142,0),IF($AB142="RT",ROUND(Proyeccion_Localidades!BS142,0),"*****"))))</f>
        <v>53334</v>
      </c>
      <c r="Z142" s="66">
        <f>IF($AB142="TGD",ROUND($E142*(1+$AD142)^(Z$4-$E$4),0),IF($AB142="ALTH",ROUND($AE142+$AF142*Z$4,0),IF($AB142="IR",ROUND(Proyeccion_Localidades!AW142,0),IF($AB142="RT",ROUND(Proyeccion_Localidades!BT142,0),"*****"))))</f>
        <v>53589</v>
      </c>
      <c r="AA142" s="66">
        <f>IF($AB142="TGD",ROUND($E142*(1+$AD142)^(AA$4-$E$4),0),IF($AB142="ALTH",ROUND($AE142+$AF142*AA$4,0),IF($AB142="IR",ROUND(Proyeccion_Localidades!AX142,0),IF($AB142="RT",ROUND(Proyeccion_Localidades!BU142,0),"*****"))))</f>
        <v>53848</v>
      </c>
      <c r="AB142" s="67" t="str">
        <f>Proyeccion_Localidades!N142</f>
        <v>IR</v>
      </c>
      <c r="AC142" s="73"/>
      <c r="AD142" s="51" t="str">
        <f>IF(AB142="TGD",Proyeccion_Localidades!Z142,"-")</f>
        <v>-</v>
      </c>
      <c r="AE142" s="51" t="str">
        <f>IF($AB142="ALTH",Proyeccion_Localidades!AA142,"-")</f>
        <v>-</v>
      </c>
      <c r="AF142" s="51" t="str">
        <f>IF($AB142="ALTH",Proyeccion_Localidades!AB142,"-")</f>
        <v>-</v>
      </c>
      <c r="AG142" s="51"/>
      <c r="AH142" s="51"/>
      <c r="AI142" s="66">
        <f t="shared" si="8"/>
        <v>49012</v>
      </c>
    </row>
    <row r="143" spans="1:35" ht="24.95" customHeight="1">
      <c r="A143" s="86" t="str">
        <f>+Proyeccion_Localidades!C143</f>
        <v>Tres Lomas</v>
      </c>
      <c r="B143" s="70">
        <f t="shared" si="7"/>
        <v>132</v>
      </c>
      <c r="C143" s="88" t="str">
        <f>+Proyeccion_Localidades!B143</f>
        <v>Tres Lomas</v>
      </c>
      <c r="D143" s="261">
        <f t="shared" si="9"/>
        <v>132</v>
      </c>
      <c r="E143" s="72">
        <f>+Proyeccion_Localidades!F143</f>
        <v>8061</v>
      </c>
      <c r="F143" s="66">
        <f>IF($AB143="TGD",ROUND($E143*(1+$AD143)^(F$4-$E$4),0),IF($AB143="ALTH",ROUND($AE143+$AF143*F$4,0),IF($AB143="IR",ROUND(Proyeccion_Localidades!AC143,0),IF($AB143="RT",ROUND(Proyeccion_Localidades!AZ143,0),"*****"))))</f>
        <v>8878</v>
      </c>
      <c r="G143" s="66">
        <f>IF($AB143="TGD",ROUND($E143*(1+$AD143)^(G$4-$E$4),0),IF($AB143="ALTH",ROUND($AE143+$AF143*G$4,0),IF($AB143="IR",ROUND(Proyeccion_Localidades!AD143,0),IF($AB143="RT",ROUND(Proyeccion_Localidades!BA143,0),"*****"))))</f>
        <v>8963</v>
      </c>
      <c r="H143" s="66">
        <f>IF($AB143="TGD",ROUND($E143*(1+$AD143)^(H$4-$E$4),0),IF($AB143="ALTH",ROUND($AE143+$AF143*H$4,0),IF($AB143="IR",ROUND(Proyeccion_Localidades!AE143,0),IF($AB143="RT",ROUND(Proyeccion_Localidades!BB143,0),"*****"))))</f>
        <v>9219</v>
      </c>
      <c r="I143" s="66">
        <f>IF($AB143="TGD",ROUND($E143*(1+$AD143)^(I$4-$E$4),0),IF($AB143="ALTH",ROUND($AE143+$AF143*I$4,0),IF($AB143="IR",ROUND(Proyeccion_Localidades!AF143,0),IF($AB143="RT",ROUND(Proyeccion_Localidades!BC143,0),"*****"))))</f>
        <v>9305</v>
      </c>
      <c r="J143" s="66">
        <f>IF($AB143="TGD",ROUND($E143*(1+$AD143)^(J$4-$E$4),0),IF($AB143="ALTH",ROUND($AE143+$AF143*J$4,0),IF($AB143="IR",ROUND(Proyeccion_Localidades!AG143,0),IF($AB143="RT",ROUND(Proyeccion_Localidades!BD143,0),"*****"))))</f>
        <v>9390</v>
      </c>
      <c r="K143" s="66">
        <f>IF($AB143="TGD",ROUND($E143*(1+$AD143)^(K$4-$E$4),0),IF($AB143="ALTH",ROUND($AE143+$AF143*K$4,0),IF($AB143="IR",ROUND(Proyeccion_Localidades!AH143,0),IF($AB143="RT",ROUND(Proyeccion_Localidades!BE143,0),"*****"))))</f>
        <v>9476</v>
      </c>
      <c r="L143" s="66">
        <f>IF($AB143="TGD",ROUND($E143*(1+$AD143)^(L$4-$E$4),0),IF($AB143="ALTH",ROUND($AE143+$AF143*L$4,0),IF($AB143="IR",ROUND(Proyeccion_Localidades!AI143,0),IF($AB143="RT",ROUND(Proyeccion_Localidades!BF143,0),"*****"))))</f>
        <v>9561</v>
      </c>
      <c r="M143" s="66">
        <f>IF($AB143="TGD",ROUND($E143*(1+$AD143)^(M$4-$E$4),0),IF($AB143="ALTH",ROUND($AE143+$AF143*M$4,0),IF($AB143="IR",ROUND(Proyeccion_Localidades!AJ143,0),IF($AB143="RT",ROUND(Proyeccion_Localidades!BG143,0),"*****"))))</f>
        <v>9647</v>
      </c>
      <c r="N143" s="66">
        <f>IF($AB143="TGD",ROUND($E143*(1+$AD143)^(N$4-$E$4),0),IF($AB143="ALTH",ROUND($AE143+$AF143*N$4,0),IF($AB143="IR",ROUND(Proyeccion_Localidades!AK143,0),IF($AB143="RT",ROUND(Proyeccion_Localidades!BH143,0),"*****"))))</f>
        <v>9732</v>
      </c>
      <c r="O143" s="66">
        <f>IF($AB143="TGD",ROUND($E143*(1+$AD143)^(O$4-$E$4),0),IF($AB143="ALTH",ROUND($AE143+$AF143*O$4,0),IF($AB143="IR",ROUND(Proyeccion_Localidades!AL143,0),IF($AB143="RT",ROUND(Proyeccion_Localidades!BI143,0),"*****"))))</f>
        <v>9818</v>
      </c>
      <c r="P143" s="66">
        <f>IF($AB143="TGD",ROUND($E143*(1+$AD143)^(P$4-$E$4),0),IF($AB143="ALTH",ROUND($AE143+$AF143*P$4,0),IF($AB143="IR",ROUND(Proyeccion_Localidades!AM143,0),IF($AB143="RT",ROUND(Proyeccion_Localidades!BJ143,0),"*****"))))</f>
        <v>9903</v>
      </c>
      <c r="Q143" s="66">
        <f>IF($AB143="TGD",ROUND($E143*(1+$AD143)^(Q$4-$E$4),0),IF($AB143="ALTH",ROUND($AE143+$AF143*Q$4,0),IF($AB143="IR",ROUND(Proyeccion_Localidades!AN143,0),IF($AB143="RT",ROUND(Proyeccion_Localidades!BK143,0),"*****"))))</f>
        <v>9989</v>
      </c>
      <c r="R143" s="66">
        <f>IF($AB143="TGD",ROUND($E143*(1+$AD143)^(R$4-$E$4),0),IF($AB143="ALTH",ROUND($AE143+$AF143*R$4,0),IF($AB143="IR",ROUND(Proyeccion_Localidades!AO143,0),IF($AB143="RT",ROUND(Proyeccion_Localidades!BL143,0),"*****"))))</f>
        <v>10074</v>
      </c>
      <c r="S143" s="66">
        <f>IF($AB143="TGD",ROUND($E143*(1+$AD143)^(S$4-$E$4),0),IF($AB143="ALTH",ROUND($AE143+$AF143*S$4,0),IF($AB143="IR",ROUND(Proyeccion_Localidades!AP143,0),IF($AB143="RT",ROUND(Proyeccion_Localidades!BM143,0),"*****"))))</f>
        <v>10160</v>
      </c>
      <c r="T143" s="66">
        <f>IF($AB143="TGD",ROUND($E143*(1+$AD143)^(T$4-$E$4),0),IF($AB143="ALTH",ROUND($AE143+$AF143*T$4,0),IF($AB143="IR",ROUND(Proyeccion_Localidades!AQ143,0),IF($AB143="RT",ROUND(Proyeccion_Localidades!BN143,0),"*****"))))</f>
        <v>10245</v>
      </c>
      <c r="U143" s="66">
        <f>IF($AB143="TGD",ROUND($E143*(1+$AD143)^(U$4-$E$4),0),IF($AB143="ALTH",ROUND($AE143+$AF143*U$4,0),IF($AB143="IR",ROUND(Proyeccion_Localidades!AR143,0),IF($AB143="RT",ROUND(Proyeccion_Localidades!BO143,0),"*****"))))</f>
        <v>10331</v>
      </c>
      <c r="V143" s="66">
        <f>IF($AB143="TGD",ROUND($E143*(1+$AD143)^(V$4-$E$4),0),IF($AB143="ALTH",ROUND($AE143+$AF143*V$4,0),IF($AB143="IR",ROUND(Proyeccion_Localidades!AS143,0),IF($AB143="RT",ROUND(Proyeccion_Localidades!BP143,0),"*****"))))</f>
        <v>10416</v>
      </c>
      <c r="W143" s="66">
        <f>IF($AB143="TGD",ROUND($E143*(1+$AD143)^(W$4-$E$4),0),IF($AB143="ALTH",ROUND($AE143+$AF143*W$4,0),IF($AB143="IR",ROUND(Proyeccion_Localidades!AT143,0),IF($AB143="RT",ROUND(Proyeccion_Localidades!BQ143,0),"*****"))))</f>
        <v>10502</v>
      </c>
      <c r="X143" s="66">
        <f>IF($AB143="TGD",ROUND($E143*(1+$AD143)^(X$4-$E$4),0),IF($AB143="ALTH",ROUND($AE143+$AF143*X$4,0),IF($AB143="IR",ROUND(Proyeccion_Localidades!AU143,0),IF($AB143="RT",ROUND(Proyeccion_Localidades!BR143,0),"*****"))))</f>
        <v>10587</v>
      </c>
      <c r="Y143" s="66">
        <f>IF($AB143="TGD",ROUND($E143*(1+$AD143)^(Y$4-$E$4),0),IF($AB143="ALTH",ROUND($AE143+$AF143*Y$4,0),IF($AB143="IR",ROUND(Proyeccion_Localidades!AV143,0),IF($AB143="RT",ROUND(Proyeccion_Localidades!BS143,0),"*****"))))</f>
        <v>10673</v>
      </c>
      <c r="Z143" s="66">
        <f>IF($AB143="TGD",ROUND($E143*(1+$AD143)^(Z$4-$E$4),0),IF($AB143="ALTH",ROUND($AE143+$AF143*Z$4,0),IF($AB143="IR",ROUND(Proyeccion_Localidades!AW143,0),IF($AB143="RT",ROUND(Proyeccion_Localidades!BT143,0),"*****"))))</f>
        <v>10758</v>
      </c>
      <c r="AA143" s="66">
        <f>IF($AB143="TGD",ROUND($E143*(1+$AD143)^(AA$4-$E$4),0),IF($AB143="ALTH",ROUND($AE143+$AF143*AA$4,0),IF($AB143="IR",ROUND(Proyeccion_Localidades!AX143,0),IF($AB143="RT",ROUND(Proyeccion_Localidades!BU143,0),"*****"))))</f>
        <v>10844</v>
      </c>
      <c r="AB143" s="67" t="str">
        <f>Proyeccion_Localidades!N143</f>
        <v>ALTH</v>
      </c>
      <c r="AC143" s="68" t="s">
        <v>36</v>
      </c>
      <c r="AD143" s="51" t="str">
        <f>IF(AB143="TGD",Proyeccion_Localidades!Z143,"-")</f>
        <v>-</v>
      </c>
      <c r="AE143" s="51">
        <f>IF($AB143="ALTH",Proyeccion_Localidades!AA143,"-")</f>
        <v>-163958.70479704795</v>
      </c>
      <c r="AF143" s="51">
        <f>IF($AB143="ALTH",Proyeccion_Localidades!AB143,"-")</f>
        <v>85.477859778597775</v>
      </c>
      <c r="AG143" s="51"/>
      <c r="AH143" s="51"/>
      <c r="AI143" s="66">
        <f t="shared" si="8"/>
        <v>8963</v>
      </c>
    </row>
    <row r="144" spans="1:35" ht="24.95" customHeight="1">
      <c r="A144" s="86" t="str">
        <f>+Proyeccion_Localidades!C144</f>
        <v>Villa Gesell</v>
      </c>
      <c r="B144" s="70">
        <f t="shared" si="7"/>
        <v>133</v>
      </c>
      <c r="C144" s="88" t="str">
        <f>+Proyeccion_Localidades!B144</f>
        <v>Villa Gesell</v>
      </c>
      <c r="D144" s="261">
        <f t="shared" si="9"/>
        <v>133</v>
      </c>
      <c r="E144" s="72">
        <f>+Proyeccion_Localidades!F144</f>
        <v>29593</v>
      </c>
      <c r="F144" s="66">
        <f>IF($AB144="TGD",ROUND($E144*(1+$AD144)^(F$4-$E$4),0),IF($AB144="ALTH",ROUND($AE144+$AF144*F$4,0),IF($AB144="IR",ROUND(Proyeccion_Localidades!AC144,0),IF($AB144="RT",ROUND(Proyeccion_Localidades!AZ144,0),"*****"))))</f>
        <v>38576</v>
      </c>
      <c r="G144" s="66">
        <f>IF($AB144="TGD",ROUND($E144*(1+$AD144)^(G$4-$E$4),0),IF($AB144="ALTH",ROUND($AE144+$AF144*G$4,0),IF($AB144="IR",ROUND(Proyeccion_Localidades!AD144,0),IF($AB144="RT",ROUND(Proyeccion_Localidades!BA144,0),"*****"))))</f>
        <v>39315</v>
      </c>
      <c r="H144" s="66">
        <f>IF($AB144="TGD",ROUND($E144*(1+$AD144)^(H$4-$E$4),0),IF($AB144="ALTH",ROUND($AE144+$AF144*H$4,0),IF($AB144="IR",ROUND(Proyeccion_Localidades!AE144,0),IF($AB144="RT",ROUND(Proyeccion_Localidades!BB144,0),"*****"))))</f>
        <v>41534</v>
      </c>
      <c r="I144" s="66">
        <f>IF($AB144="TGD",ROUND($E144*(1+$AD144)^(I$4-$E$4),0),IF($AB144="ALTH",ROUND($AE144+$AF144*I$4,0),IF($AB144="IR",ROUND(Proyeccion_Localidades!AF144,0),IF($AB144="RT",ROUND(Proyeccion_Localidades!BC144,0),"*****"))))</f>
        <v>42273</v>
      </c>
      <c r="J144" s="66">
        <f>IF($AB144="TGD",ROUND($E144*(1+$AD144)^(J$4-$E$4),0),IF($AB144="ALTH",ROUND($AE144+$AF144*J$4,0),IF($AB144="IR",ROUND(Proyeccion_Localidades!AG144,0),IF($AB144="RT",ROUND(Proyeccion_Localidades!BD144,0),"*****"))))</f>
        <v>43012</v>
      </c>
      <c r="K144" s="66">
        <f>IF($AB144="TGD",ROUND($E144*(1+$AD144)^(K$4-$E$4),0),IF($AB144="ALTH",ROUND($AE144+$AF144*K$4,0),IF($AB144="IR",ROUND(Proyeccion_Localidades!AH144,0),IF($AB144="RT",ROUND(Proyeccion_Localidades!BE144,0),"*****"))))</f>
        <v>43752</v>
      </c>
      <c r="L144" s="66">
        <f>IF($AB144="TGD",ROUND($E144*(1+$AD144)^(L$4-$E$4),0),IF($AB144="ALTH",ROUND($AE144+$AF144*L$4,0),IF($AB144="IR",ROUND(Proyeccion_Localidades!AI144,0),IF($AB144="RT",ROUND(Proyeccion_Localidades!BF144,0),"*****"))))</f>
        <v>44491</v>
      </c>
      <c r="M144" s="66">
        <f>IF($AB144="TGD",ROUND($E144*(1+$AD144)^(M$4-$E$4),0),IF($AB144="ALTH",ROUND($AE144+$AF144*M$4,0),IF($AB144="IR",ROUND(Proyeccion_Localidades!AJ144,0),IF($AB144="RT",ROUND(Proyeccion_Localidades!BG144,0),"*****"))))</f>
        <v>45231</v>
      </c>
      <c r="N144" s="66">
        <f>IF($AB144="TGD",ROUND($E144*(1+$AD144)^(N$4-$E$4),0),IF($AB144="ALTH",ROUND($AE144+$AF144*N$4,0),IF($AB144="IR",ROUND(Proyeccion_Localidades!AK144,0),IF($AB144="RT",ROUND(Proyeccion_Localidades!BH144,0),"*****"))))</f>
        <v>45970</v>
      </c>
      <c r="O144" s="66">
        <f>IF($AB144="TGD",ROUND($E144*(1+$AD144)^(O$4-$E$4),0),IF($AB144="ALTH",ROUND($AE144+$AF144*O$4,0),IF($AB144="IR",ROUND(Proyeccion_Localidades!AL144,0),IF($AB144="RT",ROUND(Proyeccion_Localidades!BI144,0),"*****"))))</f>
        <v>46710</v>
      </c>
      <c r="P144" s="66">
        <f>IF($AB144="TGD",ROUND($E144*(1+$AD144)^(P$4-$E$4),0),IF($AB144="ALTH",ROUND($AE144+$AF144*P$4,0),IF($AB144="IR",ROUND(Proyeccion_Localidades!AM144,0),IF($AB144="RT",ROUND(Proyeccion_Localidades!BJ144,0),"*****"))))</f>
        <v>47449</v>
      </c>
      <c r="Q144" s="66">
        <f>IF($AB144="TGD",ROUND($E144*(1+$AD144)^(Q$4-$E$4),0),IF($AB144="ALTH",ROUND($AE144+$AF144*Q$4,0),IF($AB144="IR",ROUND(Proyeccion_Localidades!AN144,0),IF($AB144="RT",ROUND(Proyeccion_Localidades!BK144,0),"*****"))))</f>
        <v>48188</v>
      </c>
      <c r="R144" s="66">
        <f>IF($AB144="TGD",ROUND($E144*(1+$AD144)^(R$4-$E$4),0),IF($AB144="ALTH",ROUND($AE144+$AF144*R$4,0),IF($AB144="IR",ROUND(Proyeccion_Localidades!AO144,0),IF($AB144="RT",ROUND(Proyeccion_Localidades!BL144,0),"*****"))))</f>
        <v>48928</v>
      </c>
      <c r="S144" s="66">
        <f>IF($AB144="TGD",ROUND($E144*(1+$AD144)^(S$4-$E$4),0),IF($AB144="ALTH",ROUND($AE144+$AF144*S$4,0),IF($AB144="IR",ROUND(Proyeccion_Localidades!AP144,0),IF($AB144="RT",ROUND(Proyeccion_Localidades!BM144,0),"*****"))))</f>
        <v>49667</v>
      </c>
      <c r="T144" s="66">
        <f>IF($AB144="TGD",ROUND($E144*(1+$AD144)^(T$4-$E$4),0),IF($AB144="ALTH",ROUND($AE144+$AF144*T$4,0),IF($AB144="IR",ROUND(Proyeccion_Localidades!AQ144,0),IF($AB144="RT",ROUND(Proyeccion_Localidades!BN144,0),"*****"))))</f>
        <v>50407</v>
      </c>
      <c r="U144" s="66">
        <f>IF($AB144="TGD",ROUND($E144*(1+$AD144)^(U$4-$E$4),0),IF($AB144="ALTH",ROUND($AE144+$AF144*U$4,0),IF($AB144="IR",ROUND(Proyeccion_Localidades!AR144,0),IF($AB144="RT",ROUND(Proyeccion_Localidades!BO144,0),"*****"))))</f>
        <v>51146</v>
      </c>
      <c r="V144" s="66">
        <f>IF($AB144="TGD",ROUND($E144*(1+$AD144)^(V$4-$E$4),0),IF($AB144="ALTH",ROUND($AE144+$AF144*V$4,0),IF($AB144="IR",ROUND(Proyeccion_Localidades!AS144,0),IF($AB144="RT",ROUND(Proyeccion_Localidades!BP144,0),"*****"))))</f>
        <v>51886</v>
      </c>
      <c r="W144" s="66">
        <f>IF($AB144="TGD",ROUND($E144*(1+$AD144)^(W$4-$E$4),0),IF($AB144="ALTH",ROUND($AE144+$AF144*W$4,0),IF($AB144="IR",ROUND(Proyeccion_Localidades!AT144,0),IF($AB144="RT",ROUND(Proyeccion_Localidades!BQ144,0),"*****"))))</f>
        <v>52625</v>
      </c>
      <c r="X144" s="66">
        <f>IF($AB144="TGD",ROUND($E144*(1+$AD144)^(X$4-$E$4),0),IF($AB144="ALTH",ROUND($AE144+$AF144*X$4,0),IF($AB144="IR",ROUND(Proyeccion_Localidades!AU144,0),IF($AB144="RT",ROUND(Proyeccion_Localidades!BR144,0),"*****"))))</f>
        <v>53364</v>
      </c>
      <c r="Y144" s="66">
        <f>IF($AB144="TGD",ROUND($E144*(1+$AD144)^(Y$4-$E$4),0),IF($AB144="ALTH",ROUND($AE144+$AF144*Y$4,0),IF($AB144="IR",ROUND(Proyeccion_Localidades!AV144,0),IF($AB144="RT",ROUND(Proyeccion_Localidades!BS144,0),"*****"))))</f>
        <v>54104</v>
      </c>
      <c r="Z144" s="66">
        <f>IF($AB144="TGD",ROUND($E144*(1+$AD144)^(Z$4-$E$4),0),IF($AB144="ALTH",ROUND($AE144+$AF144*Z$4,0),IF($AB144="IR",ROUND(Proyeccion_Localidades!AW144,0),IF($AB144="RT",ROUND(Proyeccion_Localidades!BT144,0),"*****"))))</f>
        <v>54843</v>
      </c>
      <c r="AA144" s="66">
        <f>IF($AB144="TGD",ROUND($E144*(1+$AD144)^(AA$4-$E$4),0),IF($AB144="ALTH",ROUND($AE144+$AF144*AA$4,0),IF($AB144="IR",ROUND(Proyeccion_Localidades!AX144,0),IF($AB144="RT",ROUND(Proyeccion_Localidades!BU144,0),"*****"))))</f>
        <v>55583</v>
      </c>
      <c r="AB144" s="67" t="str">
        <f>Proyeccion_Localidades!N144</f>
        <v>ALTH</v>
      </c>
      <c r="AC144" s="68" t="s">
        <v>36</v>
      </c>
      <c r="AD144" s="51" t="str">
        <f>IF(AB144="TGD",Proyeccion_Localidades!Z144,"-")</f>
        <v>-</v>
      </c>
      <c r="AE144" s="51">
        <f>IF($AB144="ALTH",Proyeccion_Localidades!AA144,"-")</f>
        <v>-1456532.6088560887</v>
      </c>
      <c r="AF144" s="51">
        <f>IF($AB144="ALTH",Proyeccion_Localidades!AB144,"-")</f>
        <v>739.42066420664219</v>
      </c>
      <c r="AG144" s="51"/>
      <c r="AH144" s="51"/>
      <c r="AI144" s="66">
        <f t="shared" si="8"/>
        <v>39315</v>
      </c>
    </row>
    <row r="145" spans="1:43" ht="24.95" customHeight="1">
      <c r="A145" s="74" t="s">
        <v>51</v>
      </c>
      <c r="B145" s="75">
        <v>133.1</v>
      </c>
      <c r="C145" s="89" t="s">
        <v>52</v>
      </c>
      <c r="D145" s="261">
        <f t="shared" si="9"/>
        <v>133.1</v>
      </c>
      <c r="E145" s="77">
        <f>ROUND(G145/G144*E144,0)</f>
        <v>55992</v>
      </c>
      <c r="F145" s="78">
        <f>INDEX(Turísticas!$A$5:$AA$13,MATCH("Villa Gesell",Turísticas!$A$5:$A$13,0),MATCH(Verif!F$4,Turísticas!$B$4:$AA$4,0)+1)</f>
        <v>72988</v>
      </c>
      <c r="G145" s="78">
        <f>INDEX(Turísticas!$A$5:$AA$13,MATCH("Villa Gesell",Turísticas!$A$5:$A$13,0),MATCH(Verif!G$4,Turísticas!$B$4:$AA$4,0)+1)</f>
        <v>74387</v>
      </c>
      <c r="H145" s="78">
        <f>INDEX(Turísticas!$A$5:$AA$13,MATCH("Villa Gesell",Turísticas!$A$5:$A$13,0),MATCH(Verif!H$4,Turísticas!$B$4:$AA$4,0)+1)</f>
        <v>78584</v>
      </c>
      <c r="I145" s="78">
        <f>INDEX(Turísticas!$A$5:$AA$13,MATCH("Villa Gesell",Turísticas!$A$5:$A$13,0),MATCH(Verif!I$4,Turísticas!$B$4:$AA$4,0)+1)</f>
        <v>79983</v>
      </c>
      <c r="J145" s="78">
        <f>INDEX(Turísticas!$A$5:$AA$13,MATCH("Villa Gesell",Turísticas!$A$5:$A$13,0),MATCH(Verif!J$4,Turísticas!$B$4:$AA$4,0)+1)</f>
        <v>81382</v>
      </c>
      <c r="K145" s="78">
        <f>INDEX(Turísticas!$A$5:$AA$13,MATCH("Villa Gesell",Turísticas!$A$5:$A$13,0),MATCH(Verif!K$4,Turísticas!$B$4:$AA$4,0)+1)</f>
        <v>82781</v>
      </c>
      <c r="L145" s="78">
        <f>INDEX(Turísticas!$A$5:$AA$13,MATCH("Villa Gesell",Turísticas!$A$5:$A$13,0),MATCH(Verif!L$4,Turísticas!$B$4:$AA$4,0)+1)</f>
        <v>84180</v>
      </c>
      <c r="M145" s="78">
        <f>INDEX(Turísticas!$A$5:$AA$13,MATCH("Villa Gesell",Turísticas!$A$5:$A$13,0),MATCH(Verif!M$4,Turísticas!$B$4:$AA$4,0)+1)</f>
        <v>85579</v>
      </c>
      <c r="N145" s="78">
        <f>INDEX(Turísticas!$A$5:$AA$13,MATCH("Villa Gesell",Turísticas!$A$5:$A$13,0),MATCH(Verif!N$4,Turísticas!$B$4:$AA$4,0)+1)</f>
        <v>86978</v>
      </c>
      <c r="O145" s="78">
        <f>INDEX(Turísticas!$A$5:$AA$13,MATCH("Villa Gesell",Turísticas!$A$5:$A$13,0),MATCH(Verif!O$4,Turísticas!$B$4:$AA$4,0)+1)</f>
        <v>88377</v>
      </c>
      <c r="P145" s="78">
        <f>INDEX(Turísticas!$A$5:$AA$13,MATCH("Villa Gesell",Turísticas!$A$5:$A$13,0),MATCH(Verif!P$4,Turísticas!$B$4:$AA$4,0)+1)</f>
        <v>89776</v>
      </c>
      <c r="Q145" s="78">
        <f>INDEX(Turísticas!$A$5:$AA$13,MATCH("Villa Gesell",Turísticas!$A$5:$A$13,0),MATCH(Verif!Q$4,Turísticas!$B$4:$AA$4,0)+1)</f>
        <v>91175</v>
      </c>
      <c r="R145" s="78">
        <f>INDEX(Turísticas!$A$5:$AA$13,MATCH("Villa Gesell",Turísticas!$A$5:$A$13,0),MATCH(Verif!R$4,Turísticas!$B$4:$AA$4,0)+1)</f>
        <v>92574</v>
      </c>
      <c r="S145" s="78">
        <f>INDEX(Turísticas!$A$5:$AA$13,MATCH("Villa Gesell",Turísticas!$A$5:$A$13,0),MATCH(Verif!S$4,Turísticas!$B$4:$AA$4,0)+1)</f>
        <v>93973</v>
      </c>
      <c r="T145" s="78">
        <f>INDEX(Turísticas!$A$5:$AA$13,MATCH("Villa Gesell",Turísticas!$A$5:$A$13,0),MATCH(Verif!T$4,Turísticas!$B$4:$AA$4,0)+1)</f>
        <v>95372</v>
      </c>
      <c r="U145" s="78">
        <f>INDEX(Turísticas!$A$5:$AA$13,MATCH("Villa Gesell",Turísticas!$A$5:$A$13,0),MATCH(Verif!U$4,Turísticas!$B$4:$AA$4,0)+1)</f>
        <v>96771</v>
      </c>
      <c r="V145" s="78">
        <f>INDEX(Turísticas!$A$5:$AA$13,MATCH("Villa Gesell",Turísticas!$A$5:$A$13,0),MATCH(Verif!V$4,Turísticas!$B$4:$AA$4,0)+1)</f>
        <v>98170</v>
      </c>
      <c r="W145" s="78">
        <f>INDEX(Turísticas!$A$5:$AA$13,MATCH("Villa Gesell",Turísticas!$A$5:$A$13,0),MATCH(Verif!W$4,Turísticas!$B$4:$AA$4,0)+1)</f>
        <v>99569</v>
      </c>
      <c r="X145" s="78">
        <f>INDEX(Turísticas!$A$5:$AA$13,MATCH("Villa Gesell",Turísticas!$A$5:$A$13,0),MATCH(Verif!X$4,Turísticas!$B$4:$AA$4,0)+1)</f>
        <v>100968</v>
      </c>
      <c r="Y145" s="78">
        <f>INDEX(Turísticas!$A$5:$AA$13,MATCH("Villa Gesell",Turísticas!$A$5:$A$13,0),MATCH(Verif!Y$4,Turísticas!$B$4:$AA$4,0)+1)</f>
        <v>102367</v>
      </c>
      <c r="Z145" s="78">
        <f>INDEX(Turísticas!$A$5:$AA$13,MATCH("Villa Gesell",Turísticas!$A$5:$A$13,0),MATCH(Verif!Z$4,Turísticas!$B$4:$AA$4,0)+1)</f>
        <v>103766</v>
      </c>
      <c r="AA145" s="78">
        <f>INDEX(Turísticas!$A$5:$AA$13,MATCH("Villa Gesell",Turísticas!$A$5:$A$13,0),MATCH(Verif!AA$4,Turísticas!$B$4:$AA$4,0)+1)</f>
        <v>105165</v>
      </c>
      <c r="AB145" s="79" t="s">
        <v>39</v>
      </c>
      <c r="AC145" s="80"/>
      <c r="AD145" s="51" t="str">
        <f>IF(AB145="TGD",Proyeccion_Localidades!Z145,"-")</f>
        <v>-</v>
      </c>
      <c r="AE145" s="51" t="str">
        <f>IF($AB145="ALTH",Proyeccion_Localidades!AA145,"-")</f>
        <v>-</v>
      </c>
      <c r="AF145" s="51" t="str">
        <f>IF($AB145="ALTH",Proyeccion_Localidades!AB145,"-")</f>
        <v>-</v>
      </c>
      <c r="AG145" s="81"/>
      <c r="AH145" s="81"/>
      <c r="AI145" s="82">
        <f t="shared" si="8"/>
        <v>74387</v>
      </c>
      <c r="AJ145" s="83"/>
      <c r="AK145" s="83"/>
      <c r="AL145" s="83"/>
    </row>
    <row r="146" spans="1:43" ht="24.95" customHeight="1">
      <c r="A146" s="84" t="str">
        <f>+Proyeccion_Localidades!C146</f>
        <v>Villarino</v>
      </c>
      <c r="B146" s="70">
        <f>+B144+1</f>
        <v>134</v>
      </c>
      <c r="C146" s="87" t="str">
        <f>+Proyeccion_Localidades!B146</f>
        <v>Médanos</v>
      </c>
      <c r="D146" s="261">
        <f t="shared" si="9"/>
        <v>134</v>
      </c>
      <c r="E146" s="72">
        <f>+Proyeccion_Localidades!F146</f>
        <v>5245</v>
      </c>
      <c r="F146" s="66">
        <f>IF($AB146="TGD",ROUND($E146*(1+$AD146)^(F$4-$E$4),0),IF($AB146="ALTH",ROUND($AE146+$AF146*F$4,0),IF($AB146="IR",ROUND(Proyeccion_Localidades!AC146,0),IF($AB146="RT",ROUND(Proyeccion_Localidades!AZ146,0),"*****"))))</f>
        <v>5716</v>
      </c>
      <c r="G146" s="66">
        <f>IF($AB146="TGD",ROUND($E146*(1+$AD146)^(G$4-$E$4),0),IF($AB146="ALTH",ROUND($AE146+$AF146*G$4,0),IF($AB146="IR",ROUND(Proyeccion_Localidades!AD146,0),IF($AB146="RT",ROUND(Proyeccion_Localidades!BA146,0),"*****"))))</f>
        <v>5743</v>
      </c>
      <c r="H146" s="66">
        <f>IF($AB146="TGD",ROUND($E146*(1+$AD146)^(H$4-$E$4),0),IF($AB146="ALTH",ROUND($AE146+$AF146*H$4,0),IF($AB146="IR",ROUND(Proyeccion_Localidades!AE146,0),IF($AB146="RT",ROUND(Proyeccion_Localidades!BB146,0),"*****"))))</f>
        <v>5823</v>
      </c>
      <c r="I146" s="66">
        <f>IF($AB146="TGD",ROUND($E146*(1+$AD146)^(I$4-$E$4),0),IF($AB146="ALTH",ROUND($AE146+$AF146*I$4,0),IF($AB146="IR",ROUND(Proyeccion_Localidades!AF146,0),IF($AB146="RT",ROUND(Proyeccion_Localidades!BC146,0),"*****"))))</f>
        <v>5849</v>
      </c>
      <c r="J146" s="66">
        <f>IF($AB146="TGD",ROUND($E146*(1+$AD146)^(J$4-$E$4),0),IF($AB146="ALTH",ROUND($AE146+$AF146*J$4,0),IF($AB146="IR",ROUND(Proyeccion_Localidades!AG146,0),IF($AB146="RT",ROUND(Proyeccion_Localidades!BD146,0),"*****"))))</f>
        <v>5876</v>
      </c>
      <c r="K146" s="66">
        <f>IF($AB146="TGD",ROUND($E146*(1+$AD146)^(K$4-$E$4),0),IF($AB146="ALTH",ROUND($AE146+$AF146*K$4,0),IF($AB146="IR",ROUND(Proyeccion_Localidades!AH146,0),IF($AB146="RT",ROUND(Proyeccion_Localidades!BE146,0),"*****"))))</f>
        <v>5902</v>
      </c>
      <c r="L146" s="66">
        <f>IF($AB146="TGD",ROUND($E146*(1+$AD146)^(L$4-$E$4),0),IF($AB146="ALTH",ROUND($AE146+$AF146*L$4,0),IF($AB146="IR",ROUND(Proyeccion_Localidades!AI146,0),IF($AB146="RT",ROUND(Proyeccion_Localidades!BF146,0),"*****"))))</f>
        <v>5929</v>
      </c>
      <c r="M146" s="66">
        <f>IF($AB146="TGD",ROUND($E146*(1+$AD146)^(M$4-$E$4),0),IF($AB146="ALTH",ROUND($AE146+$AF146*M$4,0),IF($AB146="IR",ROUND(Proyeccion_Localidades!AJ146,0),IF($AB146="RT",ROUND(Proyeccion_Localidades!BG146,0),"*****"))))</f>
        <v>5956</v>
      </c>
      <c r="N146" s="66">
        <f>IF($AB146="TGD",ROUND($E146*(1+$AD146)^(N$4-$E$4),0),IF($AB146="ALTH",ROUND($AE146+$AF146*N$4,0),IF($AB146="IR",ROUND(Proyeccion_Localidades!AK146,0),IF($AB146="RT",ROUND(Proyeccion_Localidades!BH146,0),"*****"))))</f>
        <v>5982</v>
      </c>
      <c r="O146" s="66">
        <f>IF($AB146="TGD",ROUND($E146*(1+$AD146)^(O$4-$E$4),0),IF($AB146="ALTH",ROUND($AE146+$AF146*O$4,0),IF($AB146="IR",ROUND(Proyeccion_Localidades!AL146,0),IF($AB146="RT",ROUND(Proyeccion_Localidades!BI146,0),"*****"))))</f>
        <v>6009</v>
      </c>
      <c r="P146" s="66">
        <f>IF($AB146="TGD",ROUND($E146*(1+$AD146)^(P$4-$E$4),0),IF($AB146="ALTH",ROUND($AE146+$AF146*P$4,0),IF($AB146="IR",ROUND(Proyeccion_Localidades!AM146,0),IF($AB146="RT",ROUND(Proyeccion_Localidades!BJ146,0),"*****"))))</f>
        <v>6035</v>
      </c>
      <c r="Q146" s="66">
        <f>IF($AB146="TGD",ROUND($E146*(1+$AD146)^(Q$4-$E$4),0),IF($AB146="ALTH",ROUND($AE146+$AF146*Q$4,0),IF($AB146="IR",ROUND(Proyeccion_Localidades!AN146,0),IF($AB146="RT",ROUND(Proyeccion_Localidades!BK146,0),"*****"))))</f>
        <v>6062</v>
      </c>
      <c r="R146" s="66">
        <f>IF($AB146="TGD",ROUND($E146*(1+$AD146)^(R$4-$E$4),0),IF($AB146="ALTH",ROUND($AE146+$AF146*R$4,0),IF($AB146="IR",ROUND(Proyeccion_Localidades!AO146,0),IF($AB146="RT",ROUND(Proyeccion_Localidades!BL146,0),"*****"))))</f>
        <v>6089</v>
      </c>
      <c r="S146" s="66">
        <f>IF($AB146="TGD",ROUND($E146*(1+$AD146)^(S$4-$E$4),0),IF($AB146="ALTH",ROUND($AE146+$AF146*S$4,0),IF($AB146="IR",ROUND(Proyeccion_Localidades!AP146,0),IF($AB146="RT",ROUND(Proyeccion_Localidades!BM146,0),"*****"))))</f>
        <v>6115</v>
      </c>
      <c r="T146" s="66">
        <f>IF($AB146="TGD",ROUND($E146*(1+$AD146)^(T$4-$E$4),0),IF($AB146="ALTH",ROUND($AE146+$AF146*T$4,0),IF($AB146="IR",ROUND(Proyeccion_Localidades!AQ146,0),IF($AB146="RT",ROUND(Proyeccion_Localidades!BN146,0),"*****"))))</f>
        <v>6142</v>
      </c>
      <c r="U146" s="66">
        <f>IF($AB146="TGD",ROUND($E146*(1+$AD146)^(U$4-$E$4),0),IF($AB146="ALTH",ROUND($AE146+$AF146*U$4,0),IF($AB146="IR",ROUND(Proyeccion_Localidades!AR146,0),IF($AB146="RT",ROUND(Proyeccion_Localidades!BO146,0),"*****"))))</f>
        <v>6168</v>
      </c>
      <c r="V146" s="66">
        <f>IF($AB146="TGD",ROUND($E146*(1+$AD146)^(V$4-$E$4),0),IF($AB146="ALTH",ROUND($AE146+$AF146*V$4,0),IF($AB146="IR",ROUND(Proyeccion_Localidades!AS146,0),IF($AB146="RT",ROUND(Proyeccion_Localidades!BP146,0),"*****"))))</f>
        <v>6195</v>
      </c>
      <c r="W146" s="66">
        <f>IF($AB146="TGD",ROUND($E146*(1+$AD146)^(W$4-$E$4),0),IF($AB146="ALTH",ROUND($AE146+$AF146*W$4,0),IF($AB146="IR",ROUND(Proyeccion_Localidades!AT146,0),IF($AB146="RT",ROUND(Proyeccion_Localidades!BQ146,0),"*****"))))</f>
        <v>6221</v>
      </c>
      <c r="X146" s="66">
        <f>IF($AB146="TGD",ROUND($E146*(1+$AD146)^(X$4-$E$4),0),IF($AB146="ALTH",ROUND($AE146+$AF146*X$4,0),IF($AB146="IR",ROUND(Proyeccion_Localidades!AU146,0),IF($AB146="RT",ROUND(Proyeccion_Localidades!BR146,0),"*****"))))</f>
        <v>6248</v>
      </c>
      <c r="Y146" s="66">
        <f>IF($AB146="TGD",ROUND($E146*(1+$AD146)^(Y$4-$E$4),0),IF($AB146="ALTH",ROUND($AE146+$AF146*Y$4,0),IF($AB146="IR",ROUND(Proyeccion_Localidades!AV146,0),IF($AB146="RT",ROUND(Proyeccion_Localidades!BS146,0),"*****"))))</f>
        <v>6275</v>
      </c>
      <c r="Z146" s="66">
        <f>IF($AB146="TGD",ROUND($E146*(1+$AD146)^(Z$4-$E$4),0),IF($AB146="ALTH",ROUND($AE146+$AF146*Z$4,0),IF($AB146="IR",ROUND(Proyeccion_Localidades!AW146,0),IF($AB146="RT",ROUND(Proyeccion_Localidades!BT146,0),"*****"))))</f>
        <v>6301</v>
      </c>
      <c r="AA146" s="66">
        <f>IF($AB146="TGD",ROUND($E146*(1+$AD146)^(AA$4-$E$4),0),IF($AB146="ALTH",ROUND($AE146+$AF146*AA$4,0),IF($AB146="IR",ROUND(Proyeccion_Localidades!AX146,0),IF($AB146="RT",ROUND(Proyeccion_Localidades!BU146,0),"*****"))))</f>
        <v>6328</v>
      </c>
      <c r="AB146" s="67" t="str">
        <f>Proyeccion_Localidades!N146</f>
        <v>ALTH</v>
      </c>
      <c r="AC146" s="68" t="s">
        <v>36</v>
      </c>
      <c r="AD146" s="51" t="str">
        <f>IF(AB146="TGD",Proyeccion_Localidades!Z146,"-")</f>
        <v>-</v>
      </c>
      <c r="AE146" s="51">
        <f>IF($AB146="ALTH",Proyeccion_Localidades!AA146,"-")</f>
        <v>-48049.538745387472</v>
      </c>
      <c r="AF146" s="51">
        <f>IF($AB146="ALTH",Proyeccion_Localidades!AB146,"-")</f>
        <v>26.590405904059047</v>
      </c>
      <c r="AG146" s="51"/>
      <c r="AH146" s="51"/>
      <c r="AI146" s="66">
        <f t="shared" si="8"/>
        <v>5743</v>
      </c>
    </row>
    <row r="147" spans="1:43" ht="24.95" customHeight="1">
      <c r="A147" s="84" t="str">
        <f>+Proyeccion_Localidades!C147</f>
        <v>Zárate</v>
      </c>
      <c r="B147" s="70">
        <f t="shared" si="7"/>
        <v>135</v>
      </c>
      <c r="C147" s="87" t="str">
        <f>+Proyeccion_Localidades!B147</f>
        <v>Zárate</v>
      </c>
      <c r="D147" s="261">
        <f t="shared" si="9"/>
        <v>135</v>
      </c>
      <c r="E147" s="72">
        <f>+Proyeccion_Localidades!F147</f>
        <v>98522</v>
      </c>
      <c r="F147" s="66">
        <f>IF($AB147="TGD",ROUND($E147*(1+$AD147)^(F$4-$E$4),0),IF($AB147="ALTH",ROUND($AE147+$AF147*F$4,0),IF($AB147="IR",ROUND(Proyeccion_Localidades!AC147,0),IF($AB147="RT",ROUND(Proyeccion_Localidades!AZ147,0),"*****"))))</f>
        <v>113429</v>
      </c>
      <c r="G147" s="66">
        <f>IF($AB147="TGD",ROUND($E147*(1+$AD147)^(G$4-$E$4),0),IF($AB147="ALTH",ROUND($AE147+$AF147*G$4,0),IF($AB147="IR",ROUND(Proyeccion_Localidades!AD147,0),IF($AB147="RT",ROUND(Proyeccion_Localidades!BA147,0),"*****"))))</f>
        <v>114769</v>
      </c>
      <c r="H147" s="66">
        <f>IF($AB147="TGD",ROUND($E147*(1+$AD147)^(H$4-$E$4),0),IF($AB147="ALTH",ROUND($AE147+$AF147*H$4,0),IF($AB147="IR",ROUND(Proyeccion_Localidades!AE147,0),IF($AB147="RT",ROUND(Proyeccion_Localidades!BB147,0),"*****"))))</f>
        <v>118884</v>
      </c>
      <c r="I147" s="66">
        <f>IF($AB147="TGD",ROUND($E147*(1+$AD147)^(I$4-$E$4),0),IF($AB147="ALTH",ROUND($AE147+$AF147*I$4,0),IF($AB147="IR",ROUND(Proyeccion_Localidades!AF147,0),IF($AB147="RT",ROUND(Proyeccion_Localidades!BC147,0),"*****"))))</f>
        <v>120288</v>
      </c>
      <c r="J147" s="66">
        <f>IF($AB147="TGD",ROUND($E147*(1+$AD147)^(J$4-$E$4),0),IF($AB147="ALTH",ROUND($AE147+$AF147*J$4,0),IF($AB147="IR",ROUND(Proyeccion_Localidades!AG147,0),IF($AB147="RT",ROUND(Proyeccion_Localidades!BD147,0),"*****"))))</f>
        <v>121709</v>
      </c>
      <c r="K147" s="66">
        <f>IF($AB147="TGD",ROUND($E147*(1+$AD147)^(K$4-$E$4),0),IF($AB147="ALTH",ROUND($AE147+$AF147*K$4,0),IF($AB147="IR",ROUND(Proyeccion_Localidades!AH147,0),IF($AB147="RT",ROUND(Proyeccion_Localidades!BE147,0),"*****"))))</f>
        <v>123146</v>
      </c>
      <c r="L147" s="66">
        <f>IF($AB147="TGD",ROUND($E147*(1+$AD147)^(L$4-$E$4),0),IF($AB147="ALTH",ROUND($AE147+$AF147*L$4,0),IF($AB147="IR",ROUND(Proyeccion_Localidades!AI147,0),IF($AB147="RT",ROUND(Proyeccion_Localidades!BF147,0),"*****"))))</f>
        <v>124601</v>
      </c>
      <c r="M147" s="66">
        <f>IF($AB147="TGD",ROUND($E147*(1+$AD147)^(M$4-$E$4),0),IF($AB147="ALTH",ROUND($AE147+$AF147*M$4,0),IF($AB147="IR",ROUND(Proyeccion_Localidades!AJ147,0),IF($AB147="RT",ROUND(Proyeccion_Localidades!BG147,0),"*****"))))</f>
        <v>126073</v>
      </c>
      <c r="N147" s="66">
        <f>IF($AB147="TGD",ROUND($E147*(1+$AD147)^(N$4-$E$4),0),IF($AB147="ALTH",ROUND($AE147+$AF147*N$4,0),IF($AB147="IR",ROUND(Proyeccion_Localidades!AK147,0),IF($AB147="RT",ROUND(Proyeccion_Localidades!BH147,0),"*****"))))</f>
        <v>127562</v>
      </c>
      <c r="O147" s="66">
        <f>IF($AB147="TGD",ROUND($E147*(1+$AD147)^(O$4-$E$4),0),IF($AB147="ALTH",ROUND($AE147+$AF147*O$4,0),IF($AB147="IR",ROUND(Proyeccion_Localidades!AL147,0),IF($AB147="RT",ROUND(Proyeccion_Localidades!BI147,0),"*****"))))</f>
        <v>129068</v>
      </c>
      <c r="P147" s="66">
        <f>IF($AB147="TGD",ROUND($E147*(1+$AD147)^(P$4-$E$4),0),IF($AB147="ALTH",ROUND($AE147+$AF147*P$4,0),IF($AB147="IR",ROUND(Proyeccion_Localidades!AM147,0),IF($AB147="RT",ROUND(Proyeccion_Localidades!BJ147,0),"*****"))))</f>
        <v>130593</v>
      </c>
      <c r="Q147" s="66">
        <f>IF($AB147="TGD",ROUND($E147*(1+$AD147)^(Q$4-$E$4),0),IF($AB147="ALTH",ROUND($AE147+$AF147*Q$4,0),IF($AB147="IR",ROUND(Proyeccion_Localidades!AN147,0),IF($AB147="RT",ROUND(Proyeccion_Localidades!BK147,0),"*****"))))</f>
        <v>132135</v>
      </c>
      <c r="R147" s="66">
        <f>IF($AB147="TGD",ROUND($E147*(1+$AD147)^(R$4-$E$4),0),IF($AB147="ALTH",ROUND($AE147+$AF147*R$4,0),IF($AB147="IR",ROUND(Proyeccion_Localidades!AO147,0),IF($AB147="RT",ROUND(Proyeccion_Localidades!BL147,0),"*****"))))</f>
        <v>133696</v>
      </c>
      <c r="S147" s="66">
        <f>IF($AB147="TGD",ROUND($E147*(1+$AD147)^(S$4-$E$4),0),IF($AB147="ALTH",ROUND($AE147+$AF147*S$4,0),IF($AB147="IR",ROUND(Proyeccion_Localidades!AP147,0),IF($AB147="RT",ROUND(Proyeccion_Localidades!BM147,0),"*****"))))</f>
        <v>135275</v>
      </c>
      <c r="T147" s="66">
        <f>IF($AB147="TGD",ROUND($E147*(1+$AD147)^(T$4-$E$4),0),IF($AB147="ALTH",ROUND($AE147+$AF147*T$4,0),IF($AB147="IR",ROUND(Proyeccion_Localidades!AQ147,0),IF($AB147="RT",ROUND(Proyeccion_Localidades!BN147,0),"*****"))))</f>
        <v>136873</v>
      </c>
      <c r="U147" s="66">
        <f>IF($AB147="TGD",ROUND($E147*(1+$AD147)^(U$4-$E$4),0),IF($AB147="ALTH",ROUND($AE147+$AF147*U$4,0),IF($AB147="IR",ROUND(Proyeccion_Localidades!AR147,0),IF($AB147="RT",ROUND(Proyeccion_Localidades!BO147,0),"*****"))))</f>
        <v>138489</v>
      </c>
      <c r="V147" s="66">
        <f>IF($AB147="TGD",ROUND($E147*(1+$AD147)^(V$4-$E$4),0),IF($AB147="ALTH",ROUND($AE147+$AF147*V$4,0),IF($AB147="IR",ROUND(Proyeccion_Localidades!AS147,0),IF($AB147="RT",ROUND(Proyeccion_Localidades!BP147,0),"*****"))))</f>
        <v>140125</v>
      </c>
      <c r="W147" s="66">
        <f>IF($AB147="TGD",ROUND($E147*(1+$AD147)^(W$4-$E$4),0),IF($AB147="ALTH",ROUND($AE147+$AF147*W$4,0),IF($AB147="IR",ROUND(Proyeccion_Localidades!AT147,0),IF($AB147="RT",ROUND(Proyeccion_Localidades!BQ147,0),"*****"))))</f>
        <v>141780</v>
      </c>
      <c r="X147" s="66">
        <f>IF($AB147="TGD",ROUND($E147*(1+$AD147)^(X$4-$E$4),0),IF($AB147="ALTH",ROUND($AE147+$AF147*X$4,0),IF($AB147="IR",ROUND(Proyeccion_Localidades!AU147,0),IF($AB147="RT",ROUND(Proyeccion_Localidades!BR147,0),"*****"))))</f>
        <v>143454</v>
      </c>
      <c r="Y147" s="66">
        <f>IF($AB147="TGD",ROUND($E147*(1+$AD147)^(Y$4-$E$4),0),IF($AB147="ALTH",ROUND($AE147+$AF147*Y$4,0),IF($AB147="IR",ROUND(Proyeccion_Localidades!AV147,0),IF($AB147="RT",ROUND(Proyeccion_Localidades!BS147,0),"*****"))))</f>
        <v>145149</v>
      </c>
      <c r="Z147" s="66">
        <f>IF($AB147="TGD",ROUND($E147*(1+$AD147)^(Z$4-$E$4),0),IF($AB147="ALTH",ROUND($AE147+$AF147*Z$4,0),IF($AB147="IR",ROUND(Proyeccion_Localidades!AW147,0),IF($AB147="RT",ROUND(Proyeccion_Localidades!BT147,0),"*****"))))</f>
        <v>146863</v>
      </c>
      <c r="AA147" s="66">
        <f>IF($AB147="TGD",ROUND($E147*(1+$AD147)^(AA$4-$E$4),0),IF($AB147="ALTH",ROUND($AE147+$AF147*AA$4,0),IF($AB147="IR",ROUND(Proyeccion_Localidades!AX147,0),IF($AB147="RT",ROUND(Proyeccion_Localidades!BU147,0),"*****"))))</f>
        <v>148598</v>
      </c>
      <c r="AB147" s="67" t="str">
        <f>Proyeccion_Localidades!N147</f>
        <v>TGD</v>
      </c>
      <c r="AC147" s="68" t="s">
        <v>35</v>
      </c>
      <c r="AD147" s="51">
        <f>IF(AB147="TGD",Proyeccion_Localidades!Z147,"-")</f>
        <v>1.1811006467929319E-2</v>
      </c>
      <c r="AE147" s="51" t="str">
        <f>IF($AB147="ALTH",Proyeccion_Localidades!AA147,"-")</f>
        <v>-</v>
      </c>
      <c r="AF147" s="51" t="str">
        <f>IF($AB147="ALTH",Proyeccion_Localidades!AB147,"-")</f>
        <v>-</v>
      </c>
      <c r="AG147" s="51"/>
      <c r="AH147" s="51"/>
      <c r="AI147" s="66">
        <f t="shared" si="8"/>
        <v>114769</v>
      </c>
    </row>
    <row r="148" spans="1:43" ht="24.95" customHeight="1">
      <c r="A148" s="84" t="str">
        <f>+Proyeccion_Localidades!C148</f>
        <v>CABA</v>
      </c>
      <c r="B148" s="70">
        <f>+B147+1</f>
        <v>136</v>
      </c>
      <c r="C148" s="87" t="str">
        <f>+Proyeccion_Localidades!B148</f>
        <v>CABA</v>
      </c>
      <c r="D148" s="261">
        <f t="shared" si="9"/>
        <v>136</v>
      </c>
      <c r="E148" s="72">
        <f>+Proyeccion_Localidades!F148</f>
        <v>2890151</v>
      </c>
      <c r="F148" s="66">
        <f>IF($AB148="TGD",ROUND($E148*(1+$AD148)^(F$4-$E$4),0),IF($AB148="ALTH",ROUND($AE148+$AF148*F$4,0),IF($AB148="IR",ROUND(Proyeccion_Localidades!AC148,0),IF($AB148="RT",ROUND(Proyeccion_Localidades!AZ148,0),"*****"))))</f>
        <v>3144290</v>
      </c>
      <c r="G148" s="66">
        <f>IF($AB148="TGD",ROUND($E148*(1+$AD148)^(G$4-$E$4),0),IF($AB148="ALTH",ROUND($AE148+$AF148*G$4,0),IF($AB148="IR",ROUND(Proyeccion_Localidades!AD148,0),IF($AB148="RT",ROUND(Proyeccion_Localidades!BA148,0),"*****"))))</f>
        <v>3167780</v>
      </c>
      <c r="H148" s="66">
        <f>IF($AB148="TGD",ROUND($E148*(1+$AD148)^(H$4-$E$4),0),IF($AB148="ALTH",ROUND($AE148+$AF148*H$4,0),IF($AB148="IR",ROUND(Proyeccion_Localidades!AE148,0),IF($AB148="RT",ROUND(Proyeccion_Localidades!BB148,0),"*****"))))</f>
        <v>3240575</v>
      </c>
      <c r="I148" s="66">
        <f>IF($AB148="TGD",ROUND($E148*(1+$AD148)^(I$4-$E$4),0),IF($AB148="ALTH",ROUND($AE148+$AF148*I$4,0),IF($AB148="IR",ROUND(Proyeccion_Localidades!AF148,0),IF($AB148="RT",ROUND(Proyeccion_Localidades!BC148,0),"*****"))))</f>
        <v>3265636</v>
      </c>
      <c r="J148" s="66">
        <f>IF($AB148="TGD",ROUND($E148*(1+$AD148)^(J$4-$E$4),0),IF($AB148="ALTH",ROUND($AE148+$AF148*J$4,0),IF($AB148="IR",ROUND(Proyeccion_Localidades!AG148,0),IF($AB148="RT",ROUND(Proyeccion_Localidades!BD148,0),"*****"))))</f>
        <v>3291106</v>
      </c>
      <c r="K148" s="66">
        <f>IF($AB148="TGD",ROUND($E148*(1+$AD148)^(K$4-$E$4),0),IF($AB148="ALTH",ROUND($AE148+$AF148*K$4,0),IF($AB148="IR",ROUND(Proyeccion_Localidades!AH148,0),IF($AB148="RT",ROUND(Proyeccion_Localidades!BE148,0),"*****"))))</f>
        <v>3316992</v>
      </c>
      <c r="L148" s="66">
        <f>IF($AB148="TGD",ROUND($E148*(1+$AD148)^(L$4-$E$4),0),IF($AB148="ALTH",ROUND($AE148+$AF148*L$4,0),IF($AB148="IR",ROUND(Proyeccion_Localidades!AI148,0),IF($AB148="RT",ROUND(Proyeccion_Localidades!BF148,0),"*****"))))</f>
        <v>3343299</v>
      </c>
      <c r="M148" s="66">
        <f>IF($AB148="TGD",ROUND($E148*(1+$AD148)^(M$4-$E$4),0),IF($AB148="ALTH",ROUND($AE148+$AF148*M$4,0),IF($AB148="IR",ROUND(Proyeccion_Localidades!AJ148,0),IF($AB148="RT",ROUND(Proyeccion_Localidades!BG148,0),"*****"))))</f>
        <v>3370036</v>
      </c>
      <c r="N148" s="66">
        <f>IF($AB148="TGD",ROUND($E148*(1+$AD148)^(N$4-$E$4),0),IF($AB148="ALTH",ROUND($AE148+$AF148*N$4,0),IF($AB148="IR",ROUND(Proyeccion_Localidades!AK148,0),IF($AB148="RT",ROUND(Proyeccion_Localidades!BH148,0),"*****"))))</f>
        <v>3397209</v>
      </c>
      <c r="O148" s="66">
        <f>IF($AB148="TGD",ROUND($E148*(1+$AD148)^(O$4-$E$4),0),IF($AB148="ALTH",ROUND($AE148+$AF148*O$4,0),IF($AB148="IR",ROUND(Proyeccion_Localidades!AL148,0),IF($AB148="RT",ROUND(Proyeccion_Localidades!BI148,0),"*****"))))</f>
        <v>3424825</v>
      </c>
      <c r="P148" s="66">
        <f>IF($AB148="TGD",ROUND($E148*(1+$AD148)^(P$4-$E$4),0),IF($AB148="ALTH",ROUND($AE148+$AF148*P$4,0),IF($AB148="IR",ROUND(Proyeccion_Localidades!AM148,0),IF($AB148="RT",ROUND(Proyeccion_Localidades!BJ148,0),"*****"))))</f>
        <v>3452892</v>
      </c>
      <c r="Q148" s="66">
        <f>IF($AB148="TGD",ROUND($E148*(1+$AD148)^(Q$4-$E$4),0),IF($AB148="ALTH",ROUND($AE148+$AF148*Q$4,0),IF($AB148="IR",ROUND(Proyeccion_Localidades!AN148,0),IF($AB148="RT",ROUND(Proyeccion_Localidades!BK148,0),"*****"))))</f>
        <v>3481416</v>
      </c>
      <c r="R148" s="66">
        <f>IF($AB148="TGD",ROUND($E148*(1+$AD148)^(R$4-$E$4),0),IF($AB148="ALTH",ROUND($AE148+$AF148*R$4,0),IF($AB148="IR",ROUND(Proyeccion_Localidades!AO148,0),IF($AB148="RT",ROUND(Proyeccion_Localidades!BL148,0),"*****"))))</f>
        <v>3510406</v>
      </c>
      <c r="S148" s="66">
        <f>IF($AB148="TGD",ROUND($E148*(1+$AD148)^(S$4-$E$4),0),IF($AB148="ALTH",ROUND($AE148+$AF148*S$4,0),IF($AB148="IR",ROUND(Proyeccion_Localidades!AP148,0),IF($AB148="RT",ROUND(Proyeccion_Localidades!BM148,0),"*****"))))</f>
        <v>3539869</v>
      </c>
      <c r="T148" s="66">
        <f>IF($AB148="TGD",ROUND($E148*(1+$AD148)^(T$4-$E$4),0),IF($AB148="ALTH",ROUND($AE148+$AF148*T$4,0),IF($AB148="IR",ROUND(Proyeccion_Localidades!AQ148,0),IF($AB148="RT",ROUND(Proyeccion_Localidades!BN148,0),"*****"))))</f>
        <v>3569812</v>
      </c>
      <c r="U148" s="66">
        <f>IF($AB148="TGD",ROUND($E148*(1+$AD148)^(U$4-$E$4),0),IF($AB148="ALTH",ROUND($AE148+$AF148*U$4,0),IF($AB148="IR",ROUND(Proyeccion_Localidades!AR148,0),IF($AB148="RT",ROUND(Proyeccion_Localidades!BO148,0),"*****"))))</f>
        <v>3600244</v>
      </c>
      <c r="V148" s="66">
        <f>IF($AB148="TGD",ROUND($E148*(1+$AD148)^(V$4-$E$4),0),IF($AB148="ALTH",ROUND($AE148+$AF148*V$4,0),IF($AB148="IR",ROUND(Proyeccion_Localidades!AS148,0),IF($AB148="RT",ROUND(Proyeccion_Localidades!BP148,0),"*****"))))</f>
        <v>3631172</v>
      </c>
      <c r="W148" s="66">
        <f>IF($AB148="TGD",ROUND($E148*(1+$AD148)^(W$4-$E$4),0),IF($AB148="ALTH",ROUND($AE148+$AF148*W$4,0),IF($AB148="IR",ROUND(Proyeccion_Localidades!AT148,0),IF($AB148="RT",ROUND(Proyeccion_Localidades!BQ148,0),"*****"))))</f>
        <v>3662605</v>
      </c>
      <c r="X148" s="66">
        <f>IF($AB148="TGD",ROUND($E148*(1+$AD148)^(X$4-$E$4),0),IF($AB148="ALTH",ROUND($AE148+$AF148*X$4,0),IF($AB148="IR",ROUND(Proyeccion_Localidades!AU148,0),IF($AB148="RT",ROUND(Proyeccion_Localidades!BR148,0),"*****"))))</f>
        <v>3694551</v>
      </c>
      <c r="Y148" s="66">
        <f>IF($AB148="TGD",ROUND($E148*(1+$AD148)^(Y$4-$E$4),0),IF($AB148="ALTH",ROUND($AE148+$AF148*Y$4,0),IF($AB148="IR",ROUND(Proyeccion_Localidades!AV148,0),IF($AB148="RT",ROUND(Proyeccion_Localidades!BS148,0),"*****"))))</f>
        <v>3727017</v>
      </c>
      <c r="Z148" s="66">
        <f>IF($AB148="TGD",ROUND($E148*(1+$AD148)^(Z$4-$E$4),0),IF($AB148="ALTH",ROUND($AE148+$AF148*Z$4,0),IF($AB148="IR",ROUND(Proyeccion_Localidades!AW148,0),IF($AB148="RT",ROUND(Proyeccion_Localidades!BT148,0),"*****"))))</f>
        <v>3760013</v>
      </c>
      <c r="AA148" s="66">
        <f>IF($AB148="TGD",ROUND($E148*(1+$AD148)^(AA$4-$E$4),0),IF($AB148="ALTH",ROUND($AE148+$AF148*AA$4,0),IF($AB148="IR",ROUND(Proyeccion_Localidades!AX148,0),IF($AB148="RT",ROUND(Proyeccion_Localidades!BU148,0),"*****"))))</f>
        <v>3793548</v>
      </c>
      <c r="AB148" s="67" t="str">
        <f>Proyeccion_Localidades!N148</f>
        <v>IR</v>
      </c>
      <c r="AC148" s="68"/>
      <c r="AD148" s="51" t="str">
        <f>IF(AB148="TGD",Proyeccion_Localidades!Z148,"-")</f>
        <v>-</v>
      </c>
      <c r="AE148" s="51" t="str">
        <f>IF($AB148="ALTH",Proyeccion_Localidades!AA148,"-")</f>
        <v>-</v>
      </c>
      <c r="AF148" s="51" t="str">
        <f>IF($AB148="ALTH",Proyeccion_Localidades!AB148,"-")</f>
        <v>-</v>
      </c>
      <c r="AG148" s="51"/>
      <c r="AH148" s="51"/>
      <c r="AI148" s="66">
        <f t="shared" si="8"/>
        <v>3167780</v>
      </c>
    </row>
    <row r="149" spans="1:43" ht="24.95" customHeight="1">
      <c r="A149" s="90" t="s">
        <v>53</v>
      </c>
      <c r="B149" s="91">
        <v>136.1</v>
      </c>
      <c r="C149" s="92" t="s">
        <v>54</v>
      </c>
      <c r="D149" s="261">
        <f t="shared" si="9"/>
        <v>136.1</v>
      </c>
      <c r="E149" s="93">
        <f>ROUND(G149/G148*E148,0)</f>
        <v>2900365</v>
      </c>
      <c r="F149" s="94">
        <f>INDEX(Turísticas!$A$5:$AA$13,MATCH("CABA",Turísticas!$A$5:$A$13,0),MATCH(Verif!F$4,Turísticas!$B$4:$AA$4,0)+1)</f>
        <v>3155402</v>
      </c>
      <c r="G149" s="94">
        <f>INDEX(Turísticas!$A$5:$AA$13,MATCH("CABA",Turísticas!$A$5:$A$13,0),MATCH(Verif!G$4,Turísticas!$B$4:$AA$4,0)+1)</f>
        <v>3178975</v>
      </c>
      <c r="H149" s="94">
        <f>INDEX(Turísticas!$A$5:$AA$13,MATCH("CABA",Turísticas!$A$5:$A$13,0),MATCH(Verif!H$4,Turísticas!$B$4:$AA$4,0)+1)</f>
        <v>3252028</v>
      </c>
      <c r="I149" s="94">
        <f>INDEX(Turísticas!$A$5:$AA$13,MATCH("CABA",Turísticas!$A$5:$A$13,0),MATCH(Verif!I$4,Turísticas!$B$4:$AA$4,0)+1)</f>
        <v>3277178</v>
      </c>
      <c r="J149" s="94">
        <f>INDEX(Turísticas!$A$5:$AA$13,MATCH("CABA",Turísticas!$A$5:$A$13,0),MATCH(Verif!J$4,Turísticas!$B$4:$AA$4,0)+1)</f>
        <v>3302738</v>
      </c>
      <c r="K149" s="94">
        <f>INDEX(Turísticas!$A$5:$AA$13,MATCH("CABA",Turísticas!$A$5:$A$13,0),MATCH(Verif!K$4,Turísticas!$B$4:$AA$4,0)+1)</f>
        <v>3328715</v>
      </c>
      <c r="L149" s="94">
        <f>INDEX(Turísticas!$A$5:$AA$13,MATCH("CABA",Turísticas!$A$5:$A$13,0),MATCH(Verif!L$4,Turísticas!$B$4:$AA$4,0)+1)</f>
        <v>3355116</v>
      </c>
      <c r="M149" s="94">
        <f>INDEX(Turísticas!$A$5:$AA$13,MATCH("CABA",Turísticas!$A$5:$A$13,0),MATCH(Verif!M$4,Turísticas!$B$4:$AA$4,0)+1)</f>
        <v>3381947</v>
      </c>
      <c r="N149" s="94">
        <f>INDEX(Turísticas!$A$5:$AA$13,MATCH("CABA",Turísticas!$A$5:$A$13,0),MATCH(Verif!N$4,Turísticas!$B$4:$AA$4,0)+1)</f>
        <v>3409216</v>
      </c>
      <c r="O149" s="94">
        <f>INDEX(Turísticas!$A$5:$AA$13,MATCH("CABA",Turísticas!$A$5:$A$13,0),MATCH(Verif!O$4,Turísticas!$B$4:$AA$4,0)+1)</f>
        <v>3436930</v>
      </c>
      <c r="P149" s="94">
        <f>INDEX(Turísticas!$A$5:$AA$13,MATCH("CABA",Turísticas!$A$5:$A$13,0),MATCH(Verif!P$4,Turísticas!$B$4:$AA$4,0)+1)</f>
        <v>3465096</v>
      </c>
      <c r="Q149" s="94">
        <f>INDEX(Turísticas!$A$5:$AA$13,MATCH("CABA",Turísticas!$A$5:$A$13,0),MATCH(Verif!Q$4,Turísticas!$B$4:$AA$4,0)+1)</f>
        <v>3493721</v>
      </c>
      <c r="R149" s="94">
        <f>INDEX(Turísticas!$A$5:$AA$13,MATCH("CABA",Turísticas!$A$5:$A$13,0),MATCH(Verif!R$4,Turísticas!$B$4:$AA$4,0)+1)</f>
        <v>3522813</v>
      </c>
      <c r="S149" s="94">
        <f>INDEX(Turísticas!$A$5:$AA$13,MATCH("CABA",Turísticas!$A$5:$A$13,0),MATCH(Verif!S$4,Turísticas!$B$4:$AA$4,0)+1)</f>
        <v>3552380</v>
      </c>
      <c r="T149" s="94">
        <f>INDEX(Turísticas!$A$5:$AA$13,MATCH("CABA",Turísticas!$A$5:$A$13,0),MATCH(Verif!T$4,Turísticas!$B$4:$AA$4,0)+1)</f>
        <v>3582429</v>
      </c>
      <c r="U149" s="94">
        <f>INDEX(Turísticas!$A$5:$AA$13,MATCH("CABA",Turísticas!$A$5:$A$13,0),MATCH(Verif!U$4,Turísticas!$B$4:$AA$4,0)+1)</f>
        <v>3612968</v>
      </c>
      <c r="V149" s="94">
        <f>INDEX(Turísticas!$A$5:$AA$13,MATCH("CABA",Turísticas!$A$5:$A$13,0),MATCH(Verif!V$4,Turísticas!$B$4:$AA$4,0)+1)</f>
        <v>3644006</v>
      </c>
      <c r="W149" s="94">
        <f>INDEX(Turísticas!$A$5:$AA$13,MATCH("CABA",Turísticas!$A$5:$A$13,0),MATCH(Verif!W$4,Turísticas!$B$4:$AA$4,0)+1)</f>
        <v>3675550</v>
      </c>
      <c r="X149" s="94">
        <f>INDEX(Turísticas!$A$5:$AA$13,MATCH("CABA",Turísticas!$A$5:$A$13,0),MATCH(Verif!X$4,Turísticas!$B$4:$AA$4,0)+1)</f>
        <v>3707608</v>
      </c>
      <c r="Y149" s="94">
        <f>INDEX(Turísticas!$A$5:$AA$13,MATCH("CABA",Turísticas!$A$5:$A$13,0),MATCH(Verif!Y$4,Turísticas!$B$4:$AA$4,0)+1)</f>
        <v>3740189</v>
      </c>
      <c r="Z149" s="94">
        <f>INDEX(Turísticas!$A$5:$AA$13,MATCH("CABA",Turísticas!$A$5:$A$13,0),MATCH(Verif!Z$4,Turísticas!$B$4:$AA$4,0)+1)</f>
        <v>3773302</v>
      </c>
      <c r="AA149" s="94">
        <f>INDEX(Turísticas!$A$5:$AA$13,MATCH("CABA",Turísticas!$A$5:$A$13,0),MATCH(Verif!AA$4,Turísticas!$B$4:$AA$4,0)+1)</f>
        <v>3806955</v>
      </c>
      <c r="AB149" s="95" t="s">
        <v>39</v>
      </c>
      <c r="AC149" s="80"/>
      <c r="AD149" s="51" t="str">
        <f>IF(AB149="TGD",Proyeccion_Localidades!Z149,"-")</f>
        <v>-</v>
      </c>
      <c r="AE149" s="51" t="str">
        <f>IF($AB149="ALTH",Proyeccion_Localidades!AA149,"-")</f>
        <v>-</v>
      </c>
      <c r="AF149" s="51" t="str">
        <f>IF($AB149="ALTH",Proyeccion_Localidades!AB149,"-")</f>
        <v>-</v>
      </c>
      <c r="AG149" s="81"/>
      <c r="AH149" s="81"/>
      <c r="AI149" s="96">
        <f t="shared" si="8"/>
        <v>3178975</v>
      </c>
      <c r="AJ149" s="83"/>
      <c r="AK149" s="83"/>
      <c r="AL149" s="83"/>
      <c r="AO149" s="83"/>
      <c r="AP149" s="83"/>
      <c r="AQ149" s="83"/>
    </row>
    <row r="150" spans="1:43" s="98" customFormat="1" ht="24.95" customHeight="1">
      <c r="A150" s="84" t="str">
        <f>+Proyeccion_Localidades!C150</f>
        <v>Adolfo Alsina</v>
      </c>
      <c r="B150" s="70">
        <f>+B148+1</f>
        <v>137</v>
      </c>
      <c r="C150" s="87" t="str">
        <f>+Proyeccion_Localidades!B150</f>
        <v>Rivera</v>
      </c>
      <c r="D150" s="261">
        <f t="shared" si="9"/>
        <v>137</v>
      </c>
      <c r="E150" s="72">
        <f>+Proyeccion_Localidades!F150</f>
        <v>3217</v>
      </c>
      <c r="F150" s="66">
        <f>IF($AB150="TGD",ROUND($E150*(1+$AD150)^(F$4-$E$4),0),IF($AB150="ALTH",ROUND($AE150+$AF150*F$4,0),IF($AB150="IR",ROUND(Proyeccion_Localidades!AC150,0),IF($AB150="RT",ROUND(Proyeccion_Localidades!AZ150,0),"*****"))))</f>
        <v>3288</v>
      </c>
      <c r="G150" s="66">
        <f>IF($AB150="TGD",ROUND($E150*(1+$AD150)^(G$4-$E$4),0),IF($AB150="ALTH",ROUND($AE150+$AF150*G$4,0),IF($AB150="IR",ROUND(Proyeccion_Localidades!AD150,0),IF($AB150="RT",ROUND(Proyeccion_Localidades!BA150,0),"*****"))))</f>
        <v>3298</v>
      </c>
      <c r="H150" s="66">
        <f>IF($AB150="TGD",ROUND($E150*(1+$AD150)^(H$4-$E$4),0),IF($AB150="ALTH",ROUND($AE150+$AF150*H$4,0),IF($AB150="IR",ROUND(Proyeccion_Localidades!AE150,0),IF($AB150="RT",ROUND(Proyeccion_Localidades!BB150,0),"*****"))))</f>
        <v>3326</v>
      </c>
      <c r="I150" s="66">
        <f>IF($AB150="TGD",ROUND($E150*(1+$AD150)^(I$4-$E$4),0),IF($AB150="ALTH",ROUND($AE150+$AF150*I$4,0),IF($AB150="IR",ROUND(Proyeccion_Localidades!AF150,0),IF($AB150="RT",ROUND(Proyeccion_Localidades!BC150,0),"*****"))))</f>
        <v>3335</v>
      </c>
      <c r="J150" s="66">
        <f>IF($AB150="TGD",ROUND($E150*(1+$AD150)^(J$4-$E$4),0),IF($AB150="ALTH",ROUND($AE150+$AF150*J$4,0),IF($AB150="IR",ROUND(Proyeccion_Localidades!AG150,0),IF($AB150="RT",ROUND(Proyeccion_Localidades!BD150,0),"*****"))))</f>
        <v>3344</v>
      </c>
      <c r="K150" s="66">
        <f>IF($AB150="TGD",ROUND($E150*(1+$AD150)^(K$4-$E$4),0),IF($AB150="ALTH",ROUND($AE150+$AF150*K$4,0),IF($AB150="IR",ROUND(Proyeccion_Localidades!AH150,0),IF($AB150="RT",ROUND(Proyeccion_Localidades!BE150,0),"*****"))))</f>
        <v>3354</v>
      </c>
      <c r="L150" s="66">
        <f>IF($AB150="TGD",ROUND($E150*(1+$AD150)^(L$4-$E$4),0),IF($AB150="ALTH",ROUND($AE150+$AF150*L$4,0),IF($AB150="IR",ROUND(Proyeccion_Localidades!AI150,0),IF($AB150="RT",ROUND(Proyeccion_Localidades!BF150,0),"*****"))))</f>
        <v>3363</v>
      </c>
      <c r="M150" s="66">
        <f>IF($AB150="TGD",ROUND($E150*(1+$AD150)^(M$4-$E$4),0),IF($AB150="ALTH",ROUND($AE150+$AF150*M$4,0),IF($AB150="IR",ROUND(Proyeccion_Localidades!AJ150,0),IF($AB150="RT",ROUND(Proyeccion_Localidades!BG150,0),"*****"))))</f>
        <v>3372</v>
      </c>
      <c r="N150" s="66">
        <f>IF($AB150="TGD",ROUND($E150*(1+$AD150)^(N$4-$E$4),0),IF($AB150="ALTH",ROUND($AE150+$AF150*N$4,0),IF($AB150="IR",ROUND(Proyeccion_Localidades!AK150,0),IF($AB150="RT",ROUND(Proyeccion_Localidades!BH150,0),"*****"))))</f>
        <v>3381</v>
      </c>
      <c r="O150" s="66">
        <f>IF($AB150="TGD",ROUND($E150*(1+$AD150)^(O$4-$E$4),0),IF($AB150="ALTH",ROUND($AE150+$AF150*O$4,0),IF($AB150="IR",ROUND(Proyeccion_Localidades!AL150,0),IF($AB150="RT",ROUND(Proyeccion_Localidades!BI150,0),"*****"))))</f>
        <v>3391</v>
      </c>
      <c r="P150" s="66">
        <f>IF($AB150="TGD",ROUND($E150*(1+$AD150)^(P$4-$E$4),0),IF($AB150="ALTH",ROUND($AE150+$AF150*P$4,0),IF($AB150="IR",ROUND(Proyeccion_Localidades!AM150,0),IF($AB150="RT",ROUND(Proyeccion_Localidades!BJ150,0),"*****"))))</f>
        <v>3400</v>
      </c>
      <c r="Q150" s="66">
        <f>IF($AB150="TGD",ROUND($E150*(1+$AD150)^(Q$4-$E$4),0),IF($AB150="ALTH",ROUND($AE150+$AF150*Q$4,0),IF($AB150="IR",ROUND(Proyeccion_Localidades!AN150,0),IF($AB150="RT",ROUND(Proyeccion_Localidades!BK150,0),"*****"))))</f>
        <v>3409</v>
      </c>
      <c r="R150" s="66">
        <f>IF($AB150="TGD",ROUND($E150*(1+$AD150)^(R$4-$E$4),0),IF($AB150="ALTH",ROUND($AE150+$AF150*R$4,0),IF($AB150="IR",ROUND(Proyeccion_Localidades!AO150,0),IF($AB150="RT",ROUND(Proyeccion_Localidades!BL150,0),"*****"))))</f>
        <v>3419</v>
      </c>
      <c r="S150" s="66">
        <f>IF($AB150="TGD",ROUND($E150*(1+$AD150)^(S$4-$E$4),0),IF($AB150="ALTH",ROUND($AE150+$AF150*S$4,0),IF($AB150="IR",ROUND(Proyeccion_Localidades!AP150,0),IF($AB150="RT",ROUND(Proyeccion_Localidades!BM150,0),"*****"))))</f>
        <v>3428</v>
      </c>
      <c r="T150" s="66">
        <f>IF($AB150="TGD",ROUND($E150*(1+$AD150)^(T$4-$E$4),0),IF($AB150="ALTH",ROUND($AE150+$AF150*T$4,0),IF($AB150="IR",ROUND(Proyeccion_Localidades!AQ150,0),IF($AB150="RT",ROUND(Proyeccion_Localidades!BN150,0),"*****"))))</f>
        <v>3437</v>
      </c>
      <c r="U150" s="66">
        <f>IF($AB150="TGD",ROUND($E150*(1+$AD150)^(U$4-$E$4),0),IF($AB150="ALTH",ROUND($AE150+$AF150*U$4,0),IF($AB150="IR",ROUND(Proyeccion_Localidades!AR150,0),IF($AB150="RT",ROUND(Proyeccion_Localidades!BO150,0),"*****"))))</f>
        <v>3447</v>
      </c>
      <c r="V150" s="66">
        <f>IF($AB150="TGD",ROUND($E150*(1+$AD150)^(V$4-$E$4),0),IF($AB150="ALTH",ROUND($AE150+$AF150*V$4,0),IF($AB150="IR",ROUND(Proyeccion_Localidades!AS150,0),IF($AB150="RT",ROUND(Proyeccion_Localidades!BP150,0),"*****"))))</f>
        <v>3456</v>
      </c>
      <c r="W150" s="66">
        <f>IF($AB150="TGD",ROUND($E150*(1+$AD150)^(W$4-$E$4),0),IF($AB150="ALTH",ROUND($AE150+$AF150*W$4,0),IF($AB150="IR",ROUND(Proyeccion_Localidades!AT150,0),IF($AB150="RT",ROUND(Proyeccion_Localidades!BQ150,0),"*****"))))</f>
        <v>3465</v>
      </c>
      <c r="X150" s="66">
        <f>IF($AB150="TGD",ROUND($E150*(1+$AD150)^(X$4-$E$4),0),IF($AB150="ALTH",ROUND($AE150+$AF150*X$4,0),IF($AB150="IR",ROUND(Proyeccion_Localidades!AU150,0),IF($AB150="RT",ROUND(Proyeccion_Localidades!BR150,0),"*****"))))</f>
        <v>3475</v>
      </c>
      <c r="Y150" s="66">
        <f>IF($AB150="TGD",ROUND($E150*(1+$AD150)^(Y$4-$E$4),0),IF($AB150="ALTH",ROUND($AE150+$AF150*Y$4,0),IF($AB150="IR",ROUND(Proyeccion_Localidades!AV150,0),IF($AB150="RT",ROUND(Proyeccion_Localidades!BS150,0),"*****"))))</f>
        <v>3484</v>
      </c>
      <c r="Z150" s="66">
        <f>IF($AB150="TGD",ROUND($E150*(1+$AD150)^(Z$4-$E$4),0),IF($AB150="ALTH",ROUND($AE150+$AF150*Z$4,0),IF($AB150="IR",ROUND(Proyeccion_Localidades!AW150,0),IF($AB150="RT",ROUND(Proyeccion_Localidades!BT150,0),"*****"))))</f>
        <v>3493</v>
      </c>
      <c r="AA150" s="66">
        <f>IF($AB150="TGD",ROUND($E150*(1+$AD150)^(AA$4-$E$4),0),IF($AB150="ALTH",ROUND($AE150+$AF150*AA$4,0),IF($AB150="IR",ROUND(Proyeccion_Localidades!AX150,0),IF($AB150="RT",ROUND(Proyeccion_Localidades!BU150,0),"*****"))))</f>
        <v>3503</v>
      </c>
      <c r="AB150" s="67" t="str">
        <f>Proyeccion_Localidades!N150</f>
        <v>ALTH</v>
      </c>
      <c r="AC150" s="68" t="s">
        <v>36</v>
      </c>
      <c r="AD150" s="51" t="str">
        <f>IF(AB150="TGD",Proyeccion_Localidades!Z150,"-")</f>
        <v>-</v>
      </c>
      <c r="AE150" s="51">
        <f>IF($AB150="ALTH",Proyeccion_Localidades!AA150,"-")</f>
        <v>-15543.848708487085</v>
      </c>
      <c r="AF150" s="51">
        <f>IF($AB150="ALTH",Proyeccion_Localidades!AB150,"-")</f>
        <v>9.3136531365313644</v>
      </c>
      <c r="AG150" s="81"/>
      <c r="AH150" s="81"/>
      <c r="AI150" s="96">
        <f t="shared" si="8"/>
        <v>3298</v>
      </c>
      <c r="AJ150" s="97"/>
      <c r="AK150" s="97"/>
      <c r="AL150" s="97"/>
      <c r="AO150" s="97"/>
      <c r="AP150" s="97"/>
      <c r="AQ150" s="97"/>
    </row>
    <row r="151" spans="1:43" s="98" customFormat="1" ht="24.95" customHeight="1">
      <c r="A151" s="84" t="str">
        <f>+Proyeccion_Localidades!C151</f>
        <v>Carlos Tejedor</v>
      </c>
      <c r="B151" s="70">
        <f>+B150+1</f>
        <v>138</v>
      </c>
      <c r="C151" s="87" t="str">
        <f>+Proyeccion_Localidades!B151</f>
        <v>Tres Algarrobos</v>
      </c>
      <c r="D151" s="261">
        <f t="shared" si="9"/>
        <v>138</v>
      </c>
      <c r="E151" s="72">
        <f>+Proyeccion_Localidades!F151</f>
        <v>3201</v>
      </c>
      <c r="F151" s="66">
        <f>IF($AB151="TGD",ROUND($E151*(1+$AD151)^(F$4-$E$4),0),IF($AB151="ALTH",ROUND($AE151+$AF151*F$4,0),IF($AB151="IR",ROUND(Proyeccion_Localidades!AC151,0),IF($AB151="RT",ROUND(Proyeccion_Localidades!AZ151,0),"*****"))))</f>
        <v>3432</v>
      </c>
      <c r="G151" s="66">
        <f>IF($AB151="TGD",ROUND($E151*(1+$AD151)^(G$4-$E$4),0),IF($AB151="ALTH",ROUND($AE151+$AF151*G$4,0),IF($AB151="IR",ROUND(Proyeccion_Localidades!AD151,0),IF($AB151="RT",ROUND(Proyeccion_Localidades!BA151,0),"*****"))))</f>
        <v>3452</v>
      </c>
      <c r="H151" s="66">
        <f>IF($AB151="TGD",ROUND($E151*(1+$AD151)^(H$4-$E$4),0),IF($AB151="ALTH",ROUND($AE151+$AF151*H$4,0),IF($AB151="IR",ROUND(Proyeccion_Localidades!AE151,0),IF($AB151="RT",ROUND(Proyeccion_Localidades!BB151,0),"*****"))))</f>
        <v>3512</v>
      </c>
      <c r="I151" s="66">
        <f>IF($AB151="TGD",ROUND($E151*(1+$AD151)^(I$4-$E$4),0),IF($AB151="ALTH",ROUND($AE151+$AF151*I$4,0),IF($AB151="IR",ROUND(Proyeccion_Localidades!AF151,0),IF($AB151="RT",ROUND(Proyeccion_Localidades!BC151,0),"*****"))))</f>
        <v>3532</v>
      </c>
      <c r="J151" s="66">
        <f>IF($AB151="TGD",ROUND($E151*(1+$AD151)^(J$4-$E$4),0),IF($AB151="ALTH",ROUND($AE151+$AF151*J$4,0),IF($AB151="IR",ROUND(Proyeccion_Localidades!AG151,0),IF($AB151="RT",ROUND(Proyeccion_Localidades!BD151,0),"*****"))))</f>
        <v>3552</v>
      </c>
      <c r="K151" s="66">
        <f>IF($AB151="TGD",ROUND($E151*(1+$AD151)^(K$4-$E$4),0),IF($AB151="ALTH",ROUND($AE151+$AF151*K$4,0),IF($AB151="IR",ROUND(Proyeccion_Localidades!AH151,0),IF($AB151="RT",ROUND(Proyeccion_Localidades!BE151,0),"*****"))))</f>
        <v>3572</v>
      </c>
      <c r="L151" s="66">
        <f>IF($AB151="TGD",ROUND($E151*(1+$AD151)^(L$4-$E$4),0),IF($AB151="ALTH",ROUND($AE151+$AF151*L$4,0),IF($AB151="IR",ROUND(Proyeccion_Localidades!AI151,0),IF($AB151="RT",ROUND(Proyeccion_Localidades!BF151,0),"*****"))))</f>
        <v>3592</v>
      </c>
      <c r="M151" s="66">
        <f>IF($AB151="TGD",ROUND($E151*(1+$AD151)^(M$4-$E$4),0),IF($AB151="ALTH",ROUND($AE151+$AF151*M$4,0),IF($AB151="IR",ROUND(Proyeccion_Localidades!AJ151,0),IF($AB151="RT",ROUND(Proyeccion_Localidades!BG151,0),"*****"))))</f>
        <v>3612</v>
      </c>
      <c r="N151" s="66">
        <f>IF($AB151="TGD",ROUND($E151*(1+$AD151)^(N$4-$E$4),0),IF($AB151="ALTH",ROUND($AE151+$AF151*N$4,0),IF($AB151="IR",ROUND(Proyeccion_Localidades!AK151,0),IF($AB151="RT",ROUND(Proyeccion_Localidades!BH151,0),"*****"))))</f>
        <v>3632</v>
      </c>
      <c r="O151" s="66">
        <f>IF($AB151="TGD",ROUND($E151*(1+$AD151)^(O$4-$E$4),0),IF($AB151="ALTH",ROUND($AE151+$AF151*O$4,0),IF($AB151="IR",ROUND(Proyeccion_Localidades!AL151,0),IF($AB151="RT",ROUND(Proyeccion_Localidades!BI151,0),"*****"))))</f>
        <v>3652</v>
      </c>
      <c r="P151" s="66">
        <f>IF($AB151="TGD",ROUND($E151*(1+$AD151)^(P$4-$E$4),0),IF($AB151="ALTH",ROUND($AE151+$AF151*P$4,0),IF($AB151="IR",ROUND(Proyeccion_Localidades!AM151,0),IF($AB151="RT",ROUND(Proyeccion_Localidades!BJ151,0),"*****"))))</f>
        <v>3672</v>
      </c>
      <c r="Q151" s="66">
        <f>IF($AB151="TGD",ROUND($E151*(1+$AD151)^(Q$4-$E$4),0),IF($AB151="ALTH",ROUND($AE151+$AF151*Q$4,0),IF($AB151="IR",ROUND(Proyeccion_Localidades!AN151,0),IF($AB151="RT",ROUND(Proyeccion_Localidades!BK151,0),"*****"))))</f>
        <v>3692</v>
      </c>
      <c r="R151" s="66">
        <f>IF($AB151="TGD",ROUND($E151*(1+$AD151)^(R$4-$E$4),0),IF($AB151="ALTH",ROUND($AE151+$AF151*R$4,0),IF($AB151="IR",ROUND(Proyeccion_Localidades!AO151,0),IF($AB151="RT",ROUND(Proyeccion_Localidades!BL151,0),"*****"))))</f>
        <v>3712</v>
      </c>
      <c r="S151" s="66">
        <f>IF($AB151="TGD",ROUND($E151*(1+$AD151)^(S$4-$E$4),0),IF($AB151="ALTH",ROUND($AE151+$AF151*S$4,0),IF($AB151="IR",ROUND(Proyeccion_Localidades!AP151,0),IF($AB151="RT",ROUND(Proyeccion_Localidades!BM151,0),"*****"))))</f>
        <v>3732</v>
      </c>
      <c r="T151" s="66">
        <f>IF($AB151="TGD",ROUND($E151*(1+$AD151)^(T$4-$E$4),0),IF($AB151="ALTH",ROUND($AE151+$AF151*T$4,0),IF($AB151="IR",ROUND(Proyeccion_Localidades!AQ151,0),IF($AB151="RT",ROUND(Proyeccion_Localidades!BN151,0),"*****"))))</f>
        <v>3752</v>
      </c>
      <c r="U151" s="66">
        <f>IF($AB151="TGD",ROUND($E151*(1+$AD151)^(U$4-$E$4),0),IF($AB151="ALTH",ROUND($AE151+$AF151*U$4,0),IF($AB151="IR",ROUND(Proyeccion_Localidades!AR151,0),IF($AB151="RT",ROUND(Proyeccion_Localidades!BO151,0),"*****"))))</f>
        <v>3772</v>
      </c>
      <c r="V151" s="66">
        <f>IF($AB151="TGD",ROUND($E151*(1+$AD151)^(V$4-$E$4),0),IF($AB151="ALTH",ROUND($AE151+$AF151*V$4,0),IF($AB151="IR",ROUND(Proyeccion_Localidades!AS151,0),IF($AB151="RT",ROUND(Proyeccion_Localidades!BP151,0),"*****"))))</f>
        <v>3792</v>
      </c>
      <c r="W151" s="66">
        <f>IF($AB151="TGD",ROUND($E151*(1+$AD151)^(W$4-$E$4),0),IF($AB151="ALTH",ROUND($AE151+$AF151*W$4,0),IF($AB151="IR",ROUND(Proyeccion_Localidades!AT151,0),IF($AB151="RT",ROUND(Proyeccion_Localidades!BQ151,0),"*****"))))</f>
        <v>3812</v>
      </c>
      <c r="X151" s="66">
        <f>IF($AB151="TGD",ROUND($E151*(1+$AD151)^(X$4-$E$4),0),IF($AB151="ALTH",ROUND($AE151+$AF151*X$4,0),IF($AB151="IR",ROUND(Proyeccion_Localidades!AU151,0),IF($AB151="RT",ROUND(Proyeccion_Localidades!BR151,0),"*****"))))</f>
        <v>3832</v>
      </c>
      <c r="Y151" s="66">
        <f>IF($AB151="TGD",ROUND($E151*(1+$AD151)^(Y$4-$E$4),0),IF($AB151="ALTH",ROUND($AE151+$AF151*Y$4,0),IF($AB151="IR",ROUND(Proyeccion_Localidades!AV151,0),IF($AB151="RT",ROUND(Proyeccion_Localidades!BS151,0),"*****"))))</f>
        <v>3852</v>
      </c>
      <c r="Z151" s="66">
        <f>IF($AB151="TGD",ROUND($E151*(1+$AD151)^(Z$4-$E$4),0),IF($AB151="ALTH",ROUND($AE151+$AF151*Z$4,0),IF($AB151="IR",ROUND(Proyeccion_Localidades!AW151,0),IF($AB151="RT",ROUND(Proyeccion_Localidades!BT151,0),"*****"))))</f>
        <v>3872</v>
      </c>
      <c r="AA151" s="66">
        <f>IF($AB151="TGD",ROUND($E151*(1+$AD151)^(AA$4-$E$4),0),IF($AB151="ALTH",ROUND($AE151+$AF151*AA$4,0),IF($AB151="IR",ROUND(Proyeccion_Localidades!AX151,0),IF($AB151="RT",ROUND(Proyeccion_Localidades!BU151,0),"*****"))))</f>
        <v>3892</v>
      </c>
      <c r="AB151" s="67" t="str">
        <f>Proyeccion_Localidades!N151</f>
        <v>ALTH</v>
      </c>
      <c r="AC151" s="68" t="s">
        <v>36</v>
      </c>
      <c r="AD151" s="51" t="str">
        <f>IF(AB151="TGD",Proyeccion_Localidades!Z151,"-")</f>
        <v>-</v>
      </c>
      <c r="AE151" s="51">
        <f>IF($AB151="ALTH",Proyeccion_Localidades!AA151,"-")</f>
        <v>-37015.71586715868</v>
      </c>
      <c r="AF151" s="51">
        <f>IF($AB151="ALTH",Proyeccion_Localidades!AB151,"-")</f>
        <v>20.003690036900373</v>
      </c>
      <c r="AG151" s="81"/>
      <c r="AH151" s="81"/>
      <c r="AI151" s="96">
        <f t="shared" si="8"/>
        <v>3452</v>
      </c>
      <c r="AJ151" s="97"/>
      <c r="AK151" s="97"/>
      <c r="AL151" s="97"/>
      <c r="AO151" s="97"/>
      <c r="AP151" s="97"/>
      <c r="AQ151" s="97"/>
    </row>
    <row r="152" spans="1:43" s="98" customFormat="1" ht="24.95" customHeight="1">
      <c r="A152" s="84" t="str">
        <f>+Proyeccion_Localidades!C152</f>
        <v>Exaltación de la Cruz</v>
      </c>
      <c r="B152" s="70">
        <f t="shared" ref="B152:B169" si="10">+B151+1</f>
        <v>139</v>
      </c>
      <c r="C152" s="87" t="str">
        <f>+Proyeccion_Localidades!B152</f>
        <v>Los Cardales</v>
      </c>
      <c r="D152" s="261">
        <f t="shared" si="9"/>
        <v>139</v>
      </c>
      <c r="E152" s="72">
        <f>+Proyeccion_Localidades!F152</f>
        <v>7174</v>
      </c>
      <c r="F152" s="66">
        <f>IF($AB152="TGD",ROUND($E152*(1+$AD152)^(F$4-$E$4),0),IF($AB152="ALTH",ROUND($AE152+$AF152*F$4,0),IF($AB152="IR",ROUND(Proyeccion_Localidades!AC152,0),IF($AB152="RT",ROUND(Proyeccion_Localidades!AZ152,0),"*****"))))</f>
        <v>11258</v>
      </c>
      <c r="G152" s="66">
        <f>IF($AB152="TGD",ROUND($E152*(1+$AD152)^(G$4-$E$4),0),IF($AB152="ALTH",ROUND($AE152+$AF152*G$4,0),IF($AB152="IR",ROUND(Proyeccion_Localidades!AD152,0),IF($AB152="RT",ROUND(Proyeccion_Localidades!BA152,0),"*****"))))</f>
        <v>11635</v>
      </c>
      <c r="H152" s="66">
        <f>IF($AB152="TGD",ROUND($E152*(1+$AD152)^(H$4-$E$4),0),IF($AB152="ALTH",ROUND($AE152+$AF152*H$4,0),IF($AB152="IR",ROUND(Proyeccion_Localidades!AE152,0),IF($AB152="RT",ROUND(Proyeccion_Localidades!BB152,0),"*****"))))</f>
        <v>12805</v>
      </c>
      <c r="I152" s="66">
        <f>IF($AB152="TGD",ROUND($E152*(1+$AD152)^(I$4-$E$4),0),IF($AB152="ALTH",ROUND($AE152+$AF152*I$4,0),IF($AB152="IR",ROUND(Proyeccion_Localidades!AF152,0),IF($AB152="RT",ROUND(Proyeccion_Localidades!BC152,0),"*****"))))</f>
        <v>13207</v>
      </c>
      <c r="J152" s="66">
        <f>IF($AB152="TGD",ROUND($E152*(1+$AD152)^(J$4-$E$4),0),IF($AB152="ALTH",ROUND($AE152+$AF152*J$4,0),IF($AB152="IR",ROUND(Proyeccion_Localidades!AG152,0),IF($AB152="RT",ROUND(Proyeccion_Localidades!BD152,0),"*****"))))</f>
        <v>13617</v>
      </c>
      <c r="K152" s="66">
        <f>IF($AB152="TGD",ROUND($E152*(1+$AD152)^(K$4-$E$4),0),IF($AB152="ALTH",ROUND($AE152+$AF152*K$4,0),IF($AB152="IR",ROUND(Proyeccion_Localidades!AH152,0),IF($AB152="RT",ROUND(Proyeccion_Localidades!BE152,0),"*****"))))</f>
        <v>14033</v>
      </c>
      <c r="L152" s="66">
        <f>IF($AB152="TGD",ROUND($E152*(1+$AD152)^(L$4-$E$4),0),IF($AB152="ALTH",ROUND($AE152+$AF152*L$4,0),IF($AB152="IR",ROUND(Proyeccion_Localidades!AI152,0),IF($AB152="RT",ROUND(Proyeccion_Localidades!BF152,0),"*****"))))</f>
        <v>14455</v>
      </c>
      <c r="M152" s="66">
        <f>IF($AB152="TGD",ROUND($E152*(1+$AD152)^(M$4-$E$4),0),IF($AB152="ALTH",ROUND($AE152+$AF152*M$4,0),IF($AB152="IR",ROUND(Proyeccion_Localidades!AJ152,0),IF($AB152="RT",ROUND(Proyeccion_Localidades!BG152,0),"*****"))))</f>
        <v>14885</v>
      </c>
      <c r="N152" s="66">
        <f>IF($AB152="TGD",ROUND($E152*(1+$AD152)^(N$4-$E$4),0),IF($AB152="ALTH",ROUND($AE152+$AF152*N$4,0),IF($AB152="IR",ROUND(Proyeccion_Localidades!AK152,0),IF($AB152="RT",ROUND(Proyeccion_Localidades!BH152,0),"*****"))))</f>
        <v>15322</v>
      </c>
      <c r="O152" s="66">
        <f>IF($AB152="TGD",ROUND($E152*(1+$AD152)^(O$4-$E$4),0),IF($AB152="ALTH",ROUND($AE152+$AF152*O$4,0),IF($AB152="IR",ROUND(Proyeccion_Localidades!AL152,0),IF($AB152="RT",ROUND(Proyeccion_Localidades!BI152,0),"*****"))))</f>
        <v>15765</v>
      </c>
      <c r="P152" s="66">
        <f>IF($AB152="TGD",ROUND($E152*(1+$AD152)^(P$4-$E$4),0),IF($AB152="ALTH",ROUND($AE152+$AF152*P$4,0),IF($AB152="IR",ROUND(Proyeccion_Localidades!AM152,0),IF($AB152="RT",ROUND(Proyeccion_Localidades!BJ152,0),"*****"))))</f>
        <v>16216</v>
      </c>
      <c r="Q152" s="66">
        <f>IF($AB152="TGD",ROUND($E152*(1+$AD152)^(Q$4-$E$4),0),IF($AB152="ALTH",ROUND($AE152+$AF152*Q$4,0),IF($AB152="IR",ROUND(Proyeccion_Localidades!AN152,0),IF($AB152="RT",ROUND(Proyeccion_Localidades!BK152,0),"*****"))))</f>
        <v>16675</v>
      </c>
      <c r="R152" s="66">
        <f>IF($AB152="TGD",ROUND($E152*(1+$AD152)^(R$4-$E$4),0),IF($AB152="ALTH",ROUND($AE152+$AF152*R$4,0),IF($AB152="IR",ROUND(Proyeccion_Localidades!AO152,0),IF($AB152="RT",ROUND(Proyeccion_Localidades!BL152,0),"*****"))))</f>
        <v>17140</v>
      </c>
      <c r="S152" s="66">
        <f>IF($AB152="TGD",ROUND($E152*(1+$AD152)^(S$4-$E$4),0),IF($AB152="ALTH",ROUND($AE152+$AF152*S$4,0),IF($AB152="IR",ROUND(Proyeccion_Localidades!AP152,0),IF($AB152="RT",ROUND(Proyeccion_Localidades!BM152,0),"*****"))))</f>
        <v>17614</v>
      </c>
      <c r="T152" s="66">
        <f>IF($AB152="TGD",ROUND($E152*(1+$AD152)^(T$4-$E$4),0),IF($AB152="ALTH",ROUND($AE152+$AF152*T$4,0),IF($AB152="IR",ROUND(Proyeccion_Localidades!AQ152,0),IF($AB152="RT",ROUND(Proyeccion_Localidades!BN152,0),"*****"))))</f>
        <v>18095</v>
      </c>
      <c r="U152" s="66">
        <f>IF($AB152="TGD",ROUND($E152*(1+$AD152)^(U$4-$E$4),0),IF($AB152="ALTH",ROUND($AE152+$AF152*U$4,0),IF($AB152="IR",ROUND(Proyeccion_Localidades!AR152,0),IF($AB152="RT",ROUND(Proyeccion_Localidades!BO152,0),"*****"))))</f>
        <v>18584</v>
      </c>
      <c r="V152" s="66">
        <f>IF($AB152="TGD",ROUND($E152*(1+$AD152)^(V$4-$E$4),0),IF($AB152="ALTH",ROUND($AE152+$AF152*V$4,0),IF($AB152="IR",ROUND(Proyeccion_Localidades!AS152,0),IF($AB152="RT",ROUND(Proyeccion_Localidades!BP152,0),"*****"))))</f>
        <v>19081</v>
      </c>
      <c r="W152" s="66">
        <f>IF($AB152="TGD",ROUND($E152*(1+$AD152)^(W$4-$E$4),0),IF($AB152="ALTH",ROUND($AE152+$AF152*W$4,0),IF($AB152="IR",ROUND(Proyeccion_Localidades!AT152,0),IF($AB152="RT",ROUND(Proyeccion_Localidades!BQ152,0),"*****"))))</f>
        <v>19586</v>
      </c>
      <c r="X152" s="66">
        <f>IF($AB152="TGD",ROUND($E152*(1+$AD152)^(X$4-$E$4),0),IF($AB152="ALTH",ROUND($AE152+$AF152*X$4,0),IF($AB152="IR",ROUND(Proyeccion_Localidades!AU152,0),IF($AB152="RT",ROUND(Proyeccion_Localidades!BR152,0),"*****"))))</f>
        <v>20099</v>
      </c>
      <c r="Y152" s="66">
        <f>IF($AB152="TGD",ROUND($E152*(1+$AD152)^(Y$4-$E$4),0),IF($AB152="ALTH",ROUND($AE152+$AF152*Y$4,0),IF($AB152="IR",ROUND(Proyeccion_Localidades!AV152,0),IF($AB152="RT",ROUND(Proyeccion_Localidades!BS152,0),"*****"))))</f>
        <v>20621</v>
      </c>
      <c r="Z152" s="66">
        <f>IF($AB152="TGD",ROUND($E152*(1+$AD152)^(Z$4-$E$4),0),IF($AB152="ALTH",ROUND($AE152+$AF152*Z$4,0),IF($AB152="IR",ROUND(Proyeccion_Localidades!AW152,0),IF($AB152="RT",ROUND(Proyeccion_Localidades!BT152,0),"*****"))))</f>
        <v>21151</v>
      </c>
      <c r="AA152" s="66">
        <f>IF($AB152="TGD",ROUND($E152*(1+$AD152)^(AA$4-$E$4),0),IF($AB152="ALTH",ROUND($AE152+$AF152*AA$4,0),IF($AB152="IR",ROUND(Proyeccion_Localidades!AX152,0),IF($AB152="RT",ROUND(Proyeccion_Localidades!BU152,0),"*****"))))</f>
        <v>21690</v>
      </c>
      <c r="AB152" s="67" t="str">
        <f>Proyeccion_Localidades!N152</f>
        <v>IR</v>
      </c>
      <c r="AC152" s="99"/>
      <c r="AD152" s="51" t="str">
        <f>IF(AB152="TGD",Proyeccion_Localidades!Z152,"-")</f>
        <v>-</v>
      </c>
      <c r="AE152" s="51" t="str">
        <f>IF($AB152="ALTH",Proyeccion_Localidades!AA152,"-")</f>
        <v>-</v>
      </c>
      <c r="AF152" s="51" t="str">
        <f>IF($AB152="ALTH",Proyeccion_Localidades!AB152,"-")</f>
        <v>-</v>
      </c>
      <c r="AG152" s="81"/>
      <c r="AH152" s="81"/>
      <c r="AI152" s="96">
        <f t="shared" si="8"/>
        <v>11635</v>
      </c>
      <c r="AJ152" s="97"/>
      <c r="AK152" s="97"/>
      <c r="AL152" s="97"/>
      <c r="AO152" s="97"/>
      <c r="AP152" s="97"/>
      <c r="AQ152" s="97"/>
    </row>
    <row r="153" spans="1:43" s="98" customFormat="1" ht="24.95" customHeight="1">
      <c r="A153" s="84" t="str">
        <f>+Proyeccion_Localidades!C153</f>
        <v>Exaltación de la Cruz</v>
      </c>
      <c r="B153" s="70">
        <f t="shared" si="10"/>
        <v>140</v>
      </c>
      <c r="C153" s="87" t="str">
        <f>+Proyeccion_Localidades!B153</f>
        <v>Parada Robles - Pavón</v>
      </c>
      <c r="D153" s="261">
        <f t="shared" si="9"/>
        <v>140</v>
      </c>
      <c r="E153" s="72">
        <f>+Proyeccion_Localidades!F153</f>
        <v>8008</v>
      </c>
      <c r="F153" s="66">
        <f>IF($AB153="TGD",ROUND($E153*(1+$AD153)^(F$4-$E$4),0),IF($AB153="ALTH",ROUND($AE153+$AF153*F$4,0),IF($AB153="IR",ROUND(Proyeccion_Localidades!AC153,0),IF($AB153="RT",ROUND(Proyeccion_Localidades!AZ153,0),"*****"))))</f>
        <v>15246</v>
      </c>
      <c r="G153" s="66">
        <f>IF($AB153="TGD",ROUND($E153*(1+$AD153)^(G$4-$E$4),0),IF($AB153="ALTH",ROUND($AE153+$AF153*G$4,0),IF($AB153="IR",ROUND(Proyeccion_Localidades!AD153,0),IF($AB153="RT",ROUND(Proyeccion_Localidades!BA153,0),"*****"))))</f>
        <v>15915</v>
      </c>
      <c r="H153" s="66">
        <f>IF($AB153="TGD",ROUND($E153*(1+$AD153)^(H$4-$E$4),0),IF($AB153="ALTH",ROUND($AE153+$AF153*H$4,0),IF($AB153="IR",ROUND(Proyeccion_Localidades!AE153,0),IF($AB153="RT",ROUND(Proyeccion_Localidades!BB153,0),"*****"))))</f>
        <v>17988</v>
      </c>
      <c r="I153" s="66">
        <f>IF($AB153="TGD",ROUND($E153*(1+$AD153)^(I$4-$E$4),0),IF($AB153="ALTH",ROUND($AE153+$AF153*I$4,0),IF($AB153="IR",ROUND(Proyeccion_Localidades!AF153,0),IF($AB153="RT",ROUND(Proyeccion_Localidades!BC153,0),"*****"))))</f>
        <v>18702</v>
      </c>
      <c r="J153" s="66">
        <f>IF($AB153="TGD",ROUND($E153*(1+$AD153)^(J$4-$E$4),0),IF($AB153="ALTH",ROUND($AE153+$AF153*J$4,0),IF($AB153="IR",ROUND(Proyeccion_Localidades!AG153,0),IF($AB153="RT",ROUND(Proyeccion_Localidades!BD153,0),"*****"))))</f>
        <v>19427</v>
      </c>
      <c r="K153" s="66">
        <f>IF($AB153="TGD",ROUND($E153*(1+$AD153)^(K$4-$E$4),0),IF($AB153="ALTH",ROUND($AE153+$AF153*K$4,0),IF($AB153="IR",ROUND(Proyeccion_Localidades!AH153,0),IF($AB153="RT",ROUND(Proyeccion_Localidades!BE153,0),"*****"))))</f>
        <v>20164</v>
      </c>
      <c r="L153" s="66">
        <f>IF($AB153="TGD",ROUND($E153*(1+$AD153)^(L$4-$E$4),0),IF($AB153="ALTH",ROUND($AE153+$AF153*L$4,0),IF($AB153="IR",ROUND(Proyeccion_Localidades!AI153,0),IF($AB153="RT",ROUND(Proyeccion_Localidades!BF153,0),"*****"))))</f>
        <v>20913</v>
      </c>
      <c r="M153" s="66">
        <f>IF($AB153="TGD",ROUND($E153*(1+$AD153)^(M$4-$E$4),0),IF($AB153="ALTH",ROUND($AE153+$AF153*M$4,0),IF($AB153="IR",ROUND(Proyeccion_Localidades!AJ153,0),IF($AB153="RT",ROUND(Proyeccion_Localidades!BG153,0),"*****"))))</f>
        <v>21675</v>
      </c>
      <c r="N153" s="66">
        <f>IF($AB153="TGD",ROUND($E153*(1+$AD153)^(N$4-$E$4),0),IF($AB153="ALTH",ROUND($AE153+$AF153*N$4,0),IF($AB153="IR",ROUND(Proyeccion_Localidades!AK153,0),IF($AB153="RT",ROUND(Proyeccion_Localidades!BH153,0),"*****"))))</f>
        <v>22449</v>
      </c>
      <c r="O153" s="66">
        <f>IF($AB153="TGD",ROUND($E153*(1+$AD153)^(O$4-$E$4),0),IF($AB153="ALTH",ROUND($AE153+$AF153*O$4,0),IF($AB153="IR",ROUND(Proyeccion_Localidades!AL153,0),IF($AB153="RT",ROUND(Proyeccion_Localidades!BI153,0),"*****"))))</f>
        <v>23235</v>
      </c>
      <c r="P153" s="66">
        <f>IF($AB153="TGD",ROUND($E153*(1+$AD153)^(P$4-$E$4),0),IF($AB153="ALTH",ROUND($AE153+$AF153*P$4,0),IF($AB153="IR",ROUND(Proyeccion_Localidades!AM153,0),IF($AB153="RT",ROUND(Proyeccion_Localidades!BJ153,0),"*****"))))</f>
        <v>24034</v>
      </c>
      <c r="Q153" s="66">
        <f>IF($AB153="TGD",ROUND($E153*(1+$AD153)^(Q$4-$E$4),0),IF($AB153="ALTH",ROUND($AE153+$AF153*Q$4,0),IF($AB153="IR",ROUND(Proyeccion_Localidades!AN153,0),IF($AB153="RT",ROUND(Proyeccion_Localidades!BK153,0),"*****"))))</f>
        <v>24847</v>
      </c>
      <c r="R153" s="66">
        <f>IF($AB153="TGD",ROUND($E153*(1+$AD153)^(R$4-$E$4),0),IF($AB153="ALTH",ROUND($AE153+$AF153*R$4,0),IF($AB153="IR",ROUND(Proyeccion_Localidades!AO153,0),IF($AB153="RT",ROUND(Proyeccion_Localidades!BL153,0),"*****"))))</f>
        <v>25672</v>
      </c>
      <c r="S153" s="66">
        <f>IF($AB153="TGD",ROUND($E153*(1+$AD153)^(S$4-$E$4),0),IF($AB153="ALTH",ROUND($AE153+$AF153*S$4,0),IF($AB153="IR",ROUND(Proyeccion_Localidades!AP153,0),IF($AB153="RT",ROUND(Proyeccion_Localidades!BM153,0),"*****"))))</f>
        <v>26511</v>
      </c>
      <c r="T153" s="66">
        <f>IF($AB153="TGD",ROUND($E153*(1+$AD153)^(T$4-$E$4),0),IF($AB153="ALTH",ROUND($AE153+$AF153*T$4,0),IF($AB153="IR",ROUND(Proyeccion_Localidades!AQ153,0),IF($AB153="RT",ROUND(Proyeccion_Localidades!BN153,0),"*****"))))</f>
        <v>27364</v>
      </c>
      <c r="U153" s="66">
        <f>IF($AB153="TGD",ROUND($E153*(1+$AD153)^(U$4-$E$4),0),IF($AB153="ALTH",ROUND($AE153+$AF153*U$4,0),IF($AB153="IR",ROUND(Proyeccion_Localidades!AR153,0),IF($AB153="RT",ROUND(Proyeccion_Localidades!BO153,0),"*****"))))</f>
        <v>28231</v>
      </c>
      <c r="V153" s="66">
        <f>IF($AB153="TGD",ROUND($E153*(1+$AD153)^(V$4-$E$4),0),IF($AB153="ALTH",ROUND($AE153+$AF153*V$4,0),IF($AB153="IR",ROUND(Proyeccion_Localidades!AS153,0),IF($AB153="RT",ROUND(Proyeccion_Localidades!BP153,0),"*****"))))</f>
        <v>29112</v>
      </c>
      <c r="W153" s="66">
        <f>IF($AB153="TGD",ROUND($E153*(1+$AD153)^(W$4-$E$4),0),IF($AB153="ALTH",ROUND($AE153+$AF153*W$4,0),IF($AB153="IR",ROUND(Proyeccion_Localidades!AT153,0),IF($AB153="RT",ROUND(Proyeccion_Localidades!BQ153,0),"*****"))))</f>
        <v>30007</v>
      </c>
      <c r="X153" s="66">
        <f>IF($AB153="TGD",ROUND($E153*(1+$AD153)^(X$4-$E$4),0),IF($AB153="ALTH",ROUND($AE153+$AF153*X$4,0),IF($AB153="IR",ROUND(Proyeccion_Localidades!AU153,0),IF($AB153="RT",ROUND(Proyeccion_Localidades!BR153,0),"*****"))))</f>
        <v>30917</v>
      </c>
      <c r="Y153" s="66">
        <f>IF($AB153="TGD",ROUND($E153*(1+$AD153)^(Y$4-$E$4),0),IF($AB153="ALTH",ROUND($AE153+$AF153*Y$4,0),IF($AB153="IR",ROUND(Proyeccion_Localidades!AV153,0),IF($AB153="RT",ROUND(Proyeccion_Localidades!BS153,0),"*****"))))</f>
        <v>31841</v>
      </c>
      <c r="Z153" s="66">
        <f>IF($AB153="TGD",ROUND($E153*(1+$AD153)^(Z$4-$E$4),0),IF($AB153="ALTH",ROUND($AE153+$AF153*Z$4,0),IF($AB153="IR",ROUND(Proyeccion_Localidades!AW153,0),IF($AB153="RT",ROUND(Proyeccion_Localidades!BT153,0),"*****"))))</f>
        <v>32781</v>
      </c>
      <c r="AA153" s="66">
        <f>IF($AB153="TGD",ROUND($E153*(1+$AD153)^(AA$4-$E$4),0),IF($AB153="ALTH",ROUND($AE153+$AF153*AA$4,0),IF($AB153="IR",ROUND(Proyeccion_Localidades!AX153,0),IF($AB153="RT",ROUND(Proyeccion_Localidades!BU153,0),"*****"))))</f>
        <v>33736</v>
      </c>
      <c r="AB153" s="67" t="str">
        <f>Proyeccion_Localidades!N153</f>
        <v>IR</v>
      </c>
      <c r="AC153" s="99"/>
      <c r="AD153" s="51" t="str">
        <f>IF(AB153="TGD",Proyeccion_Localidades!Z153,"-")</f>
        <v>-</v>
      </c>
      <c r="AE153" s="51" t="str">
        <f>IF($AB153="ALTH",Proyeccion_Localidades!AA153,"-")</f>
        <v>-</v>
      </c>
      <c r="AF153" s="51" t="str">
        <f>IF($AB153="ALTH",Proyeccion_Localidades!AB153,"-")</f>
        <v>-</v>
      </c>
      <c r="AG153" s="81"/>
      <c r="AH153" s="81"/>
      <c r="AI153" s="96">
        <f t="shared" si="8"/>
        <v>15915</v>
      </c>
      <c r="AJ153" s="97"/>
      <c r="AK153" s="97"/>
      <c r="AL153" s="97"/>
      <c r="AO153" s="97"/>
      <c r="AP153" s="97"/>
      <c r="AQ153" s="97"/>
    </row>
    <row r="154" spans="1:43" s="98" customFormat="1" ht="24.95" customHeight="1">
      <c r="A154" s="84" t="str">
        <f>+Proyeccion_Localidades!C154</f>
        <v>General Alvarado</v>
      </c>
      <c r="B154" s="70">
        <f t="shared" si="10"/>
        <v>141</v>
      </c>
      <c r="C154" s="87" t="str">
        <f>+Proyeccion_Localidades!B154</f>
        <v>Comandante Nicanor Otamendi</v>
      </c>
      <c r="D154" s="261">
        <f t="shared" si="9"/>
        <v>141</v>
      </c>
      <c r="E154" s="72">
        <f>+Proyeccion_Localidades!F154</f>
        <v>6632</v>
      </c>
      <c r="F154" s="66">
        <f>IF($AB154="TGD",ROUND($E154*(1+$AD154)^(F$4-$E$4),0),IF($AB154="ALTH",ROUND($AE154+$AF154*F$4,0),IF($AB154="IR",ROUND(Proyeccion_Localidades!AC154,0),IF($AB154="RT",ROUND(Proyeccion_Localidades!AZ154,0),"*****"))))</f>
        <v>7196</v>
      </c>
      <c r="G154" s="66">
        <f>IF($AB154="TGD",ROUND($E154*(1+$AD154)^(G$4-$E$4),0),IF($AB154="ALTH",ROUND($AE154+$AF154*G$4,0),IF($AB154="IR",ROUND(Proyeccion_Localidades!AD154,0),IF($AB154="RT",ROUND(Proyeccion_Localidades!BA154,0),"*****"))))</f>
        <v>7249</v>
      </c>
      <c r="H154" s="66">
        <f>IF($AB154="TGD",ROUND($E154*(1+$AD154)^(H$4-$E$4),0),IF($AB154="ALTH",ROUND($AE154+$AF154*H$4,0),IF($AB154="IR",ROUND(Proyeccion_Localidades!AE154,0),IF($AB154="RT",ROUND(Proyeccion_Localidades!BB154,0),"*****"))))</f>
        <v>7407</v>
      </c>
      <c r="I154" s="66">
        <f>IF($AB154="TGD",ROUND($E154*(1+$AD154)^(I$4-$E$4),0),IF($AB154="ALTH",ROUND($AE154+$AF154*I$4,0),IF($AB154="IR",ROUND(Proyeccion_Localidades!AF154,0),IF($AB154="RT",ROUND(Proyeccion_Localidades!BC154,0),"*****"))))</f>
        <v>7459</v>
      </c>
      <c r="J154" s="66">
        <f>IF($AB154="TGD",ROUND($E154*(1+$AD154)^(J$4-$E$4),0),IF($AB154="ALTH",ROUND($AE154+$AF154*J$4,0),IF($AB154="IR",ROUND(Proyeccion_Localidades!AG154,0),IF($AB154="RT",ROUND(Proyeccion_Localidades!BD154,0),"*****"))))</f>
        <v>7512</v>
      </c>
      <c r="K154" s="66">
        <f>IF($AB154="TGD",ROUND($E154*(1+$AD154)^(K$4-$E$4),0),IF($AB154="ALTH",ROUND($AE154+$AF154*K$4,0),IF($AB154="IR",ROUND(Proyeccion_Localidades!AH154,0),IF($AB154="RT",ROUND(Proyeccion_Localidades!BE154,0),"*****"))))</f>
        <v>7565</v>
      </c>
      <c r="L154" s="66">
        <f>IF($AB154="TGD",ROUND($E154*(1+$AD154)^(L$4-$E$4),0),IF($AB154="ALTH",ROUND($AE154+$AF154*L$4,0),IF($AB154="IR",ROUND(Proyeccion_Localidades!AI154,0),IF($AB154="RT",ROUND(Proyeccion_Localidades!BF154,0),"*****"))))</f>
        <v>7618</v>
      </c>
      <c r="M154" s="66">
        <f>IF($AB154="TGD",ROUND($E154*(1+$AD154)^(M$4-$E$4),0),IF($AB154="ALTH",ROUND($AE154+$AF154*M$4,0),IF($AB154="IR",ROUND(Proyeccion_Localidades!AJ154,0),IF($AB154="RT",ROUND(Proyeccion_Localidades!BG154,0),"*****"))))</f>
        <v>7670</v>
      </c>
      <c r="N154" s="66">
        <f>IF($AB154="TGD",ROUND($E154*(1+$AD154)^(N$4-$E$4),0),IF($AB154="ALTH",ROUND($AE154+$AF154*N$4,0),IF($AB154="IR",ROUND(Proyeccion_Localidades!AK154,0),IF($AB154="RT",ROUND(Proyeccion_Localidades!BH154,0),"*****"))))</f>
        <v>7723</v>
      </c>
      <c r="O154" s="66">
        <f>IF($AB154="TGD",ROUND($E154*(1+$AD154)^(O$4-$E$4),0),IF($AB154="ALTH",ROUND($AE154+$AF154*O$4,0),IF($AB154="IR",ROUND(Proyeccion_Localidades!AL154,0),IF($AB154="RT",ROUND(Proyeccion_Localidades!BI154,0),"*****"))))</f>
        <v>7776</v>
      </c>
      <c r="P154" s="66">
        <f>IF($AB154="TGD",ROUND($E154*(1+$AD154)^(P$4-$E$4),0),IF($AB154="ALTH",ROUND($AE154+$AF154*P$4,0),IF($AB154="IR",ROUND(Proyeccion_Localidades!AM154,0),IF($AB154="RT",ROUND(Proyeccion_Localidades!BJ154,0),"*****"))))</f>
        <v>7828</v>
      </c>
      <c r="Q154" s="66">
        <f>IF($AB154="TGD",ROUND($E154*(1+$AD154)^(Q$4-$E$4),0),IF($AB154="ALTH",ROUND($AE154+$AF154*Q$4,0),IF($AB154="IR",ROUND(Proyeccion_Localidades!AN154,0),IF($AB154="RT",ROUND(Proyeccion_Localidades!BK154,0),"*****"))))</f>
        <v>7881</v>
      </c>
      <c r="R154" s="66">
        <f>IF($AB154="TGD",ROUND($E154*(1+$AD154)^(R$4-$E$4),0),IF($AB154="ALTH",ROUND($AE154+$AF154*R$4,0),IF($AB154="IR",ROUND(Proyeccion_Localidades!AO154,0),IF($AB154="RT",ROUND(Proyeccion_Localidades!BL154,0),"*****"))))</f>
        <v>7934</v>
      </c>
      <c r="S154" s="66">
        <f>IF($AB154="TGD",ROUND($E154*(1+$AD154)^(S$4-$E$4),0),IF($AB154="ALTH",ROUND($AE154+$AF154*S$4,0),IF($AB154="IR",ROUND(Proyeccion_Localidades!AP154,0),IF($AB154="RT",ROUND(Proyeccion_Localidades!BM154,0),"*****"))))</f>
        <v>7986</v>
      </c>
      <c r="T154" s="66">
        <f>IF($AB154="TGD",ROUND($E154*(1+$AD154)^(T$4-$E$4),0),IF($AB154="ALTH",ROUND($AE154+$AF154*T$4,0),IF($AB154="IR",ROUND(Proyeccion_Localidades!AQ154,0),IF($AB154="RT",ROUND(Proyeccion_Localidades!BN154,0),"*****"))))</f>
        <v>8039</v>
      </c>
      <c r="U154" s="66">
        <f>IF($AB154="TGD",ROUND($E154*(1+$AD154)^(U$4-$E$4),0),IF($AB154="ALTH",ROUND($AE154+$AF154*U$4,0),IF($AB154="IR",ROUND(Proyeccion_Localidades!AR154,0),IF($AB154="RT",ROUND(Proyeccion_Localidades!BO154,0),"*****"))))</f>
        <v>8092</v>
      </c>
      <c r="V154" s="66">
        <f>IF($AB154="TGD",ROUND($E154*(1+$AD154)^(V$4-$E$4),0),IF($AB154="ALTH",ROUND($AE154+$AF154*V$4,0),IF($AB154="IR",ROUND(Proyeccion_Localidades!AS154,0),IF($AB154="RT",ROUND(Proyeccion_Localidades!BP154,0),"*****"))))</f>
        <v>8144</v>
      </c>
      <c r="W154" s="66">
        <f>IF($AB154="TGD",ROUND($E154*(1+$AD154)^(W$4-$E$4),0),IF($AB154="ALTH",ROUND($AE154+$AF154*W$4,0),IF($AB154="IR",ROUND(Proyeccion_Localidades!AT154,0),IF($AB154="RT",ROUND(Proyeccion_Localidades!BQ154,0),"*****"))))</f>
        <v>8197</v>
      </c>
      <c r="X154" s="66">
        <f>IF($AB154="TGD",ROUND($E154*(1+$AD154)^(X$4-$E$4),0),IF($AB154="ALTH",ROUND($AE154+$AF154*X$4,0),IF($AB154="IR",ROUND(Proyeccion_Localidades!AU154,0),IF($AB154="RT",ROUND(Proyeccion_Localidades!BR154,0),"*****"))))</f>
        <v>8250</v>
      </c>
      <c r="Y154" s="66">
        <f>IF($AB154="TGD",ROUND($E154*(1+$AD154)^(Y$4-$E$4),0),IF($AB154="ALTH",ROUND($AE154+$AF154*Y$4,0),IF($AB154="IR",ROUND(Proyeccion_Localidades!AV154,0),IF($AB154="RT",ROUND(Proyeccion_Localidades!BS154,0),"*****"))))</f>
        <v>8302</v>
      </c>
      <c r="Z154" s="66">
        <f>IF($AB154="TGD",ROUND($E154*(1+$AD154)^(Z$4-$E$4),0),IF($AB154="ALTH",ROUND($AE154+$AF154*Z$4,0),IF($AB154="IR",ROUND(Proyeccion_Localidades!AW154,0),IF($AB154="RT",ROUND(Proyeccion_Localidades!BT154,0),"*****"))))</f>
        <v>8355</v>
      </c>
      <c r="AA154" s="66">
        <f>IF($AB154="TGD",ROUND($E154*(1+$AD154)^(AA$4-$E$4),0),IF($AB154="ALTH",ROUND($AE154+$AF154*AA$4,0),IF($AB154="IR",ROUND(Proyeccion_Localidades!AX154,0),IF($AB154="RT",ROUND(Proyeccion_Localidades!BU154,0),"*****"))))</f>
        <v>8408</v>
      </c>
      <c r="AB154" s="67" t="str">
        <f>Proyeccion_Localidades!N154</f>
        <v>ALTH</v>
      </c>
      <c r="AC154" s="68" t="s">
        <v>36</v>
      </c>
      <c r="AD154" s="51" t="str">
        <f>IF(AB154="TGD",Proyeccion_Localidades!Z154,"-")</f>
        <v>-</v>
      </c>
      <c r="AE154" s="51">
        <f>IF($AB154="ALTH",Proyeccion_Localidades!AA154,"-")</f>
        <v>-99339.509225092261</v>
      </c>
      <c r="AF154" s="51">
        <f>IF($AB154="ALTH",Proyeccion_Localidades!AB154,"-")</f>
        <v>52.688191881918819</v>
      </c>
      <c r="AG154" s="81"/>
      <c r="AH154" s="81"/>
      <c r="AI154" s="96">
        <f t="shared" si="8"/>
        <v>7249</v>
      </c>
      <c r="AJ154" s="97"/>
      <c r="AK154" s="97"/>
      <c r="AL154" s="97"/>
      <c r="AO154" s="97"/>
      <c r="AP154" s="97"/>
      <c r="AQ154" s="97"/>
    </row>
    <row r="155" spans="1:43" s="98" customFormat="1" ht="24.95" customHeight="1">
      <c r="A155" s="84" t="str">
        <f>+Proyeccion_Localidades!C155</f>
        <v>General Arenales</v>
      </c>
      <c r="B155" s="70">
        <f t="shared" si="10"/>
        <v>142</v>
      </c>
      <c r="C155" s="87" t="str">
        <f>+Proyeccion_Localidades!B155</f>
        <v>Arribeños</v>
      </c>
      <c r="D155" s="261">
        <f t="shared" si="9"/>
        <v>142</v>
      </c>
      <c r="E155" s="72">
        <f>+Proyeccion_Localidades!F155</f>
        <v>2910</v>
      </c>
      <c r="F155" s="66">
        <f>IF($AB155="TGD",ROUND($E155*(1+$AD155)^(F$4-$E$4),0),IF($AB155="ALTH",ROUND($AE155+$AF155*F$4,0),IF($AB155="IR",ROUND(Proyeccion_Localidades!AC155,0),IF($AB155="RT",ROUND(Proyeccion_Localidades!AZ155,0),"*****"))))</f>
        <v>2969</v>
      </c>
      <c r="G155" s="66">
        <f>IF($AB155="TGD",ROUND($E155*(1+$AD155)^(G$4-$E$4),0),IF($AB155="ALTH",ROUND($AE155+$AF155*G$4,0),IF($AB155="IR",ROUND(Proyeccion_Localidades!AD155,0),IF($AB155="RT",ROUND(Proyeccion_Localidades!BA155,0),"*****"))))</f>
        <v>2975</v>
      </c>
      <c r="H155" s="66">
        <f>IF($AB155="TGD",ROUND($E155*(1+$AD155)^(H$4-$E$4),0),IF($AB155="ALTH",ROUND($AE155+$AF155*H$4,0),IF($AB155="IR",ROUND(Proyeccion_Localidades!AE155,0),IF($AB155="RT",ROUND(Proyeccion_Localidades!BB155,0),"*****"))))</f>
        <v>2995</v>
      </c>
      <c r="I155" s="66">
        <f>IF($AB155="TGD",ROUND($E155*(1+$AD155)^(I$4-$E$4),0),IF($AB155="ALTH",ROUND($AE155+$AF155*I$4,0),IF($AB155="IR",ROUND(Proyeccion_Localidades!AF155,0),IF($AB155="RT",ROUND(Proyeccion_Localidades!BC155,0),"*****"))))</f>
        <v>3001</v>
      </c>
      <c r="J155" s="66">
        <f>IF($AB155="TGD",ROUND($E155*(1+$AD155)^(J$4-$E$4),0),IF($AB155="ALTH",ROUND($AE155+$AF155*J$4,0),IF($AB155="IR",ROUND(Proyeccion_Localidades!AG155,0),IF($AB155="RT",ROUND(Proyeccion_Localidades!BD155,0),"*****"))))</f>
        <v>3008</v>
      </c>
      <c r="K155" s="66">
        <f>IF($AB155="TGD",ROUND($E155*(1+$AD155)^(K$4-$E$4),0),IF($AB155="ALTH",ROUND($AE155+$AF155*K$4,0),IF($AB155="IR",ROUND(Proyeccion_Localidades!AH155,0),IF($AB155="RT",ROUND(Proyeccion_Localidades!BE155,0),"*****"))))</f>
        <v>3014</v>
      </c>
      <c r="L155" s="66">
        <f>IF($AB155="TGD",ROUND($E155*(1+$AD155)^(L$4-$E$4),0),IF($AB155="ALTH",ROUND($AE155+$AF155*L$4,0),IF($AB155="IR",ROUND(Proyeccion_Localidades!AI155,0),IF($AB155="RT",ROUND(Proyeccion_Localidades!BF155,0),"*****"))))</f>
        <v>3021</v>
      </c>
      <c r="M155" s="66">
        <f>IF($AB155="TGD",ROUND($E155*(1+$AD155)^(M$4-$E$4),0),IF($AB155="ALTH",ROUND($AE155+$AF155*M$4,0),IF($AB155="IR",ROUND(Proyeccion_Localidades!AJ155,0),IF($AB155="RT",ROUND(Proyeccion_Localidades!BG155,0),"*****"))))</f>
        <v>3027</v>
      </c>
      <c r="N155" s="66">
        <f>IF($AB155="TGD",ROUND($E155*(1+$AD155)^(N$4-$E$4),0),IF($AB155="ALTH",ROUND($AE155+$AF155*N$4,0),IF($AB155="IR",ROUND(Proyeccion_Localidades!AK155,0),IF($AB155="RT",ROUND(Proyeccion_Localidades!BH155,0),"*****"))))</f>
        <v>3034</v>
      </c>
      <c r="O155" s="66">
        <f>IF($AB155="TGD",ROUND($E155*(1+$AD155)^(O$4-$E$4),0),IF($AB155="ALTH",ROUND($AE155+$AF155*O$4,0),IF($AB155="IR",ROUND(Proyeccion_Localidades!AL155,0),IF($AB155="RT",ROUND(Proyeccion_Localidades!BI155,0),"*****"))))</f>
        <v>3040</v>
      </c>
      <c r="P155" s="66">
        <f>IF($AB155="TGD",ROUND($E155*(1+$AD155)^(P$4-$E$4),0),IF($AB155="ALTH",ROUND($AE155+$AF155*P$4,0),IF($AB155="IR",ROUND(Proyeccion_Localidades!AM155,0),IF($AB155="RT",ROUND(Proyeccion_Localidades!BJ155,0),"*****"))))</f>
        <v>3047</v>
      </c>
      <c r="Q155" s="66">
        <f>IF($AB155="TGD",ROUND($E155*(1+$AD155)^(Q$4-$E$4),0),IF($AB155="ALTH",ROUND($AE155+$AF155*Q$4,0),IF($AB155="IR",ROUND(Proyeccion_Localidades!AN155,0),IF($AB155="RT",ROUND(Proyeccion_Localidades!BK155,0),"*****"))))</f>
        <v>3053</v>
      </c>
      <c r="R155" s="66">
        <f>IF($AB155="TGD",ROUND($E155*(1+$AD155)^(R$4-$E$4),0),IF($AB155="ALTH",ROUND($AE155+$AF155*R$4,0),IF($AB155="IR",ROUND(Proyeccion_Localidades!AO155,0),IF($AB155="RT",ROUND(Proyeccion_Localidades!BL155,0),"*****"))))</f>
        <v>3060</v>
      </c>
      <c r="S155" s="66">
        <f>IF($AB155="TGD",ROUND($E155*(1+$AD155)^(S$4-$E$4),0),IF($AB155="ALTH",ROUND($AE155+$AF155*S$4,0),IF($AB155="IR",ROUND(Proyeccion_Localidades!AP155,0),IF($AB155="RT",ROUND(Proyeccion_Localidades!BM155,0),"*****"))))</f>
        <v>3067</v>
      </c>
      <c r="T155" s="66">
        <f>IF($AB155="TGD",ROUND($E155*(1+$AD155)^(T$4-$E$4),0),IF($AB155="ALTH",ROUND($AE155+$AF155*T$4,0),IF($AB155="IR",ROUND(Proyeccion_Localidades!AQ155,0),IF($AB155="RT",ROUND(Proyeccion_Localidades!BN155,0),"*****"))))</f>
        <v>3073</v>
      </c>
      <c r="U155" s="66">
        <f>IF($AB155="TGD",ROUND($E155*(1+$AD155)^(U$4-$E$4),0),IF($AB155="ALTH",ROUND($AE155+$AF155*U$4,0),IF($AB155="IR",ROUND(Proyeccion_Localidades!AR155,0),IF($AB155="RT",ROUND(Proyeccion_Localidades!BO155,0),"*****"))))</f>
        <v>3080</v>
      </c>
      <c r="V155" s="66">
        <f>IF($AB155="TGD",ROUND($E155*(1+$AD155)^(V$4-$E$4),0),IF($AB155="ALTH",ROUND($AE155+$AF155*V$4,0),IF($AB155="IR",ROUND(Proyeccion_Localidades!AS155,0),IF($AB155="RT",ROUND(Proyeccion_Localidades!BP155,0),"*****"))))</f>
        <v>3086</v>
      </c>
      <c r="W155" s="66">
        <f>IF($AB155="TGD",ROUND($E155*(1+$AD155)^(W$4-$E$4),0),IF($AB155="ALTH",ROUND($AE155+$AF155*W$4,0),IF($AB155="IR",ROUND(Proyeccion_Localidades!AT155,0),IF($AB155="RT",ROUND(Proyeccion_Localidades!BQ155,0),"*****"))))</f>
        <v>3093</v>
      </c>
      <c r="X155" s="66">
        <f>IF($AB155="TGD",ROUND($E155*(1+$AD155)^(X$4-$E$4),0),IF($AB155="ALTH",ROUND($AE155+$AF155*X$4,0),IF($AB155="IR",ROUND(Proyeccion_Localidades!AU155,0),IF($AB155="RT",ROUND(Proyeccion_Localidades!BR155,0),"*****"))))</f>
        <v>3099</v>
      </c>
      <c r="Y155" s="66">
        <f>IF($AB155="TGD",ROUND($E155*(1+$AD155)^(Y$4-$E$4),0),IF($AB155="ALTH",ROUND($AE155+$AF155*Y$4,0),IF($AB155="IR",ROUND(Proyeccion_Localidades!AV155,0),IF($AB155="RT",ROUND(Proyeccion_Localidades!BS155,0),"*****"))))</f>
        <v>3106</v>
      </c>
      <c r="Z155" s="66">
        <f>IF($AB155="TGD",ROUND($E155*(1+$AD155)^(Z$4-$E$4),0),IF($AB155="ALTH",ROUND($AE155+$AF155*Z$4,0),IF($AB155="IR",ROUND(Proyeccion_Localidades!AW155,0),IF($AB155="RT",ROUND(Proyeccion_Localidades!BT155,0),"*****"))))</f>
        <v>3112</v>
      </c>
      <c r="AA155" s="66">
        <f>IF($AB155="TGD",ROUND($E155*(1+$AD155)^(AA$4-$E$4),0),IF($AB155="ALTH",ROUND($AE155+$AF155*AA$4,0),IF($AB155="IR",ROUND(Proyeccion_Localidades!AX155,0),IF($AB155="RT",ROUND(Proyeccion_Localidades!BU155,0),"*****"))))</f>
        <v>3119</v>
      </c>
      <c r="AB155" s="67" t="str">
        <f>Proyeccion_Localidades!N155</f>
        <v>ALTH</v>
      </c>
      <c r="AC155" s="68" t="s">
        <v>36</v>
      </c>
      <c r="AD155" s="51" t="str">
        <f>IF(AB155="TGD",Proyeccion_Localidades!Z155,"-")</f>
        <v>-</v>
      </c>
      <c r="AE155" s="51">
        <f>IF($AB155="ALTH",Proyeccion_Localidades!AA155,"-")</f>
        <v>-10230.369003690037</v>
      </c>
      <c r="AF155" s="51">
        <f>IF($AB155="ALTH",Proyeccion_Localidades!AB155,"-")</f>
        <v>6.5276752767527677</v>
      </c>
      <c r="AG155" s="81"/>
      <c r="AH155" s="81"/>
      <c r="AI155" s="96">
        <f t="shared" si="8"/>
        <v>2975</v>
      </c>
      <c r="AJ155" s="97"/>
      <c r="AK155" s="97"/>
      <c r="AL155" s="97"/>
      <c r="AO155" s="97"/>
      <c r="AP155" s="97"/>
      <c r="AQ155" s="97"/>
    </row>
    <row r="156" spans="1:43" s="98" customFormat="1" ht="24.95" customHeight="1">
      <c r="A156" s="84" t="str">
        <f>+Proyeccion_Localidades!C156</f>
        <v>General Arenales</v>
      </c>
      <c r="B156" s="70">
        <f t="shared" si="10"/>
        <v>143</v>
      </c>
      <c r="C156" s="87" t="str">
        <f>+Proyeccion_Localidades!B156</f>
        <v>Ascensión</v>
      </c>
      <c r="D156" s="261">
        <f t="shared" si="9"/>
        <v>143</v>
      </c>
      <c r="E156" s="72">
        <f>+Proyeccion_Localidades!F156</f>
        <v>4179</v>
      </c>
      <c r="F156" s="66">
        <f>IF($AB156="TGD",ROUND($E156*(1+$AD156)^(F$4-$E$4),0),IF($AB156="ALTH",ROUND($AE156+$AF156*F$4,0),IF($AB156="IR",ROUND(Proyeccion_Localidades!AC156,0),IF($AB156="RT",ROUND(Proyeccion_Localidades!AZ156,0),"*****"))))</f>
        <v>4348</v>
      </c>
      <c r="G156" s="66">
        <f>IF($AB156="TGD",ROUND($E156*(1+$AD156)^(G$4-$E$4),0),IF($AB156="ALTH",ROUND($AE156+$AF156*G$4,0),IF($AB156="IR",ROUND(Proyeccion_Localidades!AD156,0),IF($AB156="RT",ROUND(Proyeccion_Localidades!BA156,0),"*****"))))</f>
        <v>4361</v>
      </c>
      <c r="H156" s="66">
        <f>IF($AB156="TGD",ROUND($E156*(1+$AD156)^(H$4-$E$4),0),IF($AB156="ALTH",ROUND($AE156+$AF156*H$4,0),IF($AB156="IR",ROUND(Proyeccion_Localidades!AE156,0),IF($AB156="RT",ROUND(Proyeccion_Localidades!BB156,0),"*****"))))</f>
        <v>4400</v>
      </c>
      <c r="I156" s="66">
        <f>IF($AB156="TGD",ROUND($E156*(1+$AD156)^(I$4-$E$4),0),IF($AB156="ALTH",ROUND($AE156+$AF156*I$4,0),IF($AB156="IR",ROUND(Proyeccion_Localidades!AF156,0),IF($AB156="RT",ROUND(Proyeccion_Localidades!BC156,0),"*****"))))</f>
        <v>4413</v>
      </c>
      <c r="J156" s="66">
        <f>IF($AB156="TGD",ROUND($E156*(1+$AD156)^(J$4-$E$4),0),IF($AB156="ALTH",ROUND($AE156+$AF156*J$4,0),IF($AB156="IR",ROUND(Proyeccion_Localidades!AG156,0),IF($AB156="RT",ROUND(Proyeccion_Localidades!BD156,0),"*****"))))</f>
        <v>4425</v>
      </c>
      <c r="K156" s="66">
        <f>IF($AB156="TGD",ROUND($E156*(1+$AD156)^(K$4-$E$4),0),IF($AB156="ALTH",ROUND($AE156+$AF156*K$4,0),IF($AB156="IR",ROUND(Proyeccion_Localidades!AH156,0),IF($AB156="RT",ROUND(Proyeccion_Localidades!BE156,0),"*****"))))</f>
        <v>4438</v>
      </c>
      <c r="L156" s="66">
        <f>IF($AB156="TGD",ROUND($E156*(1+$AD156)^(L$4-$E$4),0),IF($AB156="ALTH",ROUND($AE156+$AF156*L$4,0),IF($AB156="IR",ROUND(Proyeccion_Localidades!AI156,0),IF($AB156="RT",ROUND(Proyeccion_Localidades!BF156,0),"*****"))))</f>
        <v>4451</v>
      </c>
      <c r="M156" s="66">
        <f>IF($AB156="TGD",ROUND($E156*(1+$AD156)^(M$4-$E$4),0),IF($AB156="ALTH",ROUND($AE156+$AF156*M$4,0),IF($AB156="IR",ROUND(Proyeccion_Localidades!AJ156,0),IF($AB156="RT",ROUND(Proyeccion_Localidades!BG156,0),"*****"))))</f>
        <v>4464</v>
      </c>
      <c r="N156" s="66">
        <f>IF($AB156="TGD",ROUND($E156*(1+$AD156)^(N$4-$E$4),0),IF($AB156="ALTH",ROUND($AE156+$AF156*N$4,0),IF($AB156="IR",ROUND(Proyeccion_Localidades!AK156,0),IF($AB156="RT",ROUND(Proyeccion_Localidades!BH156,0),"*****"))))</f>
        <v>4477</v>
      </c>
      <c r="O156" s="66">
        <f>IF($AB156="TGD",ROUND($E156*(1+$AD156)^(O$4-$E$4),0),IF($AB156="ALTH",ROUND($AE156+$AF156*O$4,0),IF($AB156="IR",ROUND(Proyeccion_Localidades!AL156,0),IF($AB156="RT",ROUND(Proyeccion_Localidades!BI156,0),"*****"))))</f>
        <v>4489</v>
      </c>
      <c r="P156" s="66">
        <f>IF($AB156="TGD",ROUND($E156*(1+$AD156)^(P$4-$E$4),0),IF($AB156="ALTH",ROUND($AE156+$AF156*P$4,0),IF($AB156="IR",ROUND(Proyeccion_Localidades!AM156,0),IF($AB156="RT",ROUND(Proyeccion_Localidades!BJ156,0),"*****"))))</f>
        <v>4502</v>
      </c>
      <c r="Q156" s="66">
        <f>IF($AB156="TGD",ROUND($E156*(1+$AD156)^(Q$4-$E$4),0),IF($AB156="ALTH",ROUND($AE156+$AF156*Q$4,0),IF($AB156="IR",ROUND(Proyeccion_Localidades!AN156,0),IF($AB156="RT",ROUND(Proyeccion_Localidades!BK156,0),"*****"))))</f>
        <v>4515</v>
      </c>
      <c r="R156" s="66">
        <f>IF($AB156="TGD",ROUND($E156*(1+$AD156)^(R$4-$E$4),0),IF($AB156="ALTH",ROUND($AE156+$AF156*R$4,0),IF($AB156="IR",ROUND(Proyeccion_Localidades!AO156,0),IF($AB156="RT",ROUND(Proyeccion_Localidades!BL156,0),"*****"))))</f>
        <v>4528</v>
      </c>
      <c r="S156" s="66">
        <f>IF($AB156="TGD",ROUND($E156*(1+$AD156)^(S$4-$E$4),0),IF($AB156="ALTH",ROUND($AE156+$AF156*S$4,0),IF($AB156="IR",ROUND(Proyeccion_Localidades!AP156,0),IF($AB156="RT",ROUND(Proyeccion_Localidades!BM156,0),"*****"))))</f>
        <v>4541</v>
      </c>
      <c r="T156" s="66">
        <f>IF($AB156="TGD",ROUND($E156*(1+$AD156)^(T$4-$E$4),0),IF($AB156="ALTH",ROUND($AE156+$AF156*T$4,0),IF($AB156="IR",ROUND(Proyeccion_Localidades!AQ156,0),IF($AB156="RT",ROUND(Proyeccion_Localidades!BN156,0),"*****"))))</f>
        <v>4554</v>
      </c>
      <c r="U156" s="66">
        <f>IF($AB156="TGD",ROUND($E156*(1+$AD156)^(U$4-$E$4),0),IF($AB156="ALTH",ROUND($AE156+$AF156*U$4,0),IF($AB156="IR",ROUND(Proyeccion_Localidades!AR156,0),IF($AB156="RT",ROUND(Proyeccion_Localidades!BO156,0),"*****"))))</f>
        <v>4566</v>
      </c>
      <c r="V156" s="66">
        <f>IF($AB156="TGD",ROUND($E156*(1+$AD156)^(V$4-$E$4),0),IF($AB156="ALTH",ROUND($AE156+$AF156*V$4,0),IF($AB156="IR",ROUND(Proyeccion_Localidades!AS156,0),IF($AB156="RT",ROUND(Proyeccion_Localidades!BP156,0),"*****"))))</f>
        <v>4579</v>
      </c>
      <c r="W156" s="66">
        <f>IF($AB156="TGD",ROUND($E156*(1+$AD156)^(W$4-$E$4),0),IF($AB156="ALTH",ROUND($AE156+$AF156*W$4,0),IF($AB156="IR",ROUND(Proyeccion_Localidades!AT156,0),IF($AB156="RT",ROUND(Proyeccion_Localidades!BQ156,0),"*****"))))</f>
        <v>4592</v>
      </c>
      <c r="X156" s="66">
        <f>IF($AB156="TGD",ROUND($E156*(1+$AD156)^(X$4-$E$4),0),IF($AB156="ALTH",ROUND($AE156+$AF156*X$4,0),IF($AB156="IR",ROUND(Proyeccion_Localidades!AU156,0),IF($AB156="RT",ROUND(Proyeccion_Localidades!BR156,0),"*****"))))</f>
        <v>4605</v>
      </c>
      <c r="Y156" s="66">
        <f>IF($AB156="TGD",ROUND($E156*(1+$AD156)^(Y$4-$E$4),0),IF($AB156="ALTH",ROUND($AE156+$AF156*Y$4,0),IF($AB156="IR",ROUND(Proyeccion_Localidades!AV156,0),IF($AB156="RT",ROUND(Proyeccion_Localidades!BS156,0),"*****"))))</f>
        <v>4618</v>
      </c>
      <c r="Z156" s="66">
        <f>IF($AB156="TGD",ROUND($E156*(1+$AD156)^(Z$4-$E$4),0),IF($AB156="ALTH",ROUND($AE156+$AF156*Z$4,0),IF($AB156="IR",ROUND(Proyeccion_Localidades!AW156,0),IF($AB156="RT",ROUND(Proyeccion_Localidades!BT156,0),"*****"))))</f>
        <v>4630</v>
      </c>
      <c r="AA156" s="66">
        <f>IF($AB156="TGD",ROUND($E156*(1+$AD156)^(AA$4-$E$4),0),IF($AB156="ALTH",ROUND($AE156+$AF156*AA$4,0),IF($AB156="IR",ROUND(Proyeccion_Localidades!AX156,0),IF($AB156="RT",ROUND(Proyeccion_Localidades!BU156,0),"*****"))))</f>
        <v>4643</v>
      </c>
      <c r="AB156" s="67" t="str">
        <f>Proyeccion_Localidades!N156</f>
        <v>ALTH</v>
      </c>
      <c r="AC156" s="68" t="s">
        <v>36</v>
      </c>
      <c r="AD156" s="51" t="str">
        <f>IF(AB156="TGD",Proyeccion_Localidades!Z156,"-")</f>
        <v>-</v>
      </c>
      <c r="AE156" s="51">
        <f>IF($AB156="ALTH",Proyeccion_Localidades!AA156,"-")</f>
        <v>-21571.922509225093</v>
      </c>
      <c r="AF156" s="51">
        <f>IF($AB156="ALTH",Proyeccion_Localidades!AB156,"-")</f>
        <v>12.819188191881919</v>
      </c>
      <c r="AG156" s="81"/>
      <c r="AH156" s="81"/>
      <c r="AI156" s="96">
        <f t="shared" si="8"/>
        <v>4361</v>
      </c>
      <c r="AJ156" s="97"/>
      <c r="AK156" s="97"/>
      <c r="AL156" s="97"/>
      <c r="AO156" s="97"/>
      <c r="AP156" s="97"/>
      <c r="AQ156" s="97"/>
    </row>
    <row r="157" spans="1:43" s="98" customFormat="1" ht="24.95" customHeight="1">
      <c r="A157" s="84" t="str">
        <f>+Proyeccion_Localidades!C157</f>
        <v>General Guido</v>
      </c>
      <c r="B157" s="70">
        <f t="shared" si="10"/>
        <v>144</v>
      </c>
      <c r="C157" s="87" t="str">
        <f>+Proyeccion_Localidades!B157</f>
        <v>Labarden</v>
      </c>
      <c r="D157" s="261">
        <f t="shared" si="9"/>
        <v>144</v>
      </c>
      <c r="E157" s="72">
        <f>+Proyeccion_Localidades!F157</f>
        <v>799</v>
      </c>
      <c r="F157" s="66">
        <f>IF($AB157="TGD",ROUND($E157*(1+$AD157)^(F$4-$E$4),0),IF($AB157="ALTH",ROUND($AE157+$AF157*F$4,0),IF($AB157="IR",ROUND(Proyeccion_Localidades!AC157,0),IF($AB157="RT",ROUND(Proyeccion_Localidades!AZ157,0),"*****"))))</f>
        <v>773</v>
      </c>
      <c r="G157" s="66">
        <f>IF($AB157="TGD",ROUND($E157*(1+$AD157)^(G$4-$E$4),0),IF($AB157="ALTH",ROUND($AE157+$AF157*G$4,0),IF($AB157="IR",ROUND(Proyeccion_Localidades!AD157,0),IF($AB157="RT",ROUND(Proyeccion_Localidades!BA157,0),"*****"))))</f>
        <v>771</v>
      </c>
      <c r="H157" s="66">
        <f>IF($AB157="TGD",ROUND($E157*(1+$AD157)^(H$4-$E$4),0),IF($AB157="ALTH",ROUND($AE157+$AF157*H$4,0),IF($AB157="IR",ROUND(Proyeccion_Localidades!AE157,0),IF($AB157="RT",ROUND(Proyeccion_Localidades!BB157,0),"*****"))))</f>
        <v>765</v>
      </c>
      <c r="I157" s="66">
        <f>IF($AB157="TGD",ROUND($E157*(1+$AD157)^(I$4-$E$4),0),IF($AB157="ALTH",ROUND($AE157+$AF157*I$4,0),IF($AB157="IR",ROUND(Proyeccion_Localidades!AF157,0),IF($AB157="RT",ROUND(Proyeccion_Localidades!BC157,0),"*****"))))</f>
        <v>763</v>
      </c>
      <c r="J157" s="66">
        <f>IF($AB157="TGD",ROUND($E157*(1+$AD157)^(J$4-$E$4),0),IF($AB157="ALTH",ROUND($AE157+$AF157*J$4,0),IF($AB157="IR",ROUND(Proyeccion_Localidades!AG157,0),IF($AB157="RT",ROUND(Proyeccion_Localidades!BD157,0),"*****"))))</f>
        <v>760</v>
      </c>
      <c r="K157" s="66">
        <f>IF($AB157="TGD",ROUND($E157*(1+$AD157)^(K$4-$E$4),0),IF($AB157="ALTH",ROUND($AE157+$AF157*K$4,0),IF($AB157="IR",ROUND(Proyeccion_Localidades!AH157,0),IF($AB157="RT",ROUND(Proyeccion_Localidades!BE157,0),"*****"))))</f>
        <v>758</v>
      </c>
      <c r="L157" s="66">
        <f>IF($AB157="TGD",ROUND($E157*(1+$AD157)^(L$4-$E$4),0),IF($AB157="ALTH",ROUND($AE157+$AF157*L$4,0),IF($AB157="IR",ROUND(Proyeccion_Localidades!AI157,0),IF($AB157="RT",ROUND(Proyeccion_Localidades!BF157,0),"*****"))))</f>
        <v>756</v>
      </c>
      <c r="M157" s="66">
        <f>IF($AB157="TGD",ROUND($E157*(1+$AD157)^(M$4-$E$4),0),IF($AB157="ALTH",ROUND($AE157+$AF157*M$4,0),IF($AB157="IR",ROUND(Proyeccion_Localidades!AJ157,0),IF($AB157="RT",ROUND(Proyeccion_Localidades!BG157,0),"*****"))))</f>
        <v>754</v>
      </c>
      <c r="N157" s="66">
        <f>IF($AB157="TGD",ROUND($E157*(1+$AD157)^(N$4-$E$4),0),IF($AB157="ALTH",ROUND($AE157+$AF157*N$4,0),IF($AB157="IR",ROUND(Proyeccion_Localidades!AK157,0),IF($AB157="RT",ROUND(Proyeccion_Localidades!BH157,0),"*****"))))</f>
        <v>752</v>
      </c>
      <c r="O157" s="66">
        <f>IF($AB157="TGD",ROUND($E157*(1+$AD157)^(O$4-$E$4),0),IF($AB157="ALTH",ROUND($AE157+$AF157*O$4,0),IF($AB157="IR",ROUND(Proyeccion_Localidades!AL157,0),IF($AB157="RT",ROUND(Proyeccion_Localidades!BI157,0),"*****"))))</f>
        <v>750</v>
      </c>
      <c r="P157" s="66">
        <f>IF($AB157="TGD",ROUND($E157*(1+$AD157)^(P$4-$E$4),0),IF($AB157="ALTH",ROUND($AE157+$AF157*P$4,0),IF($AB157="IR",ROUND(Proyeccion_Localidades!AM157,0),IF($AB157="RT",ROUND(Proyeccion_Localidades!BJ157,0),"*****"))))</f>
        <v>748</v>
      </c>
      <c r="Q157" s="66">
        <f>IF($AB157="TGD",ROUND($E157*(1+$AD157)^(Q$4-$E$4),0),IF($AB157="ALTH",ROUND($AE157+$AF157*Q$4,0),IF($AB157="IR",ROUND(Proyeccion_Localidades!AN157,0),IF($AB157="RT",ROUND(Proyeccion_Localidades!BK157,0),"*****"))))</f>
        <v>746</v>
      </c>
      <c r="R157" s="66">
        <f>IF($AB157="TGD",ROUND($E157*(1+$AD157)^(R$4-$E$4),0),IF($AB157="ALTH",ROUND($AE157+$AF157*R$4,0),IF($AB157="IR",ROUND(Proyeccion_Localidades!AO157,0),IF($AB157="RT",ROUND(Proyeccion_Localidades!BL157,0),"*****"))))</f>
        <v>744</v>
      </c>
      <c r="S157" s="66">
        <f>IF($AB157="TGD",ROUND($E157*(1+$AD157)^(S$4-$E$4),0),IF($AB157="ALTH",ROUND($AE157+$AF157*S$4,0),IF($AB157="IR",ROUND(Proyeccion_Localidades!AP157,0),IF($AB157="RT",ROUND(Proyeccion_Localidades!BM157,0),"*****"))))</f>
        <v>742</v>
      </c>
      <c r="T157" s="66">
        <f>IF($AB157="TGD",ROUND($E157*(1+$AD157)^(T$4-$E$4),0),IF($AB157="ALTH",ROUND($AE157+$AF157*T$4,0),IF($AB157="IR",ROUND(Proyeccion_Localidades!AQ157,0),IF($AB157="RT",ROUND(Proyeccion_Localidades!BN157,0),"*****"))))</f>
        <v>740</v>
      </c>
      <c r="U157" s="66">
        <f>IF($AB157="TGD",ROUND($E157*(1+$AD157)^(U$4-$E$4),0),IF($AB157="ALTH",ROUND($AE157+$AF157*U$4,0),IF($AB157="IR",ROUND(Proyeccion_Localidades!AR157,0),IF($AB157="RT",ROUND(Proyeccion_Localidades!BO157,0),"*****"))))</f>
        <v>738</v>
      </c>
      <c r="V157" s="66">
        <f>IF($AB157="TGD",ROUND($E157*(1+$AD157)^(V$4-$E$4),0),IF($AB157="ALTH",ROUND($AE157+$AF157*V$4,0),IF($AB157="IR",ROUND(Proyeccion_Localidades!AS157,0),IF($AB157="RT",ROUND(Proyeccion_Localidades!BP157,0),"*****"))))</f>
        <v>736</v>
      </c>
      <c r="W157" s="66">
        <f>IF($AB157="TGD",ROUND($E157*(1+$AD157)^(W$4-$E$4),0),IF($AB157="ALTH",ROUND($AE157+$AF157*W$4,0),IF($AB157="IR",ROUND(Proyeccion_Localidades!AT157,0),IF($AB157="RT",ROUND(Proyeccion_Localidades!BQ157,0),"*****"))))</f>
        <v>734</v>
      </c>
      <c r="X157" s="66">
        <f>IF($AB157="TGD",ROUND($E157*(1+$AD157)^(X$4-$E$4),0),IF($AB157="ALTH",ROUND($AE157+$AF157*X$4,0),IF($AB157="IR",ROUND(Proyeccion_Localidades!AU157,0),IF($AB157="RT",ROUND(Proyeccion_Localidades!BR157,0),"*****"))))</f>
        <v>732</v>
      </c>
      <c r="Y157" s="66">
        <f>IF($AB157="TGD",ROUND($E157*(1+$AD157)^(Y$4-$E$4),0),IF($AB157="ALTH",ROUND($AE157+$AF157*Y$4,0),IF($AB157="IR",ROUND(Proyeccion_Localidades!AV157,0),IF($AB157="RT",ROUND(Proyeccion_Localidades!BS157,0),"*****"))))</f>
        <v>730</v>
      </c>
      <c r="Z157" s="66">
        <f>IF($AB157="TGD",ROUND($E157*(1+$AD157)^(Z$4-$E$4),0),IF($AB157="ALTH",ROUND($AE157+$AF157*Z$4,0),IF($AB157="IR",ROUND(Proyeccion_Localidades!AW157,0),IF($AB157="RT",ROUND(Proyeccion_Localidades!BT157,0),"*****"))))</f>
        <v>728</v>
      </c>
      <c r="AA157" s="66">
        <f>IF($AB157="TGD",ROUND($E157*(1+$AD157)^(AA$4-$E$4),0),IF($AB157="ALTH",ROUND($AE157+$AF157*AA$4,0),IF($AB157="IR",ROUND(Proyeccion_Localidades!AX157,0),IF($AB157="RT",ROUND(Proyeccion_Localidades!BU157,0),"*****"))))</f>
        <v>726</v>
      </c>
      <c r="AB157" s="100" t="str">
        <f>Proyeccion_Localidades!N157</f>
        <v>TGD</v>
      </c>
      <c r="AC157" s="68" t="s">
        <v>35</v>
      </c>
      <c r="AD157" s="51">
        <f>IF(AB157="TGD",Proyeccion_Localidades!Z157,"-")</f>
        <v>-2.7432457488308915E-3</v>
      </c>
      <c r="AE157" s="51" t="str">
        <f>IF($AB157="ALTH",Proyeccion_Localidades!AA157,"-")</f>
        <v>-</v>
      </c>
      <c r="AF157" s="51" t="str">
        <f>IF($AB157="ALTH",Proyeccion_Localidades!AB157,"-")</f>
        <v>-</v>
      </c>
      <c r="AG157" s="81"/>
      <c r="AH157" s="81"/>
      <c r="AI157" s="96">
        <f t="shared" si="8"/>
        <v>771</v>
      </c>
      <c r="AJ157" s="97"/>
      <c r="AK157" s="97"/>
      <c r="AL157" s="97"/>
      <c r="AO157" s="97"/>
      <c r="AP157" s="97"/>
      <c r="AQ157" s="97"/>
    </row>
    <row r="158" spans="1:43" s="98" customFormat="1" ht="24.95" customHeight="1">
      <c r="A158" s="84" t="str">
        <f>+Proyeccion_Localidades!C158</f>
        <v>General Lavalle</v>
      </c>
      <c r="B158" s="70">
        <f t="shared" si="10"/>
        <v>145</v>
      </c>
      <c r="C158" s="87" t="str">
        <f>+Proyeccion_Localidades!B158</f>
        <v>Pavón</v>
      </c>
      <c r="D158" s="261">
        <f t="shared" si="9"/>
        <v>145</v>
      </c>
      <c r="E158" s="72">
        <f>+Proyeccion_Localidades!F158</f>
        <v>942</v>
      </c>
      <c r="F158" s="66">
        <f>IF($AB158="TGD",ROUND($E158*(1+$AD158)^(F$4-$E$4),0),IF($AB158="ALTH",ROUND($AE158+$AF158*F$4,0),IF($AB158="IR",ROUND(Proyeccion_Localidades!AC158,0),IF($AB158="RT",ROUND(Proyeccion_Localidades!AZ158,0),"*****"))))</f>
        <v>1250</v>
      </c>
      <c r="G158" s="66">
        <f>IF($AB158="TGD",ROUND($E158*(1+$AD158)^(G$4-$E$4),0),IF($AB158="ALTH",ROUND($AE158+$AF158*G$4,0),IF($AB158="IR",ROUND(Proyeccion_Localidades!AD158,0),IF($AB158="RT",ROUND(Proyeccion_Localidades!BA158,0),"*****"))))</f>
        <v>1280</v>
      </c>
      <c r="H158" s="66">
        <f>IF($AB158="TGD",ROUND($E158*(1+$AD158)^(H$4-$E$4),0),IF($AB158="ALTH",ROUND($AE158+$AF158*H$4,0),IF($AB158="IR",ROUND(Proyeccion_Localidades!AE158,0),IF($AB158="RT",ROUND(Proyeccion_Localidades!BB158,0),"*****"))))</f>
        <v>1373</v>
      </c>
      <c r="I158" s="66">
        <f>IF($AB158="TGD",ROUND($E158*(1+$AD158)^(I$4-$E$4),0),IF($AB158="ALTH",ROUND($AE158+$AF158*I$4,0),IF($AB158="IR",ROUND(Proyeccion_Localidades!AF158,0),IF($AB158="RT",ROUND(Proyeccion_Localidades!BC158,0),"*****"))))</f>
        <v>1406</v>
      </c>
      <c r="J158" s="66">
        <f>IF($AB158="TGD",ROUND($E158*(1+$AD158)^(J$4-$E$4),0),IF($AB158="ALTH",ROUND($AE158+$AF158*J$4,0),IF($AB158="IR",ROUND(Proyeccion_Localidades!AG158,0),IF($AB158="RT",ROUND(Proyeccion_Localidades!BD158,0),"*****"))))</f>
        <v>1440</v>
      </c>
      <c r="K158" s="66">
        <f>IF($AB158="TGD",ROUND($E158*(1+$AD158)^(K$4-$E$4),0),IF($AB158="ALTH",ROUND($AE158+$AF158*K$4,0),IF($AB158="IR",ROUND(Proyeccion_Localidades!AH158,0),IF($AB158="RT",ROUND(Proyeccion_Localidades!BE158,0),"*****"))))</f>
        <v>1474</v>
      </c>
      <c r="L158" s="66">
        <f>IF($AB158="TGD",ROUND($E158*(1+$AD158)^(L$4-$E$4),0),IF($AB158="ALTH",ROUND($AE158+$AF158*L$4,0),IF($AB158="IR",ROUND(Proyeccion_Localidades!AI158,0),IF($AB158="RT",ROUND(Proyeccion_Localidades!BF158,0),"*****"))))</f>
        <v>1509</v>
      </c>
      <c r="M158" s="66">
        <f>IF($AB158="TGD",ROUND($E158*(1+$AD158)^(M$4-$E$4),0),IF($AB158="ALTH",ROUND($AE158+$AF158*M$4,0),IF($AB158="IR",ROUND(Proyeccion_Localidades!AJ158,0),IF($AB158="RT",ROUND(Proyeccion_Localidades!BG158,0),"*****"))))</f>
        <v>1545</v>
      </c>
      <c r="N158" s="66">
        <f>IF($AB158="TGD",ROUND($E158*(1+$AD158)^(N$4-$E$4),0),IF($AB158="ALTH",ROUND($AE158+$AF158*N$4,0),IF($AB158="IR",ROUND(Proyeccion_Localidades!AK158,0),IF($AB158="RT",ROUND(Proyeccion_Localidades!BH158,0),"*****"))))</f>
        <v>1582</v>
      </c>
      <c r="O158" s="66">
        <f>IF($AB158="TGD",ROUND($E158*(1+$AD158)^(O$4-$E$4),0),IF($AB158="ALTH",ROUND($AE158+$AF158*O$4,0),IF($AB158="IR",ROUND(Proyeccion_Localidades!AL158,0),IF($AB158="RT",ROUND(Proyeccion_Localidades!BI158,0),"*****"))))</f>
        <v>1620</v>
      </c>
      <c r="P158" s="66">
        <f>IF($AB158="TGD",ROUND($E158*(1+$AD158)^(P$4-$E$4),0),IF($AB158="ALTH",ROUND($AE158+$AF158*P$4,0),IF($AB158="IR",ROUND(Proyeccion_Localidades!AM158,0),IF($AB158="RT",ROUND(Proyeccion_Localidades!BJ158,0),"*****"))))</f>
        <v>1658</v>
      </c>
      <c r="Q158" s="66">
        <f>IF($AB158="TGD",ROUND($E158*(1+$AD158)^(Q$4-$E$4),0),IF($AB158="ALTH",ROUND($AE158+$AF158*Q$4,0),IF($AB158="IR",ROUND(Proyeccion_Localidades!AN158,0),IF($AB158="RT",ROUND(Proyeccion_Localidades!BK158,0),"*****"))))</f>
        <v>1698</v>
      </c>
      <c r="R158" s="66">
        <f>IF($AB158="TGD",ROUND($E158*(1+$AD158)^(R$4-$E$4),0),IF($AB158="ALTH",ROUND($AE158+$AF158*R$4,0),IF($AB158="IR",ROUND(Proyeccion_Localidades!AO158,0),IF($AB158="RT",ROUND(Proyeccion_Localidades!BL158,0),"*****"))))</f>
        <v>1738</v>
      </c>
      <c r="S158" s="66">
        <f>IF($AB158="TGD",ROUND($E158*(1+$AD158)^(S$4-$E$4),0),IF($AB158="ALTH",ROUND($AE158+$AF158*S$4,0),IF($AB158="IR",ROUND(Proyeccion_Localidades!AP158,0),IF($AB158="RT",ROUND(Proyeccion_Localidades!BM158,0),"*****"))))</f>
        <v>1780</v>
      </c>
      <c r="T158" s="66">
        <f>IF($AB158="TGD",ROUND($E158*(1+$AD158)^(T$4-$E$4),0),IF($AB158="ALTH",ROUND($AE158+$AF158*T$4,0),IF($AB158="IR",ROUND(Proyeccion_Localidades!AQ158,0),IF($AB158="RT",ROUND(Proyeccion_Localidades!BN158,0),"*****"))))</f>
        <v>1822</v>
      </c>
      <c r="U158" s="66">
        <f>IF($AB158="TGD",ROUND($E158*(1+$AD158)^(U$4-$E$4),0),IF($AB158="ALTH",ROUND($AE158+$AF158*U$4,0),IF($AB158="IR",ROUND(Proyeccion_Localidades!AR158,0),IF($AB158="RT",ROUND(Proyeccion_Localidades!BO158,0),"*****"))))</f>
        <v>1866</v>
      </c>
      <c r="V158" s="66">
        <f>IF($AB158="TGD",ROUND($E158*(1+$AD158)^(V$4-$E$4),0),IF($AB158="ALTH",ROUND($AE158+$AF158*V$4,0),IF($AB158="IR",ROUND(Proyeccion_Localidades!AS158,0),IF($AB158="RT",ROUND(Proyeccion_Localidades!BP158,0),"*****"))))</f>
        <v>1910</v>
      </c>
      <c r="W158" s="66">
        <f>IF($AB158="TGD",ROUND($E158*(1+$AD158)^(W$4-$E$4),0),IF($AB158="ALTH",ROUND($AE158+$AF158*W$4,0),IF($AB158="IR",ROUND(Proyeccion_Localidades!AT158,0),IF($AB158="RT",ROUND(Proyeccion_Localidades!BQ158,0),"*****"))))</f>
        <v>1956</v>
      </c>
      <c r="X158" s="66">
        <f>IF($AB158="TGD",ROUND($E158*(1+$AD158)^(X$4-$E$4),0),IF($AB158="ALTH",ROUND($AE158+$AF158*X$4,0),IF($AB158="IR",ROUND(Proyeccion_Localidades!AU158,0),IF($AB158="RT",ROUND(Proyeccion_Localidades!BR158,0),"*****"))))</f>
        <v>2002</v>
      </c>
      <c r="Y158" s="66">
        <f>IF($AB158="TGD",ROUND($E158*(1+$AD158)^(Y$4-$E$4),0),IF($AB158="ALTH",ROUND($AE158+$AF158*Y$4,0),IF($AB158="IR",ROUND(Proyeccion_Localidades!AV158,0),IF($AB158="RT",ROUND(Proyeccion_Localidades!BS158,0),"*****"))))</f>
        <v>2050</v>
      </c>
      <c r="Z158" s="66">
        <f>IF($AB158="TGD",ROUND($E158*(1+$AD158)^(Z$4-$E$4),0),IF($AB158="ALTH",ROUND($AE158+$AF158*Z$4,0),IF($AB158="IR",ROUND(Proyeccion_Localidades!AW158,0),IF($AB158="RT",ROUND(Proyeccion_Localidades!BT158,0),"*****"))))</f>
        <v>2099</v>
      </c>
      <c r="AA158" s="66">
        <f>IF($AB158="TGD",ROUND($E158*(1+$AD158)^(AA$4-$E$4),0),IF($AB158="ALTH",ROUND($AE158+$AF158*AA$4,0),IF($AB158="IR",ROUND(Proyeccion_Localidades!AX158,0),IF($AB158="RT",ROUND(Proyeccion_Localidades!BU158,0),"*****"))))</f>
        <v>2149</v>
      </c>
      <c r="AB158" s="100" t="str">
        <f>Proyeccion_Localidades!N158</f>
        <v>TGD</v>
      </c>
      <c r="AC158" s="68" t="s">
        <v>35</v>
      </c>
      <c r="AD158" s="51">
        <f>IF(AB158="TGD",Proyeccion_Localidades!Z158,"-")</f>
        <v>2.384185875005751E-2</v>
      </c>
      <c r="AE158" s="51" t="str">
        <f>IF($AB158="ALTH",Proyeccion_Localidades!AA158,"-")</f>
        <v>-</v>
      </c>
      <c r="AF158" s="51" t="str">
        <f>IF($AB158="ALTH",Proyeccion_Localidades!AB158,"-")</f>
        <v>-</v>
      </c>
      <c r="AG158" s="81"/>
      <c r="AH158" s="81"/>
      <c r="AI158" s="96">
        <f t="shared" si="8"/>
        <v>1280</v>
      </c>
      <c r="AJ158" s="97"/>
      <c r="AK158" s="97"/>
      <c r="AL158" s="97"/>
      <c r="AO158" s="97"/>
      <c r="AP158" s="97"/>
      <c r="AQ158" s="97"/>
    </row>
    <row r="159" spans="1:43" s="98" customFormat="1" ht="24.95" customHeight="1">
      <c r="A159" s="84" t="str">
        <f>+Proyeccion_Localidades!C159</f>
        <v>Guaminí</v>
      </c>
      <c r="B159" s="70">
        <f t="shared" si="10"/>
        <v>146</v>
      </c>
      <c r="C159" s="87" t="str">
        <f>+Proyeccion_Localidades!B159</f>
        <v>Casbas</v>
      </c>
      <c r="D159" s="261">
        <f t="shared" si="9"/>
        <v>146</v>
      </c>
      <c r="E159" s="72">
        <f>+Proyeccion_Localidades!F159</f>
        <v>4450</v>
      </c>
      <c r="F159" s="66">
        <f>IF($AB159="TGD",ROUND($E159*(1+$AD159)^(F$4-$E$4),0),IF($AB159="ALTH",ROUND($AE159+$AF159*F$4,0),IF($AB159="IR",ROUND(Proyeccion_Localidades!AC159,0),IF($AB159="RT",ROUND(Proyeccion_Localidades!AZ159,0),"*****"))))</f>
        <v>4746</v>
      </c>
      <c r="G159" s="66">
        <f>IF($AB159="TGD",ROUND($E159*(1+$AD159)^(G$4-$E$4),0),IF($AB159="ALTH",ROUND($AE159+$AF159*G$4,0),IF($AB159="IR",ROUND(Proyeccion_Localidades!AD159,0),IF($AB159="RT",ROUND(Proyeccion_Localidades!BA159,0),"*****"))))</f>
        <v>4773</v>
      </c>
      <c r="H159" s="66">
        <f>IF($AB159="TGD",ROUND($E159*(1+$AD159)^(H$4-$E$4),0),IF($AB159="ALTH",ROUND($AE159+$AF159*H$4,0),IF($AB159="IR",ROUND(Proyeccion_Localidades!AE159,0),IF($AB159="RT",ROUND(Proyeccion_Localidades!BB159,0),"*****"))))</f>
        <v>4856</v>
      </c>
      <c r="I159" s="66">
        <f>IF($AB159="TGD",ROUND($E159*(1+$AD159)^(I$4-$E$4),0),IF($AB159="ALTH",ROUND($AE159+$AF159*I$4,0),IF($AB159="IR",ROUND(Proyeccion_Localidades!AF159,0),IF($AB159="RT",ROUND(Proyeccion_Localidades!BC159,0),"*****"))))</f>
        <v>4883</v>
      </c>
      <c r="J159" s="66">
        <f>IF($AB159="TGD",ROUND($E159*(1+$AD159)^(J$4-$E$4),0),IF($AB159="ALTH",ROUND($AE159+$AF159*J$4,0),IF($AB159="IR",ROUND(Proyeccion_Localidades!AG159,0),IF($AB159="RT",ROUND(Proyeccion_Localidades!BD159,0),"*****"))))</f>
        <v>4910</v>
      </c>
      <c r="K159" s="66">
        <f>IF($AB159="TGD",ROUND($E159*(1+$AD159)^(K$4-$E$4),0),IF($AB159="ALTH",ROUND($AE159+$AF159*K$4,0),IF($AB159="IR",ROUND(Proyeccion_Localidades!AH159,0),IF($AB159="RT",ROUND(Proyeccion_Localidades!BE159,0),"*****"))))</f>
        <v>4938</v>
      </c>
      <c r="L159" s="66">
        <f>IF($AB159="TGD",ROUND($E159*(1+$AD159)^(L$4-$E$4),0),IF($AB159="ALTH",ROUND($AE159+$AF159*L$4,0),IF($AB159="IR",ROUND(Proyeccion_Localidades!AI159,0),IF($AB159="RT",ROUND(Proyeccion_Localidades!BF159,0),"*****"))))</f>
        <v>4965</v>
      </c>
      <c r="M159" s="66">
        <f>IF($AB159="TGD",ROUND($E159*(1+$AD159)^(M$4-$E$4),0),IF($AB159="ALTH",ROUND($AE159+$AF159*M$4,0),IF($AB159="IR",ROUND(Proyeccion_Localidades!AJ159,0),IF($AB159="RT",ROUND(Proyeccion_Localidades!BG159,0),"*****"))))</f>
        <v>4993</v>
      </c>
      <c r="N159" s="66">
        <f>IF($AB159="TGD",ROUND($E159*(1+$AD159)^(N$4-$E$4),0),IF($AB159="ALTH",ROUND($AE159+$AF159*N$4,0),IF($AB159="IR",ROUND(Proyeccion_Localidades!AK159,0),IF($AB159="RT",ROUND(Proyeccion_Localidades!BH159,0),"*****"))))</f>
        <v>5020</v>
      </c>
      <c r="O159" s="66">
        <f>IF($AB159="TGD",ROUND($E159*(1+$AD159)^(O$4-$E$4),0),IF($AB159="ALTH",ROUND($AE159+$AF159*O$4,0),IF($AB159="IR",ROUND(Proyeccion_Localidades!AL159,0),IF($AB159="RT",ROUND(Proyeccion_Localidades!BI159,0),"*****"))))</f>
        <v>5047</v>
      </c>
      <c r="P159" s="66">
        <f>IF($AB159="TGD",ROUND($E159*(1+$AD159)^(P$4-$E$4),0),IF($AB159="ALTH",ROUND($AE159+$AF159*P$4,0),IF($AB159="IR",ROUND(Proyeccion_Localidades!AM159,0),IF($AB159="RT",ROUND(Proyeccion_Localidades!BJ159,0),"*****"))))</f>
        <v>5075</v>
      </c>
      <c r="Q159" s="66">
        <f>IF($AB159="TGD",ROUND($E159*(1+$AD159)^(Q$4-$E$4),0),IF($AB159="ALTH",ROUND($AE159+$AF159*Q$4,0),IF($AB159="IR",ROUND(Proyeccion_Localidades!AN159,0),IF($AB159="RT",ROUND(Proyeccion_Localidades!BK159,0),"*****"))))</f>
        <v>5102</v>
      </c>
      <c r="R159" s="66">
        <f>IF($AB159="TGD",ROUND($E159*(1+$AD159)^(R$4-$E$4),0),IF($AB159="ALTH",ROUND($AE159+$AF159*R$4,0),IF($AB159="IR",ROUND(Proyeccion_Localidades!AO159,0),IF($AB159="RT",ROUND(Proyeccion_Localidades!BL159,0),"*****"))))</f>
        <v>5130</v>
      </c>
      <c r="S159" s="66">
        <f>IF($AB159="TGD",ROUND($E159*(1+$AD159)^(S$4-$E$4),0),IF($AB159="ALTH",ROUND($AE159+$AF159*S$4,0),IF($AB159="IR",ROUND(Proyeccion_Localidades!AP159,0),IF($AB159="RT",ROUND(Proyeccion_Localidades!BM159,0),"*****"))))</f>
        <v>5157</v>
      </c>
      <c r="T159" s="66">
        <f>IF($AB159="TGD",ROUND($E159*(1+$AD159)^(T$4-$E$4),0),IF($AB159="ALTH",ROUND($AE159+$AF159*T$4,0),IF($AB159="IR",ROUND(Proyeccion_Localidades!AQ159,0),IF($AB159="RT",ROUND(Proyeccion_Localidades!BN159,0),"*****"))))</f>
        <v>5184</v>
      </c>
      <c r="U159" s="66">
        <f>IF($AB159="TGD",ROUND($E159*(1+$AD159)^(U$4-$E$4),0),IF($AB159="ALTH",ROUND($AE159+$AF159*U$4,0),IF($AB159="IR",ROUND(Proyeccion_Localidades!AR159,0),IF($AB159="RT",ROUND(Proyeccion_Localidades!BO159,0),"*****"))))</f>
        <v>5212</v>
      </c>
      <c r="V159" s="66">
        <f>IF($AB159="TGD",ROUND($E159*(1+$AD159)^(V$4-$E$4),0),IF($AB159="ALTH",ROUND($AE159+$AF159*V$4,0),IF($AB159="IR",ROUND(Proyeccion_Localidades!AS159,0),IF($AB159="RT",ROUND(Proyeccion_Localidades!BP159,0),"*****"))))</f>
        <v>5239</v>
      </c>
      <c r="W159" s="66">
        <f>IF($AB159="TGD",ROUND($E159*(1+$AD159)^(W$4-$E$4),0),IF($AB159="ALTH",ROUND($AE159+$AF159*W$4,0),IF($AB159="IR",ROUND(Proyeccion_Localidades!AT159,0),IF($AB159="RT",ROUND(Proyeccion_Localidades!BQ159,0),"*****"))))</f>
        <v>5267</v>
      </c>
      <c r="X159" s="66">
        <f>IF($AB159="TGD",ROUND($E159*(1+$AD159)^(X$4-$E$4),0),IF($AB159="ALTH",ROUND($AE159+$AF159*X$4,0),IF($AB159="IR",ROUND(Proyeccion_Localidades!AU159,0),IF($AB159="RT",ROUND(Proyeccion_Localidades!BR159,0),"*****"))))</f>
        <v>5294</v>
      </c>
      <c r="Y159" s="66">
        <f>IF($AB159="TGD",ROUND($E159*(1+$AD159)^(Y$4-$E$4),0),IF($AB159="ALTH",ROUND($AE159+$AF159*Y$4,0),IF($AB159="IR",ROUND(Proyeccion_Localidades!AV159,0),IF($AB159="RT",ROUND(Proyeccion_Localidades!BS159,0),"*****"))))</f>
        <v>5322</v>
      </c>
      <c r="Z159" s="66">
        <f>IF($AB159="TGD",ROUND($E159*(1+$AD159)^(Z$4-$E$4),0),IF($AB159="ALTH",ROUND($AE159+$AF159*Z$4,0),IF($AB159="IR",ROUND(Proyeccion_Localidades!AW159,0),IF($AB159="RT",ROUND(Proyeccion_Localidades!BT159,0),"*****"))))</f>
        <v>5349</v>
      </c>
      <c r="AA159" s="66">
        <f>IF($AB159="TGD",ROUND($E159*(1+$AD159)^(AA$4-$E$4),0),IF($AB159="ALTH",ROUND($AE159+$AF159*AA$4,0),IF($AB159="IR",ROUND(Proyeccion_Localidades!AX159,0),IF($AB159="RT",ROUND(Proyeccion_Localidades!BU159,0),"*****"))))</f>
        <v>5376</v>
      </c>
      <c r="AB159" s="100" t="str">
        <f>Proyeccion_Localidades!N159</f>
        <v>ALTH</v>
      </c>
      <c r="AC159" s="101" t="s">
        <v>36</v>
      </c>
      <c r="AD159" s="51" t="str">
        <f>IF(AB159="TGD",Proyeccion_Localidades!Z159,"-")</f>
        <v>-</v>
      </c>
      <c r="AE159" s="51">
        <f>IF($AB159="ALTH",Proyeccion_Localidades!AA159,"-")</f>
        <v>-50668.74538745387</v>
      </c>
      <c r="AF159" s="51">
        <f>IF($AB159="ALTH",Proyeccion_Localidades!AB159,"-")</f>
        <v>27.405904059040587</v>
      </c>
      <c r="AG159" s="81"/>
      <c r="AH159" s="81"/>
      <c r="AI159" s="96">
        <f t="shared" si="8"/>
        <v>4773</v>
      </c>
      <c r="AJ159" s="97"/>
      <c r="AK159" s="97"/>
      <c r="AL159" s="97"/>
      <c r="AO159" s="97"/>
      <c r="AP159" s="97"/>
      <c r="AQ159" s="97"/>
    </row>
    <row r="160" spans="1:43" s="98" customFormat="1" ht="24.95" customHeight="1">
      <c r="A160" s="84" t="str">
        <f>+Proyeccion_Localidades!C160</f>
        <v>La Costa</v>
      </c>
      <c r="B160" s="70">
        <f t="shared" si="10"/>
        <v>147</v>
      </c>
      <c r="C160" s="87" t="str">
        <f>+Proyeccion_Localidades!B160</f>
        <v>San Clemente del Tuyú</v>
      </c>
      <c r="D160" s="261">
        <f t="shared" si="9"/>
        <v>147</v>
      </c>
      <c r="E160" s="72">
        <f>+Proyeccion_Localidades!F160</f>
        <v>12126</v>
      </c>
      <c r="F160" s="66">
        <f>IF($AB160="TGD",ROUND($E160*(1+$AD160)^(F$4-$E$4),0),IF($AB160="ALTH",ROUND($AE160+$AF160*F$4,0),IF($AB160="IR",ROUND(Proyeccion_Localidades!AC160,0),IF($AB160="RT",ROUND(Proyeccion_Localidades!AZ160,0),"*****"))))</f>
        <v>17038</v>
      </c>
      <c r="G160" s="66">
        <f>IF($AB160="TGD",ROUND($E160*(1+$AD160)^(G$4-$E$4),0),IF($AB160="ALTH",ROUND($AE160+$AF160*G$4,0),IF($AB160="IR",ROUND(Proyeccion_Localidades!AD160,0),IF($AB160="RT",ROUND(Proyeccion_Localidades!BA160,0),"*****"))))</f>
        <v>17482</v>
      </c>
      <c r="H160" s="66">
        <f>IF($AB160="TGD",ROUND($E160*(1+$AD160)^(H$4-$E$4),0),IF($AB160="ALTH",ROUND($AE160+$AF160*H$4,0),IF($AB160="IR",ROUND(Proyeccion_Localidades!AE160,0),IF($AB160="RT",ROUND(Proyeccion_Localidades!BB160,0),"*****"))))</f>
        <v>18813</v>
      </c>
      <c r="I160" s="66">
        <f>IF($AB160="TGD",ROUND($E160*(1+$AD160)^(I$4-$E$4),0),IF($AB160="ALTH",ROUND($AE160+$AF160*I$4,0),IF($AB160="IR",ROUND(Proyeccion_Localidades!AF160,0),IF($AB160="RT",ROUND(Proyeccion_Localidades!BC160,0),"*****"))))</f>
        <v>19256</v>
      </c>
      <c r="J160" s="66">
        <f>IF($AB160="TGD",ROUND($E160*(1+$AD160)^(J$4-$E$4),0),IF($AB160="ALTH",ROUND($AE160+$AF160*J$4,0),IF($AB160="IR",ROUND(Proyeccion_Localidades!AG160,0),IF($AB160="RT",ROUND(Proyeccion_Localidades!BD160,0),"*****"))))</f>
        <v>19700</v>
      </c>
      <c r="K160" s="66">
        <f>IF($AB160="TGD",ROUND($E160*(1+$AD160)^(K$4-$E$4),0),IF($AB160="ALTH",ROUND($AE160+$AF160*K$4,0),IF($AB160="IR",ROUND(Proyeccion_Localidades!AH160,0),IF($AB160="RT",ROUND(Proyeccion_Localidades!BE160,0),"*****"))))</f>
        <v>20143</v>
      </c>
      <c r="L160" s="66">
        <f>IF($AB160="TGD",ROUND($E160*(1+$AD160)^(L$4-$E$4),0),IF($AB160="ALTH",ROUND($AE160+$AF160*L$4,0),IF($AB160="IR",ROUND(Proyeccion_Localidades!AI160,0),IF($AB160="RT",ROUND(Proyeccion_Localidades!BF160,0),"*****"))))</f>
        <v>20587</v>
      </c>
      <c r="M160" s="66">
        <f>IF($AB160="TGD",ROUND($E160*(1+$AD160)^(M$4-$E$4),0),IF($AB160="ALTH",ROUND($AE160+$AF160*M$4,0),IF($AB160="IR",ROUND(Proyeccion_Localidades!AJ160,0),IF($AB160="RT",ROUND(Proyeccion_Localidades!BG160,0),"*****"))))</f>
        <v>21127</v>
      </c>
      <c r="N160" s="66">
        <f>IF($AB160="TGD",ROUND($E160*(1+$AD160)^(N$4-$E$4),0),IF($AB160="ALTH",ROUND($AE160+$AF160*N$4,0),IF($AB160="IR",ROUND(Proyeccion_Localidades!AK160,0),IF($AB160="RT",ROUND(Proyeccion_Localidades!BH160,0),"*****"))))</f>
        <v>21667</v>
      </c>
      <c r="O160" s="66">
        <f>IF($AB160="TGD",ROUND($E160*(1+$AD160)^(O$4-$E$4),0),IF($AB160="ALTH",ROUND($AE160+$AF160*O$4,0),IF($AB160="IR",ROUND(Proyeccion_Localidades!AL160,0),IF($AB160="RT",ROUND(Proyeccion_Localidades!BI160,0),"*****"))))</f>
        <v>22208</v>
      </c>
      <c r="P160" s="66">
        <f>IF($AB160="TGD",ROUND($E160*(1+$AD160)^(P$4-$E$4),0),IF($AB160="ALTH",ROUND($AE160+$AF160*P$4,0),IF($AB160="IR",ROUND(Proyeccion_Localidades!AM160,0),IF($AB160="RT",ROUND(Proyeccion_Localidades!BJ160,0),"*****"))))</f>
        <v>22748</v>
      </c>
      <c r="Q160" s="66">
        <f>IF($AB160="TGD",ROUND($E160*(1+$AD160)^(Q$4-$E$4),0),IF($AB160="ALTH",ROUND($AE160+$AF160*Q$4,0),IF($AB160="IR",ROUND(Proyeccion_Localidades!AN160,0),IF($AB160="RT",ROUND(Proyeccion_Localidades!BK160,0),"*****"))))</f>
        <v>23288</v>
      </c>
      <c r="R160" s="66">
        <f>IF($AB160="TGD",ROUND($E160*(1+$AD160)^(R$4-$E$4),0),IF($AB160="ALTH",ROUND($AE160+$AF160*R$4,0),IF($AB160="IR",ROUND(Proyeccion_Localidades!AO160,0),IF($AB160="RT",ROUND(Proyeccion_Localidades!BL160,0),"*****"))))</f>
        <v>23828</v>
      </c>
      <c r="S160" s="66">
        <f>IF($AB160="TGD",ROUND($E160*(1+$AD160)^(S$4-$E$4),0),IF($AB160="ALTH",ROUND($AE160+$AF160*S$4,0),IF($AB160="IR",ROUND(Proyeccion_Localidades!AP160,0),IF($AB160="RT",ROUND(Proyeccion_Localidades!BM160,0),"*****"))))</f>
        <v>24368</v>
      </c>
      <c r="T160" s="66">
        <f>IF($AB160="TGD",ROUND($E160*(1+$AD160)^(T$4-$E$4),0),IF($AB160="ALTH",ROUND($AE160+$AF160*T$4,0),IF($AB160="IR",ROUND(Proyeccion_Localidades!AQ160,0),IF($AB160="RT",ROUND(Proyeccion_Localidades!BN160,0),"*****"))))</f>
        <v>24908</v>
      </c>
      <c r="U160" s="66">
        <f>IF($AB160="TGD",ROUND($E160*(1+$AD160)^(U$4-$E$4),0),IF($AB160="ALTH",ROUND($AE160+$AF160*U$4,0),IF($AB160="IR",ROUND(Proyeccion_Localidades!AR160,0),IF($AB160="RT",ROUND(Proyeccion_Localidades!BO160,0),"*****"))))</f>
        <v>25449</v>
      </c>
      <c r="V160" s="66">
        <f>IF($AB160="TGD",ROUND($E160*(1+$AD160)^(V$4-$E$4),0),IF($AB160="ALTH",ROUND($AE160+$AF160*V$4,0),IF($AB160="IR",ROUND(Proyeccion_Localidades!AS160,0),IF($AB160="RT",ROUND(Proyeccion_Localidades!BP160,0),"*****"))))</f>
        <v>25989</v>
      </c>
      <c r="W160" s="66">
        <f>IF($AB160="TGD",ROUND($E160*(1+$AD160)^(W$4-$E$4),0),IF($AB160="ALTH",ROUND($AE160+$AF160*W$4,0),IF($AB160="IR",ROUND(Proyeccion_Localidades!AT160,0),IF($AB160="RT",ROUND(Proyeccion_Localidades!BQ160,0),"*****"))))</f>
        <v>26529</v>
      </c>
      <c r="X160" s="66">
        <f>IF($AB160="TGD",ROUND($E160*(1+$AD160)^(X$4-$E$4),0),IF($AB160="ALTH",ROUND($AE160+$AF160*X$4,0),IF($AB160="IR",ROUND(Proyeccion_Localidades!AU160,0),IF($AB160="RT",ROUND(Proyeccion_Localidades!BR160,0),"*****"))))</f>
        <v>27069</v>
      </c>
      <c r="Y160" s="66">
        <f>IF($AB160="TGD",ROUND($E160*(1+$AD160)^(Y$4-$E$4),0),IF($AB160="ALTH",ROUND($AE160+$AF160*Y$4,0),IF($AB160="IR",ROUND(Proyeccion_Localidades!AV160,0),IF($AB160="RT",ROUND(Proyeccion_Localidades!BS160,0),"*****"))))</f>
        <v>27609</v>
      </c>
      <c r="Z160" s="66">
        <f>IF($AB160="TGD",ROUND($E160*(1+$AD160)^(Z$4-$E$4),0),IF($AB160="ALTH",ROUND($AE160+$AF160*Z$4,0),IF($AB160="IR",ROUND(Proyeccion_Localidades!AW160,0),IF($AB160="RT",ROUND(Proyeccion_Localidades!BT160,0),"*****"))))</f>
        <v>28149</v>
      </c>
      <c r="AA160" s="66">
        <f>IF($AB160="TGD",ROUND($E160*(1+$AD160)^(AA$4-$E$4),0),IF($AB160="ALTH",ROUND($AE160+$AF160*AA$4,0),IF($AB160="IR",ROUND(Proyeccion_Localidades!AX160,0),IF($AB160="RT",ROUND(Proyeccion_Localidades!BU160,0),"*****"))))</f>
        <v>28690</v>
      </c>
      <c r="AB160" s="100" t="str">
        <f>Proyeccion_Localidades!N160</f>
        <v>RT</v>
      </c>
      <c r="AC160" s="99"/>
      <c r="AD160" s="51" t="str">
        <f>IF(AB160="TGD",Proyeccion_Localidades!Z160,"-")</f>
        <v>-</v>
      </c>
      <c r="AE160" s="51" t="str">
        <f>IF($AB160="ALTH",Proyeccion_Localidades!AA160,"-")</f>
        <v>-</v>
      </c>
      <c r="AF160" s="51" t="str">
        <f>IF($AB160="ALTH",Proyeccion_Localidades!AB160,"-")</f>
        <v>-</v>
      </c>
      <c r="AG160" s="81"/>
      <c r="AH160" s="81"/>
      <c r="AI160" s="96">
        <f t="shared" si="8"/>
        <v>17482</v>
      </c>
      <c r="AJ160" s="97"/>
      <c r="AK160" s="97"/>
      <c r="AL160" s="97"/>
      <c r="AO160" s="97"/>
      <c r="AP160" s="97"/>
      <c r="AQ160" s="97"/>
    </row>
    <row r="161" spans="1:43" s="98" customFormat="1" ht="24.95" customHeight="1">
      <c r="A161" s="74" t="s">
        <v>42</v>
      </c>
      <c r="B161" s="75">
        <v>147.1</v>
      </c>
      <c r="C161" s="89" t="s">
        <v>55</v>
      </c>
      <c r="D161" s="261">
        <f t="shared" si="9"/>
        <v>147.1</v>
      </c>
      <c r="E161" s="77">
        <f>ROUND(G161/G160*E160,0)</f>
        <v>28113</v>
      </c>
      <c r="F161" s="94">
        <f>INDEX(Turísticas!$A$5:$AA$15,MATCH("San Clemente del Tuyú",Turísticas!$A$5:$A$15,0),MATCH(Verif!F$4,Turísticas!$B$4:$AA$4,0)+1)</f>
        <v>39503</v>
      </c>
      <c r="G161" s="94">
        <f>INDEX(Turísticas!$A$5:$AA$15,MATCH("San Clemente del Tuyú",Turísticas!$A$5:$A$15,0),MATCH(Verif!G$4,Turísticas!$B$4:$AA$4,0)+1)</f>
        <v>40531</v>
      </c>
      <c r="H161" s="94">
        <f>INDEX(Turísticas!$A$5:$AA$15,MATCH("San Clemente del Tuyú",Turísticas!$A$5:$A$15,0),MATCH(Verif!H$4,Turísticas!$B$4:$AA$4,0)+1)</f>
        <v>43615</v>
      </c>
      <c r="I161" s="94">
        <f>INDEX(Turísticas!$A$5:$AA$15,MATCH("San Clemente del Tuyú",Turísticas!$A$5:$A$15,0),MATCH(Verif!I$4,Turísticas!$B$4:$AA$4,0)+1)</f>
        <v>44643</v>
      </c>
      <c r="J161" s="94">
        <f>INDEX(Turísticas!$A$5:$AA$15,MATCH("San Clemente del Tuyú",Turísticas!$A$5:$A$15,0),MATCH(Verif!J$4,Turísticas!$B$4:$AA$4,0)+1)</f>
        <v>45671</v>
      </c>
      <c r="K161" s="94">
        <f>INDEX(Turísticas!$A$5:$AA$15,MATCH("San Clemente del Tuyú",Turísticas!$A$5:$A$15,0),MATCH(Verif!K$4,Turísticas!$B$4:$AA$4,0)+1)</f>
        <v>46699</v>
      </c>
      <c r="L161" s="94">
        <f>INDEX(Turísticas!$A$5:$AA$15,MATCH("San Clemente del Tuyú",Turísticas!$A$5:$A$15,0),MATCH(Verif!L$4,Turísticas!$B$4:$AA$4,0)+1)</f>
        <v>47727</v>
      </c>
      <c r="M161" s="94">
        <f>INDEX(Turísticas!$A$5:$AA$15,MATCH("San Clemente del Tuyú",Turísticas!$A$5:$A$15,0),MATCH(Verif!M$4,Turísticas!$B$4:$AA$4,0)+1)</f>
        <v>48979</v>
      </c>
      <c r="N161" s="94">
        <f>INDEX(Turísticas!$A$5:$AA$15,MATCH("San Clemente del Tuyú",Turísticas!$A$5:$A$15,0),MATCH(Verif!N$4,Turísticas!$B$4:$AA$4,0)+1)</f>
        <v>50231</v>
      </c>
      <c r="O161" s="94">
        <f>INDEX(Turísticas!$A$5:$AA$15,MATCH("San Clemente del Tuyú",Turísticas!$A$5:$A$15,0),MATCH(Verif!O$4,Turísticas!$B$4:$AA$4,0)+1)</f>
        <v>51483</v>
      </c>
      <c r="P161" s="94">
        <f>INDEX(Turísticas!$A$5:$AA$15,MATCH("San Clemente del Tuyú",Turísticas!$A$5:$A$15,0),MATCH(Verif!P$4,Turísticas!$B$4:$AA$4,0)+1)</f>
        <v>52735</v>
      </c>
      <c r="Q161" s="94">
        <f>INDEX(Turísticas!$A$5:$AA$15,MATCH("San Clemente del Tuyú",Turísticas!$A$5:$A$15,0),MATCH(Verif!Q$4,Turísticas!$B$4:$AA$4,0)+1)</f>
        <v>53987</v>
      </c>
      <c r="R161" s="94">
        <f>INDEX(Turísticas!$A$5:$AA$15,MATCH("San Clemente del Tuyú",Turísticas!$A$5:$A$15,0),MATCH(Verif!R$4,Turísticas!$B$4:$AA$4,0)+1)</f>
        <v>55239</v>
      </c>
      <c r="S161" s="94">
        <f>INDEX(Turísticas!$A$5:$AA$15,MATCH("San Clemente del Tuyú",Turísticas!$A$5:$A$15,0),MATCH(Verif!S$4,Turísticas!$B$4:$AA$4,0)+1)</f>
        <v>56491</v>
      </c>
      <c r="T161" s="94">
        <f>INDEX(Turísticas!$A$5:$AA$15,MATCH("San Clemente del Tuyú",Turísticas!$A$5:$A$15,0),MATCH(Verif!T$4,Turísticas!$B$4:$AA$4,0)+1)</f>
        <v>57743</v>
      </c>
      <c r="U161" s="94">
        <f>INDEX(Turísticas!$A$5:$AA$15,MATCH("San Clemente del Tuyú",Turísticas!$A$5:$A$15,0),MATCH(Verif!U$4,Turísticas!$B$4:$AA$4,0)+1)</f>
        <v>58995</v>
      </c>
      <c r="V161" s="94">
        <f>INDEX(Turísticas!$A$5:$AA$15,MATCH("San Clemente del Tuyú",Turísticas!$A$5:$A$15,0),MATCH(Verif!V$4,Turísticas!$B$4:$AA$4,0)+1)</f>
        <v>60247</v>
      </c>
      <c r="W161" s="94">
        <f>INDEX(Turísticas!$A$5:$AA$15,MATCH("San Clemente del Tuyú",Turísticas!$A$5:$A$15,0),MATCH(Verif!W$4,Turísticas!$B$4:$AA$4,0)+1)</f>
        <v>61499</v>
      </c>
      <c r="X161" s="94">
        <f>INDEX(Turísticas!$A$5:$AA$15,MATCH("San Clemente del Tuyú",Turísticas!$A$5:$A$15,0),MATCH(Verif!X$4,Turísticas!$B$4:$AA$4,0)+1)</f>
        <v>62751</v>
      </c>
      <c r="Y161" s="94">
        <f>INDEX(Turísticas!$A$5:$AA$15,MATCH("San Clemente del Tuyú",Turísticas!$A$5:$A$15,0),MATCH(Verif!Y$4,Turísticas!$B$4:$AA$4,0)+1)</f>
        <v>64003</v>
      </c>
      <c r="Z161" s="94">
        <f>INDEX(Turísticas!$A$5:$AA$15,MATCH("San Clemente del Tuyú",Turísticas!$A$5:$A$15,0),MATCH(Verif!Z$4,Turísticas!$B$4:$AA$4,0)+1)</f>
        <v>65255</v>
      </c>
      <c r="AA161" s="94">
        <f>INDEX(Turísticas!$A$5:$AA$15,MATCH("San Clemente del Tuyú",Turísticas!$A$5:$A$15,0),MATCH(Verif!AA$4,Turísticas!$B$4:$AA$4,0)+1)</f>
        <v>66507</v>
      </c>
      <c r="AB161" s="102" t="s">
        <v>39</v>
      </c>
      <c r="AC161" s="99"/>
      <c r="AD161" s="51" t="str">
        <f>IF(AB161="TGD",Proyeccion_Localidades!Z161,"-")</f>
        <v>-</v>
      </c>
      <c r="AE161" s="51" t="str">
        <f>IF($AB161="ALTH",Proyeccion_Localidades!AA161,"-")</f>
        <v>-</v>
      </c>
      <c r="AF161" s="51" t="str">
        <f>IF($AB161="ALTH",Proyeccion_Localidades!AB161,"-")</f>
        <v>-</v>
      </c>
      <c r="AG161" s="81"/>
      <c r="AH161" s="81"/>
      <c r="AI161" s="96">
        <f t="shared" si="8"/>
        <v>40531</v>
      </c>
      <c r="AJ161" s="97"/>
      <c r="AK161" s="97"/>
      <c r="AL161" s="97"/>
      <c r="AO161" s="97"/>
      <c r="AP161" s="97"/>
      <c r="AQ161" s="97"/>
    </row>
    <row r="162" spans="1:43" s="98" customFormat="1" ht="24.95" customHeight="1">
      <c r="A162" s="84" t="str">
        <f>+Proyeccion_Localidades!C162</f>
        <v>Leandro N. Alem</v>
      </c>
      <c r="B162" s="70">
        <f>+B160+1</f>
        <v>148</v>
      </c>
      <c r="C162" s="87" t="str">
        <f>+Proyeccion_Localidades!B162</f>
        <v>Juan Bautista Alberdi</v>
      </c>
      <c r="D162" s="261">
        <f t="shared" si="9"/>
        <v>148</v>
      </c>
      <c r="E162" s="72">
        <f>+Proyeccion_Localidades!F162</f>
        <v>3404</v>
      </c>
      <c r="F162" s="66">
        <f>IF($AB162="TGD",ROUND($E162*(1+$AD162)^(F$4-$E$4),0),IF($AB162="ALTH",ROUND($AE162+$AF162*F$4,0),IF($AB162="IR",ROUND(Proyeccion_Localidades!AC162,0),IF($AB162="RT",ROUND(Proyeccion_Localidades!AZ162,0),"*****"))))</f>
        <v>3406</v>
      </c>
      <c r="G162" s="66">
        <f>IF($AB162="TGD",ROUND($E162*(1+$AD162)^(G$4-$E$4),0),IF($AB162="ALTH",ROUND($AE162+$AF162*G$4,0),IF($AB162="IR",ROUND(Proyeccion_Localidades!AD162,0),IF($AB162="RT",ROUND(Proyeccion_Localidades!BA162,0),"*****"))))</f>
        <v>3406</v>
      </c>
      <c r="H162" s="66">
        <f>IF($AB162="TGD",ROUND($E162*(1+$AD162)^(H$4-$E$4),0),IF($AB162="ALTH",ROUND($AE162+$AF162*H$4,0),IF($AB162="IR",ROUND(Proyeccion_Localidades!AE162,0),IF($AB162="RT",ROUND(Proyeccion_Localidades!BB162,0),"*****"))))</f>
        <v>3405</v>
      </c>
      <c r="I162" s="66">
        <f>IF($AB162="TGD",ROUND($E162*(1+$AD162)^(I$4-$E$4),0),IF($AB162="ALTH",ROUND($AE162+$AF162*I$4,0),IF($AB162="IR",ROUND(Proyeccion_Localidades!AF162,0),IF($AB162="RT",ROUND(Proyeccion_Localidades!BC162,0),"*****"))))</f>
        <v>3404</v>
      </c>
      <c r="J162" s="66">
        <f>IF($AB162="TGD",ROUND($E162*(1+$AD162)^(J$4-$E$4),0),IF($AB162="ALTH",ROUND($AE162+$AF162*J$4,0),IF($AB162="IR",ROUND(Proyeccion_Localidades!AG162,0),IF($AB162="RT",ROUND(Proyeccion_Localidades!BD162,0),"*****"))))</f>
        <v>3404</v>
      </c>
      <c r="K162" s="66">
        <f>IF($AB162="TGD",ROUND($E162*(1+$AD162)^(K$4-$E$4),0),IF($AB162="ALTH",ROUND($AE162+$AF162*K$4,0),IF($AB162="IR",ROUND(Proyeccion_Localidades!AH162,0),IF($AB162="RT",ROUND(Proyeccion_Localidades!BE162,0),"*****"))))</f>
        <v>3403</v>
      </c>
      <c r="L162" s="66">
        <f>IF($AB162="TGD",ROUND($E162*(1+$AD162)^(L$4-$E$4),0),IF($AB162="ALTH",ROUND($AE162+$AF162*L$4,0),IF($AB162="IR",ROUND(Proyeccion_Localidades!AI162,0),IF($AB162="RT",ROUND(Proyeccion_Localidades!BF162,0),"*****"))))</f>
        <v>3403</v>
      </c>
      <c r="M162" s="66">
        <f>IF($AB162="TGD",ROUND($E162*(1+$AD162)^(M$4-$E$4),0),IF($AB162="ALTH",ROUND($AE162+$AF162*M$4,0),IF($AB162="IR",ROUND(Proyeccion_Localidades!AJ162,0),IF($AB162="RT",ROUND(Proyeccion_Localidades!BG162,0),"*****"))))</f>
        <v>3403</v>
      </c>
      <c r="N162" s="66">
        <f>IF($AB162="TGD",ROUND($E162*(1+$AD162)^(N$4-$E$4),0),IF($AB162="ALTH",ROUND($AE162+$AF162*N$4,0),IF($AB162="IR",ROUND(Proyeccion_Localidades!AK162,0),IF($AB162="RT",ROUND(Proyeccion_Localidades!BH162,0),"*****"))))</f>
        <v>3402</v>
      </c>
      <c r="O162" s="66">
        <f>IF($AB162="TGD",ROUND($E162*(1+$AD162)^(O$4-$E$4),0),IF($AB162="ALTH",ROUND($AE162+$AF162*O$4,0),IF($AB162="IR",ROUND(Proyeccion_Localidades!AL162,0),IF($AB162="RT",ROUND(Proyeccion_Localidades!BI162,0),"*****"))))</f>
        <v>3402</v>
      </c>
      <c r="P162" s="66">
        <f>IF($AB162="TGD",ROUND($E162*(1+$AD162)^(P$4-$E$4),0),IF($AB162="ALTH",ROUND($AE162+$AF162*P$4,0),IF($AB162="IR",ROUND(Proyeccion_Localidades!AM162,0),IF($AB162="RT",ROUND(Proyeccion_Localidades!BJ162,0),"*****"))))</f>
        <v>3401</v>
      </c>
      <c r="Q162" s="66">
        <f>IF($AB162="TGD",ROUND($E162*(1+$AD162)^(Q$4-$E$4),0),IF($AB162="ALTH",ROUND($AE162+$AF162*Q$4,0),IF($AB162="IR",ROUND(Proyeccion_Localidades!AN162,0),IF($AB162="RT",ROUND(Proyeccion_Localidades!BK162,0),"*****"))))</f>
        <v>3401</v>
      </c>
      <c r="R162" s="66">
        <f>IF($AB162="TGD",ROUND($E162*(1+$AD162)^(R$4-$E$4),0),IF($AB162="ALTH",ROUND($AE162+$AF162*R$4,0),IF($AB162="IR",ROUND(Proyeccion_Localidades!AO162,0),IF($AB162="RT",ROUND(Proyeccion_Localidades!BL162,0),"*****"))))</f>
        <v>3400</v>
      </c>
      <c r="S162" s="66">
        <f>IF($AB162="TGD",ROUND($E162*(1+$AD162)^(S$4-$E$4),0),IF($AB162="ALTH",ROUND($AE162+$AF162*S$4,0),IF($AB162="IR",ROUND(Proyeccion_Localidades!AP162,0),IF($AB162="RT",ROUND(Proyeccion_Localidades!BM162,0),"*****"))))</f>
        <v>3400</v>
      </c>
      <c r="T162" s="66">
        <f>IF($AB162="TGD",ROUND($E162*(1+$AD162)^(T$4-$E$4),0),IF($AB162="ALTH",ROUND($AE162+$AF162*T$4,0),IF($AB162="IR",ROUND(Proyeccion_Localidades!AQ162,0),IF($AB162="RT",ROUND(Proyeccion_Localidades!BN162,0),"*****"))))</f>
        <v>3399</v>
      </c>
      <c r="U162" s="66">
        <f>IF($AB162="TGD",ROUND($E162*(1+$AD162)^(U$4-$E$4),0),IF($AB162="ALTH",ROUND($AE162+$AF162*U$4,0),IF($AB162="IR",ROUND(Proyeccion_Localidades!AR162,0),IF($AB162="RT",ROUND(Proyeccion_Localidades!BO162,0),"*****"))))</f>
        <v>3399</v>
      </c>
      <c r="V162" s="66">
        <f>IF($AB162="TGD",ROUND($E162*(1+$AD162)^(V$4-$E$4),0),IF($AB162="ALTH",ROUND($AE162+$AF162*V$4,0),IF($AB162="IR",ROUND(Proyeccion_Localidades!AS162,0),IF($AB162="RT",ROUND(Proyeccion_Localidades!BP162,0),"*****"))))</f>
        <v>3399</v>
      </c>
      <c r="W162" s="66">
        <f>IF($AB162="TGD",ROUND($E162*(1+$AD162)^(W$4-$E$4),0),IF($AB162="ALTH",ROUND($AE162+$AF162*W$4,0),IF($AB162="IR",ROUND(Proyeccion_Localidades!AT162,0),IF($AB162="RT",ROUND(Proyeccion_Localidades!BQ162,0),"*****"))))</f>
        <v>3398</v>
      </c>
      <c r="X162" s="66">
        <f>IF($AB162="TGD",ROUND($E162*(1+$AD162)^(X$4-$E$4),0),IF($AB162="ALTH",ROUND($AE162+$AF162*X$4,0),IF($AB162="IR",ROUND(Proyeccion_Localidades!AU162,0),IF($AB162="RT",ROUND(Proyeccion_Localidades!BR162,0),"*****"))))</f>
        <v>3398</v>
      </c>
      <c r="Y162" s="66">
        <f>IF($AB162="TGD",ROUND($E162*(1+$AD162)^(Y$4-$E$4),0),IF($AB162="ALTH",ROUND($AE162+$AF162*Y$4,0),IF($AB162="IR",ROUND(Proyeccion_Localidades!AV162,0),IF($AB162="RT",ROUND(Proyeccion_Localidades!BS162,0),"*****"))))</f>
        <v>3397</v>
      </c>
      <c r="Z162" s="66">
        <f>IF($AB162="TGD",ROUND($E162*(1+$AD162)^(Z$4-$E$4),0),IF($AB162="ALTH",ROUND($AE162+$AF162*Z$4,0),IF($AB162="IR",ROUND(Proyeccion_Localidades!AW162,0),IF($AB162="RT",ROUND(Proyeccion_Localidades!BT162,0),"*****"))))</f>
        <v>3397</v>
      </c>
      <c r="AA162" s="66">
        <f>IF($AB162="TGD",ROUND($E162*(1+$AD162)^(AA$4-$E$4),0),IF($AB162="ALTH",ROUND($AE162+$AF162*AA$4,0),IF($AB162="IR",ROUND(Proyeccion_Localidades!AX162,0),IF($AB162="RT",ROUND(Proyeccion_Localidades!BU162,0),"*****"))))</f>
        <v>3396</v>
      </c>
      <c r="AB162" s="100" t="str">
        <f>Proyeccion_Localidades!N162</f>
        <v>ALTH</v>
      </c>
      <c r="AC162" s="101" t="s">
        <v>36</v>
      </c>
      <c r="AD162" s="51" t="str">
        <f>IF(AB162="TGD",Proyeccion_Localidades!Z162,"-")</f>
        <v>-</v>
      </c>
      <c r="AE162" s="51">
        <f>IF($AB162="ALTH",Proyeccion_Localidades!AA162,"-")</f>
        <v>4283.1143911439112</v>
      </c>
      <c r="AF162" s="51">
        <f>IF($AB162="ALTH",Proyeccion_Localidades!AB162,"-")</f>
        <v>-0.43357933579335806</v>
      </c>
      <c r="AG162" s="81"/>
      <c r="AH162" s="81"/>
      <c r="AI162" s="96">
        <f t="shared" si="8"/>
        <v>3406</v>
      </c>
      <c r="AJ162" s="97"/>
      <c r="AK162" s="97"/>
      <c r="AL162" s="97"/>
      <c r="AO162" s="97"/>
      <c r="AP162" s="97"/>
      <c r="AQ162" s="97"/>
    </row>
    <row r="163" spans="1:43" s="98" customFormat="1" ht="24.95" customHeight="1">
      <c r="A163" s="84" t="str">
        <f>+Proyeccion_Localidades!C163</f>
        <v>Mar Chiquita</v>
      </c>
      <c r="B163" s="70">
        <f t="shared" si="10"/>
        <v>149</v>
      </c>
      <c r="C163" s="87" t="str">
        <f>+Proyeccion_Localidades!B163</f>
        <v>Santa Clara del Mar</v>
      </c>
      <c r="D163" s="261">
        <f t="shared" si="9"/>
        <v>149</v>
      </c>
      <c r="E163" s="72">
        <f>+Proyeccion_Localidades!F163</f>
        <v>7713</v>
      </c>
      <c r="F163" s="66">
        <f>IF($AB163="TGD",ROUND($E163*(1+$AD163)^(F$4-$E$4),0),IF($AB163="ALTH",ROUND($AE163+$AF163*F$4,0),IF($AB163="IR",ROUND(Proyeccion_Localidades!AC163,0),IF($AB163="RT",ROUND(Proyeccion_Localidades!AZ163,0),"*****"))))</f>
        <v>13034</v>
      </c>
      <c r="G163" s="66">
        <f>IF($AB163="TGD",ROUND($E163*(1+$AD163)^(G$4-$E$4),0),IF($AB163="ALTH",ROUND($AE163+$AF163*G$4,0),IF($AB163="IR",ROUND(Proyeccion_Localidades!AD163,0),IF($AB163="RT",ROUND(Proyeccion_Localidades!BA163,0),"*****"))))</f>
        <v>13616</v>
      </c>
      <c r="H163" s="66">
        <f>IF($AB163="TGD",ROUND($E163*(1+$AD163)^(H$4-$E$4),0),IF($AB163="ALTH",ROUND($AE163+$AF163*H$4,0),IF($AB163="IR",ROUND(Proyeccion_Localidades!AE163,0),IF($AB163="RT",ROUND(Proyeccion_Localidades!BB163,0),"*****"))))</f>
        <v>15525</v>
      </c>
      <c r="I163" s="66">
        <f>IF($AB163="TGD",ROUND($E163*(1+$AD163)^(I$4-$E$4),0),IF($AB163="ALTH",ROUND($AE163+$AF163*I$4,0),IF($AB163="IR",ROUND(Proyeccion_Localidades!AF163,0),IF($AB163="RT",ROUND(Proyeccion_Localidades!BC163,0),"*****"))))</f>
        <v>16218</v>
      </c>
      <c r="J163" s="66">
        <f>IF($AB163="TGD",ROUND($E163*(1+$AD163)^(J$4-$E$4),0),IF($AB163="ALTH",ROUND($AE163+$AF163*J$4,0),IF($AB163="IR",ROUND(Proyeccion_Localidades!AG163,0),IF($AB163="RT",ROUND(Proyeccion_Localidades!BD163,0),"*****"))))</f>
        <v>16943</v>
      </c>
      <c r="K163" s="66">
        <f>IF($AB163="TGD",ROUND($E163*(1+$AD163)^(K$4-$E$4),0),IF($AB163="ALTH",ROUND($AE163+$AF163*K$4,0),IF($AB163="IR",ROUND(Proyeccion_Localidades!AH163,0),IF($AB163="RT",ROUND(Proyeccion_Localidades!BE163,0),"*****"))))</f>
        <v>17700</v>
      </c>
      <c r="L163" s="66">
        <f>IF($AB163="TGD",ROUND($E163*(1+$AD163)^(L$4-$E$4),0),IF($AB163="ALTH",ROUND($AE163+$AF163*L$4,0),IF($AB163="IR",ROUND(Proyeccion_Localidades!AI163,0),IF($AB163="RT",ROUND(Proyeccion_Localidades!BF163,0),"*****"))))</f>
        <v>18491</v>
      </c>
      <c r="M163" s="66">
        <f>IF($AB163="TGD",ROUND($E163*(1+$AD163)^(M$4-$E$4),0),IF($AB163="ALTH",ROUND($AE163+$AF163*M$4,0),IF($AB163="IR",ROUND(Proyeccion_Localidades!AJ163,0),IF($AB163="RT",ROUND(Proyeccion_Localidades!BG163,0),"*****"))))</f>
        <v>19318</v>
      </c>
      <c r="N163" s="66">
        <f>IF($AB163="TGD",ROUND($E163*(1+$AD163)^(N$4-$E$4),0),IF($AB163="ALTH",ROUND($AE163+$AF163*N$4,0),IF($AB163="IR",ROUND(Proyeccion_Localidades!AK163,0),IF($AB163="RT",ROUND(Proyeccion_Localidades!BH163,0),"*****"))))</f>
        <v>20181</v>
      </c>
      <c r="O163" s="66">
        <f>IF($AB163="TGD",ROUND($E163*(1+$AD163)^(O$4-$E$4),0),IF($AB163="ALTH",ROUND($AE163+$AF163*O$4,0),IF($AB163="IR",ROUND(Proyeccion_Localidades!AL163,0),IF($AB163="RT",ROUND(Proyeccion_Localidades!BI163,0),"*****"))))</f>
        <v>21083</v>
      </c>
      <c r="P163" s="66">
        <f>IF($AB163="TGD",ROUND($E163*(1+$AD163)^(P$4-$E$4),0),IF($AB163="ALTH",ROUND($AE163+$AF163*P$4,0),IF($AB163="IR",ROUND(Proyeccion_Localidades!AM163,0),IF($AB163="RT",ROUND(Proyeccion_Localidades!BJ163,0),"*****"))))</f>
        <v>22025</v>
      </c>
      <c r="Q163" s="66">
        <f>IF($AB163="TGD",ROUND($E163*(1+$AD163)^(Q$4-$E$4),0),IF($AB163="ALTH",ROUND($AE163+$AF163*Q$4,0),IF($AB163="IR",ROUND(Proyeccion_Localidades!AN163,0),IF($AB163="RT",ROUND(Proyeccion_Localidades!BK163,0),"*****"))))</f>
        <v>23009</v>
      </c>
      <c r="R163" s="66">
        <f>IF($AB163="TGD",ROUND($E163*(1+$AD163)^(R$4-$E$4),0),IF($AB163="ALTH",ROUND($AE163+$AF163*R$4,0),IF($AB163="IR",ROUND(Proyeccion_Localidades!AO163,0),IF($AB163="RT",ROUND(Proyeccion_Localidades!BL163,0),"*****"))))</f>
        <v>24038</v>
      </c>
      <c r="S163" s="66">
        <f>IF($AB163="TGD",ROUND($E163*(1+$AD163)^(S$4-$E$4),0),IF($AB163="ALTH",ROUND($AE163+$AF163*S$4,0),IF($AB163="IR",ROUND(Proyeccion_Localidades!AP163,0),IF($AB163="RT",ROUND(Proyeccion_Localidades!BM163,0),"*****"))))</f>
        <v>25112</v>
      </c>
      <c r="T163" s="66">
        <f>IF($AB163="TGD",ROUND($E163*(1+$AD163)^(T$4-$E$4),0),IF($AB163="ALTH",ROUND($AE163+$AF163*T$4,0),IF($AB163="IR",ROUND(Proyeccion_Localidades!AQ163,0),IF($AB163="RT",ROUND(Proyeccion_Localidades!BN163,0),"*****"))))</f>
        <v>26234</v>
      </c>
      <c r="U163" s="66">
        <f>IF($AB163="TGD",ROUND($E163*(1+$AD163)^(U$4-$E$4),0),IF($AB163="ALTH",ROUND($AE163+$AF163*U$4,0),IF($AB163="IR",ROUND(Proyeccion_Localidades!AR163,0),IF($AB163="RT",ROUND(Proyeccion_Localidades!BO163,0),"*****"))))</f>
        <v>27407</v>
      </c>
      <c r="V163" s="66">
        <f>IF($AB163="TGD",ROUND($E163*(1+$AD163)^(V$4-$E$4),0),IF($AB163="ALTH",ROUND($AE163+$AF163*V$4,0),IF($AB163="IR",ROUND(Proyeccion_Localidades!AS163,0),IF($AB163="RT",ROUND(Proyeccion_Localidades!BP163,0),"*****"))))</f>
        <v>28631</v>
      </c>
      <c r="W163" s="66">
        <f>IF($AB163="TGD",ROUND($E163*(1+$AD163)^(W$4-$E$4),0),IF($AB163="ALTH",ROUND($AE163+$AF163*W$4,0),IF($AB163="IR",ROUND(Proyeccion_Localidades!AT163,0),IF($AB163="RT",ROUND(Proyeccion_Localidades!BQ163,0),"*****"))))</f>
        <v>29911</v>
      </c>
      <c r="X163" s="66">
        <f>IF($AB163="TGD",ROUND($E163*(1+$AD163)^(X$4-$E$4),0),IF($AB163="ALTH",ROUND($AE163+$AF163*X$4,0),IF($AB163="IR",ROUND(Proyeccion_Localidades!AU163,0),IF($AB163="RT",ROUND(Proyeccion_Localidades!BR163,0),"*****"))))</f>
        <v>31248</v>
      </c>
      <c r="Y163" s="66">
        <f>IF($AB163="TGD",ROUND($E163*(1+$AD163)^(Y$4-$E$4),0),IF($AB163="ALTH",ROUND($AE163+$AF163*Y$4,0),IF($AB163="IR",ROUND(Proyeccion_Localidades!AV163,0),IF($AB163="RT",ROUND(Proyeccion_Localidades!BS163,0),"*****"))))</f>
        <v>32644</v>
      </c>
      <c r="Z163" s="66">
        <f>IF($AB163="TGD",ROUND($E163*(1+$AD163)^(Z$4-$E$4),0),IF($AB163="ALTH",ROUND($AE163+$AF163*Z$4,0),IF($AB163="IR",ROUND(Proyeccion_Localidades!AW163,0),IF($AB163="RT",ROUND(Proyeccion_Localidades!BT163,0),"*****"))))</f>
        <v>34103</v>
      </c>
      <c r="AA163" s="66">
        <f>IF($AB163="TGD",ROUND($E163*(1+$AD163)^(AA$4-$E$4),0),IF($AB163="ALTH",ROUND($AE163+$AF163*AA$4,0),IF($AB163="IR",ROUND(Proyeccion_Localidades!AX163,0),IF($AB163="RT",ROUND(Proyeccion_Localidades!BU163,0),"*****"))))</f>
        <v>35627</v>
      </c>
      <c r="AB163" s="100" t="str">
        <f>Proyeccion_Localidades!N163</f>
        <v>TGD</v>
      </c>
      <c r="AC163" s="68" t="s">
        <v>35</v>
      </c>
      <c r="AD163" s="51">
        <f>IF(AB163="TGD",Proyeccion_Localidades!Z163,"-")</f>
        <v>4.4689760893204422E-2</v>
      </c>
      <c r="AE163" s="51" t="str">
        <f>IF($AB163="ALTH",Proyeccion_Localidades!AA163,"-")</f>
        <v>-</v>
      </c>
      <c r="AF163" s="51" t="str">
        <f>IF($AB163="ALTH",Proyeccion_Localidades!AB163,"-")</f>
        <v>-</v>
      </c>
      <c r="AG163" s="81"/>
      <c r="AH163" s="81"/>
      <c r="AI163" s="96">
        <f t="shared" si="8"/>
        <v>13616</v>
      </c>
      <c r="AJ163" s="97"/>
      <c r="AK163" s="97"/>
      <c r="AL163" s="97"/>
      <c r="AO163" s="97"/>
      <c r="AP163" s="97"/>
      <c r="AQ163" s="97"/>
    </row>
    <row r="164" spans="1:43" s="98" customFormat="1" ht="24.95" customHeight="1">
      <c r="A164" s="74" t="s">
        <v>56</v>
      </c>
      <c r="B164" s="75">
        <v>149.1</v>
      </c>
      <c r="C164" s="89" t="s">
        <v>57</v>
      </c>
      <c r="D164" s="261">
        <f t="shared" si="9"/>
        <v>149.1</v>
      </c>
      <c r="E164" s="77">
        <f>ROUND(G164/G163*E163,0)</f>
        <v>12163</v>
      </c>
      <c r="F164" s="94">
        <f>INDEX(Turísticas!$A$5:$AA$15,MATCH("Santa Clara del Mar",Turísticas!$A$5:$A$15,0),MATCH(Verif!F$4,Turísticas!$B$4:$AA$4,0)+1)</f>
        <v>20553</v>
      </c>
      <c r="G164" s="94">
        <f>INDEX(Turísticas!$A$5:$AA$15,MATCH("Santa Clara del Mar",Turísticas!$A$5:$A$15,0),MATCH(Verif!G$4,Turísticas!$B$4:$AA$4,0)+1)</f>
        <v>21471</v>
      </c>
      <c r="H164" s="94">
        <f>INDEX(Turísticas!$A$5:$AA$15,MATCH("Santa Clara del Mar",Turísticas!$A$5:$A$15,0),MATCH(Verif!H$4,Turísticas!$B$4:$AA$4,0)+1)</f>
        <v>24481</v>
      </c>
      <c r="I164" s="94">
        <f>INDEX(Turísticas!$A$5:$AA$15,MATCH("Santa Clara del Mar",Turísticas!$A$5:$A$15,0),MATCH(Verif!I$4,Turísticas!$B$4:$AA$4,0)+1)</f>
        <v>25574</v>
      </c>
      <c r="J164" s="94">
        <f>INDEX(Turísticas!$A$5:$AA$15,MATCH("Santa Clara del Mar",Turísticas!$A$5:$A$15,0),MATCH(Verif!J$4,Turísticas!$B$4:$AA$4,0)+1)</f>
        <v>26717</v>
      </c>
      <c r="K164" s="94">
        <f>INDEX(Turísticas!$A$5:$AA$15,MATCH("Santa Clara del Mar",Turísticas!$A$5:$A$15,0),MATCH(Verif!K$4,Turísticas!$B$4:$AA$4,0)+1)</f>
        <v>27911</v>
      </c>
      <c r="L164" s="94">
        <f>INDEX(Turísticas!$A$5:$AA$15,MATCH("Santa Clara del Mar",Turísticas!$A$5:$A$15,0),MATCH(Verif!L$4,Turísticas!$B$4:$AA$4,0)+1)</f>
        <v>29158</v>
      </c>
      <c r="M164" s="94">
        <f>INDEX(Turísticas!$A$5:$AA$15,MATCH("Santa Clara del Mar",Turísticas!$A$5:$A$15,0),MATCH(Verif!M$4,Turísticas!$B$4:$AA$4,0)+1)</f>
        <v>30462</v>
      </c>
      <c r="N164" s="94">
        <f>INDEX(Turísticas!$A$5:$AA$15,MATCH("Santa Clara del Mar",Turísticas!$A$5:$A$15,0),MATCH(Verif!N$4,Turísticas!$B$4:$AA$4,0)+1)</f>
        <v>31823</v>
      </c>
      <c r="O164" s="94">
        <f>INDEX(Turísticas!$A$5:$AA$15,MATCH("Santa Clara del Mar",Turísticas!$A$5:$A$15,0),MATCH(Verif!O$4,Turísticas!$B$4:$AA$4,0)+1)</f>
        <v>33245</v>
      </c>
      <c r="P164" s="94">
        <f>INDEX(Turísticas!$A$5:$AA$15,MATCH("Santa Clara del Mar",Turísticas!$A$5:$A$15,0),MATCH(Verif!P$4,Turísticas!$B$4:$AA$4,0)+1)</f>
        <v>34730</v>
      </c>
      <c r="Q164" s="94">
        <f>INDEX(Turísticas!$A$5:$AA$15,MATCH("Santa Clara del Mar",Turísticas!$A$5:$A$15,0),MATCH(Verif!Q$4,Turísticas!$B$4:$AA$4,0)+1)</f>
        <v>36282</v>
      </c>
      <c r="R164" s="94">
        <f>INDEX(Turísticas!$A$5:$AA$15,MATCH("Santa Clara del Mar",Turísticas!$A$5:$A$15,0),MATCH(Verif!R$4,Turísticas!$B$4:$AA$4,0)+1)</f>
        <v>37905</v>
      </c>
      <c r="S164" s="94">
        <f>INDEX(Turísticas!$A$5:$AA$15,MATCH("Santa Clara del Mar",Turísticas!$A$5:$A$15,0),MATCH(Verif!S$4,Turísticas!$B$4:$AA$4,0)+1)</f>
        <v>39599</v>
      </c>
      <c r="T164" s="94">
        <f>INDEX(Turísticas!$A$5:$AA$15,MATCH("Santa Clara del Mar",Turísticas!$A$5:$A$15,0),MATCH(Verif!T$4,Turísticas!$B$4:$AA$4,0)+1)</f>
        <v>41368</v>
      </c>
      <c r="U164" s="94">
        <f>INDEX(Turísticas!$A$5:$AA$15,MATCH("Santa Clara del Mar",Turísticas!$A$5:$A$15,0),MATCH(Verif!U$4,Turísticas!$B$4:$AA$4,0)+1)</f>
        <v>43218</v>
      </c>
      <c r="V164" s="94">
        <f>INDEX(Turísticas!$A$5:$AA$15,MATCH("Santa Clara del Mar",Turísticas!$A$5:$A$15,0),MATCH(Verif!V$4,Turísticas!$B$4:$AA$4,0)+1)</f>
        <v>45148</v>
      </c>
      <c r="W164" s="94">
        <f>INDEX(Turísticas!$A$5:$AA$15,MATCH("Santa Clara del Mar",Turísticas!$A$5:$A$15,0),MATCH(Verif!W$4,Turísticas!$B$4:$AA$4,0)+1)</f>
        <v>47166</v>
      </c>
      <c r="X164" s="94">
        <f>INDEX(Turísticas!$A$5:$AA$15,MATCH("Santa Clara del Mar",Turísticas!$A$5:$A$15,0),MATCH(Verif!X$4,Turísticas!$B$4:$AA$4,0)+1)</f>
        <v>49274</v>
      </c>
      <c r="Y164" s="94">
        <f>INDEX(Turísticas!$A$5:$AA$15,MATCH("Santa Clara del Mar",Turísticas!$A$5:$A$15,0),MATCH(Verif!Y$4,Turísticas!$B$4:$AA$4,0)+1)</f>
        <v>51475</v>
      </c>
      <c r="Z164" s="94">
        <f>INDEX(Turísticas!$A$5:$AA$15,MATCH("Santa Clara del Mar",Turísticas!$A$5:$A$15,0),MATCH(Verif!Z$4,Turísticas!$B$4:$AA$4,0)+1)</f>
        <v>53776</v>
      </c>
      <c r="AA164" s="94">
        <f>INDEX(Turísticas!$A$5:$AA$15,MATCH("Santa Clara del Mar",Turísticas!$A$5:$A$15,0),MATCH(Verif!AA$4,Turísticas!$B$4:$AA$4,0)+1)</f>
        <v>56179</v>
      </c>
      <c r="AB164" s="102" t="s">
        <v>39</v>
      </c>
      <c r="AC164" s="99"/>
      <c r="AD164" s="51" t="str">
        <f>IF(AB164="TGD",Proyeccion_Localidades!Z164,"-")</f>
        <v>-</v>
      </c>
      <c r="AE164" s="51" t="str">
        <f>IF($AB164="ALTH",Proyeccion_Localidades!AA164,"-")</f>
        <v>-</v>
      </c>
      <c r="AF164" s="51" t="str">
        <f>IF($AB164="ALTH",Proyeccion_Localidades!AB164,"-")</f>
        <v>-</v>
      </c>
      <c r="AG164" s="81"/>
      <c r="AH164" s="81"/>
      <c r="AI164" s="96">
        <f t="shared" si="8"/>
        <v>21471</v>
      </c>
      <c r="AJ164" s="97"/>
      <c r="AK164" s="97"/>
      <c r="AL164" s="97"/>
      <c r="AO164" s="97"/>
      <c r="AP164" s="97"/>
      <c r="AQ164" s="97"/>
    </row>
    <row r="165" spans="1:43" s="98" customFormat="1" ht="24.95" customHeight="1">
      <c r="A165" s="84" t="str">
        <f>+Proyeccion_Localidades!C165</f>
        <v>Puán</v>
      </c>
      <c r="B165" s="70">
        <f>+B163+1</f>
        <v>150</v>
      </c>
      <c r="C165" s="87" t="str">
        <f>+Proyeccion_Localidades!B165</f>
        <v>Darregueira</v>
      </c>
      <c r="D165" s="261">
        <f t="shared" si="9"/>
        <v>150</v>
      </c>
      <c r="E165" s="72">
        <f>+Proyeccion_Localidades!F165</f>
        <v>5547</v>
      </c>
      <c r="F165" s="66">
        <f>IF($AB165="TGD",ROUND($E165*(1+$AD165)^(F$4-$E$4),0),IF($AB165="ALTH",ROUND($AE165+$AF165*F$4,0),IF($AB165="IR",ROUND(Proyeccion_Localidades!AC165,0),IF($AB165="RT",ROUND(Proyeccion_Localidades!AZ165,0),"*****"))))</f>
        <v>5656</v>
      </c>
      <c r="G165" s="66">
        <f>IF($AB165="TGD",ROUND($E165*(1+$AD165)^(G$4-$E$4),0),IF($AB165="ALTH",ROUND($AE165+$AF165*G$4,0),IF($AB165="IR",ROUND(Proyeccion_Localidades!AD165,0),IF($AB165="RT",ROUND(Proyeccion_Localidades!BA165,0),"*****"))))</f>
        <v>5665</v>
      </c>
      <c r="H165" s="66">
        <f>IF($AB165="TGD",ROUND($E165*(1+$AD165)^(H$4-$E$4),0),IF($AB165="ALTH",ROUND($AE165+$AF165*H$4,0),IF($AB165="IR",ROUND(Proyeccion_Localidades!AE165,0),IF($AB165="RT",ROUND(Proyeccion_Localidades!BB165,0),"*****"))))</f>
        <v>5692</v>
      </c>
      <c r="I165" s="66">
        <f>IF($AB165="TGD",ROUND($E165*(1+$AD165)^(I$4-$E$4),0),IF($AB165="ALTH",ROUND($AE165+$AF165*I$4,0),IF($AB165="IR",ROUND(Proyeccion_Localidades!AF165,0),IF($AB165="RT",ROUND(Proyeccion_Localidades!BC165,0),"*****"))))</f>
        <v>5701</v>
      </c>
      <c r="J165" s="66">
        <f>IF($AB165="TGD",ROUND($E165*(1+$AD165)^(J$4-$E$4),0),IF($AB165="ALTH",ROUND($AE165+$AF165*J$4,0),IF($AB165="IR",ROUND(Proyeccion_Localidades!AG165,0),IF($AB165="RT",ROUND(Proyeccion_Localidades!BD165,0),"*****"))))</f>
        <v>5711</v>
      </c>
      <c r="K165" s="66">
        <f>IF($AB165="TGD",ROUND($E165*(1+$AD165)^(K$4-$E$4),0),IF($AB165="ALTH",ROUND($AE165+$AF165*K$4,0),IF($AB165="IR",ROUND(Proyeccion_Localidades!AH165,0),IF($AB165="RT",ROUND(Proyeccion_Localidades!BE165,0),"*****"))))</f>
        <v>5720</v>
      </c>
      <c r="L165" s="66">
        <f>IF($AB165="TGD",ROUND($E165*(1+$AD165)^(L$4-$E$4),0),IF($AB165="ALTH",ROUND($AE165+$AF165*L$4,0),IF($AB165="IR",ROUND(Proyeccion_Localidades!AI165,0),IF($AB165="RT",ROUND(Proyeccion_Localidades!BF165,0),"*****"))))</f>
        <v>5729</v>
      </c>
      <c r="M165" s="66">
        <f>IF($AB165="TGD",ROUND($E165*(1+$AD165)^(M$4-$E$4),0),IF($AB165="ALTH",ROUND($AE165+$AF165*M$4,0),IF($AB165="IR",ROUND(Proyeccion_Localidades!AJ165,0),IF($AB165="RT",ROUND(Proyeccion_Localidades!BG165,0),"*****"))))</f>
        <v>5738</v>
      </c>
      <c r="N165" s="66">
        <f>IF($AB165="TGD",ROUND($E165*(1+$AD165)^(N$4-$E$4),0),IF($AB165="ALTH",ROUND($AE165+$AF165*N$4,0),IF($AB165="IR",ROUND(Proyeccion_Localidades!AK165,0),IF($AB165="RT",ROUND(Proyeccion_Localidades!BH165,0),"*****"))))</f>
        <v>5748</v>
      </c>
      <c r="O165" s="66">
        <f>IF($AB165="TGD",ROUND($E165*(1+$AD165)^(O$4-$E$4),0),IF($AB165="ALTH",ROUND($AE165+$AF165*O$4,0),IF($AB165="IR",ROUND(Proyeccion_Localidades!AL165,0),IF($AB165="RT",ROUND(Proyeccion_Localidades!BI165,0),"*****"))))</f>
        <v>5757</v>
      </c>
      <c r="P165" s="66">
        <f>IF($AB165="TGD",ROUND($E165*(1+$AD165)^(P$4-$E$4),0),IF($AB165="ALTH",ROUND($AE165+$AF165*P$4,0),IF($AB165="IR",ROUND(Proyeccion_Localidades!AM165,0),IF($AB165="RT",ROUND(Proyeccion_Localidades!BJ165,0),"*****"))))</f>
        <v>5766</v>
      </c>
      <c r="Q165" s="66">
        <f>IF($AB165="TGD",ROUND($E165*(1+$AD165)^(Q$4-$E$4),0),IF($AB165="ALTH",ROUND($AE165+$AF165*Q$4,0),IF($AB165="IR",ROUND(Proyeccion_Localidades!AN165,0),IF($AB165="RT",ROUND(Proyeccion_Localidades!BK165,0),"*****"))))</f>
        <v>5776</v>
      </c>
      <c r="R165" s="66">
        <f>IF($AB165="TGD",ROUND($E165*(1+$AD165)^(R$4-$E$4),0),IF($AB165="ALTH",ROUND($AE165+$AF165*R$4,0),IF($AB165="IR",ROUND(Proyeccion_Localidades!AO165,0),IF($AB165="RT",ROUND(Proyeccion_Localidades!BL165,0),"*****"))))</f>
        <v>5785</v>
      </c>
      <c r="S165" s="66">
        <f>IF($AB165="TGD",ROUND($E165*(1+$AD165)^(S$4-$E$4),0),IF($AB165="ALTH",ROUND($AE165+$AF165*S$4,0),IF($AB165="IR",ROUND(Proyeccion_Localidades!AP165,0),IF($AB165="RT",ROUND(Proyeccion_Localidades!BM165,0),"*****"))))</f>
        <v>5794</v>
      </c>
      <c r="T165" s="66">
        <f>IF($AB165="TGD",ROUND($E165*(1+$AD165)^(T$4-$E$4),0),IF($AB165="ALTH",ROUND($AE165+$AF165*T$4,0),IF($AB165="IR",ROUND(Proyeccion_Localidades!AQ165,0),IF($AB165="RT",ROUND(Proyeccion_Localidades!BN165,0),"*****"))))</f>
        <v>5804</v>
      </c>
      <c r="U165" s="66">
        <f>IF($AB165="TGD",ROUND($E165*(1+$AD165)^(U$4-$E$4),0),IF($AB165="ALTH",ROUND($AE165+$AF165*U$4,0),IF($AB165="IR",ROUND(Proyeccion_Localidades!AR165,0),IF($AB165="RT",ROUND(Proyeccion_Localidades!BO165,0),"*****"))))</f>
        <v>5813</v>
      </c>
      <c r="V165" s="66">
        <f>IF($AB165="TGD",ROUND($E165*(1+$AD165)^(V$4-$E$4),0),IF($AB165="ALTH",ROUND($AE165+$AF165*V$4,0),IF($AB165="IR",ROUND(Proyeccion_Localidades!AS165,0),IF($AB165="RT",ROUND(Proyeccion_Localidades!BP165,0),"*****"))))</f>
        <v>5823</v>
      </c>
      <c r="W165" s="66">
        <f>IF($AB165="TGD",ROUND($E165*(1+$AD165)^(W$4-$E$4),0),IF($AB165="ALTH",ROUND($AE165+$AF165*W$4,0),IF($AB165="IR",ROUND(Proyeccion_Localidades!AT165,0),IF($AB165="RT",ROUND(Proyeccion_Localidades!BQ165,0),"*****"))))</f>
        <v>5832</v>
      </c>
      <c r="X165" s="66">
        <f>IF($AB165="TGD",ROUND($E165*(1+$AD165)^(X$4-$E$4),0),IF($AB165="ALTH",ROUND($AE165+$AF165*X$4,0),IF($AB165="IR",ROUND(Proyeccion_Localidades!AU165,0),IF($AB165="RT",ROUND(Proyeccion_Localidades!BR165,0),"*****"))))</f>
        <v>5841</v>
      </c>
      <c r="Y165" s="66">
        <f>IF($AB165="TGD",ROUND($E165*(1+$AD165)^(Y$4-$E$4),0),IF($AB165="ALTH",ROUND($AE165+$AF165*Y$4,0),IF($AB165="IR",ROUND(Proyeccion_Localidades!AV165,0),IF($AB165="RT",ROUND(Proyeccion_Localidades!BS165,0),"*****"))))</f>
        <v>5851</v>
      </c>
      <c r="Z165" s="66">
        <f>IF($AB165="TGD",ROUND($E165*(1+$AD165)^(Z$4-$E$4),0),IF($AB165="ALTH",ROUND($AE165+$AF165*Z$4,0),IF($AB165="IR",ROUND(Proyeccion_Localidades!AW165,0),IF($AB165="RT",ROUND(Proyeccion_Localidades!BT165,0),"*****"))))</f>
        <v>5860</v>
      </c>
      <c r="AA165" s="66">
        <f>IF($AB165="TGD",ROUND($E165*(1+$AD165)^(AA$4-$E$4),0),IF($AB165="ALTH",ROUND($AE165+$AF165*AA$4,0),IF($AB165="IR",ROUND(Proyeccion_Localidades!AX165,0),IF($AB165="RT",ROUND(Proyeccion_Localidades!BU165,0),"*****"))))</f>
        <v>5870</v>
      </c>
      <c r="AB165" s="100" t="str">
        <f>Proyeccion_Localidades!N165</f>
        <v>TGD</v>
      </c>
      <c r="AC165" s="68" t="s">
        <v>35</v>
      </c>
      <c r="AD165" s="51">
        <f>IF(AB165="TGD",Proyeccion_Localidades!Z165,"-")</f>
        <v>1.6172704411440142E-3</v>
      </c>
      <c r="AE165" s="51" t="str">
        <f>IF($AB165="ALTH",Proyeccion_Localidades!AA165,"-")</f>
        <v>-</v>
      </c>
      <c r="AF165" s="51" t="str">
        <f>IF($AB165="ALTH",Proyeccion_Localidades!AB165,"-")</f>
        <v>-</v>
      </c>
      <c r="AG165" s="81"/>
      <c r="AH165" s="81"/>
      <c r="AI165" s="96">
        <f t="shared" si="8"/>
        <v>5665</v>
      </c>
      <c r="AJ165" s="97"/>
      <c r="AK165" s="97"/>
      <c r="AL165" s="97"/>
      <c r="AO165" s="97"/>
      <c r="AP165" s="97"/>
      <c r="AQ165" s="97"/>
    </row>
    <row r="166" spans="1:43" s="98" customFormat="1" ht="24.95" customHeight="1">
      <c r="A166" s="84" t="str">
        <f>+Proyeccion_Localidades!C166</f>
        <v>Ramallo</v>
      </c>
      <c r="B166" s="70">
        <f t="shared" si="10"/>
        <v>151</v>
      </c>
      <c r="C166" s="87" t="str">
        <f>+Proyeccion_Localidades!B166</f>
        <v>Villa Ramallo</v>
      </c>
      <c r="D166" s="261">
        <f t="shared" si="9"/>
        <v>151</v>
      </c>
      <c r="E166" s="72">
        <f>+Proyeccion_Localidades!F166</f>
        <v>11280</v>
      </c>
      <c r="F166" s="66">
        <f>IF($AB166="TGD",ROUND($E166*(1+$AD166)^(F$4-$E$4),0),IF($AB166="ALTH",ROUND($AE166+$AF166*F$4,0),IF($AB166="IR",ROUND(Proyeccion_Localidades!AC166,0),IF($AB166="RT",ROUND(Proyeccion_Localidades!AZ166,0),"*****"))))</f>
        <v>12340</v>
      </c>
      <c r="G166" s="66">
        <f>IF($AB166="TGD",ROUND($E166*(1+$AD166)^(G$4-$E$4),0),IF($AB166="ALTH",ROUND($AE166+$AF166*G$4,0),IF($AB166="IR",ROUND(Proyeccion_Localidades!AD166,0),IF($AB166="RT",ROUND(Proyeccion_Localidades!BA166,0),"*****"))))</f>
        <v>12433</v>
      </c>
      <c r="H166" s="66">
        <f>IF($AB166="TGD",ROUND($E166*(1+$AD166)^(H$4-$E$4),0),IF($AB166="ALTH",ROUND($AE166+$AF166*H$4,0),IF($AB166="IR",ROUND(Proyeccion_Localidades!AE166,0),IF($AB166="RT",ROUND(Proyeccion_Localidades!BB166,0),"*****"))))</f>
        <v>12715</v>
      </c>
      <c r="I166" s="66">
        <f>IF($AB166="TGD",ROUND($E166*(1+$AD166)^(I$4-$E$4),0),IF($AB166="ALTH",ROUND($AE166+$AF166*I$4,0),IF($AB166="IR",ROUND(Proyeccion_Localidades!AF166,0),IF($AB166="RT",ROUND(Proyeccion_Localidades!BC166,0),"*****"))))</f>
        <v>12810</v>
      </c>
      <c r="J166" s="66">
        <f>IF($AB166="TGD",ROUND($E166*(1+$AD166)^(J$4-$E$4),0),IF($AB166="ALTH",ROUND($AE166+$AF166*J$4,0),IF($AB166="IR",ROUND(Proyeccion_Localidades!AG166,0),IF($AB166="RT",ROUND(Proyeccion_Localidades!BD166,0),"*****"))))</f>
        <v>12907</v>
      </c>
      <c r="K166" s="66">
        <f>IF($AB166="TGD",ROUND($E166*(1+$AD166)^(K$4-$E$4),0),IF($AB166="ALTH",ROUND($AE166+$AF166*K$4,0),IF($AB166="IR",ROUND(Proyeccion_Localidades!AH166,0),IF($AB166="RT",ROUND(Proyeccion_Localidades!BE166,0),"*****"))))</f>
        <v>13003</v>
      </c>
      <c r="L166" s="66">
        <f>IF($AB166="TGD",ROUND($E166*(1+$AD166)^(L$4-$E$4),0),IF($AB166="ALTH",ROUND($AE166+$AF166*L$4,0),IF($AB166="IR",ROUND(Proyeccion_Localidades!AI166,0),IF($AB166="RT",ROUND(Proyeccion_Localidades!BF166,0),"*****"))))</f>
        <v>13101</v>
      </c>
      <c r="M166" s="66">
        <f>IF($AB166="TGD",ROUND($E166*(1+$AD166)^(M$4-$E$4),0),IF($AB166="ALTH",ROUND($AE166+$AF166*M$4,0),IF($AB166="IR",ROUND(Proyeccion_Localidades!AJ166,0),IF($AB166="RT",ROUND(Proyeccion_Localidades!BG166,0),"*****"))))</f>
        <v>13200</v>
      </c>
      <c r="N166" s="66">
        <f>IF($AB166="TGD",ROUND($E166*(1+$AD166)^(N$4-$E$4),0),IF($AB166="ALTH",ROUND($AE166+$AF166*N$4,0),IF($AB166="IR",ROUND(Proyeccion_Localidades!AK166,0),IF($AB166="RT",ROUND(Proyeccion_Localidades!BH166,0),"*****"))))</f>
        <v>13299</v>
      </c>
      <c r="O166" s="66">
        <f>IF($AB166="TGD",ROUND($E166*(1+$AD166)^(O$4-$E$4),0),IF($AB166="ALTH",ROUND($AE166+$AF166*O$4,0),IF($AB166="IR",ROUND(Proyeccion_Localidades!AL166,0),IF($AB166="RT",ROUND(Proyeccion_Localidades!BI166,0),"*****"))))</f>
        <v>13399</v>
      </c>
      <c r="P166" s="66">
        <f>IF($AB166="TGD",ROUND($E166*(1+$AD166)^(P$4-$E$4),0),IF($AB166="ALTH",ROUND($AE166+$AF166*P$4,0),IF($AB166="IR",ROUND(Proyeccion_Localidades!AM166,0),IF($AB166="RT",ROUND(Proyeccion_Localidades!BJ166,0),"*****"))))</f>
        <v>13499</v>
      </c>
      <c r="Q166" s="66">
        <f>IF($AB166="TGD",ROUND($E166*(1+$AD166)^(Q$4-$E$4),0),IF($AB166="ALTH",ROUND($AE166+$AF166*Q$4,0),IF($AB166="IR",ROUND(Proyeccion_Localidades!AN166,0),IF($AB166="RT",ROUND(Proyeccion_Localidades!BK166,0),"*****"))))</f>
        <v>13601</v>
      </c>
      <c r="R166" s="66">
        <f>IF($AB166="TGD",ROUND($E166*(1+$AD166)^(R$4-$E$4),0),IF($AB166="ALTH",ROUND($AE166+$AF166*R$4,0),IF($AB166="IR",ROUND(Proyeccion_Localidades!AO166,0),IF($AB166="RT",ROUND(Proyeccion_Localidades!BL166,0),"*****"))))</f>
        <v>13703</v>
      </c>
      <c r="S166" s="66">
        <f>IF($AB166="TGD",ROUND($E166*(1+$AD166)^(S$4-$E$4),0),IF($AB166="ALTH",ROUND($AE166+$AF166*S$4,0),IF($AB166="IR",ROUND(Proyeccion_Localidades!AP166,0),IF($AB166="RT",ROUND(Proyeccion_Localidades!BM166,0),"*****"))))</f>
        <v>13806</v>
      </c>
      <c r="T166" s="66">
        <f>IF($AB166="TGD",ROUND($E166*(1+$AD166)^(T$4-$E$4),0),IF($AB166="ALTH",ROUND($AE166+$AF166*T$4,0),IF($AB166="IR",ROUND(Proyeccion_Localidades!AQ166,0),IF($AB166="RT",ROUND(Proyeccion_Localidades!BN166,0),"*****"))))</f>
        <v>13909</v>
      </c>
      <c r="U166" s="66">
        <f>IF($AB166="TGD",ROUND($E166*(1+$AD166)^(U$4-$E$4),0),IF($AB166="ALTH",ROUND($AE166+$AF166*U$4,0),IF($AB166="IR",ROUND(Proyeccion_Localidades!AR166,0),IF($AB166="RT",ROUND(Proyeccion_Localidades!BO166,0),"*****"))))</f>
        <v>14014</v>
      </c>
      <c r="V166" s="66">
        <f>IF($AB166="TGD",ROUND($E166*(1+$AD166)^(V$4-$E$4),0),IF($AB166="ALTH",ROUND($AE166+$AF166*V$4,0),IF($AB166="IR",ROUND(Proyeccion_Localidades!AS166,0),IF($AB166="RT",ROUND(Proyeccion_Localidades!BP166,0),"*****"))))</f>
        <v>14119</v>
      </c>
      <c r="W166" s="66">
        <f>IF($AB166="TGD",ROUND($E166*(1+$AD166)^(W$4-$E$4),0),IF($AB166="ALTH",ROUND($AE166+$AF166*W$4,0),IF($AB166="IR",ROUND(Proyeccion_Localidades!AT166,0),IF($AB166="RT",ROUND(Proyeccion_Localidades!BQ166,0),"*****"))))</f>
        <v>14225</v>
      </c>
      <c r="X166" s="66">
        <f>IF($AB166="TGD",ROUND($E166*(1+$AD166)^(X$4-$E$4),0),IF($AB166="ALTH",ROUND($AE166+$AF166*X$4,0),IF($AB166="IR",ROUND(Proyeccion_Localidades!AU166,0),IF($AB166="RT",ROUND(Proyeccion_Localidades!BR166,0),"*****"))))</f>
        <v>14332</v>
      </c>
      <c r="Y166" s="66">
        <f>IF($AB166="TGD",ROUND($E166*(1+$AD166)^(Y$4-$E$4),0),IF($AB166="ALTH",ROUND($AE166+$AF166*Y$4,0),IF($AB166="IR",ROUND(Proyeccion_Localidades!AV166,0),IF($AB166="RT",ROUND(Proyeccion_Localidades!BS166,0),"*****"))))</f>
        <v>14440</v>
      </c>
      <c r="Z166" s="66">
        <f>IF($AB166="TGD",ROUND($E166*(1+$AD166)^(Z$4-$E$4),0),IF($AB166="ALTH",ROUND($AE166+$AF166*Z$4,0),IF($AB166="IR",ROUND(Proyeccion_Localidades!AW166,0),IF($AB166="RT",ROUND(Proyeccion_Localidades!BT166,0),"*****"))))</f>
        <v>14548</v>
      </c>
      <c r="AA166" s="66">
        <f>IF($AB166="TGD",ROUND($E166*(1+$AD166)^(AA$4-$E$4),0),IF($AB166="ALTH",ROUND($AE166+$AF166*AA$4,0),IF($AB166="IR",ROUND(Proyeccion_Localidades!AX166,0),IF($AB166="RT",ROUND(Proyeccion_Localidades!BU166,0),"*****"))))</f>
        <v>14657</v>
      </c>
      <c r="AB166" s="100" t="str">
        <f>Proyeccion_Localidades!N166</f>
        <v>TGD</v>
      </c>
      <c r="AC166" s="68" t="s">
        <v>35</v>
      </c>
      <c r="AD166" s="51">
        <f>IF(AB166="TGD",Proyeccion_Localidades!Z166,"-")</f>
        <v>7.511422743409879E-3</v>
      </c>
      <c r="AE166" s="51" t="str">
        <f>IF($AB166="ALTH",Proyeccion_Localidades!AA166,"-")</f>
        <v>-</v>
      </c>
      <c r="AF166" s="51" t="str">
        <f>IF($AB166="ALTH",Proyeccion_Localidades!AB166,"-")</f>
        <v>-</v>
      </c>
      <c r="AG166" s="81"/>
      <c r="AH166" s="81"/>
      <c r="AI166" s="96">
        <f t="shared" si="8"/>
        <v>12433</v>
      </c>
      <c r="AJ166" s="97"/>
      <c r="AK166" s="97"/>
      <c r="AL166" s="97"/>
      <c r="AO166" s="97"/>
      <c r="AP166" s="97"/>
      <c r="AQ166" s="97"/>
    </row>
    <row r="167" spans="1:43" s="98" customFormat="1" ht="24.95" customHeight="1">
      <c r="A167" s="84" t="str">
        <f>+Proyeccion_Localidades!C167</f>
        <v>Tornquist</v>
      </c>
      <c r="B167" s="70">
        <f t="shared" si="10"/>
        <v>152</v>
      </c>
      <c r="C167" s="87" t="str">
        <f>+Proyeccion_Localidades!B167</f>
        <v>Sierra de la Ventana</v>
      </c>
      <c r="D167" s="261">
        <f t="shared" si="9"/>
        <v>152</v>
      </c>
      <c r="E167" s="72">
        <f>+Proyeccion_Localidades!F167</f>
        <v>2165</v>
      </c>
      <c r="F167" s="66">
        <f>IF($AB167="TGD",ROUND($E167*(1+$AD167)^(F$4-$E$4),0),IF($AB167="ALTH",ROUND($AE167+$AF167*F$4,0),IF($AB167="IR",ROUND(Proyeccion_Localidades!AC167,0),IF($AB167="RT",ROUND(Proyeccion_Localidades!AZ167,0),"*****"))))</f>
        <v>3488</v>
      </c>
      <c r="G167" s="66">
        <f>IF($AB167="TGD",ROUND($E167*(1+$AD167)^(G$4-$E$4),0),IF($AB167="ALTH",ROUND($AE167+$AF167*G$4,0),IF($AB167="IR",ROUND(Proyeccion_Localidades!AD167,0),IF($AB167="RT",ROUND(Proyeccion_Localidades!BA167,0),"*****"))))</f>
        <v>3629</v>
      </c>
      <c r="H167" s="66">
        <f>IF($AB167="TGD",ROUND($E167*(1+$AD167)^(H$4-$E$4),0),IF($AB167="ALTH",ROUND($AE167+$AF167*H$4,0),IF($AB167="IR",ROUND(Proyeccion_Localidades!AE167,0),IF($AB167="RT",ROUND(Proyeccion_Localidades!BB167,0),"*****"))))</f>
        <v>4089</v>
      </c>
      <c r="I167" s="66">
        <f>IF($AB167="TGD",ROUND($E167*(1+$AD167)^(I$4-$E$4),0),IF($AB167="ALTH",ROUND($AE167+$AF167*I$4,0),IF($AB167="IR",ROUND(Proyeccion_Localidades!AF167,0),IF($AB167="RT",ROUND(Proyeccion_Localidades!BC167,0),"*****"))))</f>
        <v>4255</v>
      </c>
      <c r="J167" s="66">
        <f>IF($AB167="TGD",ROUND($E167*(1+$AD167)^(J$4-$E$4),0),IF($AB167="ALTH",ROUND($AE167+$AF167*J$4,0),IF($AB167="IR",ROUND(Proyeccion_Localidades!AG167,0),IF($AB167="RT",ROUND(Proyeccion_Localidades!BD167,0),"*****"))))</f>
        <v>4427</v>
      </c>
      <c r="K167" s="66">
        <f>IF($AB167="TGD",ROUND($E167*(1+$AD167)^(K$4-$E$4),0),IF($AB167="ALTH",ROUND($AE167+$AF167*K$4,0),IF($AB167="IR",ROUND(Proyeccion_Localidades!AH167,0),IF($AB167="RT",ROUND(Proyeccion_Localidades!BE167,0),"*****"))))</f>
        <v>4607</v>
      </c>
      <c r="L167" s="66">
        <f>IF($AB167="TGD",ROUND($E167*(1+$AD167)^(L$4-$E$4),0),IF($AB167="ALTH",ROUND($AE167+$AF167*L$4,0),IF($AB167="IR",ROUND(Proyeccion_Localidades!AI167,0),IF($AB167="RT",ROUND(Proyeccion_Localidades!BF167,0),"*****"))))</f>
        <v>4793</v>
      </c>
      <c r="M167" s="66">
        <f>IF($AB167="TGD",ROUND($E167*(1+$AD167)^(M$4-$E$4),0),IF($AB167="ALTH",ROUND($AE167+$AF167*M$4,0),IF($AB167="IR",ROUND(Proyeccion_Localidades!AJ167,0),IF($AB167="RT",ROUND(Proyeccion_Localidades!BG167,0),"*****"))))</f>
        <v>4988</v>
      </c>
      <c r="N167" s="66">
        <f>IF($AB167="TGD",ROUND($E167*(1+$AD167)^(N$4-$E$4),0),IF($AB167="ALTH",ROUND($AE167+$AF167*N$4,0),IF($AB167="IR",ROUND(Proyeccion_Localidades!AK167,0),IF($AB167="RT",ROUND(Proyeccion_Localidades!BH167,0),"*****"))))</f>
        <v>5190</v>
      </c>
      <c r="O167" s="66">
        <f>IF($AB167="TGD",ROUND($E167*(1+$AD167)^(O$4-$E$4),0),IF($AB167="ALTH",ROUND($AE167+$AF167*O$4,0),IF($AB167="IR",ROUND(Proyeccion_Localidades!AL167,0),IF($AB167="RT",ROUND(Proyeccion_Localidades!BI167,0),"*****"))))</f>
        <v>5400</v>
      </c>
      <c r="P167" s="66">
        <f>IF($AB167="TGD",ROUND($E167*(1+$AD167)^(P$4-$E$4),0),IF($AB167="ALTH",ROUND($AE167+$AF167*P$4,0),IF($AB167="IR",ROUND(Proyeccion_Localidades!AM167,0),IF($AB167="RT",ROUND(Proyeccion_Localidades!BJ167,0),"*****"))))</f>
        <v>5619</v>
      </c>
      <c r="Q167" s="66">
        <f>IF($AB167="TGD",ROUND($E167*(1+$AD167)^(Q$4-$E$4),0),IF($AB167="ALTH",ROUND($AE167+$AF167*Q$4,0),IF($AB167="IR",ROUND(Proyeccion_Localidades!AN167,0),IF($AB167="RT",ROUND(Proyeccion_Localidades!BK167,0),"*****"))))</f>
        <v>5847</v>
      </c>
      <c r="R167" s="66">
        <f>IF($AB167="TGD",ROUND($E167*(1+$AD167)^(R$4-$E$4),0),IF($AB167="ALTH",ROUND($AE167+$AF167*R$4,0),IF($AB167="IR",ROUND(Proyeccion_Localidades!AO167,0),IF($AB167="RT",ROUND(Proyeccion_Localidades!BL167,0),"*****"))))</f>
        <v>6084</v>
      </c>
      <c r="S167" s="66">
        <f>IF($AB167="TGD",ROUND($E167*(1+$AD167)^(S$4-$E$4),0),IF($AB167="ALTH",ROUND($AE167+$AF167*S$4,0),IF($AB167="IR",ROUND(Proyeccion_Localidades!AP167,0),IF($AB167="RT",ROUND(Proyeccion_Localidades!BM167,0),"*****"))))</f>
        <v>6331</v>
      </c>
      <c r="T167" s="66">
        <f>IF($AB167="TGD",ROUND($E167*(1+$AD167)^(T$4-$E$4),0),IF($AB167="ALTH",ROUND($AE167+$AF167*T$4,0),IF($AB167="IR",ROUND(Proyeccion_Localidades!AQ167,0),IF($AB167="RT",ROUND(Proyeccion_Localidades!BN167,0),"*****"))))</f>
        <v>6587</v>
      </c>
      <c r="U167" s="66">
        <f>IF($AB167="TGD",ROUND($E167*(1+$AD167)^(U$4-$E$4),0),IF($AB167="ALTH",ROUND($AE167+$AF167*U$4,0),IF($AB167="IR",ROUND(Proyeccion_Localidades!AR167,0),IF($AB167="RT",ROUND(Proyeccion_Localidades!BO167,0),"*****"))))</f>
        <v>6854</v>
      </c>
      <c r="V167" s="66">
        <f>IF($AB167="TGD",ROUND($E167*(1+$AD167)^(V$4-$E$4),0),IF($AB167="ALTH",ROUND($AE167+$AF167*V$4,0),IF($AB167="IR",ROUND(Proyeccion_Localidades!AS167,0),IF($AB167="RT",ROUND(Proyeccion_Localidades!BP167,0),"*****"))))</f>
        <v>7132</v>
      </c>
      <c r="W167" s="66">
        <f>IF($AB167="TGD",ROUND($E167*(1+$AD167)^(W$4-$E$4),0),IF($AB167="ALTH",ROUND($AE167+$AF167*W$4,0),IF($AB167="IR",ROUND(Proyeccion_Localidades!AT167,0),IF($AB167="RT",ROUND(Proyeccion_Localidades!BQ167,0),"*****"))))</f>
        <v>7421</v>
      </c>
      <c r="X167" s="66">
        <f>IF($AB167="TGD",ROUND($E167*(1+$AD167)^(X$4-$E$4),0),IF($AB167="ALTH",ROUND($AE167+$AF167*X$4,0),IF($AB167="IR",ROUND(Proyeccion_Localidades!AU167,0),IF($AB167="RT",ROUND(Proyeccion_Localidades!BR167,0),"*****"))))</f>
        <v>7722</v>
      </c>
      <c r="Y167" s="66">
        <f>IF($AB167="TGD",ROUND($E167*(1+$AD167)^(Y$4-$E$4),0),IF($AB167="ALTH",ROUND($AE167+$AF167*Y$4,0),IF($AB167="IR",ROUND(Proyeccion_Localidades!AV167,0),IF($AB167="RT",ROUND(Proyeccion_Localidades!BS167,0),"*****"))))</f>
        <v>8035</v>
      </c>
      <c r="Z167" s="66">
        <f>IF($AB167="TGD",ROUND($E167*(1+$AD167)^(Z$4-$E$4),0),IF($AB167="ALTH",ROUND($AE167+$AF167*Z$4,0),IF($AB167="IR",ROUND(Proyeccion_Localidades!AW167,0),IF($AB167="RT",ROUND(Proyeccion_Localidades!BT167,0),"*****"))))</f>
        <v>8361</v>
      </c>
      <c r="AA167" s="66">
        <f>IF($AB167="TGD",ROUND($E167*(1+$AD167)^(AA$4-$E$4),0),IF($AB167="ALTH",ROUND($AE167+$AF167*AA$4,0),IF($AB167="IR",ROUND(Proyeccion_Localidades!AX167,0),IF($AB167="RT",ROUND(Proyeccion_Localidades!BU167,0),"*****"))))</f>
        <v>8700</v>
      </c>
      <c r="AB167" s="100" t="str">
        <f>Proyeccion_Localidades!N167</f>
        <v>TGD</v>
      </c>
      <c r="AC167" s="68" t="s">
        <v>35</v>
      </c>
      <c r="AD167" s="51">
        <f>IF(AB167="TGD",Proyeccion_Localidades!Z167,"-")</f>
        <v>4.0540800513102715E-2</v>
      </c>
      <c r="AE167" s="51" t="str">
        <f>IF($AB167="ALTH",Proyeccion_Localidades!AA167,"-")</f>
        <v>-</v>
      </c>
      <c r="AF167" s="51" t="str">
        <f>IF($AB167="ALTH",Proyeccion_Localidades!AB167,"-")</f>
        <v>-</v>
      </c>
      <c r="AG167" s="81"/>
      <c r="AH167" s="81"/>
      <c r="AI167" s="96">
        <f t="shared" si="8"/>
        <v>3629</v>
      </c>
      <c r="AJ167" s="97"/>
      <c r="AK167" s="97"/>
      <c r="AL167" s="97"/>
      <c r="AO167" s="97"/>
      <c r="AP167" s="97"/>
      <c r="AQ167" s="97"/>
    </row>
    <row r="168" spans="1:43" s="98" customFormat="1" ht="24.95" customHeight="1">
      <c r="A168" s="84" t="str">
        <f>+Proyeccion_Localidades!C168</f>
        <v>Villarino</v>
      </c>
      <c r="B168" s="70">
        <f t="shared" si="10"/>
        <v>153</v>
      </c>
      <c r="C168" s="87" t="str">
        <f>+Proyeccion_Localidades!B168</f>
        <v>Mayor Buratovich</v>
      </c>
      <c r="D168" s="261">
        <f t="shared" si="9"/>
        <v>153</v>
      </c>
      <c r="E168" s="72">
        <f>+Proyeccion_Localidades!F168</f>
        <v>5372</v>
      </c>
      <c r="F168" s="66">
        <f>IF($AB168="TGD",ROUND($E168*(1+$AD168)^(F$4-$E$4),0),IF($AB168="ALTH",ROUND($AE168+$AF168*F$4,0),IF($AB168="IR",ROUND(Proyeccion_Localidades!AC168,0),IF($AB168="RT",ROUND(Proyeccion_Localidades!AZ168,0),"*****"))))</f>
        <v>6865</v>
      </c>
      <c r="G168" s="66">
        <f>IF($AB168="TGD",ROUND($E168*(1+$AD168)^(G$4-$E$4),0),IF($AB168="ALTH",ROUND($AE168+$AF168*G$4,0),IF($AB168="IR",ROUND(Proyeccion_Localidades!AD168,0),IF($AB168="RT",ROUND(Proyeccion_Localidades!BA168,0),"*****"))))</f>
        <v>7007</v>
      </c>
      <c r="H168" s="66">
        <f>IF($AB168="TGD",ROUND($E168*(1+$AD168)^(H$4-$E$4),0),IF($AB168="ALTH",ROUND($AE168+$AF168*H$4,0),IF($AB168="IR",ROUND(Proyeccion_Localidades!AE168,0),IF($AB168="RT",ROUND(Proyeccion_Localidades!BB168,0),"*****"))))</f>
        <v>7450</v>
      </c>
      <c r="I168" s="66">
        <f>IF($AB168="TGD",ROUND($E168*(1+$AD168)^(I$4-$E$4),0),IF($AB168="ALTH",ROUND($AE168+$AF168*I$4,0),IF($AB168="IR",ROUND(Proyeccion_Localidades!AF168,0),IF($AB168="RT",ROUND(Proyeccion_Localidades!BC168,0),"*****"))))</f>
        <v>7604</v>
      </c>
      <c r="J168" s="66">
        <f>IF($AB168="TGD",ROUND($E168*(1+$AD168)^(J$4-$E$4),0),IF($AB168="ALTH",ROUND($AE168+$AF168*J$4,0),IF($AB168="IR",ROUND(Proyeccion_Localidades!AG168,0),IF($AB168="RT",ROUND(Proyeccion_Localidades!BD168,0),"*****"))))</f>
        <v>7761</v>
      </c>
      <c r="K168" s="66">
        <f>IF($AB168="TGD",ROUND($E168*(1+$AD168)^(K$4-$E$4),0),IF($AB168="ALTH",ROUND($AE168+$AF168*K$4,0),IF($AB168="IR",ROUND(Proyeccion_Localidades!AH168,0),IF($AB168="RT",ROUND(Proyeccion_Localidades!BE168,0),"*****"))))</f>
        <v>7921</v>
      </c>
      <c r="L168" s="66">
        <f>IF($AB168="TGD",ROUND($E168*(1+$AD168)^(L$4-$E$4),0),IF($AB168="ALTH",ROUND($AE168+$AF168*L$4,0),IF($AB168="IR",ROUND(Proyeccion_Localidades!AI168,0),IF($AB168="RT",ROUND(Proyeccion_Localidades!BF168,0),"*****"))))</f>
        <v>8084</v>
      </c>
      <c r="M168" s="66">
        <f>IF($AB168="TGD",ROUND($E168*(1+$AD168)^(M$4-$E$4),0),IF($AB168="ALTH",ROUND($AE168+$AF168*M$4,0),IF($AB168="IR",ROUND(Proyeccion_Localidades!AJ168,0),IF($AB168="RT",ROUND(Proyeccion_Localidades!BG168,0),"*****"))))</f>
        <v>8251</v>
      </c>
      <c r="N168" s="66">
        <f>IF($AB168="TGD",ROUND($E168*(1+$AD168)^(N$4-$E$4),0),IF($AB168="ALTH",ROUND($AE168+$AF168*N$4,0),IF($AB168="IR",ROUND(Proyeccion_Localidades!AK168,0),IF($AB168="RT",ROUND(Proyeccion_Localidades!BH168,0),"*****"))))</f>
        <v>8422</v>
      </c>
      <c r="O168" s="66">
        <f>IF($AB168="TGD",ROUND($E168*(1+$AD168)^(O$4-$E$4),0),IF($AB168="ALTH",ROUND($AE168+$AF168*O$4,0),IF($AB168="IR",ROUND(Proyeccion_Localidades!AL168,0),IF($AB168="RT",ROUND(Proyeccion_Localidades!BI168,0),"*****"))))</f>
        <v>8596</v>
      </c>
      <c r="P168" s="66">
        <f>IF($AB168="TGD",ROUND($E168*(1+$AD168)^(P$4-$E$4),0),IF($AB168="ALTH",ROUND($AE168+$AF168*P$4,0),IF($AB168="IR",ROUND(Proyeccion_Localidades!AM168,0),IF($AB168="RT",ROUND(Proyeccion_Localidades!BJ168,0),"*****"))))</f>
        <v>8773</v>
      </c>
      <c r="Q168" s="66">
        <f>IF($AB168="TGD",ROUND($E168*(1+$AD168)^(Q$4-$E$4),0),IF($AB168="ALTH",ROUND($AE168+$AF168*Q$4,0),IF($AB168="IR",ROUND(Proyeccion_Localidades!AN168,0),IF($AB168="RT",ROUND(Proyeccion_Localidades!BK168,0),"*****"))))</f>
        <v>8954</v>
      </c>
      <c r="R168" s="66">
        <f>IF($AB168="TGD",ROUND($E168*(1+$AD168)^(R$4-$E$4),0),IF($AB168="ALTH",ROUND($AE168+$AF168*R$4,0),IF($AB168="IR",ROUND(Proyeccion_Localidades!AO168,0),IF($AB168="RT",ROUND(Proyeccion_Localidades!BL168,0),"*****"))))</f>
        <v>9139</v>
      </c>
      <c r="S168" s="66">
        <f>IF($AB168="TGD",ROUND($E168*(1+$AD168)^(S$4-$E$4),0),IF($AB168="ALTH",ROUND($AE168+$AF168*S$4,0),IF($AB168="IR",ROUND(Proyeccion_Localidades!AP168,0),IF($AB168="RT",ROUND(Proyeccion_Localidades!BM168,0),"*****"))))</f>
        <v>9328</v>
      </c>
      <c r="T168" s="66">
        <f>IF($AB168="TGD",ROUND($E168*(1+$AD168)^(T$4-$E$4),0),IF($AB168="ALTH",ROUND($AE168+$AF168*T$4,0),IF($AB168="IR",ROUND(Proyeccion_Localidades!AQ168,0),IF($AB168="RT",ROUND(Proyeccion_Localidades!BN168,0),"*****"))))</f>
        <v>9520</v>
      </c>
      <c r="U168" s="66">
        <f>IF($AB168="TGD",ROUND($E168*(1+$AD168)^(U$4-$E$4),0),IF($AB168="ALTH",ROUND($AE168+$AF168*U$4,0),IF($AB168="IR",ROUND(Proyeccion_Localidades!AR168,0),IF($AB168="RT",ROUND(Proyeccion_Localidades!BO168,0),"*****"))))</f>
        <v>9717</v>
      </c>
      <c r="V168" s="66">
        <f>IF($AB168="TGD",ROUND($E168*(1+$AD168)^(V$4-$E$4),0),IF($AB168="ALTH",ROUND($AE168+$AF168*V$4,0),IF($AB168="IR",ROUND(Proyeccion_Localidades!AS168,0),IF($AB168="RT",ROUND(Proyeccion_Localidades!BP168,0),"*****"))))</f>
        <v>9918</v>
      </c>
      <c r="W168" s="66">
        <f>IF($AB168="TGD",ROUND($E168*(1+$AD168)^(W$4-$E$4),0),IF($AB168="ALTH",ROUND($AE168+$AF168*W$4,0),IF($AB168="IR",ROUND(Proyeccion_Localidades!AT168,0),IF($AB168="RT",ROUND(Proyeccion_Localidades!BQ168,0),"*****"))))</f>
        <v>10122</v>
      </c>
      <c r="X168" s="66">
        <f>IF($AB168="TGD",ROUND($E168*(1+$AD168)^(X$4-$E$4),0),IF($AB168="ALTH",ROUND($AE168+$AF168*X$4,0),IF($AB168="IR",ROUND(Proyeccion_Localidades!AU168,0),IF($AB168="RT",ROUND(Proyeccion_Localidades!BR168,0),"*****"))))</f>
        <v>10331</v>
      </c>
      <c r="Y168" s="66">
        <f>IF($AB168="TGD",ROUND($E168*(1+$AD168)^(Y$4-$E$4),0),IF($AB168="ALTH",ROUND($AE168+$AF168*Y$4,0),IF($AB168="IR",ROUND(Proyeccion_Localidades!AV168,0),IF($AB168="RT",ROUND(Proyeccion_Localidades!BS168,0),"*****"))))</f>
        <v>10545</v>
      </c>
      <c r="Z168" s="66">
        <f>IF($AB168="TGD",ROUND($E168*(1+$AD168)^(Z$4-$E$4),0),IF($AB168="ALTH",ROUND($AE168+$AF168*Z$4,0),IF($AB168="IR",ROUND(Proyeccion_Localidades!AW168,0),IF($AB168="RT",ROUND(Proyeccion_Localidades!BT168,0),"*****"))))</f>
        <v>10762</v>
      </c>
      <c r="AA168" s="66">
        <f>IF($AB168="TGD",ROUND($E168*(1+$AD168)^(AA$4-$E$4),0),IF($AB168="ALTH",ROUND($AE168+$AF168*AA$4,0),IF($AB168="IR",ROUND(Proyeccion_Localidades!AX168,0),IF($AB168="RT",ROUND(Proyeccion_Localidades!BU168,0),"*****"))))</f>
        <v>10985</v>
      </c>
      <c r="AB168" s="100" t="str">
        <f>Proyeccion_Localidades!N168</f>
        <v>TGD</v>
      </c>
      <c r="AC168" s="68" t="s">
        <v>35</v>
      </c>
      <c r="AD168" s="51">
        <f>IF(AB168="TGD",Proyeccion_Localidades!Z168,"-")</f>
        <v>2.064743959522497E-2</v>
      </c>
      <c r="AE168" s="51" t="str">
        <f>IF($AB168="ALTH",Proyeccion_Localidades!AA168,"-")</f>
        <v>-</v>
      </c>
      <c r="AF168" s="51" t="str">
        <f>IF($AB168="ALTH",Proyeccion_Localidades!AB168,"-")</f>
        <v>-</v>
      </c>
      <c r="AG168" s="81"/>
      <c r="AH168" s="81"/>
      <c r="AI168" s="96">
        <f t="shared" si="8"/>
        <v>7007</v>
      </c>
      <c r="AJ168" s="97"/>
      <c r="AK168" s="97"/>
      <c r="AL168" s="97"/>
      <c r="AO168" s="97"/>
      <c r="AP168" s="97"/>
      <c r="AQ168" s="97"/>
    </row>
    <row r="169" spans="1:43" s="98" customFormat="1" ht="24.95" customHeight="1">
      <c r="A169" s="84" t="str">
        <f>+Proyeccion_Localidades!C169</f>
        <v>Villarino</v>
      </c>
      <c r="B169" s="70">
        <f t="shared" si="10"/>
        <v>154</v>
      </c>
      <c r="C169" s="87" t="str">
        <f>+Proyeccion_Localidades!B169</f>
        <v>Pedro Luro</v>
      </c>
      <c r="D169" s="261">
        <f t="shared" si="9"/>
        <v>154</v>
      </c>
      <c r="E169" s="72">
        <f>+Proyeccion_Localidades!F169</f>
        <v>9494</v>
      </c>
      <c r="F169" s="66">
        <f>IF($AB169="TGD",ROUND($E169*(1+$AD169)^(F$4-$E$4),0),IF($AB169="ALTH",ROUND($AE169+$AF169*F$4,0),IF($AB169="IR",ROUND(Proyeccion_Localidades!AC169,0),IF($AB169="RT",ROUND(Proyeccion_Localidades!AZ169,0),"*****"))))</f>
        <v>15336</v>
      </c>
      <c r="G169" s="66">
        <f>IF($AB169="TGD",ROUND($E169*(1+$AD169)^(G$4-$E$4),0),IF($AB169="ALTH",ROUND($AE169+$AF169*G$4,0),IF($AB169="IR",ROUND(Proyeccion_Localidades!AD169,0),IF($AB169="RT",ROUND(Proyeccion_Localidades!BA169,0),"*****"))))</f>
        <v>15961</v>
      </c>
      <c r="H169" s="66">
        <f>IF($AB169="TGD",ROUND($E169*(1+$AD169)^(H$4-$E$4),0),IF($AB169="ALTH",ROUND($AE169+$AF169*H$4,0),IF($AB169="IR",ROUND(Proyeccion_Localidades!AE169,0),IF($AB169="RT",ROUND(Proyeccion_Localidades!BB169,0),"*****"))))</f>
        <v>17994</v>
      </c>
      <c r="I169" s="66">
        <f>IF($AB169="TGD",ROUND($E169*(1+$AD169)^(I$4-$E$4),0),IF($AB169="ALTH",ROUND($AE169+$AF169*I$4,0),IF($AB169="IR",ROUND(Proyeccion_Localidades!AF169,0),IF($AB169="RT",ROUND(Proyeccion_Localidades!BC169,0),"*****"))))</f>
        <v>18728</v>
      </c>
      <c r="J169" s="66">
        <f>IF($AB169="TGD",ROUND($E169*(1+$AD169)^(J$4-$E$4),0),IF($AB169="ALTH",ROUND($AE169+$AF169*J$4,0),IF($AB169="IR",ROUND(Proyeccion_Localidades!AG169,0),IF($AB169="RT",ROUND(Proyeccion_Localidades!BD169,0),"*****"))))</f>
        <v>19491</v>
      </c>
      <c r="K169" s="66">
        <f>IF($AB169="TGD",ROUND($E169*(1+$AD169)^(K$4-$E$4),0),IF($AB169="ALTH",ROUND($AE169+$AF169*K$4,0),IF($AB169="IR",ROUND(Proyeccion_Localidades!AH169,0),IF($AB169="RT",ROUND(Proyeccion_Localidades!BE169,0),"*****"))))</f>
        <v>20286</v>
      </c>
      <c r="L169" s="66">
        <f>IF($AB169="TGD",ROUND($E169*(1+$AD169)^(L$4-$E$4),0),IF($AB169="ALTH",ROUND($AE169+$AF169*L$4,0),IF($AB169="IR",ROUND(Proyeccion_Localidades!AI169,0),IF($AB169="RT",ROUND(Proyeccion_Localidades!BF169,0),"*****"))))</f>
        <v>21113</v>
      </c>
      <c r="M169" s="66">
        <f>IF($AB169="TGD",ROUND($E169*(1+$AD169)^(M$4-$E$4),0),IF($AB169="ALTH",ROUND($AE169+$AF169*M$4,0),IF($AB169="IR",ROUND(Proyeccion_Localidades!AJ169,0),IF($AB169="RT",ROUND(Proyeccion_Localidades!BG169,0),"*****"))))</f>
        <v>21974</v>
      </c>
      <c r="N169" s="66">
        <f>IF($AB169="TGD",ROUND($E169*(1+$AD169)^(N$4-$E$4),0),IF($AB169="ALTH",ROUND($AE169+$AF169*N$4,0),IF($AB169="IR",ROUND(Proyeccion_Localidades!AK169,0),IF($AB169="RT",ROUND(Proyeccion_Localidades!BH169,0),"*****"))))</f>
        <v>22870</v>
      </c>
      <c r="O169" s="66">
        <f>IF($AB169="TGD",ROUND($E169*(1+$AD169)^(O$4-$E$4),0),IF($AB169="ALTH",ROUND($AE169+$AF169*O$4,0),IF($AB169="IR",ROUND(Proyeccion_Localidades!AL169,0),IF($AB169="RT",ROUND(Proyeccion_Localidades!BI169,0),"*****"))))</f>
        <v>23802</v>
      </c>
      <c r="P169" s="66">
        <f>IF($AB169="TGD",ROUND($E169*(1+$AD169)^(P$4-$E$4),0),IF($AB169="ALTH",ROUND($AE169+$AF169*P$4,0),IF($AB169="IR",ROUND(Proyeccion_Localidades!AM169,0),IF($AB169="RT",ROUND(Proyeccion_Localidades!BJ169,0),"*****"))))</f>
        <v>24773</v>
      </c>
      <c r="Q169" s="66">
        <f>IF($AB169="TGD",ROUND($E169*(1+$AD169)^(Q$4-$E$4),0),IF($AB169="ALTH",ROUND($AE169+$AF169*Q$4,0),IF($AB169="IR",ROUND(Proyeccion_Localidades!AN169,0),IF($AB169="RT",ROUND(Proyeccion_Localidades!BK169,0),"*****"))))</f>
        <v>25783</v>
      </c>
      <c r="R169" s="66">
        <f>IF($AB169="TGD",ROUND($E169*(1+$AD169)^(R$4-$E$4),0),IF($AB169="ALTH",ROUND($AE169+$AF169*R$4,0),IF($AB169="IR",ROUND(Proyeccion_Localidades!AO169,0),IF($AB169="RT",ROUND(Proyeccion_Localidades!BL169,0),"*****"))))</f>
        <v>26834</v>
      </c>
      <c r="S169" s="66">
        <f>IF($AB169="TGD",ROUND($E169*(1+$AD169)^(S$4-$E$4),0),IF($AB169="ALTH",ROUND($AE169+$AF169*S$4,0),IF($AB169="IR",ROUND(Proyeccion_Localidades!AP169,0),IF($AB169="RT",ROUND(Proyeccion_Localidades!BM169,0),"*****"))))</f>
        <v>27928</v>
      </c>
      <c r="T169" s="66">
        <f>IF($AB169="TGD",ROUND($E169*(1+$AD169)^(T$4-$E$4),0),IF($AB169="ALTH",ROUND($AE169+$AF169*T$4,0),IF($AB169="IR",ROUND(Proyeccion_Localidades!AQ169,0),IF($AB169="RT",ROUND(Proyeccion_Localidades!BN169,0),"*****"))))</f>
        <v>29067</v>
      </c>
      <c r="U169" s="66">
        <f>IF($AB169="TGD",ROUND($E169*(1+$AD169)^(U$4-$E$4),0),IF($AB169="ALTH",ROUND($AE169+$AF169*U$4,0),IF($AB169="IR",ROUND(Proyeccion_Localidades!AR169,0),IF($AB169="RT",ROUND(Proyeccion_Localidades!BO169,0),"*****"))))</f>
        <v>30252</v>
      </c>
      <c r="V169" s="66">
        <f>IF($AB169="TGD",ROUND($E169*(1+$AD169)^(V$4-$E$4),0),IF($AB169="ALTH",ROUND($AE169+$AF169*V$4,0),IF($AB169="IR",ROUND(Proyeccion_Localidades!AS169,0),IF($AB169="RT",ROUND(Proyeccion_Localidades!BP169,0),"*****"))))</f>
        <v>31485</v>
      </c>
      <c r="W169" s="66">
        <f>IF($AB169="TGD",ROUND($E169*(1+$AD169)^(W$4-$E$4),0),IF($AB169="ALTH",ROUND($AE169+$AF169*W$4,0),IF($AB169="IR",ROUND(Proyeccion_Localidades!AT169,0),IF($AB169="RT",ROUND(Proyeccion_Localidades!BQ169,0),"*****"))))</f>
        <v>32769</v>
      </c>
      <c r="X169" s="66">
        <f>IF($AB169="TGD",ROUND($E169*(1+$AD169)^(X$4-$E$4),0),IF($AB169="ALTH",ROUND($AE169+$AF169*X$4,0),IF($AB169="IR",ROUND(Proyeccion_Localidades!AU169,0),IF($AB169="RT",ROUND(Proyeccion_Localidades!BR169,0),"*****"))))</f>
        <v>34105</v>
      </c>
      <c r="Y169" s="66">
        <f>IF($AB169="TGD",ROUND($E169*(1+$AD169)^(Y$4-$E$4),0),IF($AB169="ALTH",ROUND($AE169+$AF169*Y$4,0),IF($AB169="IR",ROUND(Proyeccion_Localidades!AV169,0),IF($AB169="RT",ROUND(Proyeccion_Localidades!BS169,0),"*****"))))</f>
        <v>35496</v>
      </c>
      <c r="Z169" s="66">
        <f>IF($AB169="TGD",ROUND($E169*(1+$AD169)^(Z$4-$E$4),0),IF($AB169="ALTH",ROUND($AE169+$AF169*Z$4,0),IF($AB169="IR",ROUND(Proyeccion_Localidades!AW169,0),IF($AB169="RT",ROUND(Proyeccion_Localidades!BT169,0),"*****"))))</f>
        <v>36943</v>
      </c>
      <c r="AA169" s="66">
        <f>IF($AB169="TGD",ROUND($E169*(1+$AD169)^(AA$4-$E$4),0),IF($AB169="ALTH",ROUND($AE169+$AF169*AA$4,0),IF($AB169="IR",ROUND(Proyeccion_Localidades!AX169,0),IF($AB169="RT",ROUND(Proyeccion_Localidades!BU169,0),"*****"))))</f>
        <v>38449</v>
      </c>
      <c r="AB169" s="100" t="str">
        <f>Proyeccion_Localidades!N169</f>
        <v>TGD</v>
      </c>
      <c r="AC169" s="68" t="s">
        <v>35</v>
      </c>
      <c r="AD169" s="51">
        <f>IF(AB169="TGD",Proyeccion_Localidades!Z169,"-")</f>
        <v>4.0771306962635867E-2</v>
      </c>
      <c r="AE169" s="51" t="str">
        <f>IF($AB169="ALTH",Proyeccion_Localidades!AA169,"-")</f>
        <v>-</v>
      </c>
      <c r="AF169" s="51" t="str">
        <f>IF($AB169="ALTH",Proyeccion_Localidades!AB169,"-")</f>
        <v>-</v>
      </c>
      <c r="AG169" s="81"/>
      <c r="AH169" s="81"/>
      <c r="AI169" s="96">
        <f t="shared" si="8"/>
        <v>15961</v>
      </c>
      <c r="AJ169" s="97"/>
      <c r="AK169" s="97"/>
      <c r="AL169" s="97"/>
      <c r="AO169" s="97"/>
      <c r="AP169" s="97"/>
      <c r="AQ169" s="97"/>
    </row>
    <row r="170" spans="1:43" ht="24.95" customHeight="1" thickBot="1">
      <c r="A170" s="957" t="s">
        <v>58</v>
      </c>
      <c r="B170" s="958"/>
      <c r="C170" s="958"/>
      <c r="D170" s="364"/>
      <c r="E170" s="104">
        <f t="shared" ref="E170:AA170" si="11">SUM(E5:E169)</f>
        <v>21417393</v>
      </c>
      <c r="F170" s="104">
        <f t="shared" si="11"/>
        <v>24300887</v>
      </c>
      <c r="G170" s="105">
        <f t="shared" si="11"/>
        <v>24564226</v>
      </c>
      <c r="H170" s="106">
        <f t="shared" si="11"/>
        <v>25367564</v>
      </c>
      <c r="I170" s="106">
        <f t="shared" si="11"/>
        <v>25639909</v>
      </c>
      <c r="J170" s="106">
        <f t="shared" si="11"/>
        <v>25914596</v>
      </c>
      <c r="K170" s="106">
        <f t="shared" si="11"/>
        <v>26191680</v>
      </c>
      <c r="L170" s="106">
        <f t="shared" si="11"/>
        <v>26471175</v>
      </c>
      <c r="M170" s="106">
        <f t="shared" si="11"/>
        <v>26756901</v>
      </c>
      <c r="N170" s="106">
        <f t="shared" si="11"/>
        <v>27045125</v>
      </c>
      <c r="O170" s="106">
        <f t="shared" si="11"/>
        <v>27335910</v>
      </c>
      <c r="P170" s="106">
        <f t="shared" si="11"/>
        <v>27629283</v>
      </c>
      <c r="Q170" s="106">
        <f t="shared" si="11"/>
        <v>27925296</v>
      </c>
      <c r="R170" s="106">
        <f t="shared" si="11"/>
        <v>28224010</v>
      </c>
      <c r="S170" s="106">
        <f t="shared" si="11"/>
        <v>28525456</v>
      </c>
      <c r="T170" s="106">
        <f t="shared" si="11"/>
        <v>28829672</v>
      </c>
      <c r="U170" s="106">
        <f t="shared" si="11"/>
        <v>29136731</v>
      </c>
      <c r="V170" s="106">
        <f t="shared" si="11"/>
        <v>29446661</v>
      </c>
      <c r="W170" s="106">
        <f t="shared" si="11"/>
        <v>29759525</v>
      </c>
      <c r="X170" s="106">
        <f t="shared" si="11"/>
        <v>30075371</v>
      </c>
      <c r="Y170" s="106">
        <f t="shared" si="11"/>
        <v>30394245</v>
      </c>
      <c r="Z170" s="106">
        <f t="shared" si="11"/>
        <v>30716207</v>
      </c>
      <c r="AA170" s="106">
        <f t="shared" si="11"/>
        <v>31041324</v>
      </c>
      <c r="AB170" s="107"/>
      <c r="AC170" s="108"/>
      <c r="AD170" s="108"/>
      <c r="AE170" s="108"/>
      <c r="AF170" s="108"/>
      <c r="AG170" s="108"/>
      <c r="AH170" s="108"/>
      <c r="AI170" s="107">
        <f>SUM(AI5:AI149)</f>
        <v>24367316</v>
      </c>
    </row>
    <row r="171" spans="1:43">
      <c r="E171" s="109"/>
      <c r="F171" s="109"/>
      <c r="G171" s="109"/>
      <c r="H171" s="109"/>
      <c r="I171" s="110"/>
      <c r="J171" s="110"/>
      <c r="K171" s="110"/>
      <c r="L171" s="110"/>
      <c r="M171" s="110"/>
      <c r="N171" s="110"/>
      <c r="O171" s="110"/>
      <c r="P171" s="110"/>
      <c r="Q171" s="110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8"/>
      <c r="AC171" s="108"/>
      <c r="AD171" s="108"/>
      <c r="AE171" s="108"/>
      <c r="AF171" s="108"/>
      <c r="AG171" s="108"/>
      <c r="AH171" s="108"/>
      <c r="AI171" s="107"/>
    </row>
    <row r="172" spans="1:43">
      <c r="C172" s="108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07"/>
    </row>
    <row r="173" spans="1:43">
      <c r="C173" s="108"/>
      <c r="E173" s="112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12"/>
    </row>
    <row r="174" spans="1:43">
      <c r="E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</row>
    <row r="175" spans="1:43">
      <c r="E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</row>
  </sheetData>
  <autoFilter ref="A4:AB169" xr:uid="{00000000-0009-0000-0000-00000E000000}"/>
  <mergeCells count="3">
    <mergeCell ref="G1:Z1"/>
    <mergeCell ref="AE3:AF3"/>
    <mergeCell ref="A170:C170"/>
  </mergeCells>
  <pageMargins left="0.70866141732283472" right="0.70866141732283472" top="0.55118110236220474" bottom="0.55118110236220474" header="0.31496062992125984" footer="0.31496062992125984"/>
  <pageSetup paperSize="9" scale="64" orientation="landscape" r:id="rId1"/>
  <rowBreaks count="1" manualBreakCount="1">
    <brk id="123" max="2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3:AA26"/>
  <sheetViews>
    <sheetView workbookViewId="0">
      <selection activeCell="A9" sqref="A9"/>
    </sheetView>
  </sheetViews>
  <sheetFormatPr baseColWidth="10" defaultColWidth="11.42578125" defaultRowHeight="12.75"/>
  <cols>
    <col min="1" max="1" width="28.28515625" style="246" bestFit="1" customWidth="1"/>
    <col min="2" max="16384" width="11.42578125" style="246"/>
  </cols>
  <sheetData>
    <row r="3" spans="1:27">
      <c r="B3" s="247" t="s">
        <v>262</v>
      </c>
    </row>
    <row r="4" spans="1:27">
      <c r="A4" s="247" t="s">
        <v>263</v>
      </c>
      <c r="B4" s="247">
        <v>2020</v>
      </c>
      <c r="C4" s="247">
        <v>2021</v>
      </c>
      <c r="D4" s="247">
        <v>2022</v>
      </c>
      <c r="E4" s="247">
        <v>2023</v>
      </c>
      <c r="F4" s="247">
        <v>2024</v>
      </c>
      <c r="G4" s="247">
        <v>2025</v>
      </c>
      <c r="H4" s="247">
        <v>2026</v>
      </c>
      <c r="I4" s="247">
        <v>2027</v>
      </c>
      <c r="J4" s="247">
        <v>2028</v>
      </c>
      <c r="K4" s="247">
        <v>2029</v>
      </c>
      <c r="L4" s="247">
        <v>2030</v>
      </c>
      <c r="M4" s="247">
        <v>2031</v>
      </c>
      <c r="N4" s="247">
        <v>2032</v>
      </c>
      <c r="O4" s="247">
        <v>2033</v>
      </c>
      <c r="P4" s="247">
        <v>2034</v>
      </c>
      <c r="Q4" s="247">
        <v>2035</v>
      </c>
      <c r="R4" s="247">
        <v>2036</v>
      </c>
      <c r="S4" s="247">
        <v>2037</v>
      </c>
      <c r="T4" s="247">
        <v>2038</v>
      </c>
      <c r="U4" s="247">
        <v>2039</v>
      </c>
      <c r="V4" s="247">
        <v>2040</v>
      </c>
      <c r="W4" s="247">
        <v>2041</v>
      </c>
      <c r="X4" s="247">
        <v>2042</v>
      </c>
      <c r="Y4" s="247">
        <v>2043</v>
      </c>
      <c r="Z4" s="247">
        <v>2044</v>
      </c>
      <c r="AA4" s="247">
        <v>2045</v>
      </c>
    </row>
    <row r="5" spans="1:27">
      <c r="A5" s="246" t="s">
        <v>152</v>
      </c>
      <c r="B5" s="248">
        <f>VLOOKUP(B$4,[255]Miramar!$A$36:$E$61,5)</f>
        <v>38627</v>
      </c>
      <c r="C5" s="248">
        <f>VLOOKUP(C$4,[255]Miramar!$A$36:$E$61,5)</f>
        <v>39208</v>
      </c>
      <c r="D5" s="248">
        <f>VLOOKUP(D$4,[255]Miramar!$A$36:$E$61,5)</f>
        <v>39789</v>
      </c>
      <c r="E5" s="248">
        <f>VLOOKUP(E$4,[255]Miramar!$A$36:$E$61,5)</f>
        <v>40370</v>
      </c>
      <c r="F5" s="248">
        <f>VLOOKUP(F$4,[255]Miramar!$A$36:$E$61,5)</f>
        <v>40951</v>
      </c>
      <c r="G5" s="248">
        <f>VLOOKUP(G$4,[255]Miramar!$A$36:$E$61,5)</f>
        <v>41532</v>
      </c>
      <c r="H5" s="248">
        <f>VLOOKUP(H$4,[255]Miramar!$A$36:$E$61,5)</f>
        <v>42113</v>
      </c>
      <c r="I5" s="248">
        <f>VLOOKUP(I$4,[255]Miramar!$A$36:$E$61,5)</f>
        <v>42694</v>
      </c>
      <c r="J5" s="248">
        <f>VLOOKUP(J$4,[255]Miramar!$A$36:$E$61,5)</f>
        <v>43275</v>
      </c>
      <c r="K5" s="248">
        <f>VLOOKUP(K$4,[255]Miramar!$A$36:$E$61,5)</f>
        <v>43856</v>
      </c>
      <c r="L5" s="248">
        <f>VLOOKUP(L$4,[255]Miramar!$A$36:$E$61,5)</f>
        <v>44437</v>
      </c>
      <c r="M5" s="248">
        <f>VLOOKUP(M$4,[255]Miramar!$A$36:$E$61,5)</f>
        <v>45018</v>
      </c>
      <c r="N5" s="248">
        <f>VLOOKUP(N$4,[255]Miramar!$A$36:$E$61,5)</f>
        <v>45599</v>
      </c>
      <c r="O5" s="248">
        <f>VLOOKUP(O$4,[255]Miramar!$A$36:$E$61,5)</f>
        <v>46180</v>
      </c>
      <c r="P5" s="248">
        <f>VLOOKUP(P$4,[255]Miramar!$A$36:$E$61,5)</f>
        <v>46761</v>
      </c>
      <c r="Q5" s="248">
        <f>VLOOKUP(Q$4,[255]Miramar!$A$36:$E$61,5)</f>
        <v>47342</v>
      </c>
      <c r="R5" s="248">
        <f>VLOOKUP(R$4,[255]Miramar!$A$36:$E$61,5)</f>
        <v>47923</v>
      </c>
      <c r="S5" s="248">
        <f>VLOOKUP(S$4,[255]Miramar!$A$36:$E$61,5)</f>
        <v>48504</v>
      </c>
      <c r="T5" s="248">
        <f>VLOOKUP(T$4,[255]Miramar!$A$36:$E$61,5)</f>
        <v>49085</v>
      </c>
      <c r="U5" s="248">
        <f>VLOOKUP(U$4,[255]Miramar!$A$36:$E$61,5)</f>
        <v>49666</v>
      </c>
      <c r="V5" s="248">
        <f>VLOOKUP(V$4,[255]Miramar!$A$36:$E$61,5)</f>
        <v>50247</v>
      </c>
      <c r="W5" s="248">
        <f>VLOOKUP(W$4,[255]Miramar!$A$36:$E$61,5)</f>
        <v>50828</v>
      </c>
      <c r="X5" s="248">
        <f>VLOOKUP(X$4,[255]Miramar!$A$36:$E$61,5)</f>
        <v>51409</v>
      </c>
      <c r="Y5" s="248">
        <f>VLOOKUP(Y$4,[255]Miramar!$A$36:$E$61,5)</f>
        <v>51990</v>
      </c>
      <c r="Z5" s="248">
        <f>VLOOKUP(Z$4,[255]Miramar!$A$36:$E$61,5)</f>
        <v>52571</v>
      </c>
      <c r="AA5" s="248">
        <f>VLOOKUP(AA$4,[255]Miramar!$A$36:$E$61,5)</f>
        <v>53152</v>
      </c>
    </row>
    <row r="6" spans="1:27">
      <c r="A6" s="246" t="s">
        <v>166</v>
      </c>
      <c r="B6" s="248">
        <f>VLOOKUP(B$4,'[256]Mar del Plata'!$A$36:$E$61,5)</f>
        <v>253751</v>
      </c>
      <c r="C6" s="248">
        <f>VLOOKUP(C$4,'[256]Mar del Plata'!$A$36:$E$61,5)</f>
        <v>255738</v>
      </c>
      <c r="D6" s="248">
        <f>VLOOKUP(D$4,'[256]Mar del Plata'!$A$36:$E$61,5)</f>
        <v>257741</v>
      </c>
      <c r="E6" s="248">
        <f>VLOOKUP(E$4,'[256]Mar del Plata'!$A$36:$E$61,5)</f>
        <v>259760</v>
      </c>
      <c r="F6" s="248">
        <f>VLOOKUP(F$4,'[256]Mar del Plata'!$A$36:$E$61,5)</f>
        <v>261794</v>
      </c>
      <c r="G6" s="248">
        <f>VLOOKUP(G$4,'[256]Mar del Plata'!$A$36:$E$61,5)</f>
        <v>263844</v>
      </c>
      <c r="H6" s="248">
        <f>VLOOKUP(H$4,'[256]Mar del Plata'!$A$36:$E$61,5)</f>
        <v>265910</v>
      </c>
      <c r="I6" s="248">
        <f>VLOOKUP(I$4,'[256]Mar del Plata'!$A$36:$E$61,5)</f>
        <v>267992</v>
      </c>
      <c r="J6" s="248">
        <f>VLOOKUP(J$4,'[256]Mar del Plata'!$A$36:$E$61,5)</f>
        <v>270091</v>
      </c>
      <c r="K6" s="248">
        <f>VLOOKUP(K$4,'[256]Mar del Plata'!$A$36:$E$61,5)</f>
        <v>272206</v>
      </c>
      <c r="L6" s="248">
        <f>VLOOKUP(L$4,'[256]Mar del Plata'!$A$36:$E$61,5)</f>
        <v>274338</v>
      </c>
      <c r="M6" s="248">
        <f>VLOOKUP(M$4,'[256]Mar del Plata'!$A$36:$E$61,5)</f>
        <v>276487</v>
      </c>
      <c r="N6" s="248">
        <f>VLOOKUP(N$4,'[256]Mar del Plata'!$A$36:$E$61,5)</f>
        <v>278652</v>
      </c>
      <c r="O6" s="248">
        <f>VLOOKUP(O$4,'[256]Mar del Plata'!$A$36:$E$61,5)</f>
        <v>280834</v>
      </c>
      <c r="P6" s="248">
        <f>VLOOKUP(P$4,'[256]Mar del Plata'!$A$36:$E$61,5)</f>
        <v>283033</v>
      </c>
      <c r="Q6" s="248">
        <f>VLOOKUP(Q$4,'[256]Mar del Plata'!$A$36:$E$61,5)</f>
        <v>285249</v>
      </c>
      <c r="R6" s="248">
        <f>VLOOKUP(R$4,'[256]Mar del Plata'!$A$36:$E$61,5)</f>
        <v>287483</v>
      </c>
      <c r="S6" s="248">
        <f>VLOOKUP(S$4,'[256]Mar del Plata'!$A$36:$E$61,5)</f>
        <v>289734</v>
      </c>
      <c r="T6" s="248">
        <f>VLOOKUP(T$4,'[256]Mar del Plata'!$A$36:$E$61,5)</f>
        <v>292003</v>
      </c>
      <c r="U6" s="248">
        <f>VLOOKUP(U$4,'[256]Mar del Plata'!$A$36:$E$61,5)</f>
        <v>294290</v>
      </c>
      <c r="V6" s="248">
        <f>VLOOKUP(V$4,'[256]Mar del Plata'!$A$36:$E$61,5)</f>
        <v>296595</v>
      </c>
      <c r="W6" s="248">
        <f>VLOOKUP(W$4,'[256]Mar del Plata'!$A$36:$E$61,5)</f>
        <v>298918</v>
      </c>
      <c r="X6" s="248">
        <f>VLOOKUP(X$4,'[256]Mar del Plata'!$A$36:$E$61,5)</f>
        <v>301259</v>
      </c>
      <c r="Y6" s="248">
        <f>VLOOKUP(Y$4,'[256]Mar del Plata'!$A$36:$E$61,5)</f>
        <v>303619</v>
      </c>
      <c r="Z6" s="248">
        <f>VLOOKUP(Z$4,'[256]Mar del Plata'!$A$36:$E$61,5)</f>
        <v>305997</v>
      </c>
      <c r="AA6" s="248">
        <f>VLOOKUP(AA$4,'[256]Mar del Plata'!$A$36:$E$61,5)</f>
        <v>308393</v>
      </c>
    </row>
    <row r="7" spans="1:27">
      <c r="A7" s="246" t="s">
        <v>176</v>
      </c>
      <c r="B7" s="248">
        <f>VLOOKUP(B$4,'[257]Mar de Ajó S Bernardo'!$A$36:$E$61,5)</f>
        <v>125310</v>
      </c>
      <c r="C7" s="248">
        <f>VLOOKUP(C$4,'[257]Mar de Ajó S Bernardo'!$A$36:$E$61,5)</f>
        <v>129482</v>
      </c>
      <c r="D7" s="248">
        <f>VLOOKUP(D$4,'[257]Mar de Ajó S Bernardo'!$A$36:$E$61,5)</f>
        <v>133654</v>
      </c>
      <c r="E7" s="248">
        <f>VLOOKUP(E$4,'[257]Mar de Ajó S Bernardo'!$A$36:$E$61,5)</f>
        <v>137826</v>
      </c>
      <c r="F7" s="248">
        <f>VLOOKUP(F$4,'[257]Mar de Ajó S Bernardo'!$A$36:$E$61,5)</f>
        <v>141998</v>
      </c>
      <c r="G7" s="248">
        <f>VLOOKUP(G$4,'[257]Mar de Ajó S Bernardo'!$A$36:$E$61,5)</f>
        <v>146170</v>
      </c>
      <c r="H7" s="248">
        <f>VLOOKUP(H$4,'[257]Mar de Ajó S Bernardo'!$A$36:$E$61,5)</f>
        <v>150342</v>
      </c>
      <c r="I7" s="248">
        <f>VLOOKUP(I$4,'[257]Mar de Ajó S Bernardo'!$A$36:$E$61,5)</f>
        <v>154514</v>
      </c>
      <c r="J7" s="248">
        <f>VLOOKUP(J$4,'[257]Mar de Ajó S Bernardo'!$A$36:$E$61,5)</f>
        <v>158686</v>
      </c>
      <c r="K7" s="248">
        <f>VLOOKUP(K$4,'[257]Mar de Ajó S Bernardo'!$A$36:$E$61,5)</f>
        <v>162858</v>
      </c>
      <c r="L7" s="248">
        <f>VLOOKUP(L$4,'[257]Mar de Ajó S Bernardo'!$A$36:$E$61,5)</f>
        <v>167030</v>
      </c>
      <c r="M7" s="248">
        <f>VLOOKUP(M$4,'[257]Mar de Ajó S Bernardo'!$A$36:$E$61,5)</f>
        <v>172143</v>
      </c>
      <c r="N7" s="248">
        <f>VLOOKUP(N$4,'[257]Mar de Ajó S Bernardo'!$A$36:$E$61,5)</f>
        <v>177256</v>
      </c>
      <c r="O7" s="248">
        <f>VLOOKUP(O$4,'[257]Mar de Ajó S Bernardo'!$A$36:$E$61,5)</f>
        <v>182369</v>
      </c>
      <c r="P7" s="248">
        <f>VLOOKUP(P$4,'[257]Mar de Ajó S Bernardo'!$A$36:$E$61,5)</f>
        <v>187482</v>
      </c>
      <c r="Q7" s="248">
        <f>VLOOKUP(Q$4,'[257]Mar de Ajó S Bernardo'!$A$36:$E$61,5)</f>
        <v>192595</v>
      </c>
      <c r="R7" s="248">
        <f>VLOOKUP(R$4,'[257]Mar de Ajó S Bernardo'!$A$36:$E$61,5)</f>
        <v>197708</v>
      </c>
      <c r="S7" s="248">
        <f>VLOOKUP(S$4,'[257]Mar de Ajó S Bernardo'!$A$36:$E$61,5)</f>
        <v>202821</v>
      </c>
      <c r="T7" s="248">
        <f>VLOOKUP(T$4,'[257]Mar de Ajó S Bernardo'!$A$36:$E$61,5)</f>
        <v>207934</v>
      </c>
      <c r="U7" s="248">
        <f>VLOOKUP(U$4,'[257]Mar de Ajó S Bernardo'!$A$36:$E$61,5)</f>
        <v>213047</v>
      </c>
      <c r="V7" s="248">
        <f>VLOOKUP(V$4,'[257]Mar de Ajó S Bernardo'!$A$36:$E$61,5)</f>
        <v>218160</v>
      </c>
      <c r="W7" s="248">
        <f>VLOOKUP(W$4,'[257]Mar de Ajó S Bernardo'!$A$36:$E$61,5)</f>
        <v>223273</v>
      </c>
      <c r="X7" s="248">
        <f>VLOOKUP(X$4,'[257]Mar de Ajó S Bernardo'!$A$36:$E$61,5)</f>
        <v>228386</v>
      </c>
      <c r="Y7" s="248">
        <f>VLOOKUP(Y$4,'[257]Mar de Ajó S Bernardo'!$A$36:$E$61,5)</f>
        <v>233499</v>
      </c>
      <c r="Z7" s="248">
        <f>VLOOKUP(Z$4,'[257]Mar de Ajó S Bernardo'!$A$36:$E$61,5)</f>
        <v>238612</v>
      </c>
      <c r="AA7" s="248">
        <f>VLOOKUP(AA$4,'[257]Mar de Ajó S Bernardo'!$A$36:$E$61,5)</f>
        <v>243725</v>
      </c>
    </row>
    <row r="8" spans="1:27">
      <c r="A8" s="246" t="s">
        <v>178</v>
      </c>
      <c r="B8" s="248">
        <f>VLOOKUP(B$4,'[258]Santa Teresita-Mar del Tuyú'!$A$36:$E$61,5)</f>
        <v>78125</v>
      </c>
      <c r="C8" s="248">
        <f>VLOOKUP(C$4,'[258]Santa Teresita-Mar del Tuyú'!$A$36:$E$61,5)</f>
        <v>79716</v>
      </c>
      <c r="D8" s="248">
        <f>VLOOKUP(D$4,'[258]Santa Teresita-Mar del Tuyú'!$A$36:$E$61,5)</f>
        <v>81307</v>
      </c>
      <c r="E8" s="248">
        <f>VLOOKUP(E$4,'[258]Santa Teresita-Mar del Tuyú'!$A$36:$E$61,5)</f>
        <v>82898</v>
      </c>
      <c r="F8" s="248">
        <f>VLOOKUP(F$4,'[258]Santa Teresita-Mar del Tuyú'!$A$36:$E$61,5)</f>
        <v>84489</v>
      </c>
      <c r="G8" s="248">
        <f>VLOOKUP(G$4,'[258]Santa Teresita-Mar del Tuyú'!$A$36:$E$61,5)</f>
        <v>86080</v>
      </c>
      <c r="H8" s="248">
        <f>VLOOKUP(H$4,'[258]Santa Teresita-Mar del Tuyú'!$A$36:$E$61,5)</f>
        <v>87671</v>
      </c>
      <c r="I8" s="248">
        <f>VLOOKUP(I$4,'[258]Santa Teresita-Mar del Tuyú'!$A$36:$E$61,5)</f>
        <v>89262</v>
      </c>
      <c r="J8" s="248">
        <f>VLOOKUP(J$4,'[258]Santa Teresita-Mar del Tuyú'!$A$36:$E$61,5)</f>
        <v>90853</v>
      </c>
      <c r="K8" s="248">
        <f>VLOOKUP(K$4,'[258]Santa Teresita-Mar del Tuyú'!$A$36:$E$61,5)</f>
        <v>92444</v>
      </c>
      <c r="L8" s="248">
        <f>VLOOKUP(L$4,'[258]Santa Teresita-Mar del Tuyú'!$A$36:$E$61,5)</f>
        <v>94035</v>
      </c>
      <c r="M8" s="248">
        <f>VLOOKUP(M$4,'[258]Santa Teresita-Mar del Tuyú'!$A$36:$E$61,5)</f>
        <v>95626</v>
      </c>
      <c r="N8" s="248">
        <f>VLOOKUP(N$4,'[258]Santa Teresita-Mar del Tuyú'!$A$36:$E$61,5)</f>
        <v>97217</v>
      </c>
      <c r="O8" s="248">
        <f>VLOOKUP(O$4,'[258]Santa Teresita-Mar del Tuyú'!$A$36:$E$61,5)</f>
        <v>98808</v>
      </c>
      <c r="P8" s="248">
        <f>VLOOKUP(P$4,'[258]Santa Teresita-Mar del Tuyú'!$A$36:$E$61,5)</f>
        <v>100399</v>
      </c>
      <c r="Q8" s="248">
        <f>VLOOKUP(Q$4,'[258]Santa Teresita-Mar del Tuyú'!$A$36:$E$61,5)</f>
        <v>101990</v>
      </c>
      <c r="R8" s="248">
        <f>VLOOKUP(R$4,'[258]Santa Teresita-Mar del Tuyú'!$A$36:$E$61,5)</f>
        <v>103581</v>
      </c>
      <c r="S8" s="248">
        <f>VLOOKUP(S$4,'[258]Santa Teresita-Mar del Tuyú'!$A$36:$E$61,5)</f>
        <v>105172</v>
      </c>
      <c r="T8" s="248">
        <f>VLOOKUP(T$4,'[258]Santa Teresita-Mar del Tuyú'!$A$36:$E$61,5)</f>
        <v>106763</v>
      </c>
      <c r="U8" s="248">
        <f>VLOOKUP(U$4,'[258]Santa Teresita-Mar del Tuyú'!$A$36:$E$61,5)</f>
        <v>108354</v>
      </c>
      <c r="V8" s="248">
        <f>VLOOKUP(V$4,'[258]Santa Teresita-Mar del Tuyú'!$A$36:$E$61,5)</f>
        <v>109945</v>
      </c>
      <c r="W8" s="248">
        <f>VLOOKUP(W$4,'[258]Santa Teresita-Mar del Tuyú'!$A$36:$E$61,5)</f>
        <v>111536</v>
      </c>
      <c r="X8" s="248">
        <f>VLOOKUP(X$4,'[258]Santa Teresita-Mar del Tuyú'!$A$36:$E$61,5)</f>
        <v>113127</v>
      </c>
      <c r="Y8" s="248">
        <f>VLOOKUP(Y$4,'[258]Santa Teresita-Mar del Tuyú'!$A$36:$E$61,5)</f>
        <v>114718</v>
      </c>
      <c r="Z8" s="248">
        <f>VLOOKUP(Z$4,'[258]Santa Teresita-Mar del Tuyú'!$A$36:$E$61,5)</f>
        <v>116309</v>
      </c>
      <c r="AA8" s="248">
        <f>VLOOKUP(AA$4,'[258]Santa Teresita-Mar del Tuyú'!$A$36:$E$61,5)</f>
        <v>117900</v>
      </c>
    </row>
    <row r="9" spans="1:27">
      <c r="A9" s="246" t="s">
        <v>45</v>
      </c>
      <c r="B9" s="248">
        <f>VLOOKUP(B$4,'[259]Monte Hermoso'!$A$36:$E$61,5)</f>
        <v>31180</v>
      </c>
      <c r="C9" s="248">
        <f>VLOOKUP(C$4,'[259]Monte Hermoso'!$A$36:$E$61,5)</f>
        <v>31915</v>
      </c>
      <c r="D9" s="248">
        <f>VLOOKUP(D$4,'[259]Monte Hermoso'!$A$36:$E$61,5)</f>
        <v>32662</v>
      </c>
      <c r="E9" s="248">
        <f>VLOOKUP(E$4,'[259]Monte Hermoso'!$A$36:$E$61,5)</f>
        <v>33421</v>
      </c>
      <c r="F9" s="248">
        <f>VLOOKUP(F$4,'[259]Monte Hermoso'!$A$36:$E$61,5)</f>
        <v>34192</v>
      </c>
      <c r="G9" s="248">
        <f>VLOOKUP(G$4,'[259]Monte Hermoso'!$A$36:$E$61,5)</f>
        <v>34976</v>
      </c>
      <c r="H9" s="248">
        <f>VLOOKUP(H$4,'[259]Monte Hermoso'!$A$36:$E$61,5)</f>
        <v>35773</v>
      </c>
      <c r="I9" s="248">
        <f>VLOOKUP(I$4,'[259]Monte Hermoso'!$A$36:$E$61,5)</f>
        <v>36583</v>
      </c>
      <c r="J9" s="248">
        <f>VLOOKUP(J$4,'[259]Monte Hermoso'!$A$36:$E$61,5)</f>
        <v>37406</v>
      </c>
      <c r="K9" s="248">
        <f>VLOOKUP(K$4,'[259]Monte Hermoso'!$A$36:$E$61,5)</f>
        <v>38242</v>
      </c>
      <c r="L9" s="248">
        <f>VLOOKUP(L$4,'[259]Monte Hermoso'!$A$36:$E$61,5)</f>
        <v>39092</v>
      </c>
      <c r="M9" s="248">
        <f>VLOOKUP(M$4,'[259]Monte Hermoso'!$A$36:$E$61,5)</f>
        <v>39956</v>
      </c>
      <c r="N9" s="248">
        <f>VLOOKUP(N$4,'[259]Monte Hermoso'!$A$36:$E$61,5)</f>
        <v>40834</v>
      </c>
      <c r="O9" s="248">
        <f>VLOOKUP(O$4,'[259]Monte Hermoso'!$A$36:$E$61,5)</f>
        <v>41726</v>
      </c>
      <c r="P9" s="248">
        <f>VLOOKUP(P$4,'[259]Monte Hermoso'!$A$36:$E$61,5)</f>
        <v>42633</v>
      </c>
      <c r="Q9" s="248">
        <f>VLOOKUP(Q$4,'[259]Monte Hermoso'!$A$36:$E$61,5)</f>
        <v>43555</v>
      </c>
      <c r="R9" s="248">
        <f>VLOOKUP(R$4,'[259]Monte Hermoso'!$A$36:$E$61,5)</f>
        <v>44492</v>
      </c>
      <c r="S9" s="248">
        <f>VLOOKUP(S$4,'[259]Monte Hermoso'!$A$36:$E$61,5)</f>
        <v>45444</v>
      </c>
      <c r="T9" s="248">
        <f>VLOOKUP(T$4,'[259]Monte Hermoso'!$A$36:$E$61,5)</f>
        <v>46412</v>
      </c>
      <c r="U9" s="248">
        <f>VLOOKUP(U$4,'[259]Monte Hermoso'!$A$36:$E$61,5)</f>
        <v>47395</v>
      </c>
      <c r="V9" s="248">
        <f>VLOOKUP(V$4,'[259]Monte Hermoso'!$A$36:$E$61,5)</f>
        <v>48394</v>
      </c>
      <c r="W9" s="248">
        <f>VLOOKUP(W$4,'[259]Monte Hermoso'!$A$36:$E$61,5)</f>
        <v>49410</v>
      </c>
      <c r="X9" s="248">
        <f>VLOOKUP(X$4,'[259]Monte Hermoso'!$A$36:$E$61,5)</f>
        <v>50442</v>
      </c>
      <c r="Y9" s="248">
        <f>VLOOKUP(Y$4,'[259]Monte Hermoso'!$A$36:$E$61,5)</f>
        <v>51491</v>
      </c>
      <c r="Z9" s="248">
        <f>VLOOKUP(Z$4,'[259]Monte Hermoso'!$A$36:$E$61,5)</f>
        <v>52557</v>
      </c>
      <c r="AA9" s="248">
        <f>VLOOKUP(AA$4,'[259]Monte Hermoso'!$A$36:$E$61,5)</f>
        <v>53641</v>
      </c>
    </row>
    <row r="10" spans="1:27">
      <c r="A10" s="246" t="s">
        <v>198</v>
      </c>
      <c r="B10" s="248">
        <f>VLOOKUP(B$4,'[260]Quequén-Necochea'!$A$36:$E$61,5)</f>
        <v>25474</v>
      </c>
      <c r="C10" s="248">
        <f>VLOOKUP(C$4,'[260]Quequén-Necochea'!$A$36:$E$61,5)</f>
        <v>25735</v>
      </c>
      <c r="D10" s="248">
        <f>VLOOKUP(D$4,'[260]Quequén-Necochea'!$A$36:$E$61,5)</f>
        <v>26000</v>
      </c>
      <c r="E10" s="248">
        <f>VLOOKUP(E$4,'[260]Quequén-Necochea'!$A$36:$E$61,5)</f>
        <v>26269</v>
      </c>
      <c r="F10" s="248">
        <f>VLOOKUP(F$4,'[260]Quequén-Necochea'!$A$36:$E$61,5)</f>
        <v>26543</v>
      </c>
      <c r="G10" s="248">
        <f>VLOOKUP(G$4,'[260]Quequén-Necochea'!$A$36:$E$61,5)</f>
        <v>26821</v>
      </c>
      <c r="H10" s="248">
        <f>VLOOKUP(H$4,'[260]Quequén-Necochea'!$A$36:$E$61,5)</f>
        <v>27104</v>
      </c>
      <c r="I10" s="248">
        <f>VLOOKUP(I$4,'[260]Quequén-Necochea'!$A$36:$E$61,5)</f>
        <v>27391</v>
      </c>
      <c r="J10" s="248">
        <f>VLOOKUP(J$4,'[260]Quequén-Necochea'!$A$36:$E$61,5)</f>
        <v>27683</v>
      </c>
      <c r="K10" s="248">
        <f>VLOOKUP(K$4,'[260]Quequén-Necochea'!$A$36:$E$61,5)</f>
        <v>27980</v>
      </c>
      <c r="L10" s="248">
        <f>VLOOKUP(L$4,'[260]Quequén-Necochea'!$A$36:$E$61,5)</f>
        <v>28282</v>
      </c>
      <c r="M10" s="248">
        <f>VLOOKUP(M$4,'[260]Quequén-Necochea'!$A$36:$E$61,5)</f>
        <v>28589</v>
      </c>
      <c r="N10" s="248">
        <f>VLOOKUP(N$4,'[260]Quequén-Necochea'!$A$36:$E$61,5)</f>
        <v>28901</v>
      </c>
      <c r="O10" s="248">
        <f>VLOOKUP(O$4,'[260]Quequén-Necochea'!$A$36:$E$61,5)</f>
        <v>29218</v>
      </c>
      <c r="P10" s="248">
        <f>VLOOKUP(P$4,'[260]Quequén-Necochea'!$A$36:$E$61,5)</f>
        <v>29540</v>
      </c>
      <c r="Q10" s="248">
        <f>VLOOKUP(Q$4,'[260]Quequén-Necochea'!$A$36:$E$61,5)</f>
        <v>29867</v>
      </c>
      <c r="R10" s="248">
        <f>VLOOKUP(R$4,'[260]Quequén-Necochea'!$A$36:$E$61,5)</f>
        <v>30199</v>
      </c>
      <c r="S10" s="248">
        <f>VLOOKUP(S$4,'[260]Quequén-Necochea'!$A$36:$E$61,5)</f>
        <v>30537</v>
      </c>
      <c r="T10" s="248">
        <f>VLOOKUP(T$4,'[260]Quequén-Necochea'!$A$36:$E$61,5)</f>
        <v>30880</v>
      </c>
      <c r="U10" s="248">
        <f>VLOOKUP(U$4,'[260]Quequén-Necochea'!$A$36:$E$61,5)</f>
        <v>31229</v>
      </c>
      <c r="V10" s="248">
        <f>VLOOKUP(V$4,'[260]Quequén-Necochea'!$A$36:$E$61,5)</f>
        <v>31584</v>
      </c>
      <c r="W10" s="248">
        <f>VLOOKUP(W$4,'[260]Quequén-Necochea'!$A$36:$E$61,5)</f>
        <v>31944</v>
      </c>
      <c r="X10" s="248">
        <f>VLOOKUP(X$4,'[260]Quequén-Necochea'!$A$36:$E$61,5)</f>
        <v>32310</v>
      </c>
      <c r="Y10" s="248">
        <f>VLOOKUP(Y$4,'[260]Quequén-Necochea'!$A$36:$E$61,5)</f>
        <v>32682</v>
      </c>
      <c r="Z10" s="248">
        <f>VLOOKUP(Z$4,'[260]Quequén-Necochea'!$A$36:$E$61,5)</f>
        <v>33060</v>
      </c>
      <c r="AA10" s="248">
        <f>VLOOKUP(AA$4,'[260]Quequén-Necochea'!$A$36:$E$61,5)</f>
        <v>33445</v>
      </c>
    </row>
    <row r="11" spans="1:27">
      <c r="A11" s="246" t="s">
        <v>49</v>
      </c>
      <c r="B11" s="248">
        <f>VLOOKUP(B$4,[261]Pinamar!$A$36:$E$61,5)</f>
        <v>62879</v>
      </c>
      <c r="C11" s="248">
        <f>VLOOKUP(C$4,[261]Pinamar!$A$36:$E$61,5)</f>
        <v>64642</v>
      </c>
      <c r="D11" s="248">
        <f>VLOOKUP(D$4,[261]Pinamar!$A$36:$E$61,5)</f>
        <v>66434</v>
      </c>
      <c r="E11" s="248">
        <f>VLOOKUP(E$4,[261]Pinamar!$A$36:$E$61,5)</f>
        <v>68255</v>
      </c>
      <c r="F11" s="248">
        <f>VLOOKUP(F$4,[261]Pinamar!$A$36:$E$61,5)</f>
        <v>70106</v>
      </c>
      <c r="G11" s="248">
        <f>VLOOKUP(G$4,[261]Pinamar!$A$36:$E$61,5)</f>
        <v>71987</v>
      </c>
      <c r="H11" s="248">
        <f>VLOOKUP(H$4,[261]Pinamar!$A$36:$E$61,5)</f>
        <v>73899</v>
      </c>
      <c r="I11" s="248">
        <f>VLOOKUP(I$4,[261]Pinamar!$A$36:$E$61,5)</f>
        <v>75842</v>
      </c>
      <c r="J11" s="248">
        <f>VLOOKUP(J$4,[261]Pinamar!$A$36:$E$61,5)</f>
        <v>77817</v>
      </c>
      <c r="K11" s="248">
        <f>VLOOKUP(K$4,[261]Pinamar!$A$36:$E$61,5)</f>
        <v>79824</v>
      </c>
      <c r="L11" s="248">
        <f>VLOOKUP(L$4,[261]Pinamar!$A$36:$E$61,5)</f>
        <v>81864</v>
      </c>
      <c r="M11" s="248">
        <f>VLOOKUP(M$4,[261]Pinamar!$A$36:$E$61,5)</f>
        <v>83937</v>
      </c>
      <c r="N11" s="248">
        <f>VLOOKUP(N$4,[261]Pinamar!$A$36:$E$61,5)</f>
        <v>86044</v>
      </c>
      <c r="O11" s="248">
        <f>VLOOKUP(O$4,[261]Pinamar!$A$36:$E$61,5)</f>
        <v>88185</v>
      </c>
      <c r="P11" s="248">
        <f>VLOOKUP(P$4,[261]Pinamar!$A$36:$E$61,5)</f>
        <v>90361</v>
      </c>
      <c r="Q11" s="248">
        <f>VLOOKUP(Q$4,[261]Pinamar!$A$36:$E$61,5)</f>
        <v>92573</v>
      </c>
      <c r="R11" s="248">
        <f>VLOOKUP(R$4,[261]Pinamar!$A$36:$E$61,5)</f>
        <v>94821</v>
      </c>
      <c r="S11" s="248">
        <f>VLOOKUP(S$4,[261]Pinamar!$A$36:$E$61,5)</f>
        <v>97106</v>
      </c>
      <c r="T11" s="248">
        <f>VLOOKUP(T$4,[261]Pinamar!$A$36:$E$61,5)</f>
        <v>99428</v>
      </c>
      <c r="U11" s="248">
        <f>VLOOKUP(U$4,[261]Pinamar!$A$36:$E$61,5)</f>
        <v>101788</v>
      </c>
      <c r="V11" s="248">
        <f>VLOOKUP(V$4,[261]Pinamar!$A$36:$E$61,5)</f>
        <v>104186</v>
      </c>
      <c r="W11" s="248">
        <f>VLOOKUP(W$4,[261]Pinamar!$A$36:$E$61,5)</f>
        <v>106623</v>
      </c>
      <c r="X11" s="248">
        <f>VLOOKUP(X$4,[261]Pinamar!$A$36:$E$61,5)</f>
        <v>109100</v>
      </c>
      <c r="Y11" s="248">
        <f>VLOOKUP(Y$4,[261]Pinamar!$A$36:$E$61,5)</f>
        <v>111617</v>
      </c>
      <c r="Z11" s="248">
        <f>VLOOKUP(Z$4,[261]Pinamar!$A$36:$E$61,5)</f>
        <v>114176</v>
      </c>
      <c r="AA11" s="248">
        <f>VLOOKUP(AA$4,[261]Pinamar!$A$36:$E$61,5)</f>
        <v>116776</v>
      </c>
    </row>
    <row r="12" spans="1:27">
      <c r="A12" s="246" t="s">
        <v>51</v>
      </c>
      <c r="B12" s="248">
        <f>VLOOKUP(B$4,'[262]Villa Gesell'!$A$36:$E$61,5)</f>
        <v>70190</v>
      </c>
      <c r="C12" s="248">
        <f>VLOOKUP(C$4,'[262]Villa Gesell'!$A$36:$E$61,5)</f>
        <v>71589</v>
      </c>
      <c r="D12" s="248">
        <f>VLOOKUP(D$4,'[262]Villa Gesell'!$A$36:$E$61,5)</f>
        <v>72988</v>
      </c>
      <c r="E12" s="248">
        <f>VLOOKUP(E$4,'[262]Villa Gesell'!$A$36:$E$61,5)</f>
        <v>74387</v>
      </c>
      <c r="F12" s="248">
        <f>VLOOKUP(F$4,'[262]Villa Gesell'!$A$36:$E$61,5)</f>
        <v>75786</v>
      </c>
      <c r="G12" s="248">
        <f>VLOOKUP(G$4,'[262]Villa Gesell'!$A$36:$E$61,5)</f>
        <v>77185</v>
      </c>
      <c r="H12" s="248">
        <f>VLOOKUP(H$4,'[262]Villa Gesell'!$A$36:$E$61,5)</f>
        <v>78584</v>
      </c>
      <c r="I12" s="248">
        <f>VLOOKUP(I$4,'[262]Villa Gesell'!$A$36:$E$61,5)</f>
        <v>79983</v>
      </c>
      <c r="J12" s="248">
        <f>VLOOKUP(J$4,'[262]Villa Gesell'!$A$36:$E$61,5)</f>
        <v>81382</v>
      </c>
      <c r="K12" s="248">
        <f>VLOOKUP(K$4,'[262]Villa Gesell'!$A$36:$E$61,5)</f>
        <v>82781</v>
      </c>
      <c r="L12" s="248">
        <f>VLOOKUP(L$4,'[262]Villa Gesell'!$A$36:$E$61,5)</f>
        <v>84180</v>
      </c>
      <c r="M12" s="248">
        <f>VLOOKUP(M$4,'[262]Villa Gesell'!$A$36:$E$61,5)</f>
        <v>85579</v>
      </c>
      <c r="N12" s="248">
        <f>VLOOKUP(N$4,'[262]Villa Gesell'!$A$36:$E$61,5)</f>
        <v>86978</v>
      </c>
      <c r="O12" s="248">
        <f>VLOOKUP(O$4,'[262]Villa Gesell'!$A$36:$E$61,5)</f>
        <v>88377</v>
      </c>
      <c r="P12" s="248">
        <f>VLOOKUP(P$4,'[262]Villa Gesell'!$A$36:$E$61,5)</f>
        <v>89776</v>
      </c>
      <c r="Q12" s="248">
        <f>VLOOKUP(Q$4,'[262]Villa Gesell'!$A$36:$E$61,5)</f>
        <v>91175</v>
      </c>
      <c r="R12" s="248">
        <f>VLOOKUP(R$4,'[262]Villa Gesell'!$A$36:$E$61,5)</f>
        <v>92574</v>
      </c>
      <c r="S12" s="248">
        <f>VLOOKUP(S$4,'[262]Villa Gesell'!$A$36:$E$61,5)</f>
        <v>93973</v>
      </c>
      <c r="T12" s="248">
        <f>VLOOKUP(T$4,'[262]Villa Gesell'!$A$36:$E$61,5)</f>
        <v>95372</v>
      </c>
      <c r="U12" s="248">
        <f>VLOOKUP(U$4,'[262]Villa Gesell'!$A$36:$E$61,5)</f>
        <v>96771</v>
      </c>
      <c r="V12" s="248">
        <f>VLOOKUP(V$4,'[262]Villa Gesell'!$A$36:$E$61,5)</f>
        <v>98170</v>
      </c>
      <c r="W12" s="248">
        <f>VLOOKUP(W$4,'[262]Villa Gesell'!$A$36:$E$61,5)</f>
        <v>99569</v>
      </c>
      <c r="X12" s="248">
        <f>VLOOKUP(X$4,'[262]Villa Gesell'!$A$36:$E$61,5)</f>
        <v>100968</v>
      </c>
      <c r="Y12" s="248">
        <f>VLOOKUP(Y$4,'[262]Villa Gesell'!$A$36:$E$61,5)</f>
        <v>102367</v>
      </c>
      <c r="Z12" s="248">
        <f>VLOOKUP(Z$4,'[262]Villa Gesell'!$A$36:$E$61,5)</f>
        <v>103766</v>
      </c>
      <c r="AA12" s="248">
        <f>VLOOKUP(AA$4,'[262]Villa Gesell'!$A$36:$E$61,5)</f>
        <v>105165</v>
      </c>
    </row>
    <row r="13" spans="1:27">
      <c r="A13" s="246" t="s">
        <v>53</v>
      </c>
      <c r="B13" s="248">
        <f>VLOOKUP(B$4,[263]CABA!$A$36:$E$61,5)</f>
        <v>3109384</v>
      </c>
      <c r="C13" s="248">
        <f>VLOOKUP(C$4,[263]CABA!$A$36:$E$61,5)</f>
        <v>3132207</v>
      </c>
      <c r="D13" s="248">
        <f>VLOOKUP(D$4,[263]CABA!$A$36:$E$61,5)</f>
        <v>3155402</v>
      </c>
      <c r="E13" s="248">
        <f>VLOOKUP(E$4,[263]CABA!$A$36:$E$61,5)</f>
        <v>3178975</v>
      </c>
      <c r="F13" s="248">
        <f>VLOOKUP(F$4,[263]CABA!$A$36:$E$61,5)</f>
        <v>3202933</v>
      </c>
      <c r="G13" s="248">
        <f>VLOOKUP(G$4,[263]CABA!$A$36:$E$61,5)</f>
        <v>3227282</v>
      </c>
      <c r="H13" s="248">
        <f>VLOOKUP(H$4,[263]CABA!$A$36:$E$61,5)</f>
        <v>3252028</v>
      </c>
      <c r="I13" s="248">
        <f>VLOOKUP(I$4,[263]CABA!$A$36:$E$61,5)</f>
        <v>3277178</v>
      </c>
      <c r="J13" s="248">
        <f>VLOOKUP(J$4,[263]CABA!$A$36:$E$61,5)</f>
        <v>3302738</v>
      </c>
      <c r="K13" s="248">
        <f>VLOOKUP(K$4,[263]CABA!$A$36:$E$61,5)</f>
        <v>3328715</v>
      </c>
      <c r="L13" s="248">
        <f>VLOOKUP(L$4,[263]CABA!$A$36:$E$61,5)</f>
        <v>3355116</v>
      </c>
      <c r="M13" s="248">
        <f>VLOOKUP(M$4,[263]CABA!$A$36:$E$61,5)</f>
        <v>3381947</v>
      </c>
      <c r="N13" s="248">
        <f>VLOOKUP(N$4,[263]CABA!$A$36:$E$61,5)</f>
        <v>3409216</v>
      </c>
      <c r="O13" s="248">
        <f>VLOOKUP(O$4,[263]CABA!$A$36:$E$61,5)</f>
        <v>3436930</v>
      </c>
      <c r="P13" s="248">
        <f>VLOOKUP(P$4,[263]CABA!$A$36:$E$61,5)</f>
        <v>3465096</v>
      </c>
      <c r="Q13" s="248">
        <f>VLOOKUP(Q$4,[263]CABA!$A$36:$E$61,5)</f>
        <v>3493721</v>
      </c>
      <c r="R13" s="248">
        <f>VLOOKUP(R$4,[263]CABA!$A$36:$E$61,5)</f>
        <v>3522813</v>
      </c>
      <c r="S13" s="248">
        <f>VLOOKUP(S$4,[263]CABA!$A$36:$E$61,5)</f>
        <v>3552380</v>
      </c>
      <c r="T13" s="248">
        <f>VLOOKUP(T$4,[263]CABA!$A$36:$E$61,5)</f>
        <v>3582429</v>
      </c>
      <c r="U13" s="248">
        <f>VLOOKUP(U$4,[263]CABA!$A$36:$E$61,5)</f>
        <v>3612968</v>
      </c>
      <c r="V13" s="248">
        <f>VLOOKUP(V$4,[263]CABA!$A$36:$E$61,5)</f>
        <v>3644006</v>
      </c>
      <c r="W13" s="248">
        <f>VLOOKUP(W$4,[263]CABA!$A$36:$E$61,5)</f>
        <v>3675550</v>
      </c>
      <c r="X13" s="248">
        <f>VLOOKUP(X$4,[263]CABA!$A$36:$E$61,5)</f>
        <v>3707608</v>
      </c>
      <c r="Y13" s="248">
        <f>VLOOKUP(Y$4,[263]CABA!$A$36:$E$61,5)</f>
        <v>3740189</v>
      </c>
      <c r="Z13" s="248">
        <f>VLOOKUP(Z$4,[263]CABA!$A$36:$E$61,5)</f>
        <v>3773302</v>
      </c>
      <c r="AA13" s="248">
        <f>VLOOKUP(AA$4,[263]CABA!$A$36:$E$61,5)</f>
        <v>3806955</v>
      </c>
    </row>
    <row r="14" spans="1:27">
      <c r="A14" s="246" t="s">
        <v>253</v>
      </c>
      <c r="B14" s="248">
        <f>VLOOKUP(B$4,'[264]San Clemente del Tuyú'!$A$36:$E$61,5)</f>
        <v>37447</v>
      </c>
      <c r="C14" s="248">
        <f>VLOOKUP(C$4,'[264]San Clemente del Tuyú'!$A$36:$E$61,5)</f>
        <v>38475</v>
      </c>
      <c r="D14" s="248">
        <f>VLOOKUP(D$4,'[264]San Clemente del Tuyú'!$A$36:$E$61,5)</f>
        <v>39503</v>
      </c>
      <c r="E14" s="248">
        <f>VLOOKUP(E$4,'[264]San Clemente del Tuyú'!$A$36:$E$61,5)</f>
        <v>40531</v>
      </c>
      <c r="F14" s="248">
        <f>VLOOKUP(F$4,'[264]San Clemente del Tuyú'!$A$36:$E$61,5)</f>
        <v>41559</v>
      </c>
      <c r="G14" s="248">
        <f>VLOOKUP(G$4,'[264]San Clemente del Tuyú'!$A$36:$E$61,5)</f>
        <v>42587</v>
      </c>
      <c r="H14" s="248">
        <f>VLOOKUP(H$4,'[264]San Clemente del Tuyú'!$A$36:$E$61,5)</f>
        <v>43615</v>
      </c>
      <c r="I14" s="248">
        <f>VLOOKUP(I$4,'[264]San Clemente del Tuyú'!$A$36:$E$61,5)</f>
        <v>44643</v>
      </c>
      <c r="J14" s="248">
        <f>VLOOKUP(J$4,'[264]San Clemente del Tuyú'!$A$36:$E$61,5)</f>
        <v>45671</v>
      </c>
      <c r="K14" s="248">
        <f>VLOOKUP(K$4,'[264]San Clemente del Tuyú'!$A$36:$E$61,5)</f>
        <v>46699</v>
      </c>
      <c r="L14" s="248">
        <f>VLOOKUP(L$4,'[264]San Clemente del Tuyú'!$A$36:$E$61,5)</f>
        <v>47727</v>
      </c>
      <c r="M14" s="248">
        <f>VLOOKUP(M$4,'[264]San Clemente del Tuyú'!$A$36:$E$61,5)</f>
        <v>48979</v>
      </c>
      <c r="N14" s="248">
        <f>VLOOKUP(N$4,'[264]San Clemente del Tuyú'!$A$36:$E$61,5)</f>
        <v>50231</v>
      </c>
      <c r="O14" s="248">
        <f>VLOOKUP(O$4,'[264]San Clemente del Tuyú'!$A$36:$E$61,5)</f>
        <v>51483</v>
      </c>
      <c r="P14" s="248">
        <f>VLOOKUP(P$4,'[264]San Clemente del Tuyú'!$A$36:$E$61,5)</f>
        <v>52735</v>
      </c>
      <c r="Q14" s="248">
        <f>VLOOKUP(Q$4,'[264]San Clemente del Tuyú'!$A$36:$E$61,5)</f>
        <v>53987</v>
      </c>
      <c r="R14" s="248">
        <f>VLOOKUP(R$4,'[264]San Clemente del Tuyú'!$A$36:$E$61,5)</f>
        <v>55239</v>
      </c>
      <c r="S14" s="248">
        <f>VLOOKUP(S$4,'[264]San Clemente del Tuyú'!$A$36:$E$61,5)</f>
        <v>56491</v>
      </c>
      <c r="T14" s="248">
        <f>VLOOKUP(T$4,'[264]San Clemente del Tuyú'!$A$36:$E$61,5)</f>
        <v>57743</v>
      </c>
      <c r="U14" s="248">
        <f>VLOOKUP(U$4,'[264]San Clemente del Tuyú'!$A$36:$E$61,5)</f>
        <v>58995</v>
      </c>
      <c r="V14" s="248">
        <f>VLOOKUP(V$4,'[264]San Clemente del Tuyú'!$A$36:$E$61,5)</f>
        <v>60247</v>
      </c>
      <c r="W14" s="248">
        <f>VLOOKUP(W$4,'[264]San Clemente del Tuyú'!$A$36:$E$61,5)</f>
        <v>61499</v>
      </c>
      <c r="X14" s="248">
        <f>VLOOKUP(X$4,'[264]San Clemente del Tuyú'!$A$36:$E$61,5)</f>
        <v>62751</v>
      </c>
      <c r="Y14" s="248">
        <f>VLOOKUP(Y$4,'[264]San Clemente del Tuyú'!$A$36:$E$61,5)</f>
        <v>64003</v>
      </c>
      <c r="Z14" s="248">
        <f>VLOOKUP(Z$4,'[264]San Clemente del Tuyú'!$A$36:$E$61,5)</f>
        <v>65255</v>
      </c>
      <c r="AA14" s="248">
        <f>VLOOKUP(AA$4,'[264]San Clemente del Tuyú'!$A$36:$E$61,5)</f>
        <v>66507</v>
      </c>
    </row>
    <row r="15" spans="1:27">
      <c r="A15" s="246" t="s">
        <v>255</v>
      </c>
      <c r="B15" s="248">
        <f>VLOOKUP(B$4,[265]Santa_Clara!$A$36:$E$61,5)</f>
        <v>18833</v>
      </c>
      <c r="C15" s="248">
        <f>VLOOKUP(C$4,[265]Santa_Clara!$A$36:$E$61,5)</f>
        <v>19673</v>
      </c>
      <c r="D15" s="248">
        <f>VLOOKUP(D$4,[265]Santa_Clara!$A$36:$E$61,5)</f>
        <v>20553</v>
      </c>
      <c r="E15" s="248">
        <f>VLOOKUP(E$4,[265]Santa_Clara!$A$36:$E$61,5)</f>
        <v>21471</v>
      </c>
      <c r="F15" s="248">
        <f>VLOOKUP(F$4,[265]Santa_Clara!$A$36:$E$61,5)</f>
        <v>22431</v>
      </c>
      <c r="G15" s="248">
        <f>VLOOKUP(G$4,[265]Santa_Clara!$A$36:$E$61,5)</f>
        <v>23432</v>
      </c>
      <c r="H15" s="248">
        <f>VLOOKUP(H$4,[265]Santa_Clara!$A$36:$E$61,5)</f>
        <v>24481</v>
      </c>
      <c r="I15" s="248">
        <f>VLOOKUP(I$4,[265]Santa_Clara!$A$36:$E$61,5)</f>
        <v>25574</v>
      </c>
      <c r="J15" s="248">
        <f>VLOOKUP(J$4,[265]Santa_Clara!$A$36:$E$61,5)</f>
        <v>26717</v>
      </c>
      <c r="K15" s="248">
        <f>VLOOKUP(K$4,[265]Santa_Clara!$A$36:$E$61,5)</f>
        <v>27911</v>
      </c>
      <c r="L15" s="248">
        <f>VLOOKUP(L$4,[265]Santa_Clara!$A$36:$E$61,5)</f>
        <v>29158</v>
      </c>
      <c r="M15" s="248">
        <f>VLOOKUP(M$4,[265]Santa_Clara!$A$36:$E$61,5)</f>
        <v>30462</v>
      </c>
      <c r="N15" s="248">
        <f>VLOOKUP(N$4,[265]Santa_Clara!$A$36:$E$61,5)</f>
        <v>31823</v>
      </c>
      <c r="O15" s="248">
        <f>VLOOKUP(O$4,[265]Santa_Clara!$A$36:$E$61,5)</f>
        <v>33245</v>
      </c>
      <c r="P15" s="248">
        <f>VLOOKUP(P$4,[265]Santa_Clara!$A$36:$E$61,5)</f>
        <v>34730</v>
      </c>
      <c r="Q15" s="248">
        <f>VLOOKUP(Q$4,[265]Santa_Clara!$A$36:$E$61,5)</f>
        <v>36282</v>
      </c>
      <c r="R15" s="248">
        <f>VLOOKUP(R$4,[265]Santa_Clara!$A$36:$E$61,5)</f>
        <v>37905</v>
      </c>
      <c r="S15" s="248">
        <f>VLOOKUP(S$4,[265]Santa_Clara!$A$36:$E$61,5)</f>
        <v>39599</v>
      </c>
      <c r="T15" s="248">
        <f>VLOOKUP(T$4,[265]Santa_Clara!$A$36:$E$61,5)</f>
        <v>41368</v>
      </c>
      <c r="U15" s="248">
        <f>VLOOKUP(U$4,[265]Santa_Clara!$A$36:$E$61,5)</f>
        <v>43218</v>
      </c>
      <c r="V15" s="248">
        <f>VLOOKUP(V$4,[265]Santa_Clara!$A$36:$E$61,5)</f>
        <v>45148</v>
      </c>
      <c r="W15" s="248">
        <f>VLOOKUP(W$4,[265]Santa_Clara!$A$36:$E$61,5)</f>
        <v>47166</v>
      </c>
      <c r="X15" s="248">
        <f>VLOOKUP(X$4,[265]Santa_Clara!$A$36:$E$61,5)</f>
        <v>49274</v>
      </c>
      <c r="Y15" s="248">
        <f>VLOOKUP(Y$4,[265]Santa_Clara!$A$36:$E$61,5)</f>
        <v>51475</v>
      </c>
      <c r="Z15" s="248">
        <f>VLOOKUP(Z$4,[265]Santa_Clara!$A$36:$E$61,5)</f>
        <v>53776</v>
      </c>
      <c r="AA15" s="248">
        <f>VLOOKUP(AA$4,[265]Santa_Clara!$A$36:$E$61,5)</f>
        <v>56179</v>
      </c>
    </row>
    <row r="16" spans="1:27">
      <c r="A16" s="249" t="s">
        <v>37</v>
      </c>
      <c r="B16" s="250">
        <f>VLOOKUP(B$4,[255]Gral_Alvarado!$A$37:$G$62,7,FALSE)</f>
        <v>84230</v>
      </c>
      <c r="C16" s="250">
        <f>VLOOKUP(C$4,[255]Gral_Alvarado!$A$37:$G$62,7,FALSE)</f>
        <v>85497</v>
      </c>
      <c r="D16" s="250">
        <f>VLOOKUP(D$4,[255]Gral_Alvarado!$A$37:$G$62,7,FALSE)</f>
        <v>86764</v>
      </c>
      <c r="E16" s="250">
        <f>VLOOKUP(E$4,[255]Gral_Alvarado!$A$37:$G$62,7,FALSE)</f>
        <v>88031</v>
      </c>
      <c r="F16" s="250">
        <f>VLOOKUP(F$4,[255]Gral_Alvarado!$A$37:$G$62,7,FALSE)</f>
        <v>89298</v>
      </c>
      <c r="G16" s="250">
        <f>VLOOKUP(G$4,[255]Gral_Alvarado!$A$37:$G$62,7,FALSE)</f>
        <v>90565</v>
      </c>
      <c r="H16" s="250">
        <f>VLOOKUP(H$4,[255]Gral_Alvarado!$A$37:$G$62,7,FALSE)</f>
        <v>91832</v>
      </c>
      <c r="I16" s="250">
        <f>VLOOKUP(I$4,[255]Gral_Alvarado!$A$37:$G$62,7,FALSE)</f>
        <v>93099</v>
      </c>
      <c r="J16" s="250">
        <f>VLOOKUP(J$4,[255]Gral_Alvarado!$A$37:$G$62,7,FALSE)</f>
        <v>94366</v>
      </c>
      <c r="K16" s="250">
        <f>VLOOKUP(K$4,[255]Gral_Alvarado!$A$37:$G$62,7,FALSE)</f>
        <v>95633</v>
      </c>
      <c r="L16" s="250">
        <f>VLOOKUP(L$4,[255]Gral_Alvarado!$A$37:$G$62,7,FALSE)</f>
        <v>96900</v>
      </c>
      <c r="M16" s="250">
        <f>VLOOKUP(M$4,[255]Gral_Alvarado!$A$37:$G$62,7,FALSE)</f>
        <v>98167</v>
      </c>
      <c r="N16" s="250">
        <f>VLOOKUP(N$4,[255]Gral_Alvarado!$A$37:$G$62,7,FALSE)</f>
        <v>99434</v>
      </c>
      <c r="O16" s="250">
        <f>VLOOKUP(O$4,[255]Gral_Alvarado!$A$37:$G$62,7,FALSE)</f>
        <v>100701</v>
      </c>
      <c r="P16" s="250">
        <f>VLOOKUP(P$4,[255]Gral_Alvarado!$A$37:$G$62,7,FALSE)</f>
        <v>101968</v>
      </c>
      <c r="Q16" s="250">
        <f>VLOOKUP(Q$4,[255]Gral_Alvarado!$A$37:$G$62,7,FALSE)</f>
        <v>103235</v>
      </c>
      <c r="R16" s="250">
        <f>VLOOKUP(R$4,[255]Gral_Alvarado!$A$37:$G$62,7,FALSE)</f>
        <v>104502</v>
      </c>
      <c r="S16" s="250">
        <f>VLOOKUP(S$4,[255]Gral_Alvarado!$A$37:$G$62,7,FALSE)</f>
        <v>105769</v>
      </c>
      <c r="T16" s="250">
        <f>VLOOKUP(T$4,[255]Gral_Alvarado!$A$37:$G$62,7,FALSE)</f>
        <v>107036</v>
      </c>
      <c r="U16" s="250">
        <f>VLOOKUP(U$4,[255]Gral_Alvarado!$A$37:$G$62,7,FALSE)</f>
        <v>108303</v>
      </c>
      <c r="V16" s="250">
        <f>VLOOKUP(V$4,[255]Gral_Alvarado!$A$37:$G$62,7,FALSE)</f>
        <v>109570</v>
      </c>
      <c r="W16" s="250">
        <f>VLOOKUP(W$4,[255]Gral_Alvarado!$A$37:$G$62,7,FALSE)</f>
        <v>110837</v>
      </c>
      <c r="X16" s="250">
        <f>VLOOKUP(X$4,[255]Gral_Alvarado!$A$37:$G$62,7,FALSE)</f>
        <v>112104</v>
      </c>
      <c r="Y16" s="250">
        <f>VLOOKUP(Y$4,[255]Gral_Alvarado!$A$37:$G$62,7,FALSE)</f>
        <v>113371</v>
      </c>
      <c r="Z16" s="250">
        <f>VLOOKUP(Z$4,[255]Gral_Alvarado!$A$37:$G$62,7,FALSE)</f>
        <v>114638</v>
      </c>
      <c r="AA16" s="250">
        <f>VLOOKUP(AA$4,[255]Gral_Alvarado!$A$37:$G$62,7,FALSE)</f>
        <v>115905</v>
      </c>
    </row>
    <row r="17" spans="1:27">
      <c r="A17" s="249" t="s">
        <v>40</v>
      </c>
      <c r="B17" s="250">
        <f>VLOOKUP(B$4,'[256]Gral Pueyrredón'!$A$37:$G$62,7,FALSE)</f>
        <v>922561</v>
      </c>
      <c r="C17" s="250">
        <f>VLOOKUP(C$4,'[256]Gral Pueyrredón'!$A$37:$G$62,7,FALSE)</f>
        <v>929786</v>
      </c>
      <c r="D17" s="250">
        <f>VLOOKUP(D$4,'[256]Gral Pueyrredón'!$A$37:$G$62,7,FALSE)</f>
        <v>937068</v>
      </c>
      <c r="E17" s="250">
        <f>VLOOKUP(E$4,'[256]Gral Pueyrredón'!$A$37:$G$62,7,FALSE)</f>
        <v>944407</v>
      </c>
      <c r="F17" s="250">
        <f>VLOOKUP(F$4,'[256]Gral Pueyrredón'!$A$37:$G$62,7,FALSE)</f>
        <v>951804</v>
      </c>
      <c r="G17" s="250">
        <f>VLOOKUP(G$4,'[256]Gral Pueyrredón'!$A$37:$G$62,7,FALSE)</f>
        <v>959258</v>
      </c>
      <c r="H17" s="250">
        <f>VLOOKUP(H$4,'[256]Gral Pueyrredón'!$A$37:$G$62,7,FALSE)</f>
        <v>966771</v>
      </c>
      <c r="I17" s="250">
        <f>VLOOKUP(I$4,'[256]Gral Pueyrredón'!$A$37:$G$62,7,FALSE)</f>
        <v>974342</v>
      </c>
      <c r="J17" s="250">
        <f>VLOOKUP(J$4,'[256]Gral Pueyrredón'!$A$37:$G$62,7,FALSE)</f>
        <v>981973</v>
      </c>
      <c r="K17" s="250">
        <f>VLOOKUP(K$4,'[256]Gral Pueyrredón'!$A$37:$G$62,7,FALSE)</f>
        <v>989663</v>
      </c>
      <c r="L17" s="250">
        <f>VLOOKUP(L$4,'[256]Gral Pueyrredón'!$A$37:$G$62,7,FALSE)</f>
        <v>997414</v>
      </c>
      <c r="M17" s="250">
        <f>VLOOKUP(M$4,'[256]Gral Pueyrredón'!$A$37:$G$62,7,FALSE)</f>
        <v>1005226</v>
      </c>
      <c r="N17" s="250">
        <f>VLOOKUP(N$4,'[256]Gral Pueyrredón'!$A$37:$G$62,7,FALSE)</f>
        <v>1013099</v>
      </c>
      <c r="O17" s="250">
        <f>VLOOKUP(O$4,'[256]Gral Pueyrredón'!$A$37:$G$62,7,FALSE)</f>
        <v>1021034</v>
      </c>
      <c r="P17" s="250">
        <f>VLOOKUP(P$4,'[256]Gral Pueyrredón'!$A$37:$G$62,7,FALSE)</f>
        <v>1029030</v>
      </c>
      <c r="Q17" s="250">
        <f>VLOOKUP(Q$4,'[256]Gral Pueyrredón'!$A$37:$G$62,7,FALSE)</f>
        <v>1037088</v>
      </c>
      <c r="R17" s="250">
        <f>VLOOKUP(R$4,'[256]Gral Pueyrredón'!$A$37:$G$62,7,FALSE)</f>
        <v>1045211</v>
      </c>
      <c r="S17" s="250">
        <f>VLOOKUP(S$4,'[256]Gral Pueyrredón'!$A$37:$G$62,7,FALSE)</f>
        <v>1053396</v>
      </c>
      <c r="T17" s="250">
        <f>VLOOKUP(T$4,'[256]Gral Pueyrredón'!$A$37:$G$62,7,FALSE)</f>
        <v>1061647</v>
      </c>
      <c r="U17" s="250">
        <f>VLOOKUP(U$4,'[256]Gral Pueyrredón'!$A$37:$G$62,7,FALSE)</f>
        <v>1069961</v>
      </c>
      <c r="V17" s="250">
        <f>VLOOKUP(V$4,'[256]Gral Pueyrredón'!$A$37:$G$62,7,FALSE)</f>
        <v>1078339</v>
      </c>
      <c r="W17" s="250">
        <f>VLOOKUP(W$4,'[256]Gral Pueyrredón'!$A$37:$G$62,7,FALSE)</f>
        <v>1086784</v>
      </c>
      <c r="X17" s="250">
        <f>VLOOKUP(X$4,'[256]Gral Pueyrredón'!$A$37:$G$62,7,FALSE)</f>
        <v>1095296</v>
      </c>
      <c r="Y17" s="250">
        <f>VLOOKUP(Y$4,'[256]Gral Pueyrredón'!$A$37:$G$62,7,FALSE)</f>
        <v>1103875</v>
      </c>
      <c r="Z17" s="250">
        <f>VLOOKUP(Z$4,'[256]Gral Pueyrredón'!$A$37:$G$62,7,FALSE)</f>
        <v>1112520</v>
      </c>
      <c r="AA17" s="250">
        <f>VLOOKUP(AA$4,'[256]Gral Pueyrredón'!$A$37:$G$62,7,FALSE)</f>
        <v>1121232</v>
      </c>
    </row>
    <row r="18" spans="1:27">
      <c r="A18" s="249" t="s">
        <v>42</v>
      </c>
      <c r="B18" s="250">
        <f>VLOOKUP(B$4,'[257]La Costa'!$A$37:$G$62,7,FALSE)</f>
        <v>382517</v>
      </c>
      <c r="C18" s="250">
        <f>VLOOKUP(C$4,'[257]La Costa'!$A$37:$G$62,7,FALSE)</f>
        <v>395253</v>
      </c>
      <c r="D18" s="250">
        <f>VLOOKUP(D$4,'[257]La Costa'!$A$37:$G$62,7,FALSE)</f>
        <v>407989</v>
      </c>
      <c r="E18" s="250">
        <f>VLOOKUP(E$4,'[257]La Costa'!$A$37:$G$62,7,FALSE)</f>
        <v>420725</v>
      </c>
      <c r="F18" s="250">
        <f>VLOOKUP(F$4,'[257]La Costa'!$A$37:$G$62,7,FALSE)</f>
        <v>433461</v>
      </c>
      <c r="G18" s="250">
        <f>VLOOKUP(G$4,'[257]La Costa'!$A$37:$G$62,7,FALSE)</f>
        <v>446197</v>
      </c>
      <c r="H18" s="250">
        <f>VLOOKUP(H$4,'[257]La Costa'!$A$37:$G$62,7,FALSE)</f>
        <v>458933</v>
      </c>
      <c r="I18" s="250">
        <f>VLOOKUP(I$4,'[257]La Costa'!$A$37:$G$62,7,FALSE)</f>
        <v>471669</v>
      </c>
      <c r="J18" s="250">
        <f>VLOOKUP(J$4,'[257]La Costa'!$A$37:$G$62,7,FALSE)</f>
        <v>484405</v>
      </c>
      <c r="K18" s="250">
        <f>VLOOKUP(K$4,'[257]La Costa'!$A$37:$G$62,7,FALSE)</f>
        <v>497141</v>
      </c>
      <c r="L18" s="250">
        <f>VLOOKUP(L$4,'[257]La Costa'!$A$37:$G$62,7,FALSE)</f>
        <v>509877</v>
      </c>
      <c r="M18" s="250">
        <f>VLOOKUP(M$4,'[257]La Costa'!$A$37:$G$62,7,FALSE)</f>
        <v>525487</v>
      </c>
      <c r="N18" s="250">
        <f>VLOOKUP(N$4,'[257]La Costa'!$A$37:$G$62,7,FALSE)</f>
        <v>541097</v>
      </c>
      <c r="O18" s="250">
        <f>VLOOKUP(O$4,'[257]La Costa'!$A$37:$G$62,7,FALSE)</f>
        <v>556707</v>
      </c>
      <c r="P18" s="250">
        <f>VLOOKUP(P$4,'[257]La Costa'!$A$37:$G$62,7,FALSE)</f>
        <v>572317</v>
      </c>
      <c r="Q18" s="250">
        <f>VLOOKUP(Q$4,'[257]La Costa'!$A$37:$G$62,7,FALSE)</f>
        <v>587927</v>
      </c>
      <c r="R18" s="250">
        <f>VLOOKUP(R$4,'[257]La Costa'!$A$37:$G$62,7,FALSE)</f>
        <v>603537</v>
      </c>
      <c r="S18" s="250">
        <f>VLOOKUP(S$4,'[257]La Costa'!$A$37:$G$62,7,FALSE)</f>
        <v>619147</v>
      </c>
      <c r="T18" s="250">
        <f>VLOOKUP(T$4,'[257]La Costa'!$A$37:$G$62,7,FALSE)</f>
        <v>634757</v>
      </c>
      <c r="U18" s="250">
        <f>VLOOKUP(U$4,'[257]La Costa'!$A$37:$G$62,7,FALSE)</f>
        <v>650367</v>
      </c>
      <c r="V18" s="250">
        <f>VLOOKUP(V$4,'[257]La Costa'!$A$37:$G$62,7,FALSE)</f>
        <v>665977</v>
      </c>
      <c r="W18" s="250">
        <f>VLOOKUP(W$4,'[257]La Costa'!$A$37:$G$62,7,FALSE)</f>
        <v>681587</v>
      </c>
      <c r="X18" s="250">
        <f>VLOOKUP(X$4,'[257]La Costa'!$A$37:$G$62,7,FALSE)</f>
        <v>697197</v>
      </c>
      <c r="Y18" s="250">
        <f>VLOOKUP(Y$4,'[257]La Costa'!$A$37:$G$62,7,FALSE)</f>
        <v>712807</v>
      </c>
      <c r="Z18" s="250">
        <f>VLOOKUP(Z$4,'[257]La Costa'!$A$37:$G$62,7,FALSE)</f>
        <v>728417</v>
      </c>
      <c r="AA18" s="250">
        <f>VLOOKUP(AA$4,'[257]La Costa'!$A$37:$G$62,7,FALSE)</f>
        <v>744027</v>
      </c>
    </row>
    <row r="19" spans="1:27">
      <c r="A19" s="249" t="s">
        <v>264</v>
      </c>
      <c r="B19" s="250">
        <f>VLOOKUP(B$4,'[259]Monte Hermoso_Depto'!$A$37:$G$62,7,FALSE)</f>
        <v>40412</v>
      </c>
      <c r="C19" s="250">
        <f>VLOOKUP(C$4,'[259]Monte Hermoso_Depto'!$A$37:$G$62,7,FALSE)</f>
        <v>41365</v>
      </c>
      <c r="D19" s="250">
        <f>VLOOKUP(D$4,'[259]Monte Hermoso_Depto'!$A$37:$G$62,7,FALSE)</f>
        <v>42333</v>
      </c>
      <c r="E19" s="250">
        <f>VLOOKUP(E$4,'[259]Monte Hermoso_Depto'!$A$37:$G$62,7,FALSE)</f>
        <v>43317</v>
      </c>
      <c r="F19" s="250">
        <f>VLOOKUP(F$4,'[259]Monte Hermoso_Depto'!$A$37:$G$62,7,FALSE)</f>
        <v>44316</v>
      </c>
      <c r="G19" s="250">
        <f>VLOOKUP(G$4,'[259]Monte Hermoso_Depto'!$A$37:$G$62,7,FALSE)</f>
        <v>45332</v>
      </c>
      <c r="H19" s="250">
        <f>VLOOKUP(H$4,'[259]Monte Hermoso_Depto'!$A$37:$G$62,7,FALSE)</f>
        <v>46365</v>
      </c>
      <c r="I19" s="250">
        <f>VLOOKUP(I$4,'[259]Monte Hermoso_Depto'!$A$37:$G$62,7,FALSE)</f>
        <v>47414</v>
      </c>
      <c r="J19" s="250">
        <f>VLOOKUP(J$4,'[259]Monte Hermoso_Depto'!$A$37:$G$62,7,FALSE)</f>
        <v>48481</v>
      </c>
      <c r="K19" s="250">
        <f>VLOOKUP(K$4,'[259]Monte Hermoso_Depto'!$A$37:$G$62,7,FALSE)</f>
        <v>49565</v>
      </c>
      <c r="L19" s="250">
        <f>VLOOKUP(L$4,'[259]Monte Hermoso_Depto'!$A$37:$G$62,7,FALSE)</f>
        <v>50667</v>
      </c>
      <c r="M19" s="250">
        <f>VLOOKUP(M$4,'[259]Monte Hermoso_Depto'!$A$37:$G$62,7,FALSE)</f>
        <v>51786</v>
      </c>
      <c r="N19" s="250">
        <f>VLOOKUP(N$4,'[259]Monte Hermoso_Depto'!$A$37:$G$62,7,FALSE)</f>
        <v>52924</v>
      </c>
      <c r="O19" s="250">
        <f>VLOOKUP(O$4,'[259]Monte Hermoso_Depto'!$A$37:$G$62,7,FALSE)</f>
        <v>54081</v>
      </c>
      <c r="P19" s="250">
        <f>VLOOKUP(P$4,'[259]Monte Hermoso_Depto'!$A$37:$G$62,7,FALSE)</f>
        <v>55257</v>
      </c>
      <c r="Q19" s="250">
        <f>VLOOKUP(Q$4,'[259]Monte Hermoso_Depto'!$A$37:$G$62,7,FALSE)</f>
        <v>56451</v>
      </c>
      <c r="R19" s="250">
        <f>VLOOKUP(R$4,'[259]Monte Hermoso_Depto'!$A$37:$G$62,7,FALSE)</f>
        <v>57665</v>
      </c>
      <c r="S19" s="250">
        <f>VLOOKUP(S$4,'[259]Monte Hermoso_Depto'!$A$37:$G$62,7,FALSE)</f>
        <v>58899</v>
      </c>
      <c r="T19" s="250">
        <f>VLOOKUP(T$4,'[259]Monte Hermoso_Depto'!$A$37:$G$62,7,FALSE)</f>
        <v>60153</v>
      </c>
      <c r="U19" s="250">
        <f>VLOOKUP(U$4,'[259]Monte Hermoso_Depto'!$A$37:$G$62,7,FALSE)</f>
        <v>61427</v>
      </c>
      <c r="V19" s="250">
        <f>VLOOKUP(V$4,'[259]Monte Hermoso_Depto'!$A$37:$G$62,7,FALSE)</f>
        <v>62723</v>
      </c>
      <c r="W19" s="250">
        <f>VLOOKUP(W$4,'[259]Monte Hermoso_Depto'!$A$37:$G$62,7,FALSE)</f>
        <v>64040</v>
      </c>
      <c r="X19" s="250">
        <f>VLOOKUP(X$4,'[259]Monte Hermoso_Depto'!$A$37:$G$62,7,FALSE)</f>
        <v>65378</v>
      </c>
      <c r="Y19" s="250">
        <f>VLOOKUP(Y$4,'[259]Monte Hermoso_Depto'!$A$37:$G$62,7,FALSE)</f>
        <v>66738</v>
      </c>
      <c r="Z19" s="250">
        <f>VLOOKUP(Z$4,'[259]Monte Hermoso_Depto'!$A$37:$G$62,7,FALSE)</f>
        <v>68120</v>
      </c>
      <c r="AA19" s="250">
        <f>VLOOKUP(AA$4,'[259]Monte Hermoso_Depto'!$A$37:$G$62,7,FALSE)</f>
        <v>69524</v>
      </c>
    </row>
    <row r="20" spans="1:27">
      <c r="A20" s="249" t="s">
        <v>47</v>
      </c>
      <c r="B20" s="250">
        <f>VLOOKUP(B$4,[260]Necochea_depto!$A$37:$G$62,7,FALSE)</f>
        <v>125340</v>
      </c>
      <c r="C20" s="250">
        <f>VLOOKUP(C$4,[260]Necochea_depto!$A$37:$G$62,7,FALSE)</f>
        <v>126623</v>
      </c>
      <c r="D20" s="250">
        <f>VLOOKUP(D$4,[260]Necochea_depto!$A$37:$G$62,7,FALSE)</f>
        <v>127927</v>
      </c>
      <c r="E20" s="250">
        <f>VLOOKUP(E$4,[260]Necochea_depto!$A$37:$G$62,7,FALSE)</f>
        <v>129252</v>
      </c>
      <c r="F20" s="250">
        <f>VLOOKUP(F$4,[260]Necochea_depto!$A$37:$G$62,7,FALSE)</f>
        <v>130599</v>
      </c>
      <c r="G20" s="250">
        <f>VLOOKUP(G$4,[260]Necochea_depto!$A$37:$G$62,7,FALSE)</f>
        <v>131968</v>
      </c>
      <c r="H20" s="250">
        <f>VLOOKUP(H$4,[260]Necochea_depto!$A$37:$G$62,7,FALSE)</f>
        <v>133359</v>
      </c>
      <c r="I20" s="250">
        <f>VLOOKUP(I$4,[260]Necochea_depto!$A$37:$G$62,7,FALSE)</f>
        <v>134773</v>
      </c>
      <c r="J20" s="250">
        <f>VLOOKUP(J$4,[260]Necochea_depto!$A$37:$G$62,7,FALSE)</f>
        <v>136210</v>
      </c>
      <c r="K20" s="250">
        <f>VLOOKUP(K$4,[260]Necochea_depto!$A$37:$G$62,7,FALSE)</f>
        <v>137670</v>
      </c>
      <c r="L20" s="250">
        <f>VLOOKUP(L$4,[260]Necochea_depto!$A$37:$G$62,7,FALSE)</f>
        <v>139154</v>
      </c>
      <c r="M20" s="250">
        <f>VLOOKUP(M$4,[260]Necochea_depto!$A$37:$G$62,7,FALSE)</f>
        <v>140662</v>
      </c>
      <c r="N20" s="250">
        <f>VLOOKUP(N$4,[260]Necochea_depto!$A$37:$G$62,7,FALSE)</f>
        <v>142195</v>
      </c>
      <c r="O20" s="250">
        <f>VLOOKUP(O$4,[260]Necochea_depto!$A$37:$G$62,7,FALSE)</f>
        <v>143753</v>
      </c>
      <c r="P20" s="250">
        <f>VLOOKUP(P$4,[260]Necochea_depto!$A$37:$G$62,7,FALSE)</f>
        <v>145337</v>
      </c>
      <c r="Q20" s="250">
        <f>VLOOKUP(Q$4,[260]Necochea_depto!$A$37:$G$62,7,FALSE)</f>
        <v>146946</v>
      </c>
      <c r="R20" s="250">
        <f>VLOOKUP(R$4,[260]Necochea_depto!$A$37:$G$62,7,FALSE)</f>
        <v>148582</v>
      </c>
      <c r="S20" s="250">
        <f>VLOOKUP(S$4,[260]Necochea_depto!$A$37:$G$62,7,FALSE)</f>
        <v>150244</v>
      </c>
      <c r="T20" s="250">
        <f>VLOOKUP(T$4,[260]Necochea_depto!$A$37:$G$62,7,FALSE)</f>
        <v>151933</v>
      </c>
      <c r="U20" s="250">
        <f>VLOOKUP(U$4,[260]Necochea_depto!$A$37:$G$62,7,FALSE)</f>
        <v>153650</v>
      </c>
      <c r="V20" s="250">
        <f>VLOOKUP(V$4,[260]Necochea_depto!$A$37:$G$62,7,FALSE)</f>
        <v>155395</v>
      </c>
      <c r="W20" s="250">
        <f>VLOOKUP(W$4,[260]Necochea_depto!$A$37:$G$62,7,FALSE)</f>
        <v>157168</v>
      </c>
      <c r="X20" s="250">
        <f>VLOOKUP(X$4,[260]Necochea_depto!$A$37:$G$62,7,FALSE)</f>
        <v>158970</v>
      </c>
      <c r="Y20" s="250">
        <f>VLOOKUP(Y$4,[260]Necochea_depto!$A$37:$G$62,7,FALSE)</f>
        <v>160801</v>
      </c>
      <c r="Z20" s="250">
        <f>VLOOKUP(Z$4,[260]Necochea_depto!$A$37:$G$62,7,FALSE)</f>
        <v>162663</v>
      </c>
      <c r="AA20" s="250">
        <f>VLOOKUP(AA$4,[260]Necochea_depto!$A$37:$G$62,7,FALSE)</f>
        <v>164555</v>
      </c>
    </row>
    <row r="21" spans="1:27">
      <c r="A21" s="249" t="s">
        <v>265</v>
      </c>
      <c r="B21" s="250">
        <f>VLOOKUP(B$4,[261]Pinamar_Depto!$A$37:$G$62,7,FALSE)</f>
        <v>111502</v>
      </c>
      <c r="C21" s="250">
        <f>VLOOKUP(C$4,[261]Pinamar_Depto!$A$37:$G$62,7,FALSE)</f>
        <v>114629</v>
      </c>
      <c r="D21" s="250">
        <f>VLOOKUP(D$4,[261]Pinamar_Depto!$A$37:$G$62,7,FALSE)</f>
        <v>117807</v>
      </c>
      <c r="E21" s="250">
        <f>VLOOKUP(E$4,[261]Pinamar_Depto!$A$37:$G$62,7,FALSE)</f>
        <v>121037</v>
      </c>
      <c r="F21" s="250">
        <f>VLOOKUP(F$4,[261]Pinamar_Depto!$A$37:$G$62,7,FALSE)</f>
        <v>124320</v>
      </c>
      <c r="G21" s="250">
        <f>VLOOKUP(G$4,[261]Pinamar_Depto!$A$37:$G$62,7,FALSE)</f>
        <v>127656</v>
      </c>
      <c r="H21" s="250">
        <f>VLOOKUP(H$4,[261]Pinamar_Depto!$A$37:$G$62,7,FALSE)</f>
        <v>131047</v>
      </c>
      <c r="I21" s="250">
        <f>VLOOKUP(I$4,[261]Pinamar_Depto!$A$37:$G$62,7,FALSE)</f>
        <v>134493</v>
      </c>
      <c r="J21" s="250">
        <f>VLOOKUP(J$4,[261]Pinamar_Depto!$A$37:$G$62,7,FALSE)</f>
        <v>137995</v>
      </c>
      <c r="K21" s="250">
        <f>VLOOKUP(K$4,[261]Pinamar_Depto!$A$37:$G$62,7,FALSE)</f>
        <v>141555</v>
      </c>
      <c r="L21" s="250">
        <f>VLOOKUP(L$4,[261]Pinamar_Depto!$A$37:$G$62,7,FALSE)</f>
        <v>145173</v>
      </c>
      <c r="M21" s="250">
        <f>VLOOKUP(M$4,[261]Pinamar_Depto!$A$37:$G$62,7,FALSE)</f>
        <v>148850</v>
      </c>
      <c r="N21" s="250">
        <f>VLOOKUP(N$4,[261]Pinamar_Depto!$A$37:$G$62,7,FALSE)</f>
        <v>152586</v>
      </c>
      <c r="O21" s="250">
        <f>VLOOKUP(O$4,[261]Pinamar_Depto!$A$37:$G$62,7,FALSE)</f>
        <v>156384</v>
      </c>
      <c r="P21" s="250">
        <f>VLOOKUP(P$4,[261]Pinamar_Depto!$A$37:$G$62,7,FALSE)</f>
        <v>160244</v>
      </c>
      <c r="Q21" s="250">
        <f>VLOOKUP(Q$4,[261]Pinamar_Depto!$A$37:$G$62,7,FALSE)</f>
        <v>164166</v>
      </c>
      <c r="R21" s="250">
        <f>VLOOKUP(R$4,[261]Pinamar_Depto!$A$37:$G$62,7,FALSE)</f>
        <v>168153</v>
      </c>
      <c r="S21" s="250">
        <f>VLOOKUP(S$4,[261]Pinamar_Depto!$A$37:$G$62,7,FALSE)</f>
        <v>172205</v>
      </c>
      <c r="T21" s="250">
        <f>VLOOKUP(T$4,[261]Pinamar_Depto!$A$37:$G$62,7,FALSE)</f>
        <v>176323</v>
      </c>
      <c r="U21" s="250">
        <f>VLOOKUP(U$4,[261]Pinamar_Depto!$A$37:$G$62,7,FALSE)</f>
        <v>180507</v>
      </c>
      <c r="V21" s="250">
        <f>VLOOKUP(V$4,[261]Pinamar_Depto!$A$37:$G$62,7,FALSE)</f>
        <v>184759</v>
      </c>
      <c r="W21" s="250">
        <f>VLOOKUP(W$4,[261]Pinamar_Depto!$A$37:$G$62,7,FALSE)</f>
        <v>189082</v>
      </c>
      <c r="X21" s="250">
        <f>VLOOKUP(X$4,[261]Pinamar_Depto!$A$37:$G$62,7,FALSE)</f>
        <v>193474</v>
      </c>
      <c r="Y21" s="250">
        <f>VLOOKUP(Y$4,[261]Pinamar_Depto!$A$37:$G$62,7,FALSE)</f>
        <v>197938</v>
      </c>
      <c r="Z21" s="250">
        <f>VLOOKUP(Z$4,[261]Pinamar_Depto!$A$37:$G$62,7,FALSE)</f>
        <v>202476</v>
      </c>
      <c r="AA21" s="250">
        <f>VLOOKUP(AA$4,[261]Pinamar_Depto!$A$37:$G$62,7,FALSE)</f>
        <v>207087</v>
      </c>
    </row>
    <row r="22" spans="1:27">
      <c r="A22" s="249" t="s">
        <v>266</v>
      </c>
      <c r="B22" s="250">
        <f>VLOOKUP(B$4,'[262]Villa Gesell_Depto'!$A$37:$G$62,7,FALSE)</f>
        <v>125299</v>
      </c>
      <c r="C22" s="250">
        <f>VLOOKUP(C$4,'[262]Villa Gesell_Depto'!$A$37:$G$62,7,FALSE)</f>
        <v>127796</v>
      </c>
      <c r="D22" s="250">
        <f>VLOOKUP(D$4,'[262]Villa Gesell_Depto'!$A$37:$G$62,7,FALSE)</f>
        <v>130293</v>
      </c>
      <c r="E22" s="250">
        <f>VLOOKUP(E$4,'[262]Villa Gesell_Depto'!$A$37:$G$62,7,FALSE)</f>
        <v>132790</v>
      </c>
      <c r="F22" s="250">
        <f>VLOOKUP(F$4,'[262]Villa Gesell_Depto'!$A$37:$G$62,7,FALSE)</f>
        <v>135287</v>
      </c>
      <c r="G22" s="250">
        <f>VLOOKUP(G$4,'[262]Villa Gesell_Depto'!$A$37:$G$62,7,FALSE)</f>
        <v>137784</v>
      </c>
      <c r="H22" s="250">
        <f>VLOOKUP(H$4,'[262]Villa Gesell_Depto'!$A$37:$G$62,7,FALSE)</f>
        <v>140281</v>
      </c>
      <c r="I22" s="250">
        <f>VLOOKUP(I$4,'[262]Villa Gesell_Depto'!$A$37:$G$62,7,FALSE)</f>
        <v>142778</v>
      </c>
      <c r="J22" s="250">
        <f>VLOOKUP(J$4,'[262]Villa Gesell_Depto'!$A$37:$G$62,7,FALSE)</f>
        <v>145275</v>
      </c>
      <c r="K22" s="250">
        <f>VLOOKUP(K$4,'[262]Villa Gesell_Depto'!$A$37:$G$62,7,FALSE)</f>
        <v>147772</v>
      </c>
      <c r="L22" s="250">
        <f>VLOOKUP(L$4,'[262]Villa Gesell_Depto'!$A$37:$G$62,7,FALSE)</f>
        <v>150269</v>
      </c>
      <c r="M22" s="250">
        <f>VLOOKUP(M$4,'[262]Villa Gesell_Depto'!$A$37:$G$62,7,FALSE)</f>
        <v>152766</v>
      </c>
      <c r="N22" s="250">
        <f>VLOOKUP(N$4,'[262]Villa Gesell_Depto'!$A$37:$G$62,7,FALSE)</f>
        <v>155263</v>
      </c>
      <c r="O22" s="250">
        <f>VLOOKUP(O$4,'[262]Villa Gesell_Depto'!$A$37:$G$62,7,FALSE)</f>
        <v>157760</v>
      </c>
      <c r="P22" s="250">
        <f>VLOOKUP(P$4,'[262]Villa Gesell_Depto'!$A$37:$G$62,7,FALSE)</f>
        <v>160257</v>
      </c>
      <c r="Q22" s="250">
        <f>VLOOKUP(Q$4,'[262]Villa Gesell_Depto'!$A$37:$G$62,7,FALSE)</f>
        <v>162754</v>
      </c>
      <c r="R22" s="250">
        <f>VLOOKUP(R$4,'[262]Villa Gesell_Depto'!$A$37:$G$62,7,FALSE)</f>
        <v>165251</v>
      </c>
      <c r="S22" s="250">
        <f>VLOOKUP(S$4,'[262]Villa Gesell_Depto'!$A$37:$G$62,7,FALSE)</f>
        <v>167748</v>
      </c>
      <c r="T22" s="250">
        <f>VLOOKUP(T$4,'[262]Villa Gesell_Depto'!$A$37:$G$62,7,FALSE)</f>
        <v>170245</v>
      </c>
      <c r="U22" s="250">
        <f>VLOOKUP(U$4,'[262]Villa Gesell_Depto'!$A$37:$G$62,7,FALSE)</f>
        <v>172742</v>
      </c>
      <c r="V22" s="250">
        <f>VLOOKUP(V$4,'[262]Villa Gesell_Depto'!$A$37:$G$62,7,FALSE)</f>
        <v>175239</v>
      </c>
      <c r="W22" s="250">
        <f>VLOOKUP(W$4,'[262]Villa Gesell_Depto'!$A$37:$G$62,7,FALSE)</f>
        <v>177736</v>
      </c>
      <c r="X22" s="250">
        <f>VLOOKUP(X$4,'[262]Villa Gesell_Depto'!$A$37:$G$62,7,FALSE)</f>
        <v>180233</v>
      </c>
      <c r="Y22" s="250">
        <f>VLOOKUP(Y$4,'[262]Villa Gesell_Depto'!$A$37:$G$62,7,FALSE)</f>
        <v>182730</v>
      </c>
      <c r="Z22" s="250">
        <f>VLOOKUP(Z$4,'[262]Villa Gesell_Depto'!$A$37:$G$62,7,FALSE)</f>
        <v>185227</v>
      </c>
      <c r="AA22" s="250">
        <f>VLOOKUP(AA$4,'[262]Villa Gesell_Depto'!$A$37:$G$62,7,FALSE)</f>
        <v>187724</v>
      </c>
    </row>
    <row r="23" spans="1:27">
      <c r="A23" s="249" t="s">
        <v>56</v>
      </c>
      <c r="B23" s="250">
        <f>VLOOKUP(B$4,'[265]Mar Chiquita'!$A$37:$G$62,7,FALSE)</f>
        <v>52854</v>
      </c>
      <c r="C23" s="250">
        <f>VLOOKUP(C$4,'[265]Mar Chiquita'!$A$37:$G$62,7,FALSE)</f>
        <v>55213</v>
      </c>
      <c r="D23" s="250">
        <f>VLOOKUP(D$4,'[265]Mar Chiquita'!$A$37:$G$62,7,FALSE)</f>
        <v>57683</v>
      </c>
      <c r="E23" s="250">
        <f>VLOOKUP(E$4,'[265]Mar Chiquita'!$A$37:$G$62,7,FALSE)</f>
        <v>60258</v>
      </c>
      <c r="F23" s="250">
        <f>VLOOKUP(F$4,'[265]Mar Chiquita'!$A$37:$G$62,7,FALSE)</f>
        <v>62953</v>
      </c>
      <c r="G23" s="250">
        <f>VLOOKUP(G$4,'[265]Mar Chiquita'!$A$37:$G$62,7,FALSE)</f>
        <v>65763</v>
      </c>
      <c r="H23" s="250">
        <f>VLOOKUP(H$4,'[265]Mar Chiquita'!$A$37:$G$62,7,FALSE)</f>
        <v>68706</v>
      </c>
      <c r="I23" s="250">
        <f>VLOOKUP(I$4,'[265]Mar Chiquita'!$A$37:$G$62,7,FALSE)</f>
        <v>71773</v>
      </c>
      <c r="J23" s="250">
        <f>VLOOKUP(J$4,'[265]Mar Chiquita'!$A$37:$G$62,7,FALSE)</f>
        <v>74981</v>
      </c>
      <c r="K23" s="250">
        <f>VLOOKUP(K$4,'[265]Mar Chiquita'!$A$37:$G$62,7,FALSE)</f>
        <v>78331</v>
      </c>
      <c r="L23" s="250">
        <f>VLOOKUP(L$4,'[265]Mar Chiquita'!$A$37:$G$62,7,FALSE)</f>
        <v>81832</v>
      </c>
      <c r="M23" s="250">
        <f>VLOOKUP(M$4,'[265]Mar Chiquita'!$A$37:$G$62,7,FALSE)</f>
        <v>85492</v>
      </c>
      <c r="N23" s="250">
        <f>VLOOKUP(N$4,'[265]Mar Chiquita'!$A$37:$G$62,7,FALSE)</f>
        <v>89311</v>
      </c>
      <c r="O23" s="250">
        <f>VLOOKUP(O$4,'[265]Mar Chiquita'!$A$37:$G$62,7,FALSE)</f>
        <v>93302</v>
      </c>
      <c r="P23" s="250">
        <f>VLOOKUP(P$4,'[265]Mar Chiquita'!$A$37:$G$62,7,FALSE)</f>
        <v>97471</v>
      </c>
      <c r="Q23" s="250">
        <f>VLOOKUP(Q$4,'[265]Mar Chiquita'!$A$37:$G$62,7,FALSE)</f>
        <v>101826</v>
      </c>
      <c r="R23" s="250">
        <f>VLOOKUP(R$4,'[265]Mar Chiquita'!$A$37:$G$62,7,FALSE)</f>
        <v>106380</v>
      </c>
      <c r="S23" s="250">
        <f>VLOOKUP(S$4,'[265]Mar Chiquita'!$A$37:$G$62,7,FALSE)</f>
        <v>111133</v>
      </c>
      <c r="T23" s="250">
        <f>VLOOKUP(T$4,'[265]Mar Chiquita'!$A$37:$G$62,7,FALSE)</f>
        <v>116099</v>
      </c>
      <c r="U23" s="250">
        <f>VLOOKUP(U$4,'[265]Mar Chiquita'!$A$37:$G$62,7,FALSE)</f>
        <v>121290</v>
      </c>
      <c r="V23" s="250">
        <f>VLOOKUP(V$4,'[265]Mar Chiquita'!$A$37:$G$62,7,FALSE)</f>
        <v>126707</v>
      </c>
      <c r="W23" s="250">
        <f>VLOOKUP(W$4,'[265]Mar Chiquita'!$A$37:$G$62,7,FALSE)</f>
        <v>132371</v>
      </c>
      <c r="X23" s="250">
        <f>VLOOKUP(X$4,'[265]Mar Chiquita'!$A$37:$G$62,7,FALSE)</f>
        <v>138288</v>
      </c>
      <c r="Y23" s="250">
        <f>VLOOKUP(Y$4,'[265]Mar Chiquita'!$A$37:$G$62,7,FALSE)</f>
        <v>144466</v>
      </c>
      <c r="Z23" s="250">
        <f>VLOOKUP(Z$4,'[265]Mar Chiquita'!$A$37:$G$62,7,FALSE)</f>
        <v>150923</v>
      </c>
      <c r="AA23" s="250">
        <f>VLOOKUP(AA$4,'[265]Mar Chiquita'!$A$37:$G$62,7,FALSE)</f>
        <v>157667</v>
      </c>
    </row>
    <row r="24" spans="1:27">
      <c r="B24" s="248"/>
      <c r="C24" s="248"/>
      <c r="D24" s="248"/>
      <c r="E24" s="248"/>
      <c r="L24" s="248"/>
      <c r="M24" s="248"/>
      <c r="N24" s="248"/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48"/>
      <c r="AA24" s="248"/>
    </row>
    <row r="25" spans="1:27">
      <c r="B25" s="248"/>
      <c r="C25" s="248"/>
      <c r="D25" s="248"/>
      <c r="E25" s="248"/>
      <c r="F25" s="248"/>
      <c r="G25" s="248"/>
      <c r="H25" s="248"/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/>
      <c r="T25" s="248"/>
      <c r="U25" s="248"/>
      <c r="V25" s="248"/>
      <c r="W25" s="248"/>
      <c r="X25" s="248"/>
      <c r="Y25" s="248"/>
      <c r="Z25" s="248"/>
      <c r="AA25" s="248"/>
    </row>
    <row r="26" spans="1:27"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</row>
  </sheetData>
  <pageMargins left="0.7" right="0.7" top="0.75" bottom="0.75" header="0.3" footer="0.3"/>
  <pageSetup paperSize="9" orientation="portrait" horizontalDpi="360" verticalDpi="36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>
    <tabColor theme="3" tint="0.39997558519241921"/>
  </sheetPr>
  <dimension ref="A1:CA169"/>
  <sheetViews>
    <sheetView showGridLines="0" zoomScale="85" zoomScaleNormal="85" workbookViewId="0">
      <pane xSplit="3" ySplit="4" topLeftCell="D5" activePane="bottomRight" state="frozen"/>
      <selection activeCell="C11" sqref="C11"/>
      <selection pane="topRight" activeCell="C11" sqref="C11"/>
      <selection pane="bottomLeft" activeCell="C11" sqref="C11"/>
      <selection pane="bottomRight" activeCell="C56" sqref="C56"/>
    </sheetView>
  </sheetViews>
  <sheetFormatPr baseColWidth="10" defaultColWidth="11.42578125" defaultRowHeight="12.75"/>
  <cols>
    <col min="1" max="1" width="17.28515625" style="154" customWidth="1"/>
    <col min="2" max="2" width="28.140625" style="154" bestFit="1" customWidth="1"/>
    <col min="3" max="3" width="30.7109375" style="154" customWidth="1"/>
    <col min="4" max="5" width="12.7109375" style="154" customWidth="1"/>
    <col min="6" max="6" width="11.42578125" style="154"/>
    <col min="7" max="7" width="13.28515625" style="154" customWidth="1"/>
    <col min="8" max="8" width="11.42578125" style="154"/>
    <col min="9" max="9" width="14" style="154" customWidth="1"/>
    <col min="10" max="10" width="12.7109375" style="154" customWidth="1"/>
    <col min="11" max="11" width="14" style="154" customWidth="1"/>
    <col min="12" max="29" width="14.28515625" style="154" customWidth="1"/>
    <col min="30" max="73" width="10.7109375" style="154" customWidth="1"/>
    <col min="74" max="74" width="24.42578125" style="154" bestFit="1" customWidth="1"/>
    <col min="75" max="16384" width="11.42578125" style="154"/>
  </cols>
  <sheetData>
    <row r="1" spans="1:79" s="119" customFormat="1" ht="26.25" customHeight="1">
      <c r="A1" s="118" t="s">
        <v>59</v>
      </c>
      <c r="B1" s="960"/>
      <c r="C1" s="961"/>
      <c r="D1" s="961"/>
      <c r="E1" s="961"/>
      <c r="R1" s="120"/>
      <c r="S1" s="120"/>
      <c r="T1" s="120"/>
      <c r="BV1" s="121"/>
    </row>
    <row r="2" spans="1:79" s="119" customFormat="1" ht="26.25" customHeight="1">
      <c r="A2" s="118"/>
      <c r="B2" s="122"/>
      <c r="Q2" s="959" t="s">
        <v>60</v>
      </c>
      <c r="R2" s="959"/>
      <c r="S2" s="959"/>
      <c r="T2" s="959"/>
      <c r="U2" s="959"/>
      <c r="V2" s="959"/>
      <c r="W2" s="959"/>
      <c r="X2" s="959"/>
      <c r="BV2" s="121"/>
    </row>
    <row r="3" spans="1:79" s="123" customFormat="1" ht="33.75" customHeight="1">
      <c r="N3" s="959" t="s">
        <v>61</v>
      </c>
      <c r="O3" s="959"/>
      <c r="P3" s="959"/>
      <c r="Q3" s="962" t="s">
        <v>62</v>
      </c>
      <c r="R3" s="962"/>
      <c r="S3" s="962" t="s">
        <v>63</v>
      </c>
      <c r="T3" s="962"/>
      <c r="U3" s="962" t="s">
        <v>64</v>
      </c>
      <c r="V3" s="962"/>
      <c r="W3" s="962" t="s">
        <v>65</v>
      </c>
      <c r="X3" s="962"/>
      <c r="Z3" s="124" t="s">
        <v>26</v>
      </c>
      <c r="AA3" s="959" t="s">
        <v>27</v>
      </c>
      <c r="AB3" s="959"/>
      <c r="AC3" s="124"/>
      <c r="AD3" s="124"/>
      <c r="AE3" s="959" t="s">
        <v>66</v>
      </c>
      <c r="AF3" s="959"/>
      <c r="AG3" s="959"/>
      <c r="AH3" s="959"/>
      <c r="AI3" s="959"/>
      <c r="AJ3" s="959"/>
      <c r="AK3" s="959"/>
      <c r="AL3" s="959"/>
      <c r="AM3" s="959"/>
      <c r="AN3" s="959"/>
      <c r="AO3" s="959"/>
      <c r="AP3" s="959"/>
      <c r="AQ3" s="959"/>
      <c r="AR3" s="959"/>
      <c r="AS3" s="959"/>
      <c r="AT3" s="959"/>
      <c r="AU3" s="959"/>
      <c r="AV3" s="959"/>
      <c r="AW3" s="959"/>
      <c r="AX3" s="959"/>
      <c r="AY3" s="959"/>
      <c r="AZ3" s="959"/>
      <c r="BA3" s="959"/>
      <c r="BB3" s="959"/>
      <c r="BC3" s="959"/>
      <c r="BD3" s="959"/>
      <c r="BE3" s="959"/>
      <c r="BF3" s="959"/>
      <c r="BG3" s="959"/>
      <c r="BH3" s="959"/>
      <c r="BI3" s="959"/>
      <c r="BJ3" s="959"/>
      <c r="BK3" s="959"/>
      <c r="BL3" s="959"/>
      <c r="BM3" s="959"/>
      <c r="BN3" s="959"/>
      <c r="BO3" s="959"/>
      <c r="BP3" s="959"/>
      <c r="BQ3" s="959"/>
      <c r="BR3" s="959"/>
      <c r="BS3" s="959"/>
      <c r="BT3" s="959"/>
      <c r="BU3" s="959"/>
      <c r="CA3" s="119"/>
    </row>
    <row r="4" spans="1:79" s="123" customFormat="1" ht="44.25" customHeight="1">
      <c r="A4" s="125" t="s">
        <v>67</v>
      </c>
      <c r="B4" s="126" t="s">
        <v>22</v>
      </c>
      <c r="C4" s="127" t="s">
        <v>28</v>
      </c>
      <c r="D4" s="127">
        <v>1991</v>
      </c>
      <c r="E4" s="127">
        <v>2001</v>
      </c>
      <c r="F4" s="128">
        <v>2010</v>
      </c>
      <c r="G4" s="129" t="s">
        <v>68</v>
      </c>
      <c r="H4" s="129" t="s">
        <v>69</v>
      </c>
      <c r="I4" s="129" t="s">
        <v>70</v>
      </c>
      <c r="J4" s="129" t="s">
        <v>71</v>
      </c>
      <c r="K4" s="129" t="s">
        <v>72</v>
      </c>
      <c r="L4" s="129" t="s">
        <v>73</v>
      </c>
      <c r="M4" s="129" t="s">
        <v>74</v>
      </c>
      <c r="N4" s="130" t="s">
        <v>75</v>
      </c>
      <c r="O4" s="129" t="s">
        <v>76</v>
      </c>
      <c r="P4" s="129" t="s">
        <v>77</v>
      </c>
      <c r="Q4" s="129" t="s">
        <v>78</v>
      </c>
      <c r="R4" s="129" t="s">
        <v>77</v>
      </c>
      <c r="S4" s="129" t="s">
        <v>78</v>
      </c>
      <c r="T4" s="129" t="s">
        <v>77</v>
      </c>
      <c r="U4" s="129" t="s">
        <v>78</v>
      </c>
      <c r="V4" s="129" t="s">
        <v>77</v>
      </c>
      <c r="W4" s="129" t="s">
        <v>78</v>
      </c>
      <c r="X4" s="129" t="s">
        <v>77</v>
      </c>
      <c r="Y4" s="123" t="s">
        <v>79</v>
      </c>
      <c r="Z4" s="131" t="s">
        <v>80</v>
      </c>
      <c r="AA4" s="131" t="s">
        <v>33</v>
      </c>
      <c r="AB4" s="129" t="s">
        <v>34</v>
      </c>
      <c r="AC4" s="129">
        <v>2022</v>
      </c>
      <c r="AD4" s="129">
        <v>2023</v>
      </c>
      <c r="AE4" s="129">
        <v>2026</v>
      </c>
      <c r="AF4" s="129">
        <v>2027</v>
      </c>
      <c r="AG4" s="129">
        <v>2028</v>
      </c>
      <c r="AH4" s="129">
        <v>2029</v>
      </c>
      <c r="AI4" s="129">
        <v>2030</v>
      </c>
      <c r="AJ4" s="129">
        <v>2031</v>
      </c>
      <c r="AK4" s="129">
        <v>2032</v>
      </c>
      <c r="AL4" s="129">
        <v>2033</v>
      </c>
      <c r="AM4" s="129">
        <v>2034</v>
      </c>
      <c r="AN4" s="129">
        <v>2035</v>
      </c>
      <c r="AO4" s="129">
        <v>2036</v>
      </c>
      <c r="AP4" s="129">
        <v>2037</v>
      </c>
      <c r="AQ4" s="129">
        <v>2038</v>
      </c>
      <c r="AR4" s="129">
        <v>2039</v>
      </c>
      <c r="AS4" s="129">
        <v>2040</v>
      </c>
      <c r="AT4" s="129">
        <v>2041</v>
      </c>
      <c r="AU4" s="129">
        <v>2042</v>
      </c>
      <c r="AV4" s="129">
        <v>2043</v>
      </c>
      <c r="AW4" s="129">
        <v>2044</v>
      </c>
      <c r="AX4" s="129">
        <v>2045</v>
      </c>
      <c r="AY4" s="129">
        <v>2020</v>
      </c>
      <c r="AZ4" s="129">
        <v>2022</v>
      </c>
      <c r="BA4" s="129">
        <v>2023</v>
      </c>
      <c r="BB4" s="129">
        <v>2026</v>
      </c>
      <c r="BC4" s="129">
        <v>2027</v>
      </c>
      <c r="BD4" s="129">
        <v>2028</v>
      </c>
      <c r="BE4" s="129">
        <v>2029</v>
      </c>
      <c r="BF4" s="129">
        <v>2030</v>
      </c>
      <c r="BG4" s="129">
        <v>2031</v>
      </c>
      <c r="BH4" s="129">
        <v>2032</v>
      </c>
      <c r="BI4" s="129">
        <v>2033</v>
      </c>
      <c r="BJ4" s="129">
        <v>2034</v>
      </c>
      <c r="BK4" s="129">
        <v>2035</v>
      </c>
      <c r="BL4" s="129">
        <v>2036</v>
      </c>
      <c r="BM4" s="129">
        <v>2037</v>
      </c>
      <c r="BN4" s="129">
        <v>2038</v>
      </c>
      <c r="BO4" s="129">
        <v>2039</v>
      </c>
      <c r="BP4" s="129">
        <v>2040</v>
      </c>
      <c r="BQ4" s="129">
        <v>2041</v>
      </c>
      <c r="BR4" s="129">
        <v>2042</v>
      </c>
      <c r="BS4" s="129">
        <v>2043</v>
      </c>
      <c r="BT4" s="129">
        <v>2044</v>
      </c>
      <c r="BU4" s="129">
        <v>2045</v>
      </c>
      <c r="BV4" s="120" t="s">
        <v>81</v>
      </c>
      <c r="CA4" s="119"/>
    </row>
    <row r="5" spans="1:79" s="150" customFormat="1" ht="15">
      <c r="A5" s="132" t="s">
        <v>82</v>
      </c>
      <c r="B5" s="133" t="s">
        <v>83</v>
      </c>
      <c r="C5" s="133" t="s">
        <v>83</v>
      </c>
      <c r="D5" s="134">
        <v>449018</v>
      </c>
      <c r="E5" s="135">
        <v>514491</v>
      </c>
      <c r="F5" s="136">
        <v>552902</v>
      </c>
      <c r="G5" s="137">
        <v>552902</v>
      </c>
      <c r="H5" s="138">
        <v>1</v>
      </c>
      <c r="I5" s="137">
        <v>583666</v>
      </c>
      <c r="J5" s="137">
        <v>583666</v>
      </c>
      <c r="K5" s="137">
        <v>622537</v>
      </c>
      <c r="L5" s="138">
        <v>6.6598020100536948E-2</v>
      </c>
      <c r="M5" s="139" t="s">
        <v>27</v>
      </c>
      <c r="N5" s="140" t="s">
        <v>26</v>
      </c>
      <c r="O5" s="141">
        <v>608614.08567613771</v>
      </c>
      <c r="P5" s="142">
        <v>4.274377071156743E-2</v>
      </c>
      <c r="Q5" s="143">
        <v>622537</v>
      </c>
      <c r="R5" s="144">
        <v>6.6598020100536948E-2</v>
      </c>
      <c r="S5" s="143">
        <v>608614.08567613771</v>
      </c>
      <c r="T5" s="144">
        <v>4.274377071156743E-2</v>
      </c>
      <c r="U5" s="143">
        <v>638521.32984683919</v>
      </c>
      <c r="V5" s="144">
        <v>9.3984110513271713E-2</v>
      </c>
      <c r="W5" s="143">
        <v>659212.2985799968</v>
      </c>
      <c r="X5" s="144">
        <v>0.12943412598985859</v>
      </c>
      <c r="Y5" s="145">
        <v>4.274377071156743E-2</v>
      </c>
      <c r="Z5" s="146">
        <v>8.0323888344191463E-3</v>
      </c>
      <c r="AA5" s="147">
        <v>-10473187.999999998</v>
      </c>
      <c r="AB5" s="148">
        <v>5487.4999999999991</v>
      </c>
      <c r="AC5" s="147">
        <v>638521.32984683919</v>
      </c>
      <c r="AD5" s="147">
        <v>646435.24919830624</v>
      </c>
      <c r="AE5" s="147">
        <v>670960.04721791181</v>
      </c>
      <c r="AF5" s="147">
        <v>679403.12799667986</v>
      </c>
      <c r="AG5" s="147">
        <v>687983.9377930474</v>
      </c>
      <c r="AH5" s="147">
        <v>696704.72333220718</v>
      </c>
      <c r="AI5" s="147">
        <v>705567.76798939263</v>
      </c>
      <c r="AJ5" s="147">
        <v>714575.39238773636</v>
      </c>
      <c r="AK5" s="147">
        <v>723729.95500588394</v>
      </c>
      <c r="AL5" s="147">
        <v>733033.85279551556</v>
      </c>
      <c r="AM5" s="147">
        <v>742489.52180894453</v>
      </c>
      <c r="AN5" s="147">
        <v>752099.43783695146</v>
      </c>
      <c r="AO5" s="147">
        <v>761866.11705702462</v>
      </c>
      <c r="AP5" s="147">
        <v>771792.11669217364</v>
      </c>
      <c r="AQ5" s="147">
        <v>781880.03568049043</v>
      </c>
      <c r="AR5" s="147">
        <v>792132.5153556338</v>
      </c>
      <c r="AS5" s="147">
        <v>802552.24013841222</v>
      </c>
      <c r="AT5" s="147">
        <v>813141.93823965045</v>
      </c>
      <c r="AU5" s="147">
        <v>823904.38237451972</v>
      </c>
      <c r="AV5" s="147">
        <v>834842.39048852271</v>
      </c>
      <c r="AW5" s="147">
        <v>845958.82649531879</v>
      </c>
      <c r="AX5" s="147">
        <v>857256.60102658754</v>
      </c>
      <c r="AY5" s="147"/>
      <c r="AZ5" s="147"/>
      <c r="BA5" s="147"/>
      <c r="BB5" s="147"/>
      <c r="BC5" s="147"/>
      <c r="BD5" s="147"/>
      <c r="BE5" s="147"/>
      <c r="BF5" s="147"/>
      <c r="BG5" s="147"/>
      <c r="BH5" s="147"/>
      <c r="BI5" s="147"/>
      <c r="BJ5" s="147"/>
      <c r="BK5" s="147"/>
      <c r="BL5" s="147"/>
      <c r="BM5" s="147"/>
      <c r="BN5" s="147"/>
      <c r="BO5" s="147"/>
      <c r="BP5" s="147"/>
      <c r="BQ5" s="147"/>
      <c r="BR5" s="147"/>
      <c r="BS5" s="147"/>
      <c r="BT5" s="147"/>
      <c r="BU5" s="147"/>
      <c r="BV5" s="149" t="s">
        <v>84</v>
      </c>
    </row>
    <row r="6" spans="1:79" s="150" customFormat="1" ht="15">
      <c r="A6" s="132" t="s">
        <v>82</v>
      </c>
      <c r="B6" s="151" t="s">
        <v>85</v>
      </c>
      <c r="C6" s="151" t="s">
        <v>85</v>
      </c>
      <c r="D6" s="152">
        <v>344991</v>
      </c>
      <c r="E6" s="153">
        <v>328980</v>
      </c>
      <c r="F6" s="136">
        <v>342677</v>
      </c>
      <c r="G6" s="137">
        <v>342677</v>
      </c>
      <c r="H6" s="138">
        <v>1</v>
      </c>
      <c r="I6" s="137">
        <v>369556</v>
      </c>
      <c r="J6" s="137">
        <v>369556</v>
      </c>
      <c r="K6" s="137">
        <v>373208.04477655247</v>
      </c>
      <c r="L6" s="138">
        <v>9.8822499879651637E-3</v>
      </c>
      <c r="M6" s="154" t="s">
        <v>66</v>
      </c>
      <c r="N6" s="140" t="s">
        <v>66</v>
      </c>
      <c r="O6" s="141">
        <v>373208.04477655247</v>
      </c>
      <c r="P6" s="142">
        <v>9.8822499879651637E-3</v>
      </c>
      <c r="Q6" s="143">
        <v>335702.22878228786</v>
      </c>
      <c r="R6" s="144">
        <v>-9.1606606895063614E-2</v>
      </c>
      <c r="S6" s="143">
        <v>342269.70196798834</v>
      </c>
      <c r="T6" s="144">
        <v>-7.3835353862504394E-2</v>
      </c>
      <c r="U6" s="143">
        <v>373208.04477655247</v>
      </c>
      <c r="V6" s="144">
        <v>9.8822499879651637E-3</v>
      </c>
      <c r="W6" s="143">
        <v>340371.71142143803</v>
      </c>
      <c r="X6" s="144">
        <v>-7.8971221083034671E-2</v>
      </c>
      <c r="Y6" s="145">
        <v>9.8822499879651637E-3</v>
      </c>
      <c r="Z6" s="146">
        <v>-9.9102089858305042E-5</v>
      </c>
      <c r="AA6" s="147">
        <v>637148.10701107047</v>
      </c>
      <c r="AB6" s="148">
        <v>-149.08302583025846</v>
      </c>
      <c r="AC6" s="147">
        <v>373208.04477655247</v>
      </c>
      <c r="AD6" s="147">
        <v>376030.07370985392</v>
      </c>
      <c r="AE6" s="147">
        <v>384775.38516944984</v>
      </c>
      <c r="AF6" s="147">
        <v>387786.10807244084</v>
      </c>
      <c r="AG6" s="147">
        <v>390845.94384294527</v>
      </c>
      <c r="AH6" s="147">
        <v>393955.69364195783</v>
      </c>
      <c r="AI6" s="147">
        <v>397116.17169953161</v>
      </c>
      <c r="AJ6" s="147">
        <v>400328.20552796923</v>
      </c>
      <c r="AK6" s="147">
        <v>403592.63613849133</v>
      </c>
      <c r="AL6" s="147">
        <v>406910.31826144009</v>
      </c>
      <c r="AM6" s="147">
        <v>410282.12057007395</v>
      </c>
      <c r="AN6" s="147">
        <v>413708.92590801395</v>
      </c>
      <c r="AO6" s="147">
        <v>417191.63152039953</v>
      </c>
      <c r="AP6" s="147">
        <v>420731.14928881574</v>
      </c>
      <c r="AQ6" s="147">
        <v>424328.40597005223</v>
      </c>
      <c r="AR6" s="147">
        <v>427984.34343875753</v>
      </c>
      <c r="AS6" s="147">
        <v>431699.91893405101</v>
      </c>
      <c r="AT6" s="147">
        <v>435476.10531015834</v>
      </c>
      <c r="AU6" s="147">
        <v>439313.89129113528</v>
      </c>
      <c r="AV6" s="147">
        <v>443214.28172974655</v>
      </c>
      <c r="AW6" s="147">
        <v>447178.29787056788</v>
      </c>
      <c r="AX6" s="147">
        <v>451206.97761737963</v>
      </c>
      <c r="AY6" s="147"/>
      <c r="AZ6" s="147"/>
      <c r="BA6" s="147"/>
      <c r="BB6" s="147"/>
      <c r="BC6" s="147"/>
      <c r="BD6" s="147"/>
      <c r="BE6" s="147"/>
      <c r="BF6" s="147"/>
      <c r="BG6" s="147"/>
      <c r="BH6" s="147"/>
      <c r="BI6" s="147"/>
      <c r="BJ6" s="147"/>
      <c r="BK6" s="147"/>
      <c r="BL6" s="147"/>
      <c r="BM6" s="147"/>
      <c r="BN6" s="147"/>
      <c r="BO6" s="147"/>
      <c r="BP6" s="147"/>
      <c r="BQ6" s="147"/>
      <c r="BR6" s="147"/>
      <c r="BS6" s="147"/>
      <c r="BT6" s="147"/>
      <c r="BU6" s="147"/>
      <c r="BV6" s="149" t="s">
        <v>84</v>
      </c>
    </row>
    <row r="7" spans="1:79" s="150" customFormat="1" ht="15">
      <c r="A7" s="132" t="s">
        <v>82</v>
      </c>
      <c r="B7" s="155" t="s">
        <v>86</v>
      </c>
      <c r="C7" s="155" t="s">
        <v>86</v>
      </c>
      <c r="D7" s="134">
        <v>244083</v>
      </c>
      <c r="E7" s="153">
        <v>286735</v>
      </c>
      <c r="F7" s="136">
        <v>324244</v>
      </c>
      <c r="G7" s="137">
        <v>324244</v>
      </c>
      <c r="H7" s="138">
        <v>1</v>
      </c>
      <c r="I7" s="137">
        <v>360178</v>
      </c>
      <c r="J7" s="137">
        <v>360178</v>
      </c>
      <c r="K7" s="137">
        <v>381997.27871916385</v>
      </c>
      <c r="L7" s="138">
        <v>6.0579154526827939E-2</v>
      </c>
      <c r="M7" s="154" t="s">
        <v>26</v>
      </c>
      <c r="N7" s="140" t="s">
        <v>27</v>
      </c>
      <c r="O7" s="141">
        <v>375044.18450184446</v>
      </c>
      <c r="P7" s="142">
        <v>4.1274548978128767E-2</v>
      </c>
      <c r="Q7" s="143">
        <v>375044.18450184446</v>
      </c>
      <c r="R7" s="144">
        <v>4.1274548978128767E-2</v>
      </c>
      <c r="S7" s="143">
        <v>381997.27871916385</v>
      </c>
      <c r="T7" s="144">
        <v>6.0579154526827939E-2</v>
      </c>
      <c r="U7" s="143">
        <v>407852.74341269664</v>
      </c>
      <c r="V7" s="144">
        <v>0.13236439597281513</v>
      </c>
      <c r="W7" s="143">
        <v>424739.41086039221</v>
      </c>
      <c r="X7" s="144">
        <v>0.17924862390371477</v>
      </c>
      <c r="Y7" s="145">
        <v>4.1274548978128767E-2</v>
      </c>
      <c r="Z7" s="146">
        <v>1.3753484657969217E-2</v>
      </c>
      <c r="AA7" s="147">
        <v>-8157497.3653136538</v>
      </c>
      <c r="AB7" s="148">
        <v>4219.8523985239854</v>
      </c>
      <c r="AC7" s="147">
        <v>407852.74341269664</v>
      </c>
      <c r="AD7" s="147">
        <v>415580.82133189111</v>
      </c>
      <c r="AE7" s="147">
        <v>439529.70703956299</v>
      </c>
      <c r="AF7" s="147">
        <v>447774.52016420983</v>
      </c>
      <c r="AG7" s="147">
        <v>456153.82803570363</v>
      </c>
      <c r="AH7" s="147">
        <v>464669.82461971202</v>
      </c>
      <c r="AI7" s="147">
        <v>473324.73967129528</v>
      </c>
      <c r="AJ7" s="147">
        <v>482120.83931872656</v>
      </c>
      <c r="AK7" s="147">
        <v>491060.42665683525</v>
      </c>
      <c r="AL7" s="147">
        <v>500145.84235002968</v>
      </c>
      <c r="AM7" s="147">
        <v>509379.46524515626</v>
      </c>
      <c r="AN7" s="147">
        <v>518763.71299435612</v>
      </c>
      <c r="AO7" s="147">
        <v>528301.04268808244</v>
      </c>
      <c r="AP7" s="147">
        <v>537993.95149844396</v>
      </c>
      <c r="AQ7" s="147">
        <v>547844.977333043</v>
      </c>
      <c r="AR7" s="147">
        <v>557856.69949947833</v>
      </c>
      <c r="AS7" s="147">
        <v>568031.7393806905</v>
      </c>
      <c r="AT7" s="147">
        <v>578372.76112132077</v>
      </c>
      <c r="AU7" s="147">
        <v>588882.47232526774</v>
      </c>
      <c r="AV7" s="147">
        <v>599563.62476462475</v>
      </c>
      <c r="AW7" s="147">
        <v>610419.01510017738</v>
      </c>
      <c r="AX7" s="147">
        <v>621451.48561365926</v>
      </c>
      <c r="AY7" s="147"/>
      <c r="AZ7" s="147"/>
      <c r="BA7" s="147"/>
      <c r="BB7" s="147"/>
      <c r="BC7" s="147"/>
      <c r="BD7" s="147"/>
      <c r="BE7" s="147"/>
      <c r="BF7" s="147"/>
      <c r="BG7" s="147"/>
      <c r="BH7" s="147"/>
      <c r="BI7" s="147"/>
      <c r="BJ7" s="147"/>
      <c r="BK7" s="147"/>
      <c r="BL7" s="147"/>
      <c r="BM7" s="147"/>
      <c r="BN7" s="147"/>
      <c r="BO7" s="147"/>
      <c r="BP7" s="147"/>
      <c r="BQ7" s="147"/>
      <c r="BR7" s="147"/>
      <c r="BS7" s="147"/>
      <c r="BT7" s="147"/>
      <c r="BU7" s="147"/>
      <c r="BV7" s="123" t="s">
        <v>87</v>
      </c>
    </row>
    <row r="8" spans="1:79" s="150" customFormat="1" ht="15">
      <c r="A8" s="132" t="s">
        <v>82</v>
      </c>
      <c r="B8" s="155" t="s">
        <v>88</v>
      </c>
      <c r="C8" s="155" t="s">
        <v>88</v>
      </c>
      <c r="D8" s="134">
        <v>196875</v>
      </c>
      <c r="E8" s="153">
        <v>243186</v>
      </c>
      <c r="F8" s="136">
        <v>300745</v>
      </c>
      <c r="G8" s="137">
        <v>300959</v>
      </c>
      <c r="H8" s="138">
        <v>0.99928893968945931</v>
      </c>
      <c r="I8" s="137">
        <v>338466</v>
      </c>
      <c r="J8" s="137">
        <v>338225.33026093256</v>
      </c>
      <c r="K8" s="137">
        <v>393330.64108911372</v>
      </c>
      <c r="L8" s="156">
        <v>0.16292484890374337</v>
      </c>
      <c r="M8" s="154" t="s">
        <v>26</v>
      </c>
      <c r="N8" s="140" t="s">
        <v>27</v>
      </c>
      <c r="O8" s="141">
        <v>363232.34686346911</v>
      </c>
      <c r="P8" s="142">
        <v>7.3935966248430462E-2</v>
      </c>
      <c r="Q8" s="143">
        <v>363232.34686346911</v>
      </c>
      <c r="R8" s="144">
        <v>7.3935966248430462E-2</v>
      </c>
      <c r="S8" s="143">
        <v>393330.64108911372</v>
      </c>
      <c r="T8" s="144">
        <v>0.16292484890374337</v>
      </c>
      <c r="U8" s="143">
        <v>429045.82545766101</v>
      </c>
      <c r="V8" s="144">
        <v>0.26852067858626283</v>
      </c>
      <c r="W8" s="143">
        <v>467385.46326277056</v>
      </c>
      <c r="X8" s="144">
        <v>0.38187599048892684</v>
      </c>
      <c r="Y8" s="145">
        <v>7.3935966248430462E-2</v>
      </c>
      <c r="Z8" s="146">
        <v>2.2617640897076297E-2</v>
      </c>
      <c r="AA8" s="147">
        <v>-10659543.966789665</v>
      </c>
      <c r="AB8" s="148">
        <v>5451.4225092250908</v>
      </c>
      <c r="AC8" s="147">
        <v>429045.82545766101</v>
      </c>
      <c r="AD8" s="147">
        <v>440904.85760863585</v>
      </c>
      <c r="AE8" s="147">
        <v>477655.3418243677</v>
      </c>
      <c r="AF8" s="147">
        <v>490307.32397909171</v>
      </c>
      <c r="AG8" s="147">
        <v>503165.69348441885</v>
      </c>
      <c r="AH8" s="147">
        <v>516233.81706486462</v>
      </c>
      <c r="AI8" s="147">
        <v>529515.11636514147</v>
      </c>
      <c r="AJ8" s="147">
        <v>543013.06884605251</v>
      </c>
      <c r="AK8" s="147">
        <v>556731.2086950005</v>
      </c>
      <c r="AL8" s="147">
        <v>570673.12775134924</v>
      </c>
      <c r="AM8" s="147">
        <v>584842.47644687817</v>
      </c>
      <c r="AN8" s="147">
        <v>599242.96476158104</v>
      </c>
      <c r="AO8" s="147">
        <v>613878.36319505563</v>
      </c>
      <c r="AP8" s="147">
        <v>628752.50375373755</v>
      </c>
      <c r="AQ8" s="147">
        <v>643869.28095424082</v>
      </c>
      <c r="AR8" s="147">
        <v>659232.6528430637</v>
      </c>
      <c r="AS8" s="147">
        <v>674846.64203292993</v>
      </c>
      <c r="AT8" s="147">
        <v>690715.33675603452</v>
      </c>
      <c r="AU8" s="147">
        <v>706842.89193447144</v>
      </c>
      <c r="AV8" s="147">
        <v>723233.53026812314</v>
      </c>
      <c r="AW8" s="147">
        <v>739891.54334029462</v>
      </c>
      <c r="AX8" s="147">
        <v>756821.29274138529</v>
      </c>
      <c r="AY8" s="147"/>
      <c r="AZ8" s="147"/>
      <c r="BA8" s="147"/>
      <c r="BB8" s="147"/>
      <c r="BC8" s="147"/>
      <c r="BD8" s="147"/>
      <c r="BE8" s="147"/>
      <c r="BF8" s="147"/>
      <c r="BG8" s="147"/>
      <c r="BH8" s="147"/>
      <c r="BI8" s="147"/>
      <c r="BJ8" s="147"/>
      <c r="BK8" s="147"/>
      <c r="BL8" s="147"/>
      <c r="BM8" s="147"/>
      <c r="BN8" s="147"/>
      <c r="BO8" s="147"/>
      <c r="BP8" s="147"/>
      <c r="BQ8" s="147"/>
      <c r="BR8" s="147"/>
      <c r="BS8" s="147"/>
      <c r="BT8" s="147"/>
      <c r="BU8" s="147"/>
      <c r="BV8" s="123" t="s">
        <v>89</v>
      </c>
    </row>
    <row r="9" spans="1:79" s="150" customFormat="1" ht="15">
      <c r="A9" s="132" t="s">
        <v>82</v>
      </c>
      <c r="B9" s="155" t="s">
        <v>90</v>
      </c>
      <c r="C9" s="155" t="s">
        <v>90</v>
      </c>
      <c r="D9" s="134">
        <v>74144</v>
      </c>
      <c r="E9" s="153">
        <v>118072</v>
      </c>
      <c r="F9" s="136">
        <v>163722</v>
      </c>
      <c r="G9" s="137">
        <v>163722</v>
      </c>
      <c r="H9" s="138">
        <v>1</v>
      </c>
      <c r="I9" s="137">
        <v>200487</v>
      </c>
      <c r="J9" s="137">
        <v>200487</v>
      </c>
      <c r="K9" s="137">
        <v>253155.40446682979</v>
      </c>
      <c r="L9" s="156">
        <v>0.2627023421310597</v>
      </c>
      <c r="M9" s="154" t="s">
        <v>26</v>
      </c>
      <c r="N9" s="140" t="s">
        <v>27</v>
      </c>
      <c r="O9" s="141">
        <v>219098.13284132816</v>
      </c>
      <c r="P9" s="142">
        <v>9.2829624072025441E-2</v>
      </c>
      <c r="Q9" s="143">
        <v>219098.13284132816</v>
      </c>
      <c r="R9" s="144">
        <v>9.2829624072025441E-2</v>
      </c>
      <c r="S9" s="143">
        <v>253155.40446682979</v>
      </c>
      <c r="T9" s="144">
        <v>0.2627023421310597</v>
      </c>
      <c r="U9" s="143">
        <v>265477.28904501855</v>
      </c>
      <c r="V9" s="144">
        <v>0.32416211048605925</v>
      </c>
      <c r="W9" s="143">
        <v>366648.45172522985</v>
      </c>
      <c r="X9" s="144">
        <v>0.8287891570287842</v>
      </c>
      <c r="Y9" s="145">
        <v>9.2829624072025441E-2</v>
      </c>
      <c r="Z9" s="146">
        <v>3.6987083257080666E-2</v>
      </c>
      <c r="AA9" s="147">
        <v>-9301880.5830258299</v>
      </c>
      <c r="AB9" s="148">
        <v>4708.6937269372693</v>
      </c>
      <c r="AC9" s="147">
        <v>265477.28904501855</v>
      </c>
      <c r="AD9" s="147">
        <v>274882.67860515683</v>
      </c>
      <c r="AE9" s="147">
        <v>304029.4602457023</v>
      </c>
      <c r="AF9" s="147">
        <v>314063.73786281102</v>
      </c>
      <c r="AG9" s="147">
        <v>324261.70113385777</v>
      </c>
      <c r="AH9" s="147">
        <v>334626.02020554681</v>
      </c>
      <c r="AI9" s="147">
        <v>345159.4087817492</v>
      </c>
      <c r="AJ9" s="147">
        <v>355864.62483403622</v>
      </c>
      <c r="AK9" s="147">
        <v>366744.47132380301</v>
      </c>
      <c r="AL9" s="147">
        <v>377801.79693617142</v>
      </c>
      <c r="AM9" s="147">
        <v>389039.4968258653</v>
      </c>
      <c r="AN9" s="147">
        <v>400460.51337525272</v>
      </c>
      <c r="AO9" s="147">
        <v>412067.8369647541</v>
      </c>
      <c r="AP9" s="147">
        <v>423864.50675581791</v>
      </c>
      <c r="AQ9" s="147">
        <v>435853.61148666753</v>
      </c>
      <c r="AR9" s="147">
        <v>448038.29028103087</v>
      </c>
      <c r="AS9" s="147">
        <v>460421.73347006115</v>
      </c>
      <c r="AT9" s="147">
        <v>473007.18342766498</v>
      </c>
      <c r="AU9" s="147">
        <v>485797.93541945866</v>
      </c>
      <c r="AV9" s="147">
        <v>498797.33846557123</v>
      </c>
      <c r="AW9" s="147">
        <v>512008.79621752357</v>
      </c>
      <c r="AX9" s="147">
        <v>525435.76784941065</v>
      </c>
      <c r="AY9" s="147"/>
      <c r="AZ9" s="147"/>
      <c r="BA9" s="147"/>
      <c r="BB9" s="147"/>
      <c r="BC9" s="147"/>
      <c r="BD9" s="147"/>
      <c r="BE9" s="147"/>
      <c r="BF9" s="147"/>
      <c r="BG9" s="147"/>
      <c r="BH9" s="147"/>
      <c r="BI9" s="147"/>
      <c r="BJ9" s="147"/>
      <c r="BK9" s="147"/>
      <c r="BL9" s="147"/>
      <c r="BM9" s="147"/>
      <c r="BN9" s="147"/>
      <c r="BO9" s="147"/>
      <c r="BP9" s="147"/>
      <c r="BQ9" s="147"/>
      <c r="BR9" s="147"/>
      <c r="BS9" s="147"/>
      <c r="BT9" s="147"/>
      <c r="BU9" s="147"/>
      <c r="BV9" s="149"/>
    </row>
    <row r="10" spans="1:79" s="150" customFormat="1" ht="15">
      <c r="A10" s="132" t="s">
        <v>82</v>
      </c>
      <c r="B10" s="155" t="s">
        <v>91</v>
      </c>
      <c r="C10" s="155" t="s">
        <v>91</v>
      </c>
      <c r="D10" s="134">
        <v>249625</v>
      </c>
      <c r="E10" s="153">
        <v>341507</v>
      </c>
      <c r="F10" s="136">
        <v>426005</v>
      </c>
      <c r="G10" s="137">
        <v>426005</v>
      </c>
      <c r="H10" s="138">
        <v>1</v>
      </c>
      <c r="I10" s="137">
        <v>489577</v>
      </c>
      <c r="J10" s="137">
        <v>489577</v>
      </c>
      <c r="K10" s="137">
        <v>572051.08235179062</v>
      </c>
      <c r="L10" s="156">
        <v>0.16845987934847972</v>
      </c>
      <c r="M10" s="154" t="s">
        <v>26</v>
      </c>
      <c r="N10" s="140" t="s">
        <v>27</v>
      </c>
      <c r="O10" s="141">
        <v>537048.99261992425</v>
      </c>
      <c r="P10" s="142">
        <v>9.6965324392126684E-2</v>
      </c>
      <c r="Q10" s="143">
        <v>537048.99261992425</v>
      </c>
      <c r="R10" s="144">
        <v>9.6965324392126684E-2</v>
      </c>
      <c r="S10" s="143">
        <v>572051.08235179062</v>
      </c>
      <c r="T10" s="144">
        <v>0.16845987934847972</v>
      </c>
      <c r="U10" s="143">
        <v>614353.70566760097</v>
      </c>
      <c r="V10" s="144">
        <v>0.25486635537944169</v>
      </c>
      <c r="W10" s="143">
        <v>724583.3392446076</v>
      </c>
      <c r="X10" s="144">
        <v>0.4800191578538362</v>
      </c>
      <c r="Y10" s="145">
        <v>9.6965324392126684E-2</v>
      </c>
      <c r="Z10" s="146">
        <v>2.4868967065706293E-2</v>
      </c>
      <c r="AA10" s="147">
        <v>-18229953.745387454</v>
      </c>
      <c r="AB10" s="148">
        <v>9281.40590405904</v>
      </c>
      <c r="AC10" s="147">
        <v>614353.70566760097</v>
      </c>
      <c r="AD10" s="147">
        <v>631763.05083852238</v>
      </c>
      <c r="AE10" s="147">
        <v>685713.64788261475</v>
      </c>
      <c r="AF10" s="147">
        <v>704287.06278054346</v>
      </c>
      <c r="AG10" s="147">
        <v>723163.45928606181</v>
      </c>
      <c r="AH10" s="147">
        <v>742347.7798319452</v>
      </c>
      <c r="AI10" s="147">
        <v>761845.0474751424</v>
      </c>
      <c r="AJ10" s="147">
        <v>781660.36721196934</v>
      </c>
      <c r="AK10" s="147">
        <v>801798.9273147583</v>
      </c>
      <c r="AL10" s="147">
        <v>822266.00069030933</v>
      </c>
      <c r="AM10" s="147">
        <v>843066.94626050326</v>
      </c>
      <c r="AN10" s="147">
        <v>864207.21036543511</v>
      </c>
      <c r="AO10" s="147">
        <v>885692.32818943704</v>
      </c>
      <c r="AP10" s="147">
        <v>907527.9252103637</v>
      </c>
      <c r="AQ10" s="147">
        <v>929719.71867251792</v>
      </c>
      <c r="AR10" s="147">
        <v>952273.51908360468</v>
      </c>
      <c r="AS10" s="147">
        <v>975195.23173610587</v>
      </c>
      <c r="AT10" s="147">
        <v>998490.85825346876</v>
      </c>
      <c r="AU10" s="147">
        <v>1022166.4981615208</v>
      </c>
      <c r="AV10" s="147">
        <v>1046228.3504855169</v>
      </c>
      <c r="AW10" s="147">
        <v>1070682.7153732381</v>
      </c>
      <c r="AX10" s="147">
        <v>1095535.9957445678</v>
      </c>
      <c r="AY10" s="147"/>
      <c r="AZ10" s="147"/>
      <c r="BA10" s="147"/>
      <c r="BB10" s="147"/>
      <c r="BC10" s="147"/>
      <c r="BD10" s="147"/>
      <c r="BE10" s="147"/>
      <c r="BF10" s="147"/>
      <c r="BG10" s="147"/>
      <c r="BH10" s="147"/>
      <c r="BI10" s="147"/>
      <c r="BJ10" s="147"/>
      <c r="BK10" s="147"/>
      <c r="BL10" s="147"/>
      <c r="BM10" s="147"/>
      <c r="BN10" s="147"/>
      <c r="BO10" s="147"/>
      <c r="BP10" s="147"/>
      <c r="BQ10" s="147"/>
      <c r="BR10" s="147"/>
      <c r="BS10" s="147"/>
      <c r="BT10" s="147"/>
      <c r="BU10" s="147"/>
      <c r="BV10" s="149"/>
    </row>
    <row r="11" spans="1:79" s="150" customFormat="1" ht="15">
      <c r="A11" s="132" t="s">
        <v>82</v>
      </c>
      <c r="B11" s="155" t="s">
        <v>92</v>
      </c>
      <c r="C11" s="155" t="s">
        <v>92</v>
      </c>
      <c r="D11" s="134">
        <v>406809</v>
      </c>
      <c r="E11" s="153">
        <v>403107</v>
      </c>
      <c r="F11" s="136">
        <v>414196</v>
      </c>
      <c r="G11" s="137">
        <v>414196</v>
      </c>
      <c r="H11" s="138">
        <v>1</v>
      </c>
      <c r="I11" s="137">
        <v>447079</v>
      </c>
      <c r="J11" s="137">
        <v>447079</v>
      </c>
      <c r="K11" s="137">
        <v>438913.73056342191</v>
      </c>
      <c r="L11" s="138">
        <v>-1.8263594211712197E-2</v>
      </c>
      <c r="M11" s="154" t="s">
        <v>66</v>
      </c>
      <c r="N11" s="140" t="s">
        <v>66</v>
      </c>
      <c r="O11" s="141">
        <v>438913.73056342191</v>
      </c>
      <c r="P11" s="142">
        <v>-1.8263594211712197E-2</v>
      </c>
      <c r="Q11" s="143">
        <v>416032.7675276752</v>
      </c>
      <c r="R11" s="144">
        <v>-6.9442385959360253E-2</v>
      </c>
      <c r="S11" s="143">
        <v>419460.30844421498</v>
      </c>
      <c r="T11" s="144">
        <v>-6.1775864121967339E-2</v>
      </c>
      <c r="U11" s="143">
        <v>438913.73056342191</v>
      </c>
      <c r="V11" s="144">
        <v>-1.8263594211712197E-2</v>
      </c>
      <c r="W11" s="143">
        <v>414864.95825065364</v>
      </c>
      <c r="X11" s="144">
        <v>-7.2054473033504984E-2</v>
      </c>
      <c r="Y11" s="145">
        <v>1.8263594211712197E-2</v>
      </c>
      <c r="Z11" s="146">
        <v>1.0530218172059569E-3</v>
      </c>
      <c r="AA11" s="147">
        <v>-341784.47970479698</v>
      </c>
      <c r="AB11" s="148">
        <v>374.78597785977854</v>
      </c>
      <c r="AC11" s="147">
        <v>438913.73056342191</v>
      </c>
      <c r="AD11" s="147">
        <v>441198.42639764701</v>
      </c>
      <c r="AE11" s="147">
        <v>448278.57232562092</v>
      </c>
      <c r="AF11" s="147">
        <v>450716.03354130802</v>
      </c>
      <c r="AG11" s="147">
        <v>453193.25620752131</v>
      </c>
      <c r="AH11" s="147">
        <v>455710.88893886766</v>
      </c>
      <c r="AI11" s="147">
        <v>458269.59093057649</v>
      </c>
      <c r="AJ11" s="147">
        <v>460870.03213109809</v>
      </c>
      <c r="AK11" s="147">
        <v>463512.89341751701</v>
      </c>
      <c r="AL11" s="147">
        <v>466198.86677382706</v>
      </c>
      <c r="AM11" s="147">
        <v>468928.65547211433</v>
      </c>
      <c r="AN11" s="147">
        <v>471702.97425669612</v>
      </c>
      <c r="AO11" s="147">
        <v>474522.54953126307</v>
      </c>
      <c r="AP11" s="147">
        <v>477388.11954907479</v>
      </c>
      <c r="AQ11" s="147">
        <v>480300.43460625754</v>
      </c>
      <c r="AR11" s="147">
        <v>483260.25723825523</v>
      </c>
      <c r="AS11" s="147">
        <v>486268.36241948541</v>
      </c>
      <c r="AT11" s="147">
        <v>489325.53776625148</v>
      </c>
      <c r="AU11" s="147">
        <v>492432.58374296559</v>
      </c>
      <c r="AV11" s="147">
        <v>495590.31387173536</v>
      </c>
      <c r="AW11" s="147">
        <v>498799.55494536954</v>
      </c>
      <c r="AX11" s="147">
        <v>502061.14724385797</v>
      </c>
      <c r="AY11" s="147"/>
      <c r="AZ11" s="147"/>
      <c r="BA11" s="147"/>
      <c r="BB11" s="147"/>
      <c r="BC11" s="147"/>
      <c r="BD11" s="147"/>
      <c r="BE11" s="147"/>
      <c r="BF11" s="147"/>
      <c r="BG11" s="147"/>
      <c r="BH11" s="147"/>
      <c r="BI11" s="147"/>
      <c r="BJ11" s="147"/>
      <c r="BK11" s="147"/>
      <c r="BL11" s="147"/>
      <c r="BM11" s="147"/>
      <c r="BN11" s="147"/>
      <c r="BO11" s="147"/>
      <c r="BP11" s="147"/>
      <c r="BQ11" s="147"/>
      <c r="BR11" s="147"/>
      <c r="BS11" s="147"/>
      <c r="BT11" s="147"/>
      <c r="BU11" s="147"/>
      <c r="BV11" s="149"/>
    </row>
    <row r="12" spans="1:79" s="150" customFormat="1" ht="15">
      <c r="A12" s="132" t="s">
        <v>82</v>
      </c>
      <c r="B12" s="155" t="s">
        <v>93</v>
      </c>
      <c r="C12" s="155" t="s">
        <v>93</v>
      </c>
      <c r="D12" s="134">
        <v>166935</v>
      </c>
      <c r="E12" s="153">
        <v>172245</v>
      </c>
      <c r="F12" s="136">
        <v>181241</v>
      </c>
      <c r="G12" s="137">
        <v>181241</v>
      </c>
      <c r="H12" s="138">
        <v>1</v>
      </c>
      <c r="I12" s="137">
        <v>186721</v>
      </c>
      <c r="J12" s="137">
        <v>186721</v>
      </c>
      <c r="K12" s="137">
        <v>191055.70984434042</v>
      </c>
      <c r="L12" s="138">
        <v>2.3214902685506411E-2</v>
      </c>
      <c r="M12" s="154" t="s">
        <v>26</v>
      </c>
      <c r="N12" s="140" t="s">
        <v>27</v>
      </c>
      <c r="O12" s="141">
        <v>189449.18450184492</v>
      </c>
      <c r="P12" s="142">
        <v>1.4611021266193625E-2</v>
      </c>
      <c r="Q12" s="143">
        <v>189449.18450184492</v>
      </c>
      <c r="R12" s="144">
        <v>1.4611021266193625E-2</v>
      </c>
      <c r="S12" s="143">
        <v>191055.70984434042</v>
      </c>
      <c r="T12" s="144">
        <v>2.3214902685506411E-2</v>
      </c>
      <c r="U12" s="143">
        <v>201293.3675848628</v>
      </c>
      <c r="V12" s="144">
        <v>7.8043538674614998E-2</v>
      </c>
      <c r="W12" s="143">
        <v>193729.10612044227</v>
      </c>
      <c r="X12" s="144">
        <v>3.7532501006540597E-2</v>
      </c>
      <c r="Y12" s="145">
        <v>1.4611021266193625E-2</v>
      </c>
      <c r="Z12" s="146">
        <v>4.4044564615869364E-3</v>
      </c>
      <c r="AA12" s="147">
        <v>-1324730.3653136531</v>
      </c>
      <c r="AB12" s="148">
        <v>748.85239852398524</v>
      </c>
      <c r="AC12" s="147">
        <v>201293.3675848628</v>
      </c>
      <c r="AD12" s="147">
        <v>203146.83712446858</v>
      </c>
      <c r="AE12" s="147">
        <v>208890.63663461857</v>
      </c>
      <c r="AF12" s="147">
        <v>210868.03776153008</v>
      </c>
      <c r="AG12" s="147">
        <v>212877.69553998212</v>
      </c>
      <c r="AH12" s="147">
        <v>214920.13616142602</v>
      </c>
      <c r="AI12" s="147">
        <v>216995.89440088969</v>
      </c>
      <c r="AJ12" s="147">
        <v>219105.5137569987</v>
      </c>
      <c r="AK12" s="147">
        <v>221249.5465942811</v>
      </c>
      <c r="AL12" s="147">
        <v>223428.55428779405</v>
      </c>
      <c r="AM12" s="147">
        <v>225643.10737010918</v>
      </c>
      <c r="AN12" s="147">
        <v>227893.78568069602</v>
      </c>
      <c r="AO12" s="147">
        <v>230181.17851774214</v>
      </c>
      <c r="AP12" s="147">
        <v>232505.88479244988</v>
      </c>
      <c r="AQ12" s="147">
        <v>234868.51318585017</v>
      </c>
      <c r="AR12" s="147">
        <v>237269.68230817426</v>
      </c>
      <c r="AS12" s="147">
        <v>239710.0208608252</v>
      </c>
      <c r="AT12" s="147">
        <v>242190.1678009918</v>
      </c>
      <c r="AU12" s="147">
        <v>244710.77250894741</v>
      </c>
      <c r="AV12" s="147">
        <v>247272.49495807837</v>
      </c>
      <c r="AW12" s="147">
        <v>249876.00588768552</v>
      </c>
      <c r="AX12" s="147">
        <v>252521.98697860457</v>
      </c>
      <c r="AY12" s="147"/>
      <c r="AZ12" s="147"/>
      <c r="BA12" s="147"/>
      <c r="BB12" s="147"/>
      <c r="BC12" s="147"/>
      <c r="BD12" s="147"/>
      <c r="BE12" s="147"/>
      <c r="BF12" s="147"/>
      <c r="BG12" s="147"/>
      <c r="BH12" s="147"/>
      <c r="BI12" s="147"/>
      <c r="BJ12" s="147"/>
      <c r="BK12" s="147"/>
      <c r="BL12" s="147"/>
      <c r="BM12" s="147"/>
      <c r="BN12" s="147"/>
      <c r="BO12" s="147"/>
      <c r="BP12" s="147"/>
      <c r="BQ12" s="147"/>
      <c r="BR12" s="147"/>
      <c r="BS12" s="147"/>
      <c r="BT12" s="147"/>
      <c r="BU12" s="147"/>
      <c r="BV12" s="149"/>
    </row>
    <row r="13" spans="1:79" s="150" customFormat="1" ht="15">
      <c r="A13" s="132" t="s">
        <v>82</v>
      </c>
      <c r="B13" s="155" t="s">
        <v>94</v>
      </c>
      <c r="C13" s="155" t="s">
        <v>94</v>
      </c>
      <c r="D13" s="152">
        <v>142317</v>
      </c>
      <c r="E13" s="153">
        <v>158121</v>
      </c>
      <c r="F13" s="136">
        <v>167824</v>
      </c>
      <c r="G13" s="137">
        <v>167824</v>
      </c>
      <c r="H13" s="138">
        <v>1</v>
      </c>
      <c r="I13" s="137">
        <v>177571</v>
      </c>
      <c r="J13" s="137">
        <v>177571</v>
      </c>
      <c r="K13" s="137">
        <v>184820.42066420661</v>
      </c>
      <c r="L13" s="138">
        <v>4.0825476368363089E-2</v>
      </c>
      <c r="M13" s="154" t="s">
        <v>27</v>
      </c>
      <c r="N13" s="140" t="s">
        <v>26</v>
      </c>
      <c r="O13" s="141">
        <v>181693.79211064897</v>
      </c>
      <c r="P13" s="142">
        <v>2.3217710722184259E-2</v>
      </c>
      <c r="Q13" s="143">
        <v>184820.42066420661</v>
      </c>
      <c r="R13" s="144">
        <v>4.0825476368363089E-2</v>
      </c>
      <c r="S13" s="143">
        <v>181693.79211064897</v>
      </c>
      <c r="T13" s="144">
        <v>2.3217710722184259E-2</v>
      </c>
      <c r="U13" s="143">
        <v>189452.29287193459</v>
      </c>
      <c r="V13" s="144">
        <v>6.6910097211451136E-2</v>
      </c>
      <c r="W13" s="143">
        <v>191978.89681938867</v>
      </c>
      <c r="X13" s="144">
        <v>8.1138794169029138E-2</v>
      </c>
      <c r="Y13" s="145">
        <v>2.3217710722184259E-2</v>
      </c>
      <c r="Z13" s="146">
        <v>6.6391922037054574E-3</v>
      </c>
      <c r="AA13" s="147">
        <v>-2538537.5129151298</v>
      </c>
      <c r="AB13" s="148">
        <v>1346.8634686346866</v>
      </c>
      <c r="AC13" s="147">
        <v>189452.29287193459</v>
      </c>
      <c r="AD13" s="147">
        <v>191451.42748096029</v>
      </c>
      <c r="AE13" s="147">
        <v>197646.634978402</v>
      </c>
      <c r="AF13" s="147">
        <v>199779.44101824437</v>
      </c>
      <c r="AG13" s="147">
        <v>201947.03877550541</v>
      </c>
      <c r="AH13" s="147">
        <v>204149.99579527756</v>
      </c>
      <c r="AI13" s="147">
        <v>206388.88888081737</v>
      </c>
      <c r="AJ13" s="147">
        <v>208664.30424457073</v>
      </c>
      <c r="AK13" s="147">
        <v>210976.83766166179</v>
      </c>
      <c r="AL13" s="147">
        <v>213327.09462588548</v>
      </c>
      <c r="AM13" s="147">
        <v>215715.69050824473</v>
      </c>
      <c r="AN13" s="147">
        <v>218143.25071807401</v>
      </c>
      <c r="AO13" s="147">
        <v>220610.410866791</v>
      </c>
      <c r="AP13" s="147">
        <v>223117.81693431985</v>
      </c>
      <c r="AQ13" s="147">
        <v>225666.1254382286</v>
      </c>
      <c r="AR13" s="147">
        <v>228256.00360562638</v>
      </c>
      <c r="AS13" s="147">
        <v>230888.12954786426</v>
      </c>
      <c r="AT13" s="147">
        <v>233563.19243808617</v>
      </c>
      <c r="AU13" s="147">
        <v>236281.89269167595</v>
      </c>
      <c r="AV13" s="147">
        <v>239044.94214964815</v>
      </c>
      <c r="AW13" s="147">
        <v>241853.06426503029</v>
      </c>
      <c r="AX13" s="147">
        <v>244706.9942922855</v>
      </c>
      <c r="AY13" s="147"/>
      <c r="AZ13" s="147"/>
      <c r="BA13" s="147"/>
      <c r="BB13" s="147"/>
      <c r="BC13" s="147"/>
      <c r="BD13" s="147"/>
      <c r="BE13" s="147"/>
      <c r="BF13" s="147"/>
      <c r="BG13" s="147"/>
      <c r="BH13" s="147"/>
      <c r="BI13" s="147"/>
      <c r="BJ13" s="147"/>
      <c r="BK13" s="147"/>
      <c r="BL13" s="147"/>
      <c r="BM13" s="147"/>
      <c r="BN13" s="147"/>
      <c r="BO13" s="147"/>
      <c r="BP13" s="147"/>
      <c r="BQ13" s="147"/>
      <c r="BR13" s="147"/>
      <c r="BS13" s="147"/>
      <c r="BT13" s="147"/>
      <c r="BU13" s="147"/>
      <c r="BV13" s="149"/>
    </row>
    <row r="14" spans="1:79" s="150" customFormat="1" ht="15">
      <c r="A14" s="132" t="s">
        <v>82</v>
      </c>
      <c r="B14" s="155" t="s">
        <v>95</v>
      </c>
      <c r="C14" s="155" t="s">
        <v>95</v>
      </c>
      <c r="D14" s="134">
        <v>186681</v>
      </c>
      <c r="E14" s="153">
        <v>230208</v>
      </c>
      <c r="F14" s="136">
        <v>265981</v>
      </c>
      <c r="G14" s="137">
        <v>265981</v>
      </c>
      <c r="H14" s="138">
        <v>1</v>
      </c>
      <c r="I14" s="137">
        <v>323477</v>
      </c>
      <c r="J14" s="137">
        <v>323477</v>
      </c>
      <c r="K14" s="137">
        <v>322471.16362026305</v>
      </c>
      <c r="L14" s="138">
        <v>-3.109452541407709E-3</v>
      </c>
      <c r="M14" s="154" t="s">
        <v>26</v>
      </c>
      <c r="N14" s="140" t="s">
        <v>26</v>
      </c>
      <c r="O14" s="141">
        <v>322471.16362026305</v>
      </c>
      <c r="P14" s="142">
        <v>-3.109452541407709E-3</v>
      </c>
      <c r="Q14" s="143">
        <v>316732.39114391059</v>
      </c>
      <c r="R14" s="144">
        <v>-2.0850350584707411E-2</v>
      </c>
      <c r="S14" s="143">
        <v>322471.16362026305</v>
      </c>
      <c r="T14" s="144">
        <v>-3.109452541407709E-3</v>
      </c>
      <c r="U14" s="143">
        <v>345720.14468800544</v>
      </c>
      <c r="V14" s="144">
        <v>6.8762677680346496E-2</v>
      </c>
      <c r="W14" s="143">
        <v>373080.37763659697</v>
      </c>
      <c r="X14" s="144">
        <v>0.15334437266512602</v>
      </c>
      <c r="Y14" s="145">
        <v>3.109452541407709E-3</v>
      </c>
      <c r="Z14" s="146">
        <v>1.6178548017310446E-2</v>
      </c>
      <c r="AA14" s="147">
        <v>-8129135.4944649432</v>
      </c>
      <c r="AB14" s="148">
        <v>4176.9870848708479</v>
      </c>
      <c r="AC14" s="147">
        <v>345720.14468800544</v>
      </c>
      <c r="AD14" s="147">
        <v>353090.54996149568</v>
      </c>
      <c r="AE14" s="147">
        <v>375931.02793799591</v>
      </c>
      <c r="AF14" s="147">
        <v>383794.25276158465</v>
      </c>
      <c r="AG14" s="147">
        <v>391785.74761580495</v>
      </c>
      <c r="AH14" s="147">
        <v>399907.60492471035</v>
      </c>
      <c r="AI14" s="147">
        <v>408161.95124533435</v>
      </c>
      <c r="AJ14" s="147">
        <v>416550.94782449026</v>
      </c>
      <c r="AK14" s="147">
        <v>425076.79116465291</v>
      </c>
      <c r="AL14" s="147">
        <v>433741.71359907254</v>
      </c>
      <c r="AM14" s="147">
        <v>442547.98387626902</v>
      </c>
      <c r="AN14" s="147">
        <v>451497.90775406174</v>
      </c>
      <c r="AO14" s="147">
        <v>460593.82860328921</v>
      </c>
      <c r="AP14" s="147">
        <v>469838.12802137731</v>
      </c>
      <c r="AQ14" s="147">
        <v>479233.22645591584</v>
      </c>
      <c r="AR14" s="147">
        <v>488781.58383840788</v>
      </c>
      <c r="AS14" s="147">
        <v>498485.70022835699</v>
      </c>
      <c r="AT14" s="147">
        <v>508348.11646786123</v>
      </c>
      <c r="AU14" s="147">
        <v>518371.4148468849</v>
      </c>
      <c r="AV14" s="147">
        <v>528558.21977938409</v>
      </c>
      <c r="AW14" s="147">
        <v>538911.19849045947</v>
      </c>
      <c r="AX14" s="147">
        <v>549433.0617147201</v>
      </c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9"/>
    </row>
    <row r="15" spans="1:79" s="150" customFormat="1" ht="15">
      <c r="A15" s="132" t="s">
        <v>82</v>
      </c>
      <c r="B15" s="155" t="s">
        <v>96</v>
      </c>
      <c r="C15" s="155" t="s">
        <v>96</v>
      </c>
      <c r="D15" s="134">
        <v>1120088</v>
      </c>
      <c r="E15" s="153">
        <v>1253921</v>
      </c>
      <c r="F15" s="136">
        <v>1775816</v>
      </c>
      <c r="G15" s="137">
        <v>1775816</v>
      </c>
      <c r="H15" s="138">
        <v>1</v>
      </c>
      <c r="I15" s="137">
        <v>1833968</v>
      </c>
      <c r="J15" s="137">
        <v>1833968</v>
      </c>
      <c r="K15" s="137">
        <v>2399103.1645363611</v>
      </c>
      <c r="L15" s="157">
        <v>0.30814886875690362</v>
      </c>
      <c r="M15" s="154" t="s">
        <v>26</v>
      </c>
      <c r="N15" s="140" t="s">
        <v>27</v>
      </c>
      <c r="O15" s="141">
        <v>2111214.6605166048</v>
      </c>
      <c r="P15" s="142">
        <v>0.1511731178060931</v>
      </c>
      <c r="Q15" s="143">
        <v>2111214.6605166048</v>
      </c>
      <c r="R15" s="144">
        <v>0.1511731178060931</v>
      </c>
      <c r="S15" s="143">
        <v>2399103.1645363611</v>
      </c>
      <c r="T15" s="144">
        <v>0.30814886875690362</v>
      </c>
      <c r="U15" s="143">
        <v>2939136.406925519</v>
      </c>
      <c r="V15" s="144">
        <v>0.60261051824542133</v>
      </c>
      <c r="W15" s="143">
        <v>3136692.5707592331</v>
      </c>
      <c r="X15" s="144">
        <v>0.71033113487216415</v>
      </c>
      <c r="Y15" s="145">
        <v>0.1511731178060931</v>
      </c>
      <c r="Z15" s="146">
        <v>2.5386463618662369E-2</v>
      </c>
      <c r="AA15" s="147">
        <v>-66883816.287822872</v>
      </c>
      <c r="AB15" s="148">
        <v>34122.171586715864</v>
      </c>
      <c r="AC15" s="147">
        <v>2939136.406925519</v>
      </c>
      <c r="AD15" s="147">
        <v>3046663.8063666672</v>
      </c>
      <c r="AE15" s="147">
        <v>3379885.265387313</v>
      </c>
      <c r="AF15" s="147">
        <v>3494602.4464821853</v>
      </c>
      <c r="AG15" s="147">
        <v>3611190.9687459958</v>
      </c>
      <c r="AH15" s="147">
        <v>3729681.3587113661</v>
      </c>
      <c r="AI15" s="147">
        <v>3850104.6408795398</v>
      </c>
      <c r="AJ15" s="147">
        <v>3972492.3458435782</v>
      </c>
      <c r="AK15" s="147">
        <v>4096876.5185440565</v>
      </c>
      <c r="AL15" s="147">
        <v>4223289.7266594339</v>
      </c>
      <c r="AM15" s="147">
        <v>4351765.0691332966</v>
      </c>
      <c r="AN15" s="147">
        <v>4482336.1848406903</v>
      </c>
      <c r="AO15" s="147">
        <v>4615037.2613958474</v>
      </c>
      <c r="AP15" s="147">
        <v>4749903.044103561</v>
      </c>
      <c r="AQ15" s="147">
        <v>4886968.845056612</v>
      </c>
      <c r="AR15" s="147">
        <v>5026270.5523815695</v>
      </c>
      <c r="AS15" s="147">
        <v>5167844.6396354344</v>
      </c>
      <c r="AT15" s="147">
        <v>5311728.1753555592</v>
      </c>
      <c r="AU15" s="147">
        <v>5457958.8327653538</v>
      </c>
      <c r="AV15" s="147">
        <v>5606574.8996383194</v>
      </c>
      <c r="AW15" s="147">
        <v>5757615.2883229908</v>
      </c>
      <c r="AX15" s="147">
        <v>5911119.5459313951</v>
      </c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9"/>
    </row>
    <row r="16" spans="1:79" s="150" customFormat="1" ht="15">
      <c r="A16" s="132" t="s">
        <v>82</v>
      </c>
      <c r="B16" s="155" t="s">
        <v>97</v>
      </c>
      <c r="C16" s="155" t="s">
        <v>97</v>
      </c>
      <c r="D16" s="134">
        <v>468561</v>
      </c>
      <c r="E16" s="153">
        <v>453082</v>
      </c>
      <c r="F16" s="136">
        <v>459263</v>
      </c>
      <c r="G16" s="137">
        <v>459263</v>
      </c>
      <c r="H16" s="138">
        <v>1</v>
      </c>
      <c r="I16" s="137">
        <v>460611</v>
      </c>
      <c r="J16" s="137">
        <v>460611</v>
      </c>
      <c r="K16" s="137">
        <v>473040.64384638029</v>
      </c>
      <c r="L16" s="138">
        <v>2.6985121602350448E-2</v>
      </c>
      <c r="M16" s="154" t="s">
        <v>66</v>
      </c>
      <c r="N16" s="140" t="s">
        <v>26</v>
      </c>
      <c r="O16" s="141">
        <v>454199.21389807685</v>
      </c>
      <c r="P16" s="142">
        <v>-1.3920175814131963E-2</v>
      </c>
      <c r="Q16" s="143">
        <v>449445.49815498153</v>
      </c>
      <c r="R16" s="144">
        <v>-2.4240632214642011E-2</v>
      </c>
      <c r="S16" s="143">
        <v>454199.21389807685</v>
      </c>
      <c r="T16" s="144">
        <v>-1.3920175814131963E-2</v>
      </c>
      <c r="U16" s="143">
        <v>473040.64384638029</v>
      </c>
      <c r="V16" s="144">
        <v>2.6985121602350448E-2</v>
      </c>
      <c r="W16" s="143">
        <v>442818.86899457785</v>
      </c>
      <c r="X16" s="144">
        <v>-3.8627238614410309E-2</v>
      </c>
      <c r="Y16" s="145">
        <v>1.3920175814131963E-2</v>
      </c>
      <c r="Z16" s="146">
        <v>-9.2350095914933705E-4</v>
      </c>
      <c r="AA16" s="147">
        <v>1478438.3136531368</v>
      </c>
      <c r="AB16" s="148">
        <v>-508.89852398523999</v>
      </c>
      <c r="AC16" s="147">
        <v>473040.64384638029</v>
      </c>
      <c r="AD16" s="147">
        <v>474314.13153249671</v>
      </c>
      <c r="AE16" s="147">
        <v>478260.59938178939</v>
      </c>
      <c r="AF16" s="147">
        <v>479619.23837305664</v>
      </c>
      <c r="AG16" s="147">
        <v>481000.04036601039</v>
      </c>
      <c r="AH16" s="147">
        <v>482403.36689792958</v>
      </c>
      <c r="AI16" s="147">
        <v>483829.58540372382</v>
      </c>
      <c r="AJ16" s="147">
        <v>485279.06931213971</v>
      </c>
      <c r="AK16" s="147">
        <v>486752.19814353617</v>
      </c>
      <c r="AL16" s="147">
        <v>488249.35760925466</v>
      </c>
      <c r="AM16" s="147">
        <v>489770.93971261056</v>
      </c>
      <c r="AN16" s="147">
        <v>491317.34285153204</v>
      </c>
      <c r="AO16" s="147">
        <v>492888.97192287282</v>
      </c>
      <c r="AP16" s="147">
        <v>494486.23842842737</v>
      </c>
      <c r="AQ16" s="147">
        <v>496109.56058267452</v>
      </c>
      <c r="AR16" s="147">
        <v>497759.36342227936</v>
      </c>
      <c r="AS16" s="147">
        <v>499436.07891738112</v>
      </c>
      <c r="AT16" s="147">
        <v>501140.14608469652</v>
      </c>
      <c r="AU16" s="147">
        <v>502872.01110246824</v>
      </c>
      <c r="AV16" s="147">
        <v>504632.12742728798</v>
      </c>
      <c r="AW16" s="147">
        <v>506420.95591282612</v>
      </c>
      <c r="AX16" s="147">
        <v>508238.9649304974</v>
      </c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9"/>
    </row>
    <row r="17" spans="1:74" s="150" customFormat="1" ht="15">
      <c r="A17" s="132" t="s">
        <v>82</v>
      </c>
      <c r="B17" s="155" t="s">
        <v>98</v>
      </c>
      <c r="C17" s="155" t="s">
        <v>98</v>
      </c>
      <c r="D17" s="134">
        <v>574330</v>
      </c>
      <c r="E17" s="153">
        <v>591345</v>
      </c>
      <c r="F17" s="136">
        <v>616279</v>
      </c>
      <c r="G17" s="137">
        <v>616279</v>
      </c>
      <c r="H17" s="138">
        <v>1</v>
      </c>
      <c r="I17" s="137">
        <v>691423</v>
      </c>
      <c r="J17" s="137">
        <v>691423</v>
      </c>
      <c r="K17" s="137">
        <v>640885.99999999953</v>
      </c>
      <c r="L17" s="138">
        <v>-7.3091291438092787E-2</v>
      </c>
      <c r="M17" s="154" t="s">
        <v>27</v>
      </c>
      <c r="N17" s="140" t="s">
        <v>66</v>
      </c>
      <c r="O17" s="141">
        <v>671857.67200544337</v>
      </c>
      <c r="P17" s="142">
        <v>-2.8297189990145855E-2</v>
      </c>
      <c r="Q17" s="143">
        <v>640885.99999999953</v>
      </c>
      <c r="R17" s="144">
        <v>-7.3091291438092787E-2</v>
      </c>
      <c r="S17" s="143">
        <v>644680.40119921393</v>
      </c>
      <c r="T17" s="144">
        <v>-6.760347688865731E-2</v>
      </c>
      <c r="U17" s="143">
        <v>671857.67200544337</v>
      </c>
      <c r="V17" s="144">
        <v>-2.8297189990145855E-2</v>
      </c>
      <c r="W17" s="143">
        <v>648461.35020744964</v>
      </c>
      <c r="X17" s="144">
        <v>-6.213511814410333E-2</v>
      </c>
      <c r="Y17" s="145">
        <v>2.8297189990145855E-2</v>
      </c>
      <c r="Z17" s="146">
        <v>3.7616329910760138E-3</v>
      </c>
      <c r="AA17" s="147">
        <v>-3804481.0000000005</v>
      </c>
      <c r="AB17" s="148">
        <v>2198.5</v>
      </c>
      <c r="AC17" s="147">
        <v>671857.67200544337</v>
      </c>
      <c r="AD17" s="147">
        <v>676994.889602212</v>
      </c>
      <c r="AE17" s="147">
        <v>692914.84257976653</v>
      </c>
      <c r="AF17" s="147">
        <v>698395.55841996334</v>
      </c>
      <c r="AG17" s="147">
        <v>703965.67925677123</v>
      </c>
      <c r="AH17" s="147">
        <v>709626.66352256527</v>
      </c>
      <c r="AI17" s="147">
        <v>715379.99344061629</v>
      </c>
      <c r="AJ17" s="147">
        <v>721227.17541318422</v>
      </c>
      <c r="AK17" s="147">
        <v>727169.74041594099</v>
      </c>
      <c r="AL17" s="147">
        <v>733209.24439882801</v>
      </c>
      <c r="AM17" s="147">
        <v>739347.26869345293</v>
      </c>
      <c r="AN17" s="147">
        <v>745585.42042713147</v>
      </c>
      <c r="AO17" s="147">
        <v>751925.33294368419</v>
      </c>
      <c r="AP17" s="147">
        <v>758368.66623109672</v>
      </c>
      <c r="AQ17" s="147">
        <v>764917.10735615704</v>
      </c>
      <c r="AR17" s="147">
        <v>771572.37090618233</v>
      </c>
      <c r="AS17" s="147">
        <v>778336.1994379519</v>
      </c>
      <c r="AT17" s="147">
        <v>785210.36393396277</v>
      </c>
      <c r="AU17" s="147">
        <v>792196.66426612879</v>
      </c>
      <c r="AV17" s="147">
        <v>799296.92966704397</v>
      </c>
      <c r="AW17" s="147">
        <v>806513.01920893183</v>
      </c>
      <c r="AX17" s="147">
        <v>813846.82229040982</v>
      </c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9"/>
    </row>
    <row r="18" spans="1:74" s="150" customFormat="1" ht="15">
      <c r="A18" s="132" t="s">
        <v>82</v>
      </c>
      <c r="B18" s="155" t="s">
        <v>99</v>
      </c>
      <c r="C18" s="155" t="s">
        <v>99</v>
      </c>
      <c r="D18" s="134">
        <v>239113</v>
      </c>
      <c r="E18" s="153">
        <v>290691</v>
      </c>
      <c r="F18" s="136">
        <v>322375</v>
      </c>
      <c r="G18" s="137">
        <v>322375</v>
      </c>
      <c r="H18" s="138">
        <v>1</v>
      </c>
      <c r="I18" s="137">
        <v>350424</v>
      </c>
      <c r="J18" s="137">
        <v>350424</v>
      </c>
      <c r="K18" s="137">
        <v>370056.22492825839</v>
      </c>
      <c r="L18" s="138">
        <v>5.6024201904716575E-2</v>
      </c>
      <c r="M18" s="154" t="s">
        <v>26</v>
      </c>
      <c r="N18" s="140" t="s">
        <v>26</v>
      </c>
      <c r="O18" s="141">
        <v>370056.22492825839</v>
      </c>
      <c r="P18" s="142">
        <v>5.6024201904716575E-2</v>
      </c>
      <c r="Q18" s="143">
        <v>377852.09963099472</v>
      </c>
      <c r="R18" s="144">
        <v>7.8271179003135405E-2</v>
      </c>
      <c r="S18" s="143">
        <v>370056.22492825839</v>
      </c>
      <c r="T18" s="144">
        <v>5.6024201904716575E-2</v>
      </c>
      <c r="U18" s="143">
        <v>392999.6347886608</v>
      </c>
      <c r="V18" s="144">
        <v>0.12149748529969639</v>
      </c>
      <c r="W18" s="143">
        <v>420942.23040348047</v>
      </c>
      <c r="X18" s="144">
        <v>0.20123687419663172</v>
      </c>
      <c r="Y18" s="145">
        <v>5.6024201904716575E-2</v>
      </c>
      <c r="Z18" s="146">
        <v>1.1561278327987479E-2</v>
      </c>
      <c r="AA18" s="147">
        <v>-8511911.9372693747</v>
      </c>
      <c r="AB18" s="148">
        <v>4396.5202952029522</v>
      </c>
      <c r="AC18" s="147">
        <v>392999.6347886608</v>
      </c>
      <c r="AD18" s="147">
        <v>399527.57263802388</v>
      </c>
      <c r="AE18" s="147">
        <v>419757.29069933924</v>
      </c>
      <c r="AF18" s="147">
        <v>426721.71681150724</v>
      </c>
      <c r="AG18" s="147">
        <v>433799.75116593973</v>
      </c>
      <c r="AH18" s="147">
        <v>440993.2470140754</v>
      </c>
      <c r="AI18" s="147">
        <v>448304.08783879387</v>
      </c>
      <c r="AJ18" s="147">
        <v>455734.18784757075</v>
      </c>
      <c r="AK18" s="147">
        <v>463285.49247367738</v>
      </c>
      <c r="AL18" s="147">
        <v>470959.97888555657</v>
      </c>
      <c r="AM18" s="147">
        <v>478759.65650450636</v>
      </c>
      <c r="AN18" s="147">
        <v>486686.56753081072</v>
      </c>
      <c r="AO18" s="147">
        <v>494742.78747845057</v>
      </c>
      <c r="AP18" s="147">
        <v>502930.42571853963</v>
      </c>
      <c r="AQ18" s="147">
        <v>511251.62603162264</v>
      </c>
      <c r="AR18" s="147">
        <v>519708.56716898538</v>
      </c>
      <c r="AS18" s="147">
        <v>528303.46342311974</v>
      </c>
      <c r="AT18" s="147">
        <v>537038.56520749477</v>
      </c>
      <c r="AU18" s="147">
        <v>545916.15964578593</v>
      </c>
      <c r="AV18" s="147">
        <v>554938.57117071538</v>
      </c>
      <c r="AW18" s="147">
        <v>564108.16213266202</v>
      </c>
      <c r="AX18" s="147">
        <v>573427.33341819781</v>
      </c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9"/>
    </row>
    <row r="19" spans="1:74" s="150" customFormat="1" ht="15">
      <c r="A19" s="132" t="s">
        <v>82</v>
      </c>
      <c r="B19" s="155" t="s">
        <v>100</v>
      </c>
      <c r="C19" s="155" t="s">
        <v>100</v>
      </c>
      <c r="D19" s="134">
        <v>390042</v>
      </c>
      <c r="E19" s="153">
        <v>468745</v>
      </c>
      <c r="F19" s="136">
        <v>528494</v>
      </c>
      <c r="G19" s="137">
        <v>528494</v>
      </c>
      <c r="H19" s="138">
        <v>1</v>
      </c>
      <c r="I19" s="137">
        <v>579853</v>
      </c>
      <c r="J19" s="137">
        <v>579853</v>
      </c>
      <c r="K19" s="137">
        <v>620170.74880776147</v>
      </c>
      <c r="L19" s="138">
        <v>6.9530982521020857E-2</v>
      </c>
      <c r="M19" s="154" t="s">
        <v>26</v>
      </c>
      <c r="N19" s="140" t="s">
        <v>27</v>
      </c>
      <c r="O19" s="141">
        <v>618111.48708487116</v>
      </c>
      <c r="P19" s="142">
        <v>6.5979631190786536E-2</v>
      </c>
      <c r="Q19" s="143">
        <v>618111.48708487116</v>
      </c>
      <c r="R19" s="144">
        <v>6.5979631190786536E-2</v>
      </c>
      <c r="S19" s="143">
        <v>620170.74880776147</v>
      </c>
      <c r="T19" s="144">
        <v>6.9530982521020857E-2</v>
      </c>
      <c r="U19" s="143">
        <v>661676.40449399361</v>
      </c>
      <c r="V19" s="144">
        <v>0.14111059957263938</v>
      </c>
      <c r="W19" s="143">
        <v>701121.2160632197</v>
      </c>
      <c r="X19" s="144">
        <v>0.20913613633665729</v>
      </c>
      <c r="Y19" s="145">
        <v>6.5979631190786536E-2</v>
      </c>
      <c r="Z19" s="146">
        <v>1.3419526746648147E-2</v>
      </c>
      <c r="AA19" s="147">
        <v>-14137858.804428047</v>
      </c>
      <c r="AB19" s="148">
        <v>7297.7103321033219</v>
      </c>
      <c r="AC19" s="147">
        <v>661676.40449399361</v>
      </c>
      <c r="AD19" s="147">
        <v>673986.6481046991</v>
      </c>
      <c r="AE19" s="147">
        <v>712135.41165871779</v>
      </c>
      <c r="AF19" s="147">
        <v>725268.775368348</v>
      </c>
      <c r="AG19" s="147">
        <v>738616.37903717114</v>
      </c>
      <c r="AH19" s="147">
        <v>752181.71748655452</v>
      </c>
      <c r="AI19" s="147">
        <v>765968.34254766116</v>
      </c>
      <c r="AJ19" s="147">
        <v>779979.86399143119</v>
      </c>
      <c r="AK19" s="147">
        <v>794219.95047373278</v>
      </c>
      <c r="AL19" s="147">
        <v>808692.33049593214</v>
      </c>
      <c r="AM19" s="147">
        <v>823400.79338113102</v>
      </c>
      <c r="AN19" s="147">
        <v>838349.19026633026</v>
      </c>
      <c r="AO19" s="147">
        <v>853541.43511077971</v>
      </c>
      <c r="AP19" s="147">
        <v>868981.50572077464</v>
      </c>
      <c r="AQ19" s="147">
        <v>884673.44479116984</v>
      </c>
      <c r="AR19" s="147">
        <v>900621.36096388428</v>
      </c>
      <c r="AS19" s="147">
        <v>916829.42990367324</v>
      </c>
      <c r="AT19" s="147">
        <v>933301.895391447</v>
      </c>
      <c r="AU19" s="147">
        <v>950043.0704354269</v>
      </c>
      <c r="AV19" s="147">
        <v>967057.33840042539</v>
      </c>
      <c r="AW19" s="147">
        <v>984349.15415554913</v>
      </c>
      <c r="AX19" s="147">
        <v>1001923.0452406229</v>
      </c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9"/>
    </row>
    <row r="20" spans="1:74" s="150" customFormat="1" ht="15">
      <c r="A20" s="132" t="s">
        <v>82</v>
      </c>
      <c r="B20" s="155" t="s">
        <v>101</v>
      </c>
      <c r="C20" s="155" t="s">
        <v>101</v>
      </c>
      <c r="D20" s="134">
        <v>285643</v>
      </c>
      <c r="E20" s="153">
        <v>379300</v>
      </c>
      <c r="F20" s="136">
        <v>452505</v>
      </c>
      <c r="G20" s="137">
        <v>452505</v>
      </c>
      <c r="H20" s="138">
        <v>1</v>
      </c>
      <c r="I20" s="137">
        <v>573400</v>
      </c>
      <c r="J20" s="137">
        <v>573400</v>
      </c>
      <c r="K20" s="137">
        <v>572546.50578789553</v>
      </c>
      <c r="L20" s="138">
        <v>-1.4884796165058889E-3</v>
      </c>
      <c r="M20" s="154" t="s">
        <v>26</v>
      </c>
      <c r="N20" s="140" t="s">
        <v>26</v>
      </c>
      <c r="O20" s="141">
        <v>572546.50578789553</v>
      </c>
      <c r="P20" s="142">
        <v>-1.4884796165058889E-3</v>
      </c>
      <c r="Q20" s="143">
        <v>560066.15498154983</v>
      </c>
      <c r="R20" s="144">
        <v>-2.325400247375331E-2</v>
      </c>
      <c r="S20" s="143">
        <v>572546.50578789553</v>
      </c>
      <c r="T20" s="144">
        <v>-1.4884796165058889E-3</v>
      </c>
      <c r="U20" s="143">
        <v>615681.25267339719</v>
      </c>
      <c r="V20" s="144">
        <v>7.3737796779555609E-2</v>
      </c>
      <c r="W20" s="143">
        <v>703933.79205820034</v>
      </c>
      <c r="X20" s="144">
        <v>0.22764874792152145</v>
      </c>
      <c r="Y20" s="145">
        <v>1.4884796165058889E-3</v>
      </c>
      <c r="Z20" s="146">
        <v>1.9801427421582529E-2</v>
      </c>
      <c r="AA20" s="147">
        <v>-17219331.346863471</v>
      </c>
      <c r="AB20" s="148">
        <v>8792.9760147601482</v>
      </c>
      <c r="AC20" s="147">
        <v>615681.25267339719</v>
      </c>
      <c r="AD20" s="147">
        <v>630763.87135357084</v>
      </c>
      <c r="AE20" s="147">
        <v>677504.0717916023</v>
      </c>
      <c r="AF20" s="147">
        <v>693595.184452291</v>
      </c>
      <c r="AG20" s="147">
        <v>709948.78579417442</v>
      </c>
      <c r="AH20" s="147">
        <v>726569.15770311188</v>
      </c>
      <c r="AI20" s="147">
        <v>743460.65191386524</v>
      </c>
      <c r="AJ20" s="147">
        <v>760627.69114952092</v>
      </c>
      <c r="AK20" s="147">
        <v>778074.77027949621</v>
      </c>
      <c r="AL20" s="147">
        <v>795806.45749643887</v>
      </c>
      <c r="AM20" s="147">
        <v>813827.3955123215</v>
      </c>
      <c r="AN20" s="147">
        <v>832142.30277404992</v>
      </c>
      <c r="AO20" s="147">
        <v>850755.97469890106</v>
      </c>
      <c r="AP20" s="147">
        <v>869673.28493011289</v>
      </c>
      <c r="AQ20" s="147">
        <v>888899.18661295739</v>
      </c>
      <c r="AR20" s="147">
        <v>908438.71369162924</v>
      </c>
      <c r="AS20" s="147">
        <v>928296.98222729086</v>
      </c>
      <c r="AT20" s="147">
        <v>948479.19173761713</v>
      </c>
      <c r="AU20" s="147">
        <v>968990.62655819231</v>
      </c>
      <c r="AV20" s="147">
        <v>989836.657226115</v>
      </c>
      <c r="AW20" s="147">
        <v>1011022.7418861736</v>
      </c>
      <c r="AX20" s="147">
        <v>1032554.4277199587</v>
      </c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9"/>
    </row>
    <row r="21" spans="1:74" s="150" customFormat="1" ht="15">
      <c r="A21" s="132" t="s">
        <v>82</v>
      </c>
      <c r="B21" s="155" t="s">
        <v>102</v>
      </c>
      <c r="C21" s="155" t="s">
        <v>102</v>
      </c>
      <c r="D21" s="152">
        <v>334301</v>
      </c>
      <c r="E21" s="153">
        <v>309380</v>
      </c>
      <c r="F21" s="136">
        <v>321109</v>
      </c>
      <c r="G21" s="137">
        <v>321109</v>
      </c>
      <c r="H21" s="138">
        <v>1</v>
      </c>
      <c r="I21" s="137">
        <v>332475</v>
      </c>
      <c r="J21" s="137">
        <v>332475</v>
      </c>
      <c r="K21" s="137">
        <v>347253.31073842326</v>
      </c>
      <c r="L21" s="138">
        <v>4.4449389392956729E-2</v>
      </c>
      <c r="M21" s="154" t="s">
        <v>66</v>
      </c>
      <c r="N21" s="140" t="s">
        <v>66</v>
      </c>
      <c r="O21" s="141">
        <v>347253.31073842326</v>
      </c>
      <c r="P21" s="142">
        <v>4.4449389392956729E-2</v>
      </c>
      <c r="Q21" s="143">
        <v>306076.98154981574</v>
      </c>
      <c r="R21" s="144">
        <v>-7.9398506504802624E-2</v>
      </c>
      <c r="S21" s="143">
        <v>314290.080772519</v>
      </c>
      <c r="T21" s="144">
        <v>-5.4695598849480387E-2</v>
      </c>
      <c r="U21" s="143">
        <v>347253.31073842326</v>
      </c>
      <c r="V21" s="144">
        <v>4.4449389392956729E-2</v>
      </c>
      <c r="W21" s="143">
        <v>310318.80837220408</v>
      </c>
      <c r="X21" s="144">
        <v>-6.6640173329711727E-2</v>
      </c>
      <c r="Y21" s="145">
        <v>4.4449389392956729E-2</v>
      </c>
      <c r="Z21" s="146">
        <v>-1.7870884018772459E-3</v>
      </c>
      <c r="AA21" s="147">
        <v>1777052.1365313663</v>
      </c>
      <c r="AB21" s="148">
        <v>-727.48523985239888</v>
      </c>
      <c r="AC21" s="147">
        <v>347253.31073842326</v>
      </c>
      <c r="AD21" s="147">
        <v>349669.86745585728</v>
      </c>
      <c r="AE21" s="147">
        <v>357158.64296214335</v>
      </c>
      <c r="AF21" s="147">
        <v>359736.78189250629</v>
      </c>
      <c r="AG21" s="147">
        <v>362356.9770996499</v>
      </c>
      <c r="AH21" s="147">
        <v>365019.91463287751</v>
      </c>
      <c r="AI21" s="147">
        <v>367726.29173277412</v>
      </c>
      <c r="AJ21" s="147">
        <v>370476.81701376586</v>
      </c>
      <c r="AK21" s="147">
        <v>373272.21064965799</v>
      </c>
      <c r="AL21" s="147">
        <v>376113.20456219837</v>
      </c>
      <c r="AM21" s="147">
        <v>379000.54261271795</v>
      </c>
      <c r="AN21" s="147">
        <v>381934.98079689685</v>
      </c>
      <c r="AO21" s="147">
        <v>384917.28744270757</v>
      </c>
      <c r="AP21" s="147">
        <v>387948.2434115879</v>
      </c>
      <c r="AQ21" s="147">
        <v>391028.64230289427</v>
      </c>
      <c r="AR21" s="147">
        <v>394159.2906616914</v>
      </c>
      <c r="AS21" s="147">
        <v>397341.00818993093</v>
      </c>
      <c r="AT21" s="147">
        <v>400574.62796107522</v>
      </c>
      <c r="AU21" s="147">
        <v>403860.9966382219</v>
      </c>
      <c r="AV21" s="147">
        <v>407200.97469578718</v>
      </c>
      <c r="AW21" s="147">
        <v>410595.43664480472</v>
      </c>
      <c r="AX21" s="147">
        <v>414045.27126190008</v>
      </c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9"/>
    </row>
    <row r="22" spans="1:74" s="150" customFormat="1" ht="15">
      <c r="A22" s="132" t="s">
        <v>82</v>
      </c>
      <c r="B22" s="155" t="s">
        <v>103</v>
      </c>
      <c r="C22" s="155" t="s">
        <v>103</v>
      </c>
      <c r="D22" s="134">
        <v>511234</v>
      </c>
      <c r="E22" s="153">
        <v>518788</v>
      </c>
      <c r="F22" s="136">
        <v>582943</v>
      </c>
      <c r="G22" s="137">
        <v>582943</v>
      </c>
      <c r="H22" s="138">
        <v>1</v>
      </c>
      <c r="I22" s="137">
        <v>634065</v>
      </c>
      <c r="J22" s="137">
        <v>634065</v>
      </c>
      <c r="K22" s="137">
        <v>678056.37314268528</v>
      </c>
      <c r="L22" s="138">
        <v>6.9379910802023881E-2</v>
      </c>
      <c r="M22" s="154" t="s">
        <v>104</v>
      </c>
      <c r="N22" s="140" t="s">
        <v>26</v>
      </c>
      <c r="O22" s="141">
        <v>635757.69929281645</v>
      </c>
      <c r="P22" s="142">
        <v>2.6695990045444429E-3</v>
      </c>
      <c r="Q22" s="143">
        <v>616982.17343173455</v>
      </c>
      <c r="R22" s="144">
        <v>-2.6941759233304885E-2</v>
      </c>
      <c r="S22" s="143">
        <v>635757.69929281645</v>
      </c>
      <c r="T22" s="144">
        <v>2.6695990045444429E-3</v>
      </c>
      <c r="U22" s="143">
        <v>725946.51738626871</v>
      </c>
      <c r="V22" s="144">
        <v>0.14490867243306083</v>
      </c>
      <c r="W22" s="143">
        <v>678056.37314268528</v>
      </c>
      <c r="X22" s="144">
        <v>6.9379910802023881E-2</v>
      </c>
      <c r="Y22" s="145">
        <v>2.6695990045444429E-3</v>
      </c>
      <c r="Z22" s="146">
        <v>7.2535222173454317E-3</v>
      </c>
      <c r="AA22" s="147">
        <v>-6901746.4833948351</v>
      </c>
      <c r="AB22" s="148">
        <v>3718.4612546125468</v>
      </c>
      <c r="AC22" s="147">
        <v>725946.51738626871</v>
      </c>
      <c r="AD22" s="147">
        <v>739164.54076481576</v>
      </c>
      <c r="AE22" s="147">
        <v>780126.46357202705</v>
      </c>
      <c r="AF22" s="147">
        <v>794228.30542362842</v>
      </c>
      <c r="AG22" s="147">
        <v>808560.18567891885</v>
      </c>
      <c r="AH22" s="147">
        <v>823125.85687375371</v>
      </c>
      <c r="AI22" s="147">
        <v>837929.13275779015</v>
      </c>
      <c r="AJ22" s="147">
        <v>852973.88929304702</v>
      </c>
      <c r="AK22" s="147">
        <v>868264.06566875323</v>
      </c>
      <c r="AL22" s="147">
        <v>883803.66533275088</v>
      </c>
      <c r="AM22" s="147">
        <v>899596.7570397238</v>
      </c>
      <c r="AN22" s="147">
        <v>915647.47591652442</v>
      </c>
      <c r="AO22" s="147">
        <v>931960.02454488073</v>
      </c>
      <c r="AP22" s="147">
        <v>948538.67406176333</v>
      </c>
      <c r="AQ22" s="147">
        <v>965387.76527770329</v>
      </c>
      <c r="AR22" s="147">
        <v>982511.70981335244</v>
      </c>
      <c r="AS22" s="147">
        <v>999914.99125458428</v>
      </c>
      <c r="AT22" s="147">
        <v>1017602.166326437</v>
      </c>
      <c r="AU22" s="147">
        <v>1035577.8660862074</v>
      </c>
      <c r="AV22" s="147">
        <v>1053846.7971360071</v>
      </c>
      <c r="AW22" s="147">
        <v>1072413.7428550981</v>
      </c>
      <c r="AX22" s="147">
        <v>1091283.5646523316</v>
      </c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9"/>
    </row>
    <row r="23" spans="1:74" s="150" customFormat="1" ht="15">
      <c r="A23" s="132" t="s">
        <v>82</v>
      </c>
      <c r="B23" s="155" t="s">
        <v>105</v>
      </c>
      <c r="C23" s="155" t="s">
        <v>105</v>
      </c>
      <c r="D23" s="134">
        <v>141063</v>
      </c>
      <c r="E23" s="153">
        <v>148064</v>
      </c>
      <c r="F23" s="136">
        <v>160284</v>
      </c>
      <c r="G23" s="137">
        <v>163240</v>
      </c>
      <c r="H23" s="138">
        <v>0.98189169321244796</v>
      </c>
      <c r="I23" s="137">
        <v>171628</v>
      </c>
      <c r="J23" s="137">
        <v>168520.10752266602</v>
      </c>
      <c r="K23" s="137">
        <v>173973.34226634906</v>
      </c>
      <c r="L23" s="138">
        <v>3.2359549396498988E-2</v>
      </c>
      <c r="M23" s="154" t="s">
        <v>26</v>
      </c>
      <c r="N23" s="140" t="s">
        <v>27</v>
      </c>
      <c r="O23" s="141">
        <v>171262.52029520296</v>
      </c>
      <c r="P23" s="142">
        <v>1.6273504763626434E-2</v>
      </c>
      <c r="Q23" s="143">
        <v>171262.52029520296</v>
      </c>
      <c r="R23" s="144">
        <v>1.6273504763626434E-2</v>
      </c>
      <c r="S23" s="143">
        <v>173973.34226634906</v>
      </c>
      <c r="T23" s="144">
        <v>3.2359549396498988E-2</v>
      </c>
      <c r="U23" s="143">
        <v>187522.76521643213</v>
      </c>
      <c r="V23" s="144">
        <v>0.11276196041597153</v>
      </c>
      <c r="W23" s="143">
        <v>180945.32652915304</v>
      </c>
      <c r="X23" s="144">
        <v>7.3731373597752059E-2</v>
      </c>
      <c r="Y23" s="145">
        <v>1.6273504763626434E-2</v>
      </c>
      <c r="Z23" s="146">
        <v>6.8529447235058383E-3</v>
      </c>
      <c r="AA23" s="147">
        <v>-1862634.4501845017</v>
      </c>
      <c r="AB23" s="148">
        <v>1005.8837638376383</v>
      </c>
      <c r="AC23" s="147">
        <v>187522.76521643213</v>
      </c>
      <c r="AD23" s="147">
        <v>190040.483955203</v>
      </c>
      <c r="AE23" s="147">
        <v>197842.75496610039</v>
      </c>
      <c r="AF23" s="147">
        <v>200528.82008069116</v>
      </c>
      <c r="AG23" s="147">
        <v>203258.70203407979</v>
      </c>
      <c r="AH23" s="147">
        <v>206033.11559500068</v>
      </c>
      <c r="AI23" s="147">
        <v>208852.78719196003</v>
      </c>
      <c r="AJ23" s="147">
        <v>211718.45510343753</v>
      </c>
      <c r="AK23" s="147">
        <v>214630.86965119108</v>
      </c>
      <c r="AL23" s="147">
        <v>217590.79339671446</v>
      </c>
      <c r="AM23" s="147">
        <v>220599.00134089976</v>
      </c>
      <c r="AN23" s="147">
        <v>223656.28112695704</v>
      </c>
      <c r="AO23" s="147">
        <v>226763.43324664392</v>
      </c>
      <c r="AP23" s="147">
        <v>229921.27124985971</v>
      </c>
      <c r="AQ23" s="147">
        <v>233130.62195765777</v>
      </c>
      <c r="AR23" s="147">
        <v>236392.32567873379</v>
      </c>
      <c r="AS23" s="147">
        <v>239707.23642944463</v>
      </c>
      <c r="AT23" s="147">
        <v>243076.22215741657</v>
      </c>
      <c r="AU23" s="147">
        <v>246500.16496880143</v>
      </c>
      <c r="AV23" s="147">
        <v>249979.96135923947</v>
      </c>
      <c r="AW23" s="147">
        <v>253516.52244859014</v>
      </c>
      <c r="AX23" s="147">
        <v>257110.77421949175</v>
      </c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9"/>
    </row>
    <row r="24" spans="1:74" s="150" customFormat="1" ht="15">
      <c r="A24" s="132" t="s">
        <v>82</v>
      </c>
      <c r="B24" s="155" t="s">
        <v>106</v>
      </c>
      <c r="C24" s="155" t="s">
        <v>106</v>
      </c>
      <c r="D24" s="134">
        <v>299023</v>
      </c>
      <c r="E24" s="153">
        <v>291505</v>
      </c>
      <c r="F24" s="136">
        <v>292878</v>
      </c>
      <c r="G24" s="137">
        <v>292878</v>
      </c>
      <c r="H24" s="138">
        <v>1</v>
      </c>
      <c r="I24" s="137">
        <v>297486</v>
      </c>
      <c r="J24" s="137">
        <v>297486</v>
      </c>
      <c r="K24" s="137">
        <v>295938.46028168261</v>
      </c>
      <c r="L24" s="138">
        <v>-5.2020589819937735E-3</v>
      </c>
      <c r="M24" s="154" t="s">
        <v>66</v>
      </c>
      <c r="N24" s="140" t="s">
        <v>66</v>
      </c>
      <c r="O24" s="141">
        <v>295938.46028168261</v>
      </c>
      <c r="P24" s="142">
        <v>-5.2020589819937735E-3</v>
      </c>
      <c r="Q24" s="143">
        <v>287400.40590405918</v>
      </c>
      <c r="R24" s="144">
        <v>-3.3902752048637019E-2</v>
      </c>
      <c r="S24" s="143">
        <v>289346.49553397635</v>
      </c>
      <c r="T24" s="144">
        <v>-2.7360966452282254E-2</v>
      </c>
      <c r="U24" s="143">
        <v>295938.46028168261</v>
      </c>
      <c r="V24" s="144">
        <v>-5.2020589819937735E-3</v>
      </c>
      <c r="W24" s="143">
        <v>280426.28477158933</v>
      </c>
      <c r="X24" s="144">
        <v>-5.7346279248134957E-2</v>
      </c>
      <c r="Y24" s="145">
        <v>5.2020589819937735E-3</v>
      </c>
      <c r="Z24" s="146">
        <v>-1.0104244786367511E-3</v>
      </c>
      <c r="AA24" s="147">
        <v>957338.99630996305</v>
      </c>
      <c r="AB24" s="148">
        <v>-331.32472324723238</v>
      </c>
      <c r="AC24" s="147">
        <v>295938.46028168261</v>
      </c>
      <c r="AD24" s="147">
        <v>296221.34308269178</v>
      </c>
      <c r="AE24" s="147">
        <v>297097.98122491455</v>
      </c>
      <c r="AF24" s="147">
        <v>297399.77888467995</v>
      </c>
      <c r="AG24" s="147">
        <v>297706.49966389453</v>
      </c>
      <c r="AH24" s="147">
        <v>298018.2238716805</v>
      </c>
      <c r="AI24" s="147">
        <v>298335.03312721447</v>
      </c>
      <c r="AJ24" s="147">
        <v>298657.0103810982</v>
      </c>
      <c r="AK24" s="147">
        <v>298984.23993707733</v>
      </c>
      <c r="AL24" s="147">
        <v>299316.80747411528</v>
      </c>
      <c r="AM24" s="147">
        <v>299654.80006882612</v>
      </c>
      <c r="AN24" s="147">
        <v>299998.30621827429</v>
      </c>
      <c r="AO24" s="147">
        <v>300347.41586314584</v>
      </c>
      <c r="AP24" s="147">
        <v>300702.22041129763</v>
      </c>
      <c r="AQ24" s="147">
        <v>301062.81276169099</v>
      </c>
      <c r="AR24" s="147">
        <v>301429.28732871532</v>
      </c>
      <c r="AS24" s="147">
        <v>301801.74006690894</v>
      </c>
      <c r="AT24" s="147">
        <v>302180.26849608286</v>
      </c>
      <c r="AU24" s="147">
        <v>302564.97172685468</v>
      </c>
      <c r="AV24" s="147">
        <v>302955.95048659865</v>
      </c>
      <c r="AW24" s="147">
        <v>303353.30714581948</v>
      </c>
      <c r="AX24" s="147">
        <v>303757.14574495598</v>
      </c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9"/>
    </row>
    <row r="25" spans="1:74" s="150" customFormat="1" ht="15">
      <c r="A25" s="132" t="s">
        <v>82</v>
      </c>
      <c r="B25" s="155" t="s">
        <v>107</v>
      </c>
      <c r="C25" s="155" t="s">
        <v>107</v>
      </c>
      <c r="D25" s="134">
        <v>212692</v>
      </c>
      <c r="E25" s="153">
        <v>253086</v>
      </c>
      <c r="F25" s="136">
        <v>276190</v>
      </c>
      <c r="G25" s="137">
        <v>276190</v>
      </c>
      <c r="H25" s="138">
        <v>1</v>
      </c>
      <c r="I25" s="137">
        <v>325852</v>
      </c>
      <c r="J25" s="137">
        <v>325852</v>
      </c>
      <c r="K25" s="137">
        <v>318893.16605166066</v>
      </c>
      <c r="L25" s="138">
        <v>-2.135581168241818E-2</v>
      </c>
      <c r="M25" s="154" t="s">
        <v>27</v>
      </c>
      <c r="N25" s="140" t="s">
        <v>66</v>
      </c>
      <c r="O25" s="141">
        <v>327689.54431754898</v>
      </c>
      <c r="P25" s="142">
        <v>5.639199138102402E-3</v>
      </c>
      <c r="Q25" s="143">
        <v>318893.16605166066</v>
      </c>
      <c r="R25" s="144">
        <v>-2.135581168241818E-2</v>
      </c>
      <c r="S25" s="143">
        <v>310309.01131258853</v>
      </c>
      <c r="T25" s="144">
        <v>-4.7699534412590561E-2</v>
      </c>
      <c r="U25" s="143">
        <v>327689.54431754898</v>
      </c>
      <c r="V25" s="144">
        <v>5.639199138102402E-3</v>
      </c>
      <c r="W25" s="143">
        <v>346518.77081641037</v>
      </c>
      <c r="X25" s="144">
        <v>6.3423796129562948E-2</v>
      </c>
      <c r="Y25" s="145">
        <v>5.639199138102402E-3</v>
      </c>
      <c r="Z25" s="146">
        <v>9.7538935589771558E-3</v>
      </c>
      <c r="AA25" s="147">
        <v>-6464648.2287822869</v>
      </c>
      <c r="AB25" s="148">
        <v>3354.8671586715864</v>
      </c>
      <c r="AC25" s="147">
        <v>327689.54431754898</v>
      </c>
      <c r="AD25" s="147">
        <v>332449.722201392</v>
      </c>
      <c r="AE25" s="147">
        <v>347201.2499784602</v>
      </c>
      <c r="AF25" s="147">
        <v>352279.715478256</v>
      </c>
      <c r="AG25" s="147">
        <v>357441.02420584118</v>
      </c>
      <c r="AH25" s="147">
        <v>362686.52755375585</v>
      </c>
      <c r="AI25" s="147">
        <v>368017.59895933262</v>
      </c>
      <c r="AJ25" s="147">
        <v>373435.63426430617</v>
      </c>
      <c r="AK25" s="147">
        <v>378942.05208028801</v>
      </c>
      <c r="AL25" s="147">
        <v>384538.29416020383</v>
      </c>
      <c r="AM25" s="147">
        <v>390225.82577578956</v>
      </c>
      <c r="AN25" s="147">
        <v>396006.13610124512</v>
      </c>
      <c r="AO25" s="147">
        <v>401880.73860314745</v>
      </c>
      <c r="AP25" s="147">
        <v>407851.17143672326</v>
      </c>
      <c r="AQ25" s="147">
        <v>413918.99784858635</v>
      </c>
      <c r="AR25" s="147">
        <v>420085.80658604472</v>
      </c>
      <c r="AS25" s="147">
        <v>426353.21231308422</v>
      </c>
      <c r="AT25" s="147">
        <v>432722.85603313852</v>
      </c>
      <c r="AU25" s="147">
        <v>439196.4055187552</v>
      </c>
      <c r="AV25" s="147">
        <v>445775.55574827077</v>
      </c>
      <c r="AW25" s="147">
        <v>452462.02934960939</v>
      </c>
      <c r="AX25" s="147">
        <v>459257.57705132064</v>
      </c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9"/>
    </row>
    <row r="26" spans="1:74" s="150" customFormat="1" ht="15">
      <c r="A26" s="132" t="s">
        <v>82</v>
      </c>
      <c r="B26" s="155" t="s">
        <v>108</v>
      </c>
      <c r="C26" s="155" t="s">
        <v>108</v>
      </c>
      <c r="D26" s="134">
        <v>254723</v>
      </c>
      <c r="E26" s="153">
        <v>296189</v>
      </c>
      <c r="F26" s="136">
        <v>370913</v>
      </c>
      <c r="G26" s="137">
        <v>376381</v>
      </c>
      <c r="H26" s="138">
        <v>0.98547216782993829</v>
      </c>
      <c r="I26" s="137">
        <v>443932</v>
      </c>
      <c r="J26" s="137">
        <v>437482.63040908019</v>
      </c>
      <c r="K26" s="137">
        <v>471815.24405095796</v>
      </c>
      <c r="L26" s="138">
        <v>7.847766118114019E-2</v>
      </c>
      <c r="M26" s="154" t="s">
        <v>26</v>
      </c>
      <c r="N26" s="140" t="s">
        <v>27</v>
      </c>
      <c r="O26" s="141">
        <v>436959.07380073704</v>
      </c>
      <c r="P26" s="142">
        <v>-1.1967483322791184E-3</v>
      </c>
      <c r="Q26" s="143">
        <v>436959.07380073704</v>
      </c>
      <c r="R26" s="144">
        <v>-1.1967483322791184E-3</v>
      </c>
      <c r="S26" s="143">
        <v>471815.24405095796</v>
      </c>
      <c r="T26" s="144">
        <v>7.847766118114019E-2</v>
      </c>
      <c r="U26" s="143">
        <v>537475.15155750187</v>
      </c>
      <c r="V26" s="144">
        <v>0.22856340846017353</v>
      </c>
      <c r="W26" s="143">
        <v>561117.40264888864</v>
      </c>
      <c r="X26" s="144">
        <v>0.28260498508066556</v>
      </c>
      <c r="Y26" s="145">
        <v>1.1967483322791184E-3</v>
      </c>
      <c r="Z26" s="146">
        <v>2.0254046953379179E-2</v>
      </c>
      <c r="AA26" s="147">
        <v>-11854659.546125464</v>
      </c>
      <c r="AB26" s="148">
        <v>6078.9409594095951</v>
      </c>
      <c r="AC26" s="147">
        <v>537475.15155750187</v>
      </c>
      <c r="AD26" s="147">
        <v>552870.73380266689</v>
      </c>
      <c r="AE26" s="147">
        <v>600580.79100547358</v>
      </c>
      <c r="AF26" s="147">
        <v>617005.79342958797</v>
      </c>
      <c r="AG26" s="147">
        <v>633698.73116158578</v>
      </c>
      <c r="AH26" s="147">
        <v>650663.97493623826</v>
      </c>
      <c r="AI26" s="147">
        <v>667905.96678658109</v>
      </c>
      <c r="AJ26" s="147">
        <v>685429.22120697773</v>
      </c>
      <c r="AK26" s="147">
        <v>703238.32633515564</v>
      </c>
      <c r="AL26" s="147">
        <v>721337.94515352626</v>
      </c>
      <c r="AM26" s="147">
        <v>739732.81671009772</v>
      </c>
      <c r="AN26" s="147">
        <v>758427.75735930749</v>
      </c>
      <c r="AO26" s="147">
        <v>777427.66202309495</v>
      </c>
      <c r="AP26" s="147">
        <v>796737.50547254621</v>
      </c>
      <c r="AQ26" s="147">
        <v>816362.34363044356</v>
      </c>
      <c r="AR26" s="147">
        <v>836307.31489506597</v>
      </c>
      <c r="AS26" s="147">
        <v>856577.6414855828</v>
      </c>
      <c r="AT26" s="147">
        <v>877178.63080939418</v>
      </c>
      <c r="AU26" s="147">
        <v>898115.67685177713</v>
      </c>
      <c r="AV26" s="147">
        <v>919394.26158820046</v>
      </c>
      <c r="AW26" s="147">
        <v>941019.95641967678</v>
      </c>
      <c r="AX26" s="147">
        <v>962998.42363153049</v>
      </c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9"/>
    </row>
    <row r="27" spans="1:74" s="150" customFormat="1" ht="15">
      <c r="A27" s="132" t="s">
        <v>82</v>
      </c>
      <c r="B27" s="155" t="s">
        <v>109</v>
      </c>
      <c r="C27" s="155" t="s">
        <v>109</v>
      </c>
      <c r="D27" s="134">
        <v>349376</v>
      </c>
      <c r="E27" s="153">
        <v>336467</v>
      </c>
      <c r="F27" s="136">
        <v>340071</v>
      </c>
      <c r="G27" s="137">
        <v>340071</v>
      </c>
      <c r="H27" s="138">
        <v>1</v>
      </c>
      <c r="I27" s="137">
        <v>364637</v>
      </c>
      <c r="J27" s="137">
        <v>364637</v>
      </c>
      <c r="K27" s="137">
        <v>348104.42961047636</v>
      </c>
      <c r="L27" s="138">
        <v>-4.5339804763432245E-2</v>
      </c>
      <c r="M27" s="154" t="s">
        <v>66</v>
      </c>
      <c r="N27" s="140" t="s">
        <v>66</v>
      </c>
      <c r="O27" s="141">
        <v>348104.42961047636</v>
      </c>
      <c r="P27" s="142">
        <v>-4.5339804763432245E-2</v>
      </c>
      <c r="Q27" s="143">
        <v>331208.27306273056</v>
      </c>
      <c r="R27" s="144">
        <v>-9.1676727642201583E-2</v>
      </c>
      <c r="S27" s="143">
        <v>334857.43393648247</v>
      </c>
      <c r="T27" s="144">
        <v>-8.1669073800841763E-2</v>
      </c>
      <c r="U27" s="143">
        <v>348104.42961047636</v>
      </c>
      <c r="V27" s="144">
        <v>-4.5339804763432245E-2</v>
      </c>
      <c r="W27" s="143">
        <v>325525.06714555708</v>
      </c>
      <c r="X27" s="144">
        <v>-0.10726265533789192</v>
      </c>
      <c r="Y27" s="145">
        <v>4.5339804763432245E-2</v>
      </c>
      <c r="Z27" s="146">
        <v>-1.286633945347504E-3</v>
      </c>
      <c r="AA27" s="147">
        <v>1351344.5793357934</v>
      </c>
      <c r="AB27" s="148">
        <v>-504.51845018450189</v>
      </c>
      <c r="AC27" s="147">
        <v>348104.42961047636</v>
      </c>
      <c r="AD27" s="147">
        <v>348846.97120904678</v>
      </c>
      <c r="AE27" s="147">
        <v>351148.066521917</v>
      </c>
      <c r="AF27" s="147">
        <v>351940.25790268503</v>
      </c>
      <c r="AG27" s="147">
        <v>352745.37202379899</v>
      </c>
      <c r="AH27" s="147">
        <v>353563.61968939297</v>
      </c>
      <c r="AI27" s="147">
        <v>354395.21514237509</v>
      </c>
      <c r="AJ27" s="147">
        <v>355240.37612052279</v>
      </c>
      <c r="AK27" s="147">
        <v>356099.32391349366</v>
      </c>
      <c r="AL27" s="147">
        <v>356972.28342076589</v>
      </c>
      <c r="AM27" s="147">
        <v>357859.48321052396</v>
      </c>
      <c r="AN27" s="147">
        <v>358761.15557950514</v>
      </c>
      <c r="AO27" s="147">
        <v>359677.53661382198</v>
      </c>
      <c r="AP27" s="147">
        <v>360608.86625077692</v>
      </c>
      <c r="AQ27" s="147">
        <v>361555.38834168564</v>
      </c>
      <c r="AR27" s="147">
        <v>362517.35071572475</v>
      </c>
      <c r="AS27" s="147">
        <v>363495.00524482148</v>
      </c>
      <c r="AT27" s="147">
        <v>364488.60790960141</v>
      </c>
      <c r="AU27" s="147">
        <v>365498.41886641248</v>
      </c>
      <c r="AV27" s="147">
        <v>366524.70251544181</v>
      </c>
      <c r="AW27" s="147">
        <v>367567.72756994423</v>
      </c>
      <c r="AX27" s="147">
        <v>368627.76712659968</v>
      </c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9"/>
    </row>
    <row r="28" spans="1:74" s="150" customFormat="1" ht="15">
      <c r="A28" s="132" t="s">
        <v>82</v>
      </c>
      <c r="B28" s="155" t="s">
        <v>110</v>
      </c>
      <c r="C28" s="155" t="s">
        <v>110</v>
      </c>
      <c r="D28" s="134">
        <v>289505</v>
      </c>
      <c r="E28" s="153">
        <v>274082</v>
      </c>
      <c r="F28" s="136">
        <v>269420</v>
      </c>
      <c r="G28" s="137">
        <v>269420</v>
      </c>
      <c r="H28" s="138">
        <v>1</v>
      </c>
      <c r="I28" s="137">
        <v>281773</v>
      </c>
      <c r="J28" s="137">
        <v>281773</v>
      </c>
      <c r="K28" s="137">
        <v>257754.15341212679</v>
      </c>
      <c r="L28" s="138">
        <v>-8.5241831502213539E-2</v>
      </c>
      <c r="M28" s="154" t="s">
        <v>26</v>
      </c>
      <c r="N28" s="140" t="s">
        <v>66</v>
      </c>
      <c r="O28" s="141">
        <v>259028.25503772451</v>
      </c>
      <c r="P28" s="142">
        <v>-8.0720100798428174E-2</v>
      </c>
      <c r="Q28" s="143">
        <v>254926.44649446476</v>
      </c>
      <c r="R28" s="144">
        <v>-9.527723914475561E-2</v>
      </c>
      <c r="S28" s="143">
        <v>257754.15341212679</v>
      </c>
      <c r="T28" s="144">
        <v>-8.5241831502213539E-2</v>
      </c>
      <c r="U28" s="143">
        <v>259028.25503772451</v>
      </c>
      <c r="V28" s="144">
        <v>-8.0720100798428174E-2</v>
      </c>
      <c r="W28" s="143">
        <v>244476.46894002124</v>
      </c>
      <c r="X28" s="144">
        <v>-0.13236375046572513</v>
      </c>
      <c r="Y28" s="145">
        <v>8.0720100798428174E-2</v>
      </c>
      <c r="Z28" s="146">
        <v>-3.6819767879307519E-3</v>
      </c>
      <c r="AA28" s="147">
        <v>2410494.0959409596</v>
      </c>
      <c r="AB28" s="148">
        <v>-1066.0571955719558</v>
      </c>
      <c r="AC28" s="147">
        <v>259028.25503772451</v>
      </c>
      <c r="AD28" s="147">
        <v>258067.73091659931</v>
      </c>
      <c r="AE28" s="147">
        <v>255091.11983208184</v>
      </c>
      <c r="AF28" s="147">
        <v>254066.37060424042</v>
      </c>
      <c r="AG28" s="147">
        <v>253024.90500140097</v>
      </c>
      <c r="AH28" s="147">
        <v>251966.45033519695</v>
      </c>
      <c r="AI28" s="147">
        <v>250890.72946899201</v>
      </c>
      <c r="AJ28" s="147">
        <v>249797.46074531705</v>
      </c>
      <c r="AK28" s="147">
        <v>248686.35791212332</v>
      </c>
      <c r="AL28" s="147">
        <v>247557.13004783285</v>
      </c>
      <c r="AM28" s="147">
        <v>246409.48148516574</v>
      </c>
      <c r="AN28" s="147">
        <v>245243.11173372556</v>
      </c>
      <c r="AO28" s="147">
        <v>244057.71540132127</v>
      </c>
      <c r="AP28" s="147">
        <v>242852.98211400607</v>
      </c>
      <c r="AQ28" s="147">
        <v>241628.59643481174</v>
      </c>
      <c r="AR28" s="147">
        <v>240384.23778115737</v>
      </c>
      <c r="AS28" s="147">
        <v>239119.58034091073</v>
      </c>
      <c r="AT28" s="147">
        <v>237834.29298708052</v>
      </c>
      <c r="AU28" s="147">
        <v>236528.03919111684</v>
      </c>
      <c r="AV28" s="147">
        <v>235200.47693479754</v>
      </c>
      <c r="AW28" s="147">
        <v>233851.25862067699</v>
      </c>
      <c r="AX28" s="147">
        <v>232480.03098107444</v>
      </c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9"/>
    </row>
    <row r="29" spans="1:74" s="150" customFormat="1" ht="15">
      <c r="A29" s="158" t="s">
        <v>111</v>
      </c>
      <c r="B29" s="159" t="s">
        <v>112</v>
      </c>
      <c r="C29" s="160" t="s">
        <v>112</v>
      </c>
      <c r="D29" s="161">
        <v>20555</v>
      </c>
      <c r="E29" s="162">
        <v>22581</v>
      </c>
      <c r="F29" s="163">
        <v>23408</v>
      </c>
      <c r="G29" s="137">
        <v>35842</v>
      </c>
      <c r="H29" s="138">
        <v>0.65308855532615362</v>
      </c>
      <c r="I29" s="137">
        <v>36436</v>
      </c>
      <c r="J29" s="137">
        <v>23795.934601863733</v>
      </c>
      <c r="K29" s="137">
        <v>25405.343173431698</v>
      </c>
      <c r="L29" s="138">
        <v>6.7633761753653321E-2</v>
      </c>
      <c r="M29" s="154" t="s">
        <v>27</v>
      </c>
      <c r="N29" s="140" t="s">
        <v>26</v>
      </c>
      <c r="O29" s="141">
        <v>24557.971601533212</v>
      </c>
      <c r="P29" s="142">
        <v>3.2023831482953957E-2</v>
      </c>
      <c r="Q29" s="143">
        <v>25405.343173431698</v>
      </c>
      <c r="R29" s="144">
        <v>6.7633761753653321E-2</v>
      </c>
      <c r="S29" s="143">
        <v>24557.971601533212</v>
      </c>
      <c r="T29" s="144">
        <v>3.2023831482953957E-2</v>
      </c>
      <c r="U29" s="143">
        <v>25251.409069884565</v>
      </c>
      <c r="V29" s="144">
        <v>6.1164837287241314E-2</v>
      </c>
      <c r="W29" s="143">
        <v>25644.075527704004</v>
      </c>
      <c r="X29" s="144">
        <v>7.7666246640950343E-2</v>
      </c>
      <c r="Y29" s="145">
        <v>3.2023831482953957E-2</v>
      </c>
      <c r="Z29" s="146">
        <v>4.0045523840932518E-3</v>
      </c>
      <c r="AA29" s="147">
        <v>-280170.33948339487</v>
      </c>
      <c r="AB29" s="148">
        <v>151.12546125461256</v>
      </c>
      <c r="AC29" s="147">
        <v>25251.409069884565</v>
      </c>
      <c r="AD29" s="147">
        <v>25421.798054906125</v>
      </c>
      <c r="AE29" s="147">
        <v>25949.824088131347</v>
      </c>
      <c r="AF29" s="147">
        <v>26131.606072563962</v>
      </c>
      <c r="AG29" s="147">
        <v>26316.35340279738</v>
      </c>
      <c r="AH29" s="147">
        <v>26504.114451478359</v>
      </c>
      <c r="AI29" s="147">
        <v>26694.938380339685</v>
      </c>
      <c r="AJ29" s="147">
        <v>26888.875153072244</v>
      </c>
      <c r="AK29" s="147">
        <v>27085.975548407121</v>
      </c>
      <c r="AL29" s="147">
        <v>27286.291173411038</v>
      </c>
      <c r="AM29" s="147">
        <v>27489.874476998702</v>
      </c>
      <c r="AN29" s="147">
        <v>27696.778763665585</v>
      </c>
      <c r="AO29" s="147">
        <v>27907.058207444723</v>
      </c>
      <c r="AP29" s="147">
        <v>28120.767866091162</v>
      </c>
      <c r="AQ29" s="147">
        <v>28337.96369549779</v>
      </c>
      <c r="AR29" s="147">
        <v>28558.702564346386</v>
      </c>
      <c r="AS29" s="147">
        <v>28783.042268997604</v>
      </c>
      <c r="AT29" s="147">
        <v>29011.041548623856</v>
      </c>
      <c r="AU29" s="147">
        <v>29242.760100589097</v>
      </c>
      <c r="AV29" s="147">
        <v>29478.25859607946</v>
      </c>
      <c r="AW29" s="147">
        <v>29717.598695988869</v>
      </c>
      <c r="AX29" s="147">
        <v>29960.843067063804</v>
      </c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9"/>
    </row>
    <row r="30" spans="1:74" s="150" customFormat="1" ht="15">
      <c r="A30" s="158" t="s">
        <v>111</v>
      </c>
      <c r="B30" s="159" t="s">
        <v>113</v>
      </c>
      <c r="C30" s="160" t="s">
        <v>113</v>
      </c>
      <c r="D30" s="161">
        <v>30356</v>
      </c>
      <c r="E30" s="162">
        <v>34350</v>
      </c>
      <c r="F30" s="163">
        <v>36494</v>
      </c>
      <c r="G30" s="137">
        <v>47722</v>
      </c>
      <c r="H30" s="138">
        <v>0.76472067390302167</v>
      </c>
      <c r="I30" s="137">
        <v>52704</v>
      </c>
      <c r="J30" s="137">
        <v>40303.838397384854</v>
      </c>
      <c r="K30" s="137">
        <v>40655.173431734322</v>
      </c>
      <c r="L30" s="138">
        <v>8.7171606556526449E-3</v>
      </c>
      <c r="M30" s="154" t="s">
        <v>27</v>
      </c>
      <c r="N30" s="140" t="s">
        <v>27</v>
      </c>
      <c r="O30" s="141">
        <v>40655.173431734322</v>
      </c>
      <c r="P30" s="142">
        <v>8.7171606556526449E-3</v>
      </c>
      <c r="Q30" s="143">
        <v>40655.173431734322</v>
      </c>
      <c r="R30" s="144">
        <v>8.7171606556526449E-3</v>
      </c>
      <c r="S30" s="143">
        <v>39562.260914166742</v>
      </c>
      <c r="T30" s="144">
        <v>-1.8399673894738289E-2</v>
      </c>
      <c r="U30" s="143">
        <v>41273.043586254549</v>
      </c>
      <c r="V30" s="144">
        <v>2.4047466132470996E-2</v>
      </c>
      <c r="W30" s="143">
        <v>42382.467794074568</v>
      </c>
      <c r="X30" s="144">
        <v>5.1573981023717685E-2</v>
      </c>
      <c r="Y30" s="145">
        <v>8.7171606556526449E-3</v>
      </c>
      <c r="Z30" s="146">
        <v>6.7499953131477941E-3</v>
      </c>
      <c r="AA30" s="147">
        <v>-615405.48339483398</v>
      </c>
      <c r="AB30" s="148">
        <v>324.46125461254616</v>
      </c>
      <c r="AC30" s="147">
        <v>41273.043586254549</v>
      </c>
      <c r="AD30" s="147">
        <v>41714.777545004523</v>
      </c>
      <c r="AE30" s="147">
        <v>43083.686632350196</v>
      </c>
      <c r="AF30" s="147">
        <v>43554.95697651407</v>
      </c>
      <c r="AG30" s="147">
        <v>44033.914988630691</v>
      </c>
      <c r="AH30" s="147">
        <v>44520.68607493303</v>
      </c>
      <c r="AI30" s="147">
        <v>45015.397687361889</v>
      </c>
      <c r="AJ30" s="147">
        <v>45518.179356936998</v>
      </c>
      <c r="AK30" s="147">
        <v>46029.162727672163</v>
      </c>
      <c r="AL30" s="147">
        <v>46548.481591043841</v>
      </c>
      <c r="AM30" s="147">
        <v>47076.271921022031</v>
      </c>
      <c r="AN30" s="147">
        <v>47612.671909672332</v>
      </c>
      <c r="AO30" s="147">
        <v>48157.822003339163</v>
      </c>
      <c r="AP30" s="147">
        <v>48711.86493941892</v>
      </c>
      <c r="AQ30" s="147">
        <v>49274.945783733092</v>
      </c>
      <c r="AR30" s="147">
        <v>49847.211968511074</v>
      </c>
      <c r="AS30" s="147">
        <v>50428.813330992583</v>
      </c>
      <c r="AT30" s="147">
        <v>51019.90215265967</v>
      </c>
      <c r="AU30" s="147">
        <v>51620.633199108859</v>
      </c>
      <c r="AV30" s="147">
        <v>52231.16376057361</v>
      </c>
      <c r="AW30" s="147">
        <v>52851.653693107808</v>
      </c>
      <c r="AX30" s="147">
        <v>53482.265460441115</v>
      </c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9"/>
    </row>
    <row r="31" spans="1:74" s="150" customFormat="1" ht="15">
      <c r="A31" s="158" t="s">
        <v>111</v>
      </c>
      <c r="B31" s="159" t="s">
        <v>114</v>
      </c>
      <c r="C31" s="164" t="s">
        <v>115</v>
      </c>
      <c r="D31" s="161">
        <v>8545</v>
      </c>
      <c r="E31" s="162">
        <v>8584</v>
      </c>
      <c r="F31" s="163">
        <v>9660</v>
      </c>
      <c r="G31" s="137">
        <v>17072</v>
      </c>
      <c r="H31" s="138">
        <v>0.56583880037488288</v>
      </c>
      <c r="I31" s="137">
        <v>17460</v>
      </c>
      <c r="J31" s="137">
        <v>9879.5454545454559</v>
      </c>
      <c r="K31" s="137">
        <v>10482.378424600151</v>
      </c>
      <c r="L31" s="138">
        <v>6.1018290044643653E-2</v>
      </c>
      <c r="M31" s="154" t="s">
        <v>26</v>
      </c>
      <c r="N31" s="140" t="s">
        <v>27</v>
      </c>
      <c r="O31" s="141">
        <v>10160.033210332113</v>
      </c>
      <c r="P31" s="142">
        <v>2.8390755129084067E-2</v>
      </c>
      <c r="Q31" s="143">
        <v>10160.033210332113</v>
      </c>
      <c r="R31" s="144">
        <v>2.8390755129084067E-2</v>
      </c>
      <c r="S31" s="143">
        <v>10482.378424600151</v>
      </c>
      <c r="T31" s="144">
        <v>6.1018290044643653E-2</v>
      </c>
      <c r="U31" s="143">
        <v>12058.437919221025</v>
      </c>
      <c r="V31" s="144">
        <v>0.2205458211311826</v>
      </c>
      <c r="W31" s="143">
        <v>11176.46432329448</v>
      </c>
      <c r="X31" s="144">
        <v>0.13127313141236963</v>
      </c>
      <c r="Y31" s="145">
        <v>2.8390755129084067E-2</v>
      </c>
      <c r="Z31" s="146">
        <v>6.8317266542382571E-3</v>
      </c>
      <c r="AA31" s="147">
        <v>-106455.64575645755</v>
      </c>
      <c r="AB31" s="148">
        <v>57.67343173431734</v>
      </c>
      <c r="AC31" s="147">
        <v>12058.437919221025</v>
      </c>
      <c r="AD31" s="147">
        <v>12280.129029116073</v>
      </c>
      <c r="AE31" s="147">
        <v>12967.137507653359</v>
      </c>
      <c r="AF31" s="147">
        <v>13203.651915452017</v>
      </c>
      <c r="AG31" s="147">
        <v>13444.024499891148</v>
      </c>
      <c r="AH31" s="147">
        <v>13688.318198054068</v>
      </c>
      <c r="AI31" s="147">
        <v>13936.596973694679</v>
      </c>
      <c r="AJ31" s="147">
        <v>14188.925833985169</v>
      </c>
      <c r="AK31" s="147">
        <v>14445.370846536956</v>
      </c>
      <c r="AL31" s="147">
        <v>14705.999156699247</v>
      </c>
      <c r="AM31" s="147">
        <v>14970.879005139785</v>
      </c>
      <c r="AN31" s="147">
        <v>15240.079745712417</v>
      </c>
      <c r="AO31" s="147">
        <v>15513.671863616109</v>
      </c>
      <c r="AP31" s="147">
        <v>15791.726993850163</v>
      </c>
      <c r="AQ31" s="147">
        <v>16074.317939970522</v>
      </c>
      <c r="AR31" s="147">
        <v>16361.518693152007</v>
      </c>
      <c r="AS31" s="147">
        <v>16653.404451561575</v>
      </c>
      <c r="AT31" s="147">
        <v>16950.051640047484</v>
      </c>
      <c r="AU31" s="147">
        <v>17251.537930149781</v>
      </c>
      <c r="AV31" s="147">
        <v>17557.942260437121</v>
      </c>
      <c r="AW31" s="147">
        <v>17869.344857175369</v>
      </c>
      <c r="AX31" s="147">
        <v>18185.827255333315</v>
      </c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9"/>
    </row>
    <row r="32" spans="1:74" s="150" customFormat="1" ht="15">
      <c r="A32" s="158" t="s">
        <v>111</v>
      </c>
      <c r="B32" s="159" t="s">
        <v>116</v>
      </c>
      <c r="C32" s="165" t="s">
        <v>116</v>
      </c>
      <c r="D32" s="161">
        <v>8748</v>
      </c>
      <c r="E32" s="162">
        <v>8613</v>
      </c>
      <c r="F32" s="163">
        <v>9066</v>
      </c>
      <c r="G32" s="137">
        <v>12047</v>
      </c>
      <c r="H32" s="138">
        <v>0.75255250269776708</v>
      </c>
      <c r="I32" s="137">
        <v>12885</v>
      </c>
      <c r="J32" s="137">
        <v>9696.6389972607285</v>
      </c>
      <c r="K32" s="137">
        <v>10075.751280118129</v>
      </c>
      <c r="L32" s="138">
        <v>3.9097287520397428E-2</v>
      </c>
      <c r="M32" s="154" t="s">
        <v>66</v>
      </c>
      <c r="N32" s="166" t="s">
        <v>104</v>
      </c>
      <c r="O32" s="141">
        <v>9364.0217374320928</v>
      </c>
      <c r="P32" s="142">
        <v>-3.4302324745986601E-2</v>
      </c>
      <c r="Q32" s="143">
        <v>9154.1512915129133</v>
      </c>
      <c r="R32" s="144">
        <v>-5.5945952602862281E-2</v>
      </c>
      <c r="S32" s="143">
        <v>9294.7606494843985</v>
      </c>
      <c r="T32" s="144">
        <v>-4.1445118034182715E-2</v>
      </c>
      <c r="U32" s="143">
        <v>10075.751280118129</v>
      </c>
      <c r="V32" s="144">
        <v>3.9097287520397428E-2</v>
      </c>
      <c r="W32" s="143">
        <v>9364.0217374320928</v>
      </c>
      <c r="X32" s="144">
        <v>-3.4302324745986601E-2</v>
      </c>
      <c r="Y32" s="145">
        <v>3.4302324745986601E-2</v>
      </c>
      <c r="Z32" s="146">
        <v>2.0788008720986628E-3</v>
      </c>
      <c r="AA32" s="147">
        <v>-23559.719557195567</v>
      </c>
      <c r="AB32" s="148">
        <v>16.178966789667893</v>
      </c>
      <c r="AC32" s="147">
        <v>10075.751280118129</v>
      </c>
      <c r="AD32" s="147">
        <v>10169.084061514353</v>
      </c>
      <c r="AE32" s="147">
        <v>10458.317184913438</v>
      </c>
      <c r="AF32" s="147">
        <v>10557.8906298324</v>
      </c>
      <c r="AG32" s="147">
        <v>10659.088381459704</v>
      </c>
      <c r="AH32" s="147">
        <v>10761.936936541344</v>
      </c>
      <c r="AI32" s="147">
        <v>10866.463224055478</v>
      </c>
      <c r="AJ32" s="147">
        <v>10972.694612263236</v>
      </c>
      <c r="AK32" s="147">
        <v>11080.658915874781</v>
      </c>
      <c r="AL32" s="147">
        <v>11190.384403331554</v>
      </c>
      <c r="AM32" s="147">
        <v>11301.899804208428</v>
      </c>
      <c r="AN32" s="147">
        <v>11415.234316735761</v>
      </c>
      <c r="AO32" s="147">
        <v>11530.417615444283</v>
      </c>
      <c r="AP32" s="147">
        <v>11647.479858934996</v>
      </c>
      <c r="AQ32" s="147">
        <v>11766.451697775628</v>
      </c>
      <c r="AR32" s="147">
        <v>11887.364282525843</v>
      </c>
      <c r="AS32" s="147">
        <v>12010.249271893408</v>
      </c>
      <c r="AT32" s="147">
        <v>12135.138841023669</v>
      </c>
      <c r="AU32" s="147">
        <v>12262.065689923591</v>
      </c>
      <c r="AV32" s="147">
        <v>12391.063052024227</v>
      </c>
      <c r="AW32" s="147">
        <v>12522.16470288136</v>
      </c>
      <c r="AX32" s="147">
        <v>12655.404969020397</v>
      </c>
      <c r="AY32" s="167">
        <v>9204.3607662749509</v>
      </c>
      <c r="AZ32" s="168">
        <f>(($BF32-$AY32)/($BF$4-$AY$4))*(AZ$4-$BF$4)+$BF32</f>
        <v>9364.0217374320928</v>
      </c>
      <c r="BA32" s="168">
        <f t="shared" ref="BA32:BE33" si="0">(($BF32-$AY32)/($BF$4-$AY$4))*(BA$4-$BF$4)+$BF32</f>
        <v>9443.8522230106628</v>
      </c>
      <c r="BB32" s="168">
        <f t="shared" si="0"/>
        <v>9683.3436797463746</v>
      </c>
      <c r="BC32" s="168">
        <f t="shared" si="0"/>
        <v>9763.1741653249446</v>
      </c>
      <c r="BD32" s="168">
        <f t="shared" si="0"/>
        <v>9843.0046509035146</v>
      </c>
      <c r="BE32" s="168">
        <f t="shared" si="0"/>
        <v>9922.8351364820865</v>
      </c>
      <c r="BF32" s="167">
        <v>10002.665622060656</v>
      </c>
      <c r="BG32" s="169">
        <f>(($BU32-$BF32)/($BU$4-$BF$4))*(BG$4-$BU$4)+$BU32</f>
        <v>10119.695813786017</v>
      </c>
      <c r="BH32" s="169">
        <f t="shared" ref="BH32:BT33" si="1">(($BU32-$BF32)/($BU$4-$BF$4))*(BH$4-$BU$4)+$BU32</f>
        <v>10236.726005511377</v>
      </c>
      <c r="BI32" s="169">
        <f t="shared" si="1"/>
        <v>10353.756197236737</v>
      </c>
      <c r="BJ32" s="169">
        <f t="shared" si="1"/>
        <v>10470.786388962097</v>
      </c>
      <c r="BK32" s="169">
        <f t="shared" si="1"/>
        <v>10587.816580687459</v>
      </c>
      <c r="BL32" s="169">
        <f t="shared" si="1"/>
        <v>10704.846772412819</v>
      </c>
      <c r="BM32" s="169">
        <f t="shared" si="1"/>
        <v>10821.876964138179</v>
      </c>
      <c r="BN32" s="169">
        <f t="shared" si="1"/>
        <v>10938.907155863539</v>
      </c>
      <c r="BO32" s="169">
        <f t="shared" si="1"/>
        <v>11055.937347588899</v>
      </c>
      <c r="BP32" s="169">
        <f t="shared" si="1"/>
        <v>11172.967539314259</v>
      </c>
      <c r="BQ32" s="169">
        <f t="shared" si="1"/>
        <v>11289.997731039619</v>
      </c>
      <c r="BR32" s="169">
        <f t="shared" si="1"/>
        <v>11407.027922764981</v>
      </c>
      <c r="BS32" s="169">
        <f t="shared" si="1"/>
        <v>11524.058114490341</v>
      </c>
      <c r="BT32" s="169">
        <f t="shared" si="1"/>
        <v>11641.088306215701</v>
      </c>
      <c r="BU32" s="167">
        <v>11758.118497941061</v>
      </c>
      <c r="BV32" s="149"/>
    </row>
    <row r="33" spans="1:74" s="150" customFormat="1" ht="15">
      <c r="A33" s="158" t="s">
        <v>111</v>
      </c>
      <c r="B33" s="159" t="s">
        <v>117</v>
      </c>
      <c r="C33" s="165" t="s">
        <v>117</v>
      </c>
      <c r="D33" s="161">
        <v>7009</v>
      </c>
      <c r="E33" s="162">
        <v>7493</v>
      </c>
      <c r="F33" s="163">
        <v>8260</v>
      </c>
      <c r="G33" s="137">
        <v>10654</v>
      </c>
      <c r="H33" s="138">
        <v>0.7752956636005256</v>
      </c>
      <c r="I33" s="137">
        <v>12650</v>
      </c>
      <c r="J33" s="137">
        <v>9807.4901445466494</v>
      </c>
      <c r="K33" s="137">
        <v>9175.0256126231852</v>
      </c>
      <c r="L33" s="138">
        <v>-6.4487908996282761E-2</v>
      </c>
      <c r="M33" s="154" t="s">
        <v>26</v>
      </c>
      <c r="N33" s="166" t="s">
        <v>104</v>
      </c>
      <c r="O33" s="141">
        <v>9709.9620175698165</v>
      </c>
      <c r="P33" s="142">
        <v>-9.9442492971621999E-3</v>
      </c>
      <c r="Q33" s="143">
        <v>8985.0996309963084</v>
      </c>
      <c r="R33" s="144">
        <v>-8.3853310217968713E-2</v>
      </c>
      <c r="S33" s="143">
        <v>9175.0256126231852</v>
      </c>
      <c r="T33" s="144">
        <v>-6.4487908996282761E-2</v>
      </c>
      <c r="U33" s="143">
        <v>9969.6671784781865</v>
      </c>
      <c r="V33" s="144">
        <v>1.6536038429945776E-2</v>
      </c>
      <c r="W33" s="143">
        <v>9709.9620175698165</v>
      </c>
      <c r="X33" s="144">
        <v>-9.9442492971621999E-3</v>
      </c>
      <c r="Y33" s="145">
        <v>9.9442492971621999E-3</v>
      </c>
      <c r="Z33" s="146">
        <v>8.7934873719452966E-3</v>
      </c>
      <c r="AA33" s="147">
        <v>-123496.93726937271</v>
      </c>
      <c r="AB33" s="148">
        <v>65.520295202952028</v>
      </c>
      <c r="AC33" s="147">
        <v>9969.6671784781865</v>
      </c>
      <c r="AD33" s="147">
        <v>10127.69420569891</v>
      </c>
      <c r="AE33" s="147">
        <v>10617.411215957367</v>
      </c>
      <c r="AF33" s="147">
        <v>10786.004664639124</v>
      </c>
      <c r="AG33" s="147">
        <v>10957.348319160323</v>
      </c>
      <c r="AH33" s="147">
        <v>11131.487042664936</v>
      </c>
      <c r="AI33" s="147">
        <v>11308.46643013366</v>
      </c>
      <c r="AJ33" s="147">
        <v>11488.332820322143</v>
      </c>
      <c r="AK33" s="147">
        <v>11671.13330789391</v>
      </c>
      <c r="AL33" s="147">
        <v>11856.915755751226</v>
      </c>
      <c r="AM33" s="147">
        <v>12045.728807567117</v>
      </c>
      <c r="AN33" s="147">
        <v>12237.621900521772</v>
      </c>
      <c r="AO33" s="147">
        <v>12432.645278246797</v>
      </c>
      <c r="AP33" s="147">
        <v>12630.850003980551</v>
      </c>
      <c r="AQ33" s="147">
        <v>12832.287973938088</v>
      </c>
      <c r="AR33" s="147">
        <v>13037.011930899251</v>
      </c>
      <c r="AS33" s="147">
        <v>13245.075478018327</v>
      </c>
      <c r="AT33" s="147">
        <v>13456.533092859128</v>
      </c>
      <c r="AU33" s="147">
        <v>13671.440141658815</v>
      </c>
      <c r="AV33" s="147">
        <v>13889.852893824602</v>
      </c>
      <c r="AW33" s="147">
        <v>14111.828536666828</v>
      </c>
      <c r="AX33" s="147">
        <v>14337.425190372356</v>
      </c>
      <c r="AY33" s="167">
        <v>9418.4318591332831</v>
      </c>
      <c r="AZ33" s="168">
        <f>(($BF33-$AY33)/($BF$4-$AY$4))*(AZ$4-$BF$4)+$BF33</f>
        <v>9709.9620175698165</v>
      </c>
      <c r="BA33" s="168">
        <f t="shared" si="0"/>
        <v>9855.7270967880813</v>
      </c>
      <c r="BB33" s="168">
        <f t="shared" si="0"/>
        <v>10293.022334442881</v>
      </c>
      <c r="BC33" s="168">
        <f t="shared" si="0"/>
        <v>10438.787413661148</v>
      </c>
      <c r="BD33" s="168">
        <f t="shared" si="0"/>
        <v>10584.552492879413</v>
      </c>
      <c r="BE33" s="168">
        <f t="shared" si="0"/>
        <v>10730.31757209768</v>
      </c>
      <c r="BF33" s="167">
        <v>10876.082651315946</v>
      </c>
      <c r="BG33" s="169">
        <f>(($BU33-$BF33)/($BU$4-$BF$4))*(BG$4-$BU$4)+$BU33</f>
        <v>11057.781854453136</v>
      </c>
      <c r="BH33" s="169">
        <f t="shared" si="1"/>
        <v>11239.481057590328</v>
      </c>
      <c r="BI33" s="169">
        <f t="shared" si="1"/>
        <v>11421.18026072752</v>
      </c>
      <c r="BJ33" s="169">
        <f t="shared" si="1"/>
        <v>11602.87946386471</v>
      </c>
      <c r="BK33" s="169">
        <f t="shared" si="1"/>
        <v>11784.578667001902</v>
      </c>
      <c r="BL33" s="169">
        <f t="shared" si="1"/>
        <v>11966.277870139093</v>
      </c>
      <c r="BM33" s="169">
        <f t="shared" si="1"/>
        <v>12147.977073276285</v>
      </c>
      <c r="BN33" s="169">
        <f t="shared" si="1"/>
        <v>12329.676276413475</v>
      </c>
      <c r="BO33" s="169">
        <f t="shared" si="1"/>
        <v>12511.375479550667</v>
      </c>
      <c r="BP33" s="169">
        <f t="shared" si="1"/>
        <v>12693.074682687857</v>
      </c>
      <c r="BQ33" s="169">
        <f t="shared" si="1"/>
        <v>12874.773885825049</v>
      </c>
      <c r="BR33" s="169">
        <f t="shared" si="1"/>
        <v>13056.473088962239</v>
      </c>
      <c r="BS33" s="169">
        <f t="shared" si="1"/>
        <v>13238.172292099431</v>
      </c>
      <c r="BT33" s="169">
        <f t="shared" si="1"/>
        <v>13419.871495236621</v>
      </c>
      <c r="BU33" s="167">
        <v>13601.570698373813</v>
      </c>
      <c r="BV33" s="149"/>
    </row>
    <row r="34" spans="1:74" s="150" customFormat="1" ht="15">
      <c r="A34" s="158" t="s">
        <v>111</v>
      </c>
      <c r="B34" s="159" t="s">
        <v>118</v>
      </c>
      <c r="C34" s="164" t="s">
        <v>118</v>
      </c>
      <c r="D34" s="161">
        <v>20999</v>
      </c>
      <c r="E34" s="162">
        <v>24336</v>
      </c>
      <c r="F34" s="163">
        <v>26400</v>
      </c>
      <c r="G34" s="137">
        <v>29044</v>
      </c>
      <c r="H34" s="138">
        <v>0.90896570720286463</v>
      </c>
      <c r="I34" s="137">
        <v>32229</v>
      </c>
      <c r="J34" s="137">
        <v>29295.055777441125</v>
      </c>
      <c r="K34" s="137">
        <v>29995.405904058949</v>
      </c>
      <c r="L34" s="138">
        <v>2.3906768839714321E-2</v>
      </c>
      <c r="M34" s="154" t="s">
        <v>27</v>
      </c>
      <c r="N34" s="140" t="s">
        <v>26</v>
      </c>
      <c r="O34" s="141">
        <v>29426.835878695281</v>
      </c>
      <c r="P34" s="142">
        <v>4.4983734543913023E-3</v>
      </c>
      <c r="Q34" s="143">
        <v>29995.405904058949</v>
      </c>
      <c r="R34" s="144">
        <v>2.3906768839714321E-2</v>
      </c>
      <c r="S34" s="143">
        <v>29426.835878695281</v>
      </c>
      <c r="T34" s="144">
        <v>4.4983734543913023E-3</v>
      </c>
      <c r="U34" s="143">
        <v>31000.721064379366</v>
      </c>
      <c r="V34" s="144">
        <v>5.8223657257949313E-2</v>
      </c>
      <c r="W34" s="143">
        <v>32189.508578613455</v>
      </c>
      <c r="X34" s="144">
        <v>9.8803457592363531E-2</v>
      </c>
      <c r="Y34" s="145">
        <v>4.4983734543913023E-3</v>
      </c>
      <c r="Z34" s="146">
        <v>9.0862846571864164E-3</v>
      </c>
      <c r="AA34" s="147">
        <v>-546629.00369003695</v>
      </c>
      <c r="AB34" s="148">
        <v>285.1752767527675</v>
      </c>
      <c r="AC34" s="147">
        <v>31000.721064379366</v>
      </c>
      <c r="AD34" s="147">
        <v>31425.972412728239</v>
      </c>
      <c r="AE34" s="147">
        <v>32743.80280278487</v>
      </c>
      <c r="AF34" s="147">
        <v>33197.488432614286</v>
      </c>
      <c r="AG34" s="147">
        <v>33658.574877114617</v>
      </c>
      <c r="AH34" s="147">
        <v>34127.182863181784</v>
      </c>
      <c r="AI34" s="147">
        <v>34603.435087087193</v>
      </c>
      <c r="AJ34" s="147">
        <v>35087.45624660352</v>
      </c>
      <c r="AK34" s="147">
        <v>35579.373073654533</v>
      </c>
      <c r="AL34" s="147">
        <v>36079.314367497434</v>
      </c>
      <c r="AM34" s="147">
        <v>36587.411028446571</v>
      </c>
      <c r="AN34" s="147">
        <v>37103.796092147248</v>
      </c>
      <c r="AO34" s="147">
        <v>37628.604764408599</v>
      </c>
      <c r="AP34" s="147">
        <v>38161.974456604781</v>
      </c>
      <c r="AQ34" s="147">
        <v>38704.044821653493</v>
      </c>
      <c r="AR34" s="147">
        <v>39254.957790581553</v>
      </c>
      <c r="AS34" s="147">
        <v>39814.857609686886</v>
      </c>
      <c r="AT34" s="147">
        <v>40383.890878306695</v>
      </c>
      <c r="AU34" s="147">
        <v>40962.206587201814</v>
      </c>
      <c r="AV34" s="147">
        <v>41549.956157567125</v>
      </c>
      <c r="AW34" s="147">
        <v>42147.293480678396</v>
      </c>
      <c r="AX34" s="147">
        <v>42754.374958185843</v>
      </c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9"/>
    </row>
    <row r="35" spans="1:74" s="150" customFormat="1" ht="15">
      <c r="A35" s="158" t="s">
        <v>111</v>
      </c>
      <c r="B35" s="159" t="s">
        <v>119</v>
      </c>
      <c r="C35" s="165" t="s">
        <v>119</v>
      </c>
      <c r="D35" s="161">
        <v>14903</v>
      </c>
      <c r="E35" s="162">
        <v>16444</v>
      </c>
      <c r="F35" s="163">
        <v>17364</v>
      </c>
      <c r="G35" s="137">
        <v>20337</v>
      </c>
      <c r="H35" s="138">
        <v>0.85381324679156223</v>
      </c>
      <c r="I35" s="137">
        <v>21881</v>
      </c>
      <c r="J35" s="137">
        <v>18682.287653046173</v>
      </c>
      <c r="K35" s="137">
        <v>19009.900369003677</v>
      </c>
      <c r="L35" s="138">
        <v>1.753600640572972E-2</v>
      </c>
      <c r="M35" s="154" t="s">
        <v>27</v>
      </c>
      <c r="N35" s="140" t="s">
        <v>26</v>
      </c>
      <c r="O35" s="141">
        <v>18671.226866284553</v>
      </c>
      <c r="P35" s="142">
        <v>-5.9204670043799812E-4</v>
      </c>
      <c r="Q35" s="143">
        <v>19009.900369003677</v>
      </c>
      <c r="R35" s="144">
        <v>1.753600640572972E-2</v>
      </c>
      <c r="S35" s="143">
        <v>18671.226866284553</v>
      </c>
      <c r="T35" s="144">
        <v>-5.9204670043799812E-4</v>
      </c>
      <c r="U35" s="143">
        <v>19414.70900156445</v>
      </c>
      <c r="V35" s="144">
        <v>3.9204050495328602E-2</v>
      </c>
      <c r="W35" s="143">
        <v>19612.447502606858</v>
      </c>
      <c r="X35" s="144">
        <v>4.978832714895165E-2</v>
      </c>
      <c r="Y35" s="145">
        <v>5.9204670043799812E-4</v>
      </c>
      <c r="Z35" s="146">
        <v>6.0670446788362309E-3</v>
      </c>
      <c r="AA35" s="147">
        <v>-243809.06273062728</v>
      </c>
      <c r="AB35" s="148">
        <v>129.97970479704796</v>
      </c>
      <c r="AC35" s="147">
        <v>19414.70900156445</v>
      </c>
      <c r="AD35" s="147">
        <v>19604.259021177309</v>
      </c>
      <c r="AE35" s="147">
        <v>20191.664040001011</v>
      </c>
      <c r="AF35" s="147">
        <v>20393.88825484745</v>
      </c>
      <c r="AG35" s="147">
        <v>20599.411282434812</v>
      </c>
      <c r="AH35" s="147">
        <v>20808.286935139167</v>
      </c>
      <c r="AI35" s="147">
        <v>21020.569903159023</v>
      </c>
      <c r="AJ35" s="147">
        <v>21236.315768834906</v>
      </c>
      <c r="AK35" s="147">
        <v>21455.581021202604</v>
      </c>
      <c r="AL35" s="147">
        <v>21678.423070783734</v>
      </c>
      <c r="AM35" s="147">
        <v>21904.900264617656</v>
      </c>
      <c r="AN35" s="147">
        <v>22135.0719015385</v>
      </c>
      <c r="AO35" s="147">
        <v>22368.998247701504</v>
      </c>
      <c r="AP35" s="147">
        <v>22606.740552362589</v>
      </c>
      <c r="AQ35" s="147">
        <v>22848.361063915316</v>
      </c>
      <c r="AR35" s="147">
        <v>23093.923046189451</v>
      </c>
      <c r="AS35" s="147">
        <v>23343.49079501547</v>
      </c>
      <c r="AT35" s="147">
        <v>23597.129655059183</v>
      </c>
      <c r="AU35" s="147">
        <v>23854.906036931043</v>
      </c>
      <c r="AV35" s="147">
        <v>24116.887434574488</v>
      </c>
      <c r="AW35" s="147">
        <v>24383.142442938046</v>
      </c>
      <c r="AX35" s="147">
        <v>24653.740775935552</v>
      </c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9"/>
    </row>
    <row r="36" spans="1:74" s="150" customFormat="1" ht="15">
      <c r="A36" s="158" t="s">
        <v>111</v>
      </c>
      <c r="B36" s="159" t="s">
        <v>120</v>
      </c>
      <c r="C36" s="165" t="s">
        <v>120</v>
      </c>
      <c r="D36" s="161">
        <v>48795</v>
      </c>
      <c r="E36" s="162">
        <v>53054</v>
      </c>
      <c r="F36" s="163">
        <v>55728</v>
      </c>
      <c r="G36" s="137">
        <v>65280</v>
      </c>
      <c r="H36" s="138">
        <v>0.85367647058823526</v>
      </c>
      <c r="I36" s="137">
        <v>74893</v>
      </c>
      <c r="J36" s="137">
        <v>63934.391911764702</v>
      </c>
      <c r="K36" s="137">
        <v>60334.099630996236</v>
      </c>
      <c r="L36" s="138">
        <v>-5.6312294105138272E-2</v>
      </c>
      <c r="M36" s="154" t="s">
        <v>27</v>
      </c>
      <c r="N36" s="166" t="s">
        <v>104</v>
      </c>
      <c r="O36" s="141">
        <v>61775.879758162919</v>
      </c>
      <c r="P36" s="142">
        <v>-3.3761362062858513E-2</v>
      </c>
      <c r="Q36" s="143">
        <v>60334.099630996236</v>
      </c>
      <c r="R36" s="144">
        <v>-5.6312294105138272E-2</v>
      </c>
      <c r="S36" s="143">
        <v>59504.145441546651</v>
      </c>
      <c r="T36" s="144">
        <v>-6.9293635831121914E-2</v>
      </c>
      <c r="U36" s="143">
        <v>61688.430293677535</v>
      </c>
      <c r="V36" s="144">
        <v>-3.512916211335515E-2</v>
      </c>
      <c r="W36" s="143">
        <v>61775.879758162919</v>
      </c>
      <c r="X36" s="144">
        <v>-3.3761362062858513E-2</v>
      </c>
      <c r="Y36" s="145">
        <v>3.3761362062858513E-2</v>
      </c>
      <c r="Z36" s="146">
        <v>5.4785583618079947E-3</v>
      </c>
      <c r="AA36" s="147">
        <v>-679758.93726937263</v>
      </c>
      <c r="AB36" s="148">
        <v>366.02029520295196</v>
      </c>
      <c r="AC36" s="147">
        <v>61688.430293677535</v>
      </c>
      <c r="AD36" s="147">
        <v>62239.361546334912</v>
      </c>
      <c r="AE36" s="147">
        <v>63946.667003220326</v>
      </c>
      <c r="AF36" s="147">
        <v>64534.436079850086</v>
      </c>
      <c r="AG36" s="147">
        <v>65131.793227424656</v>
      </c>
      <c r="AH36" s="147">
        <v>65738.894852784928</v>
      </c>
      <c r="AI36" s="147">
        <v>66355.899914181762</v>
      </c>
      <c r="AJ36" s="147">
        <v>66982.969962896241</v>
      </c>
      <c r="AK36" s="147">
        <v>67620.269185538869</v>
      </c>
      <c r="AL36" s="147">
        <v>68267.96444703883</v>
      </c>
      <c r="AM36" s="147">
        <v>68926.225334334347</v>
      </c>
      <c r="AN36" s="147">
        <v>69595.224200776036</v>
      </c>
      <c r="AO36" s="147">
        <v>70275.136211254154</v>
      </c>
      <c r="AP36" s="147">
        <v>70966.139388062584</v>
      </c>
      <c r="AQ36" s="147">
        <v>71668.41465751038</v>
      </c>
      <c r="AR36" s="147">
        <v>72382.145897294118</v>
      </c>
      <c r="AS36" s="147">
        <v>73107.519984642786</v>
      </c>
      <c r="AT36" s="147">
        <v>73844.726845248108</v>
      </c>
      <c r="AU36" s="147">
        <v>74593.959502993035</v>
      </c>
      <c r="AV36" s="147">
        <v>75355.41413049151</v>
      </c>
      <c r="AW36" s="147">
        <v>76129.290100452534</v>
      </c>
      <c r="AX36" s="147">
        <v>76915.790037882238</v>
      </c>
      <c r="AY36" s="167">
        <v>60215.609506003188</v>
      </c>
      <c r="AZ36" s="168">
        <f>(($BF36-$AY36)/($BF$4-$AY$4))*(AZ$4-$BF$4)+$BF36</f>
        <v>61775.879758162919</v>
      </c>
      <c r="BA36" s="168">
        <f t="shared" ref="BA36:BE37" si="2">(($BF36-$AY36)/($BF$4-$AY$4))*(BA$4-$BF$4)+$BF36</f>
        <v>62556.014884242781</v>
      </c>
      <c r="BB36" s="168">
        <f t="shared" si="2"/>
        <v>64896.420262482374</v>
      </c>
      <c r="BC36" s="168">
        <f t="shared" si="2"/>
        <v>65676.555388562236</v>
      </c>
      <c r="BD36" s="168">
        <f t="shared" si="2"/>
        <v>66456.690514642105</v>
      </c>
      <c r="BE36" s="168">
        <f t="shared" si="2"/>
        <v>67236.82564072196</v>
      </c>
      <c r="BF36" s="167">
        <v>68016.960766801829</v>
      </c>
      <c r="BG36" s="169">
        <f>(($BU36-$BF36)/($BU$4-$BF$4))*(BG$4-$BU$4)+$BU36</f>
        <v>69041.538078376441</v>
      </c>
      <c r="BH36" s="169">
        <f t="shared" ref="BH36:BT37" si="3">(($BU36-$BF36)/($BU$4-$BF$4))*(BH$4-$BU$4)+$BU36</f>
        <v>70066.115389951054</v>
      </c>
      <c r="BI36" s="169">
        <f t="shared" si="3"/>
        <v>71090.692701525666</v>
      </c>
      <c r="BJ36" s="169">
        <f t="shared" si="3"/>
        <v>72115.270013100293</v>
      </c>
      <c r="BK36" s="169">
        <f t="shared" si="3"/>
        <v>73139.847324674905</v>
      </c>
      <c r="BL36" s="169">
        <f t="shared" si="3"/>
        <v>74164.424636249518</v>
      </c>
      <c r="BM36" s="169">
        <f t="shared" si="3"/>
        <v>75189.00194782413</v>
      </c>
      <c r="BN36" s="169">
        <f t="shared" si="3"/>
        <v>76213.579259398743</v>
      </c>
      <c r="BO36" s="169">
        <f t="shared" si="3"/>
        <v>77238.156570973355</v>
      </c>
      <c r="BP36" s="169">
        <f t="shared" si="3"/>
        <v>78262.733882547967</v>
      </c>
      <c r="BQ36" s="169">
        <f t="shared" si="3"/>
        <v>79287.31119412258</v>
      </c>
      <c r="BR36" s="169">
        <f t="shared" si="3"/>
        <v>80311.888505697207</v>
      </c>
      <c r="BS36" s="169">
        <f t="shared" si="3"/>
        <v>81336.465817271819</v>
      </c>
      <c r="BT36" s="169">
        <f t="shared" si="3"/>
        <v>82361.043128846432</v>
      </c>
      <c r="BU36" s="167">
        <v>83385.620440421044</v>
      </c>
      <c r="BV36" s="149"/>
    </row>
    <row r="37" spans="1:74" s="150" customFormat="1" ht="15">
      <c r="A37" s="158" t="s">
        <v>111</v>
      </c>
      <c r="B37" s="159" t="s">
        <v>13</v>
      </c>
      <c r="C37" s="165" t="s">
        <v>13</v>
      </c>
      <c r="D37" s="161">
        <v>260096</v>
      </c>
      <c r="E37" s="162">
        <v>274509</v>
      </c>
      <c r="F37" s="163">
        <v>291327</v>
      </c>
      <c r="G37" s="137">
        <v>301572</v>
      </c>
      <c r="H37" s="138">
        <v>0.96602801321077558</v>
      </c>
      <c r="I37" s="137">
        <v>333018</v>
      </c>
      <c r="J37" s="137">
        <v>321704.71690342604</v>
      </c>
      <c r="K37" s="137">
        <v>313077.27422963514</v>
      </c>
      <c r="L37" s="138">
        <v>-2.6817892994652093E-2</v>
      </c>
      <c r="M37" s="154" t="s">
        <v>26</v>
      </c>
      <c r="N37" s="166" t="s">
        <v>104</v>
      </c>
      <c r="O37" s="141">
        <v>320701.68214675435</v>
      </c>
      <c r="P37" s="142">
        <v>-3.1178739507659037E-3</v>
      </c>
      <c r="Q37" s="143">
        <v>310297.37269372633</v>
      </c>
      <c r="R37" s="144">
        <v>-3.5459051764926808E-2</v>
      </c>
      <c r="S37" s="143">
        <v>313077.27422963514</v>
      </c>
      <c r="T37" s="144">
        <v>-2.6817892994652093E-2</v>
      </c>
      <c r="U37" s="143">
        <v>328814.85216120747</v>
      </c>
      <c r="V37" s="144">
        <v>2.2101433035300655E-2</v>
      </c>
      <c r="W37" s="143">
        <v>320701.68214675435</v>
      </c>
      <c r="X37" s="144">
        <v>-3.1178739507659037E-3</v>
      </c>
      <c r="Y37" s="145">
        <v>3.1178739507659037E-3</v>
      </c>
      <c r="Z37" s="146">
        <v>6.0183458214670971E-3</v>
      </c>
      <c r="AA37" s="147">
        <v>-3005786.3579335804</v>
      </c>
      <c r="AB37" s="148">
        <v>1640.0018450184505</v>
      </c>
      <c r="AC37" s="147">
        <v>328814.85216120747</v>
      </c>
      <c r="AD37" s="147">
        <v>332279.90893278265</v>
      </c>
      <c r="AE37" s="147">
        <v>343017.92807036632</v>
      </c>
      <c r="AF37" s="147">
        <v>346714.6746413309</v>
      </c>
      <c r="AG37" s="147">
        <v>350471.7249434659</v>
      </c>
      <c r="AH37" s="147">
        <v>354290.06269040279</v>
      </c>
      <c r="AI37" s="147">
        <v>358170.68764274829</v>
      </c>
      <c r="AJ37" s="147">
        <v>362114.6158698537</v>
      </c>
      <c r="AK37" s="147">
        <v>366122.88001585362</v>
      </c>
      <c r="AL37" s="147">
        <v>370196.52957004454</v>
      </c>
      <c r="AM37" s="147">
        <v>374336.63114167372</v>
      </c>
      <c r="AN37" s="147">
        <v>378544.26873921143</v>
      </c>
      <c r="AO37" s="147">
        <v>382820.54405417823</v>
      </c>
      <c r="AP37" s="147">
        <v>387166.57674960227</v>
      </c>
      <c r="AQ37" s="147">
        <v>391583.50475318241</v>
      </c>
      <c r="AR37" s="147">
        <v>396072.48455523286</v>
      </c>
      <c r="AS37" s="147">
        <v>400634.69151148933</v>
      </c>
      <c r="AT37" s="147">
        <v>405271.32015085372</v>
      </c>
      <c r="AU37" s="147">
        <v>409983.58448815899</v>
      </c>
      <c r="AV37" s="147">
        <v>414772.71834203677</v>
      </c>
      <c r="AW37" s="147">
        <v>419639.97565796966</v>
      </c>
      <c r="AX37" s="147">
        <v>424586.63083661319</v>
      </c>
      <c r="AY37" s="167">
        <v>313000.91073161201</v>
      </c>
      <c r="AZ37" s="168">
        <f>(($BF37-$AY37)/($BF$4-$AY$4))*(AZ$4-$BF$4)+$BF37</f>
        <v>320701.68214675435</v>
      </c>
      <c r="BA37" s="168">
        <f t="shared" si="2"/>
        <v>324552.06785432552</v>
      </c>
      <c r="BB37" s="168">
        <f t="shared" si="2"/>
        <v>336103.22497703898</v>
      </c>
      <c r="BC37" s="168">
        <f t="shared" si="2"/>
        <v>339953.61068461015</v>
      </c>
      <c r="BD37" s="168">
        <f t="shared" si="2"/>
        <v>343803.99639218132</v>
      </c>
      <c r="BE37" s="168">
        <f t="shared" si="2"/>
        <v>347654.38209975249</v>
      </c>
      <c r="BF37" s="167">
        <v>351504.76780732366</v>
      </c>
      <c r="BG37" s="169">
        <f>(($BU37-$BF37)/($BU$4-$BF$4))*(BG$4-$BU$4)+$BU37</f>
        <v>356595.22832642146</v>
      </c>
      <c r="BH37" s="169">
        <f t="shared" si="3"/>
        <v>361685.68884551921</v>
      </c>
      <c r="BI37" s="169">
        <f t="shared" si="3"/>
        <v>366776.14936461695</v>
      </c>
      <c r="BJ37" s="169">
        <f t="shared" si="3"/>
        <v>371866.60988371476</v>
      </c>
      <c r="BK37" s="169">
        <f t="shared" si="3"/>
        <v>376957.0704028125</v>
      </c>
      <c r="BL37" s="169">
        <f t="shared" si="3"/>
        <v>382047.53092191031</v>
      </c>
      <c r="BM37" s="169">
        <f t="shared" si="3"/>
        <v>387137.99144100805</v>
      </c>
      <c r="BN37" s="169">
        <f t="shared" si="3"/>
        <v>392228.45196010586</v>
      </c>
      <c r="BO37" s="169">
        <f t="shared" si="3"/>
        <v>397318.9124792036</v>
      </c>
      <c r="BP37" s="169">
        <f t="shared" si="3"/>
        <v>402409.37299830141</v>
      </c>
      <c r="BQ37" s="169">
        <f t="shared" si="3"/>
        <v>407499.83351739915</v>
      </c>
      <c r="BR37" s="169">
        <f t="shared" si="3"/>
        <v>412590.29403649695</v>
      </c>
      <c r="BS37" s="169">
        <f t="shared" si="3"/>
        <v>417680.7545555947</v>
      </c>
      <c r="BT37" s="169">
        <f t="shared" si="3"/>
        <v>422771.2150746925</v>
      </c>
      <c r="BU37" s="167">
        <v>427861.67559379025</v>
      </c>
      <c r="BV37" s="149"/>
    </row>
    <row r="38" spans="1:74" s="150" customFormat="1" ht="15">
      <c r="A38" s="158" t="s">
        <v>111</v>
      </c>
      <c r="B38" s="159" t="s">
        <v>121</v>
      </c>
      <c r="C38" s="165" t="s">
        <v>121</v>
      </c>
      <c r="D38" s="161">
        <v>31807</v>
      </c>
      <c r="E38" s="162">
        <v>35150</v>
      </c>
      <c r="F38" s="163">
        <v>38376</v>
      </c>
      <c r="G38" s="137">
        <v>43823</v>
      </c>
      <c r="H38" s="138">
        <v>0.87570453871254816</v>
      </c>
      <c r="I38" s="137">
        <v>51266</v>
      </c>
      <c r="J38" s="137">
        <v>44893.868881637492</v>
      </c>
      <c r="K38" s="137">
        <v>43142.523094946497</v>
      </c>
      <c r="L38" s="138">
        <v>-3.9010801036293175E-2</v>
      </c>
      <c r="M38" s="154" t="s">
        <v>26</v>
      </c>
      <c r="N38" s="140" t="s">
        <v>66</v>
      </c>
      <c r="O38" s="141">
        <v>45566.855694616199</v>
      </c>
      <c r="P38" s="142">
        <v>1.4990617421569041E-2</v>
      </c>
      <c r="Q38" s="143">
        <v>42482.21771217708</v>
      </c>
      <c r="R38" s="144">
        <v>-5.3718942687223548E-2</v>
      </c>
      <c r="S38" s="143">
        <v>43142.523094946497</v>
      </c>
      <c r="T38" s="144">
        <v>-3.9010801036293175E-2</v>
      </c>
      <c r="U38" s="143">
        <v>45566.855694616199</v>
      </c>
      <c r="V38" s="144">
        <v>1.4990617421569041E-2</v>
      </c>
      <c r="W38" s="143">
        <v>45588.357643228977</v>
      </c>
      <c r="X38" s="144">
        <v>1.5469568092304486E-2</v>
      </c>
      <c r="Y38" s="145">
        <v>1.4990617421569041E-2</v>
      </c>
      <c r="Z38" s="146">
        <v>9.8041539845421521E-3</v>
      </c>
      <c r="AA38" s="147">
        <v>-656171.0110701106</v>
      </c>
      <c r="AB38" s="148">
        <v>345.52583025830251</v>
      </c>
      <c r="AC38" s="147">
        <v>45566.855694616199</v>
      </c>
      <c r="AD38" s="147">
        <v>46231.516959041313</v>
      </c>
      <c r="AE38" s="147">
        <v>48291.265427220947</v>
      </c>
      <c r="AF38" s="147">
        <v>49000.36903275855</v>
      </c>
      <c r="AG38" s="147">
        <v>49721.039996885549</v>
      </c>
      <c r="AH38" s="147">
        <v>50453.467013868431</v>
      </c>
      <c r="AI38" s="147">
        <v>51197.841856077168</v>
      </c>
      <c r="AJ38" s="147">
        <v>51954.359424197173</v>
      </c>
      <c r="AK38" s="147">
        <v>52723.217798260419</v>
      </c>
      <c r="AL38" s="147">
        <v>53504.618289509075</v>
      </c>
      <c r="AM38" s="147">
        <v>54298.765493104976</v>
      </c>
      <c r="AN38" s="147">
        <v>55105.867341699137</v>
      </c>
      <c r="AO38" s="147">
        <v>55926.135159875063</v>
      </c>
      <c r="AP38" s="147">
        <v>56759.78371948014</v>
      </c>
      <c r="AQ38" s="147">
        <v>57607.03129585956</v>
      </c>
      <c r="AR38" s="147">
        <v>58468.099725007793</v>
      </c>
      <c r="AS38" s="147">
        <v>59343.214461652067</v>
      </c>
      <c r="AT38" s="147">
        <v>60232.604638283621</v>
      </c>
      <c r="AU38" s="147">
        <v>61136.503125151678</v>
      </c>
      <c r="AV38" s="147">
        <v>62055.146591236204</v>
      </c>
      <c r="AW38" s="147">
        <v>62988.77556621535</v>
      </c>
      <c r="AX38" s="147">
        <v>63937.634503443565</v>
      </c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9"/>
    </row>
    <row r="39" spans="1:74" s="150" customFormat="1" ht="15">
      <c r="A39" s="158" t="s">
        <v>111</v>
      </c>
      <c r="B39" s="159" t="s">
        <v>122</v>
      </c>
      <c r="C39" s="165" t="s">
        <v>122</v>
      </c>
      <c r="D39" s="161">
        <v>23690</v>
      </c>
      <c r="E39" s="162">
        <v>24901</v>
      </c>
      <c r="F39" s="163">
        <v>28537</v>
      </c>
      <c r="G39" s="137">
        <v>32761</v>
      </c>
      <c r="H39" s="138">
        <v>0.87106620677024515</v>
      </c>
      <c r="I39" s="137">
        <v>37921</v>
      </c>
      <c r="J39" s="137">
        <v>33031.701626934468</v>
      </c>
      <c r="K39" s="137">
        <v>32205.317978246214</v>
      </c>
      <c r="L39" s="138">
        <v>-2.5017895172993798E-2</v>
      </c>
      <c r="M39" s="154" t="s">
        <v>26</v>
      </c>
      <c r="N39" s="140" t="s">
        <v>26</v>
      </c>
      <c r="O39" s="141">
        <v>32205.317978246214</v>
      </c>
      <c r="P39" s="142">
        <v>-2.5017895172993798E-2</v>
      </c>
      <c r="Q39" s="143">
        <v>31098.833948339394</v>
      </c>
      <c r="R39" s="144">
        <v>-5.851553457418579E-2</v>
      </c>
      <c r="S39" s="143">
        <v>32205.317978246214</v>
      </c>
      <c r="T39" s="144">
        <v>-2.5017895172993798E-2</v>
      </c>
      <c r="U39" s="143">
        <v>36641.758619226443</v>
      </c>
      <c r="V39" s="144">
        <v>0.1092906757594434</v>
      </c>
      <c r="W39" s="143">
        <v>35083.333316065808</v>
      </c>
      <c r="X39" s="144">
        <v>6.2110989990852072E-2</v>
      </c>
      <c r="Y39" s="145">
        <v>2.5017895172993798E-2</v>
      </c>
      <c r="Z39" s="146">
        <v>1.0128457643893252E-2</v>
      </c>
      <c r="AA39" s="147">
        <v>-479724.7712177122</v>
      </c>
      <c r="AB39" s="148">
        <v>252.63284132841326</v>
      </c>
      <c r="AC39" s="147">
        <v>36641.758619226443</v>
      </c>
      <c r="AD39" s="147">
        <v>37390.893261957288</v>
      </c>
      <c r="AE39" s="147">
        <v>39712.420053743132</v>
      </c>
      <c r="AF39" s="147">
        <v>40511.645320244934</v>
      </c>
      <c r="AG39" s="147">
        <v>41323.908068405421</v>
      </c>
      <c r="AH39" s="147">
        <v>42149.420974093489</v>
      </c>
      <c r="AI39" s="147">
        <v>42988.400182484991</v>
      </c>
      <c r="AJ39" s="147">
        <v>43841.065364656206</v>
      </c>
      <c r="AK39" s="147">
        <v>44707.639775100717</v>
      </c>
      <c r="AL39" s="147">
        <v>45588.35031018444</v>
      </c>
      <c r="AM39" s="147">
        <v>46483.427567554136</v>
      </c>
      <c r="AN39" s="147">
        <v>47393.105906515208</v>
      </c>
      <c r="AO39" s="147">
        <v>48317.623509394223</v>
      </c>
      <c r="AP39" s="147">
        <v>49257.22244390261</v>
      </c>
      <c r="AQ39" s="147">
        <v>50212.148726517487</v>
      </c>
      <c r="AR39" s="147">
        <v>51182.652386896574</v>
      </c>
      <c r="AS39" s="147">
        <v>52168.987533343752</v>
      </c>
      <c r="AT39" s="147">
        <v>53171.412419342611</v>
      </c>
      <c r="AU39" s="147">
        <v>54190.189511175282</v>
      </c>
      <c r="AV39" s="147">
        <v>55225.585556644401</v>
      </c>
      <c r="AW39" s="147">
        <v>56277.871654916016</v>
      </c>
      <c r="AX39" s="147">
        <v>57347.323327501799</v>
      </c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9"/>
    </row>
    <row r="40" spans="1:74" s="150" customFormat="1" ht="15">
      <c r="A40" s="158" t="s">
        <v>111</v>
      </c>
      <c r="B40" s="159" t="s">
        <v>123</v>
      </c>
      <c r="C40" s="165" t="s">
        <v>123</v>
      </c>
      <c r="D40" s="161">
        <v>13245</v>
      </c>
      <c r="E40" s="162">
        <v>13868</v>
      </c>
      <c r="F40" s="163">
        <v>14279</v>
      </c>
      <c r="G40" s="137">
        <v>20239</v>
      </c>
      <c r="H40" s="138">
        <v>0.70551904738376403</v>
      </c>
      <c r="I40" s="137">
        <v>21411</v>
      </c>
      <c r="J40" s="137">
        <v>15105.868323533772</v>
      </c>
      <c r="K40" s="137">
        <v>14961.416974169741</v>
      </c>
      <c r="L40" s="138">
        <v>-9.5625982082068184E-3</v>
      </c>
      <c r="M40" s="170" t="s">
        <v>27</v>
      </c>
      <c r="N40" s="140" t="s">
        <v>66</v>
      </c>
      <c r="O40" s="141">
        <v>15195.131956133682</v>
      </c>
      <c r="P40" s="142">
        <v>5.9092023502445024E-3</v>
      </c>
      <c r="Q40" s="143">
        <v>14961.416974169741</v>
      </c>
      <c r="R40" s="144">
        <v>-9.5625982082068184E-3</v>
      </c>
      <c r="S40" s="143">
        <v>14846.009737791184</v>
      </c>
      <c r="T40" s="144">
        <v>-1.7202492447107365E-2</v>
      </c>
      <c r="U40" s="143">
        <v>15195.131956133682</v>
      </c>
      <c r="V40" s="144">
        <v>5.9092023502445024E-3</v>
      </c>
      <c r="W40" s="143">
        <v>14944.370758118697</v>
      </c>
      <c r="X40" s="144">
        <v>-1.0691048138124826E-2</v>
      </c>
      <c r="Y40" s="145">
        <v>5.9092023502445024E-3</v>
      </c>
      <c r="Z40" s="146">
        <v>3.2503708839117795E-3</v>
      </c>
      <c r="AA40" s="147">
        <v>-95371.885608856071</v>
      </c>
      <c r="AB40" s="148">
        <v>54.566420664206632</v>
      </c>
      <c r="AC40" s="147">
        <v>15195.131956133682</v>
      </c>
      <c r="AD40" s="147">
        <v>15279.811367069429</v>
      </c>
      <c r="AE40" s="147">
        <v>15542.228174391757</v>
      </c>
      <c r="AF40" s="147">
        <v>15632.569644285111</v>
      </c>
      <c r="AG40" s="147">
        <v>15724.384822913813</v>
      </c>
      <c r="AH40" s="147">
        <v>15817.697750371955</v>
      </c>
      <c r="AI40" s="147">
        <v>15912.532858911258</v>
      </c>
      <c r="AJ40" s="147">
        <v>16008.914979338204</v>
      </c>
      <c r="AK40" s="147">
        <v>16106.869347515511</v>
      </c>
      <c r="AL40" s="147">
        <v>16206.421610969694</v>
      </c>
      <c r="AM40" s="147">
        <v>16307.597835606366</v>
      </c>
      <c r="AN40" s="147">
        <v>16410.424512535137</v>
      </c>
      <c r="AO40" s="147">
        <v>16514.928565005783</v>
      </c>
      <c r="AP40" s="147">
        <v>16621.137355457638</v>
      </c>
      <c r="AQ40" s="147">
        <v>16729.078692683906</v>
      </c>
      <c r="AR40" s="147">
        <v>16838.780839112897</v>
      </c>
      <c r="AS40" s="147">
        <v>16950.272518207999</v>
      </c>
      <c r="AT40" s="147">
        <v>17063.5829219884</v>
      </c>
      <c r="AU40" s="147">
        <v>17178.741718672456</v>
      </c>
      <c r="AV40" s="147">
        <v>17295.77906044578</v>
      </c>
      <c r="AW40" s="147">
        <v>17414.725591356022</v>
      </c>
      <c r="AX40" s="147">
        <v>17535.612455336428</v>
      </c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9"/>
    </row>
    <row r="41" spans="1:74" s="150" customFormat="1" ht="15">
      <c r="A41" s="158" t="s">
        <v>111</v>
      </c>
      <c r="B41" s="159" t="s">
        <v>124</v>
      </c>
      <c r="C41" s="171" t="s">
        <v>124</v>
      </c>
      <c r="D41" s="172">
        <v>73033</v>
      </c>
      <c r="E41" s="162">
        <v>78988</v>
      </c>
      <c r="F41" s="163">
        <v>87698</v>
      </c>
      <c r="G41" s="137">
        <v>88470</v>
      </c>
      <c r="H41" s="138">
        <v>0.9912738781507856</v>
      </c>
      <c r="I41" s="137">
        <v>100917</v>
      </c>
      <c r="J41" s="137">
        <v>100036.38596134284</v>
      </c>
      <c r="K41" s="137">
        <v>98562.093167040963</v>
      </c>
      <c r="L41" s="138">
        <v>-1.4737565538119113E-2</v>
      </c>
      <c r="M41" s="154" t="s">
        <v>26</v>
      </c>
      <c r="N41" s="140" t="s">
        <v>26</v>
      </c>
      <c r="O41" s="141">
        <v>98562.093167040963</v>
      </c>
      <c r="P41" s="142">
        <v>-1.4737565538119113E-2</v>
      </c>
      <c r="Q41" s="143">
        <v>96302.889298892813</v>
      </c>
      <c r="R41" s="144">
        <v>-3.7321386879097806E-2</v>
      </c>
      <c r="S41" s="143">
        <v>98562.093167040963</v>
      </c>
      <c r="T41" s="144">
        <v>-1.4737565538119113E-2</v>
      </c>
      <c r="U41" s="143">
        <v>107112.86456915908</v>
      </c>
      <c r="V41" s="144">
        <v>7.0739046995868193E-2</v>
      </c>
      <c r="W41" s="143">
        <v>105094.55082039484</v>
      </c>
      <c r="X41" s="144">
        <v>5.0563250665679238E-2</v>
      </c>
      <c r="Y41" s="145">
        <v>1.4737565538119113E-2</v>
      </c>
      <c r="Z41" s="146">
        <v>9.7798164570530588E-3</v>
      </c>
      <c r="AA41" s="147">
        <v>-1457783.1808118082</v>
      </c>
      <c r="AB41" s="148">
        <v>768.58856088560879</v>
      </c>
      <c r="AC41" s="147">
        <v>107112.86456915908</v>
      </c>
      <c r="AD41" s="147">
        <v>108907.40877658087</v>
      </c>
      <c r="AE41" s="147">
        <v>114468.60194392262</v>
      </c>
      <c r="AF41" s="147">
        <v>116383.13771708838</v>
      </c>
      <c r="AG41" s="147">
        <v>118328.9046413122</v>
      </c>
      <c r="AH41" s="147">
        <v>120306.41217941539</v>
      </c>
      <c r="AI41" s="147">
        <v>122316.17810490768</v>
      </c>
      <c r="AJ41" s="147">
        <v>124358.72863755655</v>
      </c>
      <c r="AK41" s="147">
        <v>126434.59858116812</v>
      </c>
      <c r="AL41" s="147">
        <v>128544.33146361563</v>
      </c>
      <c r="AM41" s="147">
        <v>130688.47967915195</v>
      </c>
      <c r="AN41" s="147">
        <v>132867.60463304387</v>
      </c>
      <c r="AO41" s="147">
        <v>135082.27688856533</v>
      </c>
      <c r="AP41" s="147">
        <v>137333.07631638937</v>
      </c>
      <c r="AQ41" s="147">
        <v>139620.59224641562</v>
      </c>
      <c r="AR41" s="147">
        <v>141945.42362207623</v>
      </c>
      <c r="AS41" s="147">
        <v>144308.17915715731</v>
      </c>
      <c r="AT41" s="147">
        <v>146709.47749517992</v>
      </c>
      <c r="AU41" s="147">
        <v>149149.94737137971</v>
      </c>
      <c r="AV41" s="147">
        <v>151630.22777733026</v>
      </c>
      <c r="AW41" s="147">
        <v>154150.96812825039</v>
      </c>
      <c r="AX41" s="147">
        <v>156712.82843304204</v>
      </c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9"/>
    </row>
    <row r="42" spans="1:74" s="150" customFormat="1" ht="15">
      <c r="A42" s="158" t="s">
        <v>111</v>
      </c>
      <c r="B42" s="159" t="s">
        <v>125</v>
      </c>
      <c r="C42" s="173" t="s">
        <v>126</v>
      </c>
      <c r="D42" s="161">
        <v>23113</v>
      </c>
      <c r="E42" s="162">
        <v>24094</v>
      </c>
      <c r="F42" s="163">
        <v>26242</v>
      </c>
      <c r="G42" s="137">
        <v>34190</v>
      </c>
      <c r="H42" s="138">
        <v>0.76753436677391051</v>
      </c>
      <c r="I42" s="137">
        <v>36900</v>
      </c>
      <c r="J42" s="137">
        <v>28322.018133957299</v>
      </c>
      <c r="K42" s="137">
        <v>28482.122730176405</v>
      </c>
      <c r="L42" s="138">
        <v>5.6530080399583849E-3</v>
      </c>
      <c r="M42" s="154" t="s">
        <v>26</v>
      </c>
      <c r="N42" s="140" t="s">
        <v>26</v>
      </c>
      <c r="O42" s="141">
        <v>28482.122730176405</v>
      </c>
      <c r="P42" s="142">
        <v>5.6530080399583849E-3</v>
      </c>
      <c r="Q42" s="143">
        <v>27970.055350553535</v>
      </c>
      <c r="R42" s="144">
        <v>-1.242717880269173E-2</v>
      </c>
      <c r="S42" s="143">
        <v>28482.122730176405</v>
      </c>
      <c r="T42" s="144">
        <v>5.6530080399583849E-3</v>
      </c>
      <c r="U42" s="143">
        <v>31029.959712348296</v>
      </c>
      <c r="V42" s="144">
        <v>9.5612592491925996E-2</v>
      </c>
      <c r="W42" s="143">
        <v>29739.866216394039</v>
      </c>
      <c r="X42" s="144">
        <v>5.0061689662460163E-2</v>
      </c>
      <c r="Y42" s="145">
        <v>5.6530080399583849E-3</v>
      </c>
      <c r="Z42" s="146">
        <v>6.8496386282238531E-3</v>
      </c>
      <c r="AA42" s="147">
        <v>-302537.40959409589</v>
      </c>
      <c r="AB42" s="148">
        <v>163.45571955719555</v>
      </c>
      <c r="AC42" s="147">
        <v>31029.959712348296</v>
      </c>
      <c r="AD42" s="147">
        <v>31472.517801618327</v>
      </c>
      <c r="AE42" s="147">
        <v>32843.980823828453</v>
      </c>
      <c r="AF42" s="147">
        <v>33316.130403709045</v>
      </c>
      <c r="AG42" s="147">
        <v>33795.981994206493</v>
      </c>
      <c r="AH42" s="147">
        <v>34283.66123552058</v>
      </c>
      <c r="AI42" s="147">
        <v>34779.295817375627</v>
      </c>
      <c r="AJ42" s="147">
        <v>35283.015512453669</v>
      </c>
      <c r="AK42" s="147">
        <v>35794.952210373034</v>
      </c>
      <c r="AL42" s="147">
        <v>36315.239952221164</v>
      </c>
      <c r="AM42" s="147">
        <v>36844.014965650793</v>
      </c>
      <c r="AN42" s="147">
        <v>37381.41570054859</v>
      </c>
      <c r="AO42" s="147">
        <v>37927.582865285702</v>
      </c>
      <c r="AP42" s="147">
        <v>38482.659463559627</v>
      </c>
      <c r="AQ42" s="147">
        <v>39046.790831837054</v>
      </c>
      <c r="AR42" s="147">
        <v>39620.124677407541</v>
      </c>
      <c r="AS42" s="147">
        <v>40202.81111705787</v>
      </c>
      <c r="AT42" s="147">
        <v>40795.002716377319</v>
      </c>
      <c r="AU42" s="147">
        <v>41396.854529704215</v>
      </c>
      <c r="AV42" s="147">
        <v>42008.524140723923</v>
      </c>
      <c r="AW42" s="147">
        <v>42630.171703729262</v>
      </c>
      <c r="AX42" s="147">
        <v>43261.959985553869</v>
      </c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9"/>
    </row>
    <row r="43" spans="1:74" s="150" customFormat="1" ht="15">
      <c r="A43" s="158" t="s">
        <v>111</v>
      </c>
      <c r="B43" s="159" t="s">
        <v>127</v>
      </c>
      <c r="C43" s="160" t="s">
        <v>127</v>
      </c>
      <c r="D43" s="161">
        <v>31224</v>
      </c>
      <c r="E43" s="162">
        <v>32830</v>
      </c>
      <c r="F43" s="163">
        <v>33222</v>
      </c>
      <c r="G43" s="137">
        <v>41336</v>
      </c>
      <c r="H43" s="138">
        <v>0.80370621250241925</v>
      </c>
      <c r="I43" s="137">
        <v>44643</v>
      </c>
      <c r="J43" s="137">
        <v>35879.856444745499</v>
      </c>
      <c r="K43" s="137">
        <v>34690.523985239852</v>
      </c>
      <c r="L43" s="138">
        <v>-3.3147637068648872E-2</v>
      </c>
      <c r="M43" s="170" t="s">
        <v>27</v>
      </c>
      <c r="N43" s="140" t="s">
        <v>27</v>
      </c>
      <c r="O43" s="141">
        <v>34690.523985239852</v>
      </c>
      <c r="P43" s="142">
        <v>-3.3147637068648872E-2</v>
      </c>
      <c r="Q43" s="143">
        <v>34690.523985239852</v>
      </c>
      <c r="R43" s="144">
        <v>-3.3147637068648872E-2</v>
      </c>
      <c r="S43" s="143">
        <v>33751.957235816415</v>
      </c>
      <c r="T43" s="144">
        <v>-5.9306235302418853E-2</v>
      </c>
      <c r="U43" s="143">
        <v>34095.780357188327</v>
      </c>
      <c r="V43" s="144">
        <v>-4.9723612754823177E-2</v>
      </c>
      <c r="W43" s="143">
        <v>33999.422605827407</v>
      </c>
      <c r="X43" s="144">
        <v>-5.2409179557725838E-2</v>
      </c>
      <c r="Y43" s="145">
        <v>3.3147637068648872E-2</v>
      </c>
      <c r="Z43" s="146">
        <v>1.3197117825740623E-3</v>
      </c>
      <c r="AA43" s="147">
        <v>-180007.07749077497</v>
      </c>
      <c r="AB43" s="148">
        <v>106.18081180811811</v>
      </c>
      <c r="AC43" s="147">
        <v>34095.780357188327</v>
      </c>
      <c r="AD43" s="147">
        <v>34176.545148153811</v>
      </c>
      <c r="AE43" s="147">
        <v>34426.830764869999</v>
      </c>
      <c r="AF43" s="147">
        <v>34512.995865108911</v>
      </c>
      <c r="AG43" s="147">
        <v>34600.566546428745</v>
      </c>
      <c r="AH43" s="147">
        <v>34689.565737581041</v>
      </c>
      <c r="AI43" s="147">
        <v>34780.016741346015</v>
      </c>
      <c r="AJ43" s="147">
        <v>34871.943240634006</v>
      </c>
      <c r="AK43" s="147">
        <v>34965.369304686319</v>
      </c>
      <c r="AL43" s="147">
        <v>35060.319395377417</v>
      </c>
      <c r="AM43" s="147">
        <v>35156.818373619695</v>
      </c>
      <c r="AN43" s="147">
        <v>35254.891505872925</v>
      </c>
      <c r="AO43" s="147">
        <v>35354.564470759775</v>
      </c>
      <c r="AP43" s="147">
        <v>35455.863365789279</v>
      </c>
      <c r="AQ43" s="147">
        <v>35558.814714190004</v>
      </c>
      <c r="AR43" s="147">
        <v>35663.445471854633</v>
      </c>
      <c r="AS43" s="147">
        <v>35769.7830343979</v>
      </c>
      <c r="AT43" s="147">
        <v>35877.855244329563</v>
      </c>
      <c r="AU43" s="147">
        <v>35987.69039834453</v>
      </c>
      <c r="AV43" s="147">
        <v>36099.317254731737</v>
      </c>
      <c r="AW43" s="147">
        <v>36212.765040904036</v>
      </c>
      <c r="AX43" s="147">
        <v>36328.063461050799</v>
      </c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9"/>
    </row>
    <row r="44" spans="1:74" s="150" customFormat="1" ht="15">
      <c r="A44" s="158" t="s">
        <v>111</v>
      </c>
      <c r="B44" s="159" t="s">
        <v>128</v>
      </c>
      <c r="C44" s="173" t="s">
        <v>129</v>
      </c>
      <c r="D44" s="161">
        <v>12957</v>
      </c>
      <c r="E44" s="162">
        <v>16732</v>
      </c>
      <c r="F44" s="163">
        <v>19877</v>
      </c>
      <c r="G44" s="137">
        <v>26367</v>
      </c>
      <c r="H44" s="138">
        <v>0.75385899040467252</v>
      </c>
      <c r="I44" s="137">
        <v>32933</v>
      </c>
      <c r="J44" s="137">
        <v>24826.838130997079</v>
      </c>
      <c r="K44" s="137">
        <v>25008.528970659558</v>
      </c>
      <c r="L44" s="138">
        <v>7.31832377138808E-3</v>
      </c>
      <c r="M44" s="154" t="s">
        <v>26</v>
      </c>
      <c r="N44" s="140" t="s">
        <v>26</v>
      </c>
      <c r="O44" s="141">
        <v>25008.528970659558</v>
      </c>
      <c r="P44" s="142">
        <v>7.31832377138808E-3</v>
      </c>
      <c r="Q44" s="143">
        <v>24297.055350553477</v>
      </c>
      <c r="R44" s="144">
        <v>-2.1339116066582453E-2</v>
      </c>
      <c r="S44" s="143">
        <v>25008.528970659558</v>
      </c>
      <c r="T44" s="144">
        <v>7.31832377138808E-3</v>
      </c>
      <c r="U44" s="143">
        <v>26887.304141217595</v>
      </c>
      <c r="V44" s="144">
        <v>8.2993492741548991E-2</v>
      </c>
      <c r="W44" s="143">
        <v>30086.130469559033</v>
      </c>
      <c r="X44" s="144">
        <v>0.21183899096661696</v>
      </c>
      <c r="Y44" s="145">
        <v>7.31832377138808E-3</v>
      </c>
      <c r="Z44" s="146">
        <v>1.9322105017146374E-2</v>
      </c>
      <c r="AA44" s="147">
        <v>-712632.40959409601</v>
      </c>
      <c r="AB44" s="148">
        <v>364.45571955719561</v>
      </c>
      <c r="AC44" s="147">
        <v>26887.304141217595</v>
      </c>
      <c r="AD44" s="147">
        <v>27535.276762611575</v>
      </c>
      <c r="AE44" s="147">
        <v>29543.308049786065</v>
      </c>
      <c r="AF44" s="147">
        <v>30234.607132060031</v>
      </c>
      <c r="AG44" s="147">
        <v>30937.183133975523</v>
      </c>
      <c r="AH44" s="147">
        <v>31651.220011970312</v>
      </c>
      <c r="AI44" s="147">
        <v>32376.904723299034</v>
      </c>
      <c r="AJ44" s="147">
        <v>33114.42727498454</v>
      </c>
      <c r="AK44" s="147">
        <v>33863.980773567586</v>
      </c>
      <c r="AL44" s="147">
        <v>34625.761475668325</v>
      </c>
      <c r="AM44" s="147">
        <v>35399.968839372319</v>
      </c>
      <c r="AN44" s="147">
        <v>36186.805576454979</v>
      </c>
      <c r="AO44" s="147">
        <v>36986.477705457866</v>
      </c>
      <c r="AP44" s="147">
        <v>37799.194605630822</v>
      </c>
      <c r="AQ44" s="147">
        <v>38625.169071753982</v>
      </c>
      <c r="AR44" s="147">
        <v>39464.617369854153</v>
      </c>
      <c r="AS44" s="147">
        <v>40317.759293830059</v>
      </c>
      <c r="AT44" s="147">
        <v>41184.818223001239</v>
      </c>
      <c r="AU44" s="147">
        <v>42066.021180595781</v>
      </c>
      <c r="AV44" s="147">
        <v>42961.598893192146</v>
      </c>
      <c r="AW44" s="147">
        <v>43871.785851130604</v>
      </c>
      <c r="AX44" s="147">
        <v>44796.820369910114</v>
      </c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9"/>
    </row>
    <row r="45" spans="1:74" s="150" customFormat="1" ht="15">
      <c r="A45" s="158" t="s">
        <v>111</v>
      </c>
      <c r="B45" s="159" t="s">
        <v>130</v>
      </c>
      <c r="C45" s="160" t="s">
        <v>130</v>
      </c>
      <c r="D45" s="161">
        <v>67783</v>
      </c>
      <c r="E45" s="162">
        <v>77838</v>
      </c>
      <c r="F45" s="163">
        <v>86860</v>
      </c>
      <c r="G45" s="137">
        <v>94461</v>
      </c>
      <c r="H45" s="138">
        <v>0.91953292893363403</v>
      </c>
      <c r="I45" s="137">
        <v>108115</v>
      </c>
      <c r="J45" s="137">
        <v>99415.302611659848</v>
      </c>
      <c r="K45" s="137">
        <v>100536.56292075255</v>
      </c>
      <c r="L45" s="138">
        <v>1.1278548469269456E-2</v>
      </c>
      <c r="M45" s="154" t="s">
        <v>26</v>
      </c>
      <c r="N45" s="140" t="s">
        <v>27</v>
      </c>
      <c r="O45" s="141">
        <v>98914.02583025815</v>
      </c>
      <c r="P45" s="142">
        <v>-5.0422497164225311E-3</v>
      </c>
      <c r="Q45" s="143">
        <v>98914.02583025815</v>
      </c>
      <c r="R45" s="144">
        <v>-5.0422497164225311E-3</v>
      </c>
      <c r="S45" s="143">
        <v>100536.56292075255</v>
      </c>
      <c r="T45" s="144">
        <v>1.1278548469269456E-2</v>
      </c>
      <c r="U45" s="143">
        <v>106970.32240447224</v>
      </c>
      <c r="V45" s="144">
        <v>7.5994535995370205E-2</v>
      </c>
      <c r="W45" s="143">
        <v>109680.3750148484</v>
      </c>
      <c r="X45" s="144">
        <v>0.10325445010499434</v>
      </c>
      <c r="Y45" s="145">
        <v>5.0422497164225311E-3</v>
      </c>
      <c r="Z45" s="146">
        <v>1.2259863852786212E-2</v>
      </c>
      <c r="AA45" s="147">
        <v>-1931334.3911439111</v>
      </c>
      <c r="AB45" s="148">
        <v>1004.0793357933577</v>
      </c>
      <c r="AC45" s="147">
        <v>106970.32240447224</v>
      </c>
      <c r="AD45" s="147">
        <v>108829.14879245841</v>
      </c>
      <c r="AE45" s="147">
        <v>114589.54887922734</v>
      </c>
      <c r="AF45" s="147">
        <v>116572.66503829751</v>
      </c>
      <c r="AG45" s="147">
        <v>118588.13107622488</v>
      </c>
      <c r="AH45" s="147">
        <v>120636.47470524519</v>
      </c>
      <c r="AI45" s="147">
        <v>122718.23224597903</v>
      </c>
      <c r="AJ45" s="147">
        <v>124833.94876785709</v>
      </c>
      <c r="AK45" s="147">
        <v>126984.17823183685</v>
      </c>
      <c r="AL45" s="147">
        <v>129169.48363544665</v>
      </c>
      <c r="AM45" s="147">
        <v>131390.43716019625</v>
      </c>
      <c r="AN45" s="147">
        <v>133647.62032139167</v>
      </c>
      <c r="AO45" s="147">
        <v>135941.62412039458</v>
      </c>
      <c r="AP45" s="147">
        <v>138273.0491993645</v>
      </c>
      <c r="AQ45" s="147">
        <v>140642.50599852606</v>
      </c>
      <c r="AR45" s="147">
        <v>143050.61491600133</v>
      </c>
      <c r="AS45" s="147">
        <v>145498.00647024956</v>
      </c>
      <c r="AT45" s="147">
        <v>147985.32146515651</v>
      </c>
      <c r="AU45" s="147">
        <v>150513.21115781722</v>
      </c>
      <c r="AV45" s="147">
        <v>153082.33742905554</v>
      </c>
      <c r="AW45" s="147">
        <v>155693.37295672507</v>
      </c>
      <c r="AX45" s="147">
        <v>158347.00139183755</v>
      </c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9"/>
    </row>
    <row r="46" spans="1:74" s="150" customFormat="1" ht="15">
      <c r="A46" s="158" t="s">
        <v>111</v>
      </c>
      <c r="B46" s="159" t="s">
        <v>131</v>
      </c>
      <c r="C46" s="160" t="s">
        <v>131</v>
      </c>
      <c r="D46" s="161">
        <v>19016</v>
      </c>
      <c r="E46" s="162">
        <v>24380</v>
      </c>
      <c r="F46" s="163">
        <v>29974</v>
      </c>
      <c r="G46" s="137">
        <v>51892</v>
      </c>
      <c r="H46" s="138">
        <v>0.57762275495259385</v>
      </c>
      <c r="I46" s="137">
        <v>70978</v>
      </c>
      <c r="J46" s="137">
        <v>40998.507901025208</v>
      </c>
      <c r="K46" s="137">
        <v>39478.384441066948</v>
      </c>
      <c r="L46" s="138">
        <v>-3.7077531300114708E-2</v>
      </c>
      <c r="M46" s="154" t="s">
        <v>26</v>
      </c>
      <c r="N46" s="140" t="s">
        <v>66</v>
      </c>
      <c r="O46" s="141">
        <v>42443.202342121222</v>
      </c>
      <c r="P46" s="142">
        <v>3.5237732177562764E-2</v>
      </c>
      <c r="Q46" s="143">
        <v>36744.509225092363</v>
      </c>
      <c r="R46" s="144">
        <v>-0.10375984136306748</v>
      </c>
      <c r="S46" s="143">
        <v>39478.384441066948</v>
      </c>
      <c r="T46" s="144">
        <v>-3.7077531300114708E-2</v>
      </c>
      <c r="U46" s="143">
        <v>42443.202342121222</v>
      </c>
      <c r="V46" s="144">
        <v>3.5237732177562764E-2</v>
      </c>
      <c r="W46" s="143">
        <v>47493.716195093555</v>
      </c>
      <c r="X46" s="144">
        <v>0.1584254800137721</v>
      </c>
      <c r="Y46" s="145">
        <v>3.5237732177562764E-2</v>
      </c>
      <c r="Z46" s="146">
        <v>2.3217334704100701E-2</v>
      </c>
      <c r="AA46" s="147">
        <v>-1127912.5682656826</v>
      </c>
      <c r="AB46" s="148">
        <v>575.99261992619927</v>
      </c>
      <c r="AC46" s="147">
        <v>42443.202342121222</v>
      </c>
      <c r="AD46" s="147">
        <v>43595.748874419442</v>
      </c>
      <c r="AE46" s="147">
        <v>47167.426782353985</v>
      </c>
      <c r="AF46" s="147">
        <v>48397.037932192005</v>
      </c>
      <c r="AG46" s="147">
        <v>49646.707297761241</v>
      </c>
      <c r="AH46" s="147">
        <v>50916.762081704903</v>
      </c>
      <c r="AI46" s="147">
        <v>52207.534824208211</v>
      </c>
      <c r="AJ46" s="147">
        <v>53519.363490067888</v>
      </c>
      <c r="AK46" s="147">
        <v>54852.591557181906</v>
      </c>
      <c r="AL46" s="147">
        <v>56207.568106482868</v>
      </c>
      <c r="AM46" s="147">
        <v>57584.647913338238</v>
      </c>
      <c r="AN46" s="147">
        <v>58984.191540441709</v>
      </c>
      <c r="AO46" s="147">
        <v>60406.565432219824</v>
      </c>
      <c r="AP46" s="147">
        <v>61852.142010778654</v>
      </c>
      <c r="AQ46" s="147">
        <v>63321.299773415521</v>
      </c>
      <c r="AR46" s="147">
        <v>64814.423391721502</v>
      </c>
      <c r="AS46" s="147">
        <v>66331.903812300603</v>
      </c>
      <c r="AT46" s="147">
        <v>67874.138359131612</v>
      </c>
      <c r="AU46" s="147">
        <v>69441.53083760025</v>
      </c>
      <c r="AV46" s="147">
        <v>71034.491640227934</v>
      </c>
      <c r="AW46" s="147">
        <v>72653.437854125455</v>
      </c>
      <c r="AX46" s="147">
        <v>74298.793370199419</v>
      </c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9"/>
    </row>
    <row r="47" spans="1:74" s="150" customFormat="1" ht="15">
      <c r="A47" s="158" t="s">
        <v>111</v>
      </c>
      <c r="B47" s="159" t="s">
        <v>132</v>
      </c>
      <c r="C47" s="160" t="s">
        <v>132</v>
      </c>
      <c r="D47" s="161">
        <v>9642</v>
      </c>
      <c r="E47" s="162">
        <v>11316</v>
      </c>
      <c r="F47" s="163">
        <v>13088</v>
      </c>
      <c r="G47" s="137">
        <v>14494</v>
      </c>
      <c r="H47" s="138">
        <v>0.9029943424865462</v>
      </c>
      <c r="I47" s="137">
        <v>15823</v>
      </c>
      <c r="J47" s="137">
        <v>14288.079481164621</v>
      </c>
      <c r="K47" s="137">
        <v>15874.827715254396</v>
      </c>
      <c r="L47" s="156">
        <v>0.11105398987887205</v>
      </c>
      <c r="M47" s="154" t="s">
        <v>26</v>
      </c>
      <c r="N47" s="140" t="s">
        <v>27</v>
      </c>
      <c r="O47" s="141">
        <v>15212.361623616249</v>
      </c>
      <c r="P47" s="142">
        <v>6.4689039816027805E-2</v>
      </c>
      <c r="Q47" s="143">
        <v>15212.361623616249</v>
      </c>
      <c r="R47" s="144">
        <v>6.4689039816027805E-2</v>
      </c>
      <c r="S47" s="143">
        <v>15874.827715254396</v>
      </c>
      <c r="T47" s="144">
        <v>0.11105398987887205</v>
      </c>
      <c r="U47" s="143">
        <v>17037.843859535005</v>
      </c>
      <c r="V47" s="144">
        <v>0.19245164348331656</v>
      </c>
      <c r="W47" s="143">
        <v>17714.930673819366</v>
      </c>
      <c r="X47" s="144">
        <v>0.23983987471319845</v>
      </c>
      <c r="Y47" s="145">
        <v>6.4689039816027805E-2</v>
      </c>
      <c r="Z47" s="146">
        <v>1.6216661594883885E-2</v>
      </c>
      <c r="AA47" s="147">
        <v>-350993.47601476026</v>
      </c>
      <c r="AB47" s="148">
        <v>181.11070110701112</v>
      </c>
      <c r="AC47" s="147">
        <v>17037.843859535005</v>
      </c>
      <c r="AD47" s="147">
        <v>17402.933679919781</v>
      </c>
      <c r="AE47" s="147">
        <v>18534.326824871518</v>
      </c>
      <c r="AF47" s="147">
        <v>18923.82824738009</v>
      </c>
      <c r="AG47" s="147">
        <v>19319.683470080963</v>
      </c>
      <c r="AH47" s="147">
        <v>19721.99614028979</v>
      </c>
      <c r="AI47" s="147">
        <v>20130.871596084547</v>
      </c>
      <c r="AJ47" s="147">
        <v>20546.416893886362</v>
      </c>
      <c r="AK47" s="147">
        <v>20968.740836490229</v>
      </c>
      <c r="AL47" s="147">
        <v>21397.954001553033</v>
      </c>
      <c r="AM47" s="147">
        <v>21834.168770546188</v>
      </c>
      <c r="AN47" s="147">
        <v>22277.499358180678</v>
      </c>
      <c r="AO47" s="147">
        <v>22728.06184231204</v>
      </c>
      <c r="AP47" s="147">
        <v>23185.974194333172</v>
      </c>
      <c r="AQ47" s="147">
        <v>23651.35631006298</v>
      </c>
      <c r="AR47" s="147">
        <v>24124.330041138819</v>
      </c>
      <c r="AS47" s="147">
        <v>24605.019226921104</v>
      </c>
      <c r="AT47" s="147">
        <v>25093.549726918351</v>
      </c>
      <c r="AU47" s="147">
        <v>25590.049453741096</v>
      </c>
      <c r="AV47" s="147">
        <v>26094.648406593482</v>
      </c>
      <c r="AW47" s="147">
        <v>26607.47870531111</v>
      </c>
      <c r="AX47" s="147">
        <v>27128.674624954128</v>
      </c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9"/>
    </row>
    <row r="48" spans="1:74" s="150" customFormat="1" ht="15">
      <c r="A48" s="158" t="s">
        <v>111</v>
      </c>
      <c r="B48" s="159" t="s">
        <v>133</v>
      </c>
      <c r="C48" s="160" t="s">
        <v>133</v>
      </c>
      <c r="D48" s="161">
        <v>15200</v>
      </c>
      <c r="E48" s="162">
        <v>17155</v>
      </c>
      <c r="F48" s="163">
        <v>18347</v>
      </c>
      <c r="G48" s="137">
        <v>22237</v>
      </c>
      <c r="H48" s="138">
        <v>0.82506633088995818</v>
      </c>
      <c r="I48" s="137">
        <v>23174</v>
      </c>
      <c r="J48" s="137">
        <v>19120.087152043892</v>
      </c>
      <c r="K48" s="137">
        <v>20445.896678966819</v>
      </c>
      <c r="L48" s="138">
        <v>6.9341186385816211E-2</v>
      </c>
      <c r="M48" s="170" t="s">
        <v>27</v>
      </c>
      <c r="N48" s="140" t="s">
        <v>26</v>
      </c>
      <c r="O48" s="141">
        <v>20066.155759746809</v>
      </c>
      <c r="P48" s="142">
        <v>4.9480350177262933E-2</v>
      </c>
      <c r="Q48" s="143">
        <v>20445.896678966819</v>
      </c>
      <c r="R48" s="144">
        <v>6.9341186385816211E-2</v>
      </c>
      <c r="S48" s="143">
        <v>20066.155759746809</v>
      </c>
      <c r="T48" s="144">
        <v>4.9480350177262933E-2</v>
      </c>
      <c r="U48" s="143">
        <v>21004.005575940024</v>
      </c>
      <c r="V48" s="144">
        <v>9.853084920142452E-2</v>
      </c>
      <c r="W48" s="143">
        <v>21475.292414998279</v>
      </c>
      <c r="X48" s="144">
        <v>0.12317963010449051</v>
      </c>
      <c r="Y48" s="145">
        <v>4.9480350177262933E-2</v>
      </c>
      <c r="Z48" s="146">
        <v>7.4919695336037595E-3</v>
      </c>
      <c r="AA48" s="147">
        <v>-315575.43542435416</v>
      </c>
      <c r="AB48" s="148">
        <v>166.18265682656823</v>
      </c>
      <c r="AC48" s="147">
        <v>21004.005575940024</v>
      </c>
      <c r="AD48" s="147">
        <v>21249.596470916691</v>
      </c>
      <c r="AE48" s="147">
        <v>22010.669060523047</v>
      </c>
      <c r="AF48" s="147">
        <v>22272.681304106696</v>
      </c>
      <c r="AG48" s="147">
        <v>22538.967661589453</v>
      </c>
      <c r="AH48" s="147">
        <v>22809.597855093358</v>
      </c>
      <c r="AI48" s="147">
        <v>23084.642744092991</v>
      </c>
      <c r="AJ48" s="147">
        <v>23364.174343968702</v>
      </c>
      <c r="AK48" s="147">
        <v>23648.265844862501</v>
      </c>
      <c r="AL48" s="147">
        <v>23936.991630841538</v>
      </c>
      <c r="AM48" s="147">
        <v>24230.427299374183</v>
      </c>
      <c r="AN48" s="147">
        <v>24528.649681123796</v>
      </c>
      <c r="AO48" s="147">
        <v>24831.73686006543</v>
      </c>
      <c r="AP48" s="147">
        <v>25139.768193930668</v>
      </c>
      <c r="AQ48" s="147">
        <v>25452.824334985929</v>
      </c>
      <c r="AR48" s="147">
        <v>25770.987251149814</v>
      </c>
      <c r="AS48" s="147">
        <v>26094.340247454827</v>
      </c>
      <c r="AT48" s="147">
        <v>26422.967987859291</v>
      </c>
      <c r="AU48" s="147">
        <v>26756.956517414998</v>
      </c>
      <c r="AV48" s="147">
        <v>27096.393284796519</v>
      </c>
      <c r="AW48" s="147">
        <v>27441.367165197982</v>
      </c>
      <c r="AX48" s="147">
        <v>27791.96848360345</v>
      </c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9"/>
    </row>
    <row r="49" spans="1:74" s="150" customFormat="1" ht="12.75" customHeight="1">
      <c r="A49" s="158" t="s">
        <v>111</v>
      </c>
      <c r="B49" s="159" t="s">
        <v>134</v>
      </c>
      <c r="C49" s="160" t="s">
        <v>134</v>
      </c>
      <c r="D49" s="161">
        <v>4798</v>
      </c>
      <c r="E49" s="162">
        <v>5127</v>
      </c>
      <c r="F49" s="163">
        <v>5178</v>
      </c>
      <c r="G49" s="137">
        <v>11570</v>
      </c>
      <c r="H49" s="138">
        <v>0.44753673292999135</v>
      </c>
      <c r="I49" s="137">
        <v>13072</v>
      </c>
      <c r="J49" s="137">
        <v>5850.2001728608466</v>
      </c>
      <c r="K49" s="137">
        <v>5466.0774907749073</v>
      </c>
      <c r="L49" s="138">
        <v>-6.5659750219811186E-2</v>
      </c>
      <c r="M49" s="170" t="s">
        <v>27</v>
      </c>
      <c r="N49" s="140" t="s">
        <v>27</v>
      </c>
      <c r="O49" s="141">
        <v>5466.0774907749073</v>
      </c>
      <c r="P49" s="142">
        <v>-6.5659750219811186E-2</v>
      </c>
      <c r="Q49" s="143">
        <v>5466.0774907749073</v>
      </c>
      <c r="R49" s="144">
        <v>-6.5659750219811186E-2</v>
      </c>
      <c r="S49" s="143">
        <v>5246.7900262320072</v>
      </c>
      <c r="T49" s="144">
        <v>-0.10314350429034325</v>
      </c>
      <c r="U49" s="143">
        <v>5291.6806076954199</v>
      </c>
      <c r="V49" s="144">
        <v>-9.5470163184570356E-2</v>
      </c>
      <c r="W49" s="143">
        <v>5347.6036048714477</v>
      </c>
      <c r="X49" s="144">
        <v>-8.5911003579151157E-2</v>
      </c>
      <c r="Y49" s="145">
        <v>6.5659750219811186E-2</v>
      </c>
      <c r="Z49" s="146">
        <v>1.1004037256998611E-3</v>
      </c>
      <c r="AA49" s="147">
        <v>-35455.173431734322</v>
      </c>
      <c r="AB49" s="148">
        <v>20.238007380073803</v>
      </c>
      <c r="AC49" s="147">
        <v>5291.6806076954199</v>
      </c>
      <c r="AD49" s="147">
        <v>5302.1882718261331</v>
      </c>
      <c r="AE49" s="147">
        <v>5334.7509413478838</v>
      </c>
      <c r="AF49" s="147">
        <v>5345.9611967361088</v>
      </c>
      <c r="AG49" s="147">
        <v>5357.3543210914977</v>
      </c>
      <c r="AH49" s="147">
        <v>5368.9332974914141</v>
      </c>
      <c r="AI49" s="147">
        <v>5380.7011576751211</v>
      </c>
      <c r="AJ49" s="147">
        <v>5392.6609828375877</v>
      </c>
      <c r="AK49" s="147">
        <v>5404.8159044362328</v>
      </c>
      <c r="AL49" s="147">
        <v>5417.1691050108384</v>
      </c>
      <c r="AM49" s="147">
        <v>5429.7238190168464</v>
      </c>
      <c r="AN49" s="147">
        <v>5442.483333672244</v>
      </c>
      <c r="AO49" s="147">
        <v>5455.4509898182368</v>
      </c>
      <c r="AP49" s="147">
        <v>5468.6301827940151</v>
      </c>
      <c r="AQ49" s="147">
        <v>5482.0243633257414</v>
      </c>
      <c r="AR49" s="147">
        <v>5495.6370384300681</v>
      </c>
      <c r="AS49" s="147">
        <v>5509.4717723323811</v>
      </c>
      <c r="AT49" s="147">
        <v>5523.5321874000219</v>
      </c>
      <c r="AU49" s="147">
        <v>5537.8219650907413</v>
      </c>
      <c r="AV49" s="147">
        <v>5552.3448469166287</v>
      </c>
      <c r="AW49" s="147">
        <v>5567.1046354237405</v>
      </c>
      <c r="AX49" s="147">
        <v>5582.1051951877307</v>
      </c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9"/>
    </row>
    <row r="50" spans="1:74" s="150" customFormat="1" ht="15">
      <c r="A50" s="158" t="s">
        <v>111</v>
      </c>
      <c r="B50" s="159" t="s">
        <v>135</v>
      </c>
      <c r="C50" s="160" t="s">
        <v>135</v>
      </c>
      <c r="D50" s="161">
        <v>9593</v>
      </c>
      <c r="E50" s="162">
        <v>12008</v>
      </c>
      <c r="F50" s="163">
        <v>12775</v>
      </c>
      <c r="G50" s="137">
        <v>14692</v>
      </c>
      <c r="H50" s="138">
        <v>0.86952082766131222</v>
      </c>
      <c r="I50" s="137">
        <v>17232</v>
      </c>
      <c r="J50" s="137">
        <v>14983.582902259732</v>
      </c>
      <c r="K50" s="137">
        <v>15060.575645756442</v>
      </c>
      <c r="L50" s="138">
        <v>5.1384734878798799E-3</v>
      </c>
      <c r="M50" s="170" t="s">
        <v>27</v>
      </c>
      <c r="N50" s="140" t="s">
        <v>27</v>
      </c>
      <c r="O50" s="141">
        <v>15060.575645756442</v>
      </c>
      <c r="P50" s="142">
        <v>5.1384734878798799E-3</v>
      </c>
      <c r="Q50" s="143">
        <v>15060.575645756442</v>
      </c>
      <c r="R50" s="144">
        <v>5.1384734878798799E-3</v>
      </c>
      <c r="S50" s="143">
        <v>13874.410770890587</v>
      </c>
      <c r="T50" s="144">
        <v>-7.4025828041560549E-2</v>
      </c>
      <c r="U50" s="143">
        <v>14484.667178478188</v>
      </c>
      <c r="V50" s="144">
        <v>-3.3297491463560425E-2</v>
      </c>
      <c r="W50" s="143">
        <v>16031.723790407428</v>
      </c>
      <c r="X50" s="144">
        <v>6.9952620477017113E-2</v>
      </c>
      <c r="Y50" s="145">
        <v>5.1384734878798799E-3</v>
      </c>
      <c r="Z50" s="146">
        <v>6.9033906076212403E-3</v>
      </c>
      <c r="AA50" s="147">
        <v>-326332.85977859772</v>
      </c>
      <c r="AB50" s="148">
        <v>168.83948339483391</v>
      </c>
      <c r="AC50" s="147">
        <v>14484.667178478188</v>
      </c>
      <c r="AD50" s="147">
        <v>14642.694205698912</v>
      </c>
      <c r="AE50" s="147">
        <v>15132.411215957365</v>
      </c>
      <c r="AF50" s="147">
        <v>15301.004664639126</v>
      </c>
      <c r="AG50" s="147">
        <v>15472.348319160325</v>
      </c>
      <c r="AH50" s="147">
        <v>15646.487042664934</v>
      </c>
      <c r="AI50" s="147">
        <v>15823.466430133662</v>
      </c>
      <c r="AJ50" s="147">
        <v>16003.332820322144</v>
      </c>
      <c r="AK50" s="147">
        <v>16186.133307893904</v>
      </c>
      <c r="AL50" s="147">
        <v>16371.915755751224</v>
      </c>
      <c r="AM50" s="147">
        <v>16560.728807567117</v>
      </c>
      <c r="AN50" s="147">
        <v>16752.621900521772</v>
      </c>
      <c r="AO50" s="147">
        <v>16947.645278246804</v>
      </c>
      <c r="AP50" s="147">
        <v>17145.850003980551</v>
      </c>
      <c r="AQ50" s="147">
        <v>17347.287973938095</v>
      </c>
      <c r="AR50" s="147">
        <v>17552.011930899251</v>
      </c>
      <c r="AS50" s="147">
        <v>17760.075478018334</v>
      </c>
      <c r="AT50" s="147">
        <v>17971.533092859128</v>
      </c>
      <c r="AU50" s="147">
        <v>18186.440141658808</v>
      </c>
      <c r="AV50" s="147">
        <v>18404.852893824602</v>
      </c>
      <c r="AW50" s="147">
        <v>18626.828536666821</v>
      </c>
      <c r="AX50" s="147">
        <v>18852.425190372356</v>
      </c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9"/>
    </row>
    <row r="51" spans="1:74" s="150" customFormat="1" ht="15">
      <c r="A51" s="158" t="s">
        <v>111</v>
      </c>
      <c r="B51" s="159" t="s">
        <v>136</v>
      </c>
      <c r="C51" s="160" t="s">
        <v>136</v>
      </c>
      <c r="D51" s="161">
        <v>5180</v>
      </c>
      <c r="E51" s="162">
        <v>6402</v>
      </c>
      <c r="F51" s="163">
        <v>6859</v>
      </c>
      <c r="G51" s="137">
        <v>8205</v>
      </c>
      <c r="H51" s="138">
        <v>0.83595368677635584</v>
      </c>
      <c r="I51" s="137">
        <v>10473</v>
      </c>
      <c r="J51" s="137">
        <v>8754.9429616087746</v>
      </c>
      <c r="K51" s="137">
        <v>8045.5092250922462</v>
      </c>
      <c r="L51" s="138">
        <v>-8.1032365330929057E-2</v>
      </c>
      <c r="M51" s="170" t="s">
        <v>27</v>
      </c>
      <c r="N51" s="166" t="s">
        <v>104</v>
      </c>
      <c r="O51" s="141">
        <v>8615.2025521397882</v>
      </c>
      <c r="P51" s="142">
        <v>-1.5961315805455345E-2</v>
      </c>
      <c r="Q51" s="143">
        <v>8045.5092250922462</v>
      </c>
      <c r="R51" s="144">
        <v>-8.1032365330929057E-2</v>
      </c>
      <c r="S51" s="143">
        <v>7519.4772015647977</v>
      </c>
      <c r="T51" s="144">
        <v>-0.1411163688286271</v>
      </c>
      <c r="U51" s="143">
        <v>7877.6674062119055</v>
      </c>
      <c r="V51" s="144">
        <v>-0.10020345754893012</v>
      </c>
      <c r="W51" s="143">
        <v>8615.2025521397882</v>
      </c>
      <c r="X51" s="144">
        <v>-1.5961315805455345E-2</v>
      </c>
      <c r="Y51" s="145">
        <v>1.5961315805455345E-2</v>
      </c>
      <c r="Z51" s="146">
        <v>7.6906687671278728E-3</v>
      </c>
      <c r="AA51" s="147">
        <v>-171897.56826568267</v>
      </c>
      <c r="AB51" s="148">
        <v>88.992619926199268</v>
      </c>
      <c r="AC51" s="147">
        <v>7877.6674062119055</v>
      </c>
      <c r="AD51" s="147">
        <v>7971.8243181282942</v>
      </c>
      <c r="AE51" s="147">
        <v>8263.6113763918074</v>
      </c>
      <c r="AF51" s="147">
        <v>8364.0640570274845</v>
      </c>
      <c r="AG51" s="147">
        <v>8466.155387035551</v>
      </c>
      <c r="AH51" s="147">
        <v>8569.9120971289158</v>
      </c>
      <c r="AI51" s="147">
        <v>8675.3613540692095</v>
      </c>
      <c r="AJ51" s="147">
        <v>8782.5307677799465</v>
      </c>
      <c r="AK51" s="147">
        <v>8891.4483985756397</v>
      </c>
      <c r="AL51" s="147">
        <v>9002.1427645088788</v>
      </c>
      <c r="AM51" s="147">
        <v>9114.6428488372494</v>
      </c>
      <c r="AN51" s="147">
        <v>9228.9781076120598</v>
      </c>
      <c r="AO51" s="147">
        <v>9345.1784773908585</v>
      </c>
      <c r="AP51" s="147">
        <v>9463.2743830757699</v>
      </c>
      <c r="AQ51" s="147">
        <v>9583.2967458796738</v>
      </c>
      <c r="AR51" s="147">
        <v>9705.2769914223682</v>
      </c>
      <c r="AS51" s="147">
        <v>9829.2470579587734</v>
      </c>
      <c r="AT51" s="147">
        <v>9955.2394047413582</v>
      </c>
      <c r="AU51" s="147">
        <v>10083.287020519007</v>
      </c>
      <c r="AV51" s="147">
        <v>10213.423432174503</v>
      </c>
      <c r="AW51" s="147">
        <v>10345.68271350292</v>
      </c>
      <c r="AX51" s="147">
        <v>10480.099494133201</v>
      </c>
      <c r="AY51" s="167">
        <v>8278.4081404036879</v>
      </c>
      <c r="AZ51" s="168">
        <f>(($BF51-$AY51)/($BF$4-$AY$4))*(AZ$4-$BF$4)+$BF51</f>
        <v>8615.2025521397882</v>
      </c>
      <c r="BA51" s="168">
        <f t="shared" ref="BA51:BE51" si="4">(($BF51-$AY51)/($BF$4-$AY$4))*(BA$4-$BF$4)+$BF51</f>
        <v>8783.5997580078401</v>
      </c>
      <c r="BB51" s="168">
        <f t="shared" si="4"/>
        <v>9288.7913756119906</v>
      </c>
      <c r="BC51" s="168">
        <f t="shared" si="4"/>
        <v>9457.1885814800407</v>
      </c>
      <c r="BD51" s="168">
        <f t="shared" si="4"/>
        <v>9625.5857873480927</v>
      </c>
      <c r="BE51" s="168">
        <f t="shared" si="4"/>
        <v>9793.9829932161429</v>
      </c>
      <c r="BF51" s="167">
        <v>9962.380199084193</v>
      </c>
      <c r="BG51" s="169">
        <f>(($BU51-$BF51)/($BU$4-$BF$4))*(BG$4-$BU$4)+$BU51</f>
        <v>10168.826986925527</v>
      </c>
      <c r="BH51" s="169">
        <f t="shared" ref="BH51:BT51" si="5">(($BU51-$BF51)/($BU$4-$BF$4))*(BH$4-$BU$4)+$BU51</f>
        <v>10375.273774766862</v>
      </c>
      <c r="BI51" s="169">
        <f t="shared" si="5"/>
        <v>10581.720562608194</v>
      </c>
      <c r="BJ51" s="169">
        <f t="shared" si="5"/>
        <v>10788.167350449528</v>
      </c>
      <c r="BK51" s="169">
        <f t="shared" si="5"/>
        <v>10994.614138290863</v>
      </c>
      <c r="BL51" s="169">
        <f t="shared" si="5"/>
        <v>11201.060926132195</v>
      </c>
      <c r="BM51" s="169">
        <f t="shared" si="5"/>
        <v>11407.507713973529</v>
      </c>
      <c r="BN51" s="169">
        <f t="shared" si="5"/>
        <v>11613.954501814864</v>
      </c>
      <c r="BO51" s="169">
        <f t="shared" si="5"/>
        <v>11820.401289656198</v>
      </c>
      <c r="BP51" s="169">
        <f t="shared" si="5"/>
        <v>12026.848077497531</v>
      </c>
      <c r="BQ51" s="169">
        <f t="shared" si="5"/>
        <v>12233.294865338865</v>
      </c>
      <c r="BR51" s="169">
        <f t="shared" si="5"/>
        <v>12439.741653180199</v>
      </c>
      <c r="BS51" s="169">
        <f t="shared" si="5"/>
        <v>12646.188441021533</v>
      </c>
      <c r="BT51" s="169">
        <f t="shared" si="5"/>
        <v>12852.635228862866</v>
      </c>
      <c r="BU51" s="167">
        <v>13059.0820167042</v>
      </c>
      <c r="BV51" s="149"/>
    </row>
    <row r="52" spans="1:74" s="150" customFormat="1" ht="15">
      <c r="A52" s="158" t="s">
        <v>111</v>
      </c>
      <c r="B52" s="159" t="s">
        <v>137</v>
      </c>
      <c r="C52" s="160" t="s">
        <v>137</v>
      </c>
      <c r="D52" s="161">
        <v>30535</v>
      </c>
      <c r="E52" s="162">
        <v>34958</v>
      </c>
      <c r="F52" s="163">
        <v>38418</v>
      </c>
      <c r="G52" s="137">
        <v>48703</v>
      </c>
      <c r="H52" s="138">
        <v>0.7888220438166027</v>
      </c>
      <c r="I52" s="137">
        <v>52837</v>
      </c>
      <c r="J52" s="137">
        <v>41678.990329137836</v>
      </c>
      <c r="K52" s="137">
        <v>43569.808500299325</v>
      </c>
      <c r="L52" s="138">
        <v>4.5366218236808198E-2</v>
      </c>
      <c r="M52" s="170" t="s">
        <v>26</v>
      </c>
      <c r="N52" s="140" t="s">
        <v>27</v>
      </c>
      <c r="O52" s="141">
        <v>43498.874538745382</v>
      </c>
      <c r="P52" s="142">
        <v>4.3664306530363906E-2</v>
      </c>
      <c r="Q52" s="143">
        <v>43498.874538745382</v>
      </c>
      <c r="R52" s="144">
        <v>4.3664306530363906E-2</v>
      </c>
      <c r="S52" s="143">
        <v>43569.808500299325</v>
      </c>
      <c r="T52" s="144">
        <v>4.5366218236808198E-2</v>
      </c>
      <c r="U52" s="143">
        <v>46130.44907110108</v>
      </c>
      <c r="V52" s="144">
        <v>0.10680342078371385</v>
      </c>
      <c r="W52" s="143">
        <v>47317.291308990039</v>
      </c>
      <c r="X52" s="144">
        <v>0.13527921226802042</v>
      </c>
      <c r="Y52" s="145">
        <v>4.3664306530363906E-2</v>
      </c>
      <c r="Z52" s="146">
        <v>1.0541705104820664E-2</v>
      </c>
      <c r="AA52" s="147">
        <v>-796440.67158671597</v>
      </c>
      <c r="AB52" s="148">
        <v>415.40036900369006</v>
      </c>
      <c r="AC52" s="147">
        <v>46130.44907110108</v>
      </c>
      <c r="AD52" s="147">
        <v>46843.321970949459</v>
      </c>
      <c r="AE52" s="147">
        <v>49052.475628699452</v>
      </c>
      <c r="AF52" s="147">
        <v>49813.014523665406</v>
      </c>
      <c r="AG52" s="147">
        <v>50585.959823070058</v>
      </c>
      <c r="AH52" s="147">
        <v>51371.513908240791</v>
      </c>
      <c r="AI52" s="147">
        <v>52169.882461880654</v>
      </c>
      <c r="AJ52" s="147">
        <v>52981.274521922569</v>
      </c>
      <c r="AK52" s="147">
        <v>53805.902536261965</v>
      </c>
      <c r="AL52" s="147">
        <v>54643.982418382329</v>
      </c>
      <c r="AM52" s="147">
        <v>55495.733603888155</v>
      </c>
      <c r="AN52" s="147">
        <v>56361.379107959998</v>
      </c>
      <c r="AO52" s="147">
        <v>57241.145583746977</v>
      </c>
      <c r="AP52" s="147">
        <v>58135.263381711491</v>
      </c>
      <c r="AQ52" s="147">
        <v>59043.966609942385</v>
      </c>
      <c r="AR52" s="147">
        <v>59967.493195451629</v>
      </c>
      <c r="AS52" s="147">
        <v>60906.084946471216</v>
      </c>
      <c r="AT52" s="147">
        <v>61859.987615766069</v>
      </c>
      <c r="AU52" s="147">
        <v>62829.450964979791</v>
      </c>
      <c r="AV52" s="147">
        <v>63814.728830030152</v>
      </c>
      <c r="AW52" s="147">
        <v>64816.07918757134</v>
      </c>
      <c r="AX52" s="147">
        <v>65833.764222540223</v>
      </c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9"/>
    </row>
    <row r="53" spans="1:74" s="150" customFormat="1" ht="15">
      <c r="A53" s="158" t="s">
        <v>111</v>
      </c>
      <c r="B53" s="159" t="s">
        <v>138</v>
      </c>
      <c r="C53" s="160" t="s">
        <v>138</v>
      </c>
      <c r="D53" s="161">
        <v>25264</v>
      </c>
      <c r="E53" s="162">
        <v>30670</v>
      </c>
      <c r="F53" s="163">
        <v>33607</v>
      </c>
      <c r="G53" s="137">
        <v>42277</v>
      </c>
      <c r="H53" s="138">
        <v>0.7949239539229368</v>
      </c>
      <c r="I53" s="137">
        <v>42628</v>
      </c>
      <c r="J53" s="137">
        <v>33886.018307826947</v>
      </c>
      <c r="K53" s="137">
        <v>37965.084658609579</v>
      </c>
      <c r="L53" s="156">
        <v>0.12037608885551632</v>
      </c>
      <c r="M53" s="170" t="s">
        <v>26</v>
      </c>
      <c r="N53" s="140" t="s">
        <v>26</v>
      </c>
      <c r="O53" s="141">
        <v>37965.084658609579</v>
      </c>
      <c r="P53" s="142">
        <v>0.12037608885551632</v>
      </c>
      <c r="Q53" s="143">
        <v>39254.527675276739</v>
      </c>
      <c r="R53" s="144">
        <v>0.15842845030304953</v>
      </c>
      <c r="S53" s="143">
        <v>37965.084658609579</v>
      </c>
      <c r="T53" s="144">
        <v>0.12037608885551632</v>
      </c>
      <c r="U53" s="143">
        <v>40153.665584342154</v>
      </c>
      <c r="V53" s="144">
        <v>0.18496263619935283</v>
      </c>
      <c r="W53" s="143">
        <v>43062.070463496952</v>
      </c>
      <c r="X53" s="144">
        <v>0.2707916897262177</v>
      </c>
      <c r="Y53" s="145">
        <v>0.12037608885551632</v>
      </c>
      <c r="Z53" s="146">
        <v>1.0212843204522537E-2</v>
      </c>
      <c r="AA53" s="147">
        <v>-852402.70479704789</v>
      </c>
      <c r="AB53" s="148">
        <v>440.97785977859775</v>
      </c>
      <c r="AC53" s="147">
        <v>40153.665584342154</v>
      </c>
      <c r="AD53" s="147">
        <v>40758.78341869323</v>
      </c>
      <c r="AE53" s="147">
        <v>42634.010092916273</v>
      </c>
      <c r="AF53" s="147">
        <v>43279.588917920613</v>
      </c>
      <c r="AG53" s="147">
        <v>43935.698844033745</v>
      </c>
      <c r="AH53" s="147">
        <v>44602.511661417106</v>
      </c>
      <c r="AI53" s="147">
        <v>45280.201962584833</v>
      </c>
      <c r="AJ53" s="147">
        <v>45968.94718811752</v>
      </c>
      <c r="AK53" s="147">
        <v>46668.927673121783</v>
      </c>
      <c r="AL53" s="147">
        <v>47380.326694447656</v>
      </c>
      <c r="AM53" s="147">
        <v>48103.330518676157</v>
      </c>
      <c r="AN53" s="147">
        <v>48838.128450889759</v>
      </c>
      <c r="AO53" s="147">
        <v>49584.912884238402</v>
      </c>
      <c r="AP53" s="147">
        <v>50343.87935031407</v>
      </c>
      <c r="AQ53" s="147">
        <v>51115.226570347048</v>
      </c>
      <c r="AR53" s="147">
        <v>51899.156507237414</v>
      </c>
      <c r="AS53" s="147">
        <v>52695.874418435262</v>
      </c>
      <c r="AT53" s="147">
        <v>53505.588909683516</v>
      </c>
      <c r="AU53" s="147">
        <v>54328.511989637467</v>
      </c>
      <c r="AV53" s="147">
        <v>55164.859125375304</v>
      </c>
      <c r="AW53" s="147">
        <v>56014.849298814173</v>
      </c>
      <c r="AX53" s="147">
        <v>56878.705064046429</v>
      </c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9"/>
    </row>
    <row r="54" spans="1:74" s="150" customFormat="1" ht="15">
      <c r="A54" s="158" t="s">
        <v>111</v>
      </c>
      <c r="B54" s="159" t="s">
        <v>139</v>
      </c>
      <c r="C54" s="160" t="s">
        <v>139</v>
      </c>
      <c r="D54" s="161">
        <v>47671</v>
      </c>
      <c r="E54" s="162">
        <v>52938</v>
      </c>
      <c r="F54" s="163">
        <v>58152</v>
      </c>
      <c r="G54" s="137">
        <v>64185</v>
      </c>
      <c r="H54" s="138">
        <v>0.9060060761860248</v>
      </c>
      <c r="I54" s="137">
        <v>70437</v>
      </c>
      <c r="J54" s="137">
        <v>63816.349988315029</v>
      </c>
      <c r="K54" s="137">
        <v>65911.443669132248</v>
      </c>
      <c r="L54" s="138">
        <v>3.2830045610581671E-2</v>
      </c>
      <c r="M54" s="170" t="s">
        <v>26</v>
      </c>
      <c r="N54" s="140" t="s">
        <v>27</v>
      </c>
      <c r="O54" s="141">
        <v>64678.660516605014</v>
      </c>
      <c r="P54" s="142">
        <v>1.3512376192744924E-2</v>
      </c>
      <c r="Q54" s="143">
        <v>64678.660516605014</v>
      </c>
      <c r="R54" s="144">
        <v>1.3512376192744924E-2</v>
      </c>
      <c r="S54" s="143">
        <v>65911.443669132248</v>
      </c>
      <c r="T54" s="144">
        <v>3.2830045610581671E-2</v>
      </c>
      <c r="U54" s="143">
        <v>69774.170363214173</v>
      </c>
      <c r="V54" s="144">
        <v>9.3358839482202249E-2</v>
      </c>
      <c r="W54" s="143">
        <v>69963.796331870166</v>
      </c>
      <c r="X54" s="144">
        <v>9.6330271861063022E-2</v>
      </c>
      <c r="Y54" s="145">
        <v>1.3512376192744924E-2</v>
      </c>
      <c r="Z54" s="146">
        <v>1.0492312814467164E-2</v>
      </c>
      <c r="AA54" s="147">
        <v>-1049790.2878228785</v>
      </c>
      <c r="AB54" s="148">
        <v>551.17158671586719</v>
      </c>
      <c r="AC54" s="147">
        <v>69774.170363214173</v>
      </c>
      <c r="AD54" s="147">
        <v>70848.42449610708</v>
      </c>
      <c r="AE54" s="147">
        <v>74177.4785919188</v>
      </c>
      <c r="AF54" s="147">
        <v>75323.562348668056</v>
      </c>
      <c r="AG54" s="147">
        <v>76488.341768059909</v>
      </c>
      <c r="AH54" s="147">
        <v>77672.121825886556</v>
      </c>
      <c r="AI54" s="147">
        <v>78875.212472903411</v>
      </c>
      <c r="AJ54" s="147">
        <v>80097.928715983915</v>
      </c>
      <c r="AK54" s="147">
        <v>81340.590700598244</v>
      </c>
      <c r="AL54" s="147">
        <v>82603.523794637425</v>
      </c>
      <c r="AM54" s="147">
        <v>83887.058673604857</v>
      </c>
      <c r="AN54" s="147">
        <v>85191.531407197559</v>
      </c>
      <c r="AO54" s="147">
        <v>86517.283547299652</v>
      </c>
      <c r="AP54" s="147">
        <v>87864.662217411504</v>
      </c>
      <c r="AQ54" s="147">
        <v>89234.020203537468</v>
      </c>
      <c r="AR54" s="147">
        <v>90625.716046556321</v>
      </c>
      <c r="AS54" s="147">
        <v>92040.114136098564</v>
      </c>
      <c r="AT54" s="147">
        <v>93477.584805955004</v>
      </c>
      <c r="AU54" s="147">
        <v>94938.504431041802</v>
      </c>
      <c r="AV54" s="147">
        <v>96423.25552594717</v>
      </c>
      <c r="AW54" s="147">
        <v>97932.226845085825</v>
      </c>
      <c r="AX54" s="147">
        <v>99465.81348448692</v>
      </c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9"/>
    </row>
    <row r="55" spans="1:74" s="150" customFormat="1" ht="15">
      <c r="A55" s="158" t="s">
        <v>111</v>
      </c>
      <c r="B55" s="159" t="s">
        <v>140</v>
      </c>
      <c r="C55" s="160" t="s">
        <v>140</v>
      </c>
      <c r="D55" s="161">
        <v>17885</v>
      </c>
      <c r="E55" s="162">
        <v>21396</v>
      </c>
      <c r="F55" s="163">
        <v>23206</v>
      </c>
      <c r="G55" s="137">
        <v>24890</v>
      </c>
      <c r="H55" s="138">
        <v>0.93234230614704705</v>
      </c>
      <c r="I55" s="137">
        <v>27245</v>
      </c>
      <c r="J55" s="137">
        <v>25401.666130976297</v>
      </c>
      <c r="K55" s="137">
        <v>26831.420664206613</v>
      </c>
      <c r="L55" s="138">
        <v>5.6285856441786297E-2</v>
      </c>
      <c r="M55" s="170" t="s">
        <v>27</v>
      </c>
      <c r="N55" s="140" t="s">
        <v>26</v>
      </c>
      <c r="O55" s="141">
        <v>25859.724047432584</v>
      </c>
      <c r="P55" s="142">
        <v>1.8032593377711681E-2</v>
      </c>
      <c r="Q55" s="143">
        <v>26831.420664206613</v>
      </c>
      <c r="R55" s="144">
        <v>5.6285856441786297E-2</v>
      </c>
      <c r="S55" s="143">
        <v>25859.724047432584</v>
      </c>
      <c r="T55" s="144">
        <v>1.8032593377711681E-2</v>
      </c>
      <c r="U55" s="143">
        <v>27240.547057425705</v>
      </c>
      <c r="V55" s="144">
        <v>7.2392138254544269E-2</v>
      </c>
      <c r="W55" s="143">
        <v>28966.890879683706</v>
      </c>
      <c r="X55" s="144">
        <v>0.14035397246481263</v>
      </c>
      <c r="Y55" s="145">
        <v>1.8032593377711681E-2</v>
      </c>
      <c r="Z55" s="146">
        <v>9.063816213264575E-3</v>
      </c>
      <c r="AA55" s="147">
        <v>-542085.51291512919</v>
      </c>
      <c r="AB55" s="148">
        <v>281.36346863468634</v>
      </c>
      <c r="AC55" s="147">
        <v>27240.547057425705</v>
      </c>
      <c r="AD55" s="147">
        <v>27613.466117751017</v>
      </c>
      <c r="AE55" s="147">
        <v>28769.121643915034</v>
      </c>
      <c r="AF55" s="147">
        <v>29166.975805732487</v>
      </c>
      <c r="AG55" s="147">
        <v>29571.320023051099</v>
      </c>
      <c r="AH55" s="147">
        <v>29982.26016587163</v>
      </c>
      <c r="AI55" s="147">
        <v>30399.903831215022</v>
      </c>
      <c r="AJ55" s="147">
        <v>30824.360371294759</v>
      </c>
      <c r="AK55" s="147">
        <v>31255.740922148601</v>
      </c>
      <c r="AL55" s="147">
        <v>31694.158432737575</v>
      </c>
      <c r="AM55" s="147">
        <v>32139.727694519519</v>
      </c>
      <c r="AN55" s="147">
        <v>32592.565371505094</v>
      </c>
      <c r="AO55" s="147">
        <v>33052.790030804055</v>
      </c>
      <c r="AP55" s="147">
        <v>33520.522173669888</v>
      </c>
      <c r="AQ55" s="147">
        <v>33995.88426705078</v>
      </c>
      <c r="AR55" s="147">
        <v>34479.000775655339</v>
      </c>
      <c r="AS55" s="147">
        <v>34969.998194541302</v>
      </c>
      <c r="AT55" s="147">
        <v>35469.005082236006</v>
      </c>
      <c r="AU55" s="147">
        <v>35976.152094396937</v>
      </c>
      <c r="AV55" s="147">
        <v>36491.572018021558</v>
      </c>
      <c r="AW55" s="147">
        <v>37015.399806215064</v>
      </c>
      <c r="AX55" s="147">
        <v>37547.772613525376</v>
      </c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9"/>
    </row>
    <row r="56" spans="1:74" s="150" customFormat="1" ht="15">
      <c r="A56" s="158" t="s">
        <v>111</v>
      </c>
      <c r="B56" s="174" t="s">
        <v>15</v>
      </c>
      <c r="C56" s="175" t="s">
        <v>141</v>
      </c>
      <c r="D56" s="176">
        <v>56427</v>
      </c>
      <c r="E56" s="177">
        <v>57296</v>
      </c>
      <c r="F56" s="178">
        <v>58315</v>
      </c>
      <c r="G56" s="137">
        <v>62152</v>
      </c>
      <c r="H56" s="138">
        <v>0.938264255373922</v>
      </c>
      <c r="I56" s="137">
        <v>66103</v>
      </c>
      <c r="J56" s="137">
        <v>62022.082072982368</v>
      </c>
      <c r="K56" s="137">
        <v>59460.952029520296</v>
      </c>
      <c r="L56" s="138">
        <v>-4.1293841771521733E-2</v>
      </c>
      <c r="M56" s="170" t="s">
        <v>27</v>
      </c>
      <c r="N56" s="140" t="s">
        <v>66</v>
      </c>
      <c r="O56" s="141">
        <v>60586.38312238497</v>
      </c>
      <c r="P56" s="142">
        <v>-2.3148190170526495E-2</v>
      </c>
      <c r="Q56" s="143">
        <v>59460.952029520296</v>
      </c>
      <c r="R56" s="144">
        <v>-4.1293841771521733E-2</v>
      </c>
      <c r="S56" s="143">
        <v>59547.946614450157</v>
      </c>
      <c r="T56" s="144">
        <v>-3.9891202872242459E-2</v>
      </c>
      <c r="U56" s="143">
        <v>60586.38312238497</v>
      </c>
      <c r="V56" s="144">
        <v>-2.3148190170526495E-2</v>
      </c>
      <c r="W56" s="143">
        <v>58650.458196849002</v>
      </c>
      <c r="X56" s="144">
        <v>-5.4361668674165475E-2</v>
      </c>
      <c r="Y56" s="145">
        <v>2.3148190170526495E-2</v>
      </c>
      <c r="Z56" s="146">
        <v>1.7450594604132563E-3</v>
      </c>
      <c r="AA56" s="147">
        <v>-140996.8450184502</v>
      </c>
      <c r="AB56" s="148">
        <v>99.138376383763841</v>
      </c>
      <c r="AC56" s="147">
        <v>60586.38312238497</v>
      </c>
      <c r="AD56" s="147">
        <v>60796.330372369215</v>
      </c>
      <c r="AE56" s="147">
        <v>61446.945279088082</v>
      </c>
      <c r="AF56" s="147">
        <v>61670.930577923427</v>
      </c>
      <c r="AG56" s="147">
        <v>61898.569670435943</v>
      </c>
      <c r="AH56" s="147">
        <v>62129.922159681315</v>
      </c>
      <c r="AI56" s="147">
        <v>62365.048620998947</v>
      </c>
      <c r="AJ56" s="147">
        <v>62604.010617872576</v>
      </c>
      <c r="AK56" s="147">
        <v>62846.870718049409</v>
      </c>
      <c r="AL56" s="147">
        <v>63093.692509922417</v>
      </c>
      <c r="AM56" s="147">
        <v>63344.540619179774</v>
      </c>
      <c r="AN56" s="147">
        <v>63599.480725725793</v>
      </c>
      <c r="AO56" s="147">
        <v>63858.579580878082</v>
      </c>
      <c r="AP56" s="147">
        <v>64121.905024845095</v>
      </c>
      <c r="AQ56" s="147">
        <v>64389.526004488805</v>
      </c>
      <c r="AR56" s="147">
        <v>64661.512591377228</v>
      </c>
      <c r="AS56" s="147">
        <v>64937.936000131267</v>
      </c>
      <c r="AT56" s="147">
        <v>65218.868607070988</v>
      </c>
      <c r="AU56" s="147">
        <v>65504.383969166003</v>
      </c>
      <c r="AV56" s="147">
        <v>65794.556843295009</v>
      </c>
      <c r="AW56" s="147">
        <v>66089.463205819426</v>
      </c>
      <c r="AX56" s="147">
        <v>66389.180272476442</v>
      </c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9"/>
    </row>
    <row r="57" spans="1:74" s="150" customFormat="1" ht="15">
      <c r="A57" s="158" t="s">
        <v>111</v>
      </c>
      <c r="B57" s="159" t="s">
        <v>142</v>
      </c>
      <c r="C57" s="160" t="s">
        <v>142</v>
      </c>
      <c r="D57" s="161">
        <v>11418</v>
      </c>
      <c r="E57" s="162">
        <v>11644</v>
      </c>
      <c r="F57" s="163">
        <v>11510</v>
      </c>
      <c r="G57" s="137">
        <v>15825</v>
      </c>
      <c r="H57" s="138">
        <v>0.72733017377567144</v>
      </c>
      <c r="I57" s="137">
        <v>16057</v>
      </c>
      <c r="J57" s="137">
        <v>11678.740600315956</v>
      </c>
      <c r="K57" s="137">
        <v>11634.287822878228</v>
      </c>
      <c r="L57" s="138">
        <v>-3.8062988946363507E-3</v>
      </c>
      <c r="M57" s="170" t="s">
        <v>27</v>
      </c>
      <c r="N57" s="140" t="s">
        <v>27</v>
      </c>
      <c r="O57" s="141">
        <v>11634.287822878228</v>
      </c>
      <c r="P57" s="142">
        <v>-3.8062988946363507E-3</v>
      </c>
      <c r="Q57" s="143">
        <v>11634.287822878228</v>
      </c>
      <c r="R57" s="144">
        <v>-3.8062988946363507E-3</v>
      </c>
      <c r="S57" s="143">
        <v>11333.729053997533</v>
      </c>
      <c r="T57" s="144">
        <v>-2.9541845146307089E-2</v>
      </c>
      <c r="U57" s="143">
        <v>11211.309775859092</v>
      </c>
      <c r="V57" s="144">
        <v>-4.0024077976714145E-2</v>
      </c>
      <c r="W57" s="143">
        <v>11125.266795039137</v>
      </c>
      <c r="X57" s="144">
        <v>-4.7391565941780178E-2</v>
      </c>
      <c r="Y57" s="145">
        <v>3.8062988946363507E-3</v>
      </c>
      <c r="Z57" s="146">
        <v>-1.2852625805011009E-3</v>
      </c>
      <c r="AA57" s="147">
        <v>1181.0701107011064</v>
      </c>
      <c r="AB57" s="148">
        <v>5.1697416974169741</v>
      </c>
      <c r="AC57" s="147">
        <v>11211.309775859092</v>
      </c>
      <c r="AD57" s="147">
        <v>11183.701403437219</v>
      </c>
      <c r="AE57" s="147">
        <v>11098.144585478114</v>
      </c>
      <c r="AF57" s="147">
        <v>11068.690188967872</v>
      </c>
      <c r="AG57" s="147">
        <v>11038.755313210582</v>
      </c>
      <c r="AH57" s="147">
        <v>11008.332120316687</v>
      </c>
      <c r="AI57" s="147">
        <v>10977.412644539883</v>
      </c>
      <c r="AJ57" s="147">
        <v>10945.988790191437</v>
      </c>
      <c r="AK57" s="147">
        <v>10914.052329520491</v>
      </c>
      <c r="AL57" s="147">
        <v>10881.594900559759</v>
      </c>
      <c r="AM57" s="147">
        <v>10848.608004936124</v>
      </c>
      <c r="AN57" s="147">
        <v>10815.08300564548</v>
      </c>
      <c r="AO57" s="147">
        <v>10781.011124791303</v>
      </c>
      <c r="AP57" s="147">
        <v>10746.383441286318</v>
      </c>
      <c r="AQ57" s="147">
        <v>10711.190888516683</v>
      </c>
      <c r="AR57" s="147">
        <v>10675.424251968059</v>
      </c>
      <c r="AS57" s="147">
        <v>10639.074166812965</v>
      </c>
      <c r="AT57" s="147">
        <v>10602.131115458771</v>
      </c>
      <c r="AU57" s="147">
        <v>10564.585425055697</v>
      </c>
      <c r="AV57" s="147">
        <v>10526.42726496415</v>
      </c>
      <c r="AW57" s="147">
        <v>10487.646644180764</v>
      </c>
      <c r="AX57" s="147">
        <v>10448.23340872243</v>
      </c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9"/>
    </row>
    <row r="58" spans="1:74" s="150" customFormat="1" ht="15">
      <c r="A58" s="158" t="s">
        <v>111</v>
      </c>
      <c r="B58" s="159" t="s">
        <v>143</v>
      </c>
      <c r="C58" s="160" t="s">
        <v>143</v>
      </c>
      <c r="D58" s="161">
        <v>18303</v>
      </c>
      <c r="E58" s="162">
        <v>20605</v>
      </c>
      <c r="F58" s="163">
        <v>20263</v>
      </c>
      <c r="G58" s="137">
        <v>22933</v>
      </c>
      <c r="H58" s="138">
        <v>0.88357388915536561</v>
      </c>
      <c r="I58" s="137">
        <v>24006</v>
      </c>
      <c r="J58" s="137">
        <v>21211.074783063708</v>
      </c>
      <c r="K58" s="137">
        <v>21974.372693726938</v>
      </c>
      <c r="L58" s="138">
        <v>3.5985819599895885E-2</v>
      </c>
      <c r="M58" s="170" t="s">
        <v>27</v>
      </c>
      <c r="N58" s="166" t="s">
        <v>104</v>
      </c>
      <c r="O58" s="141">
        <v>20916.307592819383</v>
      </c>
      <c r="P58" s="142">
        <v>-1.3896853094859996E-2</v>
      </c>
      <c r="Q58" s="143">
        <v>21974.372693726938</v>
      </c>
      <c r="R58" s="144">
        <v>3.5985819599895885E-2</v>
      </c>
      <c r="S58" s="143">
        <v>19815.813759922075</v>
      </c>
      <c r="T58" s="144">
        <v>-6.5779836119181478E-2</v>
      </c>
      <c r="U58" s="143">
        <v>19500.671218983651</v>
      </c>
      <c r="V58" s="144">
        <v>-8.0637288849019328E-2</v>
      </c>
      <c r="W58" s="143">
        <v>20916.307592819383</v>
      </c>
      <c r="X58" s="144">
        <v>-1.3896853094859996E-2</v>
      </c>
      <c r="Y58" s="145">
        <v>1.3896853094859996E-2</v>
      </c>
      <c r="Z58" s="146">
        <v>-1.8579609505073869E-3</v>
      </c>
      <c r="AA58" s="147">
        <v>-191350.35793357948</v>
      </c>
      <c r="AB58" s="148">
        <v>105.50184501845025</v>
      </c>
      <c r="AC58" s="147">
        <v>19500.671218983651</v>
      </c>
      <c r="AD58" s="147">
        <v>19430.208059518867</v>
      </c>
      <c r="AE58" s="147">
        <v>19211.84662860832</v>
      </c>
      <c r="AF58" s="147">
        <v>19136.671974828445</v>
      </c>
      <c r="AG58" s="147">
        <v>19060.271023268797</v>
      </c>
      <c r="AH58" s="147">
        <v>18982.623769763482</v>
      </c>
      <c r="AI58" s="147">
        <v>18903.709883825668</v>
      </c>
      <c r="AJ58" s="147">
        <v>18823.508703324416</v>
      </c>
      <c r="AK58" s="147">
        <v>18741.999229074685</v>
      </c>
      <c r="AL58" s="147">
        <v>18659.160119339089</v>
      </c>
      <c r="AM58" s="147">
        <v>18574.969684239957</v>
      </c>
      <c r="AN58" s="147">
        <v>18489.405880080252</v>
      </c>
      <c r="AO58" s="147">
        <v>18402.446303571829</v>
      </c>
      <c r="AP58" s="147">
        <v>18314.068185969554</v>
      </c>
      <c r="AQ58" s="147">
        <v>18224.248387109743</v>
      </c>
      <c r="AR58" s="147">
        <v>18132.963389351313</v>
      </c>
      <c r="AS58" s="147">
        <v>18040.189291418159</v>
      </c>
      <c r="AT58" s="147">
        <v>17945.901802141041</v>
      </c>
      <c r="AU58" s="147">
        <v>17850.076234097374</v>
      </c>
      <c r="AV58" s="147">
        <v>17752.687497147308</v>
      </c>
      <c r="AW58" s="147">
        <v>17653.710091864334</v>
      </c>
      <c r="AX58" s="147">
        <v>17553.118102858742</v>
      </c>
      <c r="AY58" s="167">
        <v>20501.354015561516</v>
      </c>
      <c r="AZ58" s="168">
        <f>(($BF58-$AY58)/($BF$4-$AY$4))*(AZ$4-$BF$4)+$BF58</f>
        <v>20916.307592819383</v>
      </c>
      <c r="BA58" s="168">
        <f t="shared" ref="BA58:BE59" si="6">(($BF58-$AY58)/($BF$4-$AY$4))*(BA$4-$BF$4)+$BF58</f>
        <v>21123.784381448317</v>
      </c>
      <c r="BB58" s="168">
        <f t="shared" si="6"/>
        <v>21746.214747335118</v>
      </c>
      <c r="BC58" s="168">
        <f t="shared" si="6"/>
        <v>21953.691535964052</v>
      </c>
      <c r="BD58" s="168">
        <f t="shared" si="6"/>
        <v>22161.168324592985</v>
      </c>
      <c r="BE58" s="168">
        <f t="shared" si="6"/>
        <v>22368.645113221919</v>
      </c>
      <c r="BF58" s="167">
        <v>22576.121901850853</v>
      </c>
      <c r="BG58" s="169">
        <f>(($BU58-$BF58)/($BU$4-$BF$4))*(BG$4-$BU$4)+$BU58</f>
        <v>22875.923605238549</v>
      </c>
      <c r="BH58" s="169">
        <f t="shared" ref="BH58:BT59" si="7">(($BU58-$BF58)/($BU$4-$BF$4))*(BH$4-$BU$4)+$BU58</f>
        <v>23175.725308626246</v>
      </c>
      <c r="BI58" s="169">
        <f t="shared" si="7"/>
        <v>23475.527012013943</v>
      </c>
      <c r="BJ58" s="169">
        <f t="shared" si="7"/>
        <v>23775.32871540164</v>
      </c>
      <c r="BK58" s="169">
        <f t="shared" si="7"/>
        <v>24075.130418789337</v>
      </c>
      <c r="BL58" s="169">
        <f t="shared" si="7"/>
        <v>24374.932122177037</v>
      </c>
      <c r="BM58" s="169">
        <f t="shared" si="7"/>
        <v>24674.733825564734</v>
      </c>
      <c r="BN58" s="169">
        <f t="shared" si="7"/>
        <v>24974.53552895243</v>
      </c>
      <c r="BO58" s="169">
        <f t="shared" si="7"/>
        <v>25274.337232340127</v>
      </c>
      <c r="BP58" s="169">
        <f t="shared" si="7"/>
        <v>25574.138935727824</v>
      </c>
      <c r="BQ58" s="169">
        <f t="shared" si="7"/>
        <v>25873.940639115521</v>
      </c>
      <c r="BR58" s="169">
        <f t="shared" si="7"/>
        <v>26173.742342503218</v>
      </c>
      <c r="BS58" s="169">
        <f t="shared" si="7"/>
        <v>26473.544045890914</v>
      </c>
      <c r="BT58" s="169">
        <f t="shared" si="7"/>
        <v>26773.345749278611</v>
      </c>
      <c r="BU58" s="167">
        <v>27073.147452666308</v>
      </c>
      <c r="BV58" s="149"/>
    </row>
    <row r="59" spans="1:74" s="150" customFormat="1" ht="15">
      <c r="A59" s="158" t="s">
        <v>111</v>
      </c>
      <c r="B59" s="159" t="s">
        <v>144</v>
      </c>
      <c r="C59" s="160" t="s">
        <v>144</v>
      </c>
      <c r="D59" s="161">
        <v>20726</v>
      </c>
      <c r="E59" s="162">
        <v>22624</v>
      </c>
      <c r="F59" s="163">
        <v>23621</v>
      </c>
      <c r="G59" s="137">
        <v>38320</v>
      </c>
      <c r="H59" s="138">
        <v>0.61641440501043843</v>
      </c>
      <c r="I59" s="137">
        <v>42276</v>
      </c>
      <c r="J59" s="137">
        <v>26059.535386221294</v>
      </c>
      <c r="K59" s="137">
        <v>25588.926199261972</v>
      </c>
      <c r="L59" s="138">
        <v>-1.8059001435925537E-2</v>
      </c>
      <c r="M59" s="170" t="s">
        <v>27</v>
      </c>
      <c r="N59" s="166" t="s">
        <v>104</v>
      </c>
      <c r="O59" s="141">
        <v>26028.100976182341</v>
      </c>
      <c r="P59" s="142">
        <v>-1.2062536638920429E-3</v>
      </c>
      <c r="Q59" s="143">
        <v>25588.926199261972</v>
      </c>
      <c r="R59" s="144">
        <v>-1.8059001435925537E-2</v>
      </c>
      <c r="S59" s="143">
        <v>25019.010513227986</v>
      </c>
      <c r="T59" s="144">
        <v>-3.9928757653272418E-2</v>
      </c>
      <c r="U59" s="143">
        <v>25843.344428869295</v>
      </c>
      <c r="V59" s="144">
        <v>-8.296040360961543E-3</v>
      </c>
      <c r="W59" s="143">
        <v>26028.100976182341</v>
      </c>
      <c r="X59" s="144">
        <v>-1.2062536638920429E-3</v>
      </c>
      <c r="Y59" s="145">
        <v>1.2062536638920429E-3</v>
      </c>
      <c r="Z59" s="146">
        <v>4.803149112356353E-3</v>
      </c>
      <c r="AA59" s="147">
        <v>-283896.45387453877</v>
      </c>
      <c r="AB59" s="148">
        <v>153.05904059040591</v>
      </c>
      <c r="AC59" s="147">
        <v>25843.344428869295</v>
      </c>
      <c r="AD59" s="147">
        <v>26048.75896099324</v>
      </c>
      <c r="AE59" s="147">
        <v>26685.327225957615</v>
      </c>
      <c r="AF59" s="147">
        <v>26904.47672835099</v>
      </c>
      <c r="AG59" s="147">
        <v>27127.201139769033</v>
      </c>
      <c r="AH59" s="147">
        <v>27353.558776449732</v>
      </c>
      <c r="AI59" s="147">
        <v>27583.608905923415</v>
      </c>
      <c r="AJ59" s="147">
        <v>27817.411762530868</v>
      </c>
      <c r="AK59" s="147">
        <v>28055.028563194559</v>
      </c>
      <c r="AL59" s="147">
        <v>28296.521523447165</v>
      </c>
      <c r="AM59" s="147">
        <v>28541.95387372153</v>
      </c>
      <c r="AN59" s="147">
        <v>28791.389875906392</v>
      </c>
      <c r="AO59" s="147">
        <v>29044.894840172175</v>
      </c>
      <c r="AP59" s="147">
        <v>29302.535142071207</v>
      </c>
      <c r="AQ59" s="147">
        <v>29564.378239916921</v>
      </c>
      <c r="AR59" s="147">
        <v>29830.492692446616</v>
      </c>
      <c r="AS59" s="147">
        <v>30100.948176772199</v>
      </c>
      <c r="AT59" s="147">
        <v>30375.81550662392</v>
      </c>
      <c r="AU59" s="147">
        <v>30655.166650891573</v>
      </c>
      <c r="AV59" s="147">
        <v>30939.074752468227</v>
      </c>
      <c r="AW59" s="147">
        <v>31227.614147401338</v>
      </c>
      <c r="AX59" s="147">
        <v>31520.860384356241</v>
      </c>
      <c r="AY59" s="167">
        <v>25382.056382841081</v>
      </c>
      <c r="AZ59" s="168">
        <f>(($BF59-$AY59)/($BF$4-$AY$4))*(AZ$4-$BF$4)+$BF59</f>
        <v>26028.100976182341</v>
      </c>
      <c r="BA59" s="168">
        <f t="shared" si="6"/>
        <v>26351.123272852969</v>
      </c>
      <c r="BB59" s="168">
        <f t="shared" si="6"/>
        <v>27320.190162864856</v>
      </c>
      <c r="BC59" s="168">
        <f t="shared" si="6"/>
        <v>27643.212459535484</v>
      </c>
      <c r="BD59" s="168">
        <f t="shared" si="6"/>
        <v>27966.234756206111</v>
      </c>
      <c r="BE59" s="168">
        <f t="shared" si="6"/>
        <v>28289.257052876743</v>
      </c>
      <c r="BF59" s="167">
        <v>28612.279349547371</v>
      </c>
      <c r="BG59" s="169">
        <f>(($BU59-$BF59)/($BU$4-$BF$4))*(BG$4-$BU$4)+$BU59</f>
        <v>29039.311641482986</v>
      </c>
      <c r="BH59" s="169">
        <f t="shared" si="7"/>
        <v>29466.3439334186</v>
      </c>
      <c r="BI59" s="169">
        <f t="shared" si="7"/>
        <v>29893.376225354215</v>
      </c>
      <c r="BJ59" s="169">
        <f t="shared" si="7"/>
        <v>30320.40851728983</v>
      </c>
      <c r="BK59" s="169">
        <f t="shared" si="7"/>
        <v>30747.440809225445</v>
      </c>
      <c r="BL59" s="169">
        <f t="shared" si="7"/>
        <v>31174.47310116106</v>
      </c>
      <c r="BM59" s="169">
        <f t="shared" si="7"/>
        <v>31601.505393096675</v>
      </c>
      <c r="BN59" s="169">
        <f t="shared" si="7"/>
        <v>32028.53768503229</v>
      </c>
      <c r="BO59" s="169">
        <f t="shared" si="7"/>
        <v>32455.569976967905</v>
      </c>
      <c r="BP59" s="169">
        <f t="shared" si="7"/>
        <v>32882.602268903516</v>
      </c>
      <c r="BQ59" s="169">
        <f t="shared" si="7"/>
        <v>33309.634560839135</v>
      </c>
      <c r="BR59" s="169">
        <f t="shared" si="7"/>
        <v>33736.666852774753</v>
      </c>
      <c r="BS59" s="169">
        <f t="shared" si="7"/>
        <v>34163.699144710365</v>
      </c>
      <c r="BT59" s="169">
        <f t="shared" si="7"/>
        <v>34590.731436645976</v>
      </c>
      <c r="BU59" s="167">
        <v>35017.763728581594</v>
      </c>
      <c r="BV59" s="149"/>
    </row>
    <row r="60" spans="1:74" s="150" customFormat="1" ht="15">
      <c r="A60" s="158" t="s">
        <v>111</v>
      </c>
      <c r="B60" s="159" t="s">
        <v>145</v>
      </c>
      <c r="C60" s="160" t="s">
        <v>145</v>
      </c>
      <c r="D60" s="161">
        <v>9830</v>
      </c>
      <c r="E60" s="162">
        <v>10932</v>
      </c>
      <c r="F60" s="163">
        <v>12122</v>
      </c>
      <c r="G60" s="137">
        <v>16889</v>
      </c>
      <c r="H60" s="138">
        <v>0.71774527799159216</v>
      </c>
      <c r="I60" s="137">
        <v>19066</v>
      </c>
      <c r="J60" s="137">
        <v>13684.531470187696</v>
      </c>
      <c r="K60" s="137">
        <v>13841.362956874784</v>
      </c>
      <c r="L60" s="138">
        <v>1.1460493698943974E-2</v>
      </c>
      <c r="M60" s="170" t="s">
        <v>26</v>
      </c>
      <c r="N60" s="140" t="s">
        <v>27</v>
      </c>
      <c r="O60" s="141">
        <v>13530.70110701106</v>
      </c>
      <c r="P60" s="142">
        <v>-1.1241185970580103E-2</v>
      </c>
      <c r="Q60" s="143">
        <v>13530.70110701106</v>
      </c>
      <c r="R60" s="144">
        <v>-1.1241185970580103E-2</v>
      </c>
      <c r="S60" s="143">
        <v>13841.362956874784</v>
      </c>
      <c r="T60" s="144">
        <v>1.1460493698943974E-2</v>
      </c>
      <c r="U60" s="143">
        <v>14774.547512893147</v>
      </c>
      <c r="V60" s="144">
        <v>7.9653150353016899E-2</v>
      </c>
      <c r="W60" s="143">
        <v>14804.334625290654</v>
      </c>
      <c r="X60" s="144">
        <v>8.1829849822954825E-2</v>
      </c>
      <c r="Y60" s="145">
        <v>1.1241185970580103E-2</v>
      </c>
      <c r="Z60" s="146">
        <v>1.1114600050018519E-2</v>
      </c>
      <c r="AA60" s="147">
        <v>-229997.1881918819</v>
      </c>
      <c r="AB60" s="148">
        <v>120.4391143911439</v>
      </c>
      <c r="AC60" s="147">
        <v>14774.547512893147</v>
      </c>
      <c r="AD60" s="147">
        <v>15019.726342609785</v>
      </c>
      <c r="AE60" s="147">
        <v>15779.521964783919</v>
      </c>
      <c r="AF60" s="147">
        <v>16041.094590509205</v>
      </c>
      <c r="AG60" s="147">
        <v>16306.934158801549</v>
      </c>
      <c r="AH60" s="147">
        <v>16577.110274799583</v>
      </c>
      <c r="AI60" s="147">
        <v>16851.693679086125</v>
      </c>
      <c r="AJ60" s="147">
        <v>17130.75626621037</v>
      </c>
      <c r="AK60" s="147">
        <v>17414.371103512069</v>
      </c>
      <c r="AL60" s="147">
        <v>17702.612450252884</v>
      </c>
      <c r="AM60" s="147">
        <v>17995.555777059799</v>
      </c>
      <c r="AN60" s="147">
        <v>18293.27778568567</v>
      </c>
      <c r="AO60" s="147">
        <v>18595.856429092175</v>
      </c>
      <c r="AP60" s="147">
        <v>18903.370931860318</v>
      </c>
      <c r="AQ60" s="147">
        <v>19215.901810933941</v>
      </c>
      <c r="AR60" s="147">
        <v>19533.530896701577</v>
      </c>
      <c r="AS60" s="147">
        <v>19856.341354422188</v>
      </c>
      <c r="AT60" s="147">
        <v>20184.417706000473</v>
      </c>
      <c r="AU60" s="147">
        <v>20517.845852117327</v>
      </c>
      <c r="AV60" s="147">
        <v>20856.713094721359</v>
      </c>
      <c r="AW60" s="147">
        <v>21201.108159887255</v>
      </c>
      <c r="AX60" s="147">
        <v>21551.121221047073</v>
      </c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9"/>
    </row>
    <row r="61" spans="1:74" s="150" customFormat="1" ht="15">
      <c r="A61" s="158" t="s">
        <v>111</v>
      </c>
      <c r="B61" s="159" t="s">
        <v>146</v>
      </c>
      <c r="C61" s="160" t="s">
        <v>146</v>
      </c>
      <c r="D61" s="161">
        <v>22060</v>
      </c>
      <c r="E61" s="162">
        <v>24120</v>
      </c>
      <c r="F61" s="163">
        <v>25940</v>
      </c>
      <c r="G61" s="137">
        <v>27042</v>
      </c>
      <c r="H61" s="138">
        <v>0.95924857628873605</v>
      </c>
      <c r="I61" s="137">
        <v>31002</v>
      </c>
      <c r="J61" s="137">
        <v>29738.624362103394</v>
      </c>
      <c r="K61" s="137">
        <v>28582.060189976251</v>
      </c>
      <c r="L61" s="138">
        <v>-3.8890977539666527E-2</v>
      </c>
      <c r="M61" s="170" t="s">
        <v>26</v>
      </c>
      <c r="N61" s="166" t="s">
        <v>104</v>
      </c>
      <c r="O61" s="141">
        <v>29897.867356618899</v>
      </c>
      <c r="P61" s="142">
        <v>5.3547532184585744E-3</v>
      </c>
      <c r="Q61" s="143">
        <v>28397.195571955701</v>
      </c>
      <c r="R61" s="144">
        <v>-4.5107291238968839E-2</v>
      </c>
      <c r="S61" s="143">
        <v>28582.060189976251</v>
      </c>
      <c r="T61" s="144">
        <v>-3.8890977539666527E-2</v>
      </c>
      <c r="U61" s="143">
        <v>29996.837372660102</v>
      </c>
      <c r="V61" s="144">
        <v>8.6827489870633379E-3</v>
      </c>
      <c r="W61" s="143">
        <v>29897.867356618899</v>
      </c>
      <c r="X61" s="144">
        <v>5.3547532184585744E-3</v>
      </c>
      <c r="Y61" s="145">
        <v>5.3547532184585744E-3</v>
      </c>
      <c r="Z61" s="146">
        <v>8.1155099987404444E-3</v>
      </c>
      <c r="AA61" s="147">
        <v>-384583.24723247223</v>
      </c>
      <c r="AB61" s="148">
        <v>204.2435424354243</v>
      </c>
      <c r="AC61" s="147">
        <v>29996.837372660102</v>
      </c>
      <c r="AD61" s="147">
        <v>30371.81675928555</v>
      </c>
      <c r="AE61" s="147">
        <v>31533.857122610694</v>
      </c>
      <c r="AF61" s="147">
        <v>31933.909373719955</v>
      </c>
      <c r="AG61" s="147">
        <v>32340.487536990597</v>
      </c>
      <c r="AH61" s="147">
        <v>32753.698067340531</v>
      </c>
      <c r="AI61" s="147">
        <v>33173.649156249361</v>
      </c>
      <c r="AJ61" s="147">
        <v>33600.450760086431</v>
      </c>
      <c r="AK61" s="147">
        <v>34034.214628900794</v>
      </c>
      <c r="AL61" s="147">
        <v>34475.054335680878</v>
      </c>
      <c r="AM61" s="147">
        <v>34923.085306091452</v>
      </c>
      <c r="AN61" s="147">
        <v>35378.424848695722</v>
      </c>
      <c r="AO61" s="147">
        <v>35841.19218567037</v>
      </c>
      <c r="AP61" s="147">
        <v>36311.508484021659</v>
      </c>
      <c r="AQ61" s="147">
        <v>36789.496887310728</v>
      </c>
      <c r="AR61" s="147">
        <v>37275.282547896524</v>
      </c>
      <c r="AS61" s="147">
        <v>37768.992659704527</v>
      </c>
      <c r="AT61" s="147">
        <v>38270.756491530134</v>
      </c>
      <c r="AU61" s="147">
        <v>38780.705420885308</v>
      </c>
      <c r="AV61" s="147">
        <v>39298.972968397356</v>
      </c>
      <c r="AW61" s="147">
        <v>39825.694832768742</v>
      </c>
      <c r="AX61" s="147">
        <v>40361.008926307273</v>
      </c>
      <c r="AY61" s="167">
        <v>29037.376190837069</v>
      </c>
      <c r="AZ61" s="168">
        <f>(($BF61-$AY61)/($BF$4-$AY$4))*(AZ$4-$BF$4)+$BF61</f>
        <v>29897.867356618899</v>
      </c>
      <c r="BA61" s="168">
        <f t="shared" ref="BA61:BE61" si="8">(($BF61-$AY61)/($BF$4-$AY$4))*(BA$4-$BF$4)+$BF61</f>
        <v>30328.112939509814</v>
      </c>
      <c r="BB61" s="168">
        <f t="shared" si="8"/>
        <v>31618.849688182556</v>
      </c>
      <c r="BC61" s="168">
        <f t="shared" si="8"/>
        <v>32049.095271073471</v>
      </c>
      <c r="BD61" s="168">
        <f t="shared" si="8"/>
        <v>32479.340853964386</v>
      </c>
      <c r="BE61" s="168">
        <f t="shared" si="8"/>
        <v>32909.586436855301</v>
      </c>
      <c r="BF61" s="167">
        <v>33339.832019746216</v>
      </c>
      <c r="BG61" s="169">
        <f>(($BU61-$BF61)/($BU$4-$BF$4))*(BG$4-$BU$4)+$BU61</f>
        <v>33885.289946537945</v>
      </c>
      <c r="BH61" s="169">
        <f t="shared" ref="BH61:BT61" si="9">(($BU61-$BF61)/($BU$4-$BF$4))*(BH$4-$BU$4)+$BU61</f>
        <v>34430.747873329674</v>
      </c>
      <c r="BI61" s="169">
        <f t="shared" si="9"/>
        <v>34976.205800121403</v>
      </c>
      <c r="BJ61" s="169">
        <f t="shared" si="9"/>
        <v>35521.663726913132</v>
      </c>
      <c r="BK61" s="169">
        <f t="shared" si="9"/>
        <v>36067.121653704853</v>
      </c>
      <c r="BL61" s="169">
        <f t="shared" si="9"/>
        <v>36612.579580496582</v>
      </c>
      <c r="BM61" s="169">
        <f t="shared" si="9"/>
        <v>37158.037507288311</v>
      </c>
      <c r="BN61" s="169">
        <f t="shared" si="9"/>
        <v>37703.49543408004</v>
      </c>
      <c r="BO61" s="169">
        <f t="shared" si="9"/>
        <v>38248.953360871768</v>
      </c>
      <c r="BP61" s="169">
        <f t="shared" si="9"/>
        <v>38794.411287663497</v>
      </c>
      <c r="BQ61" s="169">
        <f t="shared" si="9"/>
        <v>39339.869214455226</v>
      </c>
      <c r="BR61" s="169">
        <f t="shared" si="9"/>
        <v>39885.327141246948</v>
      </c>
      <c r="BS61" s="169">
        <f t="shared" si="9"/>
        <v>40430.785068038676</v>
      </c>
      <c r="BT61" s="169">
        <f t="shared" si="9"/>
        <v>40976.242994830405</v>
      </c>
      <c r="BU61" s="167">
        <v>41521.700921622134</v>
      </c>
      <c r="BV61" s="179"/>
    </row>
    <row r="62" spans="1:74" s="150" customFormat="1" ht="15">
      <c r="A62" s="158" t="s">
        <v>111</v>
      </c>
      <c r="B62" s="159" t="s">
        <v>147</v>
      </c>
      <c r="C62" s="171" t="s">
        <v>147</v>
      </c>
      <c r="D62" s="172">
        <v>48010</v>
      </c>
      <c r="E62" s="162">
        <v>51322</v>
      </c>
      <c r="F62" s="163">
        <v>56463</v>
      </c>
      <c r="G62" s="137">
        <v>56729</v>
      </c>
      <c r="H62" s="138">
        <v>0.99531104020871164</v>
      </c>
      <c r="I62" s="137">
        <v>64381</v>
      </c>
      <c r="J62" s="137">
        <v>64079.120079677064</v>
      </c>
      <c r="K62" s="137">
        <v>62632.163598581261</v>
      </c>
      <c r="L62" s="138">
        <v>-2.2580779500352532E-2</v>
      </c>
      <c r="M62" s="170" t="s">
        <v>26</v>
      </c>
      <c r="N62" s="140" t="s">
        <v>26</v>
      </c>
      <c r="O62" s="141">
        <v>62632.163598581261</v>
      </c>
      <c r="P62" s="142">
        <v>-2.2580779500352532E-2</v>
      </c>
      <c r="Q62" s="143">
        <v>61378.003690036829</v>
      </c>
      <c r="R62" s="144">
        <v>-4.2152832096970516E-2</v>
      </c>
      <c r="S62" s="143">
        <v>62632.163598581261</v>
      </c>
      <c r="T62" s="144">
        <v>-2.2580779500352532E-2</v>
      </c>
      <c r="U62" s="143">
        <v>67922.451062003092</v>
      </c>
      <c r="V62" s="144">
        <v>5.9977898846725219E-2</v>
      </c>
      <c r="W62" s="143">
        <v>66176.524558635399</v>
      </c>
      <c r="X62" s="144">
        <v>3.2731480650021183E-2</v>
      </c>
      <c r="Y62" s="145">
        <v>2.2580779500352532E-2</v>
      </c>
      <c r="Z62" s="146">
        <v>8.6785576483277005E-3</v>
      </c>
      <c r="AA62" s="147">
        <v>-833957.62730627309</v>
      </c>
      <c r="AB62" s="148">
        <v>442.7970479704797</v>
      </c>
      <c r="AC62" s="147">
        <v>67922.451062003092</v>
      </c>
      <c r="AD62" s="147">
        <v>68981.664812904957</v>
      </c>
      <c r="AE62" s="147">
        <v>72264.109597440431</v>
      </c>
      <c r="AF62" s="147">
        <v>73394.147302359517</v>
      </c>
      <c r="AG62" s="147">
        <v>74542.618916301493</v>
      </c>
      <c r="AH62" s="147">
        <v>75709.825145163544</v>
      </c>
      <c r="AI62" s="147">
        <v>76896.071600152733</v>
      </c>
      <c r="AJ62" s="147">
        <v>78101.668877804623</v>
      </c>
      <c r="AK62" s="147">
        <v>79326.932641307154</v>
      </c>
      <c r="AL62" s="147">
        <v>80572.183703151328</v>
      </c>
      <c r="AM62" s="147">
        <v>81837.748109129781</v>
      </c>
      <c r="AN62" s="147">
        <v>83123.957223705918</v>
      </c>
      <c r="AO62" s="147">
        <v>84431.147816775483</v>
      </c>
      <c r="AP62" s="147">
        <v>85759.6621518436</v>
      </c>
      <c r="AQ62" s="147">
        <v>87109.848075639806</v>
      </c>
      <c r="AR62" s="147">
        <v>88482.05910919563</v>
      </c>
      <c r="AS62" s="147">
        <v>89876.654540407122</v>
      </c>
      <c r="AT62" s="147">
        <v>91293.999518107914</v>
      </c>
      <c r="AU62" s="147">
        <v>92734.465147676616</v>
      </c>
      <c r="AV62" s="147">
        <v>94198.428588203766</v>
      </c>
      <c r="AW62" s="147">
        <v>95686.273151244008</v>
      </c>
      <c r="AX62" s="147">
        <v>97198.388401178992</v>
      </c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79"/>
    </row>
    <row r="63" spans="1:74" s="150" customFormat="1" ht="15">
      <c r="A63" s="132" t="s">
        <v>82</v>
      </c>
      <c r="B63" s="155" t="s">
        <v>148</v>
      </c>
      <c r="C63" s="155" t="s">
        <v>148</v>
      </c>
      <c r="D63" s="180">
        <v>121833</v>
      </c>
      <c r="E63" s="153">
        <v>173155</v>
      </c>
      <c r="F63" s="163">
        <v>212208</v>
      </c>
      <c r="G63" s="137">
        <v>213619</v>
      </c>
      <c r="H63" s="138">
        <v>0.99339478229932732</v>
      </c>
      <c r="I63" s="137">
        <v>256144</v>
      </c>
      <c r="J63" s="137">
        <v>254452.1131172789</v>
      </c>
      <c r="K63" s="137">
        <v>278311.21443171834</v>
      </c>
      <c r="L63" s="138">
        <v>9.3766567792041178E-2</v>
      </c>
      <c r="M63" s="170" t="s">
        <v>26</v>
      </c>
      <c r="N63" s="140" t="s">
        <v>27</v>
      </c>
      <c r="O63" s="141">
        <v>270686.86346863396</v>
      </c>
      <c r="P63" s="142">
        <v>6.3802772759337767E-2</v>
      </c>
      <c r="Q63" s="143">
        <v>270686.86346863396</v>
      </c>
      <c r="R63" s="144">
        <v>6.3802772759337767E-2</v>
      </c>
      <c r="S63" s="143">
        <v>278311.21443171834</v>
      </c>
      <c r="T63" s="144">
        <v>9.3766567792041178E-2</v>
      </c>
      <c r="U63" s="143">
        <v>299258.36808488739</v>
      </c>
      <c r="V63" s="144">
        <v>0.17608914470659931</v>
      </c>
      <c r="W63" s="143">
        <v>361821.2349013596</v>
      </c>
      <c r="X63" s="144">
        <v>0.42196199696951808</v>
      </c>
      <c r="Y63" s="145">
        <v>6.3802772759337767E-2</v>
      </c>
      <c r="Z63" s="146">
        <v>2.2855016608570589E-2</v>
      </c>
      <c r="AA63" s="147">
        <v>-9361128.7896678951</v>
      </c>
      <c r="AB63" s="148">
        <v>4763.5092250922498</v>
      </c>
      <c r="AC63" s="147">
        <v>299258.36808488739</v>
      </c>
      <c r="AD63" s="147">
        <v>307304.56038482336</v>
      </c>
      <c r="AE63" s="147">
        <v>332239.26495017344</v>
      </c>
      <c r="AF63" s="147">
        <v>340823.46306147554</v>
      </c>
      <c r="AG63" s="147">
        <v>349547.69218796375</v>
      </c>
      <c r="AH63" s="147">
        <v>358414.23660651082</v>
      </c>
      <c r="AI63" s="147">
        <v>367425.41785659688</v>
      </c>
      <c r="AJ63" s="147">
        <v>376583.59534816246</v>
      </c>
      <c r="AK63" s="147">
        <v>385891.16697937518</v>
      </c>
      <c r="AL63" s="147">
        <v>395350.56976447545</v>
      </c>
      <c r="AM63" s="147">
        <v>404964.28047186241</v>
      </c>
      <c r="AN63" s="147">
        <v>414734.81627259019</v>
      </c>
      <c r="AO63" s="147">
        <v>424664.73539944238</v>
      </c>
      <c r="AP63" s="147">
        <v>434756.63781675696</v>
      </c>
      <c r="AQ63" s="147">
        <v>445013.16590117908</v>
      </c>
      <c r="AR63" s="147">
        <v>455437.00513351813</v>
      </c>
      <c r="AS63" s="147">
        <v>466030.88480189047</v>
      </c>
      <c r="AT63" s="147">
        <v>476797.57871633302</v>
      </c>
      <c r="AU63" s="147">
        <v>487739.90593507374</v>
      </c>
      <c r="AV63" s="147">
        <v>498860.73150264961</v>
      </c>
      <c r="AW63" s="147">
        <v>510162.96720006457</v>
      </c>
      <c r="AX63" s="147">
        <v>521649.57230718585</v>
      </c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9"/>
    </row>
    <row r="64" spans="1:74" s="150" customFormat="1" ht="15">
      <c r="A64" s="158" t="s">
        <v>111</v>
      </c>
      <c r="B64" s="174" t="s">
        <v>149</v>
      </c>
      <c r="C64" s="175" t="s">
        <v>150</v>
      </c>
      <c r="D64" s="176">
        <v>6173</v>
      </c>
      <c r="E64" s="177">
        <v>8044</v>
      </c>
      <c r="F64" s="178">
        <v>9244</v>
      </c>
      <c r="G64" s="137">
        <v>29805</v>
      </c>
      <c r="H64" s="138">
        <v>0.31014930380808592</v>
      </c>
      <c r="I64" s="137">
        <v>39193</v>
      </c>
      <c r="J64" s="137">
        <v>12155.681664150312</v>
      </c>
      <c r="K64" s="137">
        <v>11918.837828127542</v>
      </c>
      <c r="L64" s="138">
        <v>-1.9484208501549749E-2</v>
      </c>
      <c r="M64" s="170" t="s">
        <v>66</v>
      </c>
      <c r="N64" s="140" t="s">
        <v>66</v>
      </c>
      <c r="O64" s="141">
        <v>11918.837828127542</v>
      </c>
      <c r="P64" s="142">
        <v>-1.9484208501549749E-2</v>
      </c>
      <c r="Q64" s="143">
        <v>11278.498154981527</v>
      </c>
      <c r="R64" s="144">
        <v>-7.2162428517339783E-2</v>
      </c>
      <c r="S64" s="143">
        <v>11126.974770359566</v>
      </c>
      <c r="T64" s="144">
        <v>-8.4627659905295305E-2</v>
      </c>
      <c r="U64" s="143">
        <v>11918.837828127542</v>
      </c>
      <c r="V64" s="144">
        <v>-1.9484208501549749E-2</v>
      </c>
      <c r="W64" s="143">
        <v>13407.99884956982</v>
      </c>
      <c r="X64" s="144">
        <v>0.10302319689013051</v>
      </c>
      <c r="Y64" s="145">
        <v>1.9484208501549749E-2</v>
      </c>
      <c r="Z64" s="146">
        <v>1.5569767489876485E-2</v>
      </c>
      <c r="AA64" s="147">
        <v>-316490.68634686351</v>
      </c>
      <c r="AB64" s="148">
        <v>162.10147601476015</v>
      </c>
      <c r="AC64" s="147">
        <v>11918.837828127542</v>
      </c>
      <c r="AD64" s="147">
        <v>12166.076984144322</v>
      </c>
      <c r="AE64" s="147">
        <v>12932.257443479582</v>
      </c>
      <c r="AF64" s="147">
        <v>13196.028158496676</v>
      </c>
      <c r="AG64" s="147">
        <v>13464.101672741059</v>
      </c>
      <c r="AH64" s="147">
        <v>13736.548176268481</v>
      </c>
      <c r="AI64" s="147">
        <v>14013.439004120461</v>
      </c>
      <c r="AJ64" s="147">
        <v>14294.846655002051</v>
      </c>
      <c r="AK64" s="147">
        <v>14580.844810264265</v>
      </c>
      <c r="AL64" s="147">
        <v>14871.508353196185</v>
      </c>
      <c r="AM64" s="147">
        <v>15166.91338863173</v>
      </c>
      <c r="AN64" s="147">
        <v>15467.137262876306</v>
      </c>
      <c r="AO64" s="147">
        <v>15772.25858395849</v>
      </c>
      <c r="AP64" s="147">
        <v>16082.357242212081</v>
      </c>
      <c r="AQ64" s="147">
        <v>16397.514431193893</v>
      </c>
      <c r="AR64" s="147">
        <v>16717.812668942766</v>
      </c>
      <c r="AS64" s="147">
        <v>17043.335819585402</v>
      </c>
      <c r="AT64" s="147">
        <v>17374.169115294593</v>
      </c>
      <c r="AU64" s="147">
        <v>17710.399178605709</v>
      </c>
      <c r="AV64" s="147">
        <v>18052.114045097165</v>
      </c>
      <c r="AW64" s="147">
        <v>18399.403186440926</v>
      </c>
      <c r="AX64" s="147">
        <v>18752.357533828977</v>
      </c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9"/>
    </row>
    <row r="65" spans="1:74" s="150" customFormat="1" ht="15">
      <c r="A65" s="158" t="s">
        <v>111</v>
      </c>
      <c r="B65" s="159" t="s">
        <v>151</v>
      </c>
      <c r="C65" s="165" t="s">
        <v>151</v>
      </c>
      <c r="D65" s="161">
        <v>5197</v>
      </c>
      <c r="E65" s="162">
        <v>6217</v>
      </c>
      <c r="F65" s="163">
        <v>7225</v>
      </c>
      <c r="G65" s="137">
        <v>8869</v>
      </c>
      <c r="H65" s="138">
        <v>0.81463524636373885</v>
      </c>
      <c r="I65" s="137">
        <v>9752</v>
      </c>
      <c r="J65" s="137">
        <v>7944.3229225391815</v>
      </c>
      <c r="K65" s="137">
        <v>8827.691824775744</v>
      </c>
      <c r="L65" s="156">
        <v>0.11119498928351956</v>
      </c>
      <c r="M65" s="170" t="s">
        <v>26</v>
      </c>
      <c r="N65" s="140" t="s">
        <v>27</v>
      </c>
      <c r="O65" s="141">
        <v>8488.1881918818981</v>
      </c>
      <c r="P65" s="142">
        <v>6.8459612561782013E-2</v>
      </c>
      <c r="Q65" s="143">
        <v>8488.1881918818981</v>
      </c>
      <c r="R65" s="144">
        <v>6.8459612561782013E-2</v>
      </c>
      <c r="S65" s="143">
        <v>8827.691824775744</v>
      </c>
      <c r="T65" s="144">
        <v>0.11119498928351956</v>
      </c>
      <c r="U65" s="143">
        <v>9471.8637756271364</v>
      </c>
      <c r="V65" s="144">
        <v>0.19228081083588666</v>
      </c>
      <c r="W65" s="143">
        <v>9991.3889128342635</v>
      </c>
      <c r="X65" s="144">
        <v>0.25767658367552793</v>
      </c>
      <c r="Y65" s="145">
        <v>6.8459612561782013E-2</v>
      </c>
      <c r="Z65" s="146">
        <v>1.6835677954443629E-2</v>
      </c>
      <c r="AA65" s="147">
        <v>-207156.99261992614</v>
      </c>
      <c r="AB65" s="148">
        <v>106.64944649446491</v>
      </c>
      <c r="AC65" s="147">
        <v>9471.8637756271364</v>
      </c>
      <c r="AD65" s="147">
        <v>9679.5446666812313</v>
      </c>
      <c r="AE65" s="147">
        <v>10323.136252522849</v>
      </c>
      <c r="AF65" s="147">
        <v>10544.703653137207</v>
      </c>
      <c r="AG65" s="147">
        <v>10769.885405102488</v>
      </c>
      <c r="AH65" s="147">
        <v>10998.740468065525</v>
      </c>
      <c r="AI65" s="147">
        <v>11231.328763461186</v>
      </c>
      <c r="AJ65" s="147">
        <v>11467.711190201719</v>
      </c>
      <c r="AK65" s="147">
        <v>11707.949640621982</v>
      </c>
      <c r="AL65" s="147">
        <v>11952.107016684795</v>
      </c>
      <c r="AM65" s="147">
        <v>12200.247246450652</v>
      </c>
      <c r="AN65" s="147">
        <v>12452.435300816096</v>
      </c>
      <c r="AO65" s="147">
        <v>12708.737210525129</v>
      </c>
      <c r="AP65" s="147">
        <v>12969.220083458147</v>
      </c>
      <c r="AQ65" s="147">
        <v>13233.952122202869</v>
      </c>
      <c r="AR65" s="147">
        <v>13503.002641911919</v>
      </c>
      <c r="AS65" s="147">
        <v>13776.442088451733</v>
      </c>
      <c r="AT65" s="147">
        <v>14054.342056847456</v>
      </c>
      <c r="AU65" s="147">
        <v>14336.775310028794</v>
      </c>
      <c r="AV65" s="147">
        <v>14623.815797881618</v>
      </c>
      <c r="AW65" s="147">
        <v>14915.538676610382</v>
      </c>
      <c r="AX65" s="147">
        <v>15212.020328416342</v>
      </c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9"/>
    </row>
    <row r="66" spans="1:74" s="150" customFormat="1" ht="38.25">
      <c r="A66" s="181" t="s">
        <v>111</v>
      </c>
      <c r="B66" s="174" t="s">
        <v>152</v>
      </c>
      <c r="C66" s="182" t="s">
        <v>37</v>
      </c>
      <c r="D66" s="183">
        <v>19569</v>
      </c>
      <c r="E66" s="184">
        <v>24317</v>
      </c>
      <c r="F66" s="185">
        <v>29433</v>
      </c>
      <c r="G66" s="143">
        <v>39594</v>
      </c>
      <c r="H66" s="144">
        <v>0.74337020760721317</v>
      </c>
      <c r="I66" s="143">
        <v>45252</v>
      </c>
      <c r="J66" s="143">
        <v>33638.98863464161</v>
      </c>
      <c r="K66" s="143">
        <v>37966.501318229362</v>
      </c>
      <c r="L66" s="186">
        <v>0.12864574290831254</v>
      </c>
      <c r="M66" s="187" t="s">
        <v>26</v>
      </c>
      <c r="N66" s="140" t="s">
        <v>27</v>
      </c>
      <c r="O66" s="141">
        <v>35497.575645756326</v>
      </c>
      <c r="P66" s="142">
        <v>5.5250977706289728E-2</v>
      </c>
      <c r="Q66" s="143">
        <v>35497.575645756326</v>
      </c>
      <c r="R66" s="144">
        <v>5.5250977706289728E-2</v>
      </c>
      <c r="S66" s="143">
        <v>37966.501318229362</v>
      </c>
      <c r="T66" s="144">
        <v>0.12864574290831254</v>
      </c>
      <c r="U66" s="143">
        <v>40836.725273917087</v>
      </c>
      <c r="V66" s="144">
        <v>0.21397006662272866</v>
      </c>
      <c r="W66" s="143">
        <v>44499.058558501165</v>
      </c>
      <c r="X66" s="144">
        <v>0.32284174895424167</v>
      </c>
      <c r="Y66" s="145">
        <v>5.5250977706289728E-2</v>
      </c>
      <c r="Z66" s="146">
        <v>2.1442296203181055E-2</v>
      </c>
      <c r="AA66" s="147">
        <v>-1012584.8597785978</v>
      </c>
      <c r="AB66" s="148">
        <v>518.33948339483391</v>
      </c>
      <c r="AC66" s="147">
        <v>40836.725273917087</v>
      </c>
      <c r="AD66" s="147">
        <v>41890.788209068625</v>
      </c>
      <c r="AE66" s="147">
        <v>45157.270900701282</v>
      </c>
      <c r="AF66" s="147">
        <v>46281.813382390828</v>
      </c>
      <c r="AG66" s="147">
        <v>47424.700131452715</v>
      </c>
      <c r="AH66" s="147">
        <v>48586.230391491292</v>
      </c>
      <c r="AI66" s="147">
        <v>49766.7082875669</v>
      </c>
      <c r="AJ66" s="147">
        <v>50966.44290582541</v>
      </c>
      <c r="AK66" s="147">
        <v>52185.748374426657</v>
      </c>
      <c r="AL66" s="147">
        <v>53424.943945793057</v>
      </c>
      <c r="AM66" s="147">
        <v>54684.354080199941</v>
      </c>
      <c r="AN66" s="147">
        <v>55964.308530729322</v>
      </c>
      <c r="AO66" s="147">
        <v>57265.142429609696</v>
      </c>
      <c r="AP66" s="147">
        <v>58587.19637596418</v>
      </c>
      <c r="AQ66" s="147">
        <v>59930.816524989961</v>
      </c>
      <c r="AR66" s="147">
        <v>61296.354678592645</v>
      </c>
      <c r="AS66" s="147">
        <v>62684.168377499082</v>
      </c>
      <c r="AT66" s="147">
        <v>64094.620994872617</v>
      </c>
      <c r="AU66" s="147">
        <v>65528.081831455653</v>
      </c>
      <c r="AV66" s="147">
        <v>66984.926212264239</v>
      </c>
      <c r="AW66" s="147">
        <v>68465.535584859826</v>
      </c>
      <c r="AX66" s="147">
        <v>69970.297619224206</v>
      </c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88" t="s">
        <v>153</v>
      </c>
    </row>
    <row r="67" spans="1:74" s="150" customFormat="1" ht="15">
      <c r="A67" s="189"/>
      <c r="B67" s="190" t="s">
        <v>154</v>
      </c>
      <c r="C67" s="191"/>
      <c r="D67" s="192"/>
      <c r="E67" s="193"/>
      <c r="F67" s="194"/>
      <c r="G67" s="195"/>
      <c r="H67" s="196"/>
      <c r="I67" s="195"/>
      <c r="J67" s="195"/>
      <c r="K67" s="195"/>
      <c r="L67" s="196"/>
      <c r="M67" s="197"/>
      <c r="N67" s="198"/>
      <c r="O67" s="199"/>
      <c r="P67" s="200"/>
      <c r="Q67" s="195"/>
      <c r="R67" s="196"/>
      <c r="S67" s="195"/>
      <c r="T67" s="196"/>
      <c r="U67" s="195"/>
      <c r="V67" s="196"/>
      <c r="W67" s="195"/>
      <c r="X67" s="196"/>
      <c r="Y67" s="201"/>
      <c r="Z67" s="202"/>
      <c r="AA67" s="203"/>
      <c r="AB67" s="204"/>
      <c r="AC67" s="203"/>
      <c r="AD67" s="203"/>
      <c r="AE67" s="203"/>
      <c r="AF67" s="203"/>
      <c r="AG67" s="203"/>
      <c r="AH67" s="203"/>
      <c r="AI67" s="203"/>
      <c r="AJ67" s="203"/>
      <c r="AK67" s="203"/>
      <c r="AL67" s="203"/>
      <c r="AM67" s="203"/>
      <c r="AN67" s="203"/>
      <c r="AO67" s="203"/>
      <c r="AP67" s="203"/>
      <c r="AQ67" s="203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5"/>
    </row>
    <row r="68" spans="1:74" s="150" customFormat="1" ht="15">
      <c r="A68" s="158" t="s">
        <v>111</v>
      </c>
      <c r="B68" s="159" t="s">
        <v>155</v>
      </c>
      <c r="C68" s="160" t="s">
        <v>155</v>
      </c>
      <c r="D68" s="161">
        <v>6473</v>
      </c>
      <c r="E68" s="162">
        <v>9548</v>
      </c>
      <c r="F68" s="163">
        <v>9812</v>
      </c>
      <c r="G68" s="137">
        <v>11130</v>
      </c>
      <c r="H68" s="138">
        <v>0.88158131176999099</v>
      </c>
      <c r="I68" s="137">
        <v>10221</v>
      </c>
      <c r="J68" s="137">
        <v>9010.642587601078</v>
      </c>
      <c r="K68" s="137">
        <v>10175.389563713328</v>
      </c>
      <c r="L68" s="186">
        <v>0.12926347536134419</v>
      </c>
      <c r="M68" s="187" t="s">
        <v>26</v>
      </c>
      <c r="N68" s="140" t="s">
        <v>26</v>
      </c>
      <c r="O68" s="141">
        <v>10175.389563713328</v>
      </c>
      <c r="P68" s="142">
        <v>0.12926347536134419</v>
      </c>
      <c r="Q68" s="143">
        <v>12411.915129151253</v>
      </c>
      <c r="R68" s="144">
        <v>0.37747280601612498</v>
      </c>
      <c r="S68" s="143">
        <v>10175.389563713328</v>
      </c>
      <c r="T68" s="144">
        <v>0.12926347536134419</v>
      </c>
      <c r="U68" s="143">
        <v>10400.46432218806</v>
      </c>
      <c r="V68" s="144">
        <v>0.15424224422123012</v>
      </c>
      <c r="W68" s="143">
        <v>13230.048390618893</v>
      </c>
      <c r="X68" s="144">
        <v>0.4682691341929206</v>
      </c>
      <c r="Y68" s="145">
        <v>0.12926347536134419</v>
      </c>
      <c r="Z68" s="146">
        <v>3.0350874595734822E-3</v>
      </c>
      <c r="AA68" s="147">
        <v>-347843.57195571961</v>
      </c>
      <c r="AB68" s="148">
        <v>178.1678966789668</v>
      </c>
      <c r="AC68" s="147">
        <v>10400.46432218806</v>
      </c>
      <c r="AD68" s="147">
        <v>10454.856936511753</v>
      </c>
      <c r="AE68" s="147">
        <v>10623.41663756551</v>
      </c>
      <c r="AF68" s="147">
        <v>10681.44619486927</v>
      </c>
      <c r="AG68" s="147">
        <v>10740.422368003034</v>
      </c>
      <c r="AH68" s="147">
        <v>10800.360598779067</v>
      </c>
      <c r="AI68" s="147">
        <v>10861.276580906502</v>
      </c>
      <c r="AJ68" s="147">
        <v>10923.186264100452</v>
      </c>
      <c r="AK68" s="147">
        <v>10986.105858258139</v>
      </c>
      <c r="AL68" s="147">
        <v>11050.05183770316</v>
      </c>
      <c r="AM68" s="147">
        <v>11115.040945498982</v>
      </c>
      <c r="AN68" s="147">
        <v>11181.090197832787</v>
      </c>
      <c r="AO68" s="147">
        <v>11248.216888470868</v>
      </c>
      <c r="AP68" s="147">
        <v>11316.438593286659</v>
      </c>
      <c r="AQ68" s="147">
        <v>11385.773174862656</v>
      </c>
      <c r="AR68" s="147">
        <v>11456.238787167409</v>
      </c>
      <c r="AS68" s="147">
        <v>11527.853880308789</v>
      </c>
      <c r="AT68" s="147">
        <v>11600.637205364812</v>
      </c>
      <c r="AU68" s="147">
        <v>11674.607819293258</v>
      </c>
      <c r="AV68" s="147">
        <v>11749.785089921379</v>
      </c>
      <c r="AW68" s="147">
        <v>11826.188701017007</v>
      </c>
      <c r="AX68" s="147">
        <v>11903.838657442377</v>
      </c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9"/>
    </row>
    <row r="69" spans="1:74" s="150" customFormat="1" ht="15">
      <c r="A69" s="158" t="s">
        <v>111</v>
      </c>
      <c r="B69" s="159" t="s">
        <v>156</v>
      </c>
      <c r="C69" s="160" t="s">
        <v>156</v>
      </c>
      <c r="D69" s="161">
        <v>3539</v>
      </c>
      <c r="E69" s="162">
        <v>3973</v>
      </c>
      <c r="F69" s="163">
        <v>4321</v>
      </c>
      <c r="G69" s="137">
        <v>14903</v>
      </c>
      <c r="H69" s="138">
        <v>0.28994162249211569</v>
      </c>
      <c r="I69" s="137">
        <v>15988</v>
      </c>
      <c r="J69" s="137">
        <v>4635.5866604039456</v>
      </c>
      <c r="K69" s="137">
        <v>4832.8709811299723</v>
      </c>
      <c r="L69" s="138">
        <v>4.255865226535005E-2</v>
      </c>
      <c r="M69" s="187" t="s">
        <v>26</v>
      </c>
      <c r="N69" s="140" t="s">
        <v>27</v>
      </c>
      <c r="O69" s="141">
        <v>4823.2509225092072</v>
      </c>
      <c r="P69" s="142">
        <v>4.0483389882071341E-2</v>
      </c>
      <c r="Q69" s="143">
        <v>4823.2509225092072</v>
      </c>
      <c r="R69" s="144">
        <v>4.0483389882071341E-2</v>
      </c>
      <c r="S69" s="143">
        <v>4832.8709811299723</v>
      </c>
      <c r="T69" s="144">
        <v>4.255865226535005E-2</v>
      </c>
      <c r="U69" s="143">
        <v>5096.70297015697</v>
      </c>
      <c r="V69" s="144">
        <v>9.9473128976698355E-2</v>
      </c>
      <c r="W69" s="143">
        <v>5164.3488960103687</v>
      </c>
      <c r="X69" s="144">
        <v>0.11406587220620445</v>
      </c>
      <c r="Y69" s="145">
        <v>4.0483389882071341E-2</v>
      </c>
      <c r="Z69" s="146">
        <v>9.3731419955058737E-3</v>
      </c>
      <c r="AA69" s="147">
        <v>-78481.656826568273</v>
      </c>
      <c r="AB69" s="148">
        <v>41.199261992619924</v>
      </c>
      <c r="AC69" s="147">
        <v>5096.70297015697</v>
      </c>
      <c r="AD69" s="147">
        <v>5168.4023254018393</v>
      </c>
      <c r="AE69" s="147">
        <v>5390.5946586090722</v>
      </c>
      <c r="AF69" s="147">
        <v>5467.088165964029</v>
      </c>
      <c r="AG69" s="147">
        <v>5544.8294850949023</v>
      </c>
      <c r="AH69" s="147">
        <v>5623.8389711178315</v>
      </c>
      <c r="AI69" s="147">
        <v>5704.137311194936</v>
      </c>
      <c r="AJ69" s="147">
        <v>5785.7455299505964</v>
      </c>
      <c r="AK69" s="147">
        <v>5868.6849949766183</v>
      </c>
      <c r="AL69" s="147">
        <v>5952.9774224268913</v>
      </c>
      <c r="AM69" s="147">
        <v>6038.6448827032</v>
      </c>
      <c r="AN69" s="147">
        <v>6125.7098062341101</v>
      </c>
      <c r="AO69" s="147">
        <v>6214.1949893479468</v>
      </c>
      <c r="AP69" s="147">
        <v>6304.1236002414953</v>
      </c>
      <c r="AQ69" s="147">
        <v>6395.5191850461997</v>
      </c>
      <c r="AR69" s="147">
        <v>6488.4056739934022</v>
      </c>
      <c r="AS69" s="147">
        <v>6582.8073876797571</v>
      </c>
      <c r="AT69" s="147">
        <v>6678.7490434354404</v>
      </c>
      <c r="AU69" s="147">
        <v>6776.2557617956481</v>
      </c>
      <c r="AV69" s="147">
        <v>6875.3530730781786</v>
      </c>
      <c r="AW69" s="147">
        <v>6976.0669240678544</v>
      </c>
      <c r="AX69" s="147">
        <v>7078.4236848103756</v>
      </c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9"/>
    </row>
    <row r="70" spans="1:74" s="150" customFormat="1" ht="15">
      <c r="A70" s="158" t="s">
        <v>111</v>
      </c>
      <c r="B70" s="159" t="s">
        <v>157</v>
      </c>
      <c r="C70" s="160" t="s">
        <v>157</v>
      </c>
      <c r="D70" s="161">
        <v>11643</v>
      </c>
      <c r="E70" s="162">
        <v>13516</v>
      </c>
      <c r="F70" s="163">
        <v>15394</v>
      </c>
      <c r="G70" s="137">
        <v>17365</v>
      </c>
      <c r="H70" s="138">
        <v>0.8864958249352145</v>
      </c>
      <c r="I70" s="137">
        <v>21135</v>
      </c>
      <c r="J70" s="137">
        <v>18736.08926000576</v>
      </c>
      <c r="K70" s="137">
        <v>18310.036683007562</v>
      </c>
      <c r="L70" s="138">
        <v>-2.2739674810775656E-2</v>
      </c>
      <c r="M70" s="187" t="s">
        <v>26</v>
      </c>
      <c r="N70" s="140" t="s">
        <v>26</v>
      </c>
      <c r="O70" s="141">
        <v>18310.036683007562</v>
      </c>
      <c r="P70" s="142">
        <v>-2.2739674810775656E-2</v>
      </c>
      <c r="Q70" s="143">
        <v>17725.332103321038</v>
      </c>
      <c r="R70" s="144">
        <v>-5.3947072020109066E-2</v>
      </c>
      <c r="S70" s="143">
        <v>18310.036683007562</v>
      </c>
      <c r="T70" s="144">
        <v>-2.2739674810775656E-2</v>
      </c>
      <c r="U70" s="143">
        <v>19580.121201019603</v>
      </c>
      <c r="V70" s="144">
        <v>4.5048458581776751E-2</v>
      </c>
      <c r="W70" s="143">
        <v>20199.901722369934</v>
      </c>
      <c r="X70" s="144">
        <v>7.8127961606632823E-2</v>
      </c>
      <c r="Y70" s="145">
        <v>2.2739674810775656E-2</v>
      </c>
      <c r="Z70" s="146">
        <v>1.4560954310670393E-2</v>
      </c>
      <c r="AA70" s="147">
        <v>-381082.45756457566</v>
      </c>
      <c r="AB70" s="148">
        <v>197.23431734317344</v>
      </c>
      <c r="AC70" s="147">
        <v>19580.121201019603</v>
      </c>
      <c r="AD70" s="147">
        <v>19967.050480185855</v>
      </c>
      <c r="AE70" s="147">
        <v>21166.122899045542</v>
      </c>
      <c r="AF70" s="147">
        <v>21578.924068047294</v>
      </c>
      <c r="AG70" s="147">
        <v>21998.459117839753</v>
      </c>
      <c r="AH70" s="147">
        <v>22424.837895860168</v>
      </c>
      <c r="AI70" s="147">
        <v>22858.172041448524</v>
      </c>
      <c r="AJ70" s="147">
        <v>23298.575015078211</v>
      </c>
      <c r="AK70" s="147">
        <v>23746.162128063574</v>
      </c>
      <c r="AL70" s="147">
        <v>24201.050572752021</v>
      </c>
      <c r="AM70" s="147">
        <v>24663.359453208657</v>
      </c>
      <c r="AN70" s="147">
        <v>25133.209816401417</v>
      </c>
      <c r="AO70" s="147">
        <v>25610.724683895038</v>
      </c>
      <c r="AP70" s="147">
        <v>26096.029084061905</v>
      </c>
      <c r="AQ70" s="147">
        <v>26589.250084818435</v>
      </c>
      <c r="AR70" s="147">
        <v>27090.516826895429</v>
      </c>
      <c r="AS70" s="147">
        <v>27599.960557651153</v>
      </c>
      <c r="AT70" s="147">
        <v>28117.71466543604</v>
      </c>
      <c r="AU70" s="147">
        <v>28643.91471451793</v>
      </c>
      <c r="AV70" s="147">
        <v>29178.698480577063</v>
      </c>
      <c r="AW70" s="147">
        <v>29722.205986780056</v>
      </c>
      <c r="AX70" s="147">
        <v>30274.579540442348</v>
      </c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9"/>
    </row>
    <row r="71" spans="1:74" s="150" customFormat="1" ht="15">
      <c r="A71" s="158" t="s">
        <v>111</v>
      </c>
      <c r="B71" s="159" t="s">
        <v>158</v>
      </c>
      <c r="C71" s="160" t="s">
        <v>158</v>
      </c>
      <c r="D71" s="161">
        <v>1044</v>
      </c>
      <c r="E71" s="162">
        <v>1149</v>
      </c>
      <c r="F71" s="163">
        <v>1291</v>
      </c>
      <c r="G71" s="137">
        <v>2816</v>
      </c>
      <c r="H71" s="138">
        <v>0.45845170454545453</v>
      </c>
      <c r="I71" s="137">
        <v>3210</v>
      </c>
      <c r="J71" s="137">
        <v>1471.629971590909</v>
      </c>
      <c r="K71" s="137">
        <v>1477.8923733284862</v>
      </c>
      <c r="L71" s="138">
        <v>4.2554187251344633E-3</v>
      </c>
      <c r="M71" s="187" t="s">
        <v>26</v>
      </c>
      <c r="N71" s="140" t="s">
        <v>26</v>
      </c>
      <c r="O71" s="141">
        <v>1477.8923733284862</v>
      </c>
      <c r="P71" s="142">
        <v>4.2554187251344633E-3</v>
      </c>
      <c r="Q71" s="143">
        <v>1437.6826568265678</v>
      </c>
      <c r="R71" s="144">
        <v>-2.3067833232318868E-2</v>
      </c>
      <c r="S71" s="143">
        <v>1477.8923733284862</v>
      </c>
      <c r="T71" s="144">
        <v>4.2554187251344633E-3</v>
      </c>
      <c r="U71" s="143">
        <v>1607.5224763284259</v>
      </c>
      <c r="V71" s="144">
        <v>9.2341490293657236E-2</v>
      </c>
      <c r="W71" s="143">
        <v>1595.2905822911446</v>
      </c>
      <c r="X71" s="144">
        <v>8.4029690266876012E-2</v>
      </c>
      <c r="Y71" s="145">
        <v>4.2554187251344633E-3</v>
      </c>
      <c r="Z71" s="146">
        <v>1.1330365224628602E-2</v>
      </c>
      <c r="AA71" s="147">
        <v>-24755.051660516609</v>
      </c>
      <c r="AB71" s="148">
        <v>12.953874538745389</v>
      </c>
      <c r="AC71" s="147">
        <v>1607.5224763284259</v>
      </c>
      <c r="AD71" s="147">
        <v>1636.7791097904119</v>
      </c>
      <c r="AE71" s="147">
        <v>1727.4437974784159</v>
      </c>
      <c r="AF71" s="147">
        <v>1758.656665422106</v>
      </c>
      <c r="AG71" s="147">
        <v>1790.3786979410252</v>
      </c>
      <c r="AH71" s="147">
        <v>1822.6182008584365</v>
      </c>
      <c r="AI71" s="147">
        <v>1855.383615487588</v>
      </c>
      <c r="AJ71" s="147">
        <v>1888.6835208419088</v>
      </c>
      <c r="AK71" s="147">
        <v>1922.5266358812714</v>
      </c>
      <c r="AL71" s="147">
        <v>1956.9218217948819</v>
      </c>
      <c r="AM71" s="147">
        <v>1991.8780843214208</v>
      </c>
      <c r="AN71" s="147">
        <v>2027.4045761070283</v>
      </c>
      <c r="AO71" s="147">
        <v>2063.5105991017554</v>
      </c>
      <c r="AP71" s="147">
        <v>2100.2056069950959</v>
      </c>
      <c r="AQ71" s="147">
        <v>2137.4992076912768</v>
      </c>
      <c r="AR71" s="147">
        <v>2175.4011658248946</v>
      </c>
      <c r="AS71" s="147">
        <v>2213.9214053176056</v>
      </c>
      <c r="AT71" s="147">
        <v>2253.0700119765261</v>
      </c>
      <c r="AU71" s="147">
        <v>2292.8572361350089</v>
      </c>
      <c r="AV71" s="147">
        <v>2333.2934953364984</v>
      </c>
      <c r="AW71" s="147">
        <v>2374.3893770621762</v>
      </c>
      <c r="AX71" s="147">
        <v>2416.1556415030955</v>
      </c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9"/>
    </row>
    <row r="72" spans="1:74" s="150" customFormat="1" ht="15">
      <c r="A72" s="158" t="s">
        <v>111</v>
      </c>
      <c r="B72" s="159" t="s">
        <v>159</v>
      </c>
      <c r="C72" s="160" t="s">
        <v>159</v>
      </c>
      <c r="D72" s="161">
        <v>14717</v>
      </c>
      <c r="E72" s="162">
        <v>16763</v>
      </c>
      <c r="F72" s="163">
        <v>18089</v>
      </c>
      <c r="G72" s="137">
        <v>19747</v>
      </c>
      <c r="H72" s="138">
        <v>0.91603787917151969</v>
      </c>
      <c r="I72" s="137">
        <v>22983</v>
      </c>
      <c r="J72" s="137">
        <v>21053.298576999037</v>
      </c>
      <c r="K72" s="137">
        <v>20319.782287822862</v>
      </c>
      <c r="L72" s="138">
        <v>-3.4840919891648281E-2</v>
      </c>
      <c r="M72" s="170" t="s">
        <v>27</v>
      </c>
      <c r="N72" s="140" t="s">
        <v>66</v>
      </c>
      <c r="O72" s="141">
        <v>21044.695800080935</v>
      </c>
      <c r="P72" s="142">
        <v>-4.0861895757748901E-4</v>
      </c>
      <c r="Q72" s="143">
        <v>20319.782287822862</v>
      </c>
      <c r="R72" s="144">
        <v>-3.4840919891648281E-2</v>
      </c>
      <c r="S72" s="143">
        <v>20021.578324088707</v>
      </c>
      <c r="T72" s="144">
        <v>-4.9005159411812826E-2</v>
      </c>
      <c r="U72" s="143">
        <v>21044.695800080935</v>
      </c>
      <c r="V72" s="144">
        <v>-4.0861895757748901E-4</v>
      </c>
      <c r="W72" s="143">
        <v>21603.022186151316</v>
      </c>
      <c r="X72" s="144">
        <v>2.6111044173992681E-2</v>
      </c>
      <c r="Y72" s="145">
        <v>4.0861895757748901E-4</v>
      </c>
      <c r="Z72" s="146">
        <v>8.4947598880873443E-3</v>
      </c>
      <c r="AA72" s="147">
        <v>-339543.98892988928</v>
      </c>
      <c r="AB72" s="148">
        <v>177.97416974169741</v>
      </c>
      <c r="AC72" s="147">
        <v>21044.695800080935</v>
      </c>
      <c r="AD72" s="147">
        <v>21317.895067479476</v>
      </c>
      <c r="AE72" s="147">
        <v>22164.524475044942</v>
      </c>
      <c r="AF72" s="147">
        <v>22455.991115138826</v>
      </c>
      <c r="AG72" s="147">
        <v>22752.212348378867</v>
      </c>
      <c r="AH72" s="147">
        <v>23053.265734776673</v>
      </c>
      <c r="AI72" s="147">
        <v>23359.230099553111</v>
      </c>
      <c r="AJ72" s="147">
        <v>23670.185553777264</v>
      </c>
      <c r="AK72" s="147">
        <v>23986.213515342013</v>
      </c>
      <c r="AL72" s="147">
        <v>24307.396730281784</v>
      </c>
      <c r="AM72" s="147">
        <v>24633.819294438061</v>
      </c>
      <c r="AN72" s="147">
        <v>24965.56667547832</v>
      </c>
      <c r="AO72" s="147">
        <v>25302.725735274133</v>
      </c>
      <c r="AP72" s="147">
        <v>25645.38475264435</v>
      </c>
      <c r="AQ72" s="147">
        <v>25993.633446469252</v>
      </c>
      <c r="AR72" s="147">
        <v>26347.562999181759</v>
      </c>
      <c r="AS72" s="147">
        <v>26707.266080641864</v>
      </c>
      <c r="AT72" s="147">
        <v>27072.836872400527</v>
      </c>
      <c r="AU72" s="147">
        <v>27444.371092359303</v>
      </c>
      <c r="AV72" s="147">
        <v>27821.966019832369</v>
      </c>
      <c r="AW72" s="147">
        <v>28205.720521017229</v>
      </c>
      <c r="AX72" s="147">
        <v>28595.735074881024</v>
      </c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9"/>
    </row>
    <row r="73" spans="1:74" s="150" customFormat="1" ht="15">
      <c r="A73" s="158" t="s">
        <v>111</v>
      </c>
      <c r="B73" s="159" t="s">
        <v>160</v>
      </c>
      <c r="C73" s="160" t="s">
        <v>160</v>
      </c>
      <c r="D73" s="161">
        <v>6944</v>
      </c>
      <c r="E73" s="162">
        <v>7923</v>
      </c>
      <c r="F73" s="163">
        <v>8073</v>
      </c>
      <c r="G73" s="137">
        <v>10783</v>
      </c>
      <c r="H73" s="138">
        <v>0.74867847537790966</v>
      </c>
      <c r="I73" s="137">
        <v>11580</v>
      </c>
      <c r="J73" s="137">
        <v>8669.6967448761934</v>
      </c>
      <c r="K73" s="137">
        <v>8407.3547285159439</v>
      </c>
      <c r="L73" s="138">
        <v>-3.0259653143611343E-2</v>
      </c>
      <c r="M73" s="187" t="s">
        <v>66</v>
      </c>
      <c r="N73" s="166" t="s">
        <v>104</v>
      </c>
      <c r="O73" s="141">
        <v>8869.0700733550402</v>
      </c>
      <c r="P73" s="142">
        <v>2.2996574660662406E-2</v>
      </c>
      <c r="Q73" s="143">
        <v>8929.4612546125572</v>
      </c>
      <c r="R73" s="144">
        <v>2.9962352476732734E-2</v>
      </c>
      <c r="S73" s="143">
        <v>8277.4267820836958</v>
      </c>
      <c r="T73" s="144">
        <v>-4.524609964291193E-2</v>
      </c>
      <c r="U73" s="143">
        <v>8407.3547285159439</v>
      </c>
      <c r="V73" s="144">
        <v>-3.0259653143611343E-2</v>
      </c>
      <c r="W73" s="143">
        <v>8869.0700733550402</v>
      </c>
      <c r="X73" s="144">
        <v>2.2996574660662406E-2</v>
      </c>
      <c r="Y73" s="145">
        <v>2.2996574660662406E-2</v>
      </c>
      <c r="Z73" s="146">
        <v>2.0860882418343163E-3</v>
      </c>
      <c r="AA73" s="147">
        <v>-112655.41328413282</v>
      </c>
      <c r="AB73" s="148">
        <v>60.130996309963095</v>
      </c>
      <c r="AC73" s="147">
        <v>8407.3547285159439</v>
      </c>
      <c r="AD73" s="147">
        <v>8438.2596230180425</v>
      </c>
      <c r="AE73" s="147">
        <v>8534.0321804349478</v>
      </c>
      <c r="AF73" s="147">
        <v>8567.0035198120859</v>
      </c>
      <c r="AG73" s="147">
        <v>8600.5127090926326</v>
      </c>
      <c r="AH73" s="147">
        <v>8634.5685220335617</v>
      </c>
      <c r="AI73" s="147">
        <v>8669.1798755150594</v>
      </c>
      <c r="AJ73" s="147">
        <v>8704.3558318752566</v>
      </c>
      <c r="AK73" s="147">
        <v>8740.105601283034</v>
      </c>
      <c r="AL73" s="147">
        <v>8776.4385441495233</v>
      </c>
      <c r="AM73" s="147">
        <v>8813.3641735789679</v>
      </c>
      <c r="AN73" s="147">
        <v>8850.89215785954</v>
      </c>
      <c r="AO73" s="147">
        <v>8889.0323229948117</v>
      </c>
      <c r="AP73" s="147">
        <v>8927.7946552765097</v>
      </c>
      <c r="AQ73" s="147">
        <v>8967.1893038992384</v>
      </c>
      <c r="AR73" s="147">
        <v>9007.2265836178467</v>
      </c>
      <c r="AS73" s="147">
        <v>9047.9169774481743</v>
      </c>
      <c r="AT73" s="147">
        <v>9089.2711394118251</v>
      </c>
      <c r="AU73" s="147">
        <v>9131.2998973257145</v>
      </c>
      <c r="AV73" s="147">
        <v>9174.0142556371466</v>
      </c>
      <c r="AW73" s="147">
        <v>9217.4253983051167</v>
      </c>
      <c r="AX73" s="147">
        <v>9261.5446917286245</v>
      </c>
      <c r="AY73" s="167">
        <v>8642.7876038221038</v>
      </c>
      <c r="AZ73" s="168">
        <f>(($BF73-$AY73)/($BF$4-$AY$4))*(AZ$4-$BF$4)+$BF73</f>
        <v>8869.0700733550402</v>
      </c>
      <c r="BA73" s="168">
        <f t="shared" ref="BA73:BE73" si="10">(($BF73-$AY73)/($BF$4-$AY$4))*(BA$4-$BF$4)+$BF73</f>
        <v>8982.2113081215084</v>
      </c>
      <c r="BB73" s="168">
        <f t="shared" si="10"/>
        <v>9321.6350124209112</v>
      </c>
      <c r="BC73" s="168">
        <f t="shared" si="10"/>
        <v>9434.7762471873793</v>
      </c>
      <c r="BD73" s="168">
        <f t="shared" si="10"/>
        <v>9547.9174819538475</v>
      </c>
      <c r="BE73" s="168">
        <f t="shared" si="10"/>
        <v>9661.0587167203157</v>
      </c>
      <c r="BF73" s="167">
        <v>9774.1999514867839</v>
      </c>
      <c r="BG73" s="169">
        <f>(($BU73-$BF73)/($BU$4-$BF$4))*(BG$4-$BU$4)+$BU73</f>
        <v>9924.4874567201859</v>
      </c>
      <c r="BH73" s="169">
        <f t="shared" ref="BH73:BT73" si="11">(($BU73-$BF73)/($BU$4-$BF$4))*(BH$4-$BU$4)+$BU73</f>
        <v>10074.774961953588</v>
      </c>
      <c r="BI73" s="169">
        <f t="shared" si="11"/>
        <v>10225.06246718699</v>
      </c>
      <c r="BJ73" s="169">
        <f t="shared" si="11"/>
        <v>10375.349972420392</v>
      </c>
      <c r="BK73" s="169">
        <f t="shared" si="11"/>
        <v>10525.637477653794</v>
      </c>
      <c r="BL73" s="169">
        <f t="shared" si="11"/>
        <v>10675.924982887194</v>
      </c>
      <c r="BM73" s="169">
        <f t="shared" si="11"/>
        <v>10826.212488120596</v>
      </c>
      <c r="BN73" s="169">
        <f t="shared" si="11"/>
        <v>10976.499993353998</v>
      </c>
      <c r="BO73" s="169">
        <f t="shared" si="11"/>
        <v>11126.7874985874</v>
      </c>
      <c r="BP73" s="169">
        <f t="shared" si="11"/>
        <v>11277.075003820803</v>
      </c>
      <c r="BQ73" s="169">
        <f t="shared" si="11"/>
        <v>11427.362509054205</v>
      </c>
      <c r="BR73" s="169">
        <f t="shared" si="11"/>
        <v>11577.650014287607</v>
      </c>
      <c r="BS73" s="169">
        <f t="shared" si="11"/>
        <v>11727.937519521009</v>
      </c>
      <c r="BT73" s="169">
        <f t="shared" si="11"/>
        <v>11878.225024754411</v>
      </c>
      <c r="BU73" s="167">
        <v>12028.512529987813</v>
      </c>
      <c r="BV73" s="149"/>
    </row>
    <row r="74" spans="1:74" s="150" customFormat="1" ht="15">
      <c r="A74" s="158" t="s">
        <v>111</v>
      </c>
      <c r="B74" s="159" t="s">
        <v>161</v>
      </c>
      <c r="C74" s="160" t="s">
        <v>161</v>
      </c>
      <c r="D74" s="161">
        <v>7816</v>
      </c>
      <c r="E74" s="162">
        <v>9735</v>
      </c>
      <c r="F74" s="163">
        <v>11331</v>
      </c>
      <c r="G74" s="137">
        <v>14889</v>
      </c>
      <c r="H74" s="138">
        <v>0.76103163409228292</v>
      </c>
      <c r="I74" s="137">
        <v>17496</v>
      </c>
      <c r="J74" s="137">
        <v>13315.009470078581</v>
      </c>
      <c r="K74" s="137">
        <v>13873.241652176397</v>
      </c>
      <c r="L74" s="138">
        <v>4.1925030797182128E-2</v>
      </c>
      <c r="M74" s="187" t="s">
        <v>26</v>
      </c>
      <c r="N74" s="140" t="s">
        <v>27</v>
      </c>
      <c r="O74" s="141">
        <v>13576.715867158608</v>
      </c>
      <c r="P74" s="142">
        <v>1.9654991434150393E-2</v>
      </c>
      <c r="Q74" s="143">
        <v>13576.715867158608</v>
      </c>
      <c r="R74" s="144">
        <v>1.9654991434150393E-2</v>
      </c>
      <c r="S74" s="143">
        <v>13873.241652176397</v>
      </c>
      <c r="T74" s="144">
        <v>4.1925030797182128E-2</v>
      </c>
      <c r="U74" s="143">
        <v>14888.534311409632</v>
      </c>
      <c r="V74" s="144">
        <v>0.1181767722258904</v>
      </c>
      <c r="W74" s="143">
        <v>16189.833404489249</v>
      </c>
      <c r="X74" s="144">
        <v>0.21590851593992166</v>
      </c>
      <c r="Y74" s="145">
        <v>1.9654991434150393E-2</v>
      </c>
      <c r="Z74" s="146">
        <v>1.7011372380924206E-2</v>
      </c>
      <c r="AA74" s="147">
        <v>-360750.69741697412</v>
      </c>
      <c r="AB74" s="148">
        <v>185.12730627306269</v>
      </c>
      <c r="AC74" s="147">
        <v>14888.534311409632</v>
      </c>
      <c r="AD74" s="147">
        <v>15217.362388911948</v>
      </c>
      <c r="AE74" s="147">
        <v>16236.382399827842</v>
      </c>
      <c r="AF74" s="147">
        <v>16587.197450800577</v>
      </c>
      <c r="AG74" s="147">
        <v>16943.735224745607</v>
      </c>
      <c r="AH74" s="147">
        <v>17306.089074437081</v>
      </c>
      <c r="AI74" s="147">
        <v>17674.35387548021</v>
      </c>
      <c r="AJ74" s="147">
        <v>18048.626051152725</v>
      </c>
      <c r="AK74" s="147">
        <v>18429.00359765147</v>
      </c>
      <c r="AL74" s="147">
        <v>18815.586109750926</v>
      </c>
      <c r="AM74" s="147">
        <v>19208.4748068802</v>
      </c>
      <c r="AN74" s="147">
        <v>19607.772559625486</v>
      </c>
      <c r="AO74" s="147">
        <v>20013.583916664789</v>
      </c>
      <c r="AP74" s="147">
        <v>20426.015132142071</v>
      </c>
      <c r="AQ74" s="147">
        <v>20845.174193487874</v>
      </c>
      <c r="AR74" s="147">
        <v>21271.170849693877</v>
      </c>
      <c r="AS74" s="147">
        <v>21704.116640048578</v>
      </c>
      <c r="AT74" s="147">
        <v>22144.124923341806</v>
      </c>
      <c r="AU74" s="147">
        <v>22591.310907545587</v>
      </c>
      <c r="AV74" s="147">
        <v>23045.791679979226</v>
      </c>
      <c r="AW74" s="147">
        <v>23507.686237966434</v>
      </c>
      <c r="AX74" s="147">
        <v>23977.115519992542</v>
      </c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9"/>
    </row>
    <row r="75" spans="1:74" s="150" customFormat="1" ht="15">
      <c r="A75" s="158" t="s">
        <v>111</v>
      </c>
      <c r="B75" s="159" t="s">
        <v>162</v>
      </c>
      <c r="C75" s="160" t="s">
        <v>162</v>
      </c>
      <c r="D75" s="161">
        <v>1153</v>
      </c>
      <c r="E75" s="162">
        <v>1472</v>
      </c>
      <c r="F75" s="163">
        <v>1827</v>
      </c>
      <c r="G75" s="137">
        <v>3700</v>
      </c>
      <c r="H75" s="138">
        <v>0.49378378378378379</v>
      </c>
      <c r="I75" s="137">
        <v>4906</v>
      </c>
      <c r="J75" s="137">
        <v>2422.5032432432431</v>
      </c>
      <c r="K75" s="137">
        <v>2436.9476348063126</v>
      </c>
      <c r="L75" s="138">
        <v>5.9625891537431475E-3</v>
      </c>
      <c r="M75" s="187" t="s">
        <v>26</v>
      </c>
      <c r="N75" s="140" t="s">
        <v>26</v>
      </c>
      <c r="O75" s="141">
        <v>2436.9476348063126</v>
      </c>
      <c r="P75" s="142">
        <v>5.9625891537431475E-3</v>
      </c>
      <c r="Q75" s="143">
        <v>2239.3653136531211</v>
      </c>
      <c r="R75" s="144">
        <v>-7.5598631333486765E-2</v>
      </c>
      <c r="S75" s="143">
        <v>2436.9476348063126</v>
      </c>
      <c r="T75" s="144">
        <v>5.9625891537431475E-3</v>
      </c>
      <c r="U75" s="143">
        <v>2618.3061908210643</v>
      </c>
      <c r="V75" s="144">
        <v>8.0826701934846756E-2</v>
      </c>
      <c r="W75" s="143">
        <v>2926.7940197019643</v>
      </c>
      <c r="X75" s="144">
        <v>0.20816928846855842</v>
      </c>
      <c r="Y75" s="145">
        <v>5.9625891537431475E-3</v>
      </c>
      <c r="Z75" s="146">
        <v>2.4296379099756349E-2</v>
      </c>
      <c r="AA75" s="147">
        <v>-69355.103321033224</v>
      </c>
      <c r="AB75" s="148">
        <v>35.407749077490777</v>
      </c>
      <c r="AC75" s="147">
        <v>2618.3061908210643</v>
      </c>
      <c r="AD75" s="147">
        <v>2691.4477744760279</v>
      </c>
      <c r="AE75" s="147">
        <v>2918.1094936960426</v>
      </c>
      <c r="AF75" s="147">
        <v>2996.1416635552664</v>
      </c>
      <c r="AG75" s="147">
        <v>3075.4467448525634</v>
      </c>
      <c r="AH75" s="147">
        <v>3156.0455021460925</v>
      </c>
      <c r="AI75" s="147">
        <v>3237.9590387189696</v>
      </c>
      <c r="AJ75" s="147">
        <v>3321.208802104773</v>
      </c>
      <c r="AK75" s="147">
        <v>3405.8165897031781</v>
      </c>
      <c r="AL75" s="147">
        <v>3491.8045544872043</v>
      </c>
      <c r="AM75" s="147">
        <v>3579.195210803553</v>
      </c>
      <c r="AN75" s="147">
        <v>3668.0114402675736</v>
      </c>
      <c r="AO75" s="147">
        <v>3758.2764977543857</v>
      </c>
      <c r="AP75" s="147">
        <v>3850.0140174877401</v>
      </c>
      <c r="AQ75" s="147">
        <v>3943.2480192281914</v>
      </c>
      <c r="AR75" s="147">
        <v>4038.0029145622343</v>
      </c>
      <c r="AS75" s="147">
        <v>4134.3035132940131</v>
      </c>
      <c r="AT75" s="147">
        <v>4232.1750299413161</v>
      </c>
      <c r="AU75" s="147">
        <v>4331.6430903375203</v>
      </c>
      <c r="AV75" s="147">
        <v>4432.733738341245</v>
      </c>
      <c r="AW75" s="147">
        <v>4535.4734426554423</v>
      </c>
      <c r="AX75" s="147">
        <v>4639.8891037577378</v>
      </c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9"/>
    </row>
    <row r="76" spans="1:74" s="150" customFormat="1" ht="15">
      <c r="A76" s="158" t="s">
        <v>111</v>
      </c>
      <c r="B76" s="174" t="s">
        <v>163</v>
      </c>
      <c r="C76" s="175" t="s">
        <v>164</v>
      </c>
      <c r="D76" s="176">
        <v>6190</v>
      </c>
      <c r="E76" s="177">
        <v>7333</v>
      </c>
      <c r="F76" s="178">
        <v>7916</v>
      </c>
      <c r="G76" s="137">
        <v>11202</v>
      </c>
      <c r="H76" s="138">
        <v>0.70665952508480634</v>
      </c>
      <c r="I76" s="137">
        <v>14164</v>
      </c>
      <c r="J76" s="137">
        <v>10009.125513301196</v>
      </c>
      <c r="K76" s="137">
        <v>9215.5253781652973</v>
      </c>
      <c r="L76" s="138">
        <v>-7.9287659454492676E-2</v>
      </c>
      <c r="M76" s="187" t="s">
        <v>66</v>
      </c>
      <c r="N76" s="166" t="s">
        <v>104</v>
      </c>
      <c r="O76" s="141">
        <v>9740.8668150286248</v>
      </c>
      <c r="P76" s="142">
        <v>-2.6801412162938743E-2</v>
      </c>
      <c r="Q76" s="143">
        <v>9093.5313653136545</v>
      </c>
      <c r="R76" s="144">
        <v>-9.1475938309575788E-2</v>
      </c>
      <c r="S76" s="143">
        <v>8766.0629744272246</v>
      </c>
      <c r="T76" s="144">
        <v>-0.12419292147171668</v>
      </c>
      <c r="U76" s="143">
        <v>9215.5253781652973</v>
      </c>
      <c r="V76" s="144">
        <v>-7.9287659454492676E-2</v>
      </c>
      <c r="W76" s="143">
        <v>9740.8668150286248</v>
      </c>
      <c r="X76" s="144">
        <v>-2.6801412162938743E-2</v>
      </c>
      <c r="Y76" s="145">
        <v>2.6801412162938743E-2</v>
      </c>
      <c r="Z76" s="146">
        <v>8.5363753370248929E-3</v>
      </c>
      <c r="AA76" s="147">
        <v>-175464.33210332104</v>
      </c>
      <c r="AB76" s="148">
        <v>91.274907749077499</v>
      </c>
      <c r="AC76" s="147">
        <v>9215.5253781652973</v>
      </c>
      <c r="AD76" s="147">
        <v>9335.6424014634467</v>
      </c>
      <c r="AE76" s="147">
        <v>9707.8784079571633</v>
      </c>
      <c r="AF76" s="147">
        <v>9836.0270136696345</v>
      </c>
      <c r="AG76" s="147">
        <v>9966.2660626733632</v>
      </c>
      <c r="AH76" s="147">
        <v>10098.629655637105</v>
      </c>
      <c r="AI76" s="147">
        <v>10233.152449501857</v>
      </c>
      <c r="AJ76" s="147">
        <v>10369.869666555162</v>
      </c>
      <c r="AK76" s="147">
        <v>10508.817103653389</v>
      </c>
      <c r="AL76" s="147">
        <v>10650.031141594478</v>
      </c>
      <c r="AM76" s="147">
        <v>10793.54875464358</v>
      </c>
      <c r="AN76" s="147">
        <v>10939.40752021407</v>
      </c>
      <c r="AO76" s="147">
        <v>11087.645628706498</v>
      </c>
      <c r="AP76" s="147">
        <v>11238.301893508036</v>
      </c>
      <c r="AQ76" s="147">
        <v>11391.415761155029</v>
      </c>
      <c r="AR76" s="147">
        <v>11547.02732166136</v>
      </c>
      <c r="AS76" s="147">
        <v>11705.177319015238</v>
      </c>
      <c r="AT76" s="147">
        <v>11865.907161847288</v>
      </c>
      <c r="AU76" s="147">
        <v>12029.258934272606</v>
      </c>
      <c r="AV76" s="147">
        <v>12195.275406909706</v>
      </c>
      <c r="AW76" s="147">
        <v>12364.000048079219</v>
      </c>
      <c r="AX76" s="147">
        <v>12535.477035185246</v>
      </c>
      <c r="AY76" s="167">
        <v>9387.0676924473446</v>
      </c>
      <c r="AZ76" s="168">
        <f>(($BF76-$AY76)/($BF$4-$AY$4))*(AZ$4-$BF$4)+$BF76</f>
        <v>9740.8668150286248</v>
      </c>
      <c r="BA76" s="168">
        <f t="shared" ref="BA76:BE76" si="12">(($BF76-$AY76)/($BF$4-$AY$4))*(BA$4-$BF$4)+$BF76</f>
        <v>9917.766376319265</v>
      </c>
      <c r="BB76" s="168">
        <f t="shared" si="12"/>
        <v>10448.465060191185</v>
      </c>
      <c r="BC76" s="168">
        <f t="shared" si="12"/>
        <v>10625.364621481825</v>
      </c>
      <c r="BD76" s="168">
        <f t="shared" si="12"/>
        <v>10802.264182772466</v>
      </c>
      <c r="BE76" s="168">
        <f t="shared" si="12"/>
        <v>10979.163744063106</v>
      </c>
      <c r="BF76" s="167">
        <v>11156.063305353746</v>
      </c>
      <c r="BG76" s="169">
        <f>(($BU76-$BF76)/($BU$4-$BF$4))*(BG$4-$BU$4)+$BU76</f>
        <v>11373.521819871481</v>
      </c>
      <c r="BH76" s="169">
        <f t="shared" ref="BH76:BT76" si="13">(($BU76-$BF76)/($BU$4-$BF$4))*(BH$4-$BU$4)+$BU76</f>
        <v>11590.980334389216</v>
      </c>
      <c r="BI76" s="169">
        <f t="shared" si="13"/>
        <v>11808.438848906952</v>
      </c>
      <c r="BJ76" s="169">
        <f t="shared" si="13"/>
        <v>12025.897363424687</v>
      </c>
      <c r="BK76" s="169">
        <f t="shared" si="13"/>
        <v>12243.35587794242</v>
      </c>
      <c r="BL76" s="169">
        <f t="shared" si="13"/>
        <v>12460.814392460155</v>
      </c>
      <c r="BM76" s="169">
        <f t="shared" si="13"/>
        <v>12678.272906977891</v>
      </c>
      <c r="BN76" s="169">
        <f t="shared" si="13"/>
        <v>12895.731421495626</v>
      </c>
      <c r="BO76" s="169">
        <f t="shared" si="13"/>
        <v>13113.189936013361</v>
      </c>
      <c r="BP76" s="169">
        <f t="shared" si="13"/>
        <v>13330.648450531096</v>
      </c>
      <c r="BQ76" s="169">
        <f t="shared" si="13"/>
        <v>13548.106965048832</v>
      </c>
      <c r="BR76" s="169">
        <f t="shared" si="13"/>
        <v>13765.565479566565</v>
      </c>
      <c r="BS76" s="169">
        <f t="shared" si="13"/>
        <v>13983.0239940843</v>
      </c>
      <c r="BT76" s="169">
        <f t="shared" si="13"/>
        <v>14200.482508602036</v>
      </c>
      <c r="BU76" s="167">
        <v>14417.941023119771</v>
      </c>
      <c r="BV76" s="149"/>
    </row>
    <row r="77" spans="1:74" s="150" customFormat="1" ht="15">
      <c r="A77" s="158" t="s">
        <v>111</v>
      </c>
      <c r="B77" s="159" t="s">
        <v>165</v>
      </c>
      <c r="C77" s="160" t="s">
        <v>165</v>
      </c>
      <c r="D77" s="161">
        <v>5713</v>
      </c>
      <c r="E77" s="162">
        <v>6154</v>
      </c>
      <c r="F77" s="163">
        <v>6557</v>
      </c>
      <c r="G77" s="137">
        <v>11261</v>
      </c>
      <c r="H77" s="138">
        <v>0.58227510878252375</v>
      </c>
      <c r="I77" s="137">
        <v>12124</v>
      </c>
      <c r="J77" s="137">
        <v>7059.5034188793179</v>
      </c>
      <c r="K77" s="137">
        <v>7135.6812076004198</v>
      </c>
      <c r="L77" s="138">
        <v>1.0790814056039544E-2</v>
      </c>
      <c r="M77" s="187" t="s">
        <v>26</v>
      </c>
      <c r="N77" s="140" t="s">
        <v>27</v>
      </c>
      <c r="O77" s="141">
        <v>7088.8560885608749</v>
      </c>
      <c r="P77" s="142">
        <v>4.1578943928348711E-3</v>
      </c>
      <c r="Q77" s="143">
        <v>7088.8560885608749</v>
      </c>
      <c r="R77" s="144">
        <v>4.1578943928348711E-3</v>
      </c>
      <c r="S77" s="143">
        <v>7135.6812076004198</v>
      </c>
      <c r="T77" s="144">
        <v>1.0790814056039544E-2</v>
      </c>
      <c r="U77" s="143">
        <v>7455.2997039461625</v>
      </c>
      <c r="V77" s="144">
        <v>5.6065740262744468E-2</v>
      </c>
      <c r="W77" s="143">
        <v>7371.799927808921</v>
      </c>
      <c r="X77" s="144">
        <v>4.423774455500995E-2</v>
      </c>
      <c r="Y77" s="145">
        <v>4.1578943928348711E-3</v>
      </c>
      <c r="Z77" s="146">
        <v>7.0727730093198549E-3</v>
      </c>
      <c r="AA77" s="147">
        <v>-82718.53505535057</v>
      </c>
      <c r="AB77" s="148">
        <v>44.415129151291517</v>
      </c>
      <c r="AC77" s="147">
        <v>7455.2997039461625</v>
      </c>
      <c r="AD77" s="147">
        <v>7538.3308538417987</v>
      </c>
      <c r="AE77" s="147">
        <v>7795.6397914352201</v>
      </c>
      <c r="AF77" s="147">
        <v>7884.2227898951242</v>
      </c>
      <c r="AG77" s="147">
        <v>7974.2508117622056</v>
      </c>
      <c r="AH77" s="147">
        <v>8065.7474291968247</v>
      </c>
      <c r="AI77" s="147">
        <v>8158.7365988837773</v>
      </c>
      <c r="AJ77" s="147">
        <v>8253.242668304847</v>
      </c>
      <c r="AK77" s="147">
        <v>8349.2903821137443</v>
      </c>
      <c r="AL77" s="147">
        <v>8446.9048886150485</v>
      </c>
      <c r="AM77" s="147">
        <v>8546.111746348819</v>
      </c>
      <c r="AN77" s="147">
        <v>8646.93693078262</v>
      </c>
      <c r="AO77" s="147">
        <v>8749.4068411127228</v>
      </c>
      <c r="AP77" s="147">
        <v>8853.548307176221</v>
      </c>
      <c r="AQ77" s="147">
        <v>8959.3885964759393</v>
      </c>
      <c r="AR77" s="147">
        <v>9066.9554213199372</v>
      </c>
      <c r="AS77" s="147">
        <v>9176.2769460774289</v>
      </c>
      <c r="AT77" s="147">
        <v>9287.3817945530973</v>
      </c>
      <c r="AU77" s="147">
        <v>9400.299057481745</v>
      </c>
      <c r="AV77" s="147">
        <v>9515.0583001451232</v>
      </c>
      <c r="AW77" s="147">
        <v>9631.6895701130707</v>
      </c>
      <c r="AX77" s="147">
        <v>9750.2234051108971</v>
      </c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9"/>
    </row>
    <row r="78" spans="1:74" s="150" customFormat="1" ht="38.25">
      <c r="A78" s="181" t="s">
        <v>111</v>
      </c>
      <c r="B78" s="174" t="s">
        <v>166</v>
      </c>
      <c r="C78" s="174" t="s">
        <v>40</v>
      </c>
      <c r="D78" s="183">
        <v>512809</v>
      </c>
      <c r="E78" s="184">
        <v>541733</v>
      </c>
      <c r="F78" s="185">
        <v>593337</v>
      </c>
      <c r="G78" s="143">
        <v>618989</v>
      </c>
      <c r="H78" s="144">
        <v>0.95855822962928261</v>
      </c>
      <c r="I78" s="143">
        <v>675886</v>
      </c>
      <c r="J78" s="143">
        <v>647876.08759121725</v>
      </c>
      <c r="K78" s="143">
        <v>651564.23694616091</v>
      </c>
      <c r="L78" s="144">
        <v>5.6926770806684512E-3</v>
      </c>
      <c r="M78" s="187" t="s">
        <v>26</v>
      </c>
      <c r="N78" s="140" t="s">
        <v>26</v>
      </c>
      <c r="O78" s="141">
        <v>651564.23694616091</v>
      </c>
      <c r="P78" s="142">
        <v>5.6926770806684512E-3</v>
      </c>
      <c r="Q78" s="143">
        <v>639180.645756457</v>
      </c>
      <c r="R78" s="144">
        <v>-1.3421458209840087E-2</v>
      </c>
      <c r="S78" s="143">
        <v>651564.23694616091</v>
      </c>
      <c r="T78" s="144">
        <v>5.6926770806684512E-3</v>
      </c>
      <c r="U78" s="143">
        <v>708363.94273557805</v>
      </c>
      <c r="V78" s="144">
        <v>9.3363308667947287E-2</v>
      </c>
      <c r="W78" s="143">
        <v>684753.10437183362</v>
      </c>
      <c r="X78" s="144">
        <v>5.6919860891492258E-2</v>
      </c>
      <c r="Y78" s="145">
        <v>5.6926770806684512E-3</v>
      </c>
      <c r="Z78" s="146">
        <v>7.8316293497922018E-3</v>
      </c>
      <c r="AA78" s="147">
        <v>-7880482.778597787</v>
      </c>
      <c r="AB78" s="148">
        <v>4213.4833948339483</v>
      </c>
      <c r="AC78" s="147">
        <v>708363.94273557805</v>
      </c>
      <c r="AD78" s="147">
        <v>718996.05057481967</v>
      </c>
      <c r="AE78" s="147">
        <v>751944.36426110019</v>
      </c>
      <c r="AF78" s="147">
        <v>763287.38424255198</v>
      </c>
      <c r="AG78" s="147">
        <v>774815.43893344142</v>
      </c>
      <c r="AH78" s="147">
        <v>786531.54674013227</v>
      </c>
      <c r="AI78" s="147">
        <v>798438.77530719351</v>
      </c>
      <c r="AJ78" s="147">
        <v>810540.24232060474</v>
      </c>
      <c r="AK78" s="147">
        <v>822839.11632406421</v>
      </c>
      <c r="AL78" s="147">
        <v>835338.61754861323</v>
      </c>
      <c r="AM78" s="147">
        <v>848042.01875579311</v>
      </c>
      <c r="AN78" s="147">
        <v>860952.64609455736</v>
      </c>
      <c r="AO78" s="147">
        <v>874073.87997216149</v>
      </c>
      <c r="AP78" s="147">
        <v>887409.15593926026</v>
      </c>
      <c r="AQ78" s="147">
        <v>900961.96558944124</v>
      </c>
      <c r="AR78" s="147">
        <v>914735.85747343523</v>
      </c>
      <c r="AS78" s="147">
        <v>928734.43802823743</v>
      </c>
      <c r="AT78" s="147">
        <v>942961.37252138508</v>
      </c>
      <c r="AU78" s="147">
        <v>957420.38601064065</v>
      </c>
      <c r="AV78" s="147">
        <v>972115.26431932836</v>
      </c>
      <c r="AW78" s="147">
        <v>987049.85502758145</v>
      </c>
      <c r="AX78" s="147">
        <v>1002228.0684797589</v>
      </c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88" t="s">
        <v>153</v>
      </c>
    </row>
    <row r="79" spans="1:74" s="150" customFormat="1" ht="15">
      <c r="A79" s="189"/>
      <c r="B79" s="190" t="s">
        <v>167</v>
      </c>
      <c r="C79" s="191"/>
      <c r="D79" s="192"/>
      <c r="E79" s="193"/>
      <c r="F79" s="194"/>
      <c r="G79" s="195"/>
      <c r="H79" s="196"/>
      <c r="I79" s="195"/>
      <c r="J79" s="195"/>
      <c r="K79" s="195"/>
      <c r="L79" s="196"/>
      <c r="M79" s="197"/>
      <c r="N79" s="198"/>
      <c r="O79" s="199"/>
      <c r="P79" s="200"/>
      <c r="Q79" s="195"/>
      <c r="R79" s="196"/>
      <c r="S79" s="195"/>
      <c r="T79" s="196"/>
      <c r="U79" s="195"/>
      <c r="V79" s="196"/>
      <c r="W79" s="195"/>
      <c r="X79" s="196"/>
      <c r="Y79" s="201"/>
      <c r="Z79" s="202"/>
      <c r="AA79" s="203"/>
      <c r="AB79" s="204"/>
      <c r="AC79" s="203"/>
      <c r="AD79" s="203"/>
      <c r="AE79" s="203"/>
      <c r="AF79" s="203"/>
      <c r="AG79" s="203"/>
      <c r="AH79" s="203"/>
      <c r="AI79" s="203"/>
      <c r="AJ79" s="203"/>
      <c r="AK79" s="203"/>
      <c r="AL79" s="203"/>
      <c r="AM79" s="203"/>
      <c r="AN79" s="203"/>
      <c r="AO79" s="203"/>
      <c r="AP79" s="203"/>
      <c r="AQ79" s="203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5"/>
    </row>
    <row r="80" spans="1:74" s="150" customFormat="1" ht="15">
      <c r="A80" s="132" t="s">
        <v>82</v>
      </c>
      <c r="B80" s="155" t="s">
        <v>168</v>
      </c>
      <c r="C80" s="155" t="s">
        <v>168</v>
      </c>
      <c r="D80" s="206">
        <v>41900</v>
      </c>
      <c r="E80" s="153">
        <v>63317</v>
      </c>
      <c r="F80" s="163">
        <v>85315</v>
      </c>
      <c r="G80" s="137">
        <v>87185</v>
      </c>
      <c r="H80" s="138">
        <v>0.97855135631129209</v>
      </c>
      <c r="I80" s="137">
        <v>142963</v>
      </c>
      <c r="J80" s="137">
        <v>139896.63755233126</v>
      </c>
      <c r="K80" s="137">
        <v>134349.23545262474</v>
      </c>
      <c r="L80" s="138">
        <v>-3.9653577074941548E-2</v>
      </c>
      <c r="M80" s="187" t="s">
        <v>66</v>
      </c>
      <c r="N80" s="140" t="s">
        <v>66</v>
      </c>
      <c r="O80" s="141">
        <v>134349.23545262474</v>
      </c>
      <c r="P80" s="142">
        <v>-3.9653577074941548E-2</v>
      </c>
      <c r="Q80" s="143">
        <v>112200.92988929898</v>
      </c>
      <c r="R80" s="144">
        <v>-0.1979726471458052</v>
      </c>
      <c r="S80" s="143">
        <v>126969.32649490729</v>
      </c>
      <c r="T80" s="144">
        <v>-9.2406159887783113E-2</v>
      </c>
      <c r="U80" s="143">
        <v>134349.23545262474</v>
      </c>
      <c r="V80" s="144">
        <v>-3.9653577074941548E-2</v>
      </c>
      <c r="W80" s="143">
        <v>175756.54975192563</v>
      </c>
      <c r="X80" s="144">
        <v>0.25633148034869824</v>
      </c>
      <c r="Y80" s="145">
        <v>3.9653577074941548E-2</v>
      </c>
      <c r="Z80" s="146">
        <v>3.3687945537944186E-2</v>
      </c>
      <c r="AA80" s="147">
        <v>-4502723.0811808109</v>
      </c>
      <c r="AB80" s="148">
        <v>2282.3560885608854</v>
      </c>
      <c r="AC80" s="147">
        <v>134349.23545262474</v>
      </c>
      <c r="AD80" s="147">
        <v>138881.54124767234</v>
      </c>
      <c r="AE80" s="147">
        <v>152926.90603471984</v>
      </c>
      <c r="AF80" s="147">
        <v>157762.26285884157</v>
      </c>
      <c r="AG80" s="147">
        <v>162676.49716413155</v>
      </c>
      <c r="AH80" s="147">
        <v>167670.89565129502</v>
      </c>
      <c r="AI80" s="147">
        <v>172746.76601053489</v>
      </c>
      <c r="AJ80" s="147">
        <v>177905.43726394593</v>
      </c>
      <c r="AK80" s="147">
        <v>183148.26011349441</v>
      </c>
      <c r="AL80" s="147">
        <v>188476.60729467467</v>
      </c>
      <c r="AM80" s="147">
        <v>193891.87393593398</v>
      </c>
      <c r="AN80" s="147">
        <v>199395.47792396083</v>
      </c>
      <c r="AO80" s="147">
        <v>204988.86027493235</v>
      </c>
      <c r="AP80" s="147">
        <v>210673.48551181779</v>
      </c>
      <c r="AQ80" s="147">
        <v>216450.84204783599</v>
      </c>
      <c r="AR80" s="147">
        <v>222322.44257616909</v>
      </c>
      <c r="AS80" s="147">
        <v>228289.82446603302</v>
      </c>
      <c r="AT80" s="147">
        <v>234354.5501652087</v>
      </c>
      <c r="AU80" s="147">
        <v>240518.20760914026</v>
      </c>
      <c r="AV80" s="147">
        <v>246782.41063670622</v>
      </c>
      <c r="AW80" s="147">
        <v>253148.79941277299</v>
      </c>
      <c r="AX80" s="147">
        <v>259619.04085764155</v>
      </c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9"/>
    </row>
    <row r="81" spans="1:74" s="150" customFormat="1" ht="15">
      <c r="A81" s="158" t="s">
        <v>111</v>
      </c>
      <c r="B81" s="174" t="s">
        <v>169</v>
      </c>
      <c r="C81" s="175" t="s">
        <v>170</v>
      </c>
      <c r="D81" s="176">
        <v>12191</v>
      </c>
      <c r="E81" s="177">
        <v>13462</v>
      </c>
      <c r="F81" s="178">
        <v>14496</v>
      </c>
      <c r="G81" s="137">
        <v>18078</v>
      </c>
      <c r="H81" s="138">
        <v>0.80185861267839365</v>
      </c>
      <c r="I81" s="137">
        <v>19916</v>
      </c>
      <c r="J81" s="137">
        <v>15969.816130102889</v>
      </c>
      <c r="K81" s="137">
        <v>15999.250535051935</v>
      </c>
      <c r="L81" s="144">
        <v>1.8431273540815418E-3</v>
      </c>
      <c r="M81" s="187" t="s">
        <v>26</v>
      </c>
      <c r="N81" s="140" t="s">
        <v>27</v>
      </c>
      <c r="O81" s="141">
        <v>15973.346863468614</v>
      </c>
      <c r="P81" s="142">
        <v>2.2108791591346488E-4</v>
      </c>
      <c r="Q81" s="143">
        <v>15973.346863468614</v>
      </c>
      <c r="R81" s="144">
        <v>2.2108791591346488E-4</v>
      </c>
      <c r="S81" s="143">
        <v>15999.250535051935</v>
      </c>
      <c r="T81" s="144">
        <v>1.8431273540815418E-3</v>
      </c>
      <c r="U81" s="143">
        <v>16800.81859523656</v>
      </c>
      <c r="V81" s="144">
        <v>5.2035819220688673E-2</v>
      </c>
      <c r="W81" s="143">
        <v>16862.863520732953</v>
      </c>
      <c r="X81" s="144">
        <v>5.592095634380434E-2</v>
      </c>
      <c r="Y81" s="145">
        <v>2.2108791591346488E-4</v>
      </c>
      <c r="Z81" s="146">
        <v>8.2563245222684323E-3</v>
      </c>
      <c r="AA81" s="147">
        <v>-229542.96678966787</v>
      </c>
      <c r="AB81" s="148">
        <v>121.42250922509223</v>
      </c>
      <c r="AC81" s="147">
        <v>16800.81859523656</v>
      </c>
      <c r="AD81" s="147">
        <v>17013.856334671022</v>
      </c>
      <c r="AE81" s="147">
        <v>17674.048497131582</v>
      </c>
      <c r="AF81" s="147">
        <v>17901.330929904638</v>
      </c>
      <c r="AG81" s="147">
        <v>18132.320941345213</v>
      </c>
      <c r="AH81" s="147">
        <v>18367.079011884685</v>
      </c>
      <c r="AI81" s="147">
        <v>18605.666608550469</v>
      </c>
      <c r="AJ81" s="147">
        <v>18848.146201060103</v>
      </c>
      <c r="AK81" s="147">
        <v>19094.581278177713</v>
      </c>
      <c r="AL81" s="147">
        <v>19345.036364337386</v>
      </c>
      <c r="AM81" s="147">
        <v>19599.577036537674</v>
      </c>
      <c r="AN81" s="147">
        <v>19858.269941511753</v>
      </c>
      <c r="AO81" s="147">
        <v>20121.182813177569</v>
      </c>
      <c r="AP81" s="147">
        <v>20388.384490372744</v>
      </c>
      <c r="AQ81" s="147">
        <v>20659.944934878738</v>
      </c>
      <c r="AR81" s="147">
        <v>20935.935249739014</v>
      </c>
      <c r="AS81" s="147">
        <v>21216.42769787609</v>
      </c>
      <c r="AT81" s="147">
        <v>21501.495721012179</v>
      </c>
      <c r="AU81" s="147">
        <v>21791.213958898588</v>
      </c>
      <c r="AV81" s="147">
        <v>22085.658268858722</v>
      </c>
      <c r="AW81" s="147">
        <v>22384.905745649943</v>
      </c>
      <c r="AX81" s="147">
        <v>22689.03474164931</v>
      </c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9"/>
    </row>
    <row r="82" spans="1:74" s="150" customFormat="1" ht="15">
      <c r="A82" s="158" t="s">
        <v>111</v>
      </c>
      <c r="B82" s="159" t="s">
        <v>171</v>
      </c>
      <c r="C82" s="160" t="s">
        <v>171</v>
      </c>
      <c r="D82" s="161">
        <v>13084</v>
      </c>
      <c r="E82" s="162">
        <v>16270</v>
      </c>
      <c r="F82" s="163">
        <v>18275</v>
      </c>
      <c r="G82" s="137">
        <v>30864</v>
      </c>
      <c r="H82" s="138">
        <v>0.592113789528253</v>
      </c>
      <c r="I82" s="137">
        <v>33470</v>
      </c>
      <c r="J82" s="137">
        <v>19818.048535510628</v>
      </c>
      <c r="K82" s="137">
        <v>21337.842044043158</v>
      </c>
      <c r="L82" s="144">
        <v>7.668734415547096E-2</v>
      </c>
      <c r="M82" s="187" t="s">
        <v>26</v>
      </c>
      <c r="N82" s="140" t="s">
        <v>26</v>
      </c>
      <c r="O82" s="141">
        <v>21337.842044043158</v>
      </c>
      <c r="P82" s="142">
        <v>7.668734415547096E-2</v>
      </c>
      <c r="Q82" s="143">
        <v>21722.690036900458</v>
      </c>
      <c r="R82" s="144">
        <v>9.6106410173384615E-2</v>
      </c>
      <c r="S82" s="143">
        <v>21337.842044043158</v>
      </c>
      <c r="T82" s="144">
        <v>7.668734415547096E-2</v>
      </c>
      <c r="U82" s="143">
        <v>22744.208204496441</v>
      </c>
      <c r="V82" s="144">
        <v>0.14765125152169367</v>
      </c>
      <c r="W82" s="143">
        <v>24735.11348685823</v>
      </c>
      <c r="X82" s="144">
        <v>0.24811045055909742</v>
      </c>
      <c r="Y82" s="145">
        <v>7.668734415547096E-2</v>
      </c>
      <c r="Z82" s="146">
        <v>1.2996066979530374E-2</v>
      </c>
      <c r="AA82" s="147">
        <v>-532402.3062730626</v>
      </c>
      <c r="AB82" s="148">
        <v>274.04797047970476</v>
      </c>
      <c r="AC82" s="147">
        <v>22744.208204496441</v>
      </c>
      <c r="AD82" s="147">
        <v>23157.303627674468</v>
      </c>
      <c r="AE82" s="147">
        <v>24437.463478480466</v>
      </c>
      <c r="AF82" s="147">
        <v>24878.180381488193</v>
      </c>
      <c r="AG82" s="147">
        <v>25326.086544871527</v>
      </c>
      <c r="AH82" s="147">
        <v>25781.299244515256</v>
      </c>
      <c r="AI82" s="147">
        <v>26243.937669384599</v>
      </c>
      <c r="AJ82" s="147">
        <v>26714.122952732592</v>
      </c>
      <c r="AK82" s="147">
        <v>27191.978203816543</v>
      </c>
      <c r="AL82" s="147">
        <v>27677.628540131962</v>
      </c>
      <c r="AM82" s="147">
        <v>28171.201120172176</v>
      </c>
      <c r="AN82" s="147">
        <v>28672.825176722494</v>
      </c>
      <c r="AO82" s="147">
        <v>29182.632050697313</v>
      </c>
      <c r="AP82" s="147">
        <v>29700.755225529356</v>
      </c>
      <c r="AQ82" s="147">
        <v>30227.330362119792</v>
      </c>
      <c r="AR82" s="147">
        <v>30762.495334358537</v>
      </c>
      <c r="AS82" s="147">
        <v>31306.390265223934</v>
      </c>
      <c r="AT82" s="147">
        <v>31859.157563471381</v>
      </c>
      <c r="AU82" s="147">
        <v>32420.941960920361</v>
      </c>
      <c r="AV82" s="147">
        <v>32991.890550349846</v>
      </c>
      <c r="AW82" s="147">
        <v>33572.152824011719</v>
      </c>
      <c r="AX82" s="147">
        <v>34161.880712772589</v>
      </c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9"/>
    </row>
    <row r="83" spans="1:74" s="150" customFormat="1" ht="15">
      <c r="A83" s="158" t="s">
        <v>111</v>
      </c>
      <c r="B83" s="159" t="s">
        <v>172</v>
      </c>
      <c r="C83" s="160" t="s">
        <v>172</v>
      </c>
      <c r="D83" s="161">
        <v>2733</v>
      </c>
      <c r="E83" s="162">
        <v>2704</v>
      </c>
      <c r="F83" s="163">
        <v>2845</v>
      </c>
      <c r="G83" s="137">
        <v>11826</v>
      </c>
      <c r="H83" s="138">
        <v>0.24057162185016065</v>
      </c>
      <c r="I83" s="137">
        <v>11849</v>
      </c>
      <c r="J83" s="137">
        <v>2850.5331473025535</v>
      </c>
      <c r="K83" s="137">
        <v>2924.4818537804067</v>
      </c>
      <c r="L83" s="144">
        <v>2.5942061592172827E-2</v>
      </c>
      <c r="M83" s="187" t="s">
        <v>26</v>
      </c>
      <c r="N83" s="140" t="s">
        <v>27</v>
      </c>
      <c r="O83" s="141">
        <v>2882.9594095940956</v>
      </c>
      <c r="P83" s="142">
        <v>1.1375507884280101E-2</v>
      </c>
      <c r="Q83" s="143">
        <v>2882.9594095940956</v>
      </c>
      <c r="R83" s="144">
        <v>1.1375507884280101E-2</v>
      </c>
      <c r="S83" s="143">
        <v>2924.4818537804067</v>
      </c>
      <c r="T83" s="144">
        <v>2.5942061592172827E-2</v>
      </c>
      <c r="U83" s="143">
        <v>3159.2934448049864</v>
      </c>
      <c r="V83" s="144">
        <v>0.10831668377356407</v>
      </c>
      <c r="W83" s="143">
        <v>2947.3372341662584</v>
      </c>
      <c r="X83" s="144">
        <v>3.3959993398186006E-2</v>
      </c>
      <c r="Y83" s="145">
        <v>1.1375507884280101E-2</v>
      </c>
      <c r="Z83" s="146">
        <v>2.2988260420097051E-3</v>
      </c>
      <c r="AA83" s="147">
        <v>-8708.0996309963102</v>
      </c>
      <c r="AB83" s="148">
        <v>5.732472324723247</v>
      </c>
      <c r="AC83" s="147">
        <v>3159.2934448049864</v>
      </c>
      <c r="AD83" s="147">
        <v>3188.3440456369576</v>
      </c>
      <c r="AE83" s="147">
        <v>3278.3702496088513</v>
      </c>
      <c r="AF83" s="147">
        <v>3309.3633086233594</v>
      </c>
      <c r="AG83" s="147">
        <v>3340.8619465470747</v>
      </c>
      <c r="AH83" s="147">
        <v>3372.8744107115467</v>
      </c>
      <c r="AI83" s="147">
        <v>3405.4090829841543</v>
      </c>
      <c r="AJ83" s="147">
        <v>3438.4744819627408</v>
      </c>
      <c r="AK83" s="147">
        <v>3472.0792652060513</v>
      </c>
      <c r="AL83" s="147">
        <v>3506.2322315005517</v>
      </c>
      <c r="AM83" s="147">
        <v>3540.9423231642281</v>
      </c>
      <c r="AN83" s="147">
        <v>3576.218628387966</v>
      </c>
      <c r="AO83" s="147">
        <v>3612.0703836151229</v>
      </c>
      <c r="AP83" s="147">
        <v>3648.5069759599196</v>
      </c>
      <c r="AQ83" s="147">
        <v>3685.5379456652822</v>
      </c>
      <c r="AR83" s="147">
        <v>3723.1729886007747</v>
      </c>
      <c r="AS83" s="147">
        <v>3761.4219588012843</v>
      </c>
      <c r="AT83" s="147">
        <v>3800.2948710471146</v>
      </c>
      <c r="AU83" s="147">
        <v>3839.8019034861709</v>
      </c>
      <c r="AV83" s="147">
        <v>3879.9534002989167</v>
      </c>
      <c r="AW83" s="147">
        <v>3920.7598744068091</v>
      </c>
      <c r="AX83" s="147">
        <v>3962.232010224905</v>
      </c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9"/>
    </row>
    <row r="84" spans="1:74" s="150" customFormat="1" ht="15">
      <c r="A84" s="158" t="s">
        <v>111</v>
      </c>
      <c r="B84" s="174" t="s">
        <v>173</v>
      </c>
      <c r="C84" s="175" t="s">
        <v>174</v>
      </c>
      <c r="D84" s="176">
        <v>7789</v>
      </c>
      <c r="E84" s="177">
        <v>7856</v>
      </c>
      <c r="F84" s="178">
        <v>8645</v>
      </c>
      <c r="G84" s="137">
        <v>9585</v>
      </c>
      <c r="H84" s="138">
        <v>0.90193009911319766</v>
      </c>
      <c r="I84" s="137">
        <v>10449</v>
      </c>
      <c r="J84" s="137">
        <v>9424.2676056338023</v>
      </c>
      <c r="K84" s="137">
        <v>9263.3516130765311</v>
      </c>
      <c r="L84" s="144">
        <v>-1.7074641690042469E-2</v>
      </c>
      <c r="M84" s="187" t="s">
        <v>26</v>
      </c>
      <c r="N84" s="140" t="s">
        <v>26</v>
      </c>
      <c r="O84" s="141">
        <v>9263.3516130765311</v>
      </c>
      <c r="P84" s="142">
        <v>-1.7074641690042469E-2</v>
      </c>
      <c r="Q84" s="143">
        <v>9042.693726937272</v>
      </c>
      <c r="R84" s="144">
        <v>-4.0488438429785889E-2</v>
      </c>
      <c r="S84" s="143">
        <v>9263.3516130765311</v>
      </c>
      <c r="T84" s="144">
        <v>-1.7074641690042469E-2</v>
      </c>
      <c r="U84" s="143">
        <v>10403.70587199386</v>
      </c>
      <c r="V84" s="144">
        <v>0.10392725539484382</v>
      </c>
      <c r="W84" s="143">
        <v>9705.9484010139586</v>
      </c>
      <c r="X84" s="144">
        <v>2.9888879132821788E-2</v>
      </c>
      <c r="Y84" s="145">
        <v>1.7074641690042469E-2</v>
      </c>
      <c r="Z84" s="146">
        <v>5.7736712015492575E-3</v>
      </c>
      <c r="AA84" s="147">
        <v>-80622.933579335804</v>
      </c>
      <c r="AB84" s="148">
        <v>44.345018450184511</v>
      </c>
      <c r="AC84" s="147">
        <v>10403.70587199386</v>
      </c>
      <c r="AD84" s="147">
        <v>10566.265617074892</v>
      </c>
      <c r="AE84" s="147">
        <v>11070.029269087825</v>
      </c>
      <c r="AF84" s="147">
        <v>11243.458514211565</v>
      </c>
      <c r="AG84" s="147">
        <v>11419.716849827246</v>
      </c>
      <c r="AH84" s="147">
        <v>11598.850425896526</v>
      </c>
      <c r="AI84" s="147">
        <v>11780.906145209203</v>
      </c>
      <c r="AJ84" s="147">
        <v>11965.931675663847</v>
      </c>
      <c r="AK84" s="147">
        <v>12153.975462748753</v>
      </c>
      <c r="AL84" s="147">
        <v>12345.086742226491</v>
      </c>
      <c r="AM84" s="147">
        <v>12539.315553025363</v>
      </c>
      <c r="AN84" s="147">
        <v>12736.712750341172</v>
      </c>
      <c r="AO84" s="147">
        <v>12937.330018952707</v>
      </c>
      <c r="AP84" s="147">
        <v>13141.219886754443</v>
      </c>
      <c r="AQ84" s="147">
        <v>13348.435738509983</v>
      </c>
      <c r="AR84" s="147">
        <v>13559.031829829866</v>
      </c>
      <c r="AS84" s="147">
        <v>13773.0633013774</v>
      </c>
      <c r="AT84" s="147">
        <v>13990.586193306193</v>
      </c>
      <c r="AU84" s="147">
        <v>14211.657459933251</v>
      </c>
      <c r="AV84" s="147">
        <v>14436.334984651387</v>
      </c>
      <c r="AW84" s="147">
        <v>14664.67759508491</v>
      </c>
      <c r="AX84" s="147">
        <v>14896.745078492553</v>
      </c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9"/>
    </row>
    <row r="85" spans="1:74" s="150" customFormat="1" ht="15">
      <c r="A85" s="158" t="s">
        <v>111</v>
      </c>
      <c r="B85" s="159" t="s">
        <v>175</v>
      </c>
      <c r="C85" s="160" t="s">
        <v>175</v>
      </c>
      <c r="D85" s="161">
        <v>74997</v>
      </c>
      <c r="E85" s="162">
        <v>82427</v>
      </c>
      <c r="F85" s="163">
        <v>87509</v>
      </c>
      <c r="G85" s="137">
        <v>90305</v>
      </c>
      <c r="H85" s="138">
        <v>0.96903825923260067</v>
      </c>
      <c r="I85" s="137">
        <v>98903</v>
      </c>
      <c r="J85" s="137">
        <v>95840.7909528819</v>
      </c>
      <c r="K85" s="137">
        <v>94775.705119986727</v>
      </c>
      <c r="L85" s="144">
        <v>-1.1113074321546401E-2</v>
      </c>
      <c r="M85" s="187" t="s">
        <v>26</v>
      </c>
      <c r="N85" s="140" t="s">
        <v>27</v>
      </c>
      <c r="O85" s="141">
        <v>95726.143911438994</v>
      </c>
      <c r="P85" s="142">
        <v>-1.1962238656739732E-3</v>
      </c>
      <c r="Q85" s="143">
        <v>95726.143911438994</v>
      </c>
      <c r="R85" s="144">
        <v>-1.1962238656739732E-3</v>
      </c>
      <c r="S85" s="143">
        <v>94775.705119986727</v>
      </c>
      <c r="T85" s="144">
        <v>-1.1113074321546401E-2</v>
      </c>
      <c r="U85" s="143">
        <v>98836.938202120131</v>
      </c>
      <c r="V85" s="144">
        <v>3.1261712465532776E-2</v>
      </c>
      <c r="W85" s="143">
        <v>99338.649955447268</v>
      </c>
      <c r="X85" s="144">
        <v>3.6496558175161731E-2</v>
      </c>
      <c r="Y85" s="145">
        <v>1.1962238656739732E-3</v>
      </c>
      <c r="Z85" s="146">
        <v>6.6697658181089636E-3</v>
      </c>
      <c r="AA85" s="147">
        <v>-1238965.4649446495</v>
      </c>
      <c r="AB85" s="148">
        <v>660.08487084870842</v>
      </c>
      <c r="AC85" s="147">
        <v>98836.938202120131</v>
      </c>
      <c r="AD85" s="147">
        <v>99883.996027851244</v>
      </c>
      <c r="AE85" s="147">
        <v>103128.77027313603</v>
      </c>
      <c r="AF85" s="147">
        <v>104245.83925123344</v>
      </c>
      <c r="AG85" s="147">
        <v>105381.13058405835</v>
      </c>
      <c r="AH85" s="147">
        <v>106534.94152649707</v>
      </c>
      <c r="AI85" s="147">
        <v>107707.57418245019</v>
      </c>
      <c r="AJ85" s="147">
        <v>108899.33558393369</v>
      </c>
      <c r="AK85" s="147">
        <v>110110.53777146916</v>
      </c>
      <c r="AL85" s="147">
        <v>111341.4978757858</v>
      </c>
      <c r="AM85" s="147">
        <v>112592.53820085537</v>
      </c>
      <c r="AN85" s="147">
        <v>113863.98630828119</v>
      </c>
      <c r="AO85" s="147">
        <v>115156.17510306422</v>
      </c>
      <c r="AP85" s="147">
        <v>116469.44292076817</v>
      </c>
      <c r="AQ85" s="147">
        <v>117804.13361610612</v>
      </c>
      <c r="AR85" s="147">
        <v>119160.59665297263</v>
      </c>
      <c r="AS85" s="147">
        <v>120539.18719594419</v>
      </c>
      <c r="AT85" s="147">
        <v>121940.26620327262</v>
      </c>
      <c r="AU85" s="147">
        <v>123364.20052139519</v>
      </c>
      <c r="AV85" s="147">
        <v>124811.36298098654</v>
      </c>
      <c r="AW85" s="147">
        <v>126282.13249457732</v>
      </c>
      <c r="AX85" s="147">
        <v>127776.89415576577</v>
      </c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9"/>
    </row>
    <row r="86" spans="1:74" s="150" customFormat="1" ht="38.25">
      <c r="A86" s="181" t="s">
        <v>111</v>
      </c>
      <c r="B86" s="174" t="s">
        <v>176</v>
      </c>
      <c r="C86" s="174" t="s">
        <v>42</v>
      </c>
      <c r="D86" s="183">
        <v>17016</v>
      </c>
      <c r="E86" s="184">
        <v>25475</v>
      </c>
      <c r="F86" s="185">
        <v>28466</v>
      </c>
      <c r="G86" s="143">
        <v>69633</v>
      </c>
      <c r="H86" s="144">
        <v>0.408800425085807</v>
      </c>
      <c r="I86" s="143">
        <v>102512</v>
      </c>
      <c r="J86" s="143">
        <v>41906.949176396243</v>
      </c>
      <c r="K86" s="143">
        <v>35133.033286607897</v>
      </c>
      <c r="L86" s="186">
        <v>-0.16164182845368524</v>
      </c>
      <c r="M86" s="187" t="s">
        <v>66</v>
      </c>
      <c r="N86" s="166" t="s">
        <v>104</v>
      </c>
      <c r="O86" s="141">
        <v>43973.717815715259</v>
      </c>
      <c r="P86" s="142">
        <v>4.9318041039434712E-2</v>
      </c>
      <c r="Q86" s="143">
        <v>36604.225092250854</v>
      </c>
      <c r="R86" s="144">
        <v>-0.12653567459241599</v>
      </c>
      <c r="S86" s="143">
        <v>33007.25802279693</v>
      </c>
      <c r="T86" s="144">
        <v>-0.21236790862867183</v>
      </c>
      <c r="U86" s="143">
        <v>35133.033286607897</v>
      </c>
      <c r="V86" s="144">
        <v>-0.16164182845368524</v>
      </c>
      <c r="W86" s="143">
        <v>43973.717815715259</v>
      </c>
      <c r="X86" s="144">
        <v>4.9318041039434712E-2</v>
      </c>
      <c r="Y86" s="145">
        <v>4.9318041039434712E-2</v>
      </c>
      <c r="Z86" s="146">
        <v>1.2411143923863222E-2</v>
      </c>
      <c r="AA86" s="147">
        <v>-1190992.2656826572</v>
      </c>
      <c r="AB86" s="148">
        <v>607.11992619926218</v>
      </c>
      <c r="AC86" s="147">
        <v>35133.033286607897</v>
      </c>
      <c r="AD86" s="147">
        <v>35749.276882979713</v>
      </c>
      <c r="AE86" s="147">
        <v>37658.981677872856</v>
      </c>
      <c r="AF86" s="147">
        <v>38316.430185052959</v>
      </c>
      <c r="AG86" s="147">
        <v>38984.603419307095</v>
      </c>
      <c r="AH86" s="147">
        <v>39663.676329349197</v>
      </c>
      <c r="AI86" s="147">
        <v>40353.826717770251</v>
      </c>
      <c r="AJ86" s="147">
        <v>41055.235287592608</v>
      </c>
      <c r="AK86" s="147">
        <v>41768.085689583677</v>
      </c>
      <c r="AL86" s="147">
        <v>42492.564570341485</v>
      </c>
      <c r="AM86" s="147">
        <v>43228.861621164586</v>
      </c>
      <c r="AN86" s="147">
        <v>43977.169627719195</v>
      </c>
      <c r="AO86" s="147">
        <v>44737.68452051653</v>
      </c>
      <c r="AP86" s="147">
        <v>45510.605426213609</v>
      </c>
      <c r="AQ86" s="147">
        <v>46296.134719750771</v>
      </c>
      <c r="AR86" s="147">
        <v>47094.478077339845</v>
      </c>
      <c r="AS86" s="147">
        <v>47905.844530316601</v>
      </c>
      <c r="AT86" s="147">
        <v>48730.446519871766</v>
      </c>
      <c r="AU86" s="147">
        <v>49568.499952674712</v>
      </c>
      <c r="AV86" s="147">
        <v>50420.224257404683</v>
      </c>
      <c r="AW86" s="147">
        <v>51285.842442204012</v>
      </c>
      <c r="AX86" s="147">
        <v>52165.581153068735</v>
      </c>
      <c r="AY86" s="167">
        <v>41228.204128147438</v>
      </c>
      <c r="AZ86" s="168">
        <f>(($BF86-$AY86)/($BF$4-$AY$4))*(AZ$4-$BF$4)+$BF86</f>
        <v>43973.717815715259</v>
      </c>
      <c r="BA86" s="168">
        <f t="shared" ref="BA86:BE86" si="14">(($BF86-$AY86)/($BF$4-$AY$4))*(BA$4-$BF$4)+$BF86</f>
        <v>45346.474659499167</v>
      </c>
      <c r="BB86" s="168">
        <f t="shared" si="14"/>
        <v>49464.745190850896</v>
      </c>
      <c r="BC86" s="168">
        <f t="shared" si="14"/>
        <v>50837.50203463481</v>
      </c>
      <c r="BD86" s="168">
        <f t="shared" si="14"/>
        <v>52210.258878418717</v>
      </c>
      <c r="BE86" s="168">
        <f t="shared" si="14"/>
        <v>53583.015722202632</v>
      </c>
      <c r="BF86" s="167">
        <v>54955.772565986539</v>
      </c>
      <c r="BG86" s="169">
        <f>(($BU86-$BF86)/($BU$4-$BF$4))*(BG$4-$BU$4)+$BU86</f>
        <v>56638.185932228684</v>
      </c>
      <c r="BH86" s="169">
        <f t="shared" ref="BH86:BT86" si="15">(($BU86-$BF86)/($BU$4-$BF$4))*(BH$4-$BU$4)+$BU86</f>
        <v>58320.599298470828</v>
      </c>
      <c r="BI86" s="169">
        <f t="shared" si="15"/>
        <v>60003.012664712973</v>
      </c>
      <c r="BJ86" s="169">
        <f t="shared" si="15"/>
        <v>61685.426030955117</v>
      </c>
      <c r="BK86" s="169">
        <f t="shared" si="15"/>
        <v>63367.839397197269</v>
      </c>
      <c r="BL86" s="169">
        <f t="shared" si="15"/>
        <v>65050.252763439406</v>
      </c>
      <c r="BM86" s="169">
        <f t="shared" si="15"/>
        <v>66732.666129681558</v>
      </c>
      <c r="BN86" s="169">
        <f t="shared" si="15"/>
        <v>68415.079495923696</v>
      </c>
      <c r="BO86" s="169">
        <f t="shared" si="15"/>
        <v>70097.492862165847</v>
      </c>
      <c r="BP86" s="169">
        <f t="shared" si="15"/>
        <v>71779.906228407985</v>
      </c>
      <c r="BQ86" s="169">
        <f t="shared" si="15"/>
        <v>73462.319594650136</v>
      </c>
      <c r="BR86" s="169">
        <f t="shared" si="15"/>
        <v>75144.732960892274</v>
      </c>
      <c r="BS86" s="169">
        <f t="shared" si="15"/>
        <v>76827.146327134426</v>
      </c>
      <c r="BT86" s="169">
        <f t="shared" si="15"/>
        <v>78509.559693376563</v>
      </c>
      <c r="BU86" s="167">
        <v>80191.973059618715</v>
      </c>
      <c r="BV86" s="188" t="s">
        <v>153</v>
      </c>
    </row>
    <row r="87" spans="1:74" s="150" customFormat="1" ht="15">
      <c r="A87" s="189"/>
      <c r="B87" s="190" t="s">
        <v>177</v>
      </c>
      <c r="C87" s="191"/>
      <c r="D87" s="192"/>
      <c r="E87" s="193"/>
      <c r="F87" s="194"/>
      <c r="G87" s="195"/>
      <c r="H87" s="196"/>
      <c r="I87" s="195"/>
      <c r="J87" s="195"/>
      <c r="K87" s="195"/>
      <c r="L87" s="196"/>
      <c r="M87" s="197"/>
      <c r="N87" s="198"/>
      <c r="O87" s="199"/>
      <c r="P87" s="200"/>
      <c r="Q87" s="195"/>
      <c r="R87" s="196"/>
      <c r="S87" s="195"/>
      <c r="T87" s="196"/>
      <c r="U87" s="195"/>
      <c r="V87" s="196"/>
      <c r="W87" s="195"/>
      <c r="X87" s="196"/>
      <c r="Y87" s="201"/>
      <c r="Z87" s="202"/>
      <c r="AA87" s="203"/>
      <c r="AB87" s="204"/>
      <c r="AC87" s="203"/>
      <c r="AD87" s="203"/>
      <c r="AE87" s="203"/>
      <c r="AF87" s="203"/>
      <c r="AG87" s="203"/>
      <c r="AH87" s="203"/>
      <c r="AI87" s="203"/>
      <c r="AJ87" s="203"/>
      <c r="AK87" s="203"/>
      <c r="AL87" s="203"/>
      <c r="AM87" s="203"/>
      <c r="AN87" s="203"/>
      <c r="AO87" s="203"/>
      <c r="AP87" s="203"/>
      <c r="AQ87" s="203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5"/>
    </row>
    <row r="88" spans="1:74" s="150" customFormat="1" ht="38.25">
      <c r="A88" s="181" t="s">
        <v>111</v>
      </c>
      <c r="B88" s="174" t="s">
        <v>178</v>
      </c>
      <c r="C88" s="174" t="s">
        <v>42</v>
      </c>
      <c r="D88" s="183">
        <v>11862</v>
      </c>
      <c r="E88" s="184">
        <v>19950</v>
      </c>
      <c r="F88" s="185">
        <v>23581</v>
      </c>
      <c r="G88" s="143">
        <v>69633</v>
      </c>
      <c r="H88" s="144">
        <v>0.33864690592104318</v>
      </c>
      <c r="I88" s="143">
        <v>102512</v>
      </c>
      <c r="J88" s="143">
        <v>34715.37161977798</v>
      </c>
      <c r="K88" s="143">
        <v>31674.613461609249</v>
      </c>
      <c r="L88" s="144">
        <v>-8.7591116450453144E-2</v>
      </c>
      <c r="M88" s="187" t="s">
        <v>66</v>
      </c>
      <c r="N88" s="140" t="s">
        <v>27</v>
      </c>
      <c r="O88" s="141">
        <v>31698.084870848572</v>
      </c>
      <c r="P88" s="142">
        <v>-8.6915006469652889E-2</v>
      </c>
      <c r="Q88" s="143">
        <v>31698.084870848572</v>
      </c>
      <c r="R88" s="144">
        <v>-8.6915006469652889E-2</v>
      </c>
      <c r="S88" s="143">
        <v>29470.532013204171</v>
      </c>
      <c r="T88" s="144">
        <v>-0.15108118858752839</v>
      </c>
      <c r="U88" s="143">
        <v>31674.613461609249</v>
      </c>
      <c r="V88" s="144">
        <v>-8.7591116450453144E-2</v>
      </c>
      <c r="W88" s="143">
        <v>43288.526636242881</v>
      </c>
      <c r="X88" s="144">
        <v>0.24695558815739771</v>
      </c>
      <c r="Y88" s="145">
        <v>8.6915006469652889E-2</v>
      </c>
      <c r="Z88" s="146">
        <v>1.8752794722454613E-2</v>
      </c>
      <c r="AA88" s="147">
        <v>-1222613.4280442807</v>
      </c>
      <c r="AB88" s="148">
        <v>620.33210332103329</v>
      </c>
      <c r="AC88" s="147">
        <v>31674.613461609249</v>
      </c>
      <c r="AD88" s="147">
        <v>32422.717941190025</v>
      </c>
      <c r="AE88" s="147">
        <v>34741.052314395303</v>
      </c>
      <c r="AF88" s="147">
        <v>35539.178536251187</v>
      </c>
      <c r="AG88" s="147">
        <v>36350.324311435659</v>
      </c>
      <c r="AH88" s="147">
        <v>37174.702023359045</v>
      </c>
      <c r="AI88" s="147">
        <v>38012.527519967829</v>
      </c>
      <c r="AJ88" s="147">
        <v>38864.020170260366</v>
      </c>
      <c r="AK88" s="147">
        <v>39729.402921724613</v>
      </c>
      <c r="AL88" s="147">
        <v>40608.902358712789</v>
      </c>
      <c r="AM88" s="147">
        <v>41502.748761768176</v>
      </c>
      <c r="AN88" s="147">
        <v>42411.176167919897</v>
      </c>
      <c r="AO88" s="147">
        <v>43334.422431961066</v>
      </c>
      <c r="AP88" s="147">
        <v>44272.729288726725</v>
      </c>
      <c r="AQ88" s="147">
        <v>45226.342416387517</v>
      </c>
      <c r="AR88" s="147">
        <v>46195.511500775989</v>
      </c>
      <c r="AS88" s="147">
        <v>47180.490300762147</v>
      </c>
      <c r="AT88" s="147">
        <v>48181.53671469554</v>
      </c>
      <c r="AU88" s="147">
        <v>49198.912847931089</v>
      </c>
      <c r="AV88" s="147">
        <v>50232.885081456508</v>
      </c>
      <c r="AW88" s="147">
        <v>51283.724141639177</v>
      </c>
      <c r="AX88" s="147">
        <v>52351.705171110865</v>
      </c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88" t="s">
        <v>153</v>
      </c>
    </row>
    <row r="89" spans="1:74" s="150" customFormat="1" ht="15">
      <c r="A89" s="189"/>
      <c r="B89" s="190" t="s">
        <v>179</v>
      </c>
      <c r="C89" s="191"/>
      <c r="D89" s="192"/>
      <c r="E89" s="193"/>
      <c r="F89" s="194"/>
      <c r="G89" s="195"/>
      <c r="H89" s="196"/>
      <c r="I89" s="195"/>
      <c r="J89" s="195"/>
      <c r="K89" s="195"/>
      <c r="L89" s="196"/>
      <c r="M89" s="197"/>
      <c r="N89" s="198"/>
      <c r="O89" s="199"/>
      <c r="P89" s="200"/>
      <c r="Q89" s="195"/>
      <c r="R89" s="196"/>
      <c r="S89" s="195"/>
      <c r="T89" s="196"/>
      <c r="U89" s="195"/>
      <c r="V89" s="196"/>
      <c r="W89" s="195"/>
      <c r="X89" s="196"/>
      <c r="Y89" s="201"/>
      <c r="Z89" s="202"/>
      <c r="AA89" s="203"/>
      <c r="AB89" s="204"/>
      <c r="AC89" s="203"/>
      <c r="AD89" s="203"/>
      <c r="AE89" s="203"/>
      <c r="AF89" s="203"/>
      <c r="AG89" s="203"/>
      <c r="AH89" s="203"/>
      <c r="AI89" s="203"/>
      <c r="AJ89" s="203"/>
      <c r="AK89" s="203"/>
      <c r="AL89" s="203"/>
      <c r="AM89" s="203"/>
      <c r="AN89" s="203"/>
      <c r="AO89" s="203"/>
      <c r="AP89" s="203"/>
      <c r="AQ89" s="203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5"/>
    </row>
    <row r="90" spans="1:74" s="150" customFormat="1" ht="15">
      <c r="A90" s="158" t="s">
        <v>111</v>
      </c>
      <c r="B90" s="159" t="s">
        <v>180</v>
      </c>
      <c r="C90" s="207" t="s">
        <v>180</v>
      </c>
      <c r="D90" s="208">
        <v>521959</v>
      </c>
      <c r="E90" s="162">
        <v>564868</v>
      </c>
      <c r="F90" s="163">
        <v>643133</v>
      </c>
      <c r="G90" s="137">
        <v>654324</v>
      </c>
      <c r="H90" s="138">
        <v>0.9828968523239251</v>
      </c>
      <c r="I90" s="137">
        <v>763084</v>
      </c>
      <c r="J90" s="137">
        <v>750032.8616587501</v>
      </c>
      <c r="K90" s="137">
        <v>735332.9538580433</v>
      </c>
      <c r="L90" s="144">
        <v>-1.9599018325939688E-2</v>
      </c>
      <c r="M90" s="187" t="s">
        <v>26</v>
      </c>
      <c r="N90" s="140" t="s">
        <v>26</v>
      </c>
      <c r="O90" s="141">
        <v>735332.9538580433</v>
      </c>
      <c r="P90" s="142">
        <v>-1.9599018325939688E-2</v>
      </c>
      <c r="Q90" s="143">
        <v>711887.02583025955</v>
      </c>
      <c r="R90" s="144">
        <v>-5.0858886028178008E-2</v>
      </c>
      <c r="S90" s="143">
        <v>735332.9538580433</v>
      </c>
      <c r="T90" s="144">
        <v>-1.9599018325939688E-2</v>
      </c>
      <c r="U90" s="143">
        <v>817588.15218200162</v>
      </c>
      <c r="V90" s="144">
        <v>9.0069774241422262E-2</v>
      </c>
      <c r="W90" s="143">
        <v>800307.79258563952</v>
      </c>
      <c r="X90" s="144">
        <v>6.7030304266539664E-2</v>
      </c>
      <c r="Y90" s="145">
        <v>1.9599018325939688E-2</v>
      </c>
      <c r="Z90" s="146">
        <v>1.1226874378114204E-2</v>
      </c>
      <c r="AA90" s="147">
        <v>-12105731.391143911</v>
      </c>
      <c r="AB90" s="148">
        <v>6339.079335793358</v>
      </c>
      <c r="AC90" s="147">
        <v>817588.15218200162</v>
      </c>
      <c r="AD90" s="147">
        <v>833713.29597004596</v>
      </c>
      <c r="AE90" s="147">
        <v>883684.22401160782</v>
      </c>
      <c r="AF90" s="147">
        <v>900887.56985395181</v>
      </c>
      <c r="AG90" s="147">
        <v>918371.54784756585</v>
      </c>
      <c r="AH90" s="147">
        <v>936140.73584637721</v>
      </c>
      <c r="AI90" s="147">
        <v>954199.78638123977</v>
      </c>
      <c r="AJ90" s="147">
        <v>972553.42787811288</v>
      </c>
      <c r="AK90" s="147">
        <v>991206.4658961104</v>
      </c>
      <c r="AL90" s="147">
        <v>1010163.7843857495</v>
      </c>
      <c r="AM90" s="147">
        <v>1029430.3469677187</v>
      </c>
      <c r="AN90" s="147">
        <v>1049011.1982325115</v>
      </c>
      <c r="AO90" s="147">
        <v>1068911.4650612592</v>
      </c>
      <c r="AP90" s="147">
        <v>1089136.3579681071</v>
      </c>
      <c r="AQ90" s="147">
        <v>1109691.1724644913</v>
      </c>
      <c r="AR90" s="147">
        <v>1130581.2904456714</v>
      </c>
      <c r="AS90" s="147">
        <v>1151812.1815998759</v>
      </c>
      <c r="AT90" s="147">
        <v>1173389.4048404424</v>
      </c>
      <c r="AU90" s="147">
        <v>1195318.6097613126</v>
      </c>
      <c r="AV90" s="147">
        <v>1217605.5381162749</v>
      </c>
      <c r="AW90" s="147">
        <v>1240256.0253223327</v>
      </c>
      <c r="AX90" s="147">
        <v>1263276.0019876042</v>
      </c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9"/>
    </row>
    <row r="91" spans="1:74" s="150" customFormat="1" ht="15">
      <c r="A91" s="158" t="s">
        <v>111</v>
      </c>
      <c r="B91" s="159" t="s">
        <v>181</v>
      </c>
      <c r="C91" s="160" t="s">
        <v>181</v>
      </c>
      <c r="D91" s="161">
        <v>7431</v>
      </c>
      <c r="E91" s="162">
        <v>8178</v>
      </c>
      <c r="F91" s="163">
        <v>8840</v>
      </c>
      <c r="G91" s="137">
        <v>10210</v>
      </c>
      <c r="H91" s="138">
        <v>0.86581782566111654</v>
      </c>
      <c r="I91" s="137">
        <v>11578</v>
      </c>
      <c r="J91" s="137">
        <v>10024.438785504408</v>
      </c>
      <c r="K91" s="137">
        <v>9806.7659409106964</v>
      </c>
      <c r="L91" s="144">
        <v>-2.1714217548863823E-2</v>
      </c>
      <c r="M91" s="187" t="s">
        <v>26</v>
      </c>
      <c r="N91" s="140" t="s">
        <v>26</v>
      </c>
      <c r="O91" s="141">
        <v>9806.7659409106964</v>
      </c>
      <c r="P91" s="142">
        <v>-2.1714217548863823E-2</v>
      </c>
      <c r="Q91" s="143">
        <v>9731.9151291512826</v>
      </c>
      <c r="R91" s="144">
        <v>-2.9181050691448385E-2</v>
      </c>
      <c r="S91" s="143">
        <v>9806.7659409106964</v>
      </c>
      <c r="T91" s="144">
        <v>-2.1714217548863823E-2</v>
      </c>
      <c r="U91" s="143">
        <v>10315.618868517027</v>
      </c>
      <c r="V91" s="144">
        <v>2.9047020909906074E-2</v>
      </c>
      <c r="W91" s="143">
        <v>10315.759006478545</v>
      </c>
      <c r="X91" s="144">
        <v>2.9061000541535931E-2</v>
      </c>
      <c r="Y91" s="145">
        <v>2.1714217548863823E-2</v>
      </c>
      <c r="Z91" s="146">
        <v>8.6863150598455174E-3</v>
      </c>
      <c r="AA91" s="147">
        <v>-140235.57195571958</v>
      </c>
      <c r="AB91" s="148">
        <v>74.167896678966798</v>
      </c>
      <c r="AC91" s="147">
        <v>10315.618868517027</v>
      </c>
      <c r="AD91" s="147">
        <v>10452.012469586283</v>
      </c>
      <c r="AE91" s="147">
        <v>10874.688689652903</v>
      </c>
      <c r="AF91" s="147">
        <v>11020.202200770667</v>
      </c>
      <c r="AG91" s="147">
        <v>11168.089422795485</v>
      </c>
      <c r="AH91" s="147">
        <v>11318.389077241445</v>
      </c>
      <c r="AI91" s="147">
        <v>11471.140517273123</v>
      </c>
      <c r="AJ91" s="147">
        <v>11626.383738009466</v>
      </c>
      <c r="AK91" s="147">
        <v>11784.159386995787</v>
      </c>
      <c r="AL91" s="147">
        <v>11944.508774846561</v>
      </c>
      <c r="AM91" s="147">
        <v>12107.473886061836</v>
      </c>
      <c r="AN91" s="147">
        <v>12273.097390020097</v>
      </c>
      <c r="AO91" s="147">
        <v>12441.422652150435</v>
      </c>
      <c r="AP91" s="147">
        <v>12612.493745287</v>
      </c>
      <c r="AQ91" s="147">
        <v>12786.35546120863</v>
      </c>
      <c r="AR91" s="147">
        <v>12963.053322366759</v>
      </c>
      <c r="AS91" s="147">
        <v>13142.633593804614</v>
      </c>
      <c r="AT91" s="147">
        <v>13325.143295270849</v>
      </c>
      <c r="AU91" s="147">
        <v>13510.630213530814</v>
      </c>
      <c r="AV91" s="147">
        <v>13699.142914878601</v>
      </c>
      <c r="AW91" s="147">
        <v>13890.730757853245</v>
      </c>
      <c r="AX91" s="147">
        <v>14085.443906162323</v>
      </c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9"/>
    </row>
    <row r="92" spans="1:74" s="150" customFormat="1" ht="15">
      <c r="A92" s="158" t="s">
        <v>111</v>
      </c>
      <c r="B92" s="159" t="s">
        <v>182</v>
      </c>
      <c r="C92" s="160" t="s">
        <v>182</v>
      </c>
      <c r="D92" s="161">
        <v>18716</v>
      </c>
      <c r="E92" s="162">
        <v>20722</v>
      </c>
      <c r="F92" s="163">
        <v>21455</v>
      </c>
      <c r="G92" s="137">
        <v>23871</v>
      </c>
      <c r="H92" s="138">
        <v>0.89878932596037031</v>
      </c>
      <c r="I92" s="137">
        <v>26551</v>
      </c>
      <c r="J92" s="137">
        <v>23863.755393573792</v>
      </c>
      <c r="K92" s="137">
        <v>23088.88010668123</v>
      </c>
      <c r="L92" s="144">
        <v>-3.2470802441313396E-2</v>
      </c>
      <c r="M92" s="187" t="s">
        <v>66</v>
      </c>
      <c r="N92" s="166" t="s">
        <v>104</v>
      </c>
      <c r="O92" s="141">
        <v>23599.544008075674</v>
      </c>
      <c r="P92" s="142">
        <v>-1.1071659977258563E-2</v>
      </c>
      <c r="Q92" s="143">
        <v>23395.250922509236</v>
      </c>
      <c r="R92" s="144">
        <v>-1.963247038606164E-2</v>
      </c>
      <c r="S92" s="143">
        <v>22472.824051216412</v>
      </c>
      <c r="T92" s="144">
        <v>-5.8286355999606854E-2</v>
      </c>
      <c r="U92" s="143">
        <v>23088.88010668123</v>
      </c>
      <c r="V92" s="144">
        <v>-3.2470802441313396E-2</v>
      </c>
      <c r="W92" s="143">
        <v>23599.544008075674</v>
      </c>
      <c r="X92" s="144">
        <v>-1.1071659977258563E-2</v>
      </c>
      <c r="Y92" s="145">
        <v>1.1071659977258563E-2</v>
      </c>
      <c r="Z92" s="146">
        <v>3.8698888253358987E-3</v>
      </c>
      <c r="AA92" s="147">
        <v>-270197.65682656824</v>
      </c>
      <c r="AB92" s="148">
        <v>145.19926199261991</v>
      </c>
      <c r="AC92" s="147">
        <v>23088.88010668123</v>
      </c>
      <c r="AD92" s="147">
        <v>23239.902024481482</v>
      </c>
      <c r="AE92" s="147">
        <v>23707.9105883921</v>
      </c>
      <c r="AF92" s="147">
        <v>23869.030533481709</v>
      </c>
      <c r="AG92" s="147">
        <v>24032.778771765988</v>
      </c>
      <c r="AH92" s="147">
        <v>24199.19817767066</v>
      </c>
      <c r="AI92" s="147">
        <v>24368.332325016912</v>
      </c>
      <c r="AJ92" s="147">
        <v>24540.225498430416</v>
      </c>
      <c r="AK92" s="147">
        <v>24714.922704936413</v>
      </c>
      <c r="AL92" s="147">
        <v>24892.469685743999</v>
      </c>
      <c r="AM92" s="147">
        <v>25072.91292822254</v>
      </c>
      <c r="AN92" s="147">
        <v>25256.299678073607</v>
      </c>
      <c r="AO92" s="147">
        <v>25442.677951701298</v>
      </c>
      <c r="AP92" s="147">
        <v>25632.096548784539</v>
      </c>
      <c r="AQ92" s="147">
        <v>25824.60506505426</v>
      </c>
      <c r="AR92" s="147">
        <v>26020.253905279198</v>
      </c>
      <c r="AS92" s="147">
        <v>26219.094296463401</v>
      </c>
      <c r="AT92" s="147">
        <v>26421.178301259104</v>
      </c>
      <c r="AU92" s="147">
        <v>26626.558831598319</v>
      </c>
      <c r="AV92" s="147">
        <v>26835.289662546842</v>
      </c>
      <c r="AW92" s="147">
        <v>27047.425446384324</v>
      </c>
      <c r="AX92" s="147">
        <v>27263.021726913859</v>
      </c>
      <c r="AY92" s="167">
        <v>23010.202834728334</v>
      </c>
      <c r="AZ92" s="168">
        <f>(($BF92-$AY92)/($BF$4-$AY$4))*(AZ$4-$BF$4)+$BF92</f>
        <v>23599.544008075674</v>
      </c>
      <c r="BA92" s="168">
        <f t="shared" ref="BA92:BE92" si="16">(($BF92-$AY92)/($BF$4-$AY$4))*(BA$4-$BF$4)+$BF92</f>
        <v>23894.214594749345</v>
      </c>
      <c r="BB92" s="168">
        <f t="shared" si="16"/>
        <v>24778.226354770355</v>
      </c>
      <c r="BC92" s="168">
        <f t="shared" si="16"/>
        <v>25072.896941444025</v>
      </c>
      <c r="BD92" s="168">
        <f t="shared" si="16"/>
        <v>25367.567528117695</v>
      </c>
      <c r="BE92" s="168">
        <f t="shared" si="16"/>
        <v>25662.238114791366</v>
      </c>
      <c r="BF92" s="167">
        <v>25956.908701465036</v>
      </c>
      <c r="BG92" s="169">
        <f>(($BU92-$BF92)/($BU$4-$BF$4))*(BG$4-$BU$4)+$BU92</f>
        <v>26347.400344412355</v>
      </c>
      <c r="BH92" s="169">
        <f t="shared" ref="BH92:BT92" si="17">(($BU92-$BF92)/($BU$4-$BF$4))*(BH$4-$BU$4)+$BU92</f>
        <v>26737.891987359671</v>
      </c>
      <c r="BI92" s="169">
        <f t="shared" si="17"/>
        <v>27128.383630306991</v>
      </c>
      <c r="BJ92" s="169">
        <f t="shared" si="17"/>
        <v>27518.875273254307</v>
      </c>
      <c r="BK92" s="169">
        <f t="shared" si="17"/>
        <v>27909.366916201627</v>
      </c>
      <c r="BL92" s="169">
        <f t="shared" si="17"/>
        <v>28299.858559148946</v>
      </c>
      <c r="BM92" s="169">
        <f t="shared" si="17"/>
        <v>28690.350202096262</v>
      </c>
      <c r="BN92" s="169">
        <f t="shared" si="17"/>
        <v>29080.841845043582</v>
      </c>
      <c r="BO92" s="169">
        <f t="shared" si="17"/>
        <v>29471.333487990902</v>
      </c>
      <c r="BP92" s="169">
        <f t="shared" si="17"/>
        <v>29861.825130938218</v>
      </c>
      <c r="BQ92" s="169">
        <f t="shared" si="17"/>
        <v>30252.316773885537</v>
      </c>
      <c r="BR92" s="169">
        <f t="shared" si="17"/>
        <v>30642.808416832853</v>
      </c>
      <c r="BS92" s="169">
        <f t="shared" si="17"/>
        <v>31033.300059780173</v>
      </c>
      <c r="BT92" s="169">
        <f t="shared" si="17"/>
        <v>31423.791702727489</v>
      </c>
      <c r="BU92" s="167">
        <v>31814.283345674809</v>
      </c>
      <c r="BV92" s="149"/>
    </row>
    <row r="93" spans="1:74" s="150" customFormat="1" ht="15">
      <c r="A93" s="158" t="s">
        <v>111</v>
      </c>
      <c r="B93" s="174" t="s">
        <v>183</v>
      </c>
      <c r="C93" s="209" t="s">
        <v>184</v>
      </c>
      <c r="D93" s="176">
        <v>7242</v>
      </c>
      <c r="E93" s="177">
        <v>8089</v>
      </c>
      <c r="F93" s="178">
        <v>8827</v>
      </c>
      <c r="G93" s="137">
        <v>16799</v>
      </c>
      <c r="H93" s="138">
        <v>0.52544794332996014</v>
      </c>
      <c r="I93" s="137">
        <v>17475</v>
      </c>
      <c r="J93" s="137">
        <v>9182.2028096910526</v>
      </c>
      <c r="K93" s="137">
        <v>9916.7838696422041</v>
      </c>
      <c r="L93" s="144">
        <v>8.0000526581253784E-2</v>
      </c>
      <c r="M93" s="187" t="s">
        <v>26</v>
      </c>
      <c r="N93" s="140" t="s">
        <v>27</v>
      </c>
      <c r="O93" s="141">
        <v>9832.8191881918465</v>
      </c>
      <c r="P93" s="142">
        <v>7.0856241360093053E-2</v>
      </c>
      <c r="Q93" s="143">
        <v>9832.8191881918465</v>
      </c>
      <c r="R93" s="144">
        <v>7.0856241360093053E-2</v>
      </c>
      <c r="S93" s="143">
        <v>9916.7838696422041</v>
      </c>
      <c r="T93" s="144">
        <v>8.0000526581253784E-2</v>
      </c>
      <c r="U93" s="143">
        <v>10472.025264298438</v>
      </c>
      <c r="V93" s="144">
        <v>0.14046982857382373</v>
      </c>
      <c r="W93" s="143">
        <v>10562.05311473459</v>
      </c>
      <c r="X93" s="144">
        <v>0.15027443127124362</v>
      </c>
      <c r="Y93" s="145">
        <v>7.0856241360093053E-2</v>
      </c>
      <c r="Z93" s="146">
        <v>9.7483297458369478E-3</v>
      </c>
      <c r="AA93" s="147">
        <v>-158892.26199261993</v>
      </c>
      <c r="AB93" s="148">
        <v>83.444649446494452</v>
      </c>
      <c r="AC93" s="147">
        <v>10472.025264298438</v>
      </c>
      <c r="AD93" s="147">
        <v>10624.077345248756</v>
      </c>
      <c r="AE93" s="147">
        <v>11095.278327739943</v>
      </c>
      <c r="AF93" s="147">
        <v>11257.497317475456</v>
      </c>
      <c r="AG93" s="147">
        <v>11422.362528735746</v>
      </c>
      <c r="AH93" s="147">
        <v>11589.917128405112</v>
      </c>
      <c r="AI93" s="147">
        <v>11760.204987534085</v>
      </c>
      <c r="AJ93" s="147">
        <v>11933.27069282626</v>
      </c>
      <c r="AK93" s="147">
        <v>12109.15955831252</v>
      </c>
      <c r="AL93" s="147">
        <v>12287.917637215651</v>
      </c>
      <c r="AM93" s="147">
        <v>12469.591734008511</v>
      </c>
      <c r="AN93" s="147">
        <v>12654.229416668928</v>
      </c>
      <c r="AO93" s="147">
        <v>12841.87902913447</v>
      </c>
      <c r="AP93" s="147">
        <v>13032.589703960428</v>
      </c>
      <c r="AQ93" s="147">
        <v>13226.411375184241</v>
      </c>
      <c r="AR93" s="147">
        <v>13423.394791399794</v>
      </c>
      <c r="AS93" s="147">
        <v>13623.591529045018</v>
      </c>
      <c r="AT93" s="147">
        <v>13827.054005906171</v>
      </c>
      <c r="AU93" s="147">
        <v>14033.835494842508</v>
      </c>
      <c r="AV93" s="147">
        <v>14243.99013773476</v>
      </c>
      <c r="AW93" s="147">
        <v>14457.572959661175</v>
      </c>
      <c r="AX93" s="147">
        <v>14674.639883304819</v>
      </c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9"/>
    </row>
    <row r="94" spans="1:74" s="150" customFormat="1" ht="15">
      <c r="A94" s="158" t="s">
        <v>111</v>
      </c>
      <c r="B94" s="159" t="s">
        <v>185</v>
      </c>
      <c r="C94" s="160" t="s">
        <v>185</v>
      </c>
      <c r="D94" s="161">
        <v>24397</v>
      </c>
      <c r="E94" s="162">
        <v>26919</v>
      </c>
      <c r="F94" s="163">
        <v>28051</v>
      </c>
      <c r="G94" s="137">
        <v>41808</v>
      </c>
      <c r="H94" s="138">
        <v>0.67094814389590507</v>
      </c>
      <c r="I94" s="137">
        <v>44654</v>
      </c>
      <c r="J94" s="137">
        <v>29960.518417527746</v>
      </c>
      <c r="K94" s="137">
        <v>30581.974169741676</v>
      </c>
      <c r="L94" s="144">
        <v>2.0742489951387499E-2</v>
      </c>
      <c r="M94" s="187" t="s">
        <v>27</v>
      </c>
      <c r="N94" s="140" t="s">
        <v>26</v>
      </c>
      <c r="O94" s="141">
        <v>29634.725976738206</v>
      </c>
      <c r="P94" s="142">
        <v>-1.0874058861376157E-2</v>
      </c>
      <c r="Q94" s="143">
        <v>30581.974169741676</v>
      </c>
      <c r="R94" s="144">
        <v>2.0742489951387499E-2</v>
      </c>
      <c r="S94" s="143">
        <v>29634.725976738206</v>
      </c>
      <c r="T94" s="144">
        <v>-1.0874058861376157E-2</v>
      </c>
      <c r="U94" s="143">
        <v>30574.263684533638</v>
      </c>
      <c r="V94" s="144">
        <v>2.0485135085207107E-2</v>
      </c>
      <c r="W94" s="143">
        <v>31069.19964690091</v>
      </c>
      <c r="X94" s="144">
        <v>3.7004741170451716E-2</v>
      </c>
      <c r="Y94" s="145">
        <v>1.0874058861376157E-2</v>
      </c>
      <c r="Z94" s="146">
        <v>4.5873704679528782E-3</v>
      </c>
      <c r="AA94" s="147">
        <v>-360514.60885608854</v>
      </c>
      <c r="AB94" s="148">
        <v>193.42066420664204</v>
      </c>
      <c r="AC94" s="147">
        <v>30574.263684533638</v>
      </c>
      <c r="AD94" s="147">
        <v>30807.492621709476</v>
      </c>
      <c r="AE94" s="147">
        <v>31530.256188349071</v>
      </c>
      <c r="AF94" s="147">
        <v>31779.079896181865</v>
      </c>
      <c r="AG94" s="147">
        <v>32031.962577952392</v>
      </c>
      <c r="AH94" s="147">
        <v>32288.970446279942</v>
      </c>
      <c r="AI94" s="147">
        <v>32550.170793886966</v>
      </c>
      <c r="AJ94" s="147">
        <v>32815.632011218608</v>
      </c>
      <c r="AK94" s="147">
        <v>33085.423604349286</v>
      </c>
      <c r="AL94" s="147">
        <v>33359.61621318174</v>
      </c>
      <c r="AM94" s="147">
        <v>33638.281629942605</v>
      </c>
      <c r="AN94" s="147">
        <v>33921.492817979975</v>
      </c>
      <c r="AO94" s="147">
        <v>34209.323930867511</v>
      </c>
      <c r="AP94" s="147">
        <v>34501.850331820067</v>
      </c>
      <c r="AQ94" s="147">
        <v>34799.148613426238</v>
      </c>
      <c r="AR94" s="147">
        <v>35101.296617702668</v>
      </c>
      <c r="AS94" s="147">
        <v>35408.373456475558</v>
      </c>
      <c r="AT94" s="147">
        <v>35720.459532094566</v>
      </c>
      <c r="AU94" s="147">
        <v>36037.636558484723</v>
      </c>
      <c r="AV94" s="147">
        <v>36359.987582541668</v>
      </c>
      <c r="AW94" s="147">
        <v>36687.597005875941</v>
      </c>
      <c r="AX94" s="147">
        <v>37020.550606912002</v>
      </c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9"/>
    </row>
    <row r="95" spans="1:74" s="150" customFormat="1" ht="15">
      <c r="A95" s="158" t="s">
        <v>111</v>
      </c>
      <c r="B95" s="159" t="s">
        <v>186</v>
      </c>
      <c r="C95" s="160" t="s">
        <v>186</v>
      </c>
      <c r="D95" s="161">
        <v>10919</v>
      </c>
      <c r="E95" s="162">
        <v>12199</v>
      </c>
      <c r="F95" s="163">
        <v>13005</v>
      </c>
      <c r="G95" s="137">
        <v>17523</v>
      </c>
      <c r="H95" s="138">
        <v>0.74216743708269128</v>
      </c>
      <c r="I95" s="137">
        <v>18079</v>
      </c>
      <c r="J95" s="137">
        <v>13417.645095017975</v>
      </c>
      <c r="K95" s="137">
        <v>14390.343173431727</v>
      </c>
      <c r="L95" s="144">
        <v>7.249394894003558E-2</v>
      </c>
      <c r="M95" s="187" t="s">
        <v>27</v>
      </c>
      <c r="N95" s="140" t="s">
        <v>26</v>
      </c>
      <c r="O95" s="141">
        <v>14163.106586140118</v>
      </c>
      <c r="P95" s="142">
        <v>5.5558295501416666E-2</v>
      </c>
      <c r="Q95" s="143">
        <v>14390.343173431727</v>
      </c>
      <c r="R95" s="144">
        <v>7.249394894003558E-2</v>
      </c>
      <c r="S95" s="143">
        <v>14163.106586140118</v>
      </c>
      <c r="T95" s="144">
        <v>5.5558295501416666E-2</v>
      </c>
      <c r="U95" s="143">
        <v>14801.599407892332</v>
      </c>
      <c r="V95" s="144">
        <v>0.10314435231173502</v>
      </c>
      <c r="W95" s="143">
        <v>15036.442576140575</v>
      </c>
      <c r="X95" s="144">
        <v>0.12064691454118615</v>
      </c>
      <c r="Y95" s="145">
        <v>5.5558295501416666E-2</v>
      </c>
      <c r="Z95" s="146">
        <v>7.1342078163527667E-3</v>
      </c>
      <c r="AA95" s="147">
        <v>-208283.33948339481</v>
      </c>
      <c r="AB95" s="148">
        <v>110.12546125461253</v>
      </c>
      <c r="AC95" s="147">
        <v>14801.599407892332</v>
      </c>
      <c r="AD95" s="147">
        <v>14967.661707683605</v>
      </c>
      <c r="AE95" s="147">
        <v>15482.279582870451</v>
      </c>
      <c r="AF95" s="147">
        <v>15659.445579790263</v>
      </c>
      <c r="AG95" s="147">
        <v>15839.501623524407</v>
      </c>
      <c r="AH95" s="147">
        <v>16022.494858393664</v>
      </c>
      <c r="AI95" s="147">
        <v>16208.47319776758</v>
      </c>
      <c r="AJ95" s="147">
        <v>16397.485336609712</v>
      </c>
      <c r="AK95" s="147">
        <v>16589.580764227499</v>
      </c>
      <c r="AL95" s="147">
        <v>16784.809777230104</v>
      </c>
      <c r="AM95" s="147">
        <v>16983.223492697642</v>
      </c>
      <c r="AN95" s="147">
        <v>17184.873861565251</v>
      </c>
      <c r="AO95" s="147">
        <v>17389.813682225453</v>
      </c>
      <c r="AP95" s="147">
        <v>17598.096614352449</v>
      </c>
      <c r="AQ95" s="147">
        <v>17809.777192951897</v>
      </c>
      <c r="AR95" s="147">
        <v>18024.910842639893</v>
      </c>
      <c r="AS95" s="147">
        <v>18243.553892154861</v>
      </c>
      <c r="AT95" s="147">
        <v>18465.763589106202</v>
      </c>
      <c r="AU95" s="147">
        <v>18691.598114963497</v>
      </c>
      <c r="AV95" s="147">
        <v>18921.116600290268</v>
      </c>
      <c r="AW95" s="147">
        <v>19154.379140226156</v>
      </c>
      <c r="AX95" s="147">
        <v>19391.446810221802</v>
      </c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9"/>
    </row>
    <row r="96" spans="1:74" s="150" customFormat="1" ht="15">
      <c r="A96" s="158" t="s">
        <v>111</v>
      </c>
      <c r="B96" s="159" t="s">
        <v>187</v>
      </c>
      <c r="C96" s="160" t="s">
        <v>187</v>
      </c>
      <c r="D96" s="161">
        <v>22851</v>
      </c>
      <c r="E96" s="162">
        <v>26937</v>
      </c>
      <c r="F96" s="163">
        <v>29868</v>
      </c>
      <c r="G96" s="137">
        <v>36172</v>
      </c>
      <c r="H96" s="138">
        <v>0.82572155258210767</v>
      </c>
      <c r="I96" s="137">
        <v>41373</v>
      </c>
      <c r="J96" s="137">
        <v>34162.577794979537</v>
      </c>
      <c r="K96" s="137">
        <v>34277.991321678957</v>
      </c>
      <c r="L96" s="144">
        <v>3.3783611819944159E-3</v>
      </c>
      <c r="M96" s="187" t="s">
        <v>26</v>
      </c>
      <c r="N96" s="140" t="s">
        <v>26</v>
      </c>
      <c r="O96" s="141">
        <v>34277.991321678957</v>
      </c>
      <c r="P96" s="142">
        <v>3.3783611819944159E-3</v>
      </c>
      <c r="Q96" s="143">
        <v>34446.199261992588</v>
      </c>
      <c r="R96" s="144">
        <v>8.3021096568050012E-3</v>
      </c>
      <c r="S96" s="143">
        <v>34277.991321678957</v>
      </c>
      <c r="T96" s="144">
        <v>3.3783611819944159E-3</v>
      </c>
      <c r="U96" s="143">
        <v>36401.29139520153</v>
      </c>
      <c r="V96" s="144">
        <v>6.5531167280678426E-2</v>
      </c>
      <c r="W96" s="143">
        <v>38100.08891495032</v>
      </c>
      <c r="X96" s="144">
        <v>0.11525802132383078</v>
      </c>
      <c r="Y96" s="145">
        <v>3.3783611819944159E-3</v>
      </c>
      <c r="Z96" s="146">
        <v>1.1542424136488316E-2</v>
      </c>
      <c r="AA96" s="147">
        <v>-713775.87453874561</v>
      </c>
      <c r="AB96" s="148">
        <v>370.04059040590414</v>
      </c>
      <c r="AC96" s="147">
        <v>36401.29139520153</v>
      </c>
      <c r="AD96" s="147">
        <v>37005.173033772502</v>
      </c>
      <c r="AE96" s="147">
        <v>38876.56880569888</v>
      </c>
      <c r="AF96" s="147">
        <v>39520.828777128139</v>
      </c>
      <c r="AG96" s="147">
        <v>40175.598335670045</v>
      </c>
      <c r="AH96" s="147">
        <v>40841.048920535774</v>
      </c>
      <c r="AI96" s="147">
        <v>41517.354767564226</v>
      </c>
      <c r="AJ96" s="147">
        <v>42204.692954842511</v>
      </c>
      <c r="AK96" s="147">
        <v>42903.243449070476</v>
      </c>
      <c r="AL96" s="147">
        <v>43613.189152681676</v>
      </c>
      <c r="AM96" s="147">
        <v>44334.715951733</v>
      </c>
      <c r="AN96" s="147">
        <v>45068.012764575382</v>
      </c>
      <c r="AO96" s="147">
        <v>45813.271591318618</v>
      </c>
      <c r="AP96" s="147">
        <v>46570.687564103013</v>
      </c>
      <c r="AQ96" s="147">
        <v>47340.458998191076</v>
      </c>
      <c r="AR96" s="147">
        <v>48122.787443892703</v>
      </c>
      <c r="AS96" s="147">
        <v>48917.877739337338</v>
      </c>
      <c r="AT96" s="147">
        <v>49725.938064107046</v>
      </c>
      <c r="AU96" s="147">
        <v>50547.179993744438</v>
      </c>
      <c r="AV96" s="147">
        <v>51381.818555149832</v>
      </c>
      <c r="AW96" s="147">
        <v>52230.072282881971</v>
      </c>
      <c r="AX96" s="147">
        <v>53092.163276377287</v>
      </c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9"/>
    </row>
    <row r="97" spans="1:74" s="150" customFormat="1" ht="15">
      <c r="A97" s="158" t="s">
        <v>111</v>
      </c>
      <c r="B97" s="159" t="s">
        <v>188</v>
      </c>
      <c r="C97" s="160" t="s">
        <v>188</v>
      </c>
      <c r="D97" s="161">
        <v>58299</v>
      </c>
      <c r="E97" s="162">
        <v>67266</v>
      </c>
      <c r="F97" s="163">
        <v>97363</v>
      </c>
      <c r="G97" s="137">
        <v>106273</v>
      </c>
      <c r="H97" s="138">
        <v>0.916159325510713</v>
      </c>
      <c r="I97" s="137">
        <v>109540</v>
      </c>
      <c r="J97" s="137">
        <v>100356.0925164435</v>
      </c>
      <c r="K97" s="137">
        <v>135896.23363320553</v>
      </c>
      <c r="L97" s="157">
        <v>0.35414034390526639</v>
      </c>
      <c r="M97" s="187" t="s">
        <v>26</v>
      </c>
      <c r="N97" s="140" t="s">
        <v>27</v>
      </c>
      <c r="O97" s="141">
        <v>117714.36162361642</v>
      </c>
      <c r="P97" s="142">
        <v>0.17296676935013933</v>
      </c>
      <c r="Q97" s="143">
        <v>117714.36162361642</v>
      </c>
      <c r="R97" s="144">
        <v>0.17296676935013933</v>
      </c>
      <c r="S97" s="143">
        <v>135896.23363320553</v>
      </c>
      <c r="T97" s="144">
        <v>0.35414034390526639</v>
      </c>
      <c r="U97" s="143">
        <v>164450.16176096219</v>
      </c>
      <c r="V97" s="144">
        <v>0.6386664490152083</v>
      </c>
      <c r="W97" s="143">
        <v>181807.61187016603</v>
      </c>
      <c r="X97" s="144">
        <v>0.81162505744607949</v>
      </c>
      <c r="Y97" s="145">
        <v>0.17296676935013933</v>
      </c>
      <c r="Z97" s="146">
        <v>2.8176774695490403E-2</v>
      </c>
      <c r="AA97" s="147">
        <v>-3996268.4760147603</v>
      </c>
      <c r="AB97" s="148">
        <v>2034.6107011070112</v>
      </c>
      <c r="AC97" s="147">
        <v>164450.16176096219</v>
      </c>
      <c r="AD97" s="147">
        <v>170651.12582649305</v>
      </c>
      <c r="AE97" s="147">
        <v>189867.57023033747</v>
      </c>
      <c r="AF97" s="147">
        <v>196483.1595718954</v>
      </c>
      <c r="AG97" s="147">
        <v>203206.66670373976</v>
      </c>
      <c r="AH97" s="147">
        <v>210039.85205096044</v>
      </c>
      <c r="AI97" s="147">
        <v>216984.50475584462</v>
      </c>
      <c r="AJ97" s="147">
        <v>224042.44314633057</v>
      </c>
      <c r="AK97" s="147">
        <v>231215.51521210294</v>
      </c>
      <c r="AL97" s="147">
        <v>238505.59908845459</v>
      </c>
      <c r="AM97" s="147">
        <v>245914.60354804099</v>
      </c>
      <c r="AN97" s="147">
        <v>253444.4685006568</v>
      </c>
      <c r="AO97" s="147">
        <v>261097.16550116552</v>
      </c>
      <c r="AP97" s="147">
        <v>268874.69826571422</v>
      </c>
      <c r="AQ97" s="147">
        <v>276779.10319636879</v>
      </c>
      <c r="AR97" s="147">
        <v>284812.44991430861</v>
      </c>
      <c r="AS97" s="147">
        <v>292976.84180171811</v>
      </c>
      <c r="AT97" s="147">
        <v>301274.4165525178</v>
      </c>
      <c r="AU97" s="147">
        <v>309707.34673207998</v>
      </c>
      <c r="AV97" s="147">
        <v>318277.84034607443</v>
      </c>
      <c r="AW97" s="147">
        <v>326988.14141859382</v>
      </c>
      <c r="AX97" s="147">
        <v>335840.53057970898</v>
      </c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9"/>
    </row>
    <row r="98" spans="1:74" s="150" customFormat="1" ht="15">
      <c r="A98" s="158" t="s">
        <v>111</v>
      </c>
      <c r="B98" s="159" t="s">
        <v>189</v>
      </c>
      <c r="C98" s="160" t="s">
        <v>189</v>
      </c>
      <c r="D98" s="161">
        <v>7649</v>
      </c>
      <c r="E98" s="162">
        <v>9294</v>
      </c>
      <c r="F98" s="163">
        <v>11093</v>
      </c>
      <c r="G98" s="137">
        <v>19301</v>
      </c>
      <c r="H98" s="138">
        <v>0.57473706025594529</v>
      </c>
      <c r="I98" s="137">
        <v>22767</v>
      </c>
      <c r="J98" s="137">
        <v>13085.038650847106</v>
      </c>
      <c r="K98" s="137">
        <v>14029.388288501641</v>
      </c>
      <c r="L98" s="144">
        <v>7.2170183279771871E-2</v>
      </c>
      <c r="M98" s="187" t="s">
        <v>26</v>
      </c>
      <c r="N98" s="140" t="s">
        <v>27</v>
      </c>
      <c r="O98" s="141">
        <v>13205.682656826568</v>
      </c>
      <c r="P98" s="142">
        <v>9.2199961496981508E-3</v>
      </c>
      <c r="Q98" s="143">
        <v>13205.682656826568</v>
      </c>
      <c r="R98" s="144">
        <v>9.2199961496981508E-3</v>
      </c>
      <c r="S98" s="143">
        <v>14029.388288501641</v>
      </c>
      <c r="T98" s="144">
        <v>7.2170183279771871E-2</v>
      </c>
      <c r="U98" s="143">
        <v>15103.027710667871</v>
      </c>
      <c r="V98" s="144">
        <v>0.1542211004237366</v>
      </c>
      <c r="W98" s="143">
        <v>16149.792760969571</v>
      </c>
      <c r="X98" s="144">
        <v>0.23421819315176862</v>
      </c>
      <c r="Y98" s="145">
        <v>9.2199961496981508E-3</v>
      </c>
      <c r="Z98" s="146">
        <v>1.9762748957789178E-2</v>
      </c>
      <c r="AA98" s="147">
        <v>-352683.05166051665</v>
      </c>
      <c r="AB98" s="148">
        <v>180.9538745387454</v>
      </c>
      <c r="AC98" s="147">
        <v>15103.027710667871</v>
      </c>
      <c r="AD98" s="147">
        <v>15473.680412063028</v>
      </c>
      <c r="AE98" s="147">
        <v>16622.312617349802</v>
      </c>
      <c r="AF98" s="147">
        <v>17017.748880946267</v>
      </c>
      <c r="AG98" s="147">
        <v>17419.635757717639</v>
      </c>
      <c r="AH98" s="147">
        <v>17828.078474255832</v>
      </c>
      <c r="AI98" s="147">
        <v>18243.18397367726</v>
      </c>
      <c r="AJ98" s="147">
        <v>18665.06094362391</v>
      </c>
      <c r="AK98" s="147">
        <v>19093.819844721176</v>
      </c>
      <c r="AL98" s="147">
        <v>19529.572939499943</v>
      </c>
      <c r="AM98" s="147">
        <v>19972.434321790402</v>
      </c>
      <c r="AN98" s="147">
        <v>20422.519946595392</v>
      </c>
      <c r="AO98" s="147">
        <v>20879.9476604511</v>
      </c>
      <c r="AP98" s="147">
        <v>21344.837232282945</v>
      </c>
      <c r="AQ98" s="147">
        <v>21817.310384764838</v>
      </c>
      <c r="AR98" s="147">
        <v>22297.490826190027</v>
      </c>
      <c r="AS98" s="147">
        <v>22785.504282861773</v>
      </c>
      <c r="AT98" s="147">
        <v>23281.478532012472</v>
      </c>
      <c r="AU98" s="147">
        <v>23785.543435259722</v>
      </c>
      <c r="AV98" s="147">
        <v>24297.830972608164</v>
      </c>
      <c r="AW98" s="147">
        <v>24818.47527700603</v>
      </c>
      <c r="AX98" s="147">
        <v>25347.612669465278</v>
      </c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9"/>
    </row>
    <row r="99" spans="1:74" s="150" customFormat="1" ht="15">
      <c r="A99" s="158" t="s">
        <v>111</v>
      </c>
      <c r="B99" s="159" t="s">
        <v>190</v>
      </c>
      <c r="C99" s="160" t="s">
        <v>190</v>
      </c>
      <c r="D99" s="161">
        <v>8036</v>
      </c>
      <c r="E99" s="162">
        <v>8865</v>
      </c>
      <c r="F99" s="163">
        <v>8883</v>
      </c>
      <c r="G99" s="137">
        <v>10188</v>
      </c>
      <c r="H99" s="138">
        <v>0.87190812720848054</v>
      </c>
      <c r="I99" s="137">
        <v>11438</v>
      </c>
      <c r="J99" s="137">
        <v>9972.8851590106005</v>
      </c>
      <c r="K99" s="137">
        <v>9560.7675276752707</v>
      </c>
      <c r="L99" s="144">
        <v>-4.1323811992658666E-2</v>
      </c>
      <c r="M99" s="187" t="s">
        <v>27</v>
      </c>
      <c r="N99" s="140" t="s">
        <v>27</v>
      </c>
      <c r="O99" s="141">
        <v>9560.7675276752707</v>
      </c>
      <c r="P99" s="142">
        <v>-4.1323811992658666E-2</v>
      </c>
      <c r="Q99" s="143">
        <v>9560.7675276752707</v>
      </c>
      <c r="R99" s="144">
        <v>-4.1323811992658666E-2</v>
      </c>
      <c r="S99" s="143">
        <v>8907.0568656138948</v>
      </c>
      <c r="T99" s="144">
        <v>-0.10687261272969928</v>
      </c>
      <c r="U99" s="143">
        <v>8923.1225674219168</v>
      </c>
      <c r="V99" s="144">
        <v>-0.10526167451554502</v>
      </c>
      <c r="W99" s="143">
        <v>9285.387673959618</v>
      </c>
      <c r="X99" s="144">
        <v>-6.8936669187433908E-2</v>
      </c>
      <c r="Y99" s="145">
        <v>4.1323811992658666E-2</v>
      </c>
      <c r="Z99" s="146">
        <v>2.2540298403517234E-4</v>
      </c>
      <c r="AA99" s="147">
        <v>-82007.47970479705</v>
      </c>
      <c r="AB99" s="148">
        <v>45.285977859778598</v>
      </c>
      <c r="AC99" s="147">
        <v>8923.1225674219168</v>
      </c>
      <c r="AD99" s="147">
        <v>8926.8311547621706</v>
      </c>
      <c r="AE99" s="147">
        <v>8938.3238616521994</v>
      </c>
      <c r="AF99" s="147">
        <v>8942.280422377451</v>
      </c>
      <c r="AG99" s="147">
        <v>8946.3015250911194</v>
      </c>
      <c r="AH99" s="147">
        <v>8950.3882226440255</v>
      </c>
      <c r="AI99" s="147">
        <v>8954.5415850618083</v>
      </c>
      <c r="AJ99" s="147">
        <v>8958.7626998250344</v>
      </c>
      <c r="AK99" s="147">
        <v>8963.0526721539645</v>
      </c>
      <c r="AL99" s="147">
        <v>8967.4126252979404</v>
      </c>
      <c r="AM99" s="147">
        <v>8971.8437008294786</v>
      </c>
      <c r="AN99" s="147">
        <v>8976.3470589431454</v>
      </c>
      <c r="AO99" s="147">
        <v>8980.9238787593786</v>
      </c>
      <c r="AP99" s="147">
        <v>8985.5753586331848</v>
      </c>
      <c r="AQ99" s="147">
        <v>8990.3027164679079</v>
      </c>
      <c r="AR99" s="147">
        <v>8995.1071900341412</v>
      </c>
      <c r="AS99" s="147">
        <v>8999.9900372937773</v>
      </c>
      <c r="AT99" s="147">
        <v>9004.9525367294191</v>
      </c>
      <c r="AU99" s="147">
        <v>9009.995987679089</v>
      </c>
      <c r="AV99" s="147">
        <v>9015.1217106764598</v>
      </c>
      <c r="AW99" s="147">
        <v>9020.3310477966152</v>
      </c>
      <c r="AX99" s="147">
        <v>9025.6253630074352</v>
      </c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9"/>
    </row>
    <row r="100" spans="1:74" s="150" customFormat="1" ht="15">
      <c r="A100" s="158" t="s">
        <v>111</v>
      </c>
      <c r="B100" s="174" t="s">
        <v>191</v>
      </c>
      <c r="C100" s="209" t="s">
        <v>56</v>
      </c>
      <c r="D100" s="176">
        <v>5760</v>
      </c>
      <c r="E100" s="177">
        <v>6320</v>
      </c>
      <c r="F100" s="178">
        <v>6611</v>
      </c>
      <c r="G100" s="137">
        <v>21279</v>
      </c>
      <c r="H100" s="138">
        <v>0.3106818929460971</v>
      </c>
      <c r="I100" s="137">
        <v>33127</v>
      </c>
      <c r="J100" s="137">
        <v>10291.959067625359</v>
      </c>
      <c r="K100" s="137">
        <v>7259.6481733209293</v>
      </c>
      <c r="L100" s="157">
        <v>-0.29462912496833982</v>
      </c>
      <c r="M100" s="187" t="s">
        <v>66</v>
      </c>
      <c r="N100" s="166" t="s">
        <v>104</v>
      </c>
      <c r="O100" s="141">
        <v>7333.1650516703758</v>
      </c>
      <c r="P100" s="142">
        <v>-0.28748598750865995</v>
      </c>
      <c r="Q100" s="143">
        <v>7190.2546125461085</v>
      </c>
      <c r="R100" s="144">
        <v>-0.30137162756855973</v>
      </c>
      <c r="S100" s="143">
        <v>7019.948547594312</v>
      </c>
      <c r="T100" s="144">
        <v>-0.31791911515889759</v>
      </c>
      <c r="U100" s="143">
        <v>7259.6481733209293</v>
      </c>
      <c r="V100" s="144">
        <v>-0.29462912496833982</v>
      </c>
      <c r="W100" s="143">
        <v>7333.1650516703758</v>
      </c>
      <c r="X100" s="144">
        <v>-0.28748598750865995</v>
      </c>
      <c r="Y100" s="145">
        <v>0.28748598750865995</v>
      </c>
      <c r="Z100" s="146">
        <v>5.0142763043194982E-3</v>
      </c>
      <c r="AA100" s="147">
        <v>-83792.284132841349</v>
      </c>
      <c r="AB100" s="148">
        <v>44.996309963099634</v>
      </c>
      <c r="AC100" s="147">
        <v>7259.6481733209293</v>
      </c>
      <c r="AD100" s="147">
        <v>7319.6036686549978</v>
      </c>
      <c r="AE100" s="147">
        <v>7505.4024300437995</v>
      </c>
      <c r="AF100" s="147">
        <v>7569.3668284354444</v>
      </c>
      <c r="AG100" s="147">
        <v>7634.3746556397073</v>
      </c>
      <c r="AH100" s="147">
        <v>7700.4429327451071</v>
      </c>
      <c r="AI100" s="147">
        <v>7767.5889584992128</v>
      </c>
      <c r="AJ100" s="147">
        <v>7835.830313837997</v>
      </c>
      <c r="AK100" s="147">
        <v>7905.1848664890849</v>
      </c>
      <c r="AL100" s="147">
        <v>7975.6707756500746</v>
      </c>
      <c r="AM100" s="147">
        <v>8047.3064967431947</v>
      </c>
      <c r="AN100" s="147">
        <v>8120.1107862475046</v>
      </c>
      <c r="AO100" s="147">
        <v>8194.1027066099341</v>
      </c>
      <c r="AP100" s="147">
        <v>8269.3016312364307</v>
      </c>
      <c r="AQ100" s="147">
        <v>8345.7272495645193</v>
      </c>
      <c r="AR100" s="147">
        <v>8423.399572218621</v>
      </c>
      <c r="AS100" s="147">
        <v>8502.3389362494599</v>
      </c>
      <c r="AT100" s="147">
        <v>8582.5660104589388</v>
      </c>
      <c r="AU100" s="147">
        <v>8664.1018008118845</v>
      </c>
      <c r="AV100" s="147">
        <v>8746.9676559360632</v>
      </c>
      <c r="AW100" s="147">
        <v>8831.1852727119258</v>
      </c>
      <c r="AX100" s="147">
        <v>8916.7767019535277</v>
      </c>
      <c r="AY100" s="167">
        <v>7146.104711490304</v>
      </c>
      <c r="AZ100" s="168">
        <f>(($BF100-$AY100)/($BF$4-$AY$4))*(AZ$4-$BF$4)+$BF100</f>
        <v>7333.1650516703758</v>
      </c>
      <c r="BA100" s="168">
        <f t="shared" ref="BA100:BE100" si="18">(($BF100-$AY100)/($BF$4-$AY$4))*(BA$4-$BF$4)+$BF100</f>
        <v>7426.6952217604112</v>
      </c>
      <c r="BB100" s="168">
        <f t="shared" si="18"/>
        <v>7707.2857320305184</v>
      </c>
      <c r="BC100" s="168">
        <f t="shared" si="18"/>
        <v>7800.8159021205538</v>
      </c>
      <c r="BD100" s="168">
        <f t="shared" si="18"/>
        <v>7894.3460722105892</v>
      </c>
      <c r="BE100" s="168">
        <f t="shared" si="18"/>
        <v>7987.8762423006256</v>
      </c>
      <c r="BF100" s="167">
        <v>8081.406412390661</v>
      </c>
      <c r="BG100" s="169">
        <f>(($BU100-$BF100)/($BU$4-$BF$4))*(BG$4-$BU$4)+$BU100</f>
        <v>8204.2084361319648</v>
      </c>
      <c r="BH100" s="169">
        <f t="shared" ref="BH100:BT100" si="19">(($BU100-$BF100)/($BU$4-$BF$4))*(BH$4-$BU$4)+$BU100</f>
        <v>8327.0104598732669</v>
      </c>
      <c r="BI100" s="169">
        <f t="shared" si="19"/>
        <v>8449.8124836145707</v>
      </c>
      <c r="BJ100" s="169">
        <f t="shared" si="19"/>
        <v>8572.6145073558728</v>
      </c>
      <c r="BK100" s="169">
        <f t="shared" si="19"/>
        <v>8695.4165310971766</v>
      </c>
      <c r="BL100" s="169">
        <f t="shared" si="19"/>
        <v>8818.2185548384787</v>
      </c>
      <c r="BM100" s="169">
        <f t="shared" si="19"/>
        <v>8941.0205785797825</v>
      </c>
      <c r="BN100" s="169">
        <f t="shared" si="19"/>
        <v>9063.8226023210846</v>
      </c>
      <c r="BO100" s="169">
        <f t="shared" si="19"/>
        <v>9186.6246260623884</v>
      </c>
      <c r="BP100" s="169">
        <f t="shared" si="19"/>
        <v>9309.4266498036905</v>
      </c>
      <c r="BQ100" s="169">
        <f t="shared" si="19"/>
        <v>9432.2286735449943</v>
      </c>
      <c r="BR100" s="169">
        <f t="shared" si="19"/>
        <v>9555.0306972862963</v>
      </c>
      <c r="BS100" s="169">
        <f t="shared" si="19"/>
        <v>9677.8327210276002</v>
      </c>
      <c r="BT100" s="169">
        <f t="shared" si="19"/>
        <v>9800.6347447689022</v>
      </c>
      <c r="BU100" s="167">
        <v>9923.4367685102061</v>
      </c>
      <c r="BV100" s="149"/>
    </row>
    <row r="101" spans="1:74" s="150" customFormat="1" ht="15">
      <c r="A101" s="132" t="s">
        <v>82</v>
      </c>
      <c r="B101" s="155" t="s">
        <v>192</v>
      </c>
      <c r="C101" s="155" t="s">
        <v>192</v>
      </c>
      <c r="D101" s="210">
        <v>25146</v>
      </c>
      <c r="E101" s="153">
        <v>39151</v>
      </c>
      <c r="F101" s="163">
        <v>50460</v>
      </c>
      <c r="G101" s="137">
        <v>54181</v>
      </c>
      <c r="H101" s="138">
        <v>0.93132278843136895</v>
      </c>
      <c r="I101" s="137">
        <v>64821</v>
      </c>
      <c r="J101" s="137">
        <v>60369.274468909767</v>
      </c>
      <c r="K101" s="137">
        <v>66701.907749077771</v>
      </c>
      <c r="L101" s="186">
        <v>0.10489828370273546</v>
      </c>
      <c r="M101" s="187" t="s">
        <v>27</v>
      </c>
      <c r="N101" s="140" t="s">
        <v>27</v>
      </c>
      <c r="O101" s="141">
        <v>66701.907749077771</v>
      </c>
      <c r="P101" s="142">
        <v>0.10489828370273546</v>
      </c>
      <c r="Q101" s="143">
        <v>66701.907749077771</v>
      </c>
      <c r="R101" s="144">
        <v>0.10489828370273546</v>
      </c>
      <c r="S101" s="143">
        <v>70776.067529019769</v>
      </c>
      <c r="T101" s="144">
        <v>0.17238559104217011</v>
      </c>
      <c r="U101" s="143">
        <v>75668.11749857862</v>
      </c>
      <c r="V101" s="144">
        <v>0.25342101862674804</v>
      </c>
      <c r="W101" s="143">
        <v>99469.345519831375</v>
      </c>
      <c r="X101" s="144">
        <v>0.64768164591837496</v>
      </c>
      <c r="Y101" s="145">
        <v>0.10489828370273546</v>
      </c>
      <c r="Z101" s="146">
        <v>2.8596238655545392E-2</v>
      </c>
      <c r="AA101" s="147">
        <v>-2629784.3173431731</v>
      </c>
      <c r="AB101" s="148">
        <v>1333.5738007380073</v>
      </c>
      <c r="AC101" s="147">
        <v>75668.11749857862</v>
      </c>
      <c r="AD101" s="147">
        <v>77998.14051140676</v>
      </c>
      <c r="AE101" s="147">
        <v>85218.752856925479</v>
      </c>
      <c r="AF101" s="147">
        <v>87704.572037032412</v>
      </c>
      <c r="AG101" s="147">
        <v>90230.941514190519</v>
      </c>
      <c r="AH101" s="147">
        <v>92798.522771183532</v>
      </c>
      <c r="AI101" s="147">
        <v>95407.988081331889</v>
      </c>
      <c r="AJ101" s="147">
        <v>98060.020684515155</v>
      </c>
      <c r="AK101" s="147">
        <v>100755.31496606545</v>
      </c>
      <c r="AL101" s="147">
        <v>103494.57663857967</v>
      </c>
      <c r="AM101" s="147">
        <v>106278.52292669684</v>
      </c>
      <c r="AN101" s="147">
        <v>109107.8827548901</v>
      </c>
      <c r="AO101" s="147">
        <v>111983.39693832213</v>
      </c>
      <c r="AP101" s="147">
        <v>114905.81837681368</v>
      </c>
      <c r="AQ101" s="147">
        <v>117875.91225197642</v>
      </c>
      <c r="AR101" s="147">
        <v>120894.45622756143</v>
      </c>
      <c r="AS101" s="147">
        <v>123962.24065307605</v>
      </c>
      <c r="AT101" s="147">
        <v>127080.06877072209</v>
      </c>
      <c r="AU101" s="147">
        <v>130248.75692570991</v>
      </c>
      <c r="AV101" s="147">
        <v>133469.13478000322</v>
      </c>
      <c r="AW101" s="147">
        <v>136742.04552955041</v>
      </c>
      <c r="AX101" s="147">
        <v>140068.34612505994</v>
      </c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9"/>
    </row>
    <row r="102" spans="1:74" s="150" customFormat="1" ht="15">
      <c r="A102" s="158" t="s">
        <v>111</v>
      </c>
      <c r="B102" s="159" t="s">
        <v>193</v>
      </c>
      <c r="C102" s="160" t="s">
        <v>193</v>
      </c>
      <c r="D102" s="161">
        <v>47797</v>
      </c>
      <c r="E102" s="162">
        <v>51967</v>
      </c>
      <c r="F102" s="163">
        <v>56116</v>
      </c>
      <c r="G102" s="137">
        <v>63284</v>
      </c>
      <c r="H102" s="138">
        <v>0.88673282346248661</v>
      </c>
      <c r="I102" s="137">
        <v>71523</v>
      </c>
      <c r="J102" s="137">
        <v>63421.79173250743</v>
      </c>
      <c r="K102" s="137">
        <v>62104.390427254235</v>
      </c>
      <c r="L102" s="144">
        <v>-2.0772060663463598E-2</v>
      </c>
      <c r="M102" s="187" t="s">
        <v>26</v>
      </c>
      <c r="N102" s="140" t="s">
        <v>26</v>
      </c>
      <c r="O102" s="141">
        <v>62104.390427254235</v>
      </c>
      <c r="P102" s="142">
        <v>-2.0772060663463598E-2</v>
      </c>
      <c r="Q102" s="143">
        <v>61292.428044280387</v>
      </c>
      <c r="R102" s="144">
        <v>-3.3574637834389964E-2</v>
      </c>
      <c r="S102" s="143">
        <v>62104.390427254235</v>
      </c>
      <c r="T102" s="144">
        <v>-2.0772060663463598E-2</v>
      </c>
      <c r="U102" s="143">
        <v>65364.25179075099</v>
      </c>
      <c r="V102" s="144">
        <v>3.0627643987672704E-2</v>
      </c>
      <c r="W102" s="143">
        <v>64795.25272201706</v>
      </c>
      <c r="X102" s="144">
        <v>2.1655978993820435E-2</v>
      </c>
      <c r="Y102" s="145">
        <v>2.0772060663463598E-2</v>
      </c>
      <c r="Z102" s="146">
        <v>8.485441394877058E-3</v>
      </c>
      <c r="AA102" s="147">
        <v>-823246.76752767526</v>
      </c>
      <c r="AB102" s="148">
        <v>437.45756457564573</v>
      </c>
      <c r="AC102" s="147">
        <v>65364.25179075099</v>
      </c>
      <c r="AD102" s="147">
        <v>66219.081172678983</v>
      </c>
      <c r="AE102" s="147">
        <v>68868.150110830669</v>
      </c>
      <c r="AF102" s="147">
        <v>69780.137358002263</v>
      </c>
      <c r="AG102" s="147">
        <v>70707.001533502218</v>
      </c>
      <c r="AH102" s="147">
        <v>71648.985319448286</v>
      </c>
      <c r="AI102" s="147">
        <v>72606.335356746509</v>
      </c>
      <c r="AJ102" s="147">
        <v>73579.302309669583</v>
      </c>
      <c r="AK102" s="147">
        <v>74568.140931488713</v>
      </c>
      <c r="AL102" s="147">
        <v>75573.11013117581</v>
      </c>
      <c r="AM102" s="147">
        <v>76594.4730411942</v>
      </c>
      <c r="AN102" s="147">
        <v>77632.497086394826</v>
      </c>
      <c r="AO102" s="147">
        <v>78687.454054036483</v>
      </c>
      <c r="AP102" s="147">
        <v>79759.620164948283</v>
      </c>
      <c r="AQ102" s="147">
        <v>80849.276145852869</v>
      </c>
      <c r="AR102" s="147">
        <v>81956.707302869603</v>
      </c>
      <c r="AS102" s="147">
        <v>83082.203596216525</v>
      </c>
      <c r="AT102" s="147">
        <v>84226.059716131058</v>
      </c>
      <c r="AU102" s="147">
        <v>85388.575160029228</v>
      </c>
      <c r="AV102" s="147">
        <v>86570.054310923442</v>
      </c>
      <c r="AW102" s="147">
        <v>87770.806517119519</v>
      </c>
      <c r="AX102" s="147">
        <v>88991.146173213696</v>
      </c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9"/>
    </row>
    <row r="103" spans="1:74" s="150" customFormat="1" ht="15">
      <c r="A103" s="158" t="s">
        <v>111</v>
      </c>
      <c r="B103" s="174" t="s">
        <v>194</v>
      </c>
      <c r="C103" s="175" t="s">
        <v>195</v>
      </c>
      <c r="D103" s="176">
        <v>10777</v>
      </c>
      <c r="E103" s="177">
        <v>13384</v>
      </c>
      <c r="F103" s="178">
        <v>17005</v>
      </c>
      <c r="G103" s="137">
        <v>21034</v>
      </c>
      <c r="H103" s="138">
        <v>0.80845298088808593</v>
      </c>
      <c r="I103" s="137">
        <v>24197</v>
      </c>
      <c r="J103" s="137">
        <v>19562.136778549015</v>
      </c>
      <c r="K103" s="137">
        <v>22718.126015777296</v>
      </c>
      <c r="L103" s="186">
        <v>0.16133151878832597</v>
      </c>
      <c r="M103" s="187" t="s">
        <v>26</v>
      </c>
      <c r="N103" s="140" t="s">
        <v>27</v>
      </c>
      <c r="O103" s="141">
        <v>20688.435424354277</v>
      </c>
      <c r="P103" s="142">
        <v>5.7575440687047674E-2</v>
      </c>
      <c r="Q103" s="143">
        <v>20688.435424354277</v>
      </c>
      <c r="R103" s="144">
        <v>5.7575440687047674E-2</v>
      </c>
      <c r="S103" s="143">
        <v>22718.126015777296</v>
      </c>
      <c r="T103" s="144">
        <v>0.16133151878832597</v>
      </c>
      <c r="U103" s="143">
        <v>25076.323146374853</v>
      </c>
      <c r="V103" s="144">
        <v>0.28188057522798093</v>
      </c>
      <c r="W103" s="143">
        <v>27626.840735461737</v>
      </c>
      <c r="X103" s="144">
        <v>0.41226089195716731</v>
      </c>
      <c r="Y103" s="145">
        <v>5.7575440687047674E-2</v>
      </c>
      <c r="Z103" s="146">
        <v>2.4431653268678577E-2</v>
      </c>
      <c r="AA103" s="147">
        <v>-639599.02214022144</v>
      </c>
      <c r="AB103" s="148">
        <v>326.55166051660518</v>
      </c>
      <c r="AC103" s="147">
        <v>25076.323146374853</v>
      </c>
      <c r="AD103" s="147">
        <v>25822.367299655485</v>
      </c>
      <c r="AE103" s="147">
        <v>28134.316835699639</v>
      </c>
      <c r="AF103" s="147">
        <v>28930.244968263713</v>
      </c>
      <c r="AG103" s="147">
        <v>29739.156797496147</v>
      </c>
      <c r="AH103" s="147">
        <v>30561.264121890144</v>
      </c>
      <c r="AI103" s="147">
        <v>31396.782194933494</v>
      </c>
      <c r="AJ103" s="147">
        <v>32245.929781468683</v>
      </c>
      <c r="AK103" s="147">
        <v>33108.929214972421</v>
      </c>
      <c r="AL103" s="147">
        <v>33986.006455769471</v>
      </c>
      <c r="AM103" s="147">
        <v>34877.391150196243</v>
      </c>
      <c r="AN103" s="147">
        <v>35783.316690729247</v>
      </c>
      <c r="AO103" s="147">
        <v>36704.020277094736</v>
      </c>
      <c r="AP103" s="147">
        <v>37639.742978374954</v>
      </c>
      <c r="AQ103" s="147">
        <v>38590.729796127562</v>
      </c>
      <c r="AR103" s="147">
        <v>39557.229728534789</v>
      </c>
      <c r="AS103" s="147">
        <v>40539.495835598937</v>
      </c>
      <c r="AT103" s="147">
        <v>41537.785305401427</v>
      </c>
      <c r="AU103" s="147">
        <v>42552.359521442719</v>
      </c>
      <c r="AV103" s="147">
        <v>43583.484131080681</v>
      </c>
      <c r="AW103" s="147">
        <v>44631.429115085513</v>
      </c>
      <c r="AX103" s="147">
        <v>45696.468858328939</v>
      </c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9"/>
    </row>
    <row r="104" spans="1:74" s="150" customFormat="1" ht="38.25">
      <c r="A104" s="181" t="s">
        <v>111</v>
      </c>
      <c r="B104" s="211" t="s">
        <v>45</v>
      </c>
      <c r="C104" s="212" t="s">
        <v>45</v>
      </c>
      <c r="D104" s="213">
        <v>3514</v>
      </c>
      <c r="E104" s="214">
        <v>5394</v>
      </c>
      <c r="F104" s="215">
        <v>6351</v>
      </c>
      <c r="G104" s="143">
        <v>6499</v>
      </c>
      <c r="H104" s="144">
        <v>0.97722726573318974</v>
      </c>
      <c r="I104" s="143">
        <v>8787</v>
      </c>
      <c r="J104" s="143">
        <v>8586.8959839975378</v>
      </c>
      <c r="K104" s="143">
        <v>8484.1831679317147</v>
      </c>
      <c r="L104" s="144">
        <v>-1.1961576832564158E-2</v>
      </c>
      <c r="M104" s="187" t="s">
        <v>66</v>
      </c>
      <c r="N104" s="140" t="s">
        <v>66</v>
      </c>
      <c r="O104" s="141">
        <v>8484.1831679317147</v>
      </c>
      <c r="P104" s="142">
        <v>-1.1961576832564158E-2</v>
      </c>
      <c r="Q104" s="143">
        <v>8286.9630996310152</v>
      </c>
      <c r="R104" s="144">
        <v>-3.4929139112139573E-2</v>
      </c>
      <c r="S104" s="143">
        <v>7896.1794004270623</v>
      </c>
      <c r="T104" s="144">
        <v>-8.0438447706562277E-2</v>
      </c>
      <c r="U104" s="143">
        <v>8484.1831679317147</v>
      </c>
      <c r="V104" s="144">
        <v>-1.1961576832564158E-2</v>
      </c>
      <c r="W104" s="143">
        <v>10812.282347771994</v>
      </c>
      <c r="X104" s="144">
        <v>0.25916074538711853</v>
      </c>
      <c r="Y104" s="145">
        <v>1.1961576832564158E-2</v>
      </c>
      <c r="Z104" s="146">
        <v>1.8312889988187697E-2</v>
      </c>
      <c r="AA104" s="147">
        <v>-295072.72693726938</v>
      </c>
      <c r="AB104" s="148">
        <v>150.02952029520296</v>
      </c>
      <c r="AC104" s="147">
        <v>8484.1831679317147</v>
      </c>
      <c r="AD104" s="147">
        <v>8681.3563948550945</v>
      </c>
      <c r="AE104" s="147">
        <v>9292.3853111749668</v>
      </c>
      <c r="AF104" s="147">
        <v>9502.742456401098</v>
      </c>
      <c r="AG104" s="147">
        <v>9716.531084010996</v>
      </c>
      <c r="AH104" s="147">
        <v>9933.8071705741131</v>
      </c>
      <c r="AI104" s="147">
        <v>10154.627605786067</v>
      </c>
      <c r="AJ104" s="147">
        <v>10379.050207364133</v>
      </c>
      <c r="AK104" s="147">
        <v>10607.133736185751</v>
      </c>
      <c r="AL104" s="147">
        <v>10838.937911673955</v>
      </c>
      <c r="AM104" s="147">
        <v>11074.523427433804</v>
      </c>
      <c r="AN104" s="147">
        <v>11313.951967143854</v>
      </c>
      <c r="AO104" s="147">
        <v>11557.286220706894</v>
      </c>
      <c r="AP104" s="147">
        <v>11804.589900664134</v>
      </c>
      <c r="AQ104" s="147">
        <v>12055.927758877126</v>
      </c>
      <c r="AR104" s="147">
        <v>12311.365603481852</v>
      </c>
      <c r="AS104" s="147">
        <v>12570.970316119354</v>
      </c>
      <c r="AT104" s="147">
        <v>12834.809869447436</v>
      </c>
      <c r="AU104" s="147">
        <v>13102.953344938051</v>
      </c>
      <c r="AV104" s="147">
        <v>13375.470950964987</v>
      </c>
      <c r="AW104" s="147">
        <v>13652.43404118664</v>
      </c>
      <c r="AX104" s="147">
        <v>13933.915133228609</v>
      </c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88" t="s">
        <v>153</v>
      </c>
    </row>
    <row r="105" spans="1:74" s="150" customFormat="1" ht="15">
      <c r="A105" s="189"/>
      <c r="B105" s="216" t="s">
        <v>196</v>
      </c>
      <c r="C105" s="217"/>
      <c r="D105" s="218"/>
      <c r="E105" s="219"/>
      <c r="F105" s="220"/>
      <c r="G105" s="195"/>
      <c r="H105" s="196"/>
      <c r="I105" s="195"/>
      <c r="J105" s="195"/>
      <c r="K105" s="195"/>
      <c r="L105" s="196"/>
      <c r="M105" s="197"/>
      <c r="N105" s="198"/>
      <c r="O105" s="199"/>
      <c r="P105" s="200"/>
      <c r="Q105" s="195"/>
      <c r="R105" s="196"/>
      <c r="S105" s="195"/>
      <c r="T105" s="196"/>
      <c r="U105" s="195"/>
      <c r="V105" s="196"/>
      <c r="W105" s="195"/>
      <c r="X105" s="196"/>
      <c r="Y105" s="201"/>
      <c r="Z105" s="202"/>
      <c r="AA105" s="203"/>
      <c r="AB105" s="204"/>
      <c r="AC105" s="203"/>
      <c r="AD105" s="203"/>
      <c r="AE105" s="203"/>
      <c r="AF105" s="203"/>
      <c r="AG105" s="203"/>
      <c r="AH105" s="203"/>
      <c r="AI105" s="203"/>
      <c r="AJ105" s="203"/>
      <c r="AK105" s="203"/>
      <c r="AL105" s="203"/>
      <c r="AM105" s="203"/>
      <c r="AN105" s="203"/>
      <c r="AO105" s="203"/>
      <c r="AP105" s="203"/>
      <c r="AQ105" s="203"/>
      <c r="AR105" s="203"/>
      <c r="AS105" s="203"/>
      <c r="AT105" s="203"/>
      <c r="AU105" s="203"/>
      <c r="AV105" s="203"/>
      <c r="AW105" s="203"/>
      <c r="AX105" s="203"/>
      <c r="AY105" s="203"/>
      <c r="AZ105" s="203"/>
      <c r="BA105" s="203"/>
      <c r="BB105" s="203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3"/>
      <c r="BS105" s="203"/>
      <c r="BT105" s="203"/>
      <c r="BU105" s="203"/>
      <c r="BV105" s="205"/>
    </row>
    <row r="106" spans="1:74" s="150" customFormat="1" ht="15">
      <c r="A106" s="158" t="s">
        <v>111</v>
      </c>
      <c r="B106" s="159" t="s">
        <v>197</v>
      </c>
      <c r="C106" s="160" t="s">
        <v>197</v>
      </c>
      <c r="D106" s="161">
        <v>8862</v>
      </c>
      <c r="E106" s="162">
        <v>11562</v>
      </c>
      <c r="F106" s="163">
        <v>13224</v>
      </c>
      <c r="G106" s="137">
        <v>17054</v>
      </c>
      <c r="H106" s="138">
        <v>0.77541925647941834</v>
      </c>
      <c r="I106" s="137">
        <v>20339</v>
      </c>
      <c r="J106" s="137">
        <v>15771.25225753489</v>
      </c>
      <c r="K106" s="137">
        <v>15817.43315999026</v>
      </c>
      <c r="L106" s="144">
        <v>2.9281696660012901E-3</v>
      </c>
      <c r="M106" s="187" t="s">
        <v>26</v>
      </c>
      <c r="N106" s="140" t="s">
        <v>26</v>
      </c>
      <c r="O106" s="141">
        <v>15817.43315999026</v>
      </c>
      <c r="P106" s="142">
        <v>2.9281696660012901E-3</v>
      </c>
      <c r="Q106" s="143">
        <v>16129.594095940934</v>
      </c>
      <c r="R106" s="144">
        <v>2.2721203906610699E-2</v>
      </c>
      <c r="S106" s="143">
        <v>15817.43315999026</v>
      </c>
      <c r="T106" s="144">
        <v>2.9281696660012901E-3</v>
      </c>
      <c r="U106" s="143">
        <v>16928.650391956642</v>
      </c>
      <c r="V106" s="144">
        <v>7.3386571688927926E-2</v>
      </c>
      <c r="W106" s="143">
        <v>19063.32478882631</v>
      </c>
      <c r="X106" s="144">
        <v>0.20873881652096427</v>
      </c>
      <c r="Y106" s="145">
        <v>2.9281696660012901E-3</v>
      </c>
      <c r="Z106" s="146">
        <v>1.503518608274601E-2</v>
      </c>
      <c r="AA106" s="147">
        <v>-449586.99630996311</v>
      </c>
      <c r="AB106" s="148">
        <v>230.32472324723247</v>
      </c>
      <c r="AC106" s="147">
        <v>16928.650391956642</v>
      </c>
      <c r="AD106" s="147">
        <v>17271.076623039884</v>
      </c>
      <c r="AE106" s="147">
        <v>18332.236559219215</v>
      </c>
      <c r="AF106" s="147">
        <v>18697.558999517893</v>
      </c>
      <c r="AG106" s="147">
        <v>19068.840816746368</v>
      </c>
      <c r="AH106" s="147">
        <v>19446.179224131844</v>
      </c>
      <c r="AI106" s="147">
        <v>19829.673020706836</v>
      </c>
      <c r="AJ106" s="147">
        <v>20219.422617177835</v>
      </c>
      <c r="AK106" s="147">
        <v>20615.530062216003</v>
      </c>
      <c r="AL106" s="147">
        <v>21018.099069176711</v>
      </c>
      <c r="AM106" s="147">
        <v>21427.235043254943</v>
      </c>
      <c r="AN106" s="147">
        <v>21843.045109083683</v>
      </c>
      <c r="AO106" s="147">
        <v>22265.638138782506</v>
      </c>
      <c r="AP106" s="147">
        <v>22695.124780463728</v>
      </c>
      <c r="AQ106" s="147">
        <v>23131.617487203537</v>
      </c>
      <c r="AR106" s="147">
        <v>23575.230546485727</v>
      </c>
      <c r="AS106" s="147">
        <v>24026.080110125775</v>
      </c>
      <c r="AT106" s="147">
        <v>24484.284224683011</v>
      </c>
      <c r="AU106" s="147">
        <v>24949.962862368899</v>
      </c>
      <c r="AV106" s="147">
        <v>25423.237952459574</v>
      </c>
      <c r="AW106" s="147">
        <v>25904.233413220689</v>
      </c>
      <c r="AX106" s="147">
        <v>26393.075184353132</v>
      </c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9"/>
    </row>
    <row r="107" spans="1:74" s="150" customFormat="1" ht="38.25">
      <c r="A107" s="181" t="s">
        <v>111</v>
      </c>
      <c r="B107" s="174" t="s">
        <v>198</v>
      </c>
      <c r="C107" s="174" t="s">
        <v>47</v>
      </c>
      <c r="D107" s="183">
        <v>73276</v>
      </c>
      <c r="E107" s="184">
        <v>79983</v>
      </c>
      <c r="F107" s="185">
        <v>84784</v>
      </c>
      <c r="G107" s="143">
        <v>92933</v>
      </c>
      <c r="H107" s="144">
        <v>0.91231317185499228</v>
      </c>
      <c r="I107" s="143">
        <v>104176</v>
      </c>
      <c r="J107" s="143">
        <v>95041.13699116568</v>
      </c>
      <c r="K107" s="143">
        <v>92294.520295202965</v>
      </c>
      <c r="L107" s="144">
        <v>-2.8899240717396135E-2</v>
      </c>
      <c r="M107" s="187" t="s">
        <v>27</v>
      </c>
      <c r="N107" s="140" t="s">
        <v>66</v>
      </c>
      <c r="O107" s="141">
        <v>95485.580344033602</v>
      </c>
      <c r="P107" s="142">
        <v>4.676326135589326E-3</v>
      </c>
      <c r="Q107" s="143">
        <v>92294.520295202965</v>
      </c>
      <c r="R107" s="144">
        <v>-2.8899240717396135E-2</v>
      </c>
      <c r="S107" s="143">
        <v>91636.575755968312</v>
      </c>
      <c r="T107" s="144">
        <v>-3.582197502028861E-2</v>
      </c>
      <c r="U107" s="143">
        <v>95485.580344033602</v>
      </c>
      <c r="V107" s="144">
        <v>4.676326135589326E-3</v>
      </c>
      <c r="W107" s="143">
        <v>95535.898954221295</v>
      </c>
      <c r="X107" s="144">
        <v>5.2057664577560558E-3</v>
      </c>
      <c r="Y107" s="145">
        <v>4.676326135589326E-3</v>
      </c>
      <c r="Z107" s="146">
        <v>6.4979913387295252E-3</v>
      </c>
      <c r="AA107" s="147">
        <v>-1134824.4501845019</v>
      </c>
      <c r="AB107" s="148">
        <v>606.88376383763841</v>
      </c>
      <c r="AC107" s="147">
        <v>95485.580344033602</v>
      </c>
      <c r="AD107" s="147">
        <v>96474.743000730741</v>
      </c>
      <c r="AE107" s="147">
        <v>99540.103321787901</v>
      </c>
      <c r="AF107" s="147">
        <v>100595.40599078547</v>
      </c>
      <c r="AG107" s="147">
        <v>101667.92344235819</v>
      </c>
      <c r="AH107" s="147">
        <v>102757.93649522083</v>
      </c>
      <c r="AI107" s="147">
        <v>103865.73054898529</v>
      </c>
      <c r="AJ107" s="147">
        <v>104991.59565888737</v>
      </c>
      <c r="AK107" s="147">
        <v>106135.82661173229</v>
      </c>
      <c r="AL107" s="147">
        <v>107298.72300307908</v>
      </c>
      <c r="AM107" s="147">
        <v>108480.58931568412</v>
      </c>
      <c r="AN107" s="147">
        <v>109681.7349992243</v>
      </c>
      <c r="AO107" s="147">
        <v>110902.47455132061</v>
      </c>
      <c r="AP107" s="147">
        <v>112143.12759988352</v>
      </c>
      <c r="AQ107" s="147">
        <v>113404.01898680154</v>
      </c>
      <c r="AR107" s="147">
        <v>114685.47885299516</v>
      </c>
      <c r="AS107" s="147">
        <v>115987.84272485792</v>
      </c>
      <c r="AT107" s="147">
        <v>117311.45160210777</v>
      </c>
      <c r="AU107" s="147">
        <v>118656.65204707168</v>
      </c>
      <c r="AV107" s="147">
        <v>120023.79627542627</v>
      </c>
      <c r="AW107" s="147">
        <v>121413.24224841908</v>
      </c>
      <c r="AX107" s="147">
        <v>122825.35376659413</v>
      </c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88" t="s">
        <v>153</v>
      </c>
    </row>
    <row r="108" spans="1:74" s="150" customFormat="1" ht="15">
      <c r="A108" s="189"/>
      <c r="B108" s="190" t="s">
        <v>199</v>
      </c>
      <c r="C108" s="190"/>
      <c r="D108" s="192"/>
      <c r="E108" s="193"/>
      <c r="F108" s="194"/>
      <c r="G108" s="195"/>
      <c r="H108" s="196"/>
      <c r="I108" s="195"/>
      <c r="J108" s="195"/>
      <c r="K108" s="195"/>
      <c r="L108" s="196"/>
      <c r="M108" s="197"/>
      <c r="N108" s="198"/>
      <c r="O108" s="199"/>
      <c r="P108" s="200"/>
      <c r="Q108" s="195"/>
      <c r="R108" s="196"/>
      <c r="S108" s="195"/>
      <c r="T108" s="196"/>
      <c r="U108" s="195"/>
      <c r="V108" s="196"/>
      <c r="W108" s="195"/>
      <c r="X108" s="196"/>
      <c r="Y108" s="201"/>
      <c r="Z108" s="202"/>
      <c r="AA108" s="203"/>
      <c r="AB108" s="204"/>
      <c r="AC108" s="203"/>
      <c r="AD108" s="203"/>
      <c r="AE108" s="203"/>
      <c r="AF108" s="203"/>
      <c r="AG108" s="203"/>
      <c r="AH108" s="203"/>
      <c r="AI108" s="203"/>
      <c r="AJ108" s="203"/>
      <c r="AK108" s="203"/>
      <c r="AL108" s="203"/>
      <c r="AM108" s="203"/>
      <c r="AN108" s="203"/>
      <c r="AO108" s="203"/>
      <c r="AP108" s="203"/>
      <c r="AQ108" s="203"/>
      <c r="AR108" s="203"/>
      <c r="AS108" s="203"/>
      <c r="AT108" s="203"/>
      <c r="AU108" s="203"/>
      <c r="AV108" s="203"/>
      <c r="AW108" s="203"/>
      <c r="AX108" s="203"/>
      <c r="AY108" s="203"/>
      <c r="AZ108" s="203"/>
      <c r="BA108" s="203"/>
      <c r="BB108" s="203"/>
      <c r="BC108" s="203"/>
      <c r="BD108" s="203"/>
      <c r="BE108" s="203"/>
      <c r="BF108" s="203"/>
      <c r="BG108" s="203"/>
      <c r="BH108" s="203"/>
      <c r="BI108" s="203"/>
      <c r="BJ108" s="203"/>
      <c r="BK108" s="203"/>
      <c r="BL108" s="203"/>
      <c r="BM108" s="203"/>
      <c r="BN108" s="203"/>
      <c r="BO108" s="203"/>
      <c r="BP108" s="203"/>
      <c r="BQ108" s="203"/>
      <c r="BR108" s="203"/>
      <c r="BS108" s="203"/>
      <c r="BT108" s="203"/>
      <c r="BU108" s="203"/>
      <c r="BV108" s="205"/>
    </row>
    <row r="109" spans="1:74" s="150" customFormat="1" ht="15">
      <c r="A109" s="158" t="s">
        <v>111</v>
      </c>
      <c r="B109" s="159" t="s">
        <v>200</v>
      </c>
      <c r="C109" s="160" t="s">
        <v>200</v>
      </c>
      <c r="D109" s="161">
        <v>75714</v>
      </c>
      <c r="E109" s="162">
        <v>83738</v>
      </c>
      <c r="F109" s="163">
        <v>89721</v>
      </c>
      <c r="G109" s="137">
        <v>111708</v>
      </c>
      <c r="H109" s="138">
        <v>0.80317434740573634</v>
      </c>
      <c r="I109" s="137">
        <v>122446</v>
      </c>
      <c r="J109" s="137">
        <v>98345.486142442795</v>
      </c>
      <c r="K109" s="137">
        <v>98810.48339483398</v>
      </c>
      <c r="L109" s="144">
        <v>4.7282012691227671E-3</v>
      </c>
      <c r="M109" s="187" t="s">
        <v>27</v>
      </c>
      <c r="N109" s="140" t="s">
        <v>26</v>
      </c>
      <c r="O109" s="141">
        <v>98368.519268370903</v>
      </c>
      <c r="P109" s="142">
        <v>2.3420623387582218E-4</v>
      </c>
      <c r="Q109" s="143">
        <v>98810.48339483398</v>
      </c>
      <c r="R109" s="144">
        <v>4.7282012691227671E-3</v>
      </c>
      <c r="S109" s="143">
        <v>98368.519268370903</v>
      </c>
      <c r="T109" s="144">
        <v>2.3420623387582218E-4</v>
      </c>
      <c r="U109" s="143">
        <v>103057.29560473922</v>
      </c>
      <c r="V109" s="144">
        <v>4.7910785203419293E-2</v>
      </c>
      <c r="W109" s="143">
        <v>103724.05590240285</v>
      </c>
      <c r="X109" s="144">
        <v>5.4690560501879926E-2</v>
      </c>
      <c r="Y109" s="145">
        <v>2.3420623387582218E-4</v>
      </c>
      <c r="Z109" s="146">
        <v>7.6974719953393222E-3</v>
      </c>
      <c r="AA109" s="147">
        <v>-1394261.177121771</v>
      </c>
      <c r="AB109" s="148">
        <v>738.41328413284123</v>
      </c>
      <c r="AC109" s="147">
        <v>103057.29560473922</v>
      </c>
      <c r="AD109" s="147">
        <v>104289.9888301129</v>
      </c>
      <c r="AE109" s="147">
        <v>108110.03690361528</v>
      </c>
      <c r="AF109" s="147">
        <v>109425.15372690467</v>
      </c>
      <c r="AG109" s="147">
        <v>110761.72359000813</v>
      </c>
      <c r="AH109" s="147">
        <v>112120.09644884527</v>
      </c>
      <c r="AI109" s="147">
        <v>113500.62796804393</v>
      </c>
      <c r="AJ109" s="147">
        <v>114903.67961406437</v>
      </c>
      <c r="AK109" s="147">
        <v>116329.61874984257</v>
      </c>
      <c r="AL109" s="147">
        <v>117778.81873097729</v>
      </c>
      <c r="AM109" s="147">
        <v>119251.65900348636</v>
      </c>
      <c r="AN109" s="147">
        <v>120748.52520315745</v>
      </c>
      <c r="AO109" s="147">
        <v>122269.80925651969</v>
      </c>
      <c r="AP109" s="147">
        <v>123815.9094834624</v>
      </c>
      <c r="AQ109" s="147">
        <v>125387.23070152753</v>
      </c>
      <c r="AR109" s="147">
        <v>126984.1843319038</v>
      </c>
      <c r="AS109" s="147">
        <v>128607.18850714952</v>
      </c>
      <c r="AT109" s="147">
        <v>130256.66818067295</v>
      </c>
      <c r="AU109" s="147">
        <v>131933.05523799828</v>
      </c>
      <c r="AV109" s="147">
        <v>133636.78860984693</v>
      </c>
      <c r="AW109" s="147">
        <v>135368.31438706341</v>
      </c>
      <c r="AX109" s="147">
        <v>137128.08593741566</v>
      </c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9"/>
    </row>
    <row r="110" spans="1:74" s="150" customFormat="1" ht="15">
      <c r="A110" s="158" t="s">
        <v>111</v>
      </c>
      <c r="B110" s="174" t="s">
        <v>201</v>
      </c>
      <c r="C110" s="175" t="s">
        <v>202</v>
      </c>
      <c r="D110" s="176">
        <v>17075</v>
      </c>
      <c r="E110" s="177">
        <v>18189</v>
      </c>
      <c r="F110" s="178">
        <v>20533</v>
      </c>
      <c r="G110" s="137">
        <v>30207</v>
      </c>
      <c r="H110" s="138">
        <v>0.67974310590260534</v>
      </c>
      <c r="I110" s="137">
        <v>37633</v>
      </c>
      <c r="J110" s="137">
        <v>25580.772304432747</v>
      </c>
      <c r="K110" s="137">
        <v>23123.325035078164</v>
      </c>
      <c r="L110" s="144">
        <v>-9.6066187529793456E-2</v>
      </c>
      <c r="M110" s="187" t="s">
        <v>26</v>
      </c>
      <c r="N110" s="140" t="s">
        <v>66</v>
      </c>
      <c r="O110" s="141">
        <v>25757.84989094246</v>
      </c>
      <c r="P110" s="142">
        <v>6.9222924312972722E-3</v>
      </c>
      <c r="Q110" s="143">
        <v>22453.878228782269</v>
      </c>
      <c r="R110" s="144">
        <v>-0.12223610915408667</v>
      </c>
      <c r="S110" s="143">
        <v>23123.325035078164</v>
      </c>
      <c r="T110" s="144">
        <v>-9.6066187529793456E-2</v>
      </c>
      <c r="U110" s="143">
        <v>25757.84989094246</v>
      </c>
      <c r="V110" s="144">
        <v>6.9222924312972722E-3</v>
      </c>
      <c r="W110" s="143">
        <v>24933.823652505725</v>
      </c>
      <c r="X110" s="144">
        <v>-2.5290426896724894E-2</v>
      </c>
      <c r="Y110" s="145">
        <v>6.9222924312972722E-3</v>
      </c>
      <c r="Z110" s="146">
        <v>9.9498826572148591E-3</v>
      </c>
      <c r="AA110" s="147">
        <v>-342916.298892989</v>
      </c>
      <c r="AB110" s="148">
        <v>180.69741697416976</v>
      </c>
      <c r="AC110" s="147">
        <v>25757.84989094246</v>
      </c>
      <c r="AD110" s="147">
        <v>26240.790375695236</v>
      </c>
      <c r="AE110" s="147">
        <v>27737.396206263445</v>
      </c>
      <c r="AF110" s="147">
        <v>28252.628336263508</v>
      </c>
      <c r="AG110" s="147">
        <v>28776.265267420866</v>
      </c>
      <c r="AH110" s="147">
        <v>29308.4441043111</v>
      </c>
      <c r="AI110" s="147">
        <v>29849.304188048627</v>
      </c>
      <c r="AJ110" s="147">
        <v>30398.987132770664</v>
      </c>
      <c r="AK110" s="147">
        <v>30957.636862716194</v>
      </c>
      <c r="AL110" s="147">
        <v>31525.399649909879</v>
      </c>
      <c r="AM110" s="147">
        <v>32102.42415246064</v>
      </c>
      <c r="AN110" s="147">
        <v>32688.861453485042</v>
      </c>
      <c r="AO110" s="147">
        <v>33284.865100665585</v>
      </c>
      <c r="AP110" s="147">
        <v>33890.591146454266</v>
      </c>
      <c r="AQ110" s="147">
        <v>34506.198188932067</v>
      </c>
      <c r="AR110" s="147">
        <v>35131.847413334857</v>
      </c>
      <c r="AS110" s="147">
        <v>35767.702634256806</v>
      </c>
      <c r="AT110" s="147">
        <v>36413.930338542101</v>
      </c>
      <c r="AU110" s="147">
        <v>37070.699728876476</v>
      </c>
      <c r="AV110" s="147">
        <v>37738.182768089791</v>
      </c>
      <c r="AW110" s="147">
        <v>38416.55422418128</v>
      </c>
      <c r="AX110" s="147">
        <v>39105.991716079276</v>
      </c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9"/>
    </row>
    <row r="111" spans="1:74" s="150" customFormat="1" ht="15">
      <c r="A111" s="158" t="s">
        <v>111</v>
      </c>
      <c r="B111" s="159" t="s">
        <v>203</v>
      </c>
      <c r="C111" s="160" t="s">
        <v>203</v>
      </c>
      <c r="D111" s="161">
        <v>27685</v>
      </c>
      <c r="E111" s="162">
        <v>29639</v>
      </c>
      <c r="F111" s="163">
        <v>31533</v>
      </c>
      <c r="G111" s="137">
        <v>39776</v>
      </c>
      <c r="H111" s="138">
        <v>0.79276448109412712</v>
      </c>
      <c r="I111" s="137">
        <v>42355</v>
      </c>
      <c r="J111" s="137">
        <v>33577.539596741757</v>
      </c>
      <c r="K111" s="137">
        <v>34235.068465798555</v>
      </c>
      <c r="L111" s="144">
        <v>1.9582401717146647E-2</v>
      </c>
      <c r="M111" s="187" t="s">
        <v>26</v>
      </c>
      <c r="N111" s="140" t="s">
        <v>27</v>
      </c>
      <c r="O111" s="141">
        <v>33936.756457564537</v>
      </c>
      <c r="P111" s="142">
        <v>1.0698129319089089E-2</v>
      </c>
      <c r="Q111" s="143">
        <v>33936.756457564537</v>
      </c>
      <c r="R111" s="144">
        <v>1.0698129319089089E-2</v>
      </c>
      <c r="S111" s="143">
        <v>34235.068465798555</v>
      </c>
      <c r="T111" s="144">
        <v>1.9582401717146647E-2</v>
      </c>
      <c r="U111" s="143">
        <v>35754.785705394643</v>
      </c>
      <c r="V111" s="144">
        <v>6.4842336121142097E-2</v>
      </c>
      <c r="W111" s="143">
        <v>35211.816051014699</v>
      </c>
      <c r="X111" s="144">
        <v>4.8671715494947199E-2</v>
      </c>
      <c r="Y111" s="145">
        <v>1.0698129319089089E-2</v>
      </c>
      <c r="Z111" s="146">
        <v>6.8748486792642449E-3</v>
      </c>
      <c r="AA111" s="147">
        <v>-375305.59778597788</v>
      </c>
      <c r="AB111" s="148">
        <v>202.39483394833948</v>
      </c>
      <c r="AC111" s="147">
        <v>35754.785705394643</v>
      </c>
      <c r="AD111" s="147">
        <v>36145.011506641124</v>
      </c>
      <c r="AE111" s="147">
        <v>37354.299664958606</v>
      </c>
      <c r="AF111" s="147">
        <v>37770.617776827254</v>
      </c>
      <c r="AG111" s="147">
        <v>38193.727140142975</v>
      </c>
      <c r="AH111" s="147">
        <v>38623.738538210433</v>
      </c>
      <c r="AI111" s="147">
        <v>39060.764561503463</v>
      </c>
      <c r="AJ111" s="147">
        <v>39504.919637144914</v>
      </c>
      <c r="AK111" s="147">
        <v>39956.320058867102</v>
      </c>
      <c r="AL111" s="147">
        <v>40415.084017461311</v>
      </c>
      <c r="AM111" s="147">
        <v>40881.331631723748</v>
      </c>
      <c r="AN111" s="147">
        <v>41355.184979906429</v>
      </c>
      <c r="AO111" s="147">
        <v>41836.76813168115</v>
      </c>
      <c r="AP111" s="147">
        <v>42326.20718062474</v>
      </c>
      <c r="AQ111" s="147">
        <v>42823.630277234362</v>
      </c>
      <c r="AR111" s="147">
        <v>43329.167662481326</v>
      </c>
      <c r="AS111" s="147">
        <v>43842.951701912287</v>
      </c>
      <c r="AT111" s="147">
        <v>44365.116920306638</v>
      </c>
      <c r="AU111" s="147">
        <v>44895.800036899353</v>
      </c>
      <c r="AV111" s="147">
        <v>45435.14000117837</v>
      </c>
      <c r="AW111" s="147">
        <v>45983.278029265944</v>
      </c>
      <c r="AX111" s="147">
        <v>46540.357640893402</v>
      </c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9"/>
    </row>
    <row r="112" spans="1:74" s="150" customFormat="1" ht="15">
      <c r="A112" s="158" t="s">
        <v>111</v>
      </c>
      <c r="B112" s="159" t="s">
        <v>204</v>
      </c>
      <c r="C112" s="160" t="s">
        <v>204</v>
      </c>
      <c r="D112" s="161">
        <v>4572</v>
      </c>
      <c r="E112" s="162">
        <v>5031</v>
      </c>
      <c r="F112" s="163">
        <v>5115</v>
      </c>
      <c r="G112" s="137">
        <v>5887</v>
      </c>
      <c r="H112" s="138">
        <v>0.86886359775777133</v>
      </c>
      <c r="I112" s="137">
        <v>6917</v>
      </c>
      <c r="J112" s="137">
        <v>6009.9295056905039</v>
      </c>
      <c r="K112" s="137">
        <v>5522.5018450184507</v>
      </c>
      <c r="L112" s="144">
        <v>-8.1103723464731492E-2</v>
      </c>
      <c r="M112" s="187" t="s">
        <v>27</v>
      </c>
      <c r="N112" s="140" t="s">
        <v>27</v>
      </c>
      <c r="O112" s="141">
        <v>5522.5018450184507</v>
      </c>
      <c r="P112" s="142">
        <v>-8.1103723464731492E-2</v>
      </c>
      <c r="Q112" s="143">
        <v>5522.5018450184507</v>
      </c>
      <c r="R112" s="144">
        <v>-8.1103723464731492E-2</v>
      </c>
      <c r="S112" s="143">
        <v>5229.1857097867387</v>
      </c>
      <c r="T112" s="144">
        <v>-0.12990897732902151</v>
      </c>
      <c r="U112" s="143">
        <v>5302.2386479689294</v>
      </c>
      <c r="V112" s="144">
        <v>-0.11775360377380417</v>
      </c>
      <c r="W112" s="143">
        <v>5452.2385449668955</v>
      </c>
      <c r="X112" s="144">
        <v>-9.279492549713908E-2</v>
      </c>
      <c r="Y112" s="145">
        <v>8.1103723464731492E-2</v>
      </c>
      <c r="Z112" s="146">
        <v>1.8415411017855821E-3</v>
      </c>
      <c r="AA112" s="147">
        <v>-52910.31365313656</v>
      </c>
      <c r="AB112" s="148">
        <v>28.898523985239866</v>
      </c>
      <c r="AC112" s="147">
        <v>5302.2386479689294</v>
      </c>
      <c r="AD112" s="147">
        <v>5319.5453888901029</v>
      </c>
      <c r="AE112" s="147">
        <v>5373.1780210435718</v>
      </c>
      <c r="AF112" s="147">
        <v>5391.6419710947685</v>
      </c>
      <c r="AG112" s="147">
        <v>5410.407117091876</v>
      </c>
      <c r="AH112" s="147">
        <v>5429.4783723387955</v>
      </c>
      <c r="AI112" s="147">
        <v>5448.8607302884338</v>
      </c>
      <c r="AJ112" s="147">
        <v>5468.5592658501446</v>
      </c>
      <c r="AK112" s="147">
        <v>5488.5791367184993</v>
      </c>
      <c r="AL112" s="147">
        <v>5508.9255847237346</v>
      </c>
      <c r="AM112" s="147">
        <v>5529.6039372042223</v>
      </c>
      <c r="AN112" s="147">
        <v>5550.6196084013427</v>
      </c>
      <c r="AO112" s="147">
        <v>5571.9781008770951</v>
      </c>
      <c r="AP112" s="147">
        <v>5593.6850069548473</v>
      </c>
      <c r="AQ112" s="147">
        <v>5615.7460101835732</v>
      </c>
      <c r="AR112" s="147">
        <v>5638.1668868259949</v>
      </c>
      <c r="AS112" s="147">
        <v>5660.9535073709794</v>
      </c>
      <c r="AT112" s="147">
        <v>5684.111838070623</v>
      </c>
      <c r="AU112" s="147">
        <v>5707.6479425024008</v>
      </c>
      <c r="AV112" s="147">
        <v>5731.5679831568032</v>
      </c>
      <c r="AW112" s="147">
        <v>5755.8782230508668</v>
      </c>
      <c r="AX112" s="147">
        <v>5780.5850273680298</v>
      </c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9"/>
    </row>
    <row r="113" spans="1:74" s="150" customFormat="1" ht="15">
      <c r="A113" s="158" t="s">
        <v>111</v>
      </c>
      <c r="B113" s="159" t="s">
        <v>205</v>
      </c>
      <c r="C113" s="160" t="s">
        <v>205</v>
      </c>
      <c r="D113" s="161">
        <v>79240</v>
      </c>
      <c r="E113" s="162">
        <v>85487</v>
      </c>
      <c r="F113" s="163">
        <v>91399</v>
      </c>
      <c r="G113" s="137">
        <v>104590</v>
      </c>
      <c r="H113" s="138">
        <v>0.87387895592312836</v>
      </c>
      <c r="I113" s="137">
        <v>113718</v>
      </c>
      <c r="J113" s="137">
        <v>99375.767109666311</v>
      </c>
      <c r="K113" s="137">
        <v>99922.494517994041</v>
      </c>
      <c r="L113" s="144">
        <v>5.5016169860040431E-3</v>
      </c>
      <c r="M113" s="187" t="s">
        <v>26</v>
      </c>
      <c r="N113" s="140" t="s">
        <v>27</v>
      </c>
      <c r="O113" s="141">
        <v>99021.54243542417</v>
      </c>
      <c r="P113" s="142">
        <v>-3.5644975082429475E-3</v>
      </c>
      <c r="Q113" s="143">
        <v>99021.54243542417</v>
      </c>
      <c r="R113" s="144">
        <v>-3.5644975082429475E-3</v>
      </c>
      <c r="S113" s="143">
        <v>99922.494517994041</v>
      </c>
      <c r="T113" s="144">
        <v>5.5016169860040431E-3</v>
      </c>
      <c r="U113" s="143">
        <v>104577.03436657501</v>
      </c>
      <c r="V113" s="144">
        <v>5.2339392270238649E-2</v>
      </c>
      <c r="W113" s="143">
        <v>103397.07677155151</v>
      </c>
      <c r="X113" s="144">
        <v>4.0465696807628015E-2</v>
      </c>
      <c r="Y113" s="145">
        <v>3.5644975082429475E-3</v>
      </c>
      <c r="Z113" s="146">
        <v>7.4576955528196098E-3</v>
      </c>
      <c r="AA113" s="147">
        <v>-1194383.2140221405</v>
      </c>
      <c r="AB113" s="148">
        <v>639.6660516605167</v>
      </c>
      <c r="AC113" s="147">
        <v>104577.03436657501</v>
      </c>
      <c r="AD113" s="147">
        <v>105795.09927521768</v>
      </c>
      <c r="AE113" s="147">
        <v>109569.81500487609</v>
      </c>
      <c r="AF113" s="147">
        <v>110869.32539419361</v>
      </c>
      <c r="AG113" s="147">
        <v>112190.03424103762</v>
      </c>
      <c r="AH113" s="147">
        <v>113532.28734841605</v>
      </c>
      <c r="AI113" s="147">
        <v>114896.43616030013</v>
      </c>
      <c r="AJ113" s="147">
        <v>116282.83785364343</v>
      </c>
      <c r="AK113" s="147">
        <v>117691.85543190196</v>
      </c>
      <c r="AL113" s="147">
        <v>119123.85782007987</v>
      </c>
      <c r="AM113" s="147">
        <v>120579.21996132567</v>
      </c>
      <c r="AN113" s="147">
        <v>122058.32291510393</v>
      </c>
      <c r="AO113" s="147">
        <v>123561.55395696886</v>
      </c>
      <c r="AP113" s="147">
        <v>125089.30667996488</v>
      </c>
      <c r="AQ113" s="147">
        <v>126641.98109768191</v>
      </c>
      <c r="AR113" s="147">
        <v>128219.98374899133</v>
      </c>
      <c r="AS113" s="147">
        <v>129823.72780449071</v>
      </c>
      <c r="AT113" s="147">
        <v>131453.63317468468</v>
      </c>
      <c r="AU113" s="147">
        <v>133110.12661993079</v>
      </c>
      <c r="AV113" s="147">
        <v>134793.64186217872</v>
      </c>
      <c r="AW113" s="147">
        <v>136504.6196985323</v>
      </c>
      <c r="AX113" s="147">
        <v>138243.5081166641</v>
      </c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9"/>
    </row>
    <row r="114" spans="1:74" s="150" customFormat="1" ht="15">
      <c r="A114" s="158" t="s">
        <v>111</v>
      </c>
      <c r="B114" s="159" t="s">
        <v>206</v>
      </c>
      <c r="C114" s="160" t="s">
        <v>206</v>
      </c>
      <c r="D114" s="161">
        <v>1426</v>
      </c>
      <c r="E114" s="162">
        <v>2085</v>
      </c>
      <c r="F114" s="163">
        <v>2502</v>
      </c>
      <c r="G114" s="137">
        <v>3640</v>
      </c>
      <c r="H114" s="138">
        <v>0.68736263736263736</v>
      </c>
      <c r="I114" s="137">
        <v>4582</v>
      </c>
      <c r="J114" s="137">
        <v>3149.4956043956045</v>
      </c>
      <c r="K114" s="137">
        <v>3190.5260881138761</v>
      </c>
      <c r="L114" s="144">
        <v>1.3027636444707946E-2</v>
      </c>
      <c r="M114" s="187" t="s">
        <v>26</v>
      </c>
      <c r="N114" s="140" t="s">
        <v>26</v>
      </c>
      <c r="O114" s="141">
        <v>3190.5260881138761</v>
      </c>
      <c r="P114" s="142">
        <v>1.3027636444707946E-2</v>
      </c>
      <c r="Q114" s="143">
        <v>3216.1217712177022</v>
      </c>
      <c r="R114" s="144">
        <v>2.1154551455512705E-2</v>
      </c>
      <c r="S114" s="143">
        <v>3190.5260881138761</v>
      </c>
      <c r="T114" s="144">
        <v>1.3027636444707946E-2</v>
      </c>
      <c r="U114" s="143">
        <v>3431.5061452743203</v>
      </c>
      <c r="V114" s="144">
        <v>8.9541493718907406E-2</v>
      </c>
      <c r="W114" s="143">
        <v>4223.5441648098949</v>
      </c>
      <c r="X114" s="144">
        <v>0.34102240337001599</v>
      </c>
      <c r="Y114" s="145">
        <v>1.3027636444707946E-2</v>
      </c>
      <c r="Z114" s="146">
        <v>2.046453567684825E-2</v>
      </c>
      <c r="AA114" s="147">
        <v>-111638.70110701106</v>
      </c>
      <c r="AB114" s="148">
        <v>56.802583025830252</v>
      </c>
      <c r="AC114" s="147">
        <v>3431.5061452743203</v>
      </c>
      <c r="AD114" s="147">
        <v>3517.4217519901522</v>
      </c>
      <c r="AE114" s="147">
        <v>3783.6694616091545</v>
      </c>
      <c r="AF114" s="147">
        <v>3875.3297850775944</v>
      </c>
      <c r="AG114" s="147">
        <v>3968.4853312775185</v>
      </c>
      <c r="AH114" s="147">
        <v>4063.1604912532976</v>
      </c>
      <c r="AI114" s="147">
        <v>4159.3800539318599</v>
      </c>
      <c r="AJ114" s="147">
        <v>4257.169212613212</v>
      </c>
      <c r="AK114" s="147">
        <v>4356.553571566832</v>
      </c>
      <c r="AL114" s="147">
        <v>4457.5591527356737</v>
      </c>
      <c r="AM114" s="147">
        <v>4560.2124025495259</v>
      </c>
      <c r="AN114" s="147">
        <v>4664.5401988495169</v>
      </c>
      <c r="AO114" s="147">
        <v>4770.569857925575</v>
      </c>
      <c r="AP114" s="147">
        <v>4878.329141668698</v>
      </c>
      <c r="AQ114" s="147">
        <v>4987.8462648398772</v>
      </c>
      <c r="AR114" s="147">
        <v>5099.1499024576106</v>
      </c>
      <c r="AS114" s="147">
        <v>5212.2691973059264</v>
      </c>
      <c r="AT114" s="147">
        <v>5327.2337675648705</v>
      </c>
      <c r="AU114" s="147">
        <v>5444.0737145654821</v>
      </c>
      <c r="AV114" s="147">
        <v>5562.8196306712643</v>
      </c>
      <c r="AW114" s="147">
        <v>5683.5026072882229</v>
      </c>
      <c r="AX114" s="147">
        <v>5806.1542430055706</v>
      </c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9"/>
    </row>
    <row r="115" spans="1:74" s="150" customFormat="1" ht="15">
      <c r="A115" s="132" t="s">
        <v>82</v>
      </c>
      <c r="B115" s="155" t="s">
        <v>207</v>
      </c>
      <c r="C115" s="155" t="s">
        <v>207</v>
      </c>
      <c r="D115" s="180">
        <v>136569</v>
      </c>
      <c r="E115" s="153">
        <v>226517</v>
      </c>
      <c r="F115" s="163">
        <v>296826</v>
      </c>
      <c r="G115" s="137">
        <v>299077</v>
      </c>
      <c r="H115" s="138">
        <v>0.99247351016627827</v>
      </c>
      <c r="I115" s="137">
        <v>393653</v>
      </c>
      <c r="J115" s="137">
        <v>390690.17469748593</v>
      </c>
      <c r="K115" s="137">
        <v>425634.46882214688</v>
      </c>
      <c r="L115" s="144">
        <v>8.9442469731209728E-2</v>
      </c>
      <c r="M115" s="187" t="s">
        <v>26</v>
      </c>
      <c r="N115" s="140" t="s">
        <v>27</v>
      </c>
      <c r="O115" s="141">
        <v>400128.85608855821</v>
      </c>
      <c r="P115" s="142">
        <v>2.4158993500107195E-2</v>
      </c>
      <c r="Q115" s="143">
        <v>400128.85608855821</v>
      </c>
      <c r="R115" s="144">
        <v>2.4158993500107195E-2</v>
      </c>
      <c r="S115" s="143">
        <v>425634.46882214688</v>
      </c>
      <c r="T115" s="144">
        <v>8.9442469731209728E-2</v>
      </c>
      <c r="U115" s="143">
        <v>453546.97738151613</v>
      </c>
      <c r="V115" s="144">
        <v>0.16088657139304985</v>
      </c>
      <c r="W115" s="143">
        <v>629694.65970653482</v>
      </c>
      <c r="X115" s="144">
        <v>0.61174941293087715</v>
      </c>
      <c r="Y115" s="145">
        <v>2.4158993500107195E-2</v>
      </c>
      <c r="Z115" s="146">
        <v>3.0491872719574431E-2</v>
      </c>
      <c r="AA115" s="147">
        <v>-16675489.535055356</v>
      </c>
      <c r="AB115" s="148">
        <v>8444.9151291512935</v>
      </c>
      <c r="AC115" s="147">
        <v>453546.97738151613</v>
      </c>
      <c r="AD115" s="147">
        <v>468032.92556516931</v>
      </c>
      <c r="AE115" s="147">
        <v>512924.07716133818</v>
      </c>
      <c r="AF115" s="147">
        <v>528378.62316311896</v>
      </c>
      <c r="AG115" s="147">
        <v>544085.27375729266</v>
      </c>
      <c r="AH115" s="147">
        <v>560048.14143771725</v>
      </c>
      <c r="AI115" s="147">
        <v>576271.40578392125</v>
      </c>
      <c r="AJ115" s="147">
        <v>592759.31455544929</v>
      </c>
      <c r="AK115" s="147">
        <v>609516.18480405852</v>
      </c>
      <c r="AL115" s="147">
        <v>626546.40400405868</v>
      </c>
      <c r="AM115" s="147">
        <v>643854.43120109022</v>
      </c>
      <c r="AN115" s="147">
        <v>661444.79817964183</v>
      </c>
      <c r="AO115" s="147">
        <v>679322.11064961459</v>
      </c>
      <c r="AP115" s="147">
        <v>697491.04945224116</v>
      </c>
      <c r="AQ115" s="147">
        <v>715956.37178567611</v>
      </c>
      <c r="AR115" s="147">
        <v>734722.91245058074</v>
      </c>
      <c r="AS115" s="147">
        <v>753795.58511602483</v>
      </c>
      <c r="AT115" s="147">
        <v>773179.38360603957</v>
      </c>
      <c r="AU115" s="147">
        <v>792879.38320715725</v>
      </c>
      <c r="AV115" s="147">
        <v>812900.74199728051</v>
      </c>
      <c r="AW115" s="147">
        <v>833248.7021962296</v>
      </c>
      <c r="AX115" s="147">
        <v>853928.59153831808</v>
      </c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9"/>
    </row>
    <row r="116" spans="1:74" s="150" customFormat="1" ht="38.25">
      <c r="A116" s="181" t="s">
        <v>111</v>
      </c>
      <c r="B116" s="211" t="s">
        <v>49</v>
      </c>
      <c r="C116" s="221" t="s">
        <v>49</v>
      </c>
      <c r="D116" s="213">
        <v>10242</v>
      </c>
      <c r="E116" s="214">
        <v>20592</v>
      </c>
      <c r="F116" s="215">
        <v>25397</v>
      </c>
      <c r="G116" s="143">
        <v>25728</v>
      </c>
      <c r="H116" s="144">
        <v>0.98713463930348255</v>
      </c>
      <c r="I116" s="143">
        <v>39988</v>
      </c>
      <c r="J116" s="143">
        <v>39473.539956467663</v>
      </c>
      <c r="K116" s="143">
        <v>36107.496470127357</v>
      </c>
      <c r="L116" s="144">
        <v>-8.5273413280198773E-2</v>
      </c>
      <c r="M116" s="187" t="s">
        <v>26</v>
      </c>
      <c r="N116" s="140" t="s">
        <v>66</v>
      </c>
      <c r="O116" s="141">
        <v>36107.496470127357</v>
      </c>
      <c r="P116" s="142">
        <v>-8.5273413280198773E-2</v>
      </c>
      <c r="Q116" s="143">
        <v>35853.236162361689</v>
      </c>
      <c r="R116" s="144">
        <v>-9.1714697949525914E-2</v>
      </c>
      <c r="S116" s="143">
        <v>33591.361356402369</v>
      </c>
      <c r="T116" s="144">
        <v>-0.14901573577014615</v>
      </c>
      <c r="U116" s="143">
        <v>36107.496470127357</v>
      </c>
      <c r="V116" s="144">
        <v>-8.5273413280198773E-2</v>
      </c>
      <c r="W116" s="143">
        <v>57000.491376236954</v>
      </c>
      <c r="X116" s="144">
        <v>0.44401772526858307</v>
      </c>
      <c r="Y116" s="145">
        <v>8.5273413280198773E-2</v>
      </c>
      <c r="Z116" s="146">
        <v>2.3576796186742799E-2</v>
      </c>
      <c r="AA116" s="147">
        <v>-1585813.1476014762</v>
      </c>
      <c r="AB116" s="148">
        <v>802.01107011070121</v>
      </c>
      <c r="AC116" s="147">
        <v>36107.496470127357</v>
      </c>
      <c r="AD116" s="147">
        <v>37097.483257344546</v>
      </c>
      <c r="AE116" s="147">
        <v>40165.397513266158</v>
      </c>
      <c r="AF116" s="147">
        <v>41221.579417980436</v>
      </c>
      <c r="AG116" s="147">
        <v>42294.990447933989</v>
      </c>
      <c r="AH116" s="147">
        <v>43385.911655808377</v>
      </c>
      <c r="AI116" s="147">
        <v>44494.628678999012</v>
      </c>
      <c r="AJ116" s="147">
        <v>45621.43181440403</v>
      </c>
      <c r="AK116" s="147">
        <v>46766.61609443315</v>
      </c>
      <c r="AL116" s="147">
        <v>47930.481364256382</v>
      </c>
      <c r="AM116" s="147">
        <v>49113.332360312881</v>
      </c>
      <c r="AN116" s="147">
        <v>50315.478790100533</v>
      </c>
      <c r="AO116" s="147">
        <v>51537.235413267103</v>
      </c>
      <c r="AP116" s="147">
        <v>52778.922124024204</v>
      </c>
      <c r="AQ116" s="147">
        <v>54040.86403490552</v>
      </c>
      <c r="AR116" s="147">
        <v>55323.391561891651</v>
      </c>
      <c r="AS116" s="147">
        <v>56626.840510923197</v>
      </c>
      <c r="AT116" s="147">
        <v>57951.552165825415</v>
      </c>
      <c r="AU116" s="147">
        <v>59297.873377667012</v>
      </c>
      <c r="AV116" s="147">
        <v>60666.156655576546</v>
      </c>
      <c r="AW116" s="147">
        <v>62056.760259040559</v>
      </c>
      <c r="AX116" s="147">
        <v>63470.048291706873</v>
      </c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88" t="s">
        <v>153</v>
      </c>
    </row>
    <row r="117" spans="1:74" s="150" customFormat="1" ht="15">
      <c r="A117" s="189"/>
      <c r="B117" s="216" t="s">
        <v>208</v>
      </c>
      <c r="C117" s="222"/>
      <c r="D117" s="218"/>
      <c r="E117" s="219"/>
      <c r="F117" s="220"/>
      <c r="G117" s="195"/>
      <c r="H117" s="196"/>
      <c r="I117" s="195"/>
      <c r="J117" s="195"/>
      <c r="K117" s="195"/>
      <c r="L117" s="196"/>
      <c r="M117" s="197"/>
      <c r="N117" s="198"/>
      <c r="O117" s="199"/>
      <c r="P117" s="200"/>
      <c r="Q117" s="195"/>
      <c r="R117" s="196"/>
      <c r="S117" s="195"/>
      <c r="T117" s="196"/>
      <c r="U117" s="195"/>
      <c r="V117" s="196"/>
      <c r="W117" s="195"/>
      <c r="X117" s="196"/>
      <c r="Y117" s="201"/>
      <c r="Z117" s="202"/>
      <c r="AA117" s="203"/>
      <c r="AB117" s="204"/>
      <c r="AC117" s="203"/>
      <c r="AD117" s="203"/>
      <c r="AE117" s="203"/>
      <c r="AF117" s="203"/>
      <c r="AG117" s="203"/>
      <c r="AH117" s="203"/>
      <c r="AI117" s="203"/>
      <c r="AJ117" s="203"/>
      <c r="AK117" s="203"/>
      <c r="AL117" s="203"/>
      <c r="AM117" s="203"/>
      <c r="AN117" s="203"/>
      <c r="AO117" s="203"/>
      <c r="AP117" s="203"/>
      <c r="AQ117" s="203"/>
      <c r="AR117" s="203"/>
      <c r="AS117" s="203"/>
      <c r="AT117" s="203"/>
      <c r="AU117" s="203"/>
      <c r="AV117" s="203"/>
      <c r="AW117" s="203"/>
      <c r="AX117" s="203"/>
      <c r="AY117" s="203"/>
      <c r="AZ117" s="203"/>
      <c r="BA117" s="203"/>
      <c r="BB117" s="203"/>
      <c r="BC117" s="203"/>
      <c r="BD117" s="203"/>
      <c r="BE117" s="203"/>
      <c r="BF117" s="203"/>
      <c r="BG117" s="203"/>
      <c r="BH117" s="203"/>
      <c r="BI117" s="203"/>
      <c r="BJ117" s="203"/>
      <c r="BK117" s="203"/>
      <c r="BL117" s="203"/>
      <c r="BM117" s="203"/>
      <c r="BN117" s="203"/>
      <c r="BO117" s="203"/>
      <c r="BP117" s="203"/>
      <c r="BQ117" s="203"/>
      <c r="BR117" s="203"/>
      <c r="BS117" s="203"/>
      <c r="BT117" s="203"/>
      <c r="BU117" s="203"/>
      <c r="BV117" s="205"/>
    </row>
    <row r="118" spans="1:74" s="150" customFormat="1" ht="15">
      <c r="A118" s="132" t="s">
        <v>82</v>
      </c>
      <c r="B118" s="155" t="s">
        <v>209</v>
      </c>
      <c r="C118" s="155" t="s">
        <v>209</v>
      </c>
      <c r="D118" s="206">
        <v>40566</v>
      </c>
      <c r="E118" s="153">
        <v>59738</v>
      </c>
      <c r="F118" s="163">
        <v>80824</v>
      </c>
      <c r="G118" s="137">
        <v>81141</v>
      </c>
      <c r="H118" s="138">
        <v>0.99609322044342563</v>
      </c>
      <c r="I118" s="137">
        <v>102017</v>
      </c>
      <c r="J118" s="137">
        <v>101618.44206997695</v>
      </c>
      <c r="K118" s="137">
        <v>120946.47683528262</v>
      </c>
      <c r="L118" s="186">
        <v>0.19020203785446643</v>
      </c>
      <c r="M118" s="187" t="s">
        <v>26</v>
      </c>
      <c r="N118" s="140" t="s">
        <v>27</v>
      </c>
      <c r="O118" s="141">
        <v>105498.59778597765</v>
      </c>
      <c r="P118" s="142">
        <v>3.8183578068720303E-2</v>
      </c>
      <c r="Q118" s="143">
        <v>105498.59778597765</v>
      </c>
      <c r="R118" s="144">
        <v>3.8183578068720303E-2</v>
      </c>
      <c r="S118" s="143">
        <v>120946.47683528262</v>
      </c>
      <c r="T118" s="144">
        <v>0.19020203785446643</v>
      </c>
      <c r="U118" s="143">
        <v>127825.35870324778</v>
      </c>
      <c r="V118" s="144">
        <v>0.25789528061475386</v>
      </c>
      <c r="W118" s="143">
        <v>164259.42492249649</v>
      </c>
      <c r="X118" s="144">
        <v>0.61643321405560836</v>
      </c>
      <c r="Y118" s="145">
        <v>3.8183578068720303E-2</v>
      </c>
      <c r="Z118" s="146">
        <v>3.4160010383232242E-2</v>
      </c>
      <c r="AA118" s="147">
        <v>-4171277.6236162353</v>
      </c>
      <c r="AB118" s="148">
        <v>2115.1217712177117</v>
      </c>
      <c r="AC118" s="147">
        <v>127825.35870324778</v>
      </c>
      <c r="AD118" s="147">
        <v>132169.76273972265</v>
      </c>
      <c r="AE118" s="147">
        <v>145632.83037767539</v>
      </c>
      <c r="AF118" s="147">
        <v>150267.72145838407</v>
      </c>
      <c r="AG118" s="147">
        <v>154978.21989284831</v>
      </c>
      <c r="AH118" s="147">
        <v>159765.55903733097</v>
      </c>
      <c r="AI118" s="147">
        <v>164630.99236740335</v>
      </c>
      <c r="AJ118" s="147">
        <v>169575.79380614433</v>
      </c>
      <c r="AK118" s="147">
        <v>174601.25805769354</v>
      </c>
      <c r="AL118" s="147">
        <v>179708.7009462456</v>
      </c>
      <c r="AM118" s="147">
        <v>184899.45976057384</v>
      </c>
      <c r="AN118" s="147">
        <v>190174.89360417481</v>
      </c>
      <c r="AO118" s="147">
        <v>195536.38375112394</v>
      </c>
      <c r="AP118" s="147">
        <v>200985.33400773659</v>
      </c>
      <c r="AQ118" s="147">
        <v>206523.17108012861</v>
      </c>
      <c r="AR118" s="147">
        <v>212151.3449477726</v>
      </c>
      <c r="AS118" s="147">
        <v>217871.32924314807</v>
      </c>
      <c r="AT118" s="147">
        <v>223684.62163758479</v>
      </c>
      <c r="AU118" s="147">
        <v>229592.74423339989</v>
      </c>
      <c r="AV118" s="147">
        <v>235597.24396243232</v>
      </c>
      <c r="AW118" s="147">
        <v>241699.69299107787</v>
      </c>
      <c r="AX118" s="147">
        <v>247901.68913193155</v>
      </c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9"/>
    </row>
    <row r="119" spans="1:74" s="150" customFormat="1" ht="15">
      <c r="A119" s="158" t="s">
        <v>111</v>
      </c>
      <c r="B119" s="159" t="s">
        <v>210</v>
      </c>
      <c r="C119" s="160" t="s">
        <v>210</v>
      </c>
      <c r="D119" s="161">
        <v>4380</v>
      </c>
      <c r="E119" s="162">
        <v>4735</v>
      </c>
      <c r="F119" s="163">
        <v>4743</v>
      </c>
      <c r="G119" s="137">
        <v>15743</v>
      </c>
      <c r="H119" s="138">
        <v>0.30127675792415676</v>
      </c>
      <c r="I119" s="137">
        <v>16150</v>
      </c>
      <c r="J119" s="137">
        <v>4865.6196404751317</v>
      </c>
      <c r="K119" s="137">
        <v>5033.3653136531357</v>
      </c>
      <c r="L119" s="144">
        <v>3.447570619425222E-2</v>
      </c>
      <c r="M119" s="187" t="s">
        <v>27</v>
      </c>
      <c r="N119" s="166" t="s">
        <v>104</v>
      </c>
      <c r="O119" s="141">
        <v>4881.4005830762817</v>
      </c>
      <c r="P119" s="142">
        <v>3.2433572221459706E-3</v>
      </c>
      <c r="Q119" s="143">
        <v>5033.3653136531357</v>
      </c>
      <c r="R119" s="144">
        <v>3.447570619425222E-2</v>
      </c>
      <c r="S119" s="143">
        <v>4753.6876960731315</v>
      </c>
      <c r="T119" s="144">
        <v>-2.3004663881015963E-2</v>
      </c>
      <c r="U119" s="143">
        <v>4760.832252187517</v>
      </c>
      <c r="V119" s="144">
        <v>-2.1536288495699663E-2</v>
      </c>
      <c r="W119" s="143">
        <v>4881.4005830762817</v>
      </c>
      <c r="X119" s="144">
        <v>3.2433572221459706E-3</v>
      </c>
      <c r="Y119" s="145">
        <v>3.2433572221459706E-3</v>
      </c>
      <c r="Z119" s="146">
        <v>1.8758650963857093E-4</v>
      </c>
      <c r="AA119" s="147">
        <v>-34209.103321033217</v>
      </c>
      <c r="AB119" s="148">
        <v>19.407749077490777</v>
      </c>
      <c r="AC119" s="147">
        <v>4760.832252187517</v>
      </c>
      <c r="AD119" s="147">
        <v>4762.4805132276288</v>
      </c>
      <c r="AE119" s="147">
        <v>4767.5883829565309</v>
      </c>
      <c r="AF119" s="147">
        <v>4769.346854389978</v>
      </c>
      <c r="AG119" s="147">
        <v>4771.1340111516074</v>
      </c>
      <c r="AH119" s="147">
        <v>4772.9503211751235</v>
      </c>
      <c r="AI119" s="147">
        <v>4774.7962600274695</v>
      </c>
      <c r="AJ119" s="147">
        <v>4776.6723110333469</v>
      </c>
      <c r="AK119" s="147">
        <v>4778.5789654017617</v>
      </c>
      <c r="AL119" s="147">
        <v>4780.5167223546414</v>
      </c>
      <c r="AM119" s="147">
        <v>4782.4860892575452</v>
      </c>
      <c r="AN119" s="147">
        <v>4784.487581752509</v>
      </c>
      <c r="AO119" s="147">
        <v>4786.5217238930563</v>
      </c>
      <c r="AP119" s="147">
        <v>4788.5890482814139</v>
      </c>
      <c r="AQ119" s="147">
        <v>4790.690096207959</v>
      </c>
      <c r="AR119" s="147">
        <v>4792.8254177929521</v>
      </c>
      <c r="AS119" s="147">
        <v>4794.9955721305696</v>
      </c>
      <c r="AT119" s="147">
        <v>4797.2011274352972</v>
      </c>
      <c r="AU119" s="147">
        <v>4799.4426611907047</v>
      </c>
      <c r="AV119" s="147">
        <v>4801.7207603006482</v>
      </c>
      <c r="AW119" s="147">
        <v>4804.0360212429396</v>
      </c>
      <c r="AX119" s="147">
        <v>4806.3890502255263</v>
      </c>
      <c r="AY119" s="167">
        <v>4790.0056186894653</v>
      </c>
      <c r="AZ119" s="168">
        <f>(($BF119-$AY119)/($BF$4-$AY$4))*(AZ$4-$BF$4)+$BF119</f>
        <v>4881.4005830762817</v>
      </c>
      <c r="BA119" s="168">
        <f t="shared" ref="BA119:BE119" si="20">(($BF119-$AY119)/($BF$4-$AY$4))*(BA$4-$BF$4)+$BF119</f>
        <v>4927.0980652696899</v>
      </c>
      <c r="BB119" s="168">
        <f t="shared" si="20"/>
        <v>5064.1905118499135</v>
      </c>
      <c r="BC119" s="168">
        <f t="shared" si="20"/>
        <v>5109.8879940433217</v>
      </c>
      <c r="BD119" s="168">
        <f t="shared" si="20"/>
        <v>5155.5854762367298</v>
      </c>
      <c r="BE119" s="168">
        <f t="shared" si="20"/>
        <v>5201.282958430138</v>
      </c>
      <c r="BF119" s="167">
        <v>5246.9804406235462</v>
      </c>
      <c r="BG119" s="169">
        <f>(($BU119-$BF119)/($BU$4-$BF$4))*(BG$4-$BU$4)+$BU119</f>
        <v>5313.6301550802891</v>
      </c>
      <c r="BH119" s="169">
        <f t="shared" ref="BH119:BT119" si="21">(($BU119-$BF119)/($BU$4-$BF$4))*(BH$4-$BU$4)+$BU119</f>
        <v>5380.2798695370329</v>
      </c>
      <c r="BI119" s="169">
        <f t="shared" si="21"/>
        <v>5446.9295839937759</v>
      </c>
      <c r="BJ119" s="169">
        <f t="shared" si="21"/>
        <v>5513.5792984505188</v>
      </c>
      <c r="BK119" s="169">
        <f t="shared" si="21"/>
        <v>5580.2290129072626</v>
      </c>
      <c r="BL119" s="169">
        <f t="shared" si="21"/>
        <v>5646.8787273640055</v>
      </c>
      <c r="BM119" s="169">
        <f t="shared" si="21"/>
        <v>5713.5284418207493</v>
      </c>
      <c r="BN119" s="169">
        <f t="shared" si="21"/>
        <v>5780.1781562774922</v>
      </c>
      <c r="BO119" s="169">
        <f t="shared" si="21"/>
        <v>5846.8278707342361</v>
      </c>
      <c r="BP119" s="169">
        <f t="shared" si="21"/>
        <v>5913.477585190979</v>
      </c>
      <c r="BQ119" s="169">
        <f t="shared" si="21"/>
        <v>5980.1272996477219</v>
      </c>
      <c r="BR119" s="169">
        <f t="shared" si="21"/>
        <v>6046.7770141044657</v>
      </c>
      <c r="BS119" s="169">
        <f t="shared" si="21"/>
        <v>6113.4267285612086</v>
      </c>
      <c r="BT119" s="169">
        <f t="shared" si="21"/>
        <v>6180.0764430179524</v>
      </c>
      <c r="BU119" s="167">
        <v>6246.7261574746954</v>
      </c>
      <c r="BV119" s="149"/>
    </row>
    <row r="120" spans="1:74" s="150" customFormat="1" ht="15">
      <c r="A120" s="158" t="s">
        <v>111</v>
      </c>
      <c r="B120" s="174" t="s">
        <v>211</v>
      </c>
      <c r="C120" s="209" t="s">
        <v>212</v>
      </c>
      <c r="D120" s="176">
        <v>5138</v>
      </c>
      <c r="E120" s="177">
        <v>5772</v>
      </c>
      <c r="F120" s="178">
        <v>6546</v>
      </c>
      <c r="G120" s="137">
        <v>9888</v>
      </c>
      <c r="H120" s="138">
        <v>0.66201456310679607</v>
      </c>
      <c r="I120" s="137">
        <v>12269</v>
      </c>
      <c r="J120" s="137">
        <v>8122.256674757281</v>
      </c>
      <c r="K120" s="137">
        <v>7633.6464105742007</v>
      </c>
      <c r="L120" s="144">
        <v>-6.0156959296990165E-2</v>
      </c>
      <c r="M120" s="187" t="s">
        <v>26</v>
      </c>
      <c r="N120" s="140" t="s">
        <v>66</v>
      </c>
      <c r="O120" s="141">
        <v>8271.2703991422641</v>
      </c>
      <c r="P120" s="142">
        <v>1.8346345154062194E-2</v>
      </c>
      <c r="Q120" s="143">
        <v>7395.3653136531066</v>
      </c>
      <c r="R120" s="144">
        <v>-8.9493768814674413E-2</v>
      </c>
      <c r="S120" s="143">
        <v>7633.6464105742007</v>
      </c>
      <c r="T120" s="144">
        <v>-6.0156959296990165E-2</v>
      </c>
      <c r="U120" s="143">
        <v>8271.2703991422641</v>
      </c>
      <c r="V120" s="144">
        <v>1.8346345154062194E-2</v>
      </c>
      <c r="W120" s="143">
        <v>8328.1211792364193</v>
      </c>
      <c r="X120" s="144">
        <v>2.53457275142428E-2</v>
      </c>
      <c r="Y120" s="145">
        <v>1.8346345154062194E-2</v>
      </c>
      <c r="Z120" s="146">
        <v>1.2891678632761527E-2</v>
      </c>
      <c r="AA120" s="147">
        <v>-142046.10332103324</v>
      </c>
      <c r="AB120" s="148">
        <v>73.907749077490777</v>
      </c>
      <c r="AC120" s="147">
        <v>8271.2703991422641</v>
      </c>
      <c r="AD120" s="147">
        <v>8430.7396547730841</v>
      </c>
      <c r="AE120" s="147">
        <v>8924.9260510443328</v>
      </c>
      <c r="AF120" s="147">
        <v>9095.0581622303562</v>
      </c>
      <c r="AG120" s="147">
        <v>9267.9655789179833</v>
      </c>
      <c r="AH120" s="147">
        <v>9443.6935736931719</v>
      </c>
      <c r="AI120" s="147">
        <v>9622.2881576576965</v>
      </c>
      <c r="AJ120" s="147">
        <v>9803.7960924763229</v>
      </c>
      <c r="AK120" s="147">
        <v>9988.2649026204508</v>
      </c>
      <c r="AL120" s="147">
        <v>10175.742887811537</v>
      </c>
      <c r="AM120" s="147">
        <v>10366.279135667466</v>
      </c>
      <c r="AN120" s="147">
        <v>10559.923534555217</v>
      </c>
      <c r="AO120" s="147">
        <v>10756.726786653226</v>
      </c>
      <c r="AP120" s="147">
        <v>10956.740421226792</v>
      </c>
      <c r="AQ120" s="147">
        <v>11160.016808120059</v>
      </c>
      <c r="AR120" s="147">
        <v>11366.609171468082</v>
      </c>
      <c r="AS120" s="147">
        <v>11576.571603632585</v>
      </c>
      <c r="AT120" s="147">
        <v>11789.959079365011</v>
      </c>
      <c r="AU120" s="147">
        <v>12006.82747020068</v>
      </c>
      <c r="AV120" s="147">
        <v>12227.233559087674</v>
      </c>
      <c r="AW120" s="147">
        <v>12451.235055254399</v>
      </c>
      <c r="AX120" s="147">
        <v>12678.890609319691</v>
      </c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9"/>
    </row>
    <row r="121" spans="1:74" s="150" customFormat="1" ht="15">
      <c r="A121" s="158" t="s">
        <v>111</v>
      </c>
      <c r="B121" s="159" t="s">
        <v>213</v>
      </c>
      <c r="C121" s="160" t="s">
        <v>213</v>
      </c>
      <c r="D121" s="161">
        <v>10255</v>
      </c>
      <c r="E121" s="162">
        <v>11428</v>
      </c>
      <c r="F121" s="163">
        <v>13319</v>
      </c>
      <c r="G121" s="137">
        <v>33042</v>
      </c>
      <c r="H121" s="138">
        <v>0.40309303310937594</v>
      </c>
      <c r="I121" s="137">
        <v>39035</v>
      </c>
      <c r="J121" s="137">
        <v>15734.736547424491</v>
      </c>
      <c r="K121" s="137">
        <v>15741.69624405972</v>
      </c>
      <c r="L121" s="144">
        <v>4.4231415087581105E-4</v>
      </c>
      <c r="M121" s="187" t="s">
        <v>26</v>
      </c>
      <c r="N121" s="140" t="s">
        <v>26</v>
      </c>
      <c r="O121" s="141">
        <v>15741.69624405972</v>
      </c>
      <c r="P121" s="142">
        <v>4.4231415087581105E-4</v>
      </c>
      <c r="Q121" s="143">
        <v>15090.3099630996</v>
      </c>
      <c r="R121" s="144">
        <v>-4.0955664073725639E-2</v>
      </c>
      <c r="S121" s="143">
        <v>15741.69624405972</v>
      </c>
      <c r="T121" s="144">
        <v>4.4231415087581105E-4</v>
      </c>
      <c r="U121" s="143">
        <v>17534.098610824316</v>
      </c>
      <c r="V121" s="144">
        <v>0.11435603373317038</v>
      </c>
      <c r="W121" s="143">
        <v>17538.463954165891</v>
      </c>
      <c r="X121" s="144">
        <v>0.11463346725284951</v>
      </c>
      <c r="Y121" s="145">
        <v>4.4231415087581105E-4</v>
      </c>
      <c r="Z121" s="146">
        <v>1.4024214135467505E-2</v>
      </c>
      <c r="AA121" s="147">
        <v>-309343.69372693729</v>
      </c>
      <c r="AB121" s="148">
        <v>160.45202952029518</v>
      </c>
      <c r="AC121" s="147">
        <v>17534.098610824316</v>
      </c>
      <c r="AD121" s="147">
        <v>17923.706314180759</v>
      </c>
      <c r="AE121" s="147">
        <v>19131.079021349906</v>
      </c>
      <c r="AF121" s="147">
        <v>19546.737706431013</v>
      </c>
      <c r="AG121" s="147">
        <v>19969.176885961118</v>
      </c>
      <c r="AH121" s="147">
        <v>20398.507167769749</v>
      </c>
      <c r="AI121" s="147">
        <v>20834.840963993163</v>
      </c>
      <c r="AJ121" s="147">
        <v>21278.292520507399</v>
      </c>
      <c r="AK121" s="147">
        <v>21728.977946841434</v>
      </c>
      <c r="AL121" s="147">
        <v>22187.015246578318</v>
      </c>
      <c r="AM121" s="147">
        <v>22652.524348252162</v>
      </c>
      <c r="AN121" s="147">
        <v>23125.627136749245</v>
      </c>
      <c r="AO121" s="147">
        <v>23606.447485221252</v>
      </c>
      <c r="AP121" s="147">
        <v>24095.111287519205</v>
      </c>
      <c r="AQ121" s="147">
        <v>24591.746491156373</v>
      </c>
      <c r="AR121" s="147">
        <v>25096.483130808971</v>
      </c>
      <c r="AS121" s="147">
        <v>25609.453362363318</v>
      </c>
      <c r="AT121" s="147">
        <v>26130.791497518388</v>
      </c>
      <c r="AU121" s="147">
        <v>26660.634038952827</v>
      </c>
      <c r="AV121" s="147">
        <v>27199.119716065616</v>
      </c>
      <c r="AW121" s="147">
        <v>27746.389521299825</v>
      </c>
      <c r="AX121" s="147">
        <v>28302.586747058835</v>
      </c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9"/>
    </row>
    <row r="122" spans="1:74" s="150" customFormat="1" ht="15">
      <c r="A122" s="158" t="s">
        <v>111</v>
      </c>
      <c r="B122" s="159" t="s">
        <v>214</v>
      </c>
      <c r="C122" s="160" t="s">
        <v>214</v>
      </c>
      <c r="D122" s="161">
        <v>10279</v>
      </c>
      <c r="E122" s="162">
        <v>11483</v>
      </c>
      <c r="F122" s="163">
        <v>12705</v>
      </c>
      <c r="G122" s="137">
        <v>15176</v>
      </c>
      <c r="H122" s="138">
        <v>0.83717712177121772</v>
      </c>
      <c r="I122" s="137">
        <v>17088</v>
      </c>
      <c r="J122" s="137">
        <v>14305.682656826568</v>
      </c>
      <c r="K122" s="137">
        <v>14525.026108155134</v>
      </c>
      <c r="L122" s="144">
        <v>1.5332609885897241E-2</v>
      </c>
      <c r="M122" s="187" t="s">
        <v>26</v>
      </c>
      <c r="N122" s="140" t="s">
        <v>27</v>
      </c>
      <c r="O122" s="141">
        <v>14210.062730627309</v>
      </c>
      <c r="P122" s="142">
        <v>-6.6840519598433401E-3</v>
      </c>
      <c r="Q122" s="143">
        <v>14210.062730627309</v>
      </c>
      <c r="R122" s="144">
        <v>-6.6840519598433401E-3</v>
      </c>
      <c r="S122" s="143">
        <v>14525.026108155134</v>
      </c>
      <c r="T122" s="144">
        <v>1.5332609885897241E-2</v>
      </c>
      <c r="U122" s="143">
        <v>15428.876521643215</v>
      </c>
      <c r="V122" s="144">
        <v>7.8513825013493355E-2</v>
      </c>
      <c r="W122" s="143">
        <v>15518.130397168823</v>
      </c>
      <c r="X122" s="144">
        <v>8.4752875443080189E-2</v>
      </c>
      <c r="Y122" s="145">
        <v>6.6840519598433401E-3</v>
      </c>
      <c r="Z122" s="146">
        <v>1.1218922299352618E-2</v>
      </c>
      <c r="AA122" s="147">
        <v>-243695.66420664199</v>
      </c>
      <c r="AB122" s="148">
        <v>127.54981549815494</v>
      </c>
      <c r="AC122" s="147">
        <v>15428.876521643215</v>
      </c>
      <c r="AD122" s="147">
        <v>15680.648395520308</v>
      </c>
      <c r="AE122" s="147">
        <v>16460.875496610042</v>
      </c>
      <c r="AF122" s="147">
        <v>16729.482008069117</v>
      </c>
      <c r="AG122" s="147">
        <v>17002.470203407982</v>
      </c>
      <c r="AH122" s="147">
        <v>17279.911559500069</v>
      </c>
      <c r="AI122" s="147">
        <v>17561.878719196007</v>
      </c>
      <c r="AJ122" s="147">
        <v>17848.445510343754</v>
      </c>
      <c r="AK122" s="147">
        <v>18139.686965119108</v>
      </c>
      <c r="AL122" s="147">
        <v>18435.679339671449</v>
      </c>
      <c r="AM122" s="147">
        <v>18736.500134089976</v>
      </c>
      <c r="AN122" s="147">
        <v>19042.228112695706</v>
      </c>
      <c r="AO122" s="147">
        <v>19352.943324664397</v>
      </c>
      <c r="AP122" s="147">
        <v>19668.727124985973</v>
      </c>
      <c r="AQ122" s="147">
        <v>19989.662195765777</v>
      </c>
      <c r="AR122" s="147">
        <v>20315.832567873382</v>
      </c>
      <c r="AS122" s="147">
        <v>20647.323642944462</v>
      </c>
      <c r="AT122" s="147">
        <v>20984.222215741665</v>
      </c>
      <c r="AU122" s="147">
        <v>21326.616496880142</v>
      </c>
      <c r="AV122" s="147">
        <v>21674.596135923948</v>
      </c>
      <c r="AW122" s="147">
        <v>22028.252244859013</v>
      </c>
      <c r="AX122" s="147">
        <v>22387.677421949174</v>
      </c>
      <c r="AY122" s="147"/>
      <c r="AZ122" s="147"/>
      <c r="BA122" s="147"/>
      <c r="BB122" s="147"/>
      <c r="BC122" s="147"/>
      <c r="BD122" s="147"/>
      <c r="BE122" s="147"/>
      <c r="BF122" s="147"/>
      <c r="BG122" s="147"/>
      <c r="BH122" s="147"/>
      <c r="BI122" s="147"/>
      <c r="BJ122" s="147"/>
      <c r="BK122" s="147"/>
      <c r="BL122" s="147"/>
      <c r="BM122" s="147"/>
      <c r="BN122" s="147"/>
      <c r="BO122" s="147"/>
      <c r="BP122" s="147"/>
      <c r="BQ122" s="147"/>
      <c r="BR122" s="147"/>
      <c r="BS122" s="147"/>
      <c r="BT122" s="147"/>
      <c r="BU122" s="147"/>
      <c r="BV122" s="149"/>
    </row>
    <row r="123" spans="1:74" s="150" customFormat="1" ht="15">
      <c r="A123" s="158" t="s">
        <v>111</v>
      </c>
      <c r="B123" s="174" t="s">
        <v>215</v>
      </c>
      <c r="C123" s="175" t="s">
        <v>216</v>
      </c>
      <c r="D123" s="176">
        <v>9025</v>
      </c>
      <c r="E123" s="177">
        <v>10361</v>
      </c>
      <c r="F123" s="178">
        <v>11685</v>
      </c>
      <c r="G123" s="137">
        <v>17143</v>
      </c>
      <c r="H123" s="138">
        <v>0.68161931983900137</v>
      </c>
      <c r="I123" s="137">
        <v>19730</v>
      </c>
      <c r="J123" s="137">
        <v>13448.349180423496</v>
      </c>
      <c r="K123" s="137">
        <v>13717.177994631656</v>
      </c>
      <c r="L123" s="144">
        <v>1.998972592111814E-2</v>
      </c>
      <c r="M123" s="187" t="s">
        <v>26</v>
      </c>
      <c r="N123" s="140" t="s">
        <v>27</v>
      </c>
      <c r="O123" s="141">
        <v>13341.147601475997</v>
      </c>
      <c r="P123" s="142">
        <v>-7.9713560013410234E-3</v>
      </c>
      <c r="Q123" s="143">
        <v>13341.147601475997</v>
      </c>
      <c r="R123" s="144">
        <v>-7.9713560013410234E-3</v>
      </c>
      <c r="S123" s="143">
        <v>13717.177994631656</v>
      </c>
      <c r="T123" s="144">
        <v>1.998972592111814E-2</v>
      </c>
      <c r="U123" s="143">
        <v>14636.237737034055</v>
      </c>
      <c r="V123" s="144">
        <v>8.8329693159644007E-2</v>
      </c>
      <c r="W123" s="143">
        <v>14985.323040075622</v>
      </c>
      <c r="X123" s="144">
        <v>0.11428717674058242</v>
      </c>
      <c r="Y123" s="145">
        <v>7.9713560013410234E-3</v>
      </c>
      <c r="Z123" s="146">
        <v>1.3451581591831019E-2</v>
      </c>
      <c r="AA123" s="147">
        <v>-269500.09225092252</v>
      </c>
      <c r="AB123" s="148">
        <v>139.8819188191882</v>
      </c>
      <c r="AC123" s="147">
        <v>14636.237737034055</v>
      </c>
      <c r="AD123" s="147">
        <v>14909.024939172567</v>
      </c>
      <c r="AE123" s="147">
        <v>15754.377379305806</v>
      </c>
      <c r="AF123" s="147">
        <v>16045.404401541331</v>
      </c>
      <c r="AG123" s="147">
        <v>16341.17884559097</v>
      </c>
      <c r="AH123" s="147">
        <v>16641.77815448289</v>
      </c>
      <c r="AI123" s="147">
        <v>16947.281034546242</v>
      </c>
      <c r="AJ123" s="147">
        <v>17257.767476018929</v>
      </c>
      <c r="AK123" s="147">
        <v>17573.318773991574</v>
      </c>
      <c r="AL123" s="147">
        <v>17894.017549693122</v>
      </c>
      <c r="AM123" s="147">
        <v>18219.947772123676</v>
      </c>
      <c r="AN123" s="147">
        <v>18551.19478004019</v>
      </c>
      <c r="AO123" s="147">
        <v>18887.845304300867</v>
      </c>
      <c r="AP123" s="147">
        <v>19229.987490573996</v>
      </c>
      <c r="AQ123" s="147">
        <v>19577.71092241726</v>
      </c>
      <c r="AR123" s="147">
        <v>19931.106644733518</v>
      </c>
      <c r="AS123" s="147">
        <v>20290.267187609224</v>
      </c>
      <c r="AT123" s="147">
        <v>20655.286590541698</v>
      </c>
      <c r="AU123" s="147">
        <v>21026.260427061628</v>
      </c>
      <c r="AV123" s="147">
        <v>21403.285829757206</v>
      </c>
      <c r="AW123" s="147">
        <v>21786.461515706491</v>
      </c>
      <c r="AX123" s="147">
        <v>22175.88781232464</v>
      </c>
      <c r="AY123" s="147"/>
      <c r="AZ123" s="147"/>
      <c r="BA123" s="147"/>
      <c r="BB123" s="147"/>
      <c r="BC123" s="147"/>
      <c r="BD123" s="147"/>
      <c r="BE123" s="147"/>
      <c r="BF123" s="147"/>
      <c r="BG123" s="147"/>
      <c r="BH123" s="147"/>
      <c r="BI123" s="147"/>
      <c r="BJ123" s="147"/>
      <c r="BK123" s="147"/>
      <c r="BL123" s="147"/>
      <c r="BM123" s="147"/>
      <c r="BN123" s="147"/>
      <c r="BO123" s="147"/>
      <c r="BP123" s="147"/>
      <c r="BQ123" s="147"/>
      <c r="BR123" s="147"/>
      <c r="BS123" s="147"/>
      <c r="BT123" s="147"/>
      <c r="BU123" s="147"/>
      <c r="BV123" s="149"/>
    </row>
    <row r="124" spans="1:74" s="150" customFormat="1" ht="15">
      <c r="A124" s="158" t="s">
        <v>111</v>
      </c>
      <c r="B124" s="159" t="s">
        <v>217</v>
      </c>
      <c r="C124" s="160" t="s">
        <v>217</v>
      </c>
      <c r="D124" s="161">
        <v>17202</v>
      </c>
      <c r="E124" s="162">
        <v>18708</v>
      </c>
      <c r="F124" s="163">
        <v>19766</v>
      </c>
      <c r="G124" s="137">
        <v>23432</v>
      </c>
      <c r="H124" s="138">
        <v>0.84354728576305904</v>
      </c>
      <c r="I124" s="137">
        <v>25289</v>
      </c>
      <c r="J124" s="137">
        <v>21332.467309661999</v>
      </c>
      <c r="K124" s="137">
        <v>21270.320346953788</v>
      </c>
      <c r="L124" s="144">
        <v>-2.9132571402119556E-3</v>
      </c>
      <c r="M124" s="187" t="s">
        <v>26</v>
      </c>
      <c r="N124" s="140" t="s">
        <v>26</v>
      </c>
      <c r="O124" s="141">
        <v>21270.320346953788</v>
      </c>
      <c r="P124" s="142">
        <v>-2.9132571402119556E-3</v>
      </c>
      <c r="Q124" s="143">
        <v>21443.704797047918</v>
      </c>
      <c r="R124" s="144">
        <v>5.2144689018478463E-3</v>
      </c>
      <c r="S124" s="143">
        <v>21270.320346953788</v>
      </c>
      <c r="T124" s="144">
        <v>-2.9132571402119556E-3</v>
      </c>
      <c r="U124" s="143">
        <v>22124.315351799116</v>
      </c>
      <c r="V124" s="144">
        <v>3.711938383135216E-2</v>
      </c>
      <c r="W124" s="143">
        <v>22104.751542428141</v>
      </c>
      <c r="X124" s="144">
        <v>3.6202293037915778E-2</v>
      </c>
      <c r="Y124" s="145">
        <v>2.9132571402119556E-3</v>
      </c>
      <c r="Z124" s="146">
        <v>6.1311691531085177E-3</v>
      </c>
      <c r="AA124" s="147">
        <v>-252003.81549815505</v>
      </c>
      <c r="AB124" s="148">
        <v>135.23616236162363</v>
      </c>
      <c r="AC124" s="147">
        <v>22124.315351799116</v>
      </c>
      <c r="AD124" s="147">
        <v>22342.297874353906</v>
      </c>
      <c r="AE124" s="147">
        <v>23017.813646001159</v>
      </c>
      <c r="AF124" s="147">
        <v>23250.37149307457</v>
      </c>
      <c r="AG124" s="147">
        <v>23486.722974800032</v>
      </c>
      <c r="AH124" s="147">
        <v>23726.929975410043</v>
      </c>
      <c r="AI124" s="147">
        <v>23971.055388632871</v>
      </c>
      <c r="AJ124" s="147">
        <v>24219.163134160139</v>
      </c>
      <c r="AK124" s="147">
        <v>24471.318174382992</v>
      </c>
      <c r="AL124" s="147">
        <v>24727.586531401299</v>
      </c>
      <c r="AM124" s="147">
        <v>24988.03530431031</v>
      </c>
      <c r="AN124" s="147">
        <v>25252.732686769275</v>
      </c>
      <c r="AO124" s="147">
        <v>25521.747984856731</v>
      </c>
      <c r="AP124" s="147">
        <v>25795.151635216986</v>
      </c>
      <c r="AQ124" s="147">
        <v>26073.015223502618</v>
      </c>
      <c r="AR124" s="147">
        <v>26355.411503117874</v>
      </c>
      <c r="AS124" s="147">
        <v>26642.414414267791</v>
      </c>
      <c r="AT124" s="147">
        <v>26934.099103318062</v>
      </c>
      <c r="AU124" s="147">
        <v>27230.5419424707</v>
      </c>
      <c r="AV124" s="147">
        <v>27531.820549760669</v>
      </c>
      <c r="AW124" s="147">
        <v>27838.013809378746</v>
      </c>
      <c r="AX124" s="147">
        <v>28149.20189232588</v>
      </c>
      <c r="AY124" s="147"/>
      <c r="AZ124" s="147"/>
      <c r="BA124" s="147"/>
      <c r="BB124" s="147"/>
      <c r="BC124" s="147"/>
      <c r="BD124" s="147"/>
      <c r="BE124" s="147"/>
      <c r="BF124" s="147"/>
      <c r="BG124" s="147"/>
      <c r="BH124" s="147"/>
      <c r="BI124" s="147"/>
      <c r="BJ124" s="147"/>
      <c r="BK124" s="147"/>
      <c r="BL124" s="147"/>
      <c r="BM124" s="147"/>
      <c r="BN124" s="147"/>
      <c r="BO124" s="147"/>
      <c r="BP124" s="147"/>
      <c r="BQ124" s="147"/>
      <c r="BR124" s="147"/>
      <c r="BS124" s="147"/>
      <c r="BT124" s="147"/>
      <c r="BU124" s="147"/>
      <c r="BV124" s="149"/>
    </row>
    <row r="125" spans="1:74" s="150" customFormat="1" ht="15">
      <c r="A125" s="158" t="s">
        <v>111</v>
      </c>
      <c r="B125" s="159" t="s">
        <v>218</v>
      </c>
      <c r="C125" s="160" t="s">
        <v>218</v>
      </c>
      <c r="D125" s="161">
        <v>6030</v>
      </c>
      <c r="E125" s="162">
        <v>8354</v>
      </c>
      <c r="F125" s="163">
        <v>10358</v>
      </c>
      <c r="G125" s="137">
        <v>12513</v>
      </c>
      <c r="H125" s="138">
        <v>0.82777910972588509</v>
      </c>
      <c r="I125" s="137">
        <v>13958</v>
      </c>
      <c r="J125" s="137">
        <v>11554.140813553904</v>
      </c>
      <c r="K125" s="137">
        <v>13796.994389378775</v>
      </c>
      <c r="L125" s="186">
        <v>0.19411686355716129</v>
      </c>
      <c r="M125" s="187" t="s">
        <v>26</v>
      </c>
      <c r="N125" s="140" t="s">
        <v>27</v>
      </c>
      <c r="O125" s="141">
        <v>13108.656826568185</v>
      </c>
      <c r="P125" s="142">
        <v>0.13454189611318501</v>
      </c>
      <c r="Q125" s="143">
        <v>13108.656826568185</v>
      </c>
      <c r="R125" s="144">
        <v>0.13454189611318501</v>
      </c>
      <c r="S125" s="143">
        <v>13796.994389378775</v>
      </c>
      <c r="T125" s="144">
        <v>0.19411686355716129</v>
      </c>
      <c r="U125" s="143">
        <v>14824.979172972993</v>
      </c>
      <c r="V125" s="144">
        <v>0.28308797791196572</v>
      </c>
      <c r="W125" s="143">
        <v>17626.060571640308</v>
      </c>
      <c r="X125" s="144">
        <v>0.52551893352066226</v>
      </c>
      <c r="Y125" s="145">
        <v>0.13454189611318501</v>
      </c>
      <c r="Z125" s="146">
        <v>2.4178642410514151E-2</v>
      </c>
      <c r="AA125" s="147">
        <v>-447653.66051660531</v>
      </c>
      <c r="AB125" s="148">
        <v>227.8745387453875</v>
      </c>
      <c r="AC125" s="147">
        <v>14824.979172972993</v>
      </c>
      <c r="AD125" s="147">
        <v>15237.868563521019</v>
      </c>
      <c r="AE125" s="147">
        <v>16517.389930610902</v>
      </c>
      <c r="AF125" s="147">
        <v>16957.887024689451</v>
      </c>
      <c r="AG125" s="147">
        <v>17405.569793477567</v>
      </c>
      <c r="AH125" s="147">
        <v>17860.555454368368</v>
      </c>
      <c r="AI125" s="147">
        <v>18322.963136881168</v>
      </c>
      <c r="AJ125" s="147">
        <v>18792.913913853423</v>
      </c>
      <c r="AK125" s="147">
        <v>19270.530833141318</v>
      </c>
      <c r="AL125" s="147">
        <v>19755.938949837626</v>
      </c>
      <c r="AM125" s="147">
        <v>20249.265359014986</v>
      </c>
      <c r="AN125" s="147">
        <v>20750.639229003427</v>
      </c>
      <c r="AO125" s="147">
        <v>21260.19183521068</v>
      </c>
      <c r="AP125" s="147">
        <v>21778.056594494177</v>
      </c>
      <c r="AQ125" s="147">
        <v>22304.369100093798</v>
      </c>
      <c r="AR125" s="147">
        <v>22839.267157134418</v>
      </c>
      <c r="AS125" s="147">
        <v>23382.890818707616</v>
      </c>
      <c r="AT125" s="147">
        <v>23935.382422541967</v>
      </c>
      <c r="AU125" s="147">
        <v>24496.886628271532</v>
      </c>
      <c r="AV125" s="147">
        <v>25067.550455312266</v>
      </c>
      <c r="AW125" s="147">
        <v>25647.523321356355</v>
      </c>
      <c r="AX125" s="147">
        <v>26236.957081494395</v>
      </c>
      <c r="AY125" s="147"/>
      <c r="AZ125" s="147"/>
      <c r="BA125" s="147"/>
      <c r="BB125" s="147"/>
      <c r="BC125" s="147"/>
      <c r="BD125" s="147"/>
      <c r="BE125" s="147"/>
      <c r="BF125" s="147"/>
      <c r="BG125" s="147"/>
      <c r="BH125" s="147"/>
      <c r="BI125" s="147"/>
      <c r="BJ125" s="147"/>
      <c r="BK125" s="147"/>
      <c r="BL125" s="147"/>
      <c r="BM125" s="147"/>
      <c r="BN125" s="147"/>
      <c r="BO125" s="147"/>
      <c r="BP125" s="147"/>
      <c r="BQ125" s="147"/>
      <c r="BR125" s="147"/>
      <c r="BS125" s="147"/>
      <c r="BT125" s="147"/>
      <c r="BU125" s="147"/>
      <c r="BV125" s="149"/>
    </row>
    <row r="126" spans="1:74" s="150" customFormat="1" ht="15">
      <c r="A126" s="158" t="s">
        <v>111</v>
      </c>
      <c r="B126" s="174" t="s">
        <v>219</v>
      </c>
      <c r="C126" s="209" t="s">
        <v>220</v>
      </c>
      <c r="D126" s="176">
        <v>12627</v>
      </c>
      <c r="E126" s="177">
        <v>13822</v>
      </c>
      <c r="F126" s="178">
        <v>14383</v>
      </c>
      <c r="G126" s="137">
        <v>20749</v>
      </c>
      <c r="H126" s="138">
        <v>0.6931900332546147</v>
      </c>
      <c r="I126" s="137">
        <v>21615</v>
      </c>
      <c r="J126" s="137">
        <v>14983.302568798497</v>
      </c>
      <c r="K126" s="137">
        <v>15592.974169741676</v>
      </c>
      <c r="L126" s="144">
        <v>4.069006803698727E-2</v>
      </c>
      <c r="M126" s="187" t="s">
        <v>27</v>
      </c>
      <c r="N126" s="140" t="s">
        <v>26</v>
      </c>
      <c r="O126" s="141">
        <v>15166.577996571703</v>
      </c>
      <c r="P126" s="142">
        <v>1.2231978025649903E-2</v>
      </c>
      <c r="Q126" s="143">
        <v>15592.974169741676</v>
      </c>
      <c r="R126" s="144">
        <v>4.069006803698727E-2</v>
      </c>
      <c r="S126" s="143">
        <v>15166.577996571703</v>
      </c>
      <c r="T126" s="144">
        <v>1.2231978025649903E-2</v>
      </c>
      <c r="U126" s="143">
        <v>15633.486684649626</v>
      </c>
      <c r="V126" s="144">
        <v>4.3393912180955674E-2</v>
      </c>
      <c r="W126" s="143">
        <v>15803.739515628726</v>
      </c>
      <c r="X126" s="144">
        <v>5.4756749592624665E-2</v>
      </c>
      <c r="Y126" s="145">
        <v>1.2231978025649903E-2</v>
      </c>
      <c r="Z126" s="146">
        <v>4.4303883853809012E-3</v>
      </c>
      <c r="AA126" s="147">
        <v>-172292.60885608863</v>
      </c>
      <c r="AB126" s="148">
        <v>92.920664206642087</v>
      </c>
      <c r="AC126" s="147">
        <v>15633.486684649626</v>
      </c>
      <c r="AD126" s="147">
        <v>15749.07099008747</v>
      </c>
      <c r="AE126" s="147">
        <v>16107.260354826703</v>
      </c>
      <c r="AF126" s="147">
        <v>16230.573164097195</v>
      </c>
      <c r="AG126" s="147">
        <v>16355.897532006446</v>
      </c>
      <c r="AH126" s="147">
        <v>16483.266272405515</v>
      </c>
      <c r="AI126" s="147">
        <v>16612.712734426314</v>
      </c>
      <c r="AJ126" s="147">
        <v>16744.270811213457</v>
      </c>
      <c r="AK126" s="147">
        <v>16877.974948798543</v>
      </c>
      <c r="AL126" s="147">
        <v>17013.860155119219</v>
      </c>
      <c r="AM126" s="147">
        <v>17151.962009185336</v>
      </c>
      <c r="AN126" s="147">
        <v>17292.316670394674</v>
      </c>
      <c r="AO126" s="147">
        <v>17434.960888000591</v>
      </c>
      <c r="AP126" s="147">
        <v>17579.932010734148</v>
      </c>
      <c r="AQ126" s="147">
        <v>17727.267996583141</v>
      </c>
      <c r="AR126" s="147">
        <v>17877.007422730741</v>
      </c>
      <c r="AS126" s="147">
        <v>18029.189495656174</v>
      </c>
      <c r="AT126" s="147">
        <v>18183.85406140022</v>
      </c>
      <c r="AU126" s="147">
        <v>18341.041615998169</v>
      </c>
      <c r="AV126" s="147">
        <v>18500.793316082923</v>
      </c>
      <c r="AW126" s="147">
        <v>18663.150989661135</v>
      </c>
      <c r="AX126" s="147">
        <v>18828.157147065045</v>
      </c>
      <c r="AY126" s="147"/>
      <c r="AZ126" s="147"/>
      <c r="BA126" s="147"/>
      <c r="BB126" s="147"/>
      <c r="BC126" s="147"/>
      <c r="BD126" s="147"/>
      <c r="BE126" s="147"/>
      <c r="BF126" s="147"/>
      <c r="BG126" s="147"/>
      <c r="BH126" s="147"/>
      <c r="BI126" s="147"/>
      <c r="BJ126" s="147"/>
      <c r="BK126" s="147"/>
      <c r="BL126" s="147"/>
      <c r="BM126" s="147"/>
      <c r="BN126" s="147"/>
      <c r="BO126" s="147"/>
      <c r="BP126" s="147"/>
      <c r="BQ126" s="147"/>
      <c r="BR126" s="147"/>
      <c r="BS126" s="147"/>
      <c r="BT126" s="147"/>
      <c r="BU126" s="147"/>
      <c r="BV126" s="149"/>
    </row>
    <row r="127" spans="1:74" s="150" customFormat="1" ht="15">
      <c r="A127" s="158" t="s">
        <v>111</v>
      </c>
      <c r="B127" s="159" t="s">
        <v>221</v>
      </c>
      <c r="C127" s="160" t="s">
        <v>221</v>
      </c>
      <c r="D127" s="161">
        <v>19094</v>
      </c>
      <c r="E127" s="162">
        <v>23313</v>
      </c>
      <c r="F127" s="163">
        <v>26763</v>
      </c>
      <c r="G127" s="137">
        <v>32103</v>
      </c>
      <c r="H127" s="138">
        <v>0.83366040556957288</v>
      </c>
      <c r="I127" s="137">
        <v>35566</v>
      </c>
      <c r="J127" s="137">
        <v>29649.96598448743</v>
      </c>
      <c r="K127" s="137">
        <v>32169.943733267632</v>
      </c>
      <c r="L127" s="144">
        <v>8.4990915338608808E-2</v>
      </c>
      <c r="M127" s="187" t="s">
        <v>26</v>
      </c>
      <c r="N127" s="140" t="s">
        <v>27</v>
      </c>
      <c r="O127" s="141">
        <v>31674.664206641959</v>
      </c>
      <c r="P127" s="142">
        <v>6.828669628875228E-2</v>
      </c>
      <c r="Q127" s="143">
        <v>31674.664206641959</v>
      </c>
      <c r="R127" s="144">
        <v>6.828669628875228E-2</v>
      </c>
      <c r="S127" s="143">
        <v>32169.943733267632</v>
      </c>
      <c r="T127" s="144">
        <v>8.4990915338608808E-2</v>
      </c>
      <c r="U127" s="143">
        <v>34453.15875586668</v>
      </c>
      <c r="V127" s="144">
        <v>0.1619965693684855</v>
      </c>
      <c r="W127" s="143">
        <v>36905.066129899868</v>
      </c>
      <c r="X127" s="144">
        <v>0.24469168528585272</v>
      </c>
      <c r="Y127" s="145">
        <v>6.828669628875228E-2</v>
      </c>
      <c r="Z127" s="146">
        <v>1.5452529120345337E-2</v>
      </c>
      <c r="AA127" s="147">
        <v>-785149.91512915154</v>
      </c>
      <c r="AB127" s="148">
        <v>403.96863468634695</v>
      </c>
      <c r="AC127" s="147">
        <v>34453.15875586668</v>
      </c>
      <c r="AD127" s="147">
        <v>35163.971329414926</v>
      </c>
      <c r="AE127" s="147">
        <v>37366.740150003789</v>
      </c>
      <c r="AF127" s="147">
        <v>38125.08095567795</v>
      </c>
      <c r="AG127" s="147">
        <v>38895.792309130549</v>
      </c>
      <c r="AH127" s="147">
        <v>39679.076006771887</v>
      </c>
      <c r="AI127" s="147">
        <v>40475.137136846322</v>
      </c>
      <c r="AJ127" s="147">
        <v>41284.184133130897</v>
      </c>
      <c r="AK127" s="147">
        <v>42106.428829509765</v>
      </c>
      <c r="AL127" s="147">
        <v>42942.086515439027</v>
      </c>
      <c r="AM127" s="147">
        <v>43791.375992316222</v>
      </c>
      <c r="AN127" s="147">
        <v>44654.519630769377</v>
      </c>
      <c r="AO127" s="147">
        <v>45531.743428880654</v>
      </c>
      <c r="AP127" s="147">
        <v>46423.277071359735</v>
      </c>
      <c r="AQ127" s="147">
        <v>47329.353989682437</v>
      </c>
      <c r="AR127" s="147">
        <v>48250.21142321045</v>
      </c>
      <c r="AS127" s="147">
        <v>49186.090481308027</v>
      </c>
      <c r="AT127" s="147">
        <v>50137.236206471949</v>
      </c>
      <c r="AU127" s="147">
        <v>51103.897638491413</v>
      </c>
      <c r="AV127" s="147">
        <v>52086.327879654345</v>
      </c>
      <c r="AW127" s="147">
        <v>53084.784161017669</v>
      </c>
      <c r="AX127" s="147">
        <v>54099.527909758312</v>
      </c>
      <c r="AY127" s="147"/>
      <c r="AZ127" s="147"/>
      <c r="BA127" s="147"/>
      <c r="BB127" s="147"/>
      <c r="BC127" s="147"/>
      <c r="BD127" s="147"/>
      <c r="BE127" s="147"/>
      <c r="BF127" s="147"/>
      <c r="BG127" s="147"/>
      <c r="BH127" s="147"/>
      <c r="BI127" s="147"/>
      <c r="BJ127" s="147"/>
      <c r="BK127" s="147"/>
      <c r="BL127" s="147"/>
      <c r="BM127" s="147"/>
      <c r="BN127" s="147"/>
      <c r="BO127" s="147"/>
      <c r="BP127" s="147"/>
      <c r="BQ127" s="147"/>
      <c r="BR127" s="147"/>
      <c r="BS127" s="147"/>
      <c r="BT127" s="147"/>
      <c r="BU127" s="147"/>
      <c r="BV127" s="149"/>
    </row>
    <row r="128" spans="1:74" s="150" customFormat="1" ht="15">
      <c r="A128" s="158" t="s">
        <v>111</v>
      </c>
      <c r="B128" s="159" t="s">
        <v>222</v>
      </c>
      <c r="C128" s="160" t="s">
        <v>222</v>
      </c>
      <c r="D128" s="161">
        <v>7006</v>
      </c>
      <c r="E128" s="162">
        <v>7522</v>
      </c>
      <c r="F128" s="163">
        <v>7617</v>
      </c>
      <c r="G128" s="137">
        <v>8644</v>
      </c>
      <c r="H128" s="138">
        <v>0.88118926422952337</v>
      </c>
      <c r="I128" s="137">
        <v>9858</v>
      </c>
      <c r="J128" s="137">
        <v>8686.7637667746421</v>
      </c>
      <c r="K128" s="137">
        <v>8075.3542435424242</v>
      </c>
      <c r="L128" s="144">
        <v>-7.0384039401503284E-2</v>
      </c>
      <c r="M128" s="187" t="s">
        <v>27</v>
      </c>
      <c r="N128" s="140" t="s">
        <v>27</v>
      </c>
      <c r="O128" s="141">
        <v>8075.3542435424242</v>
      </c>
      <c r="P128" s="142">
        <v>-7.0384039401503284E-2</v>
      </c>
      <c r="Q128" s="143">
        <v>8075.3542435424242</v>
      </c>
      <c r="R128" s="144">
        <v>-7.0384039401503284E-2</v>
      </c>
      <c r="S128" s="143">
        <v>7745.5356573927411</v>
      </c>
      <c r="T128" s="144">
        <v>-0.10835198638438115</v>
      </c>
      <c r="U128" s="143">
        <v>7828.7579947267659</v>
      </c>
      <c r="V128" s="144">
        <v>-9.8771624863288943E-2</v>
      </c>
      <c r="W128" s="143">
        <v>7925.1488171251849</v>
      </c>
      <c r="X128" s="144">
        <v>-8.7675338031235728E-2</v>
      </c>
      <c r="Y128" s="145">
        <v>7.0384039401503284E-2</v>
      </c>
      <c r="Z128" s="146">
        <v>1.3954762546075639E-3</v>
      </c>
      <c r="AA128" s="147">
        <v>-57673.221402214032</v>
      </c>
      <c r="AB128" s="148">
        <v>32.516605166051662</v>
      </c>
      <c r="AC128" s="147">
        <v>7828.7579947267659</v>
      </c>
      <c r="AD128" s="147">
        <v>7848.3310945780941</v>
      </c>
      <c r="AE128" s="147">
        <v>7908.9870476087999</v>
      </c>
      <c r="AF128" s="147">
        <v>7929.8688958809871</v>
      </c>
      <c r="AG128" s="147">
        <v>7951.0913824253366</v>
      </c>
      <c r="AH128" s="147">
        <v>7972.6600639545941</v>
      </c>
      <c r="AI128" s="147">
        <v>7994.5805878262036</v>
      </c>
      <c r="AJ128" s="147">
        <v>8016.8586935209969</v>
      </c>
      <c r="AK128" s="147">
        <v>8039.500214145919</v>
      </c>
      <c r="AL128" s="147">
        <v>8062.5110779613642</v>
      </c>
      <c r="AM128" s="147">
        <v>8085.8973099333452</v>
      </c>
      <c r="AN128" s="147">
        <v>8109.665033311041</v>
      </c>
      <c r="AO128" s="147">
        <v>8133.8204712300503</v>
      </c>
      <c r="AP128" s="147">
        <v>8158.3699483417877</v>
      </c>
      <c r="AQ128" s="147">
        <v>8183.3198924695171</v>
      </c>
      <c r="AR128" s="147">
        <v>8208.6768362913026</v>
      </c>
      <c r="AS128" s="147">
        <v>8234.4474190505134</v>
      </c>
      <c r="AT128" s="147">
        <v>8260.6383882941591</v>
      </c>
      <c r="AU128" s="147">
        <v>8287.2566016396231</v>
      </c>
      <c r="AV128" s="147">
        <v>8314.3090285701946</v>
      </c>
      <c r="AW128" s="147">
        <v>8341.8027522599077</v>
      </c>
      <c r="AX128" s="147">
        <v>8369.7449714281283</v>
      </c>
      <c r="AY128" s="147"/>
      <c r="AZ128" s="147"/>
      <c r="BA128" s="147"/>
      <c r="BB128" s="147"/>
      <c r="BC128" s="147"/>
      <c r="BD128" s="147"/>
      <c r="BE128" s="147"/>
      <c r="BF128" s="147"/>
      <c r="BG128" s="147"/>
      <c r="BH128" s="147"/>
      <c r="BI128" s="147"/>
      <c r="BJ128" s="147"/>
      <c r="BK128" s="147"/>
      <c r="BL128" s="147"/>
      <c r="BM128" s="147"/>
      <c r="BN128" s="147"/>
      <c r="BO128" s="147"/>
      <c r="BP128" s="147"/>
      <c r="BQ128" s="147"/>
      <c r="BR128" s="147"/>
      <c r="BS128" s="147"/>
      <c r="BT128" s="147"/>
      <c r="BU128" s="147"/>
      <c r="BV128" s="149"/>
    </row>
    <row r="129" spans="1:74" s="150" customFormat="1" ht="15">
      <c r="A129" s="158" t="s">
        <v>111</v>
      </c>
      <c r="B129" s="159" t="s">
        <v>223</v>
      </c>
      <c r="C129" s="160" t="s">
        <v>223</v>
      </c>
      <c r="D129" s="161">
        <v>20949</v>
      </c>
      <c r="E129" s="162">
        <v>23816</v>
      </c>
      <c r="F129" s="163">
        <v>27466</v>
      </c>
      <c r="G129" s="137">
        <v>32653</v>
      </c>
      <c r="H129" s="138">
        <v>0.84114782715217595</v>
      </c>
      <c r="I129" s="137">
        <v>39989</v>
      </c>
      <c r="J129" s="137">
        <v>33636.660459988365</v>
      </c>
      <c r="K129" s="137">
        <v>32621.885235531528</v>
      </c>
      <c r="L129" s="144">
        <v>-3.01687269360148E-2</v>
      </c>
      <c r="M129" s="187" t="s">
        <v>26</v>
      </c>
      <c r="N129" s="140" t="s">
        <v>26</v>
      </c>
      <c r="O129" s="141">
        <v>32621.885235531528</v>
      </c>
      <c r="P129" s="142">
        <v>-3.01687269360148E-2</v>
      </c>
      <c r="Q129" s="143">
        <v>31372.173431734205</v>
      </c>
      <c r="R129" s="144">
        <v>-6.7321993244478628E-2</v>
      </c>
      <c r="S129" s="143">
        <v>32621.885235531528</v>
      </c>
      <c r="T129" s="144">
        <v>-3.01687269360148E-2</v>
      </c>
      <c r="U129" s="143">
        <v>35601.965060554605</v>
      </c>
      <c r="V129" s="144">
        <v>5.8427459019126493E-2</v>
      </c>
      <c r="W129" s="143">
        <v>36143.564578491714</v>
      </c>
      <c r="X129" s="144">
        <v>7.4528924221991977E-2</v>
      </c>
      <c r="Y129" s="145">
        <v>3.01687269360148E-2</v>
      </c>
      <c r="Z129" s="146">
        <v>1.4439465734204404E-2</v>
      </c>
      <c r="AA129" s="147">
        <v>-660073.48339483398</v>
      </c>
      <c r="AB129" s="148">
        <v>341.9612546125461</v>
      </c>
      <c r="AC129" s="147">
        <v>35601.965060554605</v>
      </c>
      <c r="AD129" s="147">
        <v>36353.98416010564</v>
      </c>
      <c r="AE129" s="147">
        <v>38684.44972391706</v>
      </c>
      <c r="AF129" s="147">
        <v>39486.752315427388</v>
      </c>
      <c r="AG129" s="147">
        <v>40302.142587920724</v>
      </c>
      <c r="AH129" s="147">
        <v>41130.834036149965</v>
      </c>
      <c r="AI129" s="147">
        <v>41973.043637533068</v>
      </c>
      <c r="AJ129" s="147">
        <v>42828.99190896457</v>
      </c>
      <c r="AK129" s="147">
        <v>43698.902964553803</v>
      </c>
      <c r="AL129" s="147">
        <v>44583.004574305058</v>
      </c>
      <c r="AM129" s="147">
        <v>45481.528223754838</v>
      </c>
      <c r="AN129" s="147">
        <v>46394.709174582094</v>
      </c>
      <c r="AO129" s="147">
        <v>47322.78652620707</v>
      </c>
      <c r="AP129" s="147">
        <v>48266.003278395081</v>
      </c>
      <c r="AQ129" s="147">
        <v>49224.606394881412</v>
      </c>
      <c r="AR129" s="147">
        <v>50198.846868034234</v>
      </c>
      <c r="AS129" s="147">
        <v>51188.97978457225</v>
      </c>
      <c r="AT129" s="147">
        <v>52195.26439235438</v>
      </c>
      <c r="AU129" s="147">
        <v>53217.964168259023</v>
      </c>
      <c r="AV129" s="147">
        <v>54257.346887170548</v>
      </c>
      <c r="AW129" s="147">
        <v>55313.684692091156</v>
      </c>
      <c r="AX129" s="147">
        <v>56387.254165396473</v>
      </c>
      <c r="AY129" s="147"/>
      <c r="AZ129" s="147"/>
      <c r="BA129" s="147"/>
      <c r="BB129" s="147"/>
      <c r="BC129" s="147"/>
      <c r="BD129" s="147"/>
      <c r="BE129" s="147"/>
      <c r="BF129" s="147"/>
      <c r="BG129" s="147"/>
      <c r="BH129" s="147"/>
      <c r="BI129" s="147"/>
      <c r="BJ129" s="147"/>
      <c r="BK129" s="147"/>
      <c r="BL129" s="147"/>
      <c r="BM129" s="147"/>
      <c r="BN129" s="147"/>
      <c r="BO129" s="147"/>
      <c r="BP129" s="147"/>
      <c r="BQ129" s="147"/>
      <c r="BR129" s="147"/>
      <c r="BS129" s="147"/>
      <c r="BT129" s="147"/>
      <c r="BU129" s="147"/>
      <c r="BV129" s="149"/>
    </row>
    <row r="130" spans="1:74" s="150" customFormat="1" ht="15">
      <c r="A130" s="158" t="s">
        <v>111</v>
      </c>
      <c r="B130" s="159" t="s">
        <v>224</v>
      </c>
      <c r="C130" s="160" t="s">
        <v>224</v>
      </c>
      <c r="D130" s="161">
        <v>11345</v>
      </c>
      <c r="E130" s="162">
        <v>13941</v>
      </c>
      <c r="F130" s="163">
        <v>16243</v>
      </c>
      <c r="G130" s="137">
        <v>23027</v>
      </c>
      <c r="H130" s="138">
        <v>0.70538932557432577</v>
      </c>
      <c r="I130" s="137">
        <v>26365</v>
      </c>
      <c r="J130" s="137">
        <v>18597.5895687671</v>
      </c>
      <c r="K130" s="137">
        <v>19914.190950813867</v>
      </c>
      <c r="L130" s="144">
        <v>7.0794194977712221E-2</v>
      </c>
      <c r="M130" s="187" t="s">
        <v>26</v>
      </c>
      <c r="N130" s="140" t="s">
        <v>27</v>
      </c>
      <c r="O130" s="141">
        <v>19343.221402213967</v>
      </c>
      <c r="P130" s="142">
        <v>4.0092928747018197E-2</v>
      </c>
      <c r="Q130" s="143">
        <v>19343.221402213967</v>
      </c>
      <c r="R130" s="144">
        <v>4.0092928747018197E-2</v>
      </c>
      <c r="S130" s="143">
        <v>19914.190950813867</v>
      </c>
      <c r="T130" s="144">
        <v>7.0794194977712221E-2</v>
      </c>
      <c r="U130" s="143">
        <v>21374.230566958002</v>
      </c>
      <c r="V130" s="144">
        <v>0.14930112248815353</v>
      </c>
      <c r="W130" s="143">
        <v>23008.199099477533</v>
      </c>
      <c r="X130" s="144">
        <v>0.23716027899215697</v>
      </c>
      <c r="Y130" s="145">
        <v>4.0092928747018197E-2</v>
      </c>
      <c r="Z130" s="146">
        <v>1.7125873332622277E-2</v>
      </c>
      <c r="AA130" s="147">
        <v>-501974.63837638375</v>
      </c>
      <c r="AB130" s="148">
        <v>257.82287822878226</v>
      </c>
      <c r="AC130" s="147">
        <v>21374.230566958002</v>
      </c>
      <c r="AD130" s="147">
        <v>21848.517681250192</v>
      </c>
      <c r="AE130" s="147">
        <v>23318.307195741669</v>
      </c>
      <c r="AF130" s="147">
        <v>23824.307350716124</v>
      </c>
      <c r="AG130" s="147">
        <v>24338.561708874935</v>
      </c>
      <c r="AH130" s="147">
        <v>24861.204918141706</v>
      </c>
      <c r="AI130" s="147">
        <v>25392.373822904425</v>
      </c>
      <c r="AJ130" s="147">
        <v>25932.207499845601</v>
      </c>
      <c r="AK130" s="147">
        <v>26480.84729435695</v>
      </c>
      <c r="AL130" s="147">
        <v>27038.436857548011</v>
      </c>
      <c r="AM130" s="147">
        <v>27605.122183858533</v>
      </c>
      <c r="AN130" s="147">
        <v>28181.051649284382</v>
      </c>
      <c r="AO130" s="147">
        <v>28766.376050227038</v>
      </c>
      <c r="AP130" s="147">
        <v>29361.248642976847</v>
      </c>
      <c r="AQ130" s="147">
        <v>29965.825183840279</v>
      </c>
      <c r="AR130" s="147">
        <v>30580.263969921871</v>
      </c>
      <c r="AS130" s="147">
        <v>31204.725880571314</v>
      </c>
      <c r="AT130" s="147">
        <v>31839.374419506792</v>
      </c>
      <c r="AU130" s="147">
        <v>32484.375757625276</v>
      </c>
      <c r="AV130" s="147">
        <v>33139.8987765114</v>
      </c>
      <c r="AW130" s="147">
        <v>33806.115112655847</v>
      </c>
      <c r="AX130" s="147">
        <v>34483.199202395255</v>
      </c>
      <c r="AY130" s="147"/>
      <c r="AZ130" s="147"/>
      <c r="BA130" s="147"/>
      <c r="BB130" s="147"/>
      <c r="BC130" s="147"/>
      <c r="BD130" s="147"/>
      <c r="BE130" s="147"/>
      <c r="BF130" s="147"/>
      <c r="BG130" s="147"/>
      <c r="BH130" s="147"/>
      <c r="BI130" s="147"/>
      <c r="BJ130" s="147"/>
      <c r="BK130" s="147"/>
      <c r="BL130" s="147"/>
      <c r="BM130" s="147"/>
      <c r="BN130" s="147"/>
      <c r="BO130" s="147"/>
      <c r="BP130" s="147"/>
      <c r="BQ130" s="147"/>
      <c r="BR130" s="147"/>
      <c r="BS130" s="147"/>
      <c r="BT130" s="147"/>
      <c r="BU130" s="147"/>
      <c r="BV130" s="149"/>
    </row>
    <row r="131" spans="1:74" s="150" customFormat="1" ht="15">
      <c r="A131" s="158" t="s">
        <v>111</v>
      </c>
      <c r="B131" s="159" t="s">
        <v>225</v>
      </c>
      <c r="C131" s="160" t="s">
        <v>225</v>
      </c>
      <c r="D131" s="161">
        <v>15396</v>
      </c>
      <c r="E131" s="162">
        <v>17764</v>
      </c>
      <c r="F131" s="163">
        <v>19768</v>
      </c>
      <c r="G131" s="137">
        <v>23138</v>
      </c>
      <c r="H131" s="138">
        <v>0.85435214798167514</v>
      </c>
      <c r="I131" s="137">
        <v>26466</v>
      </c>
      <c r="J131" s="137">
        <v>22611.283948483015</v>
      </c>
      <c r="K131" s="137">
        <v>22796.002166885133</v>
      </c>
      <c r="L131" s="144">
        <v>8.1692936510362468E-3</v>
      </c>
      <c r="M131" s="187" t="s">
        <v>26</v>
      </c>
      <c r="N131" s="140" t="s">
        <v>27</v>
      </c>
      <c r="O131" s="141">
        <v>22554.214022140193</v>
      </c>
      <c r="P131" s="142">
        <v>-2.5239577935002311E-3</v>
      </c>
      <c r="Q131" s="143">
        <v>22554.214022140193</v>
      </c>
      <c r="R131" s="144">
        <v>-2.5239577935002311E-3</v>
      </c>
      <c r="S131" s="143">
        <v>22796.002166885133</v>
      </c>
      <c r="T131" s="144">
        <v>8.1692936510362468E-3</v>
      </c>
      <c r="U131" s="143">
        <v>24234.979172972991</v>
      </c>
      <c r="V131" s="144">
        <v>7.1809067905624691E-2</v>
      </c>
      <c r="W131" s="143">
        <v>24947.583175160125</v>
      </c>
      <c r="X131" s="144">
        <v>0.10332448312090881</v>
      </c>
      <c r="Y131" s="145">
        <v>2.5239577935002311E-3</v>
      </c>
      <c r="Z131" s="146">
        <v>1.1947534047911157E-2</v>
      </c>
      <c r="AA131" s="147">
        <v>-442968.38376383763</v>
      </c>
      <c r="AB131" s="148">
        <v>230.22878228782287</v>
      </c>
      <c r="AC131" s="147">
        <v>24234.979172972991</v>
      </c>
      <c r="AD131" s="147">
        <v>24647.868563521013</v>
      </c>
      <c r="AE131" s="147">
        <v>25927.389930610898</v>
      </c>
      <c r="AF131" s="147">
        <v>26367.887024689444</v>
      </c>
      <c r="AG131" s="147">
        <v>26815.569793477571</v>
      </c>
      <c r="AH131" s="147">
        <v>27270.555454368361</v>
      </c>
      <c r="AI131" s="147">
        <v>27732.963136881168</v>
      </c>
      <c r="AJ131" s="147">
        <v>28202.913913853423</v>
      </c>
      <c r="AK131" s="147">
        <v>28680.530833141318</v>
      </c>
      <c r="AL131" s="147">
        <v>29165.938949837626</v>
      </c>
      <c r="AM131" s="147">
        <v>29659.265359014986</v>
      </c>
      <c r="AN131" s="147">
        <v>30160.639229003427</v>
      </c>
      <c r="AO131" s="147">
        <v>30670.191835210673</v>
      </c>
      <c r="AP131" s="147">
        <v>31188.05659449417</v>
      </c>
      <c r="AQ131" s="147">
        <v>31714.369100093798</v>
      </c>
      <c r="AR131" s="147">
        <v>32249.267157134411</v>
      </c>
      <c r="AS131" s="147">
        <v>32792.890818707616</v>
      </c>
      <c r="AT131" s="147">
        <v>33345.382422541967</v>
      </c>
      <c r="AU131" s="147">
        <v>33906.886628271532</v>
      </c>
      <c r="AV131" s="147">
        <v>34477.550455312259</v>
      </c>
      <c r="AW131" s="147">
        <v>35057.523321356348</v>
      </c>
      <c r="AX131" s="147">
        <v>35646.957081494387</v>
      </c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9"/>
    </row>
    <row r="132" spans="1:74" s="150" customFormat="1" ht="15">
      <c r="A132" s="158" t="s">
        <v>111</v>
      </c>
      <c r="B132" s="159" t="s">
        <v>226</v>
      </c>
      <c r="C132" s="160" t="s">
        <v>226</v>
      </c>
      <c r="D132" s="161">
        <v>6141</v>
      </c>
      <c r="E132" s="162">
        <v>6757</v>
      </c>
      <c r="F132" s="163">
        <v>7354</v>
      </c>
      <c r="G132" s="137">
        <v>8399</v>
      </c>
      <c r="H132" s="138">
        <v>0.87558042624121923</v>
      </c>
      <c r="I132" s="137">
        <v>9535</v>
      </c>
      <c r="J132" s="137">
        <v>8348.6593642100252</v>
      </c>
      <c r="K132" s="137">
        <v>8232.84427955928</v>
      </c>
      <c r="L132" s="144">
        <v>-1.387229728730266E-2</v>
      </c>
      <c r="M132" s="187" t="s">
        <v>26</v>
      </c>
      <c r="N132" s="140" t="s">
        <v>26</v>
      </c>
      <c r="O132" s="141">
        <v>8232.84427955928</v>
      </c>
      <c r="P132" s="142">
        <v>-1.387229728730266E-2</v>
      </c>
      <c r="Q132" s="143">
        <v>8111.7490774907783</v>
      </c>
      <c r="R132" s="144">
        <v>-2.8377045509229926E-2</v>
      </c>
      <c r="S132" s="143">
        <v>8232.84427955928</v>
      </c>
      <c r="T132" s="144">
        <v>-1.387229728730266E-2</v>
      </c>
      <c r="U132" s="143">
        <v>8684.7318194934487</v>
      </c>
      <c r="V132" s="144">
        <v>4.0254661332109976E-2</v>
      </c>
      <c r="W132" s="143">
        <v>8667.441216841893</v>
      </c>
      <c r="X132" s="144">
        <v>3.8183597955673942E-2</v>
      </c>
      <c r="Y132" s="145">
        <v>1.387229728730266E-2</v>
      </c>
      <c r="Z132" s="146">
        <v>9.4516516457401334E-3</v>
      </c>
      <c r="AA132" s="147">
        <v>-120893.34317343173</v>
      </c>
      <c r="AB132" s="148">
        <v>63.800738007380069</v>
      </c>
      <c r="AC132" s="147">
        <v>8684.7318194934487</v>
      </c>
      <c r="AD132" s="147">
        <v>8807.7332996117984</v>
      </c>
      <c r="AE132" s="147">
        <v>9188.9080781310877</v>
      </c>
      <c r="AF132" s="147">
        <v>9320.1340088520956</v>
      </c>
      <c r="AG132" s="147">
        <v>9453.5005821886771</v>
      </c>
      <c r="AH132" s="147">
        <v>9589.04271769357</v>
      </c>
      <c r="AI132" s="147">
        <v>9726.7959045499301</v>
      </c>
      <c r="AJ132" s="147">
        <v>9866.7962108635184</v>
      </c>
      <c r="AK132" s="147">
        <v>10009.080293106468</v>
      </c>
      <c r="AL132" s="147">
        <v>10153.685405715099</v>
      </c>
      <c r="AM132" s="147">
        <v>10300.649410844282</v>
      </c>
      <c r="AN132" s="147">
        <v>10450.010788280961</v>
      </c>
      <c r="AO132" s="147">
        <v>10601.808645519348</v>
      </c>
      <c r="AP132" s="147">
        <v>10756.082728000507</v>
      </c>
      <c r="AQ132" s="147">
        <v>10912.873429518957</v>
      </c>
      <c r="AR132" s="147">
        <v>11072.221802799024</v>
      </c>
      <c r="AS132" s="147">
        <v>11234.169570243736</v>
      </c>
      <c r="AT132" s="147">
        <v>11398.759134859058</v>
      </c>
      <c r="AU132" s="147">
        <v>11566.033591356336</v>
      </c>
      <c r="AV132" s="147">
        <v>11736.036737435836</v>
      </c>
      <c r="AW132" s="147">
        <v>11908.813085254362</v>
      </c>
      <c r="AX132" s="147">
        <v>12084.407873079919</v>
      </c>
      <c r="AY132" s="147"/>
      <c r="AZ132" s="147"/>
      <c r="BA132" s="147"/>
      <c r="BB132" s="147"/>
      <c r="BC132" s="147"/>
      <c r="BD132" s="147"/>
      <c r="BE132" s="147"/>
      <c r="BF132" s="147"/>
      <c r="BG132" s="147"/>
      <c r="BH132" s="147"/>
      <c r="BI132" s="147"/>
      <c r="BJ132" s="147"/>
      <c r="BK132" s="147"/>
      <c r="BL132" s="147"/>
      <c r="BM132" s="147"/>
      <c r="BN132" s="147"/>
      <c r="BO132" s="147"/>
      <c r="BP132" s="147"/>
      <c r="BQ132" s="147"/>
      <c r="BR132" s="147"/>
      <c r="BS132" s="147"/>
      <c r="BT132" s="147"/>
      <c r="BU132" s="147"/>
      <c r="BV132" s="149"/>
    </row>
    <row r="133" spans="1:74" s="150" customFormat="1" ht="15">
      <c r="A133" s="158" t="s">
        <v>111</v>
      </c>
      <c r="B133" s="174" t="s">
        <v>227</v>
      </c>
      <c r="C133" s="175" t="s">
        <v>228</v>
      </c>
      <c r="D133" s="176">
        <v>119302</v>
      </c>
      <c r="E133" s="177">
        <v>125408</v>
      </c>
      <c r="F133" s="178">
        <v>133602</v>
      </c>
      <c r="G133" s="137">
        <v>145857</v>
      </c>
      <c r="H133" s="138">
        <v>0.91597934963697325</v>
      </c>
      <c r="I133" s="137">
        <v>163835</v>
      </c>
      <c r="J133" s="137">
        <v>150069.4767477735</v>
      </c>
      <c r="K133" s="137">
        <v>143597.64882153159</v>
      </c>
      <c r="L133" s="144">
        <v>-4.3125544691005491E-2</v>
      </c>
      <c r="M133" s="187" t="s">
        <v>26</v>
      </c>
      <c r="N133" s="140" t="s">
        <v>66</v>
      </c>
      <c r="O133" s="141">
        <v>151866.68430306425</v>
      </c>
      <c r="P133" s="142">
        <v>1.1975836754008151E-2</v>
      </c>
      <c r="Q133" s="143">
        <v>142104.23616236169</v>
      </c>
      <c r="R133" s="144">
        <v>-5.3077019777974188E-2</v>
      </c>
      <c r="S133" s="143">
        <v>143597.64882153159</v>
      </c>
      <c r="T133" s="144">
        <v>-4.3125544691005491E-2</v>
      </c>
      <c r="U133" s="143">
        <v>151866.68430306425</v>
      </c>
      <c r="V133" s="144">
        <v>1.1975836754008151E-2</v>
      </c>
      <c r="W133" s="143">
        <v>147464.76902495918</v>
      </c>
      <c r="X133" s="144">
        <v>-1.735667891474113E-2</v>
      </c>
      <c r="Y133" s="145">
        <v>1.1975836754008151E-2</v>
      </c>
      <c r="Z133" s="146">
        <v>6.030615744454515E-3</v>
      </c>
      <c r="AA133" s="147">
        <v>-1374418.1476014759</v>
      </c>
      <c r="AB133" s="148">
        <v>750.0110701107011</v>
      </c>
      <c r="AC133" s="147">
        <v>151866.68430306425</v>
      </c>
      <c r="AD133" s="147">
        <v>153554.91567339885</v>
      </c>
      <c r="AE133" s="147">
        <v>158786.65124322643</v>
      </c>
      <c r="AF133" s="147">
        <v>160587.7656089348</v>
      </c>
      <c r="AG133" s="147">
        <v>162418.26092203354</v>
      </c>
      <c r="AH133" s="147">
        <v>164278.61646361998</v>
      </c>
      <c r="AI133" s="147">
        <v>166169.31933313591</v>
      </c>
      <c r="AJ133" s="147">
        <v>168090.86457590567</v>
      </c>
      <c r="AK133" s="147">
        <v>170043.75531275451</v>
      </c>
      <c r="AL133" s="147">
        <v>172028.50287174128</v>
      </c>
      <c r="AM133" s="147">
        <v>174045.62692204033</v>
      </c>
      <c r="AN133" s="147">
        <v>176095.65561000703</v>
      </c>
      <c r="AO133" s="147">
        <v>178179.12569746323</v>
      </c>
      <c r="AP133" s="147">
        <v>180296.58270223817</v>
      </c>
      <c r="AQ133" s="147">
        <v>182448.58104100227</v>
      </c>
      <c r="AR133" s="147">
        <v>184635.68417443085</v>
      </c>
      <c r="AS133" s="147">
        <v>186858.46475473564</v>
      </c>
      <c r="AT133" s="147">
        <v>189117.50477560324</v>
      </c>
      <c r="AU133" s="147">
        <v>191413.39572457931</v>
      </c>
      <c r="AV133" s="147">
        <v>193746.73873793849</v>
      </c>
      <c r="AW133" s="147">
        <v>196118.14475808083</v>
      </c>
      <c r="AX133" s="147">
        <v>198528.23469349559</v>
      </c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147"/>
      <c r="BI133" s="147"/>
      <c r="BJ133" s="147"/>
      <c r="BK133" s="147"/>
      <c r="BL133" s="147"/>
      <c r="BM133" s="147"/>
      <c r="BN133" s="147"/>
      <c r="BO133" s="147"/>
      <c r="BP133" s="147"/>
      <c r="BQ133" s="147"/>
      <c r="BR133" s="147"/>
      <c r="BS133" s="147"/>
      <c r="BT133" s="147"/>
      <c r="BU133" s="147"/>
      <c r="BV133" s="149"/>
    </row>
    <row r="134" spans="1:74" s="150" customFormat="1" ht="15">
      <c r="A134" s="158" t="s">
        <v>111</v>
      </c>
      <c r="B134" s="159" t="s">
        <v>229</v>
      </c>
      <c r="C134" s="160" t="s">
        <v>229</v>
      </c>
      <c r="D134" s="161">
        <v>36841</v>
      </c>
      <c r="E134" s="162">
        <v>42151</v>
      </c>
      <c r="F134" s="163">
        <v>47452</v>
      </c>
      <c r="G134" s="137">
        <v>59036</v>
      </c>
      <c r="H134" s="138">
        <v>0.80378074395284238</v>
      </c>
      <c r="I134" s="137">
        <v>69288</v>
      </c>
      <c r="J134" s="137">
        <v>55692.360187004546</v>
      </c>
      <c r="K134" s="137">
        <v>55571.234017442854</v>
      </c>
      <c r="L134" s="144">
        <v>-2.1749153592157677E-3</v>
      </c>
      <c r="M134" s="187" t="s">
        <v>26</v>
      </c>
      <c r="N134" s="140" t="s">
        <v>26</v>
      </c>
      <c r="O134" s="141">
        <v>55571.234017442854</v>
      </c>
      <c r="P134" s="142">
        <v>-2.1749153592157677E-3</v>
      </c>
      <c r="Q134" s="143">
        <v>54051.291512915166</v>
      </c>
      <c r="R134" s="144">
        <v>-2.9466674936723392E-2</v>
      </c>
      <c r="S134" s="143">
        <v>55571.234017442854</v>
      </c>
      <c r="T134" s="144">
        <v>-2.1749153592157677E-3</v>
      </c>
      <c r="U134" s="143">
        <v>59268.096105753415</v>
      </c>
      <c r="V134" s="144">
        <v>6.420514244219877E-2</v>
      </c>
      <c r="W134" s="143">
        <v>60538.006671065756</v>
      </c>
      <c r="X134" s="144">
        <v>8.7007382481016027E-2</v>
      </c>
      <c r="Y134" s="145">
        <v>2.1749153592157677E-3</v>
      </c>
      <c r="Z134" s="146">
        <v>1.3249255385757497E-2</v>
      </c>
      <c r="AA134" s="147">
        <v>-1074157.5571955719</v>
      </c>
      <c r="AB134" s="148">
        <v>557.96678966789671</v>
      </c>
      <c r="AC134" s="147">
        <v>59268.096105753415</v>
      </c>
      <c r="AD134" s="147">
        <v>60360.27507745754</v>
      </c>
      <c r="AE134" s="147">
        <v>63744.877256571053</v>
      </c>
      <c r="AF134" s="147">
        <v>64910.084390159071</v>
      </c>
      <c r="AG134" s="147">
        <v>66094.299139333627</v>
      </c>
      <c r="AH134" s="147">
        <v>67297.831568666021</v>
      </c>
      <c r="AI134" s="147">
        <v>68520.996800702138</v>
      </c>
      <c r="AJ134" s="147">
        <v>69764.11509847155</v>
      </c>
      <c r="AK134" s="147">
        <v>71027.511949342384</v>
      </c>
      <c r="AL134" s="147">
        <v>72311.518150244141</v>
      </c>
      <c r="AM134" s="147">
        <v>73616.469894280657</v>
      </c>
      <c r="AN134" s="147">
        <v>74942.708858756087</v>
      </c>
      <c r="AO134" s="147">
        <v>76290.582294636639</v>
      </c>
      <c r="AP134" s="147">
        <v>77660.443117471863</v>
      </c>
      <c r="AQ134" s="147">
        <v>79052.649999799018</v>
      </c>
      <c r="AR134" s="147">
        <v>80467.567465054672</v>
      </c>
      <c r="AS134" s="147">
        <v>81905.565983018503</v>
      </c>
      <c r="AT134" s="147">
        <v>83367.022066813865</v>
      </c>
      <c r="AU134" s="147">
        <v>84852.318371490706</v>
      </c>
      <c r="AV134" s="147">
        <v>86361.843794216722</v>
      </c>
      <c r="AW134" s="147">
        <v>87895.993576102803</v>
      </c>
      <c r="AX134" s="147">
        <v>89455.169405689521</v>
      </c>
      <c r="AY134" s="147"/>
      <c r="AZ134" s="147"/>
      <c r="BA134" s="147"/>
      <c r="BB134" s="147"/>
      <c r="BC134" s="147"/>
      <c r="BD134" s="147"/>
      <c r="BE134" s="147"/>
      <c r="BF134" s="147"/>
      <c r="BG134" s="147"/>
      <c r="BH134" s="147"/>
      <c r="BI134" s="147"/>
      <c r="BJ134" s="147"/>
      <c r="BK134" s="147"/>
      <c r="BL134" s="147"/>
      <c r="BM134" s="147"/>
      <c r="BN134" s="147"/>
      <c r="BO134" s="147"/>
      <c r="BP134" s="147"/>
      <c r="BQ134" s="147"/>
      <c r="BR134" s="147"/>
      <c r="BS134" s="147"/>
      <c r="BT134" s="147"/>
      <c r="BU134" s="147"/>
      <c r="BV134" s="149"/>
    </row>
    <row r="135" spans="1:74" s="150" customFormat="1" ht="15">
      <c r="A135" s="132" t="s">
        <v>82</v>
      </c>
      <c r="B135" s="155" t="s">
        <v>230</v>
      </c>
      <c r="C135" s="155" t="s">
        <v>230</v>
      </c>
      <c r="D135" s="134">
        <v>31052</v>
      </c>
      <c r="E135" s="153">
        <v>40996</v>
      </c>
      <c r="F135" s="163">
        <v>58165</v>
      </c>
      <c r="G135" s="137">
        <v>59478</v>
      </c>
      <c r="H135" s="138">
        <v>0.97792461078045667</v>
      </c>
      <c r="I135" s="137">
        <v>98606</v>
      </c>
      <c r="J135" s="137">
        <v>96429.23417061771</v>
      </c>
      <c r="K135" s="137">
        <v>86778.69435090496</v>
      </c>
      <c r="L135" s="186">
        <v>-0.10007898437353036</v>
      </c>
      <c r="M135" s="187" t="s">
        <v>26</v>
      </c>
      <c r="N135" s="140" t="s">
        <v>66</v>
      </c>
      <c r="O135" s="141">
        <v>96435.24222593478</v>
      </c>
      <c r="P135" s="142">
        <v>6.2305330626566402E-5</v>
      </c>
      <c r="Q135" s="143">
        <v>73676.726937269326</v>
      </c>
      <c r="R135" s="144">
        <v>-0.23595030520610671</v>
      </c>
      <c r="S135" s="143">
        <v>86778.69435090496</v>
      </c>
      <c r="T135" s="144">
        <v>-0.10007898437353036</v>
      </c>
      <c r="U135" s="143">
        <v>96435.24222593478</v>
      </c>
      <c r="V135" s="144">
        <v>6.2305330626566402E-5</v>
      </c>
      <c r="W135" s="143">
        <v>116799.78476583106</v>
      </c>
      <c r="X135" s="144">
        <v>0.21124870243364779</v>
      </c>
      <c r="Y135" s="145">
        <v>6.2305330626566402E-5</v>
      </c>
      <c r="Z135" s="146">
        <v>3.3901776599730815E-2</v>
      </c>
      <c r="AA135" s="147">
        <v>-2795578.5793357929</v>
      </c>
      <c r="AB135" s="148">
        <v>1419.0184501845017</v>
      </c>
      <c r="AC135" s="147">
        <v>96435.24222593478</v>
      </c>
      <c r="AD135" s="147">
        <v>99972.616450644855</v>
      </c>
      <c r="AE135" s="147">
        <v>110934.7433725841</v>
      </c>
      <c r="AF135" s="147">
        <v>114708.64287769118</v>
      </c>
      <c r="AG135" s="147">
        <v>118544.10468274271</v>
      </c>
      <c r="AH135" s="147">
        <v>122442.1330319613</v>
      </c>
      <c r="AI135" s="147">
        <v>126403.74855145346</v>
      </c>
      <c r="AJ135" s="147">
        <v>130429.98851644184</v>
      </c>
      <c r="AK135" s="147">
        <v>134521.90712285595</v>
      </c>
      <c r="AL135" s="147">
        <v>138680.5757633544</v>
      </c>
      <c r="AM135" s="147">
        <v>142907.08330784843</v>
      </c>
      <c r="AN135" s="147">
        <v>147202.53638860275</v>
      </c>
      <c r="AO135" s="147">
        <v>151568.05968998605</v>
      </c>
      <c r="AP135" s="147">
        <v>156004.79624294938</v>
      </c>
      <c r="AQ135" s="147">
        <v>160513.9077243066</v>
      </c>
      <c r="AR135" s="147">
        <v>165096.57476089857</v>
      </c>
      <c r="AS135" s="147">
        <v>169753.99723871809</v>
      </c>
      <c r="AT135" s="147">
        <v>174487.39461707734</v>
      </c>
      <c r="AU135" s="147">
        <v>179298.00624790115</v>
      </c>
      <c r="AV135" s="147">
        <v>184187.09170022767</v>
      </c>
      <c r="AW135" s="147">
        <v>189155.93109000358</v>
      </c>
      <c r="AX135" s="147">
        <v>194205.82541525812</v>
      </c>
      <c r="AY135" s="147"/>
      <c r="AZ135" s="147"/>
      <c r="BA135" s="147"/>
      <c r="BB135" s="147"/>
      <c r="BC135" s="147"/>
      <c r="BD135" s="147"/>
      <c r="BE135" s="147"/>
      <c r="BF135" s="147"/>
      <c r="BG135" s="147"/>
      <c r="BH135" s="147"/>
      <c r="BI135" s="147"/>
      <c r="BJ135" s="147"/>
      <c r="BK135" s="147"/>
      <c r="BL135" s="147"/>
      <c r="BM135" s="147"/>
      <c r="BN135" s="147"/>
      <c r="BO135" s="147"/>
      <c r="BP135" s="147"/>
      <c r="BQ135" s="147"/>
      <c r="BR135" s="147"/>
      <c r="BS135" s="147"/>
      <c r="BT135" s="147"/>
      <c r="BU135" s="147"/>
      <c r="BV135" s="149"/>
    </row>
    <row r="136" spans="1:74" s="150" customFormat="1" ht="15">
      <c r="A136" s="158" t="s">
        <v>111</v>
      </c>
      <c r="B136" s="159" t="s">
        <v>231</v>
      </c>
      <c r="C136" s="160" t="s">
        <v>231</v>
      </c>
      <c r="D136" s="161">
        <v>5909</v>
      </c>
      <c r="E136" s="162">
        <v>7149</v>
      </c>
      <c r="F136" s="163">
        <v>8403</v>
      </c>
      <c r="G136" s="137">
        <v>10081</v>
      </c>
      <c r="H136" s="138">
        <v>0.83354825910127961</v>
      </c>
      <c r="I136" s="137">
        <v>11823</v>
      </c>
      <c r="J136" s="137">
        <v>9855.0410673544284</v>
      </c>
      <c r="K136" s="137">
        <v>10423.649161917374</v>
      </c>
      <c r="L136" s="144">
        <v>5.7697181643058038E-2</v>
      </c>
      <c r="M136" s="187" t="s">
        <v>26</v>
      </c>
      <c r="N136" s="140" t="s">
        <v>27</v>
      </c>
      <c r="O136" s="141">
        <v>9951.088560885546</v>
      </c>
      <c r="P136" s="142">
        <v>9.7460267161424419E-3</v>
      </c>
      <c r="Q136" s="143">
        <v>9951.088560885546</v>
      </c>
      <c r="R136" s="144">
        <v>9.7460267161424419E-3</v>
      </c>
      <c r="S136" s="143">
        <v>10423.649161917374</v>
      </c>
      <c r="T136" s="144">
        <v>5.7697181643058038E-2</v>
      </c>
      <c r="U136" s="143">
        <v>11198.205530393279</v>
      </c>
      <c r="V136" s="144">
        <v>0.13629212236245114</v>
      </c>
      <c r="W136" s="143">
        <v>11919.058690652837</v>
      </c>
      <c r="X136" s="144">
        <v>0.20943774959351757</v>
      </c>
      <c r="Y136" s="145">
        <v>9.7460267161424419E-3</v>
      </c>
      <c r="Z136" s="146">
        <v>1.8119569425533388E-2</v>
      </c>
      <c r="AA136" s="147">
        <v>-255192.05535055351</v>
      </c>
      <c r="AB136" s="148">
        <v>131.1291512915129</v>
      </c>
      <c r="AC136" s="147">
        <v>11198.205530393279</v>
      </c>
      <c r="AD136" s="147">
        <v>11456.570448430815</v>
      </c>
      <c r="AE136" s="147">
        <v>12257.229028436162</v>
      </c>
      <c r="AF136" s="147">
        <v>12532.869425629025</v>
      </c>
      <c r="AG136" s="147">
        <v>12813.006248014406</v>
      </c>
      <c r="AH136" s="147">
        <v>13097.712844200561</v>
      </c>
      <c r="AI136" s="147">
        <v>13387.06375930588</v>
      </c>
      <c r="AJ136" s="147">
        <v>13681.134754477142</v>
      </c>
      <c r="AK136" s="147">
        <v>13980.002826726155</v>
      </c>
      <c r="AL136" s="147">
        <v>14283.746229090009</v>
      </c>
      <c r="AM136" s="147">
        <v>14592.444491120155</v>
      </c>
      <c r="AN136" s="147">
        <v>14906.178439705736</v>
      </c>
      <c r="AO136" s="147">
        <v>15225.03022023662</v>
      </c>
      <c r="AP136" s="147">
        <v>15549.083318111623</v>
      </c>
      <c r="AQ136" s="147">
        <v>15878.422580597615</v>
      </c>
      <c r="AR136" s="147">
        <v>16213.134239045185</v>
      </c>
      <c r="AS136" s="147">
        <v>16553.305931466741</v>
      </c>
      <c r="AT136" s="147">
        <v>16899.026725482843</v>
      </c>
      <c r="AU136" s="147">
        <v>17250.387141642961</v>
      </c>
      <c r="AV136" s="147">
        <v>17607.47917712653</v>
      </c>
      <c r="AW136" s="147">
        <v>17970.396329830772</v>
      </c>
      <c r="AX136" s="147">
        <v>18339.23362285128</v>
      </c>
      <c r="AY136" s="147"/>
      <c r="AZ136" s="147"/>
      <c r="BA136" s="147"/>
      <c r="BB136" s="147"/>
      <c r="BC136" s="147"/>
      <c r="BD136" s="147"/>
      <c r="BE136" s="147"/>
      <c r="BF136" s="147"/>
      <c r="BG136" s="147"/>
      <c r="BH136" s="147"/>
      <c r="BI136" s="147"/>
      <c r="BJ136" s="147"/>
      <c r="BK136" s="147"/>
      <c r="BL136" s="147"/>
      <c r="BM136" s="147"/>
      <c r="BN136" s="147"/>
      <c r="BO136" s="147"/>
      <c r="BP136" s="147"/>
      <c r="BQ136" s="147"/>
      <c r="BR136" s="147"/>
      <c r="BS136" s="147"/>
      <c r="BT136" s="147"/>
      <c r="BU136" s="147"/>
      <c r="BV136" s="149"/>
    </row>
    <row r="137" spans="1:74" s="150" customFormat="1" ht="15">
      <c r="A137" s="158" t="s">
        <v>111</v>
      </c>
      <c r="B137" s="159" t="s">
        <v>232</v>
      </c>
      <c r="C137" s="160" t="s">
        <v>232</v>
      </c>
      <c r="D137" s="161">
        <v>91101</v>
      </c>
      <c r="E137" s="162">
        <v>101010</v>
      </c>
      <c r="F137" s="163">
        <v>116916</v>
      </c>
      <c r="G137" s="137">
        <v>123871</v>
      </c>
      <c r="H137" s="138">
        <v>0.9438528792049794</v>
      </c>
      <c r="I137" s="137">
        <v>149167</v>
      </c>
      <c r="J137" s="137">
        <v>140791.70243236917</v>
      </c>
      <c r="K137" s="137">
        <v>137132.77357790654</v>
      </c>
      <c r="L137" s="144">
        <v>-2.5988242142467421E-2</v>
      </c>
      <c r="M137" s="187" t="s">
        <v>26</v>
      </c>
      <c r="N137" s="140" t="s">
        <v>26</v>
      </c>
      <c r="O137" s="141">
        <v>137132.77357790654</v>
      </c>
      <c r="P137" s="142">
        <v>-2.5988242142467421E-2</v>
      </c>
      <c r="Q137" s="143">
        <v>131849.50184501801</v>
      </c>
      <c r="R137" s="144">
        <v>-6.3513690315994631E-2</v>
      </c>
      <c r="S137" s="143">
        <v>137132.77357790654</v>
      </c>
      <c r="T137" s="144">
        <v>-2.5988242142467421E-2</v>
      </c>
      <c r="U137" s="143">
        <v>152370.97541183056</v>
      </c>
      <c r="V137" s="144">
        <v>8.2244001453307236E-2</v>
      </c>
      <c r="W137" s="143">
        <v>151814.67730877097</v>
      </c>
      <c r="X137" s="144">
        <v>7.8292787756414794E-2</v>
      </c>
      <c r="Y137" s="145">
        <v>2.5988242142467421E-2</v>
      </c>
      <c r="Z137" s="146">
        <v>1.3379876589176498E-2</v>
      </c>
      <c r="AA137" s="147">
        <v>-2601689.3136531371</v>
      </c>
      <c r="AB137" s="148">
        <v>1351.89852398524</v>
      </c>
      <c r="AC137" s="147">
        <v>152370.97541183056</v>
      </c>
      <c r="AD137" s="147">
        <v>155648.13042483298</v>
      </c>
      <c r="AE137" s="147">
        <v>165803.85241332185</v>
      </c>
      <c r="AF137" s="147">
        <v>169300.13324087343</v>
      </c>
      <c r="AG137" s="147">
        <v>172853.44767218272</v>
      </c>
      <c r="AH137" s="147">
        <v>176464.72607643873</v>
      </c>
      <c r="AI137" s="147">
        <v>180134.91399961666</v>
      </c>
      <c r="AJ137" s="147">
        <v>183864.97241205219</v>
      </c>
      <c r="AK137" s="147">
        <v>187655.87796005278</v>
      </c>
      <c r="AL137" s="147">
        <v>191508.62322161539</v>
      </c>
      <c r="AM137" s="147">
        <v>195424.21696631357</v>
      </c>
      <c r="AN137" s="147">
        <v>199403.68441942541</v>
      </c>
      <c r="AO137" s="147">
        <v>203448.06753036976</v>
      </c>
      <c r="AP137" s="147">
        <v>207558.42524552112</v>
      </c>
      <c r="AQ137" s="147">
        <v>211735.833785475</v>
      </c>
      <c r="AR137" s="147">
        <v>215981.38692683633</v>
      </c>
      <c r="AS137" s="147">
        <v>220296.19628860441</v>
      </c>
      <c r="AT137" s="147">
        <v>224681.39162322981</v>
      </c>
      <c r="AU137" s="147">
        <v>229138.12111241859</v>
      </c>
      <c r="AV137" s="147">
        <v>233667.55166776289</v>
      </c>
      <c r="AW137" s="147">
        <v>238270.86923627448</v>
      </c>
      <c r="AX137" s="147">
        <v>242949.27911090307</v>
      </c>
      <c r="AY137" s="147"/>
      <c r="AZ137" s="147"/>
      <c r="BA137" s="147"/>
      <c r="BB137" s="147"/>
      <c r="BC137" s="147"/>
      <c r="BD137" s="147"/>
      <c r="BE137" s="147"/>
      <c r="BF137" s="147"/>
      <c r="BG137" s="147"/>
      <c r="BH137" s="147"/>
      <c r="BI137" s="147"/>
      <c r="BJ137" s="147"/>
      <c r="BK137" s="147"/>
      <c r="BL137" s="147"/>
      <c r="BM137" s="147"/>
      <c r="BN137" s="147"/>
      <c r="BO137" s="147"/>
      <c r="BP137" s="147"/>
      <c r="BQ137" s="147"/>
      <c r="BR137" s="147"/>
      <c r="BS137" s="147"/>
      <c r="BT137" s="147"/>
      <c r="BU137" s="147"/>
      <c r="BV137" s="149"/>
    </row>
    <row r="138" spans="1:74" s="150" customFormat="1" ht="15">
      <c r="A138" s="158" t="s">
        <v>111</v>
      </c>
      <c r="B138" s="159" t="s">
        <v>233</v>
      </c>
      <c r="C138" s="160" t="s">
        <v>233</v>
      </c>
      <c r="D138" s="161">
        <v>5715</v>
      </c>
      <c r="E138" s="162">
        <v>6605</v>
      </c>
      <c r="F138" s="163">
        <v>7444</v>
      </c>
      <c r="G138" s="137">
        <v>9178</v>
      </c>
      <c r="H138" s="138">
        <v>0.81106994988014813</v>
      </c>
      <c r="I138" s="137">
        <v>10813</v>
      </c>
      <c r="J138" s="137">
        <v>8770.0993680540414</v>
      </c>
      <c r="K138" s="137">
        <v>8730.7406555412108</v>
      </c>
      <c r="L138" s="144">
        <v>-4.4878297110518828E-3</v>
      </c>
      <c r="M138" s="187" t="s">
        <v>26</v>
      </c>
      <c r="N138" s="140" t="s">
        <v>26</v>
      </c>
      <c r="O138" s="141">
        <v>8730.7406555412108</v>
      </c>
      <c r="P138" s="142">
        <v>-4.4878297110518828E-3</v>
      </c>
      <c r="Q138" s="143">
        <v>8528.5461254612601</v>
      </c>
      <c r="R138" s="144">
        <v>-2.754281707145334E-2</v>
      </c>
      <c r="S138" s="143">
        <v>8730.7406555412108</v>
      </c>
      <c r="T138" s="144">
        <v>-4.4878297110518828E-3</v>
      </c>
      <c r="U138" s="143">
        <v>9314.157448165839</v>
      </c>
      <c r="V138" s="144">
        <v>6.2035566221015026E-2</v>
      </c>
      <c r="W138" s="143">
        <v>9584.7987549704321</v>
      </c>
      <c r="X138" s="144">
        <v>9.2895114721734506E-2</v>
      </c>
      <c r="Y138" s="145">
        <v>4.4878297110518828E-3</v>
      </c>
      <c r="Z138" s="146">
        <v>1.3375484379190672E-2</v>
      </c>
      <c r="AA138" s="147">
        <v>-175398.84132841328</v>
      </c>
      <c r="AB138" s="148">
        <v>90.963099630996311</v>
      </c>
      <c r="AC138" s="147">
        <v>9314.157448165839</v>
      </c>
      <c r="AD138" s="147">
        <v>9487.0188247475708</v>
      </c>
      <c r="AE138" s="147">
        <v>10022.706662566141</v>
      </c>
      <c r="AF138" s="147">
        <v>10207.126354148926</v>
      </c>
      <c r="AG138" s="147">
        <v>10394.554419524789</v>
      </c>
      <c r="AH138" s="147">
        <v>10585.039933241047</v>
      </c>
      <c r="AI138" s="147">
        <v>10778.632770380889</v>
      </c>
      <c r="AJ138" s="147">
        <v>10975.383619622267</v>
      </c>
      <c r="AK138" s="147">
        <v>11175.343996509764</v>
      </c>
      <c r="AL138" s="147">
        <v>11378.566256942997</v>
      </c>
      <c r="AM138" s="147">
        <v>11585.103610885017</v>
      </c>
      <c r="AN138" s="147">
        <v>11795.01013629435</v>
      </c>
      <c r="AO138" s="147">
        <v>12008.340793284311</v>
      </c>
      <c r="AP138" s="147">
        <v>12225.15143851328</v>
      </c>
      <c r="AQ138" s="147">
        <v>12445.498839809727</v>
      </c>
      <c r="AR138" s="147">
        <v>12669.440691035816</v>
      </c>
      <c r="AS138" s="147">
        <v>12897.035627193456</v>
      </c>
      <c r="AT138" s="147">
        <v>13128.343239776801</v>
      </c>
      <c r="AU138" s="147">
        <v>13363.424092375155</v>
      </c>
      <c r="AV138" s="147">
        <v>13602.339736530434</v>
      </c>
      <c r="AW138" s="147">
        <v>13845.152727853283</v>
      </c>
      <c r="AX138" s="147">
        <v>14091.926642402093</v>
      </c>
      <c r="AY138" s="147"/>
      <c r="AZ138" s="147"/>
      <c r="BA138" s="147"/>
      <c r="BB138" s="147"/>
      <c r="BC138" s="147"/>
      <c r="BD138" s="147"/>
      <c r="BE138" s="147"/>
      <c r="BF138" s="147"/>
      <c r="BG138" s="147"/>
      <c r="BH138" s="147"/>
      <c r="BI138" s="147"/>
      <c r="BJ138" s="147"/>
      <c r="BK138" s="147"/>
      <c r="BL138" s="147"/>
      <c r="BM138" s="147"/>
      <c r="BN138" s="147"/>
      <c r="BO138" s="147"/>
      <c r="BP138" s="147"/>
      <c r="BQ138" s="147"/>
      <c r="BR138" s="147"/>
      <c r="BS138" s="147"/>
      <c r="BT138" s="147"/>
      <c r="BU138" s="147"/>
      <c r="BV138" s="149"/>
    </row>
    <row r="139" spans="1:74" s="150" customFormat="1" ht="15">
      <c r="A139" s="158" t="s">
        <v>111</v>
      </c>
      <c r="B139" s="174" t="s">
        <v>234</v>
      </c>
      <c r="C139" s="175" t="s">
        <v>235</v>
      </c>
      <c r="D139" s="223">
        <v>787</v>
      </c>
      <c r="E139" s="177">
        <v>1209</v>
      </c>
      <c r="F139" s="178">
        <v>1302</v>
      </c>
      <c r="G139" s="137">
        <v>1764</v>
      </c>
      <c r="H139" s="138">
        <v>0.73809523809523814</v>
      </c>
      <c r="I139" s="137">
        <v>2644</v>
      </c>
      <c r="J139" s="137">
        <v>1951.5238095238096</v>
      </c>
      <c r="K139" s="137">
        <v>1683.5202952029504</v>
      </c>
      <c r="L139" s="186">
        <v>-0.13733038408906462</v>
      </c>
      <c r="M139" s="187" t="s">
        <v>27</v>
      </c>
      <c r="N139" s="166" t="s">
        <v>104</v>
      </c>
      <c r="O139" s="141">
        <v>1940.9659544355286</v>
      </c>
      <c r="P139" s="142">
        <v>-5.4100570214704602E-3</v>
      </c>
      <c r="Q139" s="143">
        <v>1683.5202952029504</v>
      </c>
      <c r="R139" s="144">
        <v>-0.13733038408906462</v>
      </c>
      <c r="S139" s="143">
        <v>1437.2221288356936</v>
      </c>
      <c r="T139" s="144">
        <v>-0.26353851189425692</v>
      </c>
      <c r="U139" s="143">
        <v>1509.299931679885</v>
      </c>
      <c r="V139" s="144">
        <v>-0.22660439789962461</v>
      </c>
      <c r="W139" s="143">
        <v>1940.9659544355286</v>
      </c>
      <c r="X139" s="144">
        <v>-5.4100570214704602E-3</v>
      </c>
      <c r="Y139" s="145">
        <v>5.4100570214704602E-3</v>
      </c>
      <c r="Z139" s="146">
        <v>8.2682135523024503E-3</v>
      </c>
      <c r="AA139" s="147">
        <v>-53686.45018450186</v>
      </c>
      <c r="AB139" s="148">
        <v>27.383763837638384</v>
      </c>
      <c r="AC139" s="147">
        <v>1509.299931679885</v>
      </c>
      <c r="AD139" s="147">
        <v>1528.4609662711846</v>
      </c>
      <c r="AE139" s="147">
        <v>1587.8399518696679</v>
      </c>
      <c r="AF139" s="147">
        <v>1608.2821822834931</v>
      </c>
      <c r="AG139" s="147">
        <v>1629.057879637433</v>
      </c>
      <c r="AH139" s="147">
        <v>1650.1724836608073</v>
      </c>
      <c r="AI139" s="147">
        <v>1671.6315228193362</v>
      </c>
      <c r="AJ139" s="147">
        <v>1693.440615762659</v>
      </c>
      <c r="AK139" s="147">
        <v>1715.6054727954815</v>
      </c>
      <c r="AL139" s="147">
        <v>1738.1318973727048</v>
      </c>
      <c r="AM139" s="147">
        <v>1761.0257876189589</v>
      </c>
      <c r="AN139" s="147">
        <v>1784.2931378729145</v>
      </c>
      <c r="AO139" s="147">
        <v>1807.9400402567835</v>
      </c>
      <c r="AP139" s="147">
        <v>1831.972686271436</v>
      </c>
      <c r="AQ139" s="147">
        <v>1856.3973684175262</v>
      </c>
      <c r="AR139" s="147">
        <v>1881.2204818430646</v>
      </c>
      <c r="AS139" s="147">
        <v>1906.448526017869</v>
      </c>
      <c r="AT139" s="147">
        <v>1932.0881064353307</v>
      </c>
      <c r="AU139" s="147">
        <v>1958.1459363419426</v>
      </c>
      <c r="AV139" s="147">
        <v>1984.6288384950303</v>
      </c>
      <c r="AW139" s="147">
        <v>2011.5437469491717</v>
      </c>
      <c r="AX139" s="147">
        <v>2038.8977088717465</v>
      </c>
      <c r="AY139" s="167">
        <v>1825.0885505300116</v>
      </c>
      <c r="AZ139" s="168">
        <f>(($BF139-$AY139)/($BF$4-$AY$4))*(AZ$4-$BF$4)+$BF139</f>
        <v>1940.9659544355286</v>
      </c>
      <c r="BA139" s="168">
        <f t="shared" ref="BA139:BE140" si="22">(($BF139-$AY139)/($BF$4-$AY$4))*(BA$4-$BF$4)+$BF139</f>
        <v>1998.9046563882873</v>
      </c>
      <c r="BB139" s="168">
        <f t="shared" si="22"/>
        <v>2172.720762246563</v>
      </c>
      <c r="BC139" s="168">
        <f t="shared" si="22"/>
        <v>2230.6594641993215</v>
      </c>
      <c r="BD139" s="168">
        <f t="shared" si="22"/>
        <v>2288.59816615208</v>
      </c>
      <c r="BE139" s="168">
        <f t="shared" si="22"/>
        <v>2346.5368681048385</v>
      </c>
      <c r="BF139" s="167">
        <v>2404.475570057597</v>
      </c>
      <c r="BG139" s="169">
        <f>(($BU139-$BF139)/($BU$4-$BF$4))*(BG$4-$BU$4)+$BU139</f>
        <v>2475.8478721650372</v>
      </c>
      <c r="BH139" s="169">
        <f t="shared" ref="BH139:BT140" si="23">(($BU139-$BF139)/($BU$4-$BF$4))*(BH$4-$BU$4)+$BU139</f>
        <v>2547.2201742724778</v>
      </c>
      <c r="BI139" s="169">
        <f t="shared" si="23"/>
        <v>2618.5924763799185</v>
      </c>
      <c r="BJ139" s="169">
        <f t="shared" si="23"/>
        <v>2689.9647784873587</v>
      </c>
      <c r="BK139" s="169">
        <f t="shared" si="23"/>
        <v>2761.3370805947989</v>
      </c>
      <c r="BL139" s="169">
        <f t="shared" si="23"/>
        <v>2832.7093827022395</v>
      </c>
      <c r="BM139" s="169">
        <f t="shared" si="23"/>
        <v>2904.0816848096797</v>
      </c>
      <c r="BN139" s="169">
        <f t="shared" si="23"/>
        <v>2975.4539869171203</v>
      </c>
      <c r="BO139" s="169">
        <f t="shared" si="23"/>
        <v>3046.8262890245605</v>
      </c>
      <c r="BP139" s="169">
        <f t="shared" si="23"/>
        <v>3118.1985911320012</v>
      </c>
      <c r="BQ139" s="169">
        <f t="shared" si="23"/>
        <v>3189.5708932394414</v>
      </c>
      <c r="BR139" s="169">
        <f t="shared" si="23"/>
        <v>3260.943195346882</v>
      </c>
      <c r="BS139" s="169">
        <f t="shared" si="23"/>
        <v>3332.3154974543222</v>
      </c>
      <c r="BT139" s="169">
        <f t="shared" si="23"/>
        <v>3403.6877995617629</v>
      </c>
      <c r="BU139" s="167">
        <v>3475.060101669203</v>
      </c>
      <c r="BV139" s="149"/>
    </row>
    <row r="140" spans="1:74" s="150" customFormat="1" ht="15">
      <c r="A140" s="158" t="s">
        <v>111</v>
      </c>
      <c r="B140" s="159" t="s">
        <v>16</v>
      </c>
      <c r="C140" s="160" t="s">
        <v>16</v>
      </c>
      <c r="D140" s="161">
        <v>5635</v>
      </c>
      <c r="E140" s="162">
        <v>6066</v>
      </c>
      <c r="F140" s="163">
        <v>6473</v>
      </c>
      <c r="G140" s="137">
        <v>12723</v>
      </c>
      <c r="H140" s="138">
        <v>0.50876365637035292</v>
      </c>
      <c r="I140" s="137">
        <v>14413</v>
      </c>
      <c r="J140" s="137">
        <v>7332.8105792658971</v>
      </c>
      <c r="K140" s="137">
        <v>7058.4586534320042</v>
      </c>
      <c r="L140" s="144">
        <v>-3.7414293314714131E-2</v>
      </c>
      <c r="M140" s="187" t="s">
        <v>26</v>
      </c>
      <c r="N140" s="166" t="s">
        <v>104</v>
      </c>
      <c r="O140" s="141">
        <v>7290.0316550666757</v>
      </c>
      <c r="P140" s="142">
        <v>-5.8339055314182708E-3</v>
      </c>
      <c r="Q140" s="143">
        <v>6998.516605166049</v>
      </c>
      <c r="R140" s="144">
        <v>-4.5588791703564668E-2</v>
      </c>
      <c r="S140" s="143">
        <v>7058.4586534320042</v>
      </c>
      <c r="T140" s="144">
        <v>-3.7414293314714131E-2</v>
      </c>
      <c r="U140" s="143">
        <v>7380.2158300399242</v>
      </c>
      <c r="V140" s="144">
        <v>6.4648132201954311E-3</v>
      </c>
      <c r="W140" s="143">
        <v>7290.0316550666757</v>
      </c>
      <c r="X140" s="144">
        <v>-5.8339055314182708E-3</v>
      </c>
      <c r="Y140" s="145">
        <v>5.8339055314182708E-3</v>
      </c>
      <c r="Z140" s="146">
        <v>7.2416806522104249E-3</v>
      </c>
      <c r="AA140" s="147">
        <v>-82144.822878228806</v>
      </c>
      <c r="AB140" s="148">
        <v>44.086715867158681</v>
      </c>
      <c r="AC140" s="147">
        <v>7380.2158300399242</v>
      </c>
      <c r="AD140" s="147">
        <v>7464.0711104556149</v>
      </c>
      <c r="AE140" s="147">
        <v>7723.9339829134915</v>
      </c>
      <c r="AF140" s="147">
        <v>7813.3962170901223</v>
      </c>
      <c r="AG140" s="147">
        <v>7904.3178173380093</v>
      </c>
      <c r="AH140" s="147">
        <v>7996.7225897843937</v>
      </c>
      <c r="AI140" s="147">
        <v>8090.6347288975239</v>
      </c>
      <c r="AJ140" s="147">
        <v>8186.0788238215273</v>
      </c>
      <c r="AK140" s="147">
        <v>8283.0798648146283</v>
      </c>
      <c r="AL140" s="147">
        <v>8381.6632497923711</v>
      </c>
      <c r="AM140" s="147">
        <v>8481.8547909775953</v>
      </c>
      <c r="AN140" s="147">
        <v>8583.6807216588786</v>
      </c>
      <c r="AO140" s="147">
        <v>8687.1677030592546</v>
      </c>
      <c r="AP140" s="147">
        <v>8792.3428313169297</v>
      </c>
      <c r="AQ140" s="147">
        <v>8899.2336445799265</v>
      </c>
      <c r="AR140" s="147">
        <v>9007.8681302164205</v>
      </c>
      <c r="AS140" s="147">
        <v>9118.2747321427141</v>
      </c>
      <c r="AT140" s="147">
        <v>9230.4823582707504</v>
      </c>
      <c r="AU140" s="147">
        <v>9344.5203880771023</v>
      </c>
      <c r="AV140" s="147">
        <v>9460.4186802954555</v>
      </c>
      <c r="AW140" s="147">
        <v>9578.2075807345482</v>
      </c>
      <c r="AX140" s="147">
        <v>9697.9179302236607</v>
      </c>
      <c r="AY140" s="167">
        <v>7097.4208318412775</v>
      </c>
      <c r="AZ140" s="168">
        <f>(($BF140-$AY140)/($BF$4-$AY$4))*(AZ$4-$BF$4)+$BF140</f>
        <v>7290.0316550666757</v>
      </c>
      <c r="BA140" s="168">
        <f t="shared" si="22"/>
        <v>7386.3370666793744</v>
      </c>
      <c r="BB140" s="168">
        <f t="shared" si="22"/>
        <v>7675.2533015174713</v>
      </c>
      <c r="BC140" s="168">
        <f t="shared" si="22"/>
        <v>7771.5587131301709</v>
      </c>
      <c r="BD140" s="168">
        <f t="shared" si="22"/>
        <v>7867.8641247428695</v>
      </c>
      <c r="BE140" s="168">
        <f t="shared" si="22"/>
        <v>7964.1695363555691</v>
      </c>
      <c r="BF140" s="167">
        <v>8060.4749479682678</v>
      </c>
      <c r="BG140" s="169">
        <f>(($BU140-$BF140)/($BU$4-$BF$4))*(BG$4-$BU$4)+$BU140</f>
        <v>8184.9038380350739</v>
      </c>
      <c r="BH140" s="169">
        <f t="shared" si="23"/>
        <v>8309.3327281018792</v>
      </c>
      <c r="BI140" s="169">
        <f t="shared" si="23"/>
        <v>8433.7616181686844</v>
      </c>
      <c r="BJ140" s="169">
        <f t="shared" si="23"/>
        <v>8558.1905082354897</v>
      </c>
      <c r="BK140" s="169">
        <f t="shared" si="23"/>
        <v>8682.6193983022949</v>
      </c>
      <c r="BL140" s="169">
        <f t="shared" si="23"/>
        <v>8807.0482883691002</v>
      </c>
      <c r="BM140" s="169">
        <f t="shared" si="23"/>
        <v>8931.4771784359073</v>
      </c>
      <c r="BN140" s="169">
        <f t="shared" si="23"/>
        <v>9055.9060685027125</v>
      </c>
      <c r="BO140" s="169">
        <f t="shared" si="23"/>
        <v>9180.3349585695178</v>
      </c>
      <c r="BP140" s="169">
        <f t="shared" si="23"/>
        <v>9304.763848636323</v>
      </c>
      <c r="BQ140" s="169">
        <f t="shared" si="23"/>
        <v>9429.1927387031283</v>
      </c>
      <c r="BR140" s="169">
        <f t="shared" si="23"/>
        <v>9553.6216287699353</v>
      </c>
      <c r="BS140" s="169">
        <f t="shared" si="23"/>
        <v>9678.0505188367406</v>
      </c>
      <c r="BT140" s="169">
        <f t="shared" si="23"/>
        <v>9802.4794089035458</v>
      </c>
      <c r="BU140" s="167">
        <v>9926.9082989703511</v>
      </c>
      <c r="BV140" s="149"/>
    </row>
    <row r="141" spans="1:74" s="150" customFormat="1" ht="15">
      <c r="A141" s="158" t="s">
        <v>111</v>
      </c>
      <c r="B141" s="159" t="s">
        <v>236</v>
      </c>
      <c r="C141" s="160" t="s">
        <v>236</v>
      </c>
      <c r="D141" s="161">
        <v>25903</v>
      </c>
      <c r="E141" s="162">
        <v>30764</v>
      </c>
      <c r="F141" s="163">
        <v>33442</v>
      </c>
      <c r="G141" s="137">
        <v>43021</v>
      </c>
      <c r="H141" s="138">
        <v>0.7773412984356477</v>
      </c>
      <c r="I141" s="137">
        <v>47924</v>
      </c>
      <c r="J141" s="137">
        <v>37253.304386229982</v>
      </c>
      <c r="K141" s="137">
        <v>39411.346419771296</v>
      </c>
      <c r="L141" s="144">
        <v>5.7928875547990311E-2</v>
      </c>
      <c r="M141" s="187" t="s">
        <v>66</v>
      </c>
      <c r="N141" s="140" t="s">
        <v>26</v>
      </c>
      <c r="O141" s="141">
        <v>37378.754748678548</v>
      </c>
      <c r="P141" s="142">
        <v>3.3674962400096486E-3</v>
      </c>
      <c r="Q141" s="143">
        <v>38536.328413284151</v>
      </c>
      <c r="R141" s="144">
        <v>3.4440542877812952E-2</v>
      </c>
      <c r="S141" s="143">
        <v>37378.754748678548</v>
      </c>
      <c r="T141" s="144">
        <v>3.3674962400096486E-3</v>
      </c>
      <c r="U141" s="143">
        <v>39411.346419771296</v>
      </c>
      <c r="V141" s="144">
        <v>5.7928875547990311E-2</v>
      </c>
      <c r="W141" s="143">
        <v>41657.147423400333</v>
      </c>
      <c r="X141" s="144">
        <v>0.11821348762817818</v>
      </c>
      <c r="Y141" s="145">
        <v>3.3674962400096486E-3</v>
      </c>
      <c r="Z141" s="146">
        <v>9.3172960155802897E-3</v>
      </c>
      <c r="AA141" s="147">
        <v>-767103.83025830274</v>
      </c>
      <c r="AB141" s="148">
        <v>398.43726937269383</v>
      </c>
      <c r="AC141" s="147">
        <v>39411.346419771296</v>
      </c>
      <c r="AD141" s="147">
        <v>39963.101802948746</v>
      </c>
      <c r="AE141" s="147">
        <v>41672.961194698597</v>
      </c>
      <c r="AF141" s="147">
        <v>42261.609507045083</v>
      </c>
      <c r="AG141" s="147">
        <v>42859.860233000472</v>
      </c>
      <c r="AH141" s="147">
        <v>43467.8700133725</v>
      </c>
      <c r="AI141" s="147">
        <v>44085.798044195501</v>
      </c>
      <c r="AJ141" s="147">
        <v>44713.806118412911</v>
      </c>
      <c r="AK141" s="147">
        <v>45352.058668239755</v>
      </c>
      <c r="AL141" s="147">
        <v>46000.722808216145</v>
      </c>
      <c r="AM141" s="147">
        <v>46659.968378963145</v>
      </c>
      <c r="AN141" s="147">
        <v>47329.967991652287</v>
      </c>
      <c r="AO141" s="147">
        <v>48010.8970732007</v>
      </c>
      <c r="AP141" s="147">
        <v>48702.933912203298</v>
      </c>
      <c r="AQ141" s="147">
        <v>49406.259705614371</v>
      </c>
      <c r="AR141" s="147">
        <v>50121.058606190607</v>
      </c>
      <c r="AS141" s="147">
        <v>50847.517770708087</v>
      </c>
      <c r="AT141" s="147">
        <v>51585.827408965764</v>
      </c>
      <c r="AU141" s="147">
        <v>52336.180833588398</v>
      </c>
      <c r="AV141" s="147">
        <v>53098.774510641837</v>
      </c>
      <c r="AW141" s="147">
        <v>53873.80811107401</v>
      </c>
      <c r="AX141" s="147">
        <v>54661.484562995007</v>
      </c>
      <c r="AY141" s="147"/>
      <c r="AZ141" s="147"/>
      <c r="BA141" s="147"/>
      <c r="BB141" s="147"/>
      <c r="BC141" s="147"/>
      <c r="BD141" s="147"/>
      <c r="BE141" s="147"/>
      <c r="BF141" s="147"/>
      <c r="BG141" s="147"/>
      <c r="BH141" s="147"/>
      <c r="BI141" s="147"/>
      <c r="BJ141" s="147"/>
      <c r="BK141" s="147"/>
      <c r="BL141" s="147"/>
      <c r="BM141" s="147"/>
      <c r="BN141" s="147"/>
      <c r="BO141" s="147"/>
      <c r="BP141" s="147"/>
      <c r="BQ141" s="147"/>
      <c r="BR141" s="147"/>
      <c r="BS141" s="147"/>
      <c r="BT141" s="147"/>
      <c r="BU141" s="147"/>
      <c r="BV141" s="149"/>
    </row>
    <row r="142" spans="1:74" s="150" customFormat="1" ht="15">
      <c r="A142" s="158" t="s">
        <v>111</v>
      </c>
      <c r="B142" s="159" t="s">
        <v>237</v>
      </c>
      <c r="C142" s="160" t="s">
        <v>237</v>
      </c>
      <c r="D142" s="161">
        <v>44923</v>
      </c>
      <c r="E142" s="162">
        <v>45986</v>
      </c>
      <c r="F142" s="163">
        <v>46867</v>
      </c>
      <c r="G142" s="137">
        <v>57110</v>
      </c>
      <c r="H142" s="138">
        <v>0.82064437051304495</v>
      </c>
      <c r="I142" s="137">
        <v>62371</v>
      </c>
      <c r="J142" s="137">
        <v>51184.410033269123</v>
      </c>
      <c r="K142" s="137">
        <v>48109.63837638378</v>
      </c>
      <c r="L142" s="144">
        <v>-6.0072425468746915E-2</v>
      </c>
      <c r="M142" s="187" t="s">
        <v>27</v>
      </c>
      <c r="N142" s="140" t="s">
        <v>66</v>
      </c>
      <c r="O142" s="141">
        <v>48830.776772150304</v>
      </c>
      <c r="P142" s="142">
        <v>-4.5983401187763895E-2</v>
      </c>
      <c r="Q142" s="143">
        <v>48109.63837638378</v>
      </c>
      <c r="R142" s="144">
        <v>-6.0072425468746915E-2</v>
      </c>
      <c r="S142" s="143">
        <v>48067.977358446667</v>
      </c>
      <c r="T142" s="144">
        <v>-6.0886365063049896E-2</v>
      </c>
      <c r="U142" s="143">
        <v>48830.776772150304</v>
      </c>
      <c r="V142" s="144">
        <v>-4.5983401187763895E-2</v>
      </c>
      <c r="W142" s="143">
        <v>47514.89211495185</v>
      </c>
      <c r="X142" s="144">
        <v>-7.1692101480355874E-2</v>
      </c>
      <c r="Y142" s="145">
        <v>4.5983401187763895E-2</v>
      </c>
      <c r="Z142" s="146">
        <v>2.1107579330035264E-3</v>
      </c>
      <c r="AA142" s="147">
        <v>-158921.52398523985</v>
      </c>
      <c r="AB142" s="148">
        <v>102.38929889298893</v>
      </c>
      <c r="AC142" s="147">
        <v>48830.776772150304</v>
      </c>
      <c r="AD142" s="147">
        <v>49012.291519192629</v>
      </c>
      <c r="AE142" s="147">
        <v>49574.795673087938</v>
      </c>
      <c r="AF142" s="147">
        <v>49768.447339696344</v>
      </c>
      <c r="AG142" s="147">
        <v>49965.25797807076</v>
      </c>
      <c r="AH142" s="147">
        <v>50165.279119410494</v>
      </c>
      <c r="AI142" s="147">
        <v>50368.563135525095</v>
      </c>
      <c r="AJ142" s="147">
        <v>50575.163252547325</v>
      </c>
      <c r="AK142" s="147">
        <v>50785.133564869058</v>
      </c>
      <c r="AL142" s="147">
        <v>50998.529049304838</v>
      </c>
      <c r="AM142" s="147">
        <v>51215.405579487153</v>
      </c>
      <c r="AN142" s="147">
        <v>51435.819940495072</v>
      </c>
      <c r="AO142" s="147">
        <v>51659.829843722866</v>
      </c>
      <c r="AP142" s="147">
        <v>51887.493941990717</v>
      </c>
      <c r="AQ142" s="147">
        <v>52118.871844901529</v>
      </c>
      <c r="AR142" s="147">
        <v>52354.024134448788</v>
      </c>
      <c r="AS142" s="147">
        <v>52593.012380878965</v>
      </c>
      <c r="AT142" s="147">
        <v>52835.899158812128</v>
      </c>
      <c r="AU142" s="147">
        <v>53082.74806362635</v>
      </c>
      <c r="AV142" s="147">
        <v>53333.623728108883</v>
      </c>
      <c r="AW142" s="147">
        <v>53588.591839378758</v>
      </c>
      <c r="AX142" s="147">
        <v>53847.719156086154</v>
      </c>
      <c r="AY142" s="147"/>
      <c r="AZ142" s="147"/>
      <c r="BA142" s="147"/>
      <c r="BB142" s="147"/>
      <c r="BC142" s="147"/>
      <c r="BD142" s="147"/>
      <c r="BE142" s="147"/>
      <c r="BF142" s="147"/>
      <c r="BG142" s="147"/>
      <c r="BH142" s="147"/>
      <c r="BI142" s="147"/>
      <c r="BJ142" s="147"/>
      <c r="BK142" s="147"/>
      <c r="BL142" s="147"/>
      <c r="BM142" s="147"/>
      <c r="BN142" s="147"/>
      <c r="BO142" s="147"/>
      <c r="BP142" s="147"/>
      <c r="BQ142" s="147"/>
      <c r="BR142" s="147"/>
      <c r="BS142" s="147"/>
      <c r="BT142" s="147"/>
      <c r="BU142" s="147"/>
      <c r="BV142" s="149"/>
    </row>
    <row r="143" spans="1:74" s="150" customFormat="1" ht="15">
      <c r="A143" s="158" t="s">
        <v>111</v>
      </c>
      <c r="B143" s="159" t="s">
        <v>238</v>
      </c>
      <c r="C143" s="160" t="s">
        <v>238</v>
      </c>
      <c r="D143" s="161">
        <v>6416</v>
      </c>
      <c r="E143" s="162">
        <v>6685</v>
      </c>
      <c r="F143" s="163">
        <v>8061</v>
      </c>
      <c r="G143" s="137">
        <v>8700</v>
      </c>
      <c r="H143" s="138">
        <v>0.92655172413793108</v>
      </c>
      <c r="I143" s="137">
        <v>8751</v>
      </c>
      <c r="J143" s="137">
        <v>8108.2541379310351</v>
      </c>
      <c r="K143" s="137">
        <v>9364.0620357543939</v>
      </c>
      <c r="L143" s="186">
        <v>0.15488018461934905</v>
      </c>
      <c r="M143" s="187" t="s">
        <v>26</v>
      </c>
      <c r="N143" s="140" t="s">
        <v>27</v>
      </c>
      <c r="O143" s="141">
        <v>8877.5276752767677</v>
      </c>
      <c r="P143" s="142">
        <v>9.4875360868008851E-2</v>
      </c>
      <c r="Q143" s="143">
        <v>8877.5276752767677</v>
      </c>
      <c r="R143" s="144">
        <v>9.4875360868008851E-2</v>
      </c>
      <c r="S143" s="143">
        <v>9364.0620357543939</v>
      </c>
      <c r="T143" s="144">
        <v>0.15488018461934905</v>
      </c>
      <c r="U143" s="143">
        <v>11128.147376252915</v>
      </c>
      <c r="V143" s="144">
        <v>0.37244679149788706</v>
      </c>
      <c r="W143" s="143">
        <v>10615.763846174192</v>
      </c>
      <c r="X143" s="144">
        <v>0.30925396091284729</v>
      </c>
      <c r="Y143" s="145">
        <v>9.4875360868008851E-2</v>
      </c>
      <c r="Z143" s="146">
        <v>1.2565081899589603E-2</v>
      </c>
      <c r="AA143" s="147">
        <v>-163958.70479704795</v>
      </c>
      <c r="AB143" s="148">
        <v>85.477859778597775</v>
      </c>
      <c r="AC143" s="147">
        <v>11128.147376252915</v>
      </c>
      <c r="AD143" s="147">
        <v>11411.648275152154</v>
      </c>
      <c r="AE143" s="147">
        <v>12290.201868523252</v>
      </c>
      <c r="AF143" s="147">
        <v>12592.658955076187</v>
      </c>
      <c r="AG143" s="147">
        <v>12900.049918076415</v>
      </c>
      <c r="AH143" s="147">
        <v>13212.45524212119</v>
      </c>
      <c r="AI143" s="147">
        <v>13529.956724724796</v>
      </c>
      <c r="AJ143" s="147">
        <v>13852.637497735683</v>
      </c>
      <c r="AK143" s="147">
        <v>14180.582049103021</v>
      </c>
      <c r="AL143" s="147">
        <v>14513.876244998288</v>
      </c>
      <c r="AM143" s="147">
        <v>14852.607352297717</v>
      </c>
      <c r="AN143" s="147">
        <v>15196.864061431494</v>
      </c>
      <c r="AO143" s="147">
        <v>15546.736509605737</v>
      </c>
      <c r="AP143" s="147">
        <v>15902.316304403186</v>
      </c>
      <c r="AQ143" s="147">
        <v>16263.696547768996</v>
      </c>
      <c r="AR143" s="147">
        <v>16630.971860387701</v>
      </c>
      <c r="AS143" s="147">
        <v>17004.238406457924</v>
      </c>
      <c r="AT143" s="147">
        <v>17383.593918871131</v>
      </c>
      <c r="AU143" s="147">
        <v>17769.137724801207</v>
      </c>
      <c r="AV143" s="147">
        <v>18160.970771711414</v>
      </c>
      <c r="AW143" s="147">
        <v>18559.195653785599</v>
      </c>
      <c r="AX143" s="147">
        <v>18963.916638790557</v>
      </c>
      <c r="AY143" s="147"/>
      <c r="AZ143" s="147"/>
      <c r="BA143" s="147"/>
      <c r="BB143" s="147"/>
      <c r="BC143" s="147"/>
      <c r="BD143" s="147"/>
      <c r="BE143" s="147"/>
      <c r="BF143" s="147"/>
      <c r="BG143" s="147"/>
      <c r="BH143" s="147"/>
      <c r="BI143" s="147"/>
      <c r="BJ143" s="147"/>
      <c r="BK143" s="147"/>
      <c r="BL143" s="147"/>
      <c r="BM143" s="147"/>
      <c r="BN143" s="147"/>
      <c r="BO143" s="147"/>
      <c r="BP143" s="147"/>
      <c r="BQ143" s="147"/>
      <c r="BR143" s="147"/>
      <c r="BS143" s="147"/>
      <c r="BT143" s="147"/>
      <c r="BU143" s="147"/>
      <c r="BV143" s="149"/>
    </row>
    <row r="144" spans="1:74" s="150" customFormat="1" ht="38.25">
      <c r="A144" s="181" t="s">
        <v>111</v>
      </c>
      <c r="B144" s="211" t="s">
        <v>51</v>
      </c>
      <c r="C144" s="221" t="s">
        <v>51</v>
      </c>
      <c r="D144" s="213">
        <v>15555</v>
      </c>
      <c r="E144" s="214">
        <v>23257</v>
      </c>
      <c r="F144" s="215">
        <v>29593</v>
      </c>
      <c r="G144" s="143">
        <v>31730</v>
      </c>
      <c r="H144" s="144">
        <v>0.93265048849669085</v>
      </c>
      <c r="I144" s="143">
        <v>38539</v>
      </c>
      <c r="J144" s="143">
        <v>35943.417176173971</v>
      </c>
      <c r="K144" s="143">
        <v>40803.999084902789</v>
      </c>
      <c r="L144" s="186">
        <v>0.13522870919325891</v>
      </c>
      <c r="M144" s="187" t="s">
        <v>26</v>
      </c>
      <c r="N144" s="140" t="s">
        <v>27</v>
      </c>
      <c r="O144" s="141">
        <v>38575.97416974185</v>
      </c>
      <c r="P144" s="142">
        <v>7.3241700438903656E-2</v>
      </c>
      <c r="Q144" s="143">
        <v>38575.97416974185</v>
      </c>
      <c r="R144" s="144">
        <v>7.3241700438903656E-2</v>
      </c>
      <c r="S144" s="143">
        <v>40803.999084902789</v>
      </c>
      <c r="T144" s="144">
        <v>0.13522870919325891</v>
      </c>
      <c r="U144" s="143">
        <v>43716.14373251341</v>
      </c>
      <c r="V144" s="144">
        <v>0.21624895925287246</v>
      </c>
      <c r="W144" s="143">
        <v>55478.949977573997</v>
      </c>
      <c r="X144" s="144">
        <v>0.54350794488036769</v>
      </c>
      <c r="Y144" s="145">
        <v>7.3241700438903656E-2</v>
      </c>
      <c r="Z144" s="146">
        <v>2.7131727629741587E-2</v>
      </c>
      <c r="AA144" s="147">
        <v>-1456532.6088560887</v>
      </c>
      <c r="AB144" s="148">
        <v>739.42066420664219</v>
      </c>
      <c r="AC144" s="147">
        <v>43716.14373251341</v>
      </c>
      <c r="AD144" s="147">
        <v>45021.566476282016</v>
      </c>
      <c r="AE144" s="147">
        <v>49066.999301572192</v>
      </c>
      <c r="AF144" s="147">
        <v>50459.708676862443</v>
      </c>
      <c r="AG144" s="147">
        <v>51875.1368320728</v>
      </c>
      <c r="AH144" s="147">
        <v>53313.654370697586</v>
      </c>
      <c r="AI144" s="147">
        <v>54775.637941756031</v>
      </c>
      <c r="AJ144" s="147">
        <v>56261.470338410829</v>
      </c>
      <c r="AK144" s="147">
        <v>57771.540598195323</v>
      </c>
      <c r="AL144" s="147">
        <v>59306.244104875848</v>
      </c>
      <c r="AM144" s="147">
        <v>60865.982691975529</v>
      </c>
      <c r="AN144" s="147">
        <v>62451.164747986892</v>
      </c>
      <c r="AO144" s="147">
        <v>64062.205323300819</v>
      </c>
      <c r="AP144" s="147">
        <v>65699.5262388798</v>
      </c>
      <c r="AQ144" s="147">
        <v>67363.556196703736</v>
      </c>
      <c r="AR144" s="147">
        <v>69054.730892017804</v>
      </c>
      <c r="AS144" s="147">
        <v>70773.493127410882</v>
      </c>
      <c r="AT144" s="147">
        <v>72520.292928755458</v>
      </c>
      <c r="AU144" s="147">
        <v>74295.58766303811</v>
      </c>
      <c r="AV144" s="147">
        <v>76099.842158113024</v>
      </c>
      <c r="AW144" s="147">
        <v>77933.528824408102</v>
      </c>
      <c r="AX144" s="147">
        <v>79797.127778617025</v>
      </c>
      <c r="AY144" s="147"/>
      <c r="AZ144" s="147"/>
      <c r="BA144" s="147"/>
      <c r="BB144" s="147"/>
      <c r="BC144" s="147"/>
      <c r="BD144" s="147"/>
      <c r="BE144" s="147"/>
      <c r="BF144" s="147"/>
      <c r="BG144" s="147"/>
      <c r="BH144" s="147"/>
      <c r="BI144" s="147"/>
      <c r="BJ144" s="147"/>
      <c r="BK144" s="147"/>
      <c r="BL144" s="147"/>
      <c r="BM144" s="147"/>
      <c r="BN144" s="147"/>
      <c r="BO144" s="147"/>
      <c r="BP144" s="147"/>
      <c r="BQ144" s="147"/>
      <c r="BR144" s="147"/>
      <c r="BS144" s="147"/>
      <c r="BT144" s="147"/>
      <c r="BU144" s="147"/>
      <c r="BV144" s="188" t="s">
        <v>153</v>
      </c>
    </row>
    <row r="145" spans="1:74" s="150" customFormat="1" ht="15">
      <c r="A145" s="189"/>
      <c r="B145" s="216" t="s">
        <v>239</v>
      </c>
      <c r="C145" s="222"/>
      <c r="D145" s="218"/>
      <c r="E145" s="219"/>
      <c r="F145" s="220"/>
      <c r="G145" s="195"/>
      <c r="H145" s="196"/>
      <c r="I145" s="195"/>
      <c r="J145" s="195"/>
      <c r="K145" s="195"/>
      <c r="L145" s="196"/>
      <c r="M145" s="197"/>
      <c r="N145" s="198"/>
      <c r="O145" s="199"/>
      <c r="P145" s="200"/>
      <c r="Q145" s="195"/>
      <c r="R145" s="196"/>
      <c r="S145" s="195"/>
      <c r="T145" s="196"/>
      <c r="U145" s="195"/>
      <c r="V145" s="196"/>
      <c r="W145" s="195"/>
      <c r="X145" s="196"/>
      <c r="Y145" s="201"/>
      <c r="Z145" s="202"/>
      <c r="AA145" s="203"/>
      <c r="AB145" s="204"/>
      <c r="AC145" s="203"/>
      <c r="AD145" s="203"/>
      <c r="AE145" s="203"/>
      <c r="AF145" s="203"/>
      <c r="AG145" s="203"/>
      <c r="AH145" s="203"/>
      <c r="AI145" s="203"/>
      <c r="AJ145" s="203"/>
      <c r="AK145" s="203"/>
      <c r="AL145" s="203"/>
      <c r="AM145" s="203"/>
      <c r="AN145" s="203"/>
      <c r="AO145" s="203"/>
      <c r="AP145" s="203"/>
      <c r="AQ145" s="203"/>
      <c r="AR145" s="203"/>
      <c r="AS145" s="203"/>
      <c r="AT145" s="203"/>
      <c r="AU145" s="203"/>
      <c r="AV145" s="203"/>
      <c r="AW145" s="203"/>
      <c r="AX145" s="203"/>
      <c r="AY145" s="203"/>
      <c r="AZ145" s="203"/>
      <c r="BA145" s="203"/>
      <c r="BB145" s="203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3"/>
      <c r="BS145" s="203"/>
      <c r="BT145" s="203"/>
      <c r="BU145" s="203"/>
      <c r="BV145" s="205"/>
    </row>
    <row r="146" spans="1:74" s="150" customFormat="1" ht="15">
      <c r="A146" s="158" t="s">
        <v>111</v>
      </c>
      <c r="B146" s="174" t="s">
        <v>14</v>
      </c>
      <c r="C146" s="175" t="s">
        <v>240</v>
      </c>
      <c r="D146" s="176">
        <v>4755</v>
      </c>
      <c r="E146" s="177">
        <v>5447</v>
      </c>
      <c r="F146" s="178">
        <v>5245</v>
      </c>
      <c r="G146" s="137">
        <v>31014</v>
      </c>
      <c r="H146" s="138">
        <v>0.16911717288966274</v>
      </c>
      <c r="I146" s="137">
        <v>32979</v>
      </c>
      <c r="J146" s="137">
        <v>5577.3152447281873</v>
      </c>
      <c r="K146" s="137">
        <v>5716.2619926199186</v>
      </c>
      <c r="L146" s="144">
        <v>2.4912837412779831E-2</v>
      </c>
      <c r="M146" s="187" t="s">
        <v>27</v>
      </c>
      <c r="N146" s="140" t="s">
        <v>27</v>
      </c>
      <c r="O146" s="141">
        <v>5716.2619926199186</v>
      </c>
      <c r="P146" s="142">
        <v>2.4912837412779831E-2</v>
      </c>
      <c r="Q146" s="143">
        <v>5716.2619926199186</v>
      </c>
      <c r="R146" s="144">
        <v>2.4912837412779831E-2</v>
      </c>
      <c r="S146" s="143">
        <v>4987.2711665864554</v>
      </c>
      <c r="T146" s="144">
        <v>-0.10579356773843041</v>
      </c>
      <c r="U146" s="143">
        <v>4794.7356322651967</v>
      </c>
      <c r="V146" s="144">
        <v>-0.1403147532681972</v>
      </c>
      <c r="W146" s="143">
        <v>5317.0879511184276</v>
      </c>
      <c r="X146" s="144">
        <v>-4.6658164760497112E-2</v>
      </c>
      <c r="Y146" s="145">
        <v>2.4912837412779831E-2</v>
      </c>
      <c r="Z146" s="146">
        <v>-4.190058943904118E-3</v>
      </c>
      <c r="AA146" s="147">
        <v>-48049.538745387472</v>
      </c>
      <c r="AB146" s="148">
        <v>26.590405904059047</v>
      </c>
      <c r="AC146" s="147">
        <v>4794.7356322651967</v>
      </c>
      <c r="AD146" s="147">
        <v>4753.1170410023724</v>
      </c>
      <c r="AE146" s="147">
        <v>4624.1433303476033</v>
      </c>
      <c r="AF146" s="147">
        <v>4579.7419266530596</v>
      </c>
      <c r="AG146" s="147">
        <v>4534.6162184219211</v>
      </c>
      <c r="AH146" s="147">
        <v>4488.7543903281385</v>
      </c>
      <c r="AI146" s="147">
        <v>4442.1444343063886</v>
      </c>
      <c r="AJ146" s="147">
        <v>4394.7741464079882</v>
      </c>
      <c r="AK146" s="147">
        <v>4346.6311236055153</v>
      </c>
      <c r="AL146" s="147">
        <v>4297.7027605453095</v>
      </c>
      <c r="AM146" s="147">
        <v>4247.9762462469916</v>
      </c>
      <c r="AN146" s="147">
        <v>4197.4385607491549</v>
      </c>
      <c r="AO146" s="147">
        <v>4146.0764717003203</v>
      </c>
      <c r="AP146" s="147">
        <v>4093.8765308942993</v>
      </c>
      <c r="AQ146" s="147">
        <v>4040.8250707490283</v>
      </c>
      <c r="AR146" s="147">
        <v>3986.9082007279676</v>
      </c>
      <c r="AS146" s="147">
        <v>3932.1118037031247</v>
      </c>
      <c r="AT146" s="147">
        <v>3876.4215322587438</v>
      </c>
      <c r="AU146" s="147">
        <v>3819.8228049347063</v>
      </c>
      <c r="AV146" s="147">
        <v>3762.3008024086439</v>
      </c>
      <c r="AW146" s="147">
        <v>3703.840463615777</v>
      </c>
      <c r="AX146" s="147">
        <v>3644.4264818054548</v>
      </c>
      <c r="AY146" s="147"/>
      <c r="AZ146" s="147"/>
      <c r="BA146" s="147"/>
      <c r="BB146" s="147"/>
      <c r="BC146" s="147"/>
      <c r="BD146" s="147"/>
      <c r="BE146" s="147"/>
      <c r="BF146" s="147"/>
      <c r="BG146" s="147"/>
      <c r="BH146" s="147"/>
      <c r="BI146" s="147"/>
      <c r="BJ146" s="147"/>
      <c r="BK146" s="147"/>
      <c r="BL146" s="147"/>
      <c r="BM146" s="147"/>
      <c r="BN146" s="147"/>
      <c r="BO146" s="147"/>
      <c r="BP146" s="147"/>
      <c r="BQ146" s="147"/>
      <c r="BR146" s="147"/>
      <c r="BS146" s="147"/>
      <c r="BT146" s="147"/>
      <c r="BU146" s="147"/>
      <c r="BV146" s="149"/>
    </row>
    <row r="147" spans="1:74" s="150" customFormat="1" ht="15">
      <c r="A147" s="158" t="s">
        <v>111</v>
      </c>
      <c r="B147" s="159" t="s">
        <v>241</v>
      </c>
      <c r="C147" s="160" t="s">
        <v>241</v>
      </c>
      <c r="D147" s="161">
        <v>79022</v>
      </c>
      <c r="E147" s="162">
        <v>86686</v>
      </c>
      <c r="F147" s="163">
        <v>98522</v>
      </c>
      <c r="G147" s="137">
        <v>114269</v>
      </c>
      <c r="H147" s="138">
        <v>0.86219359581338773</v>
      </c>
      <c r="I147" s="137">
        <v>131343</v>
      </c>
      <c r="J147" s="137">
        <v>113243.09345491779</v>
      </c>
      <c r="K147" s="137">
        <v>113429.49841315411</v>
      </c>
      <c r="L147" s="144">
        <v>1.6460602810230984E-3</v>
      </c>
      <c r="M147" s="187" t="s">
        <v>26</v>
      </c>
      <c r="N147" s="140" t="s">
        <v>26</v>
      </c>
      <c r="O147" s="141">
        <v>113429.49841315411</v>
      </c>
      <c r="P147" s="142">
        <v>1.6460602810230984E-3</v>
      </c>
      <c r="Q147" s="143">
        <v>109869.09963099612</v>
      </c>
      <c r="R147" s="144">
        <v>-2.9794256947465514E-2</v>
      </c>
      <c r="S147" s="143">
        <v>113429.49841315411</v>
      </c>
      <c r="T147" s="144">
        <v>1.6460602810230984E-3</v>
      </c>
      <c r="U147" s="143">
        <v>124904.81711143133</v>
      </c>
      <c r="V147" s="144">
        <v>0.10297955752291488</v>
      </c>
      <c r="W147" s="143">
        <v>123525.34751134893</v>
      </c>
      <c r="X147" s="144">
        <v>9.0798067614821232E-2</v>
      </c>
      <c r="Y147" s="145">
        <v>1.6460602810230984E-3</v>
      </c>
      <c r="Z147" s="146">
        <v>1.1811006467929319E-2</v>
      </c>
      <c r="AA147" s="147">
        <v>-1955644.9372693731</v>
      </c>
      <c r="AB147" s="148">
        <v>1021.5202952029522</v>
      </c>
      <c r="AC147" s="147">
        <v>124904.81711143133</v>
      </c>
      <c r="AD147" s="147">
        <v>127343.41932027681</v>
      </c>
      <c r="AE147" s="147">
        <v>134900.51258418692</v>
      </c>
      <c r="AF147" s="147">
        <v>137502.17106997222</v>
      </c>
      <c r="AG147" s="147">
        <v>140146.26949880266</v>
      </c>
      <c r="AH147" s="147">
        <v>142833.50017859478</v>
      </c>
      <c r="AI147" s="147">
        <v>145564.56671064149</v>
      </c>
      <c r="AJ147" s="147">
        <v>148340.1841738369</v>
      </c>
      <c r="AK147" s="147">
        <v>151161.07931190653</v>
      </c>
      <c r="AL147" s="147">
        <v>154027.99072369171</v>
      </c>
      <c r="AM147" s="147">
        <v>156941.66905653762</v>
      </c>
      <c r="AN147" s="147">
        <v>159902.87720283662</v>
      </c>
      <c r="AO147" s="147">
        <v>162912.39049977722</v>
      </c>
      <c r="AP147" s="147">
        <v>165970.99693235185</v>
      </c>
      <c r="AQ147" s="147">
        <v>169079.49733967573</v>
      </c>
      <c r="AR147" s="147">
        <v>172238.70562467212</v>
      </c>
      <c r="AS147" s="147">
        <v>175449.4489671773</v>
      </c>
      <c r="AT147" s="147">
        <v>178712.56804052234</v>
      </c>
      <c r="AU147" s="147">
        <v>182028.91723164759</v>
      </c>
      <c r="AV147" s="147">
        <v>185399.36486480839</v>
      </c>
      <c r="AW147" s="147">
        <v>188824.793428929</v>
      </c>
      <c r="AX147" s="147">
        <v>192306.09980866651</v>
      </c>
      <c r="AY147" s="147"/>
      <c r="AZ147" s="147"/>
      <c r="BA147" s="147"/>
      <c r="BB147" s="147"/>
      <c r="BC147" s="147"/>
      <c r="BD147" s="147"/>
      <c r="BE147" s="147"/>
      <c r="BF147" s="147"/>
      <c r="BG147" s="147"/>
      <c r="BH147" s="147"/>
      <c r="BI147" s="147"/>
      <c r="BJ147" s="147"/>
      <c r="BK147" s="147"/>
      <c r="BL147" s="147"/>
      <c r="BM147" s="147"/>
      <c r="BN147" s="147"/>
      <c r="BO147" s="147"/>
      <c r="BP147" s="147"/>
      <c r="BQ147" s="147"/>
      <c r="BR147" s="147"/>
      <c r="BS147" s="147"/>
      <c r="BT147" s="147"/>
      <c r="BU147" s="147"/>
      <c r="BV147" s="149"/>
    </row>
    <row r="148" spans="1:74" ht="15">
      <c r="A148" s="224"/>
      <c r="B148" s="225" t="s">
        <v>53</v>
      </c>
      <c r="C148" s="226" t="s">
        <v>53</v>
      </c>
      <c r="D148" s="227">
        <v>2965403</v>
      </c>
      <c r="E148" s="227">
        <v>2776138</v>
      </c>
      <c r="F148" s="227">
        <v>2890151</v>
      </c>
      <c r="G148" s="227">
        <v>2890151</v>
      </c>
      <c r="H148" s="228">
        <v>1</v>
      </c>
      <c r="I148" s="227">
        <v>3093845</v>
      </c>
      <c r="J148" s="227">
        <v>3093845</v>
      </c>
      <c r="K148" s="229">
        <v>3144289.5710819215</v>
      </c>
      <c r="L148" s="230">
        <v>1.6304815232153436E-2</v>
      </c>
      <c r="M148" s="231" t="s">
        <v>66</v>
      </c>
      <c r="N148" s="140" t="s">
        <v>66</v>
      </c>
      <c r="O148" s="141">
        <v>3144289.5710819215</v>
      </c>
      <c r="P148" s="142">
        <v>1.6304815232153436E-2</v>
      </c>
      <c r="Q148" s="143">
        <v>2786846.5682656821</v>
      </c>
      <c r="R148" s="144">
        <v>-9.9228769293328467E-2</v>
      </c>
      <c r="S148" s="143">
        <v>2854090.2998317429</v>
      </c>
      <c r="T148" s="144">
        <v>-7.749408912478073E-2</v>
      </c>
      <c r="U148" s="143">
        <v>3144289.5710819215</v>
      </c>
      <c r="V148" s="144">
        <v>1.6304815232153436E-2</v>
      </c>
      <c r="W148" s="143">
        <v>2829538.1256050193</v>
      </c>
      <c r="X148" s="144">
        <v>-8.5429901754929816E-2</v>
      </c>
      <c r="Y148" s="145">
        <v>1.6304815232153436E-2</v>
      </c>
      <c r="Z148" s="146">
        <v>-1.0457521193594776E-3</v>
      </c>
      <c r="AA148" s="147">
        <v>11353564.39483395</v>
      </c>
      <c r="AB148" s="148">
        <v>-4236.7546125461267</v>
      </c>
      <c r="AC148" s="147">
        <v>3144289.5710819215</v>
      </c>
      <c r="AD148" s="147">
        <v>3167779.9693277054</v>
      </c>
      <c r="AE148" s="147">
        <v>3240575.4132528645</v>
      </c>
      <c r="AF148" s="147">
        <v>3265636.4886955679</v>
      </c>
      <c r="AG148" s="147">
        <v>3291106.3766785217</v>
      </c>
      <c r="AH148" s="147">
        <v>3316991.7460174151</v>
      </c>
      <c r="AI148" s="147">
        <v>3343299.3743139887</v>
      </c>
      <c r="AJ148" s="147">
        <v>3370036.1497306237</v>
      </c>
      <c r="AK148" s="147">
        <v>3397209.0727938833</v>
      </c>
      <c r="AL148" s="147">
        <v>3424825.2582274638</v>
      </c>
      <c r="AM148" s="147">
        <v>3452891.9368150579</v>
      </c>
      <c r="AN148" s="147">
        <v>3481416.4572935971</v>
      </c>
      <c r="AO148" s="147">
        <v>3510406.288277383</v>
      </c>
      <c r="AP148" s="147">
        <v>3539869.0202136049</v>
      </c>
      <c r="AQ148" s="147">
        <v>3569812.3673697575</v>
      </c>
      <c r="AR148" s="147">
        <v>3600244.1698534759</v>
      </c>
      <c r="AS148" s="147">
        <v>3631172.3956653252</v>
      </c>
      <c r="AT148" s="147">
        <v>3662605.1427850686</v>
      </c>
      <c r="AU148" s="147">
        <v>3694550.6412919769</v>
      </c>
      <c r="AV148" s="147">
        <v>3727017.2555197189</v>
      </c>
      <c r="AW148" s="147">
        <v>3760013.486246408</v>
      </c>
      <c r="AX148" s="147">
        <v>3793547.9729203694</v>
      </c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147"/>
      <c r="BI148" s="147"/>
      <c r="BJ148" s="147"/>
      <c r="BK148" s="147"/>
      <c r="BL148" s="147"/>
      <c r="BM148" s="147"/>
      <c r="BN148" s="147"/>
      <c r="BO148" s="147"/>
      <c r="BP148" s="147"/>
      <c r="BQ148" s="147"/>
      <c r="BR148" s="147"/>
      <c r="BS148" s="147"/>
      <c r="BT148" s="147"/>
      <c r="BU148" s="147"/>
      <c r="BV148" s="123"/>
    </row>
    <row r="149" spans="1:74" s="150" customFormat="1" ht="15">
      <c r="A149" s="189"/>
      <c r="B149" s="216" t="s">
        <v>242</v>
      </c>
      <c r="C149" s="222"/>
      <c r="D149" s="218"/>
      <c r="E149" s="219"/>
      <c r="F149" s="220"/>
      <c r="G149" s="195"/>
      <c r="H149" s="196"/>
      <c r="I149" s="195"/>
      <c r="J149" s="195"/>
      <c r="K149" s="195"/>
      <c r="L149" s="196"/>
      <c r="M149" s="197"/>
      <c r="N149" s="198"/>
      <c r="O149" s="199"/>
      <c r="P149" s="200"/>
      <c r="Q149" s="195"/>
      <c r="R149" s="196"/>
      <c r="S149" s="195"/>
      <c r="T149" s="196"/>
      <c r="U149" s="195"/>
      <c r="V149" s="196"/>
      <c r="W149" s="195"/>
      <c r="X149" s="196"/>
      <c r="Y149" s="201"/>
      <c r="Z149" s="202"/>
      <c r="AA149" s="203"/>
      <c r="AB149" s="204"/>
      <c r="AC149" s="203"/>
      <c r="AD149" s="203"/>
      <c r="AE149" s="203"/>
      <c r="AF149" s="203"/>
      <c r="AG149" s="203"/>
      <c r="AH149" s="203"/>
      <c r="AI149" s="203"/>
      <c r="AJ149" s="203"/>
      <c r="AK149" s="203"/>
      <c r="AL149" s="203"/>
      <c r="AM149" s="203"/>
      <c r="AN149" s="203"/>
      <c r="AO149" s="203"/>
      <c r="AP149" s="203"/>
      <c r="AQ149" s="203"/>
      <c r="AR149" s="203"/>
      <c r="AS149" s="203"/>
      <c r="AT149" s="203"/>
      <c r="AU149" s="203"/>
      <c r="AV149" s="203"/>
      <c r="AW149" s="203"/>
      <c r="AX149" s="203"/>
      <c r="AY149" s="203"/>
      <c r="AZ149" s="203"/>
      <c r="BA149" s="203"/>
      <c r="BB149" s="203"/>
      <c r="BC149" s="203"/>
      <c r="BD149" s="203"/>
      <c r="BE149" s="203"/>
      <c r="BF149" s="203"/>
      <c r="BG149" s="203"/>
      <c r="BH149" s="203"/>
      <c r="BI149" s="203"/>
      <c r="BJ149" s="203"/>
      <c r="BK149" s="203"/>
      <c r="BL149" s="203"/>
      <c r="BM149" s="203"/>
      <c r="BN149" s="203"/>
      <c r="BO149" s="203"/>
      <c r="BP149" s="203"/>
      <c r="BQ149" s="203"/>
      <c r="BR149" s="203"/>
      <c r="BS149" s="203"/>
      <c r="BT149" s="203"/>
      <c r="BU149" s="203"/>
      <c r="BV149" s="205"/>
    </row>
    <row r="150" spans="1:74" ht="15">
      <c r="A150" s="232" t="s">
        <v>111</v>
      </c>
      <c r="B150" s="233" t="s">
        <v>243</v>
      </c>
      <c r="C150" s="234" t="s">
        <v>115</v>
      </c>
      <c r="D150" s="235">
        <v>3036</v>
      </c>
      <c r="E150" s="236">
        <v>3016</v>
      </c>
      <c r="F150" s="237">
        <v>3217</v>
      </c>
      <c r="G150" s="238">
        <v>17072</v>
      </c>
      <c r="H150" s="138">
        <v>0.18843720712277412</v>
      </c>
      <c r="I150" s="238">
        <v>17460</v>
      </c>
      <c r="J150" s="238">
        <v>3290.113636363636</v>
      </c>
      <c r="K150" s="238">
        <v>3288.3579335793347</v>
      </c>
      <c r="L150" s="144">
        <v>-5.3362983116955753E-4</v>
      </c>
      <c r="M150" s="239" t="s">
        <v>27</v>
      </c>
      <c r="N150" s="140" t="s">
        <v>27</v>
      </c>
      <c r="O150" s="240">
        <v>3288.3579335793347</v>
      </c>
      <c r="P150" s="142">
        <v>-5.3362983116955753E-4</v>
      </c>
      <c r="Q150" s="241">
        <v>3288.3579335793347</v>
      </c>
      <c r="R150" s="144">
        <v>-5.3362983116955753E-4</v>
      </c>
      <c r="S150" s="241">
        <v>3345.4038589447946</v>
      </c>
      <c r="T150" s="144">
        <v>1.6804958336414044E-2</v>
      </c>
      <c r="U150" s="241">
        <v>3665.0353362113624</v>
      </c>
      <c r="V150" s="144">
        <v>0.11395402751562855</v>
      </c>
      <c r="W150" s="241">
        <v>3410.8206549728952</v>
      </c>
      <c r="X150" s="144">
        <v>3.6687796213224155E-2</v>
      </c>
      <c r="Y150" s="145">
        <v>5.3362983116955753E-4</v>
      </c>
      <c r="Z150" s="242">
        <v>3.2668389541127829E-3</v>
      </c>
      <c r="AA150" s="243">
        <v>-15543.848708487085</v>
      </c>
      <c r="AB150" s="244">
        <v>9.3136531365313644</v>
      </c>
      <c r="AC150" s="243">
        <v>3665.0353362113624</v>
      </c>
      <c r="AD150" s="243">
        <v>3706.4478948441742</v>
      </c>
      <c r="AE150" s="243">
        <v>3834.7831217828302</v>
      </c>
      <c r="AF150" s="243">
        <v>3878.9647165481933</v>
      </c>
      <c r="AG150" s="243">
        <v>3923.867030184128</v>
      </c>
      <c r="AH150" s="243">
        <v>3969.50181952497</v>
      </c>
      <c r="AI150" s="243">
        <v>4015.8810331901773</v>
      </c>
      <c r="AJ150" s="243">
        <v>4063.0168147128429</v>
      </c>
      <c r="AK150" s="243">
        <v>4110.921505719265</v>
      </c>
      <c r="AL150" s="243">
        <v>4159.6076491603617</v>
      </c>
      <c r="AM150" s="243">
        <v>4209.0879925958161</v>
      </c>
      <c r="AN150" s="243">
        <v>4259.3754915317804</v>
      </c>
      <c r="AO150" s="243">
        <v>4310.4833128130467</v>
      </c>
      <c r="AP150" s="243">
        <v>4362.424838070523</v>
      </c>
      <c r="AQ150" s="243">
        <v>4415.2136672249762</v>
      </c>
      <c r="AR150" s="243">
        <v>4468.8636220479129</v>
      </c>
      <c r="AS150" s="243">
        <v>4523.3887497805536</v>
      </c>
      <c r="AT150" s="243">
        <v>4578.8033268118434</v>
      </c>
      <c r="AU150" s="243">
        <v>4635.1218624164558</v>
      </c>
      <c r="AV150" s="243">
        <v>4692.3591025537753</v>
      </c>
      <c r="AW150" s="243">
        <v>4750.5300337288554</v>
      </c>
      <c r="AX150" s="243">
        <v>4809.6498869163534</v>
      </c>
      <c r="AY150" s="243"/>
      <c r="AZ150" s="243"/>
      <c r="BA150" s="243"/>
    </row>
    <row r="151" spans="1:74" ht="15">
      <c r="A151" s="232" t="s">
        <v>111</v>
      </c>
      <c r="B151" s="233" t="s">
        <v>244</v>
      </c>
      <c r="C151" s="234" t="s">
        <v>134</v>
      </c>
      <c r="D151" s="235">
        <v>2820</v>
      </c>
      <c r="E151" s="236">
        <v>2994</v>
      </c>
      <c r="F151" s="237">
        <v>3201</v>
      </c>
      <c r="G151" s="238">
        <v>11570</v>
      </c>
      <c r="H151" s="138">
        <v>0.27666378565254968</v>
      </c>
      <c r="I151" s="238">
        <v>13072</v>
      </c>
      <c r="J151" s="238">
        <v>3616.5490060501293</v>
      </c>
      <c r="K151" s="238">
        <v>3431.7453874538769</v>
      </c>
      <c r="L151" s="144">
        <v>-5.1099437139409454E-2</v>
      </c>
      <c r="M151" s="239" t="s">
        <v>27</v>
      </c>
      <c r="N151" s="245" t="s">
        <v>27</v>
      </c>
      <c r="O151" s="240">
        <v>3578.1796252974696</v>
      </c>
      <c r="P151" s="142">
        <v>-1.0609390523527162E-2</v>
      </c>
      <c r="Q151" s="241">
        <v>3431.7453874538769</v>
      </c>
      <c r="R151" s="144">
        <v>-5.1099437139409454E-2</v>
      </c>
      <c r="S151" s="241">
        <v>3469.3215819821471</v>
      </c>
      <c r="T151" s="144">
        <v>-4.0709367914463557E-2</v>
      </c>
      <c r="U151" s="241">
        <v>3662.4095253519918</v>
      </c>
      <c r="V151" s="144">
        <v>1.2680740458692163E-2</v>
      </c>
      <c r="W151" s="241">
        <v>3578.1796252974696</v>
      </c>
      <c r="X151" s="144">
        <v>-1.0609390523527162E-2</v>
      </c>
      <c r="Y151" s="145">
        <v>1.0609390523527162E-2</v>
      </c>
      <c r="Z151" s="242">
        <v>6.7305326087896411E-3</v>
      </c>
      <c r="AA151" s="243">
        <v>-37015.71586715868</v>
      </c>
      <c r="AB151" s="244">
        <v>20.003690036900373</v>
      </c>
      <c r="AC151" s="243">
        <v>3662.4095253519918</v>
      </c>
      <c r="AD151" s="243">
        <v>3705.0582797648822</v>
      </c>
      <c r="AE151" s="243">
        <v>3837.2244090002205</v>
      </c>
      <c r="AF151" s="243">
        <v>3882.7248573406687</v>
      </c>
      <c r="AG151" s="243">
        <v>3928.9675385478331</v>
      </c>
      <c r="AH151" s="243">
        <v>3975.9645604063116</v>
      </c>
      <c r="AI151" s="243">
        <v>4023.7282282107772</v>
      </c>
      <c r="AJ151" s="243">
        <v>4072.2710479878588</v>
      </c>
      <c r="AK151" s="243">
        <v>4121.6057297705847</v>
      </c>
      <c r="AL151" s="243">
        <v>4171.7451909263327</v>
      </c>
      <c r="AM151" s="243">
        <v>4222.7025595389568</v>
      </c>
      <c r="AN151" s="243">
        <v>4274.4911778461537</v>
      </c>
      <c r="AO151" s="243">
        <v>4327.124605732839</v>
      </c>
      <c r="AP151" s="243">
        <v>4380.6166242815816</v>
      </c>
      <c r="AQ151" s="243">
        <v>4434.9812393809407</v>
      </c>
      <c r="AR151" s="243">
        <v>4490.2326853926206</v>
      </c>
      <c r="AS151" s="243">
        <v>4546.3854288784787</v>
      </c>
      <c r="AT151" s="243">
        <v>4603.4541723883158</v>
      </c>
      <c r="AU151" s="243">
        <v>4661.4538583094691</v>
      </c>
      <c r="AV151" s="243">
        <v>4720.3996727792546</v>
      </c>
      <c r="AW151" s="243">
        <v>4780.3070496610599</v>
      </c>
      <c r="AX151" s="243">
        <v>4841.1916745854833</v>
      </c>
      <c r="AY151" s="243"/>
      <c r="AZ151" s="243"/>
      <c r="BA151" s="243"/>
    </row>
    <row r="152" spans="1:74" ht="15">
      <c r="A152" s="232" t="s">
        <v>111</v>
      </c>
      <c r="B152" s="233" t="s">
        <v>245</v>
      </c>
      <c r="C152" s="234" t="s">
        <v>150</v>
      </c>
      <c r="D152" s="235">
        <v>3528</v>
      </c>
      <c r="E152" s="236">
        <v>5342</v>
      </c>
      <c r="F152" s="237">
        <v>7174</v>
      </c>
      <c r="G152" s="238">
        <v>29805</v>
      </c>
      <c r="H152" s="138">
        <v>0.24069786948498573</v>
      </c>
      <c r="I152" s="238">
        <v>39193</v>
      </c>
      <c r="J152" s="238">
        <v>9433.6715987250464</v>
      </c>
      <c r="K152" s="238">
        <v>11257.58575094138</v>
      </c>
      <c r="L152" s="144">
        <v>0.1933408570702031</v>
      </c>
      <c r="M152" s="239" t="s">
        <v>66</v>
      </c>
      <c r="N152" s="245" t="s">
        <v>66</v>
      </c>
      <c r="O152" s="240">
        <v>9437.6236162361456</v>
      </c>
      <c r="P152" s="142">
        <v>4.1892676353438851E-4</v>
      </c>
      <c r="Q152" s="241">
        <v>9437.6236162361456</v>
      </c>
      <c r="R152" s="144">
        <v>4.1892676353438851E-4</v>
      </c>
      <c r="S152" s="241">
        <v>10629.300632638489</v>
      </c>
      <c r="T152" s="144">
        <v>0.12674058253999765</v>
      </c>
      <c r="U152" s="241">
        <v>11257.58575094138</v>
      </c>
      <c r="V152" s="144">
        <v>0.1933408570702031</v>
      </c>
      <c r="W152" s="241">
        <v>14727.591730999751</v>
      </c>
      <c r="X152" s="144">
        <v>0.56117282405613667</v>
      </c>
      <c r="Y152" s="145">
        <v>4.1892676353438851E-4</v>
      </c>
      <c r="Z152" s="242">
        <v>3.3305187899896227E-2</v>
      </c>
      <c r="AA152" s="243">
        <v>-378182.01476014761</v>
      </c>
      <c r="AB152" s="244">
        <v>191.70110701107009</v>
      </c>
      <c r="AC152" s="243">
        <v>11257.58575094138</v>
      </c>
      <c r="AD152" s="243">
        <v>11635.037529126996</v>
      </c>
      <c r="AE152" s="243">
        <v>12804.739697045496</v>
      </c>
      <c r="AF152" s="243">
        <v>13207.429655304924</v>
      </c>
      <c r="AG152" s="243">
        <v>13616.688553718017</v>
      </c>
      <c r="AH152" s="243">
        <v>14032.623549103213</v>
      </c>
      <c r="AI152" s="243">
        <v>14455.343546290569</v>
      </c>
      <c r="AJ152" s="243">
        <v>14884.959226636463</v>
      </c>
      <c r="AK152" s="243">
        <v>15321.583077003441</v>
      </c>
      <c r="AL152" s="243">
        <v>15765.329419212838</v>
      </c>
      <c r="AM152" s="243">
        <v>16216.314439977774</v>
      </c>
      <c r="AN152" s="243">
        <v>16674.656221324494</v>
      </c>
      <c r="AO152" s="243">
        <v>17140.474771509962</v>
      </c>
      <c r="AP152" s="243">
        <v>17613.892056443779</v>
      </c>
      <c r="AQ152" s="243">
        <v>18095.032031622672</v>
      </c>
      <c r="AR152" s="243">
        <v>18584.020674585954</v>
      </c>
      <c r="AS152" s="243">
        <v>19080.986017900374</v>
      </c>
      <c r="AT152" s="243">
        <v>19586.058182683075</v>
      </c>
      <c r="AU152" s="243">
        <v>20099.369412671382</v>
      </c>
      <c r="AV152" s="243">
        <v>20621.054108848337</v>
      </c>
      <c r="AW152" s="243">
        <v>21151.248864633148</v>
      </c>
      <c r="AX152" s="243">
        <v>21690.092501645573</v>
      </c>
      <c r="AY152" s="243"/>
      <c r="AZ152" s="243"/>
      <c r="BA152" s="243"/>
    </row>
    <row r="153" spans="1:74" ht="15">
      <c r="A153" s="232" t="s">
        <v>111</v>
      </c>
      <c r="B153" s="233" t="s">
        <v>246</v>
      </c>
      <c r="C153" s="234" t="s">
        <v>150</v>
      </c>
      <c r="D153" s="235">
        <v>2332</v>
      </c>
      <c r="E153" s="236">
        <v>4761</v>
      </c>
      <c r="F153" s="237">
        <v>8008</v>
      </c>
      <c r="G153" s="238">
        <v>29805</v>
      </c>
      <c r="H153" s="138">
        <v>0.26867975171951014</v>
      </c>
      <c r="I153" s="238">
        <v>39193</v>
      </c>
      <c r="J153" s="238">
        <v>10530.365509142761</v>
      </c>
      <c r="K153" s="238">
        <v>15245.665356608439</v>
      </c>
      <c r="L153" s="144">
        <v>0.44778121361235956</v>
      </c>
      <c r="M153" s="239" t="s">
        <v>66</v>
      </c>
      <c r="N153" s="245" t="s">
        <v>66</v>
      </c>
      <c r="O153" s="240">
        <v>11384.74169741699</v>
      </c>
      <c r="P153" s="142">
        <v>8.1134523538849201E-2</v>
      </c>
      <c r="Q153" s="241">
        <v>11384.74169741699</v>
      </c>
      <c r="R153" s="144">
        <v>8.1134523538849201E-2</v>
      </c>
      <c r="S153" s="241">
        <v>16018.62526701895</v>
      </c>
      <c r="T153" s="144">
        <v>0.52118416527053379</v>
      </c>
      <c r="U153" s="241">
        <v>15245.665356608439</v>
      </c>
      <c r="V153" s="144">
        <v>0.44778121361235956</v>
      </c>
      <c r="W153" s="241">
        <v>29203.580549926544</v>
      </c>
      <c r="X153" s="144">
        <v>1.7732732092320225</v>
      </c>
      <c r="Y153" s="145">
        <v>8.1134523538849201E-2</v>
      </c>
      <c r="Z153" s="242">
        <v>5.9477565120735543E-2</v>
      </c>
      <c r="AA153" s="243">
        <v>-590578.08856088563</v>
      </c>
      <c r="AB153" s="244">
        <v>297.70664206642067</v>
      </c>
      <c r="AC153" s="243">
        <v>15245.665356608439</v>
      </c>
      <c r="AD153" s="243">
        <v>15914.653306263841</v>
      </c>
      <c r="AE153" s="243">
        <v>17987.809932481836</v>
      </c>
      <c r="AF153" s="243">
        <v>18701.529525532253</v>
      </c>
      <c r="AG153" s="243">
        <v>19426.891776158514</v>
      </c>
      <c r="AH153" s="243">
        <v>20164.086606953129</v>
      </c>
      <c r="AI153" s="243">
        <v>20913.30703864928</v>
      </c>
      <c r="AJ153" s="243">
        <v>21674.749240659716</v>
      </c>
      <c r="AK153" s="243">
        <v>22448.612582440051</v>
      </c>
      <c r="AL153" s="243">
        <v>23235.099685690006</v>
      </c>
      <c r="AM153" s="243">
        <v>24034.416477406019</v>
      </c>
      <c r="AN153" s="243">
        <v>24846.772243799467</v>
      </c>
      <c r="AO153" s="243">
        <v>25672.379685094347</v>
      </c>
      <c r="AP153" s="243">
        <v>26511.45497121886</v>
      </c>
      <c r="AQ153" s="243">
        <v>27364.217798405465</v>
      </c>
      <c r="AR153" s="243">
        <v>28230.891446714297</v>
      </c>
      <c r="AS153" s="243">
        <v>29111.702838494821</v>
      </c>
      <c r="AT153" s="243">
        <v>30006.882597801276</v>
      </c>
      <c r="AU153" s="243">
        <v>30916.665110777278</v>
      </c>
      <c r="AV153" s="243">
        <v>31841.28858702541</v>
      </c>
      <c r="AW153" s="243">
        <v>32780.995121978071</v>
      </c>
      <c r="AX153" s="243">
        <v>33736.030760285576</v>
      </c>
      <c r="AY153" s="243"/>
      <c r="AZ153" s="243"/>
      <c r="BA153" s="243"/>
    </row>
    <row r="154" spans="1:74" ht="15">
      <c r="A154" s="232" t="s">
        <v>111</v>
      </c>
      <c r="B154" s="233" t="s">
        <v>247</v>
      </c>
      <c r="C154" s="234" t="s">
        <v>37</v>
      </c>
      <c r="D154" s="235">
        <v>5616</v>
      </c>
      <c r="E154" s="236">
        <v>5977</v>
      </c>
      <c r="F154" s="237">
        <v>6632</v>
      </c>
      <c r="G154" s="238">
        <v>39594</v>
      </c>
      <c r="H154" s="138">
        <v>0.16750012628175986</v>
      </c>
      <c r="I154" s="238">
        <v>45252</v>
      </c>
      <c r="J154" s="238">
        <v>7579.7157145021974</v>
      </c>
      <c r="K154" s="238">
        <v>7196.014760147591</v>
      </c>
      <c r="L154" s="144">
        <v>-5.0622077239714347E-2</v>
      </c>
      <c r="M154" s="239" t="s">
        <v>27</v>
      </c>
      <c r="N154" s="245" t="s">
        <v>27</v>
      </c>
      <c r="O154" s="240">
        <v>7362.4136973863133</v>
      </c>
      <c r="P154" s="142">
        <v>-2.8668887501957618E-2</v>
      </c>
      <c r="Q154" s="241">
        <v>7196.014760147591</v>
      </c>
      <c r="R154" s="144">
        <v>-5.0622077239714347E-2</v>
      </c>
      <c r="S154" s="241">
        <v>7362.4136973863133</v>
      </c>
      <c r="T154" s="144">
        <v>-2.8668887501957618E-2</v>
      </c>
      <c r="U154" s="241">
        <v>8062.9543641419923</v>
      </c>
      <c r="V154" s="144">
        <v>6.3754191824796136E-2</v>
      </c>
      <c r="W154" s="241">
        <v>7819.2156104495007</v>
      </c>
      <c r="X154" s="144">
        <v>3.1597477394708973E-2</v>
      </c>
      <c r="Y154" s="145">
        <v>2.8668887501957618E-2</v>
      </c>
      <c r="Z154" s="242">
        <v>8.8589593126731092E-3</v>
      </c>
      <c r="AA154" s="243">
        <v>-99339.509225092261</v>
      </c>
      <c r="AB154" s="244">
        <v>52.688191881918819</v>
      </c>
      <c r="AC154" s="243">
        <v>8062.9543641419923</v>
      </c>
      <c r="AD154" s="243">
        <v>8196.0514431310257</v>
      </c>
      <c r="AE154" s="243">
        <v>8608.5119237398412</v>
      </c>
      <c r="AF154" s="243">
        <v>8750.5084919907094</v>
      </c>
      <c r="AG154" s="243">
        <v>8894.8214004922702</v>
      </c>
      <c r="AH154" s="243">
        <v>9041.4884348911983</v>
      </c>
      <c r="AI154" s="243">
        <v>9190.547997218182</v>
      </c>
      <c r="AJ154" s="243">
        <v>9342.0391159427709</v>
      </c>
      <c r="AK154" s="243">
        <v>9496.0014561922617</v>
      </c>
      <c r="AL154" s="243">
        <v>9652.4753301372766</v>
      </c>
      <c r="AM154" s="243">
        <v>9811.5017075467476</v>
      </c>
      <c r="AN154" s="243">
        <v>9973.1222265150773</v>
      </c>
      <c r="AO154" s="243">
        <v>10137.379204364321</v>
      </c>
      <c r="AP154" s="243">
        <v>10304.31564872417</v>
      </c>
      <c r="AQ154" s="243">
        <v>10473.97526879271</v>
      </c>
      <c r="AR154" s="243">
        <v>10646.402486780853</v>
      </c>
      <c r="AS154" s="243">
        <v>10821.642449543473</v>
      </c>
      <c r="AT154" s="243">
        <v>10999.741040400257</v>
      </c>
      <c r="AU154" s="243">
        <v>11180.744891149403</v>
      </c>
      <c r="AV154" s="243">
        <v>11364.701394277305</v>
      </c>
      <c r="AW154" s="243">
        <v>11551.658715367366</v>
      </c>
      <c r="AX154" s="243">
        <v>11741.665805711265</v>
      </c>
      <c r="AY154" s="243"/>
      <c r="AZ154" s="243"/>
      <c r="BA154" s="243"/>
    </row>
    <row r="155" spans="1:74" ht="15">
      <c r="A155" s="232" t="s">
        <v>111</v>
      </c>
      <c r="B155" s="233" t="s">
        <v>248</v>
      </c>
      <c r="C155" s="234" t="s">
        <v>156</v>
      </c>
      <c r="D155" s="235">
        <v>2784</v>
      </c>
      <c r="E155" s="236">
        <v>2794</v>
      </c>
      <c r="F155" s="237">
        <v>2910</v>
      </c>
      <c r="G155" s="238">
        <v>14903</v>
      </c>
      <c r="H155" s="138">
        <v>0.19526269878547944</v>
      </c>
      <c r="I155" s="238">
        <v>15988</v>
      </c>
      <c r="J155" s="238">
        <v>3121.8600281822455</v>
      </c>
      <c r="K155" s="238">
        <v>2968.5904059040586</v>
      </c>
      <c r="L155" s="144">
        <v>-4.9095609955142949E-2</v>
      </c>
      <c r="M155" s="239" t="s">
        <v>27</v>
      </c>
      <c r="N155" s="245" t="s">
        <v>27</v>
      </c>
      <c r="O155" s="240">
        <v>3168.5676567189948</v>
      </c>
      <c r="P155" s="142">
        <v>1.4961474286195209E-2</v>
      </c>
      <c r="Q155" s="241">
        <v>2968.5904059040586</v>
      </c>
      <c r="R155" s="144">
        <v>-4.9095609955142949E-2</v>
      </c>
      <c r="S155" s="241">
        <v>2996.5139028087169</v>
      </c>
      <c r="T155" s="144">
        <v>-4.0151103586317238E-2</v>
      </c>
      <c r="U155" s="241">
        <v>3168.5676567189948</v>
      </c>
      <c r="V155" s="144">
        <v>1.4961474286195209E-2</v>
      </c>
      <c r="W155" s="241">
        <v>3001.5451850605132</v>
      </c>
      <c r="X155" s="144">
        <v>-3.8539473914782629E-2</v>
      </c>
      <c r="Y155" s="145">
        <v>1.4961474286195209E-2</v>
      </c>
      <c r="Z155" s="242">
        <v>2.4443575329038403E-3</v>
      </c>
      <c r="AA155" s="243">
        <v>-10230.369003690037</v>
      </c>
      <c r="AB155" s="244">
        <v>6.5276752767527677</v>
      </c>
      <c r="AC155" s="243">
        <v>3168.5676567189948</v>
      </c>
      <c r="AD155" s="243">
        <v>3192.467441800618</v>
      </c>
      <c r="AE155" s="243">
        <v>3266.5315528696956</v>
      </c>
      <c r="AF155" s="243">
        <v>3292.0293886546788</v>
      </c>
      <c r="AG155" s="243">
        <v>3317.9431616983056</v>
      </c>
      <c r="AH155" s="243">
        <v>3344.279657039282</v>
      </c>
      <c r="AI155" s="243">
        <v>3371.045770398312</v>
      </c>
      <c r="AJ155" s="243">
        <v>3398.2485099835321</v>
      </c>
      <c r="AK155" s="243">
        <v>3425.8949983255443</v>
      </c>
      <c r="AL155" s="243">
        <v>3453.9924741423019</v>
      </c>
      <c r="AM155" s="243">
        <v>3482.5482942344024</v>
      </c>
      <c r="AN155" s="243">
        <v>3511.5699354113749</v>
      </c>
      <c r="AO155" s="243">
        <v>3541.0649964493205</v>
      </c>
      <c r="AP155" s="243">
        <v>3571.0412000805009</v>
      </c>
      <c r="AQ155" s="243">
        <v>3601.5063950154072</v>
      </c>
      <c r="AR155" s="243">
        <v>3632.4685579978031</v>
      </c>
      <c r="AS155" s="243">
        <v>3663.9357958932596</v>
      </c>
      <c r="AT155" s="243">
        <v>3695.9163478118135</v>
      </c>
      <c r="AU155" s="243">
        <v>3728.418587265216</v>
      </c>
      <c r="AV155" s="243">
        <v>3761.4510243593904</v>
      </c>
      <c r="AW155" s="243">
        <v>3795.0223080226278</v>
      </c>
      <c r="AX155" s="243">
        <v>3829.1412282701349</v>
      </c>
      <c r="AY155" s="243"/>
      <c r="AZ155" s="243"/>
      <c r="BA155" s="243"/>
    </row>
    <row r="156" spans="1:74" ht="15">
      <c r="A156" s="232" t="s">
        <v>111</v>
      </c>
      <c r="B156" s="233" t="s">
        <v>249</v>
      </c>
      <c r="C156" s="234" t="s">
        <v>156</v>
      </c>
      <c r="D156" s="235">
        <v>3937</v>
      </c>
      <c r="E156" s="236">
        <v>4109</v>
      </c>
      <c r="F156" s="237">
        <v>4179</v>
      </c>
      <c r="G156" s="238">
        <v>14903</v>
      </c>
      <c r="H156" s="138">
        <v>0.28041333959605447</v>
      </c>
      <c r="I156" s="238">
        <v>15988</v>
      </c>
      <c r="J156" s="238">
        <v>4483.2484734617192</v>
      </c>
      <c r="K156" s="238">
        <v>4348.4760147601482</v>
      </c>
      <c r="L156" s="144">
        <v>-3.0061340454214713E-2</v>
      </c>
      <c r="M156" s="239" t="s">
        <v>27</v>
      </c>
      <c r="N156" s="140" t="s">
        <v>27</v>
      </c>
      <c r="O156" s="240">
        <v>4348.4760147601482</v>
      </c>
      <c r="P156" s="142">
        <v>-3.0061340454214713E-2</v>
      </c>
      <c r="Q156" s="241">
        <v>4348.4760147601482</v>
      </c>
      <c r="R156" s="144">
        <v>-3.0061340454214713E-2</v>
      </c>
      <c r="S156" s="241">
        <v>4274.1918413200765</v>
      </c>
      <c r="T156" s="144">
        <v>-4.6630614693595307E-2</v>
      </c>
      <c r="U156" s="241">
        <v>4335.032206640768</v>
      </c>
      <c r="V156" s="144">
        <v>-3.3060016124091041E-2</v>
      </c>
      <c r="W156" s="241">
        <v>4284.9463612773079</v>
      </c>
      <c r="X156" s="144">
        <v>-4.4231791603398074E-2</v>
      </c>
      <c r="Y156" s="145">
        <v>3.0061340454214713E-2</v>
      </c>
      <c r="Z156" s="242">
        <v>1.8786840268705252E-3</v>
      </c>
      <c r="AA156" s="243">
        <v>-21571.922509225093</v>
      </c>
      <c r="AB156" s="244">
        <v>12.819188191881919</v>
      </c>
      <c r="AC156" s="243">
        <v>4335.032206640768</v>
      </c>
      <c r="AD156" s="243">
        <v>4349.4544907417512</v>
      </c>
      <c r="AE156" s="243">
        <v>4394.1483508696401</v>
      </c>
      <c r="AF156" s="243">
        <v>4409.5349759123055</v>
      </c>
      <c r="AG156" s="243">
        <v>4425.1725975765585</v>
      </c>
      <c r="AH156" s="243">
        <v>4441.0653102823271</v>
      </c>
      <c r="AI156" s="243">
        <v>4457.2172752403567</v>
      </c>
      <c r="AJ156" s="243">
        <v>4473.6327215417841</v>
      </c>
      <c r="AK156" s="243">
        <v>4490.3159472654079</v>
      </c>
      <c r="AL156" s="243">
        <v>4507.2713206031112</v>
      </c>
      <c r="AM156" s="243">
        <v>4524.5032810035191</v>
      </c>
      <c r="AN156" s="243">
        <v>4542.0163403344486</v>
      </c>
      <c r="AO156" s="243">
        <v>4559.8150840642411</v>
      </c>
      <c r="AP156" s="243">
        <v>4577.9041724623676</v>
      </c>
      <c r="AQ156" s="243">
        <v>4596.2883418196434</v>
      </c>
      <c r="AR156" s="243">
        <v>4614.9724056883279</v>
      </c>
      <c r="AS156" s="243">
        <v>4633.9612561424801</v>
      </c>
      <c r="AT156" s="243">
        <v>4653.2598650588479</v>
      </c>
      <c r="AU156" s="243">
        <v>4672.8732854186601</v>
      </c>
      <c r="AV156" s="243">
        <v>4692.8066526306648</v>
      </c>
      <c r="AW156" s="243">
        <v>4713.0651858757192</v>
      </c>
      <c r="AX156" s="243">
        <v>4733.6541894733527</v>
      </c>
      <c r="AY156" s="243"/>
      <c r="AZ156" s="243"/>
      <c r="BA156" s="243"/>
    </row>
    <row r="157" spans="1:74" ht="15">
      <c r="A157" s="232" t="s">
        <v>111</v>
      </c>
      <c r="B157" s="233" t="s">
        <v>250</v>
      </c>
      <c r="C157" s="234" t="s">
        <v>158</v>
      </c>
      <c r="D157" s="235">
        <v>685</v>
      </c>
      <c r="E157" s="236">
        <v>819</v>
      </c>
      <c r="F157" s="237">
        <v>799</v>
      </c>
      <c r="G157" s="238">
        <v>2816</v>
      </c>
      <c r="H157" s="138">
        <v>0.28373579545454547</v>
      </c>
      <c r="I157" s="238">
        <v>3210</v>
      </c>
      <c r="J157" s="238">
        <v>910.79190340909099</v>
      </c>
      <c r="K157" s="238">
        <v>773.09099755349223</v>
      </c>
      <c r="L157" s="144">
        <v>-0.15118810931474547</v>
      </c>
      <c r="M157" s="239" t="s">
        <v>26</v>
      </c>
      <c r="N157" s="245" t="s">
        <v>26</v>
      </c>
      <c r="O157" s="240">
        <v>898.57933579335804</v>
      </c>
      <c r="P157" s="142">
        <v>-1.3408735376348124E-2</v>
      </c>
      <c r="Q157" s="241">
        <v>898.57933579335804</v>
      </c>
      <c r="R157" s="144">
        <v>-1.3408735376348124E-2</v>
      </c>
      <c r="S157" s="241">
        <v>773.09099755349223</v>
      </c>
      <c r="T157" s="144">
        <v>-0.15118810931474547</v>
      </c>
      <c r="U157" s="241">
        <v>754.41936953120785</v>
      </c>
      <c r="V157" s="144">
        <v>-0.17168854190796079</v>
      </c>
      <c r="W157" s="241">
        <v>852.42117970295521</v>
      </c>
      <c r="X157" s="144">
        <v>-6.4087881641958333E-2</v>
      </c>
      <c r="Y157" s="145">
        <v>1.3408735376348124E-2</v>
      </c>
      <c r="Z157" s="242">
        <v>-2.7432457488308915E-3</v>
      </c>
      <c r="AA157" s="243">
        <v>-11509.487084870854</v>
      </c>
      <c r="AB157" s="244">
        <v>6.1365313653136555</v>
      </c>
      <c r="AC157" s="243">
        <v>754.41936953120785</v>
      </c>
      <c r="AD157" s="243">
        <v>750.29871693092809</v>
      </c>
      <c r="AE157" s="243">
        <v>737.52904260867399</v>
      </c>
      <c r="AF157" s="243">
        <v>733.1328640250556</v>
      </c>
      <c r="AG157" s="243">
        <v>728.66497212098261</v>
      </c>
      <c r="AH157" s="243">
        <v>724.12419706219225</v>
      </c>
      <c r="AI157" s="243">
        <v>719.50934993132591</v>
      </c>
      <c r="AJ157" s="243">
        <v>714.81922241663278</v>
      </c>
      <c r="AK157" s="243">
        <v>710.05258649559573</v>
      </c>
      <c r="AL157" s="243">
        <v>705.20819411339721</v>
      </c>
      <c r="AM157" s="243">
        <v>700.28477685613802</v>
      </c>
      <c r="AN157" s="243">
        <v>695.28104561872851</v>
      </c>
      <c r="AO157" s="243">
        <v>690.19569026735871</v>
      </c>
      <c r="AP157" s="243">
        <v>685.0273792964656</v>
      </c>
      <c r="AQ157" s="243">
        <v>679.77475948010215</v>
      </c>
      <c r="AR157" s="243">
        <v>674.43645551762074</v>
      </c>
      <c r="AS157" s="243">
        <v>669.01106967357691</v>
      </c>
      <c r="AT157" s="243">
        <v>663.49718141175708</v>
      </c>
      <c r="AU157" s="243">
        <v>657.89334702323845</v>
      </c>
      <c r="AV157" s="243">
        <v>652.19809924838091</v>
      </c>
      <c r="AW157" s="243">
        <v>646.40994689265131</v>
      </c>
      <c r="AX157" s="243">
        <v>640.52737443618389</v>
      </c>
      <c r="AY157" s="243"/>
      <c r="AZ157" s="243"/>
      <c r="BA157" s="243"/>
    </row>
    <row r="158" spans="1:74" ht="15">
      <c r="A158" s="232" t="s">
        <v>111</v>
      </c>
      <c r="B158" s="233" t="s">
        <v>251</v>
      </c>
      <c r="C158" s="234" t="s">
        <v>162</v>
      </c>
      <c r="D158" s="235">
        <v>600</v>
      </c>
      <c r="E158" s="236">
        <v>762</v>
      </c>
      <c r="F158" s="237">
        <v>942</v>
      </c>
      <c r="G158" s="238">
        <v>3700</v>
      </c>
      <c r="H158" s="138">
        <v>0.2545945945945946</v>
      </c>
      <c r="I158" s="238">
        <v>4906</v>
      </c>
      <c r="J158" s="238">
        <v>1249.0410810810811</v>
      </c>
      <c r="K158" s="238">
        <v>1249.8142672995691</v>
      </c>
      <c r="L158" s="144">
        <v>6.1902384973500091E-4</v>
      </c>
      <c r="M158" s="239" t="s">
        <v>26</v>
      </c>
      <c r="N158" s="140" t="s">
        <v>26</v>
      </c>
      <c r="O158" s="240">
        <v>1249.8142672995691</v>
      </c>
      <c r="P158" s="142">
        <v>6.1902384973500091E-4</v>
      </c>
      <c r="Q158" s="241">
        <v>1151.2915129151297</v>
      </c>
      <c r="R158" s="144">
        <v>-7.8259690290848005E-2</v>
      </c>
      <c r="S158" s="241">
        <v>1249.8142672995691</v>
      </c>
      <c r="T158" s="144">
        <v>6.1902384973500091E-4</v>
      </c>
      <c r="U158" s="241">
        <v>1343.2256742191312</v>
      </c>
      <c r="V158" s="144">
        <v>7.5405520734778797E-2</v>
      </c>
      <c r="W158" s="241">
        <v>1494.1494234914958</v>
      </c>
      <c r="X158" s="144">
        <v>0.19623721439031172</v>
      </c>
      <c r="Y158" s="145">
        <v>6.1902384973500091E-4</v>
      </c>
      <c r="Z158" s="242">
        <v>2.384185875005751E-2</v>
      </c>
      <c r="AA158" s="243">
        <v>-35177.55719557195</v>
      </c>
      <c r="AB158" s="244">
        <v>17.966789667896677</v>
      </c>
      <c r="AC158" s="243">
        <v>1343.2256742191312</v>
      </c>
      <c r="AD158" s="243">
        <v>1380.3115476216481</v>
      </c>
      <c r="AE158" s="243">
        <v>1495.2386165219373</v>
      </c>
      <c r="AF158" s="243">
        <v>1534.8042237745012</v>
      </c>
      <c r="AG158" s="243">
        <v>1575.015250911159</v>
      </c>
      <c r="AH158" s="243">
        <v>1615.8822264402725</v>
      </c>
      <c r="AI158" s="243">
        <v>1657.4158506180693</v>
      </c>
      <c r="AJ158" s="243">
        <v>1699.6269982503077</v>
      </c>
      <c r="AK158" s="243">
        <v>1742.5267215396398</v>
      </c>
      <c r="AL158" s="243">
        <v>1786.1262529794276</v>
      </c>
      <c r="AM158" s="243">
        <v>1830.4370082947594</v>
      </c>
      <c r="AN158" s="243">
        <v>1875.4705894314461</v>
      </c>
      <c r="AO158" s="243">
        <v>1921.2387875937734</v>
      </c>
      <c r="AP158" s="243">
        <v>1967.7535863318121</v>
      </c>
      <c r="AQ158" s="243">
        <v>2015.0271646790829</v>
      </c>
      <c r="AR158" s="243">
        <v>2063.0719003414142</v>
      </c>
      <c r="AS158" s="243">
        <v>2111.9003729378096</v>
      </c>
      <c r="AT158" s="243">
        <v>2161.5253672941885</v>
      </c>
      <c r="AU158" s="243">
        <v>2211.959876790856</v>
      </c>
      <c r="AV158" s="243">
        <v>2263.217106764575</v>
      </c>
      <c r="AW158" s="243">
        <v>2315.3104779661394</v>
      </c>
      <c r="AX158" s="243">
        <v>2368.2536300743463</v>
      </c>
      <c r="AY158" s="243"/>
      <c r="AZ158" s="243"/>
      <c r="BA158" s="243"/>
    </row>
    <row r="159" spans="1:74" ht="15">
      <c r="A159" s="232" t="s">
        <v>111</v>
      </c>
      <c r="B159" s="233" t="s">
        <v>252</v>
      </c>
      <c r="C159" s="234" t="s">
        <v>172</v>
      </c>
      <c r="D159" s="235">
        <v>3926</v>
      </c>
      <c r="E159" s="236">
        <v>4108</v>
      </c>
      <c r="F159" s="237">
        <v>4450</v>
      </c>
      <c r="G159" s="238">
        <v>11826</v>
      </c>
      <c r="H159" s="138">
        <v>0.37628953154067307</v>
      </c>
      <c r="I159" s="238">
        <v>11849</v>
      </c>
      <c r="J159" s="238">
        <v>4458.6546592254354</v>
      </c>
      <c r="K159" s="238">
        <v>4745.9926199261972</v>
      </c>
      <c r="L159" s="144">
        <v>6.4444991294902998E-2</v>
      </c>
      <c r="M159" s="239" t="s">
        <v>27</v>
      </c>
      <c r="N159" s="140" t="s">
        <v>27</v>
      </c>
      <c r="O159" s="240">
        <v>4745.9926199261972</v>
      </c>
      <c r="P159" s="142">
        <v>6.4444991294902998E-2</v>
      </c>
      <c r="Q159" s="241">
        <v>4745.9926199261972</v>
      </c>
      <c r="R159" s="144">
        <v>6.4444991294902998E-2</v>
      </c>
      <c r="S159" s="241">
        <v>4823.1802652144579</v>
      </c>
      <c r="T159" s="144">
        <v>8.1756860275056242E-2</v>
      </c>
      <c r="U159" s="241">
        <v>5212.3287810163492</v>
      </c>
      <c r="V159" s="144">
        <v>0.16903621818556447</v>
      </c>
      <c r="W159" s="241">
        <v>5016.876317756868</v>
      </c>
      <c r="X159" s="144">
        <v>0.12519957278512517</v>
      </c>
      <c r="Y159" s="145">
        <v>6.4444991294902998E-2</v>
      </c>
      <c r="Z159" s="242">
        <v>6.7333528028706846E-3</v>
      </c>
      <c r="AA159" s="243">
        <v>-50668.74538745387</v>
      </c>
      <c r="AB159" s="244">
        <v>27.405904059040587</v>
      </c>
      <c r="AC159" s="243">
        <v>5212.3287810163492</v>
      </c>
      <c r="AD159" s="243">
        <v>5282.791940481131</v>
      </c>
      <c r="AE159" s="243">
        <v>5501.1533713916806</v>
      </c>
      <c r="AF159" s="243">
        <v>5576.3280251715532</v>
      </c>
      <c r="AG159" s="243">
        <v>5652.7289767312031</v>
      </c>
      <c r="AH159" s="243">
        <v>5730.3762302365176</v>
      </c>
      <c r="AI159" s="243">
        <v>5809.2901161743321</v>
      </c>
      <c r="AJ159" s="243">
        <v>5889.4912966755837</v>
      </c>
      <c r="AK159" s="243">
        <v>5971.000770925315</v>
      </c>
      <c r="AL159" s="243">
        <v>6053.8398806609111</v>
      </c>
      <c r="AM159" s="243">
        <v>6138.0303157600429</v>
      </c>
      <c r="AN159" s="243">
        <v>6223.5941199197478</v>
      </c>
      <c r="AO159" s="243">
        <v>6310.5536964281691</v>
      </c>
      <c r="AP159" s="243">
        <v>6398.931814030444</v>
      </c>
      <c r="AQ159" s="243">
        <v>6488.7516128902589</v>
      </c>
      <c r="AR159" s="243">
        <v>6580.0366106486872</v>
      </c>
      <c r="AS159" s="243">
        <v>6672.8107085818374</v>
      </c>
      <c r="AT159" s="243">
        <v>6767.0981978589589</v>
      </c>
      <c r="AU159" s="243">
        <v>6862.9237659026257</v>
      </c>
      <c r="AV159" s="243">
        <v>6960.312502852692</v>
      </c>
      <c r="AW159" s="243">
        <v>7059.2899081356645</v>
      </c>
      <c r="AX159" s="243">
        <v>7159.8818971412584</v>
      </c>
      <c r="AY159" s="243"/>
      <c r="AZ159" s="243"/>
      <c r="BA159" s="243"/>
    </row>
    <row r="160" spans="1:74" ht="15">
      <c r="A160" s="232" t="s">
        <v>111</v>
      </c>
      <c r="B160" s="233" t="s">
        <v>253</v>
      </c>
      <c r="C160" s="234" t="s">
        <v>42</v>
      </c>
      <c r="D160" s="235">
        <v>7987</v>
      </c>
      <c r="E160" s="236">
        <v>11174</v>
      </c>
      <c r="F160" s="237">
        <v>12126</v>
      </c>
      <c r="G160" s="238">
        <v>69633</v>
      </c>
      <c r="H160" s="138">
        <v>0.17414157080694498</v>
      </c>
      <c r="I160" s="238">
        <v>102512</v>
      </c>
      <c r="J160" s="238">
        <v>17851.600706561545</v>
      </c>
      <c r="K160" s="238">
        <v>17038.328652194905</v>
      </c>
      <c r="L160" s="144">
        <v>-4.5557374250910332E-2</v>
      </c>
      <c r="M160" s="239" t="s">
        <v>104</v>
      </c>
      <c r="N160" s="166" t="s">
        <v>104</v>
      </c>
      <c r="O160" s="240">
        <v>17038.328652194905</v>
      </c>
      <c r="P160" s="142">
        <v>-4.5557374250910332E-2</v>
      </c>
      <c r="Q160" s="241">
        <v>15115.996309963113</v>
      </c>
      <c r="R160" s="144">
        <v>-0.15324140627864991</v>
      </c>
      <c r="S160" s="241">
        <v>13522.679648095364</v>
      </c>
      <c r="T160" s="144">
        <v>-0.24249484007756461</v>
      </c>
      <c r="U160" s="241">
        <v>14248.038010314518</v>
      </c>
      <c r="V160" s="144">
        <v>-0.20186216101744303</v>
      </c>
      <c r="W160" s="241">
        <v>17038.328652194905</v>
      </c>
      <c r="X160" s="144">
        <v>-4.5557374250910332E-2</v>
      </c>
      <c r="Y160" s="145">
        <v>4.5557374250910332E-2</v>
      </c>
      <c r="Z160" s="242">
        <v>9.1260862692887912E-3</v>
      </c>
      <c r="AA160" s="243">
        <v>-429123.37269372685</v>
      </c>
      <c r="AB160" s="244">
        <v>219.70295202952025</v>
      </c>
      <c r="AC160" s="243">
        <v>14248.038010314518</v>
      </c>
      <c r="AD160" s="243">
        <v>14444.181074087828</v>
      </c>
      <c r="AE160" s="243">
        <v>15052.017571827135</v>
      </c>
      <c r="AF160" s="243">
        <v>15261.275672407362</v>
      </c>
      <c r="AG160" s="243">
        <v>15473.947327041242</v>
      </c>
      <c r="AH160" s="243">
        <v>15690.088219839661</v>
      </c>
      <c r="AI160" s="243">
        <v>15909.754943268897</v>
      </c>
      <c r="AJ160" s="243">
        <v>16133.005012968293</v>
      </c>
      <c r="AK160" s="243">
        <v>16359.896882809648</v>
      </c>
      <c r="AL160" s="243">
        <v>16590.489960202303</v>
      </c>
      <c r="AM160" s="243">
        <v>16824.844621647837</v>
      </c>
      <c r="AN160" s="243">
        <v>17063.022228548536</v>
      </c>
      <c r="AO160" s="243">
        <v>17305.085143273733</v>
      </c>
      <c r="AP160" s="243">
        <v>17551.096745488248</v>
      </c>
      <c r="AQ160" s="243">
        <v>17801.121448747152</v>
      </c>
      <c r="AR160" s="243">
        <v>18055.22471736126</v>
      </c>
      <c r="AS160" s="243">
        <v>18313.473083537749</v>
      </c>
      <c r="AT160" s="243">
        <v>18575.934164800372</v>
      </c>
      <c r="AU160" s="243">
        <v>18842.676681693858</v>
      </c>
      <c r="AV160" s="243">
        <v>19113.770475777084</v>
      </c>
      <c r="AW160" s="243">
        <v>19389.2865279098</v>
      </c>
      <c r="AX160" s="243">
        <v>19669.296976837661</v>
      </c>
      <c r="AY160" s="167">
        <v>16151.157411961332</v>
      </c>
      <c r="AZ160" s="168">
        <f>(($BF160-$AY160)/($BF$4-$AY$4))*(AZ$4-$BF$4)+$BF160</f>
        <v>17038.328652194905</v>
      </c>
      <c r="BA160" s="168">
        <f t="shared" ref="BA160:BE160" si="24">(($BF160-$AY160)/($BF$4-$AY$4))*(BA$4-$BF$4)+$BF160</f>
        <v>17481.914272311693</v>
      </c>
      <c r="BB160" s="168">
        <f t="shared" si="24"/>
        <v>18812.671132662053</v>
      </c>
      <c r="BC160" s="168">
        <f t="shared" si="24"/>
        <v>19256.256752778838</v>
      </c>
      <c r="BD160" s="168">
        <f t="shared" si="24"/>
        <v>19699.842372895626</v>
      </c>
      <c r="BE160" s="168">
        <f t="shared" si="24"/>
        <v>20143.42799301241</v>
      </c>
      <c r="BF160" s="167">
        <v>20587.013613129198</v>
      </c>
      <c r="BG160" s="169">
        <f>(($BU160-$BF160)/($BU$4-$BF$4))*(BG$4-$BU$4)+$BU160</f>
        <v>21127.185956708629</v>
      </c>
      <c r="BH160" s="169">
        <f t="shared" ref="BH160:BT160" si="25">(($BU160-$BF160)/($BU$4-$BF$4))*(BH$4-$BU$4)+$BU160</f>
        <v>21667.358300288059</v>
      </c>
      <c r="BI160" s="169">
        <f t="shared" si="25"/>
        <v>22207.530643867489</v>
      </c>
      <c r="BJ160" s="169">
        <f t="shared" si="25"/>
        <v>22747.702987446919</v>
      </c>
      <c r="BK160" s="169">
        <f t="shared" si="25"/>
        <v>23287.875331026349</v>
      </c>
      <c r="BL160" s="169">
        <f t="shared" si="25"/>
        <v>23828.047674605783</v>
      </c>
      <c r="BM160" s="169">
        <f t="shared" si="25"/>
        <v>24368.220018185209</v>
      </c>
      <c r="BN160" s="169">
        <f t="shared" si="25"/>
        <v>24908.392361764643</v>
      </c>
      <c r="BO160" s="169">
        <f t="shared" si="25"/>
        <v>25448.564705344073</v>
      </c>
      <c r="BP160" s="169">
        <f t="shared" si="25"/>
        <v>25988.737048923504</v>
      </c>
      <c r="BQ160" s="169">
        <f t="shared" si="25"/>
        <v>26528.909392502934</v>
      </c>
      <c r="BR160" s="169">
        <f t="shared" si="25"/>
        <v>27069.081736082364</v>
      </c>
      <c r="BS160" s="169">
        <f t="shared" si="25"/>
        <v>27609.254079661794</v>
      </c>
      <c r="BT160" s="169">
        <f t="shared" si="25"/>
        <v>28149.426423241224</v>
      </c>
      <c r="BU160" s="167">
        <v>28689.598766820654</v>
      </c>
    </row>
    <row r="161" spans="1:74" ht="15">
      <c r="A161" s="189"/>
      <c r="B161" s="216" t="s">
        <v>254</v>
      </c>
      <c r="C161" s="222"/>
      <c r="D161" s="218"/>
      <c r="E161" s="219"/>
      <c r="F161" s="220"/>
      <c r="G161" s="195"/>
      <c r="H161" s="196"/>
      <c r="I161" s="195"/>
      <c r="J161" s="195"/>
      <c r="K161" s="195"/>
      <c r="L161" s="196"/>
      <c r="M161" s="197"/>
      <c r="N161" s="198"/>
      <c r="O161" s="199"/>
      <c r="P161" s="200"/>
      <c r="Q161" s="195"/>
      <c r="R161" s="196"/>
      <c r="S161" s="195"/>
      <c r="T161" s="196"/>
      <c r="U161" s="195"/>
      <c r="V161" s="196"/>
      <c r="W161" s="195"/>
      <c r="X161" s="196"/>
      <c r="Y161" s="201"/>
      <c r="Z161" s="202"/>
      <c r="AA161" s="203"/>
      <c r="AB161" s="204"/>
      <c r="AC161" s="203"/>
      <c r="AD161" s="203"/>
      <c r="AE161" s="203"/>
      <c r="AF161" s="203"/>
      <c r="AG161" s="203"/>
      <c r="AH161" s="203"/>
      <c r="AI161" s="203"/>
      <c r="AJ161" s="203"/>
      <c r="AK161" s="203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3"/>
      <c r="BB161" s="203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3"/>
      <c r="BS161" s="203"/>
      <c r="BT161" s="203"/>
      <c r="BU161" s="203"/>
      <c r="BV161" s="205"/>
    </row>
    <row r="162" spans="1:74" ht="15">
      <c r="A162" s="232" t="s">
        <v>111</v>
      </c>
      <c r="B162" s="233" t="s">
        <v>549</v>
      </c>
      <c r="C162" s="234" t="s">
        <v>184</v>
      </c>
      <c r="D162" s="235">
        <v>3413</v>
      </c>
      <c r="E162" s="236">
        <v>3430</v>
      </c>
      <c r="F162" s="237">
        <v>3404</v>
      </c>
      <c r="G162" s="238">
        <v>16799</v>
      </c>
      <c r="H162" s="138">
        <v>0.202631108994583</v>
      </c>
      <c r="I162" s="238">
        <v>17475</v>
      </c>
      <c r="J162" s="238">
        <v>3540.9786296803381</v>
      </c>
      <c r="K162" s="238">
        <v>3406.4169741697415</v>
      </c>
      <c r="L162" s="144">
        <v>-3.8001261680233323E-2</v>
      </c>
      <c r="M162" s="239" t="s">
        <v>27</v>
      </c>
      <c r="N162" s="140" t="s">
        <v>27</v>
      </c>
      <c r="O162" s="240">
        <v>3406.4169741697415</v>
      </c>
      <c r="P162" s="142">
        <v>-3.8001261680233323E-2</v>
      </c>
      <c r="Q162" s="241">
        <v>3406.4169741697415</v>
      </c>
      <c r="R162" s="144">
        <v>-3.8001261680233323E-2</v>
      </c>
      <c r="S162" s="241">
        <v>3369.6396507589598</v>
      </c>
      <c r="T162" s="144">
        <v>-4.8387464833936633E-2</v>
      </c>
      <c r="U162" s="241">
        <v>3346.0451803905698</v>
      </c>
      <c r="V162" s="144">
        <v>-5.5050727405086319E-2</v>
      </c>
      <c r="W162" s="241">
        <v>3273.79100349808</v>
      </c>
      <c r="X162" s="144">
        <v>-7.5455870855221319E-2</v>
      </c>
      <c r="Y162" s="145">
        <v>3.8001261680233323E-2</v>
      </c>
      <c r="Z162" s="242">
        <v>-8.4509275966082598E-4</v>
      </c>
      <c r="AA162" s="243">
        <v>4283.1143911439112</v>
      </c>
      <c r="AB162" s="244">
        <v>-0.43357933579335806</v>
      </c>
      <c r="AC162" s="243">
        <v>3346.0451803905698</v>
      </c>
      <c r="AD162" s="243">
        <v>3340.6883320102061</v>
      </c>
      <c r="AE162" s="243">
        <v>3324.0877553912756</v>
      </c>
      <c r="AF162" s="243">
        <v>3318.3727232325718</v>
      </c>
      <c r="AG162" s="243">
        <v>3312.5644637572768</v>
      </c>
      <c r="AH162" s="243">
        <v>3306.6614561808497</v>
      </c>
      <c r="AI162" s="243">
        <v>3300.6621549107231</v>
      </c>
      <c r="AJ162" s="243">
        <v>3294.5649891416224</v>
      </c>
      <c r="AK162" s="243">
        <v>3288.3683624442742</v>
      </c>
      <c r="AL162" s="243">
        <v>3282.0706523474159</v>
      </c>
      <c r="AM162" s="243">
        <v>3275.6702099129789</v>
      </c>
      <c r="AN162" s="243">
        <v>3269.1653593043466</v>
      </c>
      <c r="AO162" s="243">
        <v>3262.554397347566</v>
      </c>
      <c r="AP162" s="243">
        <v>3255.835593085405</v>
      </c>
      <c r="AQ162" s="243">
        <v>3249.0071873241322</v>
      </c>
      <c r="AR162" s="243">
        <v>3242.0673921729067</v>
      </c>
      <c r="AS162" s="243">
        <v>3235.0143905756495</v>
      </c>
      <c r="AT162" s="243">
        <v>3227.8463358352838</v>
      </c>
      <c r="AU162" s="243">
        <v>3220.5613511302099</v>
      </c>
      <c r="AV162" s="243">
        <v>3213.1575290228948</v>
      </c>
      <c r="AW162" s="243">
        <v>3205.6329309604462</v>
      </c>
      <c r="AX162" s="243">
        <v>3197.9855867670385</v>
      </c>
      <c r="AY162" s="243"/>
      <c r="AZ162" s="243"/>
      <c r="BA162" s="243"/>
    </row>
    <row r="163" spans="1:74" ht="15">
      <c r="A163" s="232" t="s">
        <v>111</v>
      </c>
      <c r="B163" s="233" t="s">
        <v>255</v>
      </c>
      <c r="C163" s="234" t="s">
        <v>56</v>
      </c>
      <c r="D163" s="235">
        <v>2999</v>
      </c>
      <c r="E163" s="236">
        <v>5204</v>
      </c>
      <c r="F163" s="237">
        <v>7713</v>
      </c>
      <c r="G163" s="238">
        <v>21279</v>
      </c>
      <c r="H163" s="138">
        <v>0.36247004088537993</v>
      </c>
      <c r="I163" s="238">
        <v>33127</v>
      </c>
      <c r="J163" s="238">
        <v>12007.545044409981</v>
      </c>
      <c r="K163" s="238">
        <v>13033.810106132594</v>
      </c>
      <c r="L163" s="144">
        <v>8.5468349935558408E-2</v>
      </c>
      <c r="M163" s="239" t="s">
        <v>26</v>
      </c>
      <c r="N163" s="140" t="s">
        <v>26</v>
      </c>
      <c r="O163" s="240">
        <v>13033.810106132594</v>
      </c>
      <c r="P163" s="142">
        <v>8.5468349935558408E-2</v>
      </c>
      <c r="Q163" s="241">
        <v>10587.380073800683</v>
      </c>
      <c r="R163" s="144">
        <v>-0.11827271647591653</v>
      </c>
      <c r="S163" s="241">
        <v>13033.810106132594</v>
      </c>
      <c r="T163" s="144">
        <v>8.5468349935558408E-2</v>
      </c>
      <c r="U163" s="241">
        <v>13305.640092310001</v>
      </c>
      <c r="V163" s="144">
        <v>0.10810661489080475</v>
      </c>
      <c r="W163" s="241">
        <v>20416.78663514067</v>
      </c>
      <c r="X163" s="144">
        <v>0.7003297976088414</v>
      </c>
      <c r="Y163" s="145">
        <v>8.5468349935558408E-2</v>
      </c>
      <c r="Z163" s="242">
        <v>4.4689760893204422E-2</v>
      </c>
      <c r="AA163" s="243">
        <v>-490051.61254612543</v>
      </c>
      <c r="AB163" s="244">
        <v>247.59594095940955</v>
      </c>
      <c r="AC163" s="243">
        <v>13305.640092310001</v>
      </c>
      <c r="AD163" s="243">
        <v>13822.575961015085</v>
      </c>
      <c r="AE163" s="243">
        <v>15424.531604741893</v>
      </c>
      <c r="AF163" s="243">
        <v>15976.0322080568</v>
      </c>
      <c r="AG163" s="243">
        <v>16536.529247422768</v>
      </c>
      <c r="AH163" s="243">
        <v>17106.169478548018</v>
      </c>
      <c r="AI163" s="243">
        <v>17685.102051115202</v>
      </c>
      <c r="AJ163" s="243">
        <v>18273.478547833452</v>
      </c>
      <c r="AK163" s="243">
        <v>18871.453024127539</v>
      </c>
      <c r="AL163" s="243">
        <v>19479.182048474358</v>
      </c>
      <c r="AM163" s="243">
        <v>20096.824743397508</v>
      </c>
      <c r="AN163" s="243">
        <v>20724.542827130546</v>
      </c>
      <c r="AO163" s="243">
        <v>21362.500655959873</v>
      </c>
      <c r="AP163" s="243">
        <v>22010.865267258425</v>
      </c>
      <c r="AQ163" s="243">
        <v>22669.806423221231</v>
      </c>
      <c r="AR163" s="243">
        <v>23339.496655314499</v>
      </c>
      <c r="AS163" s="243">
        <v>24020.111309449803</v>
      </c>
      <c r="AT163" s="243">
        <v>24711.828591895108</v>
      </c>
      <c r="AU163" s="243">
        <v>25414.829615934759</v>
      </c>
      <c r="AV163" s="243">
        <v>26129.298449290654</v>
      </c>
      <c r="AW163" s="243">
        <v>26855.422162316914</v>
      </c>
      <c r="AX163" s="243">
        <v>27593.390876980753</v>
      </c>
      <c r="AY163" s="243"/>
      <c r="AZ163" s="243"/>
      <c r="BA163" s="243"/>
    </row>
    <row r="164" spans="1:74" ht="15">
      <c r="A164" s="189"/>
      <c r="B164" s="216" t="s">
        <v>256</v>
      </c>
      <c r="C164" s="222"/>
      <c r="D164" s="218"/>
      <c r="E164" s="219"/>
      <c r="F164" s="220"/>
      <c r="G164" s="195"/>
      <c r="H164" s="196"/>
      <c r="I164" s="195"/>
      <c r="J164" s="195"/>
      <c r="K164" s="195"/>
      <c r="L164" s="196"/>
      <c r="M164" s="197"/>
      <c r="N164" s="198"/>
      <c r="O164" s="199"/>
      <c r="P164" s="200"/>
      <c r="Q164" s="195"/>
      <c r="R164" s="196"/>
      <c r="S164" s="195"/>
      <c r="T164" s="196"/>
      <c r="U164" s="195"/>
      <c r="V164" s="196"/>
      <c r="W164" s="195"/>
      <c r="X164" s="196"/>
      <c r="Y164" s="201"/>
      <c r="Z164" s="202"/>
      <c r="AA164" s="203"/>
      <c r="AB164" s="204"/>
      <c r="AC164" s="203"/>
      <c r="AD164" s="203"/>
      <c r="AE164" s="203"/>
      <c r="AF164" s="203"/>
      <c r="AG164" s="203"/>
      <c r="AH164" s="203"/>
      <c r="AI164" s="203"/>
      <c r="AJ164" s="203"/>
      <c r="AK164" s="203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3"/>
      <c r="BB164" s="203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3"/>
      <c r="BS164" s="203"/>
      <c r="BT164" s="203"/>
      <c r="BU164" s="203"/>
      <c r="BV164" s="205"/>
    </row>
    <row r="165" spans="1:74" ht="15">
      <c r="A165" s="232" t="s">
        <v>111</v>
      </c>
      <c r="B165" s="233" t="s">
        <v>257</v>
      </c>
      <c r="C165" s="234" t="s">
        <v>210</v>
      </c>
      <c r="D165" s="235">
        <v>5388</v>
      </c>
      <c r="E165" s="236">
        <v>5389</v>
      </c>
      <c r="F165" s="237">
        <v>5547</v>
      </c>
      <c r="G165" s="238">
        <v>15743</v>
      </c>
      <c r="H165" s="138">
        <v>0.35234707489042749</v>
      </c>
      <c r="I165" s="238">
        <v>16150</v>
      </c>
      <c r="J165" s="238">
        <v>5690.4052594804043</v>
      </c>
      <c r="K165" s="238">
        <v>5655.6147336998665</v>
      </c>
      <c r="L165" s="144">
        <v>-6.1138924547730067E-3</v>
      </c>
      <c r="M165" s="239" t="s">
        <v>26</v>
      </c>
      <c r="N165" s="140" t="s">
        <v>26</v>
      </c>
      <c r="O165" s="240">
        <v>5655.6147336998665</v>
      </c>
      <c r="P165" s="142">
        <v>-6.1138924547730067E-3</v>
      </c>
      <c r="Q165" s="241">
        <v>5616.6051660516605</v>
      </c>
      <c r="R165" s="144">
        <v>-1.2969215734817907E-2</v>
      </c>
      <c r="S165" s="241">
        <v>5655.6147336998665</v>
      </c>
      <c r="T165" s="144">
        <v>-6.1138924547730067E-3</v>
      </c>
      <c r="U165" s="241">
        <v>5899.18698070346</v>
      </c>
      <c r="V165" s="144">
        <v>3.6690132196686376E-2</v>
      </c>
      <c r="W165" s="241">
        <v>5609.0111118405348</v>
      </c>
      <c r="X165" s="144">
        <v>-1.4303752356524035E-2</v>
      </c>
      <c r="Y165" s="145">
        <v>6.1138924547730067E-3</v>
      </c>
      <c r="Z165" s="242">
        <v>1.6172704411440142E-3</v>
      </c>
      <c r="AA165" s="243">
        <v>-10995.878228782291</v>
      </c>
      <c r="AB165" s="244">
        <v>8.2158671586715872</v>
      </c>
      <c r="AC165" s="243">
        <v>5899.18698070346</v>
      </c>
      <c r="AD165" s="243">
        <v>5931.7401362456694</v>
      </c>
      <c r="AE165" s="243">
        <v>6032.6205633914778</v>
      </c>
      <c r="AF165" s="243">
        <v>6067.3503742020621</v>
      </c>
      <c r="AG165" s="243">
        <v>6102.6467202442391</v>
      </c>
      <c r="AH165" s="243">
        <v>6138.5188432086834</v>
      </c>
      <c r="AI165" s="243">
        <v>6174.9761355425271</v>
      </c>
      <c r="AJ165" s="243">
        <v>6212.0281429086026</v>
      </c>
      <c r="AK165" s="243">
        <v>6249.6845666847948</v>
      </c>
      <c r="AL165" s="243">
        <v>6287.9552665041647</v>
      </c>
      <c r="AM165" s="243">
        <v>6326.8502628365113</v>
      </c>
      <c r="AN165" s="243">
        <v>6366.3797396120463</v>
      </c>
      <c r="AO165" s="243">
        <v>6406.554046887868</v>
      </c>
      <c r="AP165" s="243">
        <v>6447.3837035579236</v>
      </c>
      <c r="AQ165" s="243">
        <v>6488.8794001071947</v>
      </c>
      <c r="AR165" s="243">
        <v>6531.0520014107969</v>
      </c>
      <c r="AS165" s="243">
        <v>6573.9125495787439</v>
      </c>
      <c r="AT165" s="243">
        <v>6617.4722668471213</v>
      </c>
      <c r="AU165" s="243">
        <v>6661.7425585164183</v>
      </c>
      <c r="AV165" s="243">
        <v>6706.7350159377929</v>
      </c>
      <c r="AW165" s="243">
        <v>6752.4614195480553</v>
      </c>
      <c r="AX165" s="243">
        <v>6798.9337419541489</v>
      </c>
      <c r="AY165" s="243"/>
      <c r="AZ165" s="243"/>
      <c r="BA165" s="243"/>
    </row>
    <row r="166" spans="1:74" ht="15">
      <c r="A166" s="232" t="s">
        <v>111</v>
      </c>
      <c r="B166" s="233" t="s">
        <v>258</v>
      </c>
      <c r="C166" s="234" t="s">
        <v>213</v>
      </c>
      <c r="D166" s="235">
        <v>9840</v>
      </c>
      <c r="E166" s="236">
        <v>10052</v>
      </c>
      <c r="F166" s="237">
        <v>11280</v>
      </c>
      <c r="G166" s="238">
        <v>33042</v>
      </c>
      <c r="H166" s="138">
        <v>0.34138369348102415</v>
      </c>
      <c r="I166" s="238">
        <v>39035</v>
      </c>
      <c r="J166" s="238">
        <v>13325.912475031777</v>
      </c>
      <c r="K166" s="238">
        <v>12339.820545778741</v>
      </c>
      <c r="L166" s="144">
        <v>-7.3998079388607474E-2</v>
      </c>
      <c r="M166" s="239" t="s">
        <v>26</v>
      </c>
      <c r="N166" s="245" t="s">
        <v>26</v>
      </c>
      <c r="O166" s="240">
        <v>13159.681551359095</v>
      </c>
      <c r="P166" s="142">
        <v>-1.2474262005257919E-2</v>
      </c>
      <c r="Q166" s="241">
        <v>11986.022140221379</v>
      </c>
      <c r="R166" s="144">
        <v>-0.10054773639860659</v>
      </c>
      <c r="S166" s="241">
        <v>12339.820545778741</v>
      </c>
      <c r="T166" s="144">
        <v>-7.3998079388607474E-2</v>
      </c>
      <c r="U166" s="241">
        <v>14017.250710783848</v>
      </c>
      <c r="V166" s="144">
        <v>5.1879241819080324E-2</v>
      </c>
      <c r="W166" s="241">
        <v>13159.681551359095</v>
      </c>
      <c r="X166" s="144">
        <v>-1.2474262005257919E-2</v>
      </c>
      <c r="Y166" s="145">
        <v>1.2474262005257919E-2</v>
      </c>
      <c r="Z166" s="242">
        <v>7.511422743409879E-3</v>
      </c>
      <c r="AA166" s="243">
        <v>-139223.7638376384</v>
      </c>
      <c r="AB166" s="244">
        <v>74.782287822878232</v>
      </c>
      <c r="AC166" s="243">
        <v>14017.250710783848</v>
      </c>
      <c r="AD166" s="243">
        <v>14270.258780441023</v>
      </c>
      <c r="AE166" s="243">
        <v>15054.316783827437</v>
      </c>
      <c r="AF166" s="243">
        <v>15324.242148861598</v>
      </c>
      <c r="AG166" s="243">
        <v>15598.570711771683</v>
      </c>
      <c r="AH166" s="243">
        <v>15877.374300381414</v>
      </c>
      <c r="AI166" s="243">
        <v>16160.725914216606</v>
      </c>
      <c r="AJ166" s="243">
        <v>16448.699743618767</v>
      </c>
      <c r="AK166" s="243">
        <v>16741.37118917043</v>
      </c>
      <c r="AL166" s="243">
        <v>17038.816881437429</v>
      </c>
      <c r="AM166" s="243">
        <v>17341.114701033133</v>
      </c>
      <c r="AN166" s="243">
        <v>17648.343799010087</v>
      </c>
      <c r="AO166" s="243">
        <v>17960.584617584187</v>
      </c>
      <c r="AP166" s="243">
        <v>18277.918911197034</v>
      </c>
      <c r="AQ166" s="243">
        <v>18600.429767921749</v>
      </c>
      <c r="AR166" s="243">
        <v>18928.201631218093</v>
      </c>
      <c r="AS166" s="243">
        <v>19261.320322042389</v>
      </c>
      <c r="AT166" s="243">
        <v>19599.873061318132</v>
      </c>
      <c r="AU166" s="243">
        <v>19943.948492773176</v>
      </c>
      <c r="AV166" s="243">
        <v>20293.636706149431</v>
      </c>
      <c r="AW166" s="243">
        <v>20649.02926079122</v>
      </c>
      <c r="AX166" s="243">
        <v>21010.219209618321</v>
      </c>
      <c r="AY166" s="243"/>
      <c r="AZ166" s="243"/>
      <c r="BA166" s="243"/>
    </row>
    <row r="167" spans="1:74" ht="15">
      <c r="A167" s="232" t="s">
        <v>111</v>
      </c>
      <c r="B167" s="233" t="s">
        <v>259</v>
      </c>
      <c r="C167" s="234" t="s">
        <v>16</v>
      </c>
      <c r="D167" s="235">
        <v>895</v>
      </c>
      <c r="E167" s="236">
        <v>1514</v>
      </c>
      <c r="F167" s="237">
        <v>2165</v>
      </c>
      <c r="G167" s="238">
        <v>12723</v>
      </c>
      <c r="H167" s="138">
        <v>0.17016426943330976</v>
      </c>
      <c r="I167" s="238">
        <v>14413</v>
      </c>
      <c r="J167" s="238">
        <v>2452.5776153422935</v>
      </c>
      <c r="K167" s="238">
        <v>3487.9260458593612</v>
      </c>
      <c r="L167" s="144">
        <v>0.42214706031742422</v>
      </c>
      <c r="M167" s="239" t="s">
        <v>26</v>
      </c>
      <c r="N167" s="245" t="s">
        <v>26</v>
      </c>
      <c r="O167" s="240">
        <v>2948.6863468634547</v>
      </c>
      <c r="P167" s="142">
        <v>0.20228054289402042</v>
      </c>
      <c r="Q167" s="241">
        <v>2948.6863468634547</v>
      </c>
      <c r="R167" s="144">
        <v>0.20228054289402042</v>
      </c>
      <c r="S167" s="241">
        <v>3487.9260458593612</v>
      </c>
      <c r="T167" s="144">
        <v>0.42214706031742422</v>
      </c>
      <c r="U167" s="241">
        <v>3616.0995217591917</v>
      </c>
      <c r="V167" s="144">
        <v>0.47440778189378996</v>
      </c>
      <c r="W167" s="241">
        <v>5321.7188378104747</v>
      </c>
      <c r="X167" s="144">
        <v>1.1698472678377398</v>
      </c>
      <c r="Y167" s="145">
        <v>0.20228054289402042</v>
      </c>
      <c r="Z167" s="242">
        <v>4.0540800513102715E-2</v>
      </c>
      <c r="AA167" s="243">
        <v>-132021.67896678971</v>
      </c>
      <c r="AB167" s="244">
        <v>66.750922509225106</v>
      </c>
      <c r="AC167" s="243">
        <v>3616.0995217591917</v>
      </c>
      <c r="AD167" s="243">
        <v>3750.2267638982939</v>
      </c>
      <c r="AE167" s="243">
        <v>4165.8796630876732</v>
      </c>
      <c r="AF167" s="243">
        <v>4308.9752759844469</v>
      </c>
      <c r="AG167" s="243">
        <v>4454.4051574620262</v>
      </c>
      <c r="AH167" s="243">
        <v>4602.207385625652</v>
      </c>
      <c r="AI167" s="243">
        <v>4752.4206597353514</v>
      </c>
      <c r="AJ167" s="243">
        <v>4905.0843103386123</v>
      </c>
      <c r="AK167" s="243">
        <v>5060.2383095683635</v>
      </c>
      <c r="AL167" s="243">
        <v>5217.9232816089298</v>
      </c>
      <c r="AM167" s="243">
        <v>5378.1805133327125</v>
      </c>
      <c r="AN167" s="243">
        <v>5541.051965110395</v>
      </c>
      <c r="AO167" s="243">
        <v>5706.5802817974818</v>
      </c>
      <c r="AP167" s="243">
        <v>5874.808803900054</v>
      </c>
      <c r="AQ167" s="243">
        <v>6045.7815789226861</v>
      </c>
      <c r="AR167" s="243">
        <v>6219.5433729014494</v>
      </c>
      <c r="AS167" s="243">
        <v>6396.1396821250783</v>
      </c>
      <c r="AT167" s="243">
        <v>6575.6167450473185</v>
      </c>
      <c r="AU167" s="243">
        <v>6758.0215543935974</v>
      </c>
      <c r="AV167" s="243">
        <v>6943.401869465215</v>
      </c>
      <c r="AW167" s="243">
        <v>7131.8062286442055</v>
      </c>
      <c r="AX167" s="243">
        <v>7323.2839621022213</v>
      </c>
      <c r="AY167" s="243"/>
      <c r="AZ167" s="243"/>
      <c r="BA167" s="243"/>
    </row>
    <row r="168" spans="1:74" ht="15">
      <c r="A168" s="232" t="s">
        <v>111</v>
      </c>
      <c r="B168" s="233" t="s">
        <v>260</v>
      </c>
      <c r="C168" s="234" t="s">
        <v>240</v>
      </c>
      <c r="D168" s="235">
        <v>3663</v>
      </c>
      <c r="E168" s="236">
        <v>4268</v>
      </c>
      <c r="F168" s="237">
        <v>5372</v>
      </c>
      <c r="G168" s="238">
        <v>31014</v>
      </c>
      <c r="H168" s="138">
        <v>0.1732120977623009</v>
      </c>
      <c r="I168" s="238">
        <v>32979</v>
      </c>
      <c r="J168" s="238">
        <v>5712.3617721029213</v>
      </c>
      <c r="K168" s="238">
        <v>6865.0706208041511</v>
      </c>
      <c r="L168" s="144">
        <v>0.20179198984396196</v>
      </c>
      <c r="M168" s="239" t="s">
        <v>26</v>
      </c>
      <c r="N168" s="245" t="s">
        <v>26</v>
      </c>
      <c r="O168" s="240">
        <v>6341.6199261992588</v>
      </c>
      <c r="P168" s="142">
        <v>0.11015726580368268</v>
      </c>
      <c r="Q168" s="241">
        <v>6341.6199261992588</v>
      </c>
      <c r="R168" s="144">
        <v>0.11015726580368268</v>
      </c>
      <c r="S168" s="241">
        <v>6865.0706208041511</v>
      </c>
      <c r="T168" s="144">
        <v>0.20179198984396196</v>
      </c>
      <c r="U168" s="241">
        <v>7832.8508018773373</v>
      </c>
      <c r="V168" s="144">
        <v>0.37121056305118949</v>
      </c>
      <c r="W168" s="241">
        <v>8201.1883241108044</v>
      </c>
      <c r="X168" s="144">
        <v>0.4356913394670483</v>
      </c>
      <c r="Y168" s="145">
        <v>0.11015726580368268</v>
      </c>
      <c r="Z168" s="242">
        <v>2.064743959522497E-2</v>
      </c>
      <c r="AA168" s="243">
        <v>-174433.38745387451</v>
      </c>
      <c r="AB168" s="244">
        <v>89.404059040590397</v>
      </c>
      <c r="AC168" s="243">
        <v>7832.8508018773373</v>
      </c>
      <c r="AD168" s="243">
        <v>8060.3108254127746</v>
      </c>
      <c r="AE168" s="243">
        <v>8765.1968480012147</v>
      </c>
      <c r="AF168" s="243">
        <v>9007.8659058169396</v>
      </c>
      <c r="AG168" s="243">
        <v>9254.4935389217735</v>
      </c>
      <c r="AH168" s="243">
        <v>9505.1443221670033</v>
      </c>
      <c r="AI168" s="243">
        <v>9759.8838837908243</v>
      </c>
      <c r="AJ168" s="243">
        <v>10018.778922601885</v>
      </c>
      <c r="AK168" s="243">
        <v>10281.897225443123</v>
      </c>
      <c r="AL168" s="243">
        <v>10549.307684940488</v>
      </c>
      <c r="AM168" s="243">
        <v>10821.080317541189</v>
      </c>
      <c r="AN168" s="243">
        <v>11097.2862818462</v>
      </c>
      <c r="AO168" s="243">
        <v>11377.997897241808</v>
      </c>
      <c r="AP168" s="243">
        <v>11663.288662835113</v>
      </c>
      <c r="AQ168" s="243">
        <v>11953.233276698378</v>
      </c>
      <c r="AR168" s="243">
        <v>12247.907655427343</v>
      </c>
      <c r="AS168" s="243">
        <v>12547.388954018563</v>
      </c>
      <c r="AT168" s="243">
        <v>12851.755586071022</v>
      </c>
      <c r="AU168" s="243">
        <v>13161.087244317248</v>
      </c>
      <c r="AV168" s="243">
        <v>13475.464921489391</v>
      </c>
      <c r="AW168" s="243">
        <v>13794.970931525653</v>
      </c>
      <c r="AX168" s="243">
        <v>14119.688931122662</v>
      </c>
      <c r="AY168" s="243"/>
      <c r="AZ168" s="243"/>
      <c r="BA168" s="243"/>
    </row>
    <row r="169" spans="1:74" ht="15">
      <c r="A169" s="232" t="s">
        <v>111</v>
      </c>
      <c r="B169" s="233" t="s">
        <v>261</v>
      </c>
      <c r="C169" s="234" t="s">
        <v>240</v>
      </c>
      <c r="D169" s="235">
        <v>4205</v>
      </c>
      <c r="E169" s="236">
        <v>6626</v>
      </c>
      <c r="F169" s="237">
        <v>9494</v>
      </c>
      <c r="G169" s="238">
        <v>31014</v>
      </c>
      <c r="H169" s="138">
        <v>0.30611981685690332</v>
      </c>
      <c r="I169" s="238">
        <v>32979</v>
      </c>
      <c r="J169" s="238">
        <v>10095.525440123814</v>
      </c>
      <c r="K169" s="238">
        <v>15336.030202559201</v>
      </c>
      <c r="L169" s="144">
        <v>0.51909182870338211</v>
      </c>
      <c r="M169" s="239" t="s">
        <v>26</v>
      </c>
      <c r="N169" s="245" t="s">
        <v>26</v>
      </c>
      <c r="O169" s="240">
        <v>12699.250922509236</v>
      </c>
      <c r="P169" s="142">
        <v>0.25790886247853284</v>
      </c>
      <c r="Q169" s="241">
        <v>12699.250922509236</v>
      </c>
      <c r="R169" s="144">
        <v>0.25790886247853284</v>
      </c>
      <c r="S169" s="241">
        <v>15336.030202559201</v>
      </c>
      <c r="T169" s="144">
        <v>0.51909182870338211</v>
      </c>
      <c r="U169" s="241">
        <v>15886.862409224825</v>
      </c>
      <c r="V169" s="144">
        <v>0.57365384332387781</v>
      </c>
      <c r="W169" s="241">
        <v>22161.287854463582</v>
      </c>
      <c r="X169" s="144">
        <v>1.1951594283924454</v>
      </c>
      <c r="Y169" s="145">
        <v>0.25790886247853284</v>
      </c>
      <c r="Z169" s="242">
        <v>4.0771306962635867E-2</v>
      </c>
      <c r="AA169" s="243">
        <v>-548808.6568265683</v>
      </c>
      <c r="AB169" s="244">
        <v>277.69926199261994</v>
      </c>
      <c r="AC169" s="243">
        <v>15886.862409224825</v>
      </c>
      <c r="AD169" s="243">
        <v>16477.763992104927</v>
      </c>
      <c r="AE169" s="243">
        <v>18308.9352899162</v>
      </c>
      <c r="AF169" s="243">
        <v>18939.347298807053</v>
      </c>
      <c r="AG169" s="243">
        <v>19580.042997851131</v>
      </c>
      <c r="AH169" s="243">
        <v>20231.190141281673</v>
      </c>
      <c r="AI169" s="243">
        <v>20892.9592198479</v>
      </c>
      <c r="AJ169" s="243">
        <v>21565.523505454901</v>
      </c>
      <c r="AK169" s="243">
        <v>22249.05909653159</v>
      </c>
      <c r="AL169" s="243">
        <v>22943.744964138881</v>
      </c>
      <c r="AM169" s="243">
        <v>23649.762998829829</v>
      </c>
      <c r="AN169" s="243">
        <v>24367.298058274369</v>
      </c>
      <c r="AO169" s="243">
        <v>25096.538015660786</v>
      </c>
      <c r="AP169" s="243">
        <v>25837.673808886873</v>
      </c>
      <c r="AQ169" s="243">
        <v>26590.899490553398</v>
      </c>
      <c r="AR169" s="243">
        <v>27356.412278773205</v>
      </c>
      <c r="AS169" s="243">
        <v>28134.4126088091</v>
      </c>
      <c r="AT169" s="243">
        <v>28925.104185554068</v>
      </c>
      <c r="AU169" s="243">
        <v>29728.694036867637</v>
      </c>
      <c r="AV169" s="243">
        <v>30545.392567782226</v>
      </c>
      <c r="AW169" s="243">
        <v>31375.413615593818</v>
      </c>
      <c r="AX169" s="243">
        <v>32218.974505851264</v>
      </c>
      <c r="AY169" s="243"/>
      <c r="AZ169" s="243"/>
      <c r="BA169" s="243"/>
    </row>
  </sheetData>
  <autoFilter ref="A4:BU169" xr:uid="{00000000-0009-0000-0000-000010000000}"/>
  <mergeCells count="10">
    <mergeCell ref="AA3:AB3"/>
    <mergeCell ref="AE3:AX3"/>
    <mergeCell ref="AY3:BU3"/>
    <mergeCell ref="B1:E1"/>
    <mergeCell ref="Q2:X2"/>
    <mergeCell ref="N3:P3"/>
    <mergeCell ref="Q3:R3"/>
    <mergeCell ref="S3:T3"/>
    <mergeCell ref="U3:V3"/>
    <mergeCell ref="W3:X3"/>
  </mergeCells>
  <pageMargins left="0.75" right="0.75" top="1" bottom="1" header="0" footer="0"/>
  <pageSetup paperSize="9" orientation="landscape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 filterMode="1">
    <tabColor rgb="FF00B0F0"/>
  </sheetPr>
  <dimension ref="A1:AC165"/>
  <sheetViews>
    <sheetView view="pageBreakPreview" zoomScale="80" zoomScaleSheetLayoutView="80" workbookViewId="0">
      <pane xSplit="3" ySplit="4" topLeftCell="D5" activePane="bottomRight" state="frozen"/>
      <selection activeCell="F10" sqref="F10"/>
      <selection pane="topRight" activeCell="F10" sqref="F10"/>
      <selection pane="bottomLeft" activeCell="F10" sqref="F10"/>
      <selection pane="bottomRight" activeCell="D161" sqref="D161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25.140625" style="42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9" ht="27" thickBot="1">
      <c r="A1" s="251" t="s">
        <v>267</v>
      </c>
      <c r="F1" s="963"/>
      <c r="G1" s="963"/>
      <c r="H1" s="963"/>
      <c r="I1" s="963"/>
      <c r="J1" s="963"/>
      <c r="K1" s="963"/>
      <c r="L1" s="963"/>
      <c r="M1" s="963"/>
      <c r="N1" s="963"/>
      <c r="O1" s="963"/>
      <c r="P1" s="963"/>
      <c r="Q1" s="963"/>
      <c r="R1" s="963"/>
      <c r="S1" s="963"/>
      <c r="T1" s="963"/>
      <c r="U1" s="963"/>
      <c r="V1" s="963"/>
      <c r="W1" s="963"/>
      <c r="X1" s="963"/>
      <c r="Y1" s="963"/>
      <c r="Z1" s="43"/>
    </row>
    <row r="2" spans="1:29" ht="19.5" thickBot="1">
      <c r="A2" s="41"/>
      <c r="F2" s="964" t="s">
        <v>268</v>
      </c>
      <c r="G2" s="965"/>
      <c r="H2" s="965"/>
      <c r="I2" s="965"/>
      <c r="J2" s="965"/>
      <c r="K2" s="965"/>
      <c r="L2" s="965"/>
      <c r="M2" s="965"/>
      <c r="N2" s="965"/>
      <c r="O2" s="965"/>
      <c r="P2" s="965"/>
      <c r="Q2" s="965"/>
      <c r="R2" s="965"/>
      <c r="S2" s="965"/>
      <c r="T2" s="965"/>
      <c r="U2" s="965"/>
      <c r="V2" s="965"/>
      <c r="W2" s="965"/>
      <c r="X2" s="965"/>
      <c r="Y2" s="965"/>
      <c r="Z2" s="966"/>
    </row>
    <row r="3" spans="1:29" ht="62.25" customHeight="1" thickBot="1">
      <c r="A3" s="45"/>
      <c r="B3" s="44"/>
      <c r="C3" s="45"/>
      <c r="D3" s="44"/>
      <c r="E3" s="252" t="s">
        <v>269</v>
      </c>
      <c r="F3" s="47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9" ht="27" customHeight="1" thickBot="1">
      <c r="A4" s="253" t="s">
        <v>28</v>
      </c>
      <c r="B4" s="994" t="s">
        <v>788</v>
      </c>
      <c r="C4" s="994" t="s">
        <v>22</v>
      </c>
      <c r="D4" s="254" t="s">
        <v>270</v>
      </c>
      <c r="E4" s="255">
        <v>2022</v>
      </c>
      <c r="F4" s="57">
        <v>2023</v>
      </c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  <c r="AA4" s="828" t="s">
        <v>789</v>
      </c>
      <c r="AB4" s="828" t="s">
        <v>790</v>
      </c>
      <c r="AC4" s="828" t="s">
        <v>791</v>
      </c>
    </row>
    <row r="5" spans="1:29" ht="24.95" hidden="1" customHeight="1">
      <c r="A5" s="350" t="str">
        <f>+Pobl_adoptada!A5</f>
        <v>Almirante Brown</v>
      </c>
      <c r="B5" s="63">
        <f>+Pobl_adoptada!B5</f>
        <v>1</v>
      </c>
      <c r="C5" s="352" t="str">
        <f>+Pobl_adoptada!C5</f>
        <v>Almirante Brown</v>
      </c>
      <c r="D5" s="257">
        <f>IF(E5&lt;=15000,DATOS!B$3,IF(E5&lt;=50000,DATOS!B$4,IF(E5&lt;=300000,DATOS!B$5,IF(E5&lt;=500000,DATOS!B$6,DATOS!B$7))))</f>
        <v>1.41</v>
      </c>
      <c r="E5" s="258">
        <f>+Pobl_adoptada!F5</f>
        <v>608614</v>
      </c>
      <c r="F5" s="259">
        <f>+Pobl_adoptada!G5*$D5/1000</f>
        <v>865.03922999999998</v>
      </c>
      <c r="G5" s="259">
        <f>+Pobl_adoptada!H5*$D5/1000</f>
        <v>886.05104999999992</v>
      </c>
      <c r="H5" s="259">
        <f>+Pobl_adoptada!I5*$D5/1000</f>
        <v>893.16872999999998</v>
      </c>
      <c r="I5" s="259">
        <f>+Pobl_adoptada!J5*$D5/1000</f>
        <v>900.34280999999999</v>
      </c>
      <c r="J5" s="259">
        <f>+Pobl_adoptada!K5*$D5/1000</f>
        <v>907.57470000000001</v>
      </c>
      <c r="K5" s="259">
        <f>+Pobl_adoptada!L5*$D5/1000</f>
        <v>914.86439999999993</v>
      </c>
      <c r="L5" s="259">
        <f>+Pobl_adoptada!M5*$D5/1000</f>
        <v>922.21331999999995</v>
      </c>
      <c r="M5" s="259">
        <f>+Pobl_adoptada!N5*$D5/1000</f>
        <v>929.62145999999996</v>
      </c>
      <c r="N5" s="259">
        <f>+Pobl_adoptada!O5*$D5/1000</f>
        <v>937.08881999999994</v>
      </c>
      <c r="O5" s="259">
        <f>+Pobl_adoptada!P5*$D5/1000</f>
        <v>944.61539999999991</v>
      </c>
      <c r="P5" s="259">
        <f>+Pobl_adoptada!Q5*$D5/1000</f>
        <v>952.20260999999994</v>
      </c>
      <c r="Q5" s="259">
        <f>+Pobl_adoptada!R5*$D5/1000</f>
        <v>959.85185999999999</v>
      </c>
      <c r="R5" s="259">
        <f>+Pobl_adoptada!S5*$D5/1000</f>
        <v>967.56173999999999</v>
      </c>
      <c r="S5" s="259">
        <f>+Pobl_adoptada!T5*$D5/1000</f>
        <v>975.33225000000004</v>
      </c>
      <c r="T5" s="259">
        <f>+Pobl_adoptada!U5*$D5/1000</f>
        <v>983.16761999999994</v>
      </c>
      <c r="U5" s="259">
        <f>+Pobl_adoptada!V5*$D5/1000</f>
        <v>991.06502999999987</v>
      </c>
      <c r="V5" s="259">
        <f>+Pobl_adoptada!W5*$D5/1000</f>
        <v>999.02447999999993</v>
      </c>
      <c r="W5" s="259">
        <f>+Pobl_adoptada!X5*$D5/1000</f>
        <v>1007.0501999999999</v>
      </c>
      <c r="X5" s="259">
        <f>+Pobl_adoptada!Y5*$D5/1000</f>
        <v>1015.1379599999999</v>
      </c>
      <c r="Y5" s="259">
        <f>+Pobl_adoptada!Z5*$D5/1000</f>
        <v>1023.2919899999999</v>
      </c>
      <c r="Z5" s="259">
        <f>+Pobl_adoptada!AA5*$D5/1000</f>
        <v>1031.5122899999999</v>
      </c>
    </row>
    <row r="6" spans="1:29" ht="24.95" hidden="1" customHeight="1">
      <c r="A6" s="351" t="str">
        <f>+Pobl_adoptada!A6</f>
        <v>Avellaneda</v>
      </c>
      <c r="B6" s="70">
        <f>+Pobl_adoptada!B6</f>
        <v>2</v>
      </c>
      <c r="C6" s="353" t="str">
        <f>+Pobl_adoptada!C6</f>
        <v>Avellaneda</v>
      </c>
      <c r="D6" s="261">
        <f>IF(E6&lt;=15000,DATOS!B$3,IF(E6&lt;=50000,DATOS!B$4,IF(E6&lt;=300000,DATOS!B$5,IF(E6&lt;=500000,DATOS!B$6,DATOS!B$7))))</f>
        <v>1.41</v>
      </c>
      <c r="E6" s="262">
        <f>+Pobl_adoptada!F6</f>
        <v>373208</v>
      </c>
      <c r="F6" s="263">
        <f>+Pobl_adoptada!G6*$D6/1000</f>
        <v>530.20229999999992</v>
      </c>
      <c r="G6" s="263">
        <f>+Pobl_adoptada!H6*$D6/1000</f>
        <v>542.53274999999996</v>
      </c>
      <c r="H6" s="263">
        <f>+Pobl_adoptada!I6*$D6/1000</f>
        <v>546.77826000000005</v>
      </c>
      <c r="I6" s="263">
        <f>+Pobl_adoptada!J6*$D6/1000</f>
        <v>551.09285999999997</v>
      </c>
      <c r="J6" s="263">
        <f>+Pobl_adoptada!K6*$D6/1000</f>
        <v>555.47795999999994</v>
      </c>
      <c r="K6" s="263">
        <f>+Pobl_adoptada!L6*$D6/1000</f>
        <v>559.93355999999994</v>
      </c>
      <c r="L6" s="263">
        <f>+Pobl_adoptada!M6*$D6/1000</f>
        <v>564.46248000000003</v>
      </c>
      <c r="M6" s="263">
        <f>+Pobl_adoptada!N6*$D6/1000</f>
        <v>569.06613000000004</v>
      </c>
      <c r="N6" s="263">
        <f>+Pobl_adoptada!O6*$D6/1000</f>
        <v>573.74310000000003</v>
      </c>
      <c r="O6" s="263">
        <f>+Pobl_adoptada!P6*$D6/1000</f>
        <v>578.49761999999998</v>
      </c>
      <c r="P6" s="263">
        <f>+Pobl_adoptada!Q6*$D6/1000</f>
        <v>583.32968999999991</v>
      </c>
      <c r="Q6" s="263">
        <f>+Pobl_adoptada!R6*$D6/1000</f>
        <v>588.24072000000001</v>
      </c>
      <c r="R6" s="263">
        <f>+Pobl_adoptada!S6*$D6/1000</f>
        <v>593.23070999999993</v>
      </c>
      <c r="S6" s="263">
        <f>+Pobl_adoptada!T6*$D6/1000</f>
        <v>598.30247999999995</v>
      </c>
      <c r="T6" s="263">
        <f>+Pobl_adoptada!U6*$D6/1000</f>
        <v>603.45743999999991</v>
      </c>
      <c r="U6" s="263">
        <f>+Pobl_adoptada!V6*$D6/1000</f>
        <v>608.697</v>
      </c>
      <c r="V6" s="263">
        <f>+Pobl_adoptada!W6*$D6/1000</f>
        <v>614.0211599999999</v>
      </c>
      <c r="W6" s="263">
        <f>+Pobl_adoptada!X6*$D6/1000</f>
        <v>619.43273999999997</v>
      </c>
      <c r="X6" s="263">
        <f>+Pobl_adoptada!Y6*$D6/1000</f>
        <v>624.93173999999999</v>
      </c>
      <c r="Y6" s="263">
        <f>+Pobl_adoptada!Z6*$D6/1000</f>
        <v>630.52098000000001</v>
      </c>
      <c r="Z6" s="263">
        <f>+Pobl_adoptada!AA6*$D6/1000</f>
        <v>636.20186999999999</v>
      </c>
    </row>
    <row r="7" spans="1:29" ht="24.95" hidden="1" customHeight="1">
      <c r="A7" s="351" t="str">
        <f>+Pobl_adoptada!A7</f>
        <v>Berazategui</v>
      </c>
      <c r="B7" s="70">
        <f>+Pobl_adoptada!B7</f>
        <v>3</v>
      </c>
      <c r="C7" s="353" t="str">
        <f>+Pobl_adoptada!C7</f>
        <v>Berazategui</v>
      </c>
      <c r="D7" s="261">
        <f>IF(E7&lt;=15000,DATOS!B$3,IF(E7&lt;=50000,DATOS!B$4,IF(E7&lt;=300000,DATOS!B$5,IF(E7&lt;=500000,DATOS!B$6,DATOS!B$7))))</f>
        <v>1.41</v>
      </c>
      <c r="E7" s="262">
        <f>+Pobl_adoptada!F7</f>
        <v>375044</v>
      </c>
      <c r="F7" s="263">
        <f>+Pobl_adoptada!G7*$D7/1000</f>
        <v>534.76224000000002</v>
      </c>
      <c r="G7" s="263">
        <f>+Pobl_adoptada!H7*$D7/1000</f>
        <v>552.61284000000001</v>
      </c>
      <c r="H7" s="263">
        <f>+Pobl_adoptada!I7*$D7/1000</f>
        <v>558.56163000000004</v>
      </c>
      <c r="I7" s="263">
        <f>+Pobl_adoptada!J7*$D7/1000</f>
        <v>564.51182999999992</v>
      </c>
      <c r="J7" s="263">
        <f>+Pobl_adoptada!K7*$D7/1000</f>
        <v>570.46202999999991</v>
      </c>
      <c r="K7" s="263">
        <f>+Pobl_adoptada!L7*$D7/1000</f>
        <v>576.41223000000002</v>
      </c>
      <c r="L7" s="263">
        <f>+Pobl_adoptada!M7*$D7/1000</f>
        <v>582.3624299999999</v>
      </c>
      <c r="M7" s="263">
        <f>+Pobl_adoptada!N7*$D7/1000</f>
        <v>588.31263000000001</v>
      </c>
      <c r="N7" s="263">
        <f>+Pobl_adoptada!O7*$D7/1000</f>
        <v>594.26283000000001</v>
      </c>
      <c r="O7" s="263">
        <f>+Pobl_adoptada!P7*$D7/1000</f>
        <v>600.21162000000004</v>
      </c>
      <c r="P7" s="263">
        <f>+Pobl_adoptada!Q7*$D7/1000</f>
        <v>606.16181999999992</v>
      </c>
      <c r="Q7" s="263">
        <f>+Pobl_adoptada!R7*$D7/1000</f>
        <v>612.11202000000003</v>
      </c>
      <c r="R7" s="263">
        <f>+Pobl_adoptada!S7*$D7/1000</f>
        <v>618.06222000000002</v>
      </c>
      <c r="S7" s="263">
        <f>+Pobl_adoptada!T7*$D7/1000</f>
        <v>624.01241999999991</v>
      </c>
      <c r="T7" s="263">
        <f>+Pobl_adoptada!U7*$D7/1000</f>
        <v>629.96262000000002</v>
      </c>
      <c r="U7" s="263">
        <f>+Pobl_adoptada!V7*$D7/1000</f>
        <v>635.9128199999999</v>
      </c>
      <c r="V7" s="263">
        <f>+Pobl_adoptada!W7*$D7/1000</f>
        <v>641.86161000000004</v>
      </c>
      <c r="W7" s="263">
        <f>+Pobl_adoptada!X7*$D7/1000</f>
        <v>647.81180999999992</v>
      </c>
      <c r="X7" s="263">
        <f>+Pobl_adoptada!Y7*$D7/1000</f>
        <v>653.76201000000003</v>
      </c>
      <c r="Y7" s="263">
        <f>+Pobl_adoptada!Z7*$D7/1000</f>
        <v>659.71220999999991</v>
      </c>
      <c r="Z7" s="263">
        <f>+Pobl_adoptada!AA7*$D7/1000</f>
        <v>665.66240999999991</v>
      </c>
    </row>
    <row r="8" spans="1:29" ht="24.95" hidden="1" customHeight="1">
      <c r="A8" s="351" t="str">
        <f>+Pobl_adoptada!A8</f>
        <v>Esteban Echeverría</v>
      </c>
      <c r="B8" s="70">
        <f>+Pobl_adoptada!B8</f>
        <v>4</v>
      </c>
      <c r="C8" s="353" t="str">
        <f>+Pobl_adoptada!C8</f>
        <v>Esteban Echeverría</v>
      </c>
      <c r="D8" s="261">
        <f>IF(E8&lt;=15000,DATOS!B$3,IF(E8&lt;=50000,DATOS!B$4,IF(E8&lt;=300000,DATOS!B$5,IF(E8&lt;=500000,DATOS!B$6,DATOS!B$7))))</f>
        <v>1.41</v>
      </c>
      <c r="E8" s="262">
        <f>+Pobl_adoptada!F8</f>
        <v>363232</v>
      </c>
      <c r="F8" s="263">
        <f>+Pobl_adoptada!G8*$D8/1000</f>
        <v>519.84443999999996</v>
      </c>
      <c r="G8" s="263">
        <f>+Pobl_adoptada!H8*$D8/1000</f>
        <v>542.90357999999992</v>
      </c>
      <c r="H8" s="263">
        <f>+Pobl_adoptada!I8*$D8/1000</f>
        <v>550.58948999999996</v>
      </c>
      <c r="I8" s="263">
        <f>+Pobl_adoptada!J8*$D8/1000</f>
        <v>558.27680999999995</v>
      </c>
      <c r="J8" s="263">
        <f>+Pobl_adoptada!K8*$D8/1000</f>
        <v>565.96271999999999</v>
      </c>
      <c r="K8" s="263">
        <f>+Pobl_adoptada!L8*$D8/1000</f>
        <v>573.65003999999988</v>
      </c>
      <c r="L8" s="263">
        <f>+Pobl_adoptada!M8*$D8/1000</f>
        <v>581.33594999999991</v>
      </c>
      <c r="M8" s="263">
        <f>+Pobl_adoptada!N8*$D8/1000</f>
        <v>589.02327000000002</v>
      </c>
      <c r="N8" s="263">
        <f>+Pobl_adoptada!O8*$D8/1000</f>
        <v>596.70917999999995</v>
      </c>
      <c r="O8" s="263">
        <f>+Pobl_adoptada!P8*$D8/1000</f>
        <v>604.39508999999998</v>
      </c>
      <c r="P8" s="263">
        <f>+Pobl_adoptada!Q8*$D8/1000</f>
        <v>612.08240999999987</v>
      </c>
      <c r="Q8" s="263">
        <f>+Pobl_adoptada!R8*$D8/1000</f>
        <v>619.7683199999999</v>
      </c>
      <c r="R8" s="263">
        <f>+Pobl_adoptada!S8*$D8/1000</f>
        <v>627.45564000000002</v>
      </c>
      <c r="S8" s="263">
        <f>+Pobl_adoptada!T8*$D8/1000</f>
        <v>635.14154999999994</v>
      </c>
      <c r="T8" s="263">
        <f>+Pobl_adoptada!U8*$D8/1000</f>
        <v>642.82887000000005</v>
      </c>
      <c r="U8" s="263">
        <f>+Pobl_adoptada!V8*$D8/1000</f>
        <v>650.51477999999986</v>
      </c>
      <c r="V8" s="263">
        <f>+Pobl_adoptada!W8*$D8/1000</f>
        <v>658.2006899999999</v>
      </c>
      <c r="W8" s="263">
        <f>+Pobl_adoptada!X8*$D8/1000</f>
        <v>665.88801000000001</v>
      </c>
      <c r="X8" s="263">
        <f>+Pobl_adoptada!Y8*$D8/1000</f>
        <v>673.57391999999993</v>
      </c>
      <c r="Y8" s="263">
        <f>+Pobl_adoptada!Z8*$D8/1000</f>
        <v>681.26124000000004</v>
      </c>
      <c r="Z8" s="263">
        <f>+Pobl_adoptada!AA8*$D8/1000</f>
        <v>688.94714999999985</v>
      </c>
    </row>
    <row r="9" spans="1:29" ht="24.95" hidden="1" customHeight="1">
      <c r="A9" s="351" t="str">
        <f>+Pobl_adoptada!A9</f>
        <v>Ezeiza</v>
      </c>
      <c r="B9" s="70">
        <f>+Pobl_adoptada!B9</f>
        <v>5</v>
      </c>
      <c r="C9" s="353" t="str">
        <f>+Pobl_adoptada!C9</f>
        <v>Ezeiza</v>
      </c>
      <c r="D9" s="261">
        <f>IF(E9&lt;=15000,DATOS!B$3,IF(E9&lt;=50000,DATOS!B$4,IF(E9&lt;=300000,DATOS!B$5,IF(E9&lt;=500000,DATOS!B$6,DATOS!B$7))))</f>
        <v>1.02</v>
      </c>
      <c r="E9" s="262">
        <f>+Pobl_adoptada!F9</f>
        <v>219098</v>
      </c>
      <c r="F9" s="263">
        <f>+Pobl_adoptada!G9*$D9/1000</f>
        <v>228.28314</v>
      </c>
      <c r="G9" s="263">
        <f>+Pobl_adoptada!H9*$D9/1000</f>
        <v>242.69166000000001</v>
      </c>
      <c r="H9" s="263">
        <f>+Pobl_adoptada!I9*$D9/1000</f>
        <v>247.49484000000001</v>
      </c>
      <c r="I9" s="263">
        <f>+Pobl_adoptada!J9*$D9/1000</f>
        <v>252.297</v>
      </c>
      <c r="J9" s="263">
        <f>+Pobl_adoptada!K9*$D9/1000</f>
        <v>257.10017999999997</v>
      </c>
      <c r="K9" s="263">
        <f>+Pobl_adoptada!L9*$D9/1000</f>
        <v>261.90336000000002</v>
      </c>
      <c r="L9" s="263">
        <f>+Pobl_adoptada!M9*$D9/1000</f>
        <v>266.70552000000004</v>
      </c>
      <c r="M9" s="263">
        <f>+Pobl_adoptada!N9*$D9/1000</f>
        <v>271.50870000000003</v>
      </c>
      <c r="N9" s="263">
        <f>+Pobl_adoptada!O9*$D9/1000</f>
        <v>276.31188000000003</v>
      </c>
      <c r="O9" s="263">
        <f>+Pobl_adoptada!P9*$D9/1000</f>
        <v>281.11403999999999</v>
      </c>
      <c r="P9" s="263">
        <f>+Pobl_adoptada!Q9*$D9/1000</f>
        <v>285.91722000000004</v>
      </c>
      <c r="Q9" s="263">
        <f>+Pobl_adoptada!R9*$D9/1000</f>
        <v>290.72040000000004</v>
      </c>
      <c r="R9" s="263">
        <f>+Pobl_adoptada!S9*$D9/1000</f>
        <v>295.52358000000004</v>
      </c>
      <c r="S9" s="263">
        <f>+Pobl_adoptada!T9*$D9/1000</f>
        <v>300.32574</v>
      </c>
      <c r="T9" s="263">
        <f>+Pobl_adoptada!U9*$D9/1000</f>
        <v>305.12891999999999</v>
      </c>
      <c r="U9" s="263">
        <f>+Pobl_adoptada!V9*$D9/1000</f>
        <v>309.93209999999999</v>
      </c>
      <c r="V9" s="263">
        <f>+Pobl_adoptada!W9*$D9/1000</f>
        <v>314.73426000000001</v>
      </c>
      <c r="W9" s="263">
        <f>+Pobl_adoptada!X9*$D9/1000</f>
        <v>319.53744</v>
      </c>
      <c r="X9" s="263">
        <f>+Pobl_adoptada!Y9*$D9/1000</f>
        <v>324.34062</v>
      </c>
      <c r="Y9" s="263">
        <f>+Pobl_adoptada!Z9*$D9/1000</f>
        <v>329.14278000000002</v>
      </c>
      <c r="Z9" s="263">
        <f>+Pobl_adoptada!AA9*$D9/1000</f>
        <v>333.94596000000001</v>
      </c>
    </row>
    <row r="10" spans="1:29" ht="24.95" hidden="1" customHeight="1">
      <c r="A10" s="351" t="str">
        <f>+Pobl_adoptada!A10</f>
        <v>Florencio Varela</v>
      </c>
      <c r="B10" s="70">
        <f>+Pobl_adoptada!B10</f>
        <v>6</v>
      </c>
      <c r="C10" s="353" t="str">
        <f>+Pobl_adoptada!C10</f>
        <v>Florencio Varela</v>
      </c>
      <c r="D10" s="261">
        <f>IF(E10&lt;=15000,DATOS!B$3,IF(E10&lt;=50000,DATOS!B$4,IF(E10&lt;=300000,DATOS!B$5,IF(E10&lt;=500000,DATOS!B$6,DATOS!B$7))))</f>
        <v>1.41</v>
      </c>
      <c r="E10" s="262">
        <f>+Pobl_adoptada!F10</f>
        <v>537049</v>
      </c>
      <c r="F10" s="263">
        <f>+Pobl_adoptada!G10*$D10/1000</f>
        <v>770.32529999999997</v>
      </c>
      <c r="G10" s="263">
        <f>+Pobl_adoptada!H10*$D10/1000</f>
        <v>809.58675000000005</v>
      </c>
      <c r="H10" s="263">
        <f>+Pobl_adoptada!I10*$D10/1000</f>
        <v>822.67295999999999</v>
      </c>
      <c r="I10" s="263">
        <f>+Pobl_adoptada!J10*$D10/1000</f>
        <v>835.75916999999993</v>
      </c>
      <c r="J10" s="263">
        <f>+Pobl_adoptada!K10*$D10/1000</f>
        <v>848.84678999999994</v>
      </c>
      <c r="K10" s="263">
        <f>+Pobl_adoptada!L10*$D10/1000</f>
        <v>861.93299999999999</v>
      </c>
      <c r="L10" s="263">
        <f>+Pobl_adoptada!M10*$D10/1000</f>
        <v>875.02062000000001</v>
      </c>
      <c r="M10" s="263">
        <f>+Pobl_adoptada!N10*$D10/1000</f>
        <v>888.10682999999995</v>
      </c>
      <c r="N10" s="263">
        <f>+Pobl_adoptada!O10*$D10/1000</f>
        <v>901.19303999999988</v>
      </c>
      <c r="O10" s="263">
        <f>+Pobl_adoptada!P10*$D10/1000</f>
        <v>914.2806599999999</v>
      </c>
      <c r="P10" s="263">
        <f>+Pobl_adoptada!Q10*$D10/1000</f>
        <v>927.36686999999995</v>
      </c>
      <c r="Q10" s="263">
        <f>+Pobl_adoptada!R10*$D10/1000</f>
        <v>940.45448999999996</v>
      </c>
      <c r="R10" s="263">
        <f>+Pobl_adoptada!S10*$D10/1000</f>
        <v>953.5406999999999</v>
      </c>
      <c r="S10" s="263">
        <f>+Pobl_adoptada!T10*$D10/1000</f>
        <v>966.62690999999995</v>
      </c>
      <c r="T10" s="263">
        <f>+Pobl_adoptada!U10*$D10/1000</f>
        <v>979.71452999999997</v>
      </c>
      <c r="U10" s="263">
        <f>+Pobl_adoptada!V10*$D10/1000</f>
        <v>992.80074000000002</v>
      </c>
      <c r="V10" s="263">
        <f>+Pobl_adoptada!W10*$D10/1000</f>
        <v>1005.88836</v>
      </c>
      <c r="W10" s="263">
        <f>+Pobl_adoptada!X10*$D10/1000</f>
        <v>1018.97457</v>
      </c>
      <c r="X10" s="263">
        <f>+Pobl_adoptada!Y10*$D10/1000</f>
        <v>1032.0621899999999</v>
      </c>
      <c r="Y10" s="263">
        <f>+Pobl_adoptada!Z10*$D10/1000</f>
        <v>1045.1483999999998</v>
      </c>
      <c r="Z10" s="263">
        <f>+Pobl_adoptada!AA10*$D10/1000</f>
        <v>1058.23461</v>
      </c>
    </row>
    <row r="11" spans="1:29" ht="24.95" hidden="1" customHeight="1">
      <c r="A11" s="351" t="str">
        <f>+Pobl_adoptada!A11</f>
        <v>General San Martín</v>
      </c>
      <c r="B11" s="70">
        <f>+Pobl_adoptada!B11</f>
        <v>7</v>
      </c>
      <c r="C11" s="353" t="str">
        <f>+Pobl_adoptada!C11</f>
        <v>General San Martín</v>
      </c>
      <c r="D11" s="261">
        <f>IF(E11&lt;=15000,DATOS!B$3,IF(E11&lt;=50000,DATOS!B$4,IF(E11&lt;=300000,DATOS!B$5,IF(E11&lt;=500000,DATOS!B$6,DATOS!B$7))))</f>
        <v>1.41</v>
      </c>
      <c r="E11" s="262">
        <f>+Pobl_adoptada!F11</f>
        <v>438914</v>
      </c>
      <c r="F11" s="263">
        <f>+Pobl_adoptada!G11*$D11/1000</f>
        <v>622.08917999999994</v>
      </c>
      <c r="G11" s="263">
        <f>+Pobl_adoptada!H11*$D11/1000</f>
        <v>632.07339000000002</v>
      </c>
      <c r="H11" s="263">
        <f>+Pobl_adoptada!I11*$D11/1000</f>
        <v>635.50955999999996</v>
      </c>
      <c r="I11" s="263">
        <f>+Pobl_adoptada!J11*$D11/1000</f>
        <v>639.00212999999997</v>
      </c>
      <c r="J11" s="263">
        <f>+Pobl_adoptada!K11*$D11/1000</f>
        <v>642.55250999999998</v>
      </c>
      <c r="K11" s="263">
        <f>+Pobl_adoptada!L11*$D11/1000</f>
        <v>646.16069999999991</v>
      </c>
      <c r="L11" s="263">
        <f>+Pobl_adoptada!M11*$D11/1000</f>
        <v>649.82669999999996</v>
      </c>
      <c r="M11" s="263">
        <f>+Pobl_adoptada!N11*$D11/1000</f>
        <v>653.55332999999996</v>
      </c>
      <c r="N11" s="263">
        <f>+Pobl_adoptada!O11*$D11/1000</f>
        <v>657.34059000000002</v>
      </c>
      <c r="O11" s="263">
        <f>+Pobl_adoptada!P11*$D11/1000</f>
        <v>661.18988999999999</v>
      </c>
      <c r="P11" s="263">
        <f>+Pobl_adoptada!Q11*$D11/1000</f>
        <v>665.10122999999999</v>
      </c>
      <c r="Q11" s="263">
        <f>+Pobl_adoptada!R11*$D11/1000</f>
        <v>669.07742999999994</v>
      </c>
      <c r="R11" s="263">
        <f>+Pobl_adoptada!S11*$D11/1000</f>
        <v>673.11707999999999</v>
      </c>
      <c r="S11" s="263">
        <f>+Pobl_adoptada!T11*$D11/1000</f>
        <v>677.22299999999996</v>
      </c>
      <c r="T11" s="263">
        <f>+Pobl_adoptada!U11*$D11/1000</f>
        <v>681.39659999999992</v>
      </c>
      <c r="U11" s="263">
        <f>+Pobl_adoptada!V11*$D11/1000</f>
        <v>685.63788</v>
      </c>
      <c r="V11" s="263">
        <f>+Pobl_adoptada!W11*$D11/1000</f>
        <v>689.94965999999988</v>
      </c>
      <c r="W11" s="263">
        <f>+Pobl_adoptada!X11*$D11/1000</f>
        <v>694.33052999999995</v>
      </c>
      <c r="X11" s="263">
        <f>+Pobl_adoptada!Y11*$D11/1000</f>
        <v>698.78189999999995</v>
      </c>
      <c r="Y11" s="263">
        <f>+Pobl_adoptada!Z11*$D11/1000</f>
        <v>703.30799999999999</v>
      </c>
      <c r="Z11" s="263">
        <f>+Pobl_adoptada!AA11*$D11/1000</f>
        <v>707.90601000000004</v>
      </c>
    </row>
    <row r="12" spans="1:29" ht="24.95" hidden="1" customHeight="1">
      <c r="A12" s="351" t="str">
        <f>+Pobl_adoptada!A12</f>
        <v>Hurlingham</v>
      </c>
      <c r="B12" s="70">
        <f>+Pobl_adoptada!B12</f>
        <v>8</v>
      </c>
      <c r="C12" s="353" t="str">
        <f>+Pobl_adoptada!C12</f>
        <v>Hurlingham</v>
      </c>
      <c r="D12" s="261">
        <f>IF(E12&lt;=15000,DATOS!B$3,IF(E12&lt;=50000,DATOS!B$4,IF(E12&lt;=300000,DATOS!B$5,IF(E12&lt;=500000,DATOS!B$6,DATOS!B$7))))</f>
        <v>1.02</v>
      </c>
      <c r="E12" s="262">
        <f>+Pobl_adoptada!F12</f>
        <v>189449</v>
      </c>
      <c r="F12" s="263">
        <f>+Pobl_adoptada!G12*$D12/1000</f>
        <v>194.00196</v>
      </c>
      <c r="G12" s="263">
        <f>+Pobl_adoptada!H12*$D12/1000</f>
        <v>196.29390000000001</v>
      </c>
      <c r="H12" s="263">
        <f>+Pobl_adoptada!I12*$D12/1000</f>
        <v>197.05686000000003</v>
      </c>
      <c r="I12" s="263">
        <f>+Pobl_adoptada!J12*$D12/1000</f>
        <v>197.82084</v>
      </c>
      <c r="J12" s="263">
        <f>+Pobl_adoptada!K12*$D12/1000</f>
        <v>198.58482000000001</v>
      </c>
      <c r="K12" s="263">
        <f>+Pobl_adoptada!L12*$D12/1000</f>
        <v>199.34880000000001</v>
      </c>
      <c r="L12" s="263">
        <f>+Pobl_adoptada!M12*$D12/1000</f>
        <v>200.11277999999999</v>
      </c>
      <c r="M12" s="263">
        <f>+Pobl_adoptada!N12*$D12/1000</f>
        <v>200.87676000000002</v>
      </c>
      <c r="N12" s="263">
        <f>+Pobl_adoptada!O12*$D12/1000</f>
        <v>201.64073999999999</v>
      </c>
      <c r="O12" s="263">
        <f>+Pobl_adoptada!P12*$D12/1000</f>
        <v>202.40370000000001</v>
      </c>
      <c r="P12" s="263">
        <f>+Pobl_adoptada!Q12*$D12/1000</f>
        <v>203.16767999999999</v>
      </c>
      <c r="Q12" s="263">
        <f>+Pobl_adoptada!R12*$D12/1000</f>
        <v>203.93165999999999</v>
      </c>
      <c r="R12" s="263">
        <f>+Pobl_adoptada!S12*$D12/1000</f>
        <v>204.69564000000003</v>
      </c>
      <c r="S12" s="263">
        <f>+Pobl_adoptada!T12*$D12/1000</f>
        <v>205.45962</v>
      </c>
      <c r="T12" s="263">
        <f>+Pobl_adoptada!U12*$D12/1000</f>
        <v>206.2236</v>
      </c>
      <c r="U12" s="263">
        <f>+Pobl_adoptada!V12*$D12/1000</f>
        <v>206.98758000000001</v>
      </c>
      <c r="V12" s="263">
        <f>+Pobl_adoptada!W12*$D12/1000</f>
        <v>207.75054</v>
      </c>
      <c r="W12" s="263">
        <f>+Pobl_adoptada!X12*$D12/1000</f>
        <v>208.51451999999998</v>
      </c>
      <c r="X12" s="263">
        <f>+Pobl_adoptada!Y12*$D12/1000</f>
        <v>209.27850000000001</v>
      </c>
      <c r="Y12" s="263">
        <f>+Pobl_adoptada!Z12*$D12/1000</f>
        <v>210.04248000000001</v>
      </c>
      <c r="Z12" s="263">
        <f>+Pobl_adoptada!AA12*$D12/1000</f>
        <v>210.80645999999999</v>
      </c>
    </row>
    <row r="13" spans="1:29" ht="24.95" hidden="1" customHeight="1">
      <c r="A13" s="351" t="str">
        <f>+Pobl_adoptada!A13</f>
        <v>Ituzaingó</v>
      </c>
      <c r="B13" s="70">
        <f>+Pobl_adoptada!B13</f>
        <v>9</v>
      </c>
      <c r="C13" s="353" t="str">
        <f>+Pobl_adoptada!C13</f>
        <v>Ituzaingó</v>
      </c>
      <c r="D13" s="261">
        <f>IF(E13&lt;=15000,DATOS!B$3,IF(E13&lt;=50000,DATOS!B$4,IF(E13&lt;=300000,DATOS!B$5,IF(E13&lt;=500000,DATOS!B$6,DATOS!B$7))))</f>
        <v>1.02</v>
      </c>
      <c r="E13" s="262">
        <f>+Pobl_adoptada!F13</f>
        <v>181694</v>
      </c>
      <c r="F13" s="263">
        <f>+Pobl_adoptada!G13*$D13/1000</f>
        <v>186.55799999999999</v>
      </c>
      <c r="G13" s="263">
        <f>+Pobl_adoptada!H13*$D13/1000</f>
        <v>190.29834</v>
      </c>
      <c r="H13" s="263">
        <f>+Pobl_adoptada!I13*$D13/1000</f>
        <v>191.56211999999999</v>
      </c>
      <c r="I13" s="263">
        <f>+Pobl_adoptada!J13*$D13/1000</f>
        <v>192.83405999999999</v>
      </c>
      <c r="J13" s="263">
        <f>+Pobl_adoptada!K13*$D13/1000</f>
        <v>194.11416</v>
      </c>
      <c r="K13" s="263">
        <f>+Pobl_adoptada!L13*$D13/1000</f>
        <v>195.40242000000001</v>
      </c>
      <c r="L13" s="263">
        <f>+Pobl_adoptada!M13*$D13/1000</f>
        <v>196.69986</v>
      </c>
      <c r="M13" s="263">
        <f>+Pobl_adoptada!N13*$D13/1000</f>
        <v>198.00648000000001</v>
      </c>
      <c r="N13" s="263">
        <f>+Pobl_adoptada!O13*$D13/1000</f>
        <v>199.32023999999998</v>
      </c>
      <c r="O13" s="263">
        <f>+Pobl_adoptada!P13*$D13/1000</f>
        <v>200.64420000000001</v>
      </c>
      <c r="P13" s="263">
        <f>+Pobl_adoptada!Q13*$D13/1000</f>
        <v>201.97632000000002</v>
      </c>
      <c r="Q13" s="263">
        <f>+Pobl_adoptada!R13*$D13/1000</f>
        <v>203.31762000000001</v>
      </c>
      <c r="R13" s="263">
        <f>+Pobl_adoptada!S13*$D13/1000</f>
        <v>204.66708000000003</v>
      </c>
      <c r="S13" s="263">
        <f>+Pobl_adoptada!T13*$D13/1000</f>
        <v>206.02572000000001</v>
      </c>
      <c r="T13" s="263">
        <f>+Pobl_adoptada!U13*$D13/1000</f>
        <v>207.39354</v>
      </c>
      <c r="U13" s="263">
        <f>+Pobl_adoptada!V13*$D13/1000</f>
        <v>208.77054000000001</v>
      </c>
      <c r="V13" s="263">
        <f>+Pobl_adoptada!W13*$D13/1000</f>
        <v>210.15672000000001</v>
      </c>
      <c r="W13" s="263">
        <f>+Pobl_adoptada!X13*$D13/1000</f>
        <v>211.55208000000002</v>
      </c>
      <c r="X13" s="263">
        <f>+Pobl_adoptada!Y13*$D13/1000</f>
        <v>212.95661999999999</v>
      </c>
      <c r="Y13" s="263">
        <f>+Pobl_adoptada!Z13*$D13/1000</f>
        <v>214.37034</v>
      </c>
      <c r="Z13" s="263">
        <f>+Pobl_adoptada!AA13*$D13/1000</f>
        <v>215.79324</v>
      </c>
    </row>
    <row r="14" spans="1:29" ht="24.95" hidden="1" customHeight="1">
      <c r="A14" s="351" t="str">
        <f>+Pobl_adoptada!A14</f>
        <v>José C. Paz</v>
      </c>
      <c r="B14" s="70">
        <f>+Pobl_adoptada!B14</f>
        <v>10</v>
      </c>
      <c r="C14" s="353" t="str">
        <f>+Pobl_adoptada!C14</f>
        <v>José C. Paz</v>
      </c>
      <c r="D14" s="261">
        <f>IF(E14&lt;=15000,DATOS!B$3,IF(E14&lt;=50000,DATOS!B$4,IF(E14&lt;=300000,DATOS!B$5,IF(E14&lt;=500000,DATOS!B$6,DATOS!B$7))))</f>
        <v>1.41</v>
      </c>
      <c r="E14" s="262">
        <f>+Pobl_adoptada!F14</f>
        <v>322471</v>
      </c>
      <c r="F14" s="263">
        <f>+Pobl_adoptada!G14*$D14/1000</f>
        <v>462.04007999999993</v>
      </c>
      <c r="G14" s="263">
        <f>+Pobl_adoptada!H14*$D14/1000</f>
        <v>484.83131999999995</v>
      </c>
      <c r="H14" s="263">
        <f>+Pobl_adoptada!I14*$D14/1000</f>
        <v>492.67514999999997</v>
      </c>
      <c r="I14" s="263">
        <f>+Pobl_adoptada!J14*$D14/1000</f>
        <v>500.64587999999992</v>
      </c>
      <c r="J14" s="263">
        <f>+Pobl_adoptada!K14*$D14/1000</f>
        <v>508.74491999999998</v>
      </c>
      <c r="K14" s="263">
        <f>+Pobl_adoptada!L14*$D14/1000</f>
        <v>516.97509000000002</v>
      </c>
      <c r="L14" s="263">
        <f>+Pobl_adoptada!M14*$D14/1000</f>
        <v>525.33920999999998</v>
      </c>
      <c r="M14" s="263">
        <f>+Pobl_adoptada!N14*$D14/1000</f>
        <v>533.83868999999993</v>
      </c>
      <c r="N14" s="263">
        <f>+Pobl_adoptada!O14*$D14/1000</f>
        <v>542.47635000000002</v>
      </c>
      <c r="O14" s="263">
        <f>+Pobl_adoptada!P14*$D14/1000</f>
        <v>551.25218999999993</v>
      </c>
      <c r="P14" s="263">
        <f>+Pobl_adoptada!Q14*$D14/1000</f>
        <v>560.17043999999999</v>
      </c>
      <c r="Q14" s="263">
        <f>+Pobl_adoptada!R14*$D14/1000</f>
        <v>569.2339199999999</v>
      </c>
      <c r="R14" s="263">
        <f>+Pobl_adoptada!S14*$D14/1000</f>
        <v>578.44263000000001</v>
      </c>
      <c r="S14" s="263">
        <f>+Pobl_adoptada!T14*$D14/1000</f>
        <v>587.80079999999998</v>
      </c>
      <c r="T14" s="263">
        <f>+Pobl_adoptada!U14*$D14/1000</f>
        <v>597.31124999999997</v>
      </c>
      <c r="U14" s="263">
        <f>+Pobl_adoptada!V14*$D14/1000</f>
        <v>606.97397999999998</v>
      </c>
      <c r="V14" s="263">
        <f>+Pobl_adoptada!W14*$D14/1000</f>
        <v>616.79462999999998</v>
      </c>
      <c r="W14" s="263">
        <f>+Pobl_adoptada!X14*$D14/1000</f>
        <v>626.77319999999997</v>
      </c>
      <c r="X14" s="263">
        <f>+Pobl_adoptada!Y14*$D14/1000</f>
        <v>636.91391999999996</v>
      </c>
      <c r="Y14" s="263">
        <f>+Pobl_adoptada!Z14*$D14/1000</f>
        <v>647.21819999999991</v>
      </c>
      <c r="Z14" s="263">
        <f>+Pobl_adoptada!AA14*$D14/1000</f>
        <v>657.68885999999998</v>
      </c>
    </row>
    <row r="15" spans="1:29" ht="24.95" hidden="1" customHeight="1">
      <c r="A15" s="351" t="str">
        <f>+Pobl_adoptada!A15</f>
        <v>La Matanza</v>
      </c>
      <c r="B15" s="70">
        <f>+Pobl_adoptada!B15</f>
        <v>11</v>
      </c>
      <c r="C15" s="353" t="str">
        <f>+Pobl_adoptada!C15</f>
        <v>La Matanza</v>
      </c>
      <c r="D15" s="261">
        <f>IF(E15&lt;=15000,DATOS!B$3,IF(E15&lt;=50000,DATOS!B$4,IF(E15&lt;=300000,DATOS!B$5,IF(E15&lt;=500000,DATOS!B$6,DATOS!B$7))))</f>
        <v>1.41</v>
      </c>
      <c r="E15" s="262">
        <f>+Pobl_adoptada!F15</f>
        <v>2111215</v>
      </c>
      <c r="F15" s="263">
        <f>+Pobl_adoptada!G15*$D15/1000</f>
        <v>3024.92517</v>
      </c>
      <c r="G15" s="263">
        <f>+Pobl_adoptada!H15*$D15/1000</f>
        <v>3169.2612300000001</v>
      </c>
      <c r="H15" s="263">
        <f>+Pobl_adoptada!I15*$D15/1000</f>
        <v>3217.3746599999995</v>
      </c>
      <c r="I15" s="263">
        <f>+Pobl_adoptada!J15*$D15/1000</f>
        <v>3265.4866799999995</v>
      </c>
      <c r="J15" s="263">
        <f>+Pobl_adoptada!K15*$D15/1000</f>
        <v>3313.5986999999996</v>
      </c>
      <c r="K15" s="263">
        <f>+Pobl_adoptada!L15*$D15/1000</f>
        <v>3361.7107199999996</v>
      </c>
      <c r="L15" s="263">
        <f>+Pobl_adoptada!M15*$D15/1000</f>
        <v>3409.8227399999996</v>
      </c>
      <c r="M15" s="263">
        <f>+Pobl_adoptada!N15*$D15/1000</f>
        <v>3457.9347599999996</v>
      </c>
      <c r="N15" s="263">
        <f>+Pobl_adoptada!O15*$D15/1000</f>
        <v>3506.04819</v>
      </c>
      <c r="O15" s="263">
        <f>+Pobl_adoptada!P15*$D15/1000</f>
        <v>3554.16021</v>
      </c>
      <c r="P15" s="263">
        <f>+Pobl_adoptada!Q15*$D15/1000</f>
        <v>3602.27223</v>
      </c>
      <c r="Q15" s="263">
        <f>+Pobl_adoptada!R15*$D15/1000</f>
        <v>3650.3842500000001</v>
      </c>
      <c r="R15" s="263">
        <f>+Pobl_adoptada!S15*$D15/1000</f>
        <v>3698.4962700000001</v>
      </c>
      <c r="S15" s="263">
        <f>+Pobl_adoptada!T15*$D15/1000</f>
        <v>3746.6082899999997</v>
      </c>
      <c r="T15" s="263">
        <f>+Pobl_adoptada!U15*$D15/1000</f>
        <v>3794.7217199999996</v>
      </c>
      <c r="U15" s="263">
        <f>+Pobl_adoptada!V15*$D15/1000</f>
        <v>3842.8337399999996</v>
      </c>
      <c r="V15" s="263">
        <f>+Pobl_adoptada!W15*$D15/1000</f>
        <v>3890.9457599999996</v>
      </c>
      <c r="W15" s="263">
        <f>+Pobl_adoptada!X15*$D15/1000</f>
        <v>3939.0577799999996</v>
      </c>
      <c r="X15" s="263">
        <f>+Pobl_adoptada!Y15*$D15/1000</f>
        <v>3987.1697999999997</v>
      </c>
      <c r="Y15" s="263">
        <f>+Pobl_adoptada!Z15*$D15/1000</f>
        <v>4035.2818199999997</v>
      </c>
      <c r="Z15" s="263">
        <f>+Pobl_adoptada!AA15*$D15/1000</f>
        <v>4083.39525</v>
      </c>
    </row>
    <row r="16" spans="1:29" ht="24.95" hidden="1" customHeight="1">
      <c r="A16" s="351" t="str">
        <f>+Pobl_adoptada!A16</f>
        <v>Lanús</v>
      </c>
      <c r="B16" s="70">
        <f>+Pobl_adoptada!B16</f>
        <v>12</v>
      </c>
      <c r="C16" s="353" t="str">
        <f>+Pobl_adoptada!C16</f>
        <v>Lanús</v>
      </c>
      <c r="D16" s="261">
        <f>IF(E16&lt;=15000,DATOS!B$3,IF(E16&lt;=50000,DATOS!B$4,IF(E16&lt;=300000,DATOS!B$5,IF(E16&lt;=500000,DATOS!B$6,DATOS!B$7))))</f>
        <v>1.41</v>
      </c>
      <c r="E16" s="262">
        <f>+Pobl_adoptada!F16</f>
        <v>454199</v>
      </c>
      <c r="F16" s="263">
        <f>+Pobl_adoptada!G16*$D16/1000</f>
        <v>639.82979999999998</v>
      </c>
      <c r="G16" s="263">
        <f>+Pobl_adoptada!H16*$D16/1000</f>
        <v>638.05883999999992</v>
      </c>
      <c r="H16" s="263">
        <f>+Pobl_adoptada!I16*$D16/1000</f>
        <v>637.46945999999991</v>
      </c>
      <c r="I16" s="263">
        <f>+Pobl_adoptada!J16*$D16/1000</f>
        <v>636.88007999999991</v>
      </c>
      <c r="J16" s="263">
        <f>+Pobl_adoptada!K16*$D16/1000</f>
        <v>636.29210999999998</v>
      </c>
      <c r="K16" s="263">
        <f>+Pobl_adoptada!L16*$D16/1000</f>
        <v>635.70414000000005</v>
      </c>
      <c r="L16" s="263">
        <f>+Pobl_adoptada!M16*$D16/1000</f>
        <v>635.11757999999998</v>
      </c>
      <c r="M16" s="263">
        <f>+Pobl_adoptada!N16*$D16/1000</f>
        <v>634.53102000000001</v>
      </c>
      <c r="N16" s="263">
        <f>+Pobl_adoptada!O16*$D16/1000</f>
        <v>633.94445999999994</v>
      </c>
      <c r="O16" s="263">
        <f>+Pobl_adoptada!P16*$D16/1000</f>
        <v>633.35930999999994</v>
      </c>
      <c r="P16" s="263">
        <f>+Pobl_adoptada!Q16*$D16/1000</f>
        <v>632.77415999999994</v>
      </c>
      <c r="Q16" s="263">
        <f>+Pobl_adoptada!R16*$D16/1000</f>
        <v>632.1904199999999</v>
      </c>
      <c r="R16" s="263">
        <f>+Pobl_adoptada!S16*$D16/1000</f>
        <v>631.60667999999998</v>
      </c>
      <c r="S16" s="263">
        <f>+Pobl_adoptada!T16*$D16/1000</f>
        <v>631.02293999999995</v>
      </c>
      <c r="T16" s="263">
        <f>+Pobl_adoptada!U16*$D16/1000</f>
        <v>630.44060999999999</v>
      </c>
      <c r="U16" s="263">
        <f>+Pobl_adoptada!V16*$D16/1000</f>
        <v>629.85827999999992</v>
      </c>
      <c r="V16" s="263">
        <f>+Pobl_adoptada!W16*$D16/1000</f>
        <v>629.27594999999997</v>
      </c>
      <c r="W16" s="263">
        <f>+Pobl_adoptada!X16*$D16/1000</f>
        <v>628.69502999999986</v>
      </c>
      <c r="X16" s="263">
        <f>+Pobl_adoptada!Y16*$D16/1000</f>
        <v>628.11552000000006</v>
      </c>
      <c r="Y16" s="263">
        <f>+Pobl_adoptada!Z16*$D16/1000</f>
        <v>627.53459999999995</v>
      </c>
      <c r="Z16" s="263">
        <f>+Pobl_adoptada!AA16*$D16/1000</f>
        <v>626.95508999999993</v>
      </c>
    </row>
    <row r="17" spans="1:29" ht="24.95" hidden="1" customHeight="1">
      <c r="A17" s="351" t="str">
        <f>+Pobl_adoptada!A17</f>
        <v>Lomas de Zamora</v>
      </c>
      <c r="B17" s="70">
        <f>+Pobl_adoptada!B17</f>
        <v>13</v>
      </c>
      <c r="C17" s="353" t="str">
        <f>+Pobl_adoptada!C17</f>
        <v>Lomas de Zamora</v>
      </c>
      <c r="D17" s="261">
        <f>IF(E17&lt;=15000,DATOS!B$3,IF(E17&lt;=50000,DATOS!B$4,IF(E17&lt;=300000,DATOS!B$5,IF(E17&lt;=500000,DATOS!B$6,DATOS!B$7))))</f>
        <v>1.41</v>
      </c>
      <c r="E17" s="262">
        <f>+Pobl_adoptada!F17</f>
        <v>671858</v>
      </c>
      <c r="F17" s="263">
        <f>+Pobl_adoptada!G17*$D17/1000</f>
        <v>954.56295</v>
      </c>
      <c r="G17" s="263">
        <f>+Pobl_adoptada!H17*$D17/1000</f>
        <v>977.01014999999995</v>
      </c>
      <c r="H17" s="263">
        <f>+Pobl_adoptada!I17*$D17/1000</f>
        <v>984.73835999999994</v>
      </c>
      <c r="I17" s="263">
        <f>+Pobl_adoptada!J17*$D17/1000</f>
        <v>992.59205999999995</v>
      </c>
      <c r="J17" s="263">
        <f>+Pobl_adoptada!K17*$D17/1000</f>
        <v>1000.5740699999999</v>
      </c>
      <c r="K17" s="263">
        <f>+Pobl_adoptada!L17*$D17/1000</f>
        <v>1008.6858</v>
      </c>
      <c r="L17" s="263">
        <f>+Pobl_adoptada!M17*$D17/1000</f>
        <v>1016.93007</v>
      </c>
      <c r="M17" s="263">
        <f>+Pobl_adoptada!N17*$D17/1000</f>
        <v>1025.3097</v>
      </c>
      <c r="N17" s="263">
        <f>+Pobl_adoptada!O17*$D17/1000</f>
        <v>1033.8246899999999</v>
      </c>
      <c r="O17" s="263">
        <f>+Pobl_adoptada!P17*$D17/1000</f>
        <v>1042.4792699999998</v>
      </c>
      <c r="P17" s="263">
        <f>+Pobl_adoptada!Q17*$D17/1000</f>
        <v>1051.2748499999998</v>
      </c>
      <c r="Q17" s="263">
        <f>+Pobl_adoptada!R17*$D17/1000</f>
        <v>1060.21425</v>
      </c>
      <c r="R17" s="263">
        <f>+Pobl_adoptada!S17*$D17/1000</f>
        <v>1069.3002900000001</v>
      </c>
      <c r="S17" s="263">
        <f>+Pobl_adoptada!T17*$D17/1000</f>
        <v>1078.53297</v>
      </c>
      <c r="T17" s="263">
        <f>+Pobl_adoptada!U17*$D17/1000</f>
        <v>1087.91652</v>
      </c>
      <c r="U17" s="263">
        <f>+Pobl_adoptada!V17*$D17/1000</f>
        <v>1097.4537600000001</v>
      </c>
      <c r="V17" s="263">
        <f>+Pobl_adoptada!W17*$D17/1000</f>
        <v>1107.1460999999999</v>
      </c>
      <c r="W17" s="263">
        <f>+Pobl_adoptada!X17*$D17/1000</f>
        <v>1116.9977699999999</v>
      </c>
      <c r="X17" s="263">
        <f>+Pobl_adoptada!Y17*$D17/1000</f>
        <v>1127.0087699999999</v>
      </c>
      <c r="Y17" s="263">
        <f>+Pobl_adoptada!Z17*$D17/1000</f>
        <v>1137.1833299999998</v>
      </c>
      <c r="Z17" s="263">
        <f>+Pobl_adoptada!AA17*$D17/1000</f>
        <v>1147.5242700000001</v>
      </c>
    </row>
    <row r="18" spans="1:29" ht="24.95" hidden="1" customHeight="1">
      <c r="A18" s="351" t="str">
        <f>+Pobl_adoptada!A18</f>
        <v>Malvinas Argentinas</v>
      </c>
      <c r="B18" s="70">
        <f>+Pobl_adoptada!B18</f>
        <v>14</v>
      </c>
      <c r="C18" s="353" t="str">
        <f>+Pobl_adoptada!C18</f>
        <v>Malvinas Argentinas</v>
      </c>
      <c r="D18" s="261">
        <f>IF(E18&lt;=15000,DATOS!B$3,IF(E18&lt;=50000,DATOS!B$4,IF(E18&lt;=300000,DATOS!B$5,IF(E18&lt;=500000,DATOS!B$6,DATOS!B$7))))</f>
        <v>1.41</v>
      </c>
      <c r="E18" s="262">
        <f>+Pobl_adoptada!F18</f>
        <v>370056</v>
      </c>
      <c r="F18" s="263">
        <f>+Pobl_adoptada!G18*$D18/1000</f>
        <v>527.81234999999992</v>
      </c>
      <c r="G18" s="263">
        <f>+Pobl_adoptada!H18*$D18/1000</f>
        <v>546.33128999999997</v>
      </c>
      <c r="H18" s="263">
        <f>+Pobl_adoptada!I18*$D18/1000</f>
        <v>552.64667999999995</v>
      </c>
      <c r="I18" s="263">
        <f>+Pobl_adoptada!J18*$D18/1000</f>
        <v>559.03679999999997</v>
      </c>
      <c r="J18" s="263">
        <f>+Pobl_adoptada!K18*$D18/1000</f>
        <v>565.49883</v>
      </c>
      <c r="K18" s="263">
        <f>+Pobl_adoptada!L18*$D18/1000</f>
        <v>572.03700000000003</v>
      </c>
      <c r="L18" s="263">
        <f>+Pobl_adoptada!M18*$D18/1000</f>
        <v>578.65130999999997</v>
      </c>
      <c r="M18" s="263">
        <f>+Pobl_adoptada!N18*$D18/1000</f>
        <v>585.34034999999994</v>
      </c>
      <c r="N18" s="263">
        <f>+Pobl_adoptada!O18*$D18/1000</f>
        <v>592.10834999999997</v>
      </c>
      <c r="O18" s="263">
        <f>+Pobl_adoptada!P18*$D18/1000</f>
        <v>598.95389999999998</v>
      </c>
      <c r="P18" s="263">
        <f>+Pobl_adoptada!Q18*$D18/1000</f>
        <v>605.87840999999992</v>
      </c>
      <c r="Q18" s="263">
        <f>+Pobl_adoptada!R18*$D18/1000</f>
        <v>612.88328999999987</v>
      </c>
      <c r="R18" s="263">
        <f>+Pobl_adoptada!S18*$D18/1000</f>
        <v>619.96853999999996</v>
      </c>
      <c r="S18" s="263">
        <f>+Pobl_adoptada!T18*$D18/1000</f>
        <v>627.13697999999999</v>
      </c>
      <c r="T18" s="263">
        <f>+Pobl_adoptada!U18*$D18/1000</f>
        <v>634.38720000000001</v>
      </c>
      <c r="U18" s="263">
        <f>+Pobl_adoptada!V18*$D18/1000</f>
        <v>641.72060999999997</v>
      </c>
      <c r="V18" s="263">
        <f>+Pobl_adoptada!W18*$D18/1000</f>
        <v>649.14002999999991</v>
      </c>
      <c r="W18" s="263">
        <f>+Pobl_adoptada!X18*$D18/1000</f>
        <v>656.64545999999996</v>
      </c>
      <c r="X18" s="263">
        <f>+Pobl_adoptada!Y18*$D18/1000</f>
        <v>664.23689999999988</v>
      </c>
      <c r="Y18" s="263">
        <f>+Pobl_adoptada!Z18*$D18/1000</f>
        <v>671.91575999999998</v>
      </c>
      <c r="Z18" s="263">
        <f>+Pobl_adoptada!AA18*$D18/1000</f>
        <v>679.68485999999996</v>
      </c>
    </row>
    <row r="19" spans="1:29" ht="24.95" hidden="1" customHeight="1">
      <c r="A19" s="351" t="str">
        <f>+Pobl_adoptada!A19</f>
        <v>Merlo</v>
      </c>
      <c r="B19" s="70">
        <f>+Pobl_adoptada!B19</f>
        <v>15</v>
      </c>
      <c r="C19" s="353" t="str">
        <f>+Pobl_adoptada!C19</f>
        <v>Merlo</v>
      </c>
      <c r="D19" s="261">
        <f>IF(E19&lt;=15000,DATOS!B$3,IF(E19&lt;=50000,DATOS!B$4,IF(E19&lt;=300000,DATOS!B$5,IF(E19&lt;=500000,DATOS!B$6,DATOS!B$7))))</f>
        <v>1.41</v>
      </c>
      <c r="E19" s="262">
        <f>+Pobl_adoptada!F19</f>
        <v>618111</v>
      </c>
      <c r="F19" s="263">
        <f>+Pobl_adoptada!G19*$D19/1000</f>
        <v>881.82668999999999</v>
      </c>
      <c r="G19" s="263">
        <f>+Pobl_adoptada!H19*$D19/1000</f>
        <v>912.69581999999991</v>
      </c>
      <c r="H19" s="263">
        <f>+Pobl_adoptada!I19*$D19/1000</f>
        <v>922.98599999999999</v>
      </c>
      <c r="I19" s="263">
        <f>+Pobl_adoptada!J19*$D19/1000</f>
        <v>933.27617999999995</v>
      </c>
      <c r="J19" s="263">
        <f>+Pobl_adoptada!K19*$D19/1000</f>
        <v>943.56494999999995</v>
      </c>
      <c r="K19" s="263">
        <f>+Pobl_adoptada!L19*$D19/1000</f>
        <v>953.85512999999992</v>
      </c>
      <c r="L19" s="263">
        <f>+Pobl_adoptada!M19*$D19/1000</f>
        <v>964.14530999999999</v>
      </c>
      <c r="M19" s="263">
        <f>+Pobl_adoptada!N19*$D19/1000</f>
        <v>974.43548999999996</v>
      </c>
      <c r="N19" s="263">
        <f>+Pobl_adoptada!O19*$D19/1000</f>
        <v>984.72425999999984</v>
      </c>
      <c r="O19" s="263">
        <f>+Pobl_adoptada!P19*$D19/1000</f>
        <v>995.01443999999992</v>
      </c>
      <c r="P19" s="263">
        <f>+Pobl_adoptada!Q19*$D19/1000</f>
        <v>1005.30462</v>
      </c>
      <c r="Q19" s="263">
        <f>+Pobl_adoptada!R19*$D19/1000</f>
        <v>1015.5933899999999</v>
      </c>
      <c r="R19" s="263">
        <f>+Pobl_adoptada!S19*$D19/1000</f>
        <v>1025.88357</v>
      </c>
      <c r="S19" s="263">
        <f>+Pobl_adoptada!T19*$D19/1000</f>
        <v>1036.1737499999999</v>
      </c>
      <c r="T19" s="263">
        <f>+Pobl_adoptada!U19*$D19/1000</f>
        <v>1046.4639299999999</v>
      </c>
      <c r="U19" s="263">
        <f>+Pobl_adoptada!V19*$D19/1000</f>
        <v>1056.7527</v>
      </c>
      <c r="V19" s="263">
        <f>+Pobl_adoptada!W19*$D19/1000</f>
        <v>1067.04288</v>
      </c>
      <c r="W19" s="263">
        <f>+Pobl_adoptada!X19*$D19/1000</f>
        <v>1077.3330599999999</v>
      </c>
      <c r="X19" s="263">
        <f>+Pobl_adoptada!Y19*$D19/1000</f>
        <v>1087.6218299999998</v>
      </c>
      <c r="Y19" s="263">
        <f>+Pobl_adoptada!Z19*$D19/1000</f>
        <v>1097.91201</v>
      </c>
      <c r="Z19" s="263">
        <f>+Pobl_adoptada!AA19*$D19/1000</f>
        <v>1108.20219</v>
      </c>
    </row>
    <row r="20" spans="1:29" ht="24.95" hidden="1" customHeight="1">
      <c r="A20" s="351" t="str">
        <f>+Pobl_adoptada!A20</f>
        <v>Moreno</v>
      </c>
      <c r="B20" s="70">
        <f>+Pobl_adoptada!B20</f>
        <v>16</v>
      </c>
      <c r="C20" s="353" t="str">
        <f>+Pobl_adoptada!C20</f>
        <v>Moreno</v>
      </c>
      <c r="D20" s="261">
        <f>IF(E20&lt;=15000,DATOS!B$3,IF(E20&lt;=50000,DATOS!B$4,IF(E20&lt;=300000,DATOS!B$5,IF(E20&lt;=500000,DATOS!B$6,DATOS!B$7))))</f>
        <v>1.41</v>
      </c>
      <c r="E20" s="262">
        <f>+Pobl_adoptada!F20</f>
        <v>572547</v>
      </c>
      <c r="F20" s="263">
        <f>+Pobl_adoptada!G20*$D20/1000</f>
        <v>823.27643999999998</v>
      </c>
      <c r="G20" s="263">
        <f>+Pobl_adoptada!H20*$D20/1000</f>
        <v>873.15660000000003</v>
      </c>
      <c r="H20" s="263">
        <f>+Pobl_adoptada!I20*$D20/1000</f>
        <v>890.44742999999994</v>
      </c>
      <c r="I20" s="263">
        <f>+Pobl_adoptada!J20*$D20/1000</f>
        <v>908.07947999999999</v>
      </c>
      <c r="J20" s="263">
        <f>+Pobl_adoptada!K20*$D20/1000</f>
        <v>926.05979999999988</v>
      </c>
      <c r="K20" s="263">
        <f>+Pobl_adoptada!L20*$D20/1000</f>
        <v>944.39684999999997</v>
      </c>
      <c r="L20" s="263">
        <f>+Pobl_adoptada!M20*$D20/1000</f>
        <v>963.09767999999997</v>
      </c>
      <c r="M20" s="263">
        <f>+Pobl_adoptada!N20*$D20/1000</f>
        <v>982.16792999999996</v>
      </c>
      <c r="N20" s="263">
        <f>+Pobl_adoptada!O20*$D20/1000</f>
        <v>1001.61747</v>
      </c>
      <c r="O20" s="263">
        <f>+Pobl_adoptada!P20*$D20/1000</f>
        <v>1021.45053</v>
      </c>
      <c r="P20" s="263">
        <f>+Pobl_adoptada!Q20*$D20/1000</f>
        <v>1041.67698</v>
      </c>
      <c r="Q20" s="263">
        <f>+Pobl_adoptada!R20*$D20/1000</f>
        <v>1062.30387</v>
      </c>
      <c r="R20" s="263">
        <f>+Pobl_adoptada!S20*$D20/1000</f>
        <v>1083.33825</v>
      </c>
      <c r="S20" s="263">
        <f>+Pobl_adoptada!T20*$D20/1000</f>
        <v>1104.78999</v>
      </c>
      <c r="T20" s="263">
        <f>+Pobl_adoptada!U20*$D20/1000</f>
        <v>1126.6661399999998</v>
      </c>
      <c r="U20" s="263">
        <f>+Pobl_adoptada!V20*$D20/1000</f>
        <v>1148.9765699999998</v>
      </c>
      <c r="V20" s="263">
        <f>+Pobl_adoptada!W20*$D20/1000</f>
        <v>1171.7269199999998</v>
      </c>
      <c r="W20" s="263">
        <f>+Pobl_adoptada!X20*$D20/1000</f>
        <v>1194.9298799999999</v>
      </c>
      <c r="X20" s="263">
        <f>+Pobl_adoptada!Y20*$D20/1000</f>
        <v>1218.5910899999999</v>
      </c>
      <c r="Y20" s="263">
        <f>+Pobl_adoptada!Z20*$D20/1000</f>
        <v>1242.7204199999999</v>
      </c>
      <c r="Z20" s="263">
        <f>+Pobl_adoptada!AA20*$D20/1000</f>
        <v>1267.3277399999999</v>
      </c>
    </row>
    <row r="21" spans="1:29" ht="24.95" hidden="1" customHeight="1">
      <c r="A21" s="351" t="str">
        <f>+Pobl_adoptada!A21</f>
        <v>Morón</v>
      </c>
      <c r="B21" s="70">
        <f>+Pobl_adoptada!B21</f>
        <v>17</v>
      </c>
      <c r="C21" s="353" t="str">
        <f>+Pobl_adoptada!C21</f>
        <v>Morón</v>
      </c>
      <c r="D21" s="261">
        <f>IF(E21&lt;=15000,DATOS!B$3,IF(E21&lt;=50000,DATOS!B$4,IF(E21&lt;=300000,DATOS!B$5,IF(E21&lt;=500000,DATOS!B$6,DATOS!B$7))))</f>
        <v>1.41</v>
      </c>
      <c r="E21" s="262">
        <f>+Pobl_adoptada!F21</f>
        <v>347253</v>
      </c>
      <c r="F21" s="263">
        <f>+Pobl_adoptada!G21*$D21/1000</f>
        <v>493.03469999999993</v>
      </c>
      <c r="G21" s="263">
        <f>+Pobl_adoptada!H21*$D21/1000</f>
        <v>503.59418999999997</v>
      </c>
      <c r="H21" s="263">
        <f>+Pobl_adoptada!I21*$D21/1000</f>
        <v>507.22917000000001</v>
      </c>
      <c r="I21" s="263">
        <f>+Pobl_adoptada!J21*$D21/1000</f>
        <v>510.92336999999998</v>
      </c>
      <c r="J21" s="263">
        <f>+Pobl_adoptada!K21*$D21/1000</f>
        <v>514.67819999999995</v>
      </c>
      <c r="K21" s="263">
        <f>+Pobl_adoptada!L21*$D21/1000</f>
        <v>518.49365999999998</v>
      </c>
      <c r="L21" s="263">
        <f>+Pobl_adoptada!M21*$D21/1000</f>
        <v>522.37257</v>
      </c>
      <c r="M21" s="263">
        <f>+Pobl_adoptada!N21*$D21/1000</f>
        <v>526.31352000000004</v>
      </c>
      <c r="N21" s="263">
        <f>+Pobl_adoptada!O21*$D21/1000</f>
        <v>530.31932999999992</v>
      </c>
      <c r="O21" s="263">
        <f>+Pobl_adoptada!P21*$D21/1000</f>
        <v>534.39140999999995</v>
      </c>
      <c r="P21" s="263">
        <f>+Pobl_adoptada!Q21*$D21/1000</f>
        <v>538.52834999999993</v>
      </c>
      <c r="Q21" s="263">
        <f>+Pobl_adoptada!R21*$D21/1000</f>
        <v>542.73297000000002</v>
      </c>
      <c r="R21" s="263">
        <f>+Pobl_adoptada!S21*$D21/1000</f>
        <v>547.00667999999996</v>
      </c>
      <c r="S21" s="263">
        <f>+Pobl_adoptada!T21*$D21/1000</f>
        <v>551.35089000000005</v>
      </c>
      <c r="T21" s="263">
        <f>+Pobl_adoptada!U21*$D21/1000</f>
        <v>555.76418999999999</v>
      </c>
      <c r="U21" s="263">
        <f>+Pobl_adoptada!V21*$D21/1000</f>
        <v>560.25080999999989</v>
      </c>
      <c r="V21" s="263">
        <f>+Pobl_adoptada!W21*$D21/1000</f>
        <v>564.81074999999998</v>
      </c>
      <c r="W21" s="263">
        <f>+Pobl_adoptada!X21*$D21/1000</f>
        <v>569.44401000000005</v>
      </c>
      <c r="X21" s="263">
        <f>+Pobl_adoptada!Y21*$D21/1000</f>
        <v>574.15340999999989</v>
      </c>
      <c r="Y21" s="263">
        <f>+Pobl_adoptada!Z21*$D21/1000</f>
        <v>578.93894999999998</v>
      </c>
      <c r="Z21" s="263">
        <f>+Pobl_adoptada!AA21*$D21/1000</f>
        <v>583.80345</v>
      </c>
    </row>
    <row r="22" spans="1:29" ht="24.95" hidden="1" customHeight="1">
      <c r="A22" s="351" t="str">
        <f>+Pobl_adoptada!A22</f>
        <v>Quilmes</v>
      </c>
      <c r="B22" s="70">
        <f>+Pobl_adoptada!B22</f>
        <v>18</v>
      </c>
      <c r="C22" s="353" t="str">
        <f>+Pobl_adoptada!C22</f>
        <v>Quilmes</v>
      </c>
      <c r="D22" s="261">
        <f>IF(E22&lt;=15000,DATOS!B$3,IF(E22&lt;=50000,DATOS!B$4,IF(E22&lt;=300000,DATOS!B$5,IF(E22&lt;=500000,DATOS!B$6,DATOS!B$7))))</f>
        <v>1.41</v>
      </c>
      <c r="E22" s="262">
        <f>+Pobl_adoptada!F22</f>
        <v>635758</v>
      </c>
      <c r="F22" s="263">
        <f>+Pobl_adoptada!G22*$D22/1000</f>
        <v>902.92028999999991</v>
      </c>
      <c r="G22" s="263">
        <f>+Pobl_adoptada!H22*$D22/1000</f>
        <v>922.71104999999989</v>
      </c>
      <c r="H22" s="263">
        <f>+Pobl_adoptada!I22*$D22/1000</f>
        <v>929.40431999999998</v>
      </c>
      <c r="I22" s="263">
        <f>+Pobl_adoptada!J22*$D22/1000</f>
        <v>936.14552999999989</v>
      </c>
      <c r="J22" s="263">
        <f>+Pobl_adoptada!K22*$D22/1000</f>
        <v>942.93608999999992</v>
      </c>
      <c r="K22" s="263">
        <f>+Pobl_adoptada!L22*$D22/1000</f>
        <v>949.77599999999995</v>
      </c>
      <c r="L22" s="263">
        <f>+Pobl_adoptada!M22*$D22/1000</f>
        <v>956.66525999999988</v>
      </c>
      <c r="M22" s="263">
        <f>+Pobl_adoptada!N22*$D22/1000</f>
        <v>963.60387000000003</v>
      </c>
      <c r="N22" s="263">
        <f>+Pobl_adoptada!O22*$D22/1000</f>
        <v>970.59324000000004</v>
      </c>
      <c r="O22" s="263">
        <f>+Pobl_adoptada!P22*$D22/1000</f>
        <v>977.63337000000001</v>
      </c>
      <c r="P22" s="263">
        <f>+Pobl_adoptada!Q22*$D22/1000</f>
        <v>984.72566999999992</v>
      </c>
      <c r="Q22" s="263">
        <f>+Pobl_adoptada!R22*$D22/1000</f>
        <v>991.86731999999995</v>
      </c>
      <c r="R22" s="263">
        <f>+Pobl_adoptada!S22*$D22/1000</f>
        <v>999.06254999999987</v>
      </c>
      <c r="S22" s="263">
        <f>+Pobl_adoptada!T22*$D22/1000</f>
        <v>1006.3085399999999</v>
      </c>
      <c r="T22" s="263">
        <f>+Pobl_adoptada!U22*$D22/1000</f>
        <v>1013.60811</v>
      </c>
      <c r="U22" s="263">
        <f>+Pobl_adoptada!V22*$D22/1000</f>
        <v>1020.9612599999999</v>
      </c>
      <c r="V22" s="263">
        <f>+Pobl_adoptada!W22*$D22/1000</f>
        <v>1028.3665799999999</v>
      </c>
      <c r="W22" s="263">
        <f>+Pobl_adoptada!X22*$D22/1000</f>
        <v>1035.82548</v>
      </c>
      <c r="X22" s="263">
        <f>+Pobl_adoptada!Y22*$D22/1000</f>
        <v>1043.3393699999999</v>
      </c>
      <c r="Y22" s="263">
        <f>+Pobl_adoptada!Z22*$D22/1000</f>
        <v>1050.9068399999999</v>
      </c>
      <c r="Z22" s="263">
        <f>+Pobl_adoptada!AA22*$D22/1000</f>
        <v>1058.5293000000001</v>
      </c>
    </row>
    <row r="23" spans="1:29" ht="24.95" hidden="1" customHeight="1">
      <c r="A23" s="351" t="str">
        <f>+Pobl_adoptada!A23</f>
        <v>San Fernando</v>
      </c>
      <c r="B23" s="70">
        <f>+Pobl_adoptada!B23</f>
        <v>19</v>
      </c>
      <c r="C23" s="353" t="str">
        <f>+Pobl_adoptada!C23</f>
        <v>San Fernando</v>
      </c>
      <c r="D23" s="261">
        <f>IF(E23&lt;=15000,DATOS!B$3,IF(E23&lt;=50000,DATOS!B$4,IF(E23&lt;=300000,DATOS!B$5,IF(E23&lt;=500000,DATOS!B$6,DATOS!B$7))))</f>
        <v>1.02</v>
      </c>
      <c r="E23" s="262">
        <f>+Pobl_adoptada!F23</f>
        <v>171263</v>
      </c>
      <c r="F23" s="263">
        <f>+Pobl_adoptada!G23*$D23/1000</f>
        <v>175.71336000000002</v>
      </c>
      <c r="G23" s="263">
        <f>+Pobl_adoptada!H23*$D23/1000</f>
        <v>178.79172</v>
      </c>
      <c r="H23" s="263">
        <f>+Pobl_adoptada!I23*$D23/1000</f>
        <v>179.81783999999999</v>
      </c>
      <c r="I23" s="263">
        <f>+Pobl_adoptada!J23*$D23/1000</f>
        <v>180.84395999999998</v>
      </c>
      <c r="J23" s="263">
        <f>+Pobl_adoptada!K23*$D23/1000</f>
        <v>181.87008000000003</v>
      </c>
      <c r="K23" s="263">
        <f>+Pobl_adoptada!L23*$D23/1000</f>
        <v>182.89620000000002</v>
      </c>
      <c r="L23" s="263">
        <f>+Pobl_adoptada!M23*$D23/1000</f>
        <v>183.92130000000003</v>
      </c>
      <c r="M23" s="263">
        <f>+Pobl_adoptada!N23*$D23/1000</f>
        <v>184.94742000000002</v>
      </c>
      <c r="N23" s="263">
        <f>+Pobl_adoptada!O23*$D23/1000</f>
        <v>185.97354000000001</v>
      </c>
      <c r="O23" s="263">
        <f>+Pobl_adoptada!P23*$D23/1000</f>
        <v>186.99966000000001</v>
      </c>
      <c r="P23" s="263">
        <f>+Pobl_adoptada!Q23*$D23/1000</f>
        <v>188.02578</v>
      </c>
      <c r="Q23" s="263">
        <f>+Pobl_adoptada!R23*$D23/1000</f>
        <v>189.05189999999999</v>
      </c>
      <c r="R23" s="263">
        <f>+Pobl_adoptada!S23*$D23/1000</f>
        <v>190.07801999999998</v>
      </c>
      <c r="S23" s="263">
        <f>+Pobl_adoptada!T23*$D23/1000</f>
        <v>191.10414</v>
      </c>
      <c r="T23" s="263">
        <f>+Pobl_adoptada!U23*$D23/1000</f>
        <v>192.13026000000002</v>
      </c>
      <c r="U23" s="263">
        <f>+Pobl_adoptada!V23*$D23/1000</f>
        <v>193.15536</v>
      </c>
      <c r="V23" s="263">
        <f>+Pobl_adoptada!W23*$D23/1000</f>
        <v>194.18148000000002</v>
      </c>
      <c r="W23" s="263">
        <f>+Pobl_adoptada!X23*$D23/1000</f>
        <v>195.20760000000001</v>
      </c>
      <c r="X23" s="263">
        <f>+Pobl_adoptada!Y23*$D23/1000</f>
        <v>196.23372000000001</v>
      </c>
      <c r="Y23" s="263">
        <f>+Pobl_adoptada!Z23*$D23/1000</f>
        <v>197.25984</v>
      </c>
      <c r="Z23" s="263">
        <f>+Pobl_adoptada!AA23*$D23/1000</f>
        <v>198.28595999999999</v>
      </c>
    </row>
    <row r="24" spans="1:29" ht="24.95" hidden="1" customHeight="1">
      <c r="A24" s="351" t="str">
        <f>+Pobl_adoptada!A24</f>
        <v>San Isidro</v>
      </c>
      <c r="B24" s="70">
        <f>+Pobl_adoptada!B24</f>
        <v>20</v>
      </c>
      <c r="C24" s="353" t="str">
        <f>+Pobl_adoptada!C24</f>
        <v>San Isidro</v>
      </c>
      <c r="D24" s="261">
        <f>IF(E24&lt;=15000,DATOS!B$3,IF(E24&lt;=50000,DATOS!B$4,IF(E24&lt;=300000,DATOS!B$5,IF(E24&lt;=500000,DATOS!B$6,DATOS!B$7))))</f>
        <v>1.02</v>
      </c>
      <c r="E24" s="262">
        <f>+Pobl_adoptada!F24</f>
        <v>295938</v>
      </c>
      <c r="F24" s="263">
        <f>+Pobl_adoptada!G24*$D24/1000</f>
        <v>302.14542</v>
      </c>
      <c r="G24" s="263">
        <f>+Pobl_adoptada!H24*$D24/1000</f>
        <v>303.03996000000001</v>
      </c>
      <c r="H24" s="263">
        <f>+Pobl_adoptada!I24*$D24/1000</f>
        <v>303.34800000000001</v>
      </c>
      <c r="I24" s="263">
        <f>+Pobl_adoptada!J24*$D24/1000</f>
        <v>303.66012000000001</v>
      </c>
      <c r="J24" s="263">
        <f>+Pobl_adoptada!K24*$D24/1000</f>
        <v>303.97836000000001</v>
      </c>
      <c r="K24" s="263">
        <f>+Pobl_adoptada!L24*$D24/1000</f>
        <v>304.30170000000004</v>
      </c>
      <c r="L24" s="263">
        <f>+Pobl_adoptada!M24*$D24/1000</f>
        <v>304.63014000000004</v>
      </c>
      <c r="M24" s="263">
        <f>+Pobl_adoptada!N24*$D24/1000</f>
        <v>304.96368000000001</v>
      </c>
      <c r="N24" s="263">
        <f>+Pobl_adoptada!O24*$D24/1000</f>
        <v>305.30334000000005</v>
      </c>
      <c r="O24" s="263">
        <f>+Pobl_adoptada!P24*$D24/1000</f>
        <v>305.6481</v>
      </c>
      <c r="P24" s="263">
        <f>+Pobl_adoptada!Q24*$D24/1000</f>
        <v>305.99796000000003</v>
      </c>
      <c r="Q24" s="263">
        <f>+Pobl_adoptada!R24*$D24/1000</f>
        <v>306.35394000000002</v>
      </c>
      <c r="R24" s="263">
        <f>+Pobl_adoptada!S24*$D24/1000</f>
        <v>306.71603999999996</v>
      </c>
      <c r="S24" s="263">
        <f>+Pobl_adoptada!T24*$D24/1000</f>
        <v>307.08426000000003</v>
      </c>
      <c r="T24" s="263">
        <f>+Pobl_adoptada!U24*$D24/1000</f>
        <v>307.45758000000001</v>
      </c>
      <c r="U24" s="263">
        <f>+Pobl_adoptada!V24*$D24/1000</f>
        <v>307.83803999999998</v>
      </c>
      <c r="V24" s="263">
        <f>+Pobl_adoptada!W24*$D24/1000</f>
        <v>308.22359999999998</v>
      </c>
      <c r="W24" s="263">
        <f>+Pobl_adoptada!X24*$D24/1000</f>
        <v>308.61629999999997</v>
      </c>
      <c r="X24" s="263">
        <f>+Pobl_adoptada!Y24*$D24/1000</f>
        <v>309.01511999999997</v>
      </c>
      <c r="Y24" s="263">
        <f>+Pobl_adoptada!Z24*$D24/1000</f>
        <v>309.42005999999998</v>
      </c>
      <c r="Z24" s="263">
        <f>+Pobl_adoptada!AA24*$D24/1000</f>
        <v>309.83214000000004</v>
      </c>
    </row>
    <row r="25" spans="1:29" ht="24.95" hidden="1" customHeight="1">
      <c r="A25" s="351" t="str">
        <f>+Pobl_adoptada!A25</f>
        <v>San Miguel</v>
      </c>
      <c r="B25" s="70">
        <f>+Pobl_adoptada!B25</f>
        <v>21</v>
      </c>
      <c r="C25" s="353" t="str">
        <f>+Pobl_adoptada!C25</f>
        <v>San Miguel</v>
      </c>
      <c r="D25" s="261">
        <f>IF(E25&lt;=15000,DATOS!B$3,IF(E25&lt;=50000,DATOS!B$4,IF(E25&lt;=300000,DATOS!B$5,IF(E25&lt;=500000,DATOS!B$6,DATOS!B$7))))</f>
        <v>1.41</v>
      </c>
      <c r="E25" s="262">
        <f>+Pobl_adoptada!F25</f>
        <v>327690</v>
      </c>
      <c r="F25" s="263">
        <f>+Pobl_adoptada!G25*$D25/1000</f>
        <v>468.75450000000001</v>
      </c>
      <c r="G25" s="263">
        <f>+Pobl_adoptada!H25*$D25/1000</f>
        <v>489.55340999999999</v>
      </c>
      <c r="H25" s="263">
        <f>+Pobl_adoptada!I25*$D25/1000</f>
        <v>496.71479999999997</v>
      </c>
      <c r="I25" s="263">
        <f>+Pobl_adoptada!J25*$D25/1000</f>
        <v>503.99180999999999</v>
      </c>
      <c r="J25" s="263">
        <f>+Pobl_adoptada!K25*$D25/1000</f>
        <v>511.38866999999999</v>
      </c>
      <c r="K25" s="263">
        <f>+Pobl_adoptada!L25*$D25/1000</f>
        <v>518.90537999999992</v>
      </c>
      <c r="L25" s="263">
        <f>+Pobl_adoptada!M25*$D25/1000</f>
        <v>526.54476</v>
      </c>
      <c r="M25" s="263">
        <f>+Pobl_adoptada!N25*$D25/1000</f>
        <v>534.30822000000001</v>
      </c>
      <c r="N25" s="263">
        <f>+Pobl_adoptada!O25*$D25/1000</f>
        <v>542.19857999999999</v>
      </c>
      <c r="O25" s="263">
        <f>+Pobl_adoptada!P25*$D25/1000</f>
        <v>550.21865999999989</v>
      </c>
      <c r="P25" s="263">
        <f>+Pobl_adoptada!Q25*$D25/1000</f>
        <v>558.36845999999991</v>
      </c>
      <c r="Q25" s="263">
        <f>+Pobl_adoptada!R25*$D25/1000</f>
        <v>566.65220999999997</v>
      </c>
      <c r="R25" s="263">
        <f>+Pobl_adoptada!S25*$D25/1000</f>
        <v>575.06990999999994</v>
      </c>
      <c r="S25" s="263">
        <f>+Pobl_adoptada!T25*$D25/1000</f>
        <v>583.62578999999994</v>
      </c>
      <c r="T25" s="263">
        <f>+Pobl_adoptada!U25*$D25/1000</f>
        <v>592.32126000000005</v>
      </c>
      <c r="U25" s="263">
        <f>+Pobl_adoptada!V25*$D25/1000</f>
        <v>601.15773000000002</v>
      </c>
      <c r="V25" s="263">
        <f>+Pobl_adoptada!W25*$D25/1000</f>
        <v>610.13942999999995</v>
      </c>
      <c r="W25" s="263">
        <f>+Pobl_adoptada!X25*$D25/1000</f>
        <v>619.26635999999996</v>
      </c>
      <c r="X25" s="263">
        <f>+Pobl_adoptada!Y25*$D25/1000</f>
        <v>628.54415999999992</v>
      </c>
      <c r="Y25" s="263">
        <f>+Pobl_adoptada!Z25*$D25/1000</f>
        <v>637.97141999999997</v>
      </c>
      <c r="Z25" s="263">
        <f>+Pobl_adoptada!AA25*$D25/1000</f>
        <v>647.55377999999996</v>
      </c>
    </row>
    <row r="26" spans="1:29" ht="24.95" hidden="1" customHeight="1">
      <c r="A26" s="351" t="str">
        <f>+Pobl_adoptada!A26</f>
        <v>Tigre</v>
      </c>
      <c r="B26" s="70">
        <f>+Pobl_adoptada!B26</f>
        <v>22</v>
      </c>
      <c r="C26" s="353" t="str">
        <f>+Pobl_adoptada!C26</f>
        <v>Tigre</v>
      </c>
      <c r="D26" s="261">
        <f>IF(E26&lt;=15000,DATOS!B$3,IF(E26&lt;=50000,DATOS!B$4,IF(E26&lt;=300000,DATOS!B$5,IF(E26&lt;=500000,DATOS!B$6,DATOS!B$7))))</f>
        <v>1.41</v>
      </c>
      <c r="E26" s="262">
        <f>+Pobl_adoptada!F26</f>
        <v>436959</v>
      </c>
      <c r="F26" s="263">
        <f>+Pobl_adoptada!G26*$D26/1000</f>
        <v>624.68358000000001</v>
      </c>
      <c r="G26" s="263">
        <f>+Pobl_adoptada!H26*$D26/1000</f>
        <v>650.39774999999997</v>
      </c>
      <c r="H26" s="263">
        <f>+Pobl_adoptada!I26*$D26/1000</f>
        <v>658.96914000000004</v>
      </c>
      <c r="I26" s="263">
        <f>+Pobl_adoptada!J26*$D26/1000</f>
        <v>667.54052999999988</v>
      </c>
      <c r="J26" s="263">
        <f>+Pobl_adoptada!K26*$D26/1000</f>
        <v>676.11191999999994</v>
      </c>
      <c r="K26" s="263">
        <f>+Pobl_adoptada!L26*$D26/1000</f>
        <v>684.68330999999989</v>
      </c>
      <c r="L26" s="263">
        <f>+Pobl_adoptada!M26*$D26/1000</f>
        <v>693.25469999999996</v>
      </c>
      <c r="M26" s="263">
        <f>+Pobl_adoptada!N26*$D26/1000</f>
        <v>701.82467999999994</v>
      </c>
      <c r="N26" s="263">
        <f>+Pobl_adoptada!O26*$D26/1000</f>
        <v>710.3960699999999</v>
      </c>
      <c r="O26" s="263">
        <f>+Pobl_adoptada!P26*$D26/1000</f>
        <v>718.96745999999996</v>
      </c>
      <c r="P26" s="263">
        <f>+Pobl_adoptada!Q26*$D26/1000</f>
        <v>727.53885000000002</v>
      </c>
      <c r="Q26" s="263">
        <f>+Pobl_adoptada!R26*$D26/1000</f>
        <v>736.11023999999998</v>
      </c>
      <c r="R26" s="263">
        <f>+Pobl_adoptada!S26*$D26/1000</f>
        <v>744.68163000000004</v>
      </c>
      <c r="S26" s="263">
        <f>+Pobl_adoptada!T26*$D26/1000</f>
        <v>753.25301999999988</v>
      </c>
      <c r="T26" s="263">
        <f>+Pobl_adoptada!U26*$D26/1000</f>
        <v>761.82440999999994</v>
      </c>
      <c r="U26" s="263">
        <f>+Pobl_adoptada!V26*$D26/1000</f>
        <v>770.39579999999989</v>
      </c>
      <c r="V26" s="263">
        <f>+Pobl_adoptada!W26*$D26/1000</f>
        <v>778.96718999999996</v>
      </c>
      <c r="W26" s="263">
        <f>+Pobl_adoptada!X26*$D26/1000</f>
        <v>787.53857999999991</v>
      </c>
      <c r="X26" s="263">
        <f>+Pobl_adoptada!Y26*$D26/1000</f>
        <v>796.10996999999998</v>
      </c>
      <c r="Y26" s="263">
        <f>+Pobl_adoptada!Z26*$D26/1000</f>
        <v>804.68136000000004</v>
      </c>
      <c r="Z26" s="263">
        <f>+Pobl_adoptada!AA26*$D26/1000</f>
        <v>813.25274999999999</v>
      </c>
    </row>
    <row r="27" spans="1:29" ht="24.95" hidden="1" customHeight="1">
      <c r="A27" s="351" t="str">
        <f>+Pobl_adoptada!A27</f>
        <v>Tres de Febrero</v>
      </c>
      <c r="B27" s="70">
        <f>+Pobl_adoptada!B27</f>
        <v>23</v>
      </c>
      <c r="C27" s="353" t="str">
        <f>+Pobl_adoptada!C27</f>
        <v>Tres de Febrero</v>
      </c>
      <c r="D27" s="261">
        <f>IF(E27&lt;=15000,DATOS!B$3,IF(E27&lt;=50000,DATOS!B$4,IF(E27&lt;=300000,DATOS!B$5,IF(E27&lt;=500000,DATOS!B$6,DATOS!B$7))))</f>
        <v>1.41</v>
      </c>
      <c r="E27" s="262">
        <f>+Pobl_adoptada!F27</f>
        <v>348104</v>
      </c>
      <c r="F27" s="263">
        <f>+Pobl_adoptada!G27*$D27/1000</f>
        <v>491.87426999999997</v>
      </c>
      <c r="G27" s="263">
        <f>+Pobl_adoptada!H27*$D27/1000</f>
        <v>495.11867999999998</v>
      </c>
      <c r="H27" s="263">
        <f>+Pobl_adoptada!I27*$D27/1000</f>
        <v>496.23539999999997</v>
      </c>
      <c r="I27" s="263">
        <f>+Pobl_adoptada!J27*$D27/1000</f>
        <v>497.37044999999995</v>
      </c>
      <c r="J27" s="263">
        <f>+Pobl_adoptada!K27*$D27/1000</f>
        <v>498.52524</v>
      </c>
      <c r="K27" s="263">
        <f>+Pobl_adoptada!L27*$D27/1000</f>
        <v>499.69694999999996</v>
      </c>
      <c r="L27" s="263">
        <f>+Pobl_adoptada!M27*$D27/1000</f>
        <v>500.88839999999999</v>
      </c>
      <c r="M27" s="263">
        <f>+Pobl_adoptada!N27*$D27/1000</f>
        <v>502.09958999999998</v>
      </c>
      <c r="N27" s="263">
        <f>+Pobl_adoptada!O27*$D27/1000</f>
        <v>503.33051999999998</v>
      </c>
      <c r="O27" s="263">
        <f>+Pobl_adoptada!P27*$D27/1000</f>
        <v>504.58118999999994</v>
      </c>
      <c r="P27" s="263">
        <f>+Pobl_adoptada!Q27*$D27/1000</f>
        <v>505.85300999999993</v>
      </c>
      <c r="Q27" s="263">
        <f>+Pobl_adoptada!R27*$D27/1000</f>
        <v>507.14598000000001</v>
      </c>
      <c r="R27" s="263">
        <f>+Pobl_adoptada!S27*$D27/1000</f>
        <v>508.45868999999993</v>
      </c>
      <c r="S27" s="263">
        <f>+Pobl_adoptada!T27*$D27/1000</f>
        <v>509.79255000000001</v>
      </c>
      <c r="T27" s="263">
        <f>+Pobl_adoptada!U27*$D27/1000</f>
        <v>511.14896999999996</v>
      </c>
      <c r="U27" s="263">
        <f>+Pobl_adoptada!V27*$D27/1000</f>
        <v>512.52794999999992</v>
      </c>
      <c r="V27" s="263">
        <f>+Pobl_adoptada!W27*$D27/1000</f>
        <v>513.92948999999999</v>
      </c>
      <c r="W27" s="263">
        <f>+Pobl_adoptada!X27*$D27/1000</f>
        <v>515.35217999999998</v>
      </c>
      <c r="X27" s="263">
        <f>+Pobl_adoptada!Y27*$D27/1000</f>
        <v>516.80024999999989</v>
      </c>
      <c r="Y27" s="263">
        <f>+Pobl_adoptada!Z27*$D27/1000</f>
        <v>518.27087999999992</v>
      </c>
      <c r="Z27" s="263">
        <f>+Pobl_adoptada!AA27*$D27/1000</f>
        <v>519.76548000000003</v>
      </c>
    </row>
    <row r="28" spans="1:29" ht="24.95" hidden="1" customHeight="1">
      <c r="A28" s="351" t="str">
        <f>+Pobl_adoptada!A28</f>
        <v>Vicente López</v>
      </c>
      <c r="B28" s="70">
        <f>+Pobl_adoptada!B28</f>
        <v>24</v>
      </c>
      <c r="C28" s="353" t="str">
        <f>+Pobl_adoptada!C28</f>
        <v>Vicente López</v>
      </c>
      <c r="D28" s="261">
        <f>IF(E28&lt;=15000,DATOS!B$3,IF(E28&lt;=50000,DATOS!B$4,IF(E28&lt;=300000,DATOS!B$5,IF(E28&lt;=500000,DATOS!B$6,DATOS!B$7))))</f>
        <v>1.02</v>
      </c>
      <c r="E28" s="262">
        <f>+Pobl_adoptada!F28</f>
        <v>259028</v>
      </c>
      <c r="F28" s="263">
        <f>+Pobl_adoptada!G28*$D28/1000</f>
        <v>263.22935999999999</v>
      </c>
      <c r="G28" s="263">
        <f>+Pobl_adoptada!H28*$D28/1000</f>
        <v>260.19281999999998</v>
      </c>
      <c r="H28" s="263">
        <f>+Pobl_adoptada!I28*$D28/1000</f>
        <v>259.14731999999998</v>
      </c>
      <c r="I28" s="263">
        <f>+Pobl_adoptada!J28*$D28/1000</f>
        <v>258.08550000000002</v>
      </c>
      <c r="J28" s="263">
        <f>+Pobl_adoptada!K28*$D28/1000</f>
        <v>257.00531999999998</v>
      </c>
      <c r="K28" s="263">
        <f>+Pobl_adoptada!L28*$D28/1000</f>
        <v>255.90882000000002</v>
      </c>
      <c r="L28" s="263">
        <f>+Pobl_adoptada!M28*$D28/1000</f>
        <v>254.79294000000002</v>
      </c>
      <c r="M28" s="263">
        <f>+Pobl_adoptada!N28*$D28/1000</f>
        <v>253.65971999999999</v>
      </c>
      <c r="N28" s="263">
        <f>+Pobl_adoptada!O28*$D28/1000</f>
        <v>252.50814000000003</v>
      </c>
      <c r="O28" s="263">
        <f>+Pobl_adoptada!P28*$D28/1000</f>
        <v>251.33717999999999</v>
      </c>
      <c r="P28" s="263">
        <f>+Pobl_adoptada!Q28*$D28/1000</f>
        <v>250.14786000000001</v>
      </c>
      <c r="Q28" s="263">
        <f>+Pobl_adoptada!R28*$D28/1000</f>
        <v>248.93916000000002</v>
      </c>
      <c r="R28" s="263">
        <f>+Pobl_adoptada!S28*$D28/1000</f>
        <v>247.71006</v>
      </c>
      <c r="S28" s="263">
        <f>+Pobl_adoptada!T28*$D28/1000</f>
        <v>246.46158000000003</v>
      </c>
      <c r="T28" s="263">
        <f>+Pobl_adoptada!U28*$D28/1000</f>
        <v>245.19167999999999</v>
      </c>
      <c r="U28" s="263">
        <f>+Pobl_adoptada!V28*$D28/1000</f>
        <v>243.9024</v>
      </c>
      <c r="V28" s="263">
        <f>+Pobl_adoptada!W28*$D28/1000</f>
        <v>242.59067999999999</v>
      </c>
      <c r="W28" s="263">
        <f>+Pobl_adoptada!X28*$D28/1000</f>
        <v>241.25855999999999</v>
      </c>
      <c r="X28" s="263">
        <f>+Pobl_adoptada!Y28*$D28/1000</f>
        <v>239.904</v>
      </c>
      <c r="Y28" s="263">
        <f>+Pobl_adoptada!Z28*$D28/1000</f>
        <v>238.52802000000003</v>
      </c>
      <c r="Z28" s="263">
        <f>+Pobl_adoptada!AA28*$D28/1000</f>
        <v>237.12960000000001</v>
      </c>
    </row>
    <row r="29" spans="1:29" ht="24.95" hidden="1" customHeight="1">
      <c r="A29" s="351" t="str">
        <f>+Pobl_adoptada!A29</f>
        <v>25 de Mayo</v>
      </c>
      <c r="B29" s="70">
        <f>+Pobl_adoptada!B29</f>
        <v>25</v>
      </c>
      <c r="C29" s="353" t="str">
        <f>+Pobl_adoptada!C29</f>
        <v>25 de Mayo</v>
      </c>
      <c r="D29" s="261">
        <f>IF(E29&lt;=15000,DATOS!B$3,IF(E29&lt;=50000,DATOS!B$4,IF(E29&lt;=300000,DATOS!B$5,IF(E29&lt;=500000,DATOS!B$6,DATOS!B$7))))</f>
        <v>1.06</v>
      </c>
      <c r="E29" s="262">
        <f>+Pobl_adoptada!F29</f>
        <v>24558</v>
      </c>
      <c r="F29" s="263">
        <f>+Pobl_adoptada!G29*$D29/1000</f>
        <v>26.135360000000002</v>
      </c>
      <c r="G29" s="263">
        <f>+Pobl_adoptada!H29*$D29/1000</f>
        <v>26.451240000000002</v>
      </c>
      <c r="H29" s="263">
        <f>+Pobl_adoptada!I29*$D29/1000</f>
        <v>26.55724</v>
      </c>
      <c r="I29" s="263">
        <f>+Pobl_adoptada!J29*$D29/1000</f>
        <v>26.663240000000002</v>
      </c>
      <c r="J29" s="263">
        <f>+Pobl_adoptada!K29*$D29/1000</f>
        <v>26.770300000000002</v>
      </c>
      <c r="K29" s="263">
        <f>+Pobl_adoptada!L29*$D29/1000</f>
        <v>26.877359999999999</v>
      </c>
      <c r="L29" s="263">
        <f>+Pobl_adoptada!M29*$D29/1000</f>
        <v>26.984420000000004</v>
      </c>
      <c r="M29" s="263">
        <f>+Pobl_adoptada!N29*$D29/1000</f>
        <v>27.09254</v>
      </c>
      <c r="N29" s="263">
        <f>+Pobl_adoptada!O29*$D29/1000</f>
        <v>27.201720000000002</v>
      </c>
      <c r="O29" s="263">
        <f>+Pobl_adoptada!P29*$D29/1000</f>
        <v>27.309840000000001</v>
      </c>
      <c r="P29" s="263">
        <f>+Pobl_adoptada!Q29*$D29/1000</f>
        <v>27.420080000000002</v>
      </c>
      <c r="Q29" s="263">
        <f>+Pobl_adoptada!R29*$D29/1000</f>
        <v>27.529260000000001</v>
      </c>
      <c r="R29" s="263">
        <f>+Pobl_adoptada!S29*$D29/1000</f>
        <v>27.639500000000002</v>
      </c>
      <c r="S29" s="263">
        <f>+Pobl_adoptada!T29*$D29/1000</f>
        <v>27.750800000000002</v>
      </c>
      <c r="T29" s="263">
        <f>+Pobl_adoptada!U29*$D29/1000</f>
        <v>27.861039999999999</v>
      </c>
      <c r="U29" s="263">
        <f>+Pobl_adoptada!V29*$D29/1000</f>
        <v>27.973400000000002</v>
      </c>
      <c r="V29" s="263">
        <f>+Pobl_adoptada!W29*$D29/1000</f>
        <v>28.084700000000002</v>
      </c>
      <c r="W29" s="263">
        <f>+Pobl_adoptada!X29*$D29/1000</f>
        <v>28.198120000000003</v>
      </c>
      <c r="X29" s="263">
        <f>+Pobl_adoptada!Y29*$D29/1000</f>
        <v>28.310480000000002</v>
      </c>
      <c r="Y29" s="263">
        <f>+Pobl_adoptada!Z29*$D29/1000</f>
        <v>28.4239</v>
      </c>
      <c r="Z29" s="263">
        <f>+Pobl_adoptada!AA29*$D29/1000</f>
        <v>28.537320000000001</v>
      </c>
    </row>
    <row r="30" spans="1:29" ht="24.95" customHeight="1">
      <c r="A30" s="351" t="str">
        <f>+Pobl_adoptada!A30</f>
        <v>9 de Julio</v>
      </c>
      <c r="B30" s="70">
        <f>+Pobl_adoptada!B30</f>
        <v>26</v>
      </c>
      <c r="C30" s="353" t="str">
        <f>+Pobl_adoptada!C30</f>
        <v>9 de Julio</v>
      </c>
      <c r="D30" s="261">
        <f>IF(E30&lt;=15000,DATOS!B$3,IF(E30&lt;=50000,DATOS!B$4,IF(E30&lt;=300000,DATOS!B$5,IF(E30&lt;=500000,DATOS!B$6,DATOS!B$7))))</f>
        <v>1.06</v>
      </c>
      <c r="E30" s="262">
        <f>+Pobl_adoptada!F30</f>
        <v>40655</v>
      </c>
      <c r="F30" s="263">
        <f>+Pobl_adoptada!G30*$D30/1000</f>
        <v>43.438800000000001</v>
      </c>
      <c r="G30" s="263">
        <f>+Pobl_adoptada!H30*$D30/1000</f>
        <v>44.470179999999999</v>
      </c>
      <c r="H30" s="263">
        <f>+Pobl_adoptada!I30*$D30/1000</f>
        <v>44.81362</v>
      </c>
      <c r="I30" s="263">
        <f>+Pobl_adoptada!J30*$D30/1000</f>
        <v>45.158120000000004</v>
      </c>
      <c r="J30" s="263">
        <f>+Pobl_adoptada!K30*$D30/1000</f>
        <v>45.501560000000005</v>
      </c>
      <c r="K30" s="263">
        <f>+Pobl_adoptada!L30*$D30/1000</f>
        <v>45.846060000000008</v>
      </c>
      <c r="L30" s="263">
        <f>+Pobl_adoptada!M30*$D30/1000</f>
        <v>46.189500000000002</v>
      </c>
      <c r="M30" s="263">
        <f>+Pobl_adoptada!N30*$D30/1000</f>
        <v>46.533999999999999</v>
      </c>
      <c r="N30" s="263">
        <f>+Pobl_adoptada!O30*$D30/1000</f>
        <v>46.87744</v>
      </c>
      <c r="O30" s="263">
        <f>+Pobl_adoptada!P30*$D30/1000</f>
        <v>47.221940000000004</v>
      </c>
      <c r="P30" s="263">
        <f>+Pobl_adoptada!Q30*$D30/1000</f>
        <v>47.565380000000005</v>
      </c>
      <c r="Q30" s="263">
        <f>+Pobl_adoptada!R30*$D30/1000</f>
        <v>47.909880000000001</v>
      </c>
      <c r="R30" s="263">
        <f>+Pobl_adoptada!S30*$D30/1000</f>
        <v>48.253320000000002</v>
      </c>
      <c r="S30" s="263">
        <f>+Pobl_adoptada!T30*$D30/1000</f>
        <v>48.597819999999999</v>
      </c>
      <c r="T30" s="263">
        <f>+Pobl_adoptada!U30*$D30/1000</f>
        <v>48.94126</v>
      </c>
      <c r="U30" s="263">
        <f>+Pobl_adoptada!V30*$D30/1000</f>
        <v>49.284700000000001</v>
      </c>
      <c r="V30" s="263">
        <f>+Pobl_adoptada!W30*$D30/1000</f>
        <v>49.629200000000004</v>
      </c>
      <c r="W30" s="263">
        <f>+Pobl_adoptada!X30*$D30/1000</f>
        <v>49.972639999999998</v>
      </c>
      <c r="X30" s="263">
        <f>+Pobl_adoptada!Y30*$D30/1000</f>
        <v>50.317140000000002</v>
      </c>
      <c r="Y30" s="263">
        <f>+Pobl_adoptada!Z30*$D30/1000</f>
        <v>50.660580000000003</v>
      </c>
      <c r="Z30" s="263">
        <f>+Pobl_adoptada!AA30*$D30/1000</f>
        <v>51.00508</v>
      </c>
      <c r="AA30" s="270">
        <f>AVERAGE(F30:Z30)</f>
        <v>47.53277238095238</v>
      </c>
      <c r="AB30" s="270">
        <f>Resumen_Generación!G30</f>
        <v>14.66804892</v>
      </c>
      <c r="AC30" s="270">
        <f>AA30-AB30</f>
        <v>32.864723460952376</v>
      </c>
    </row>
    <row r="31" spans="1:29" ht="24.95" hidden="1" customHeight="1">
      <c r="A31" s="351" t="str">
        <f>+Pobl_adoptada!A31</f>
        <v>Adolfo Alsina</v>
      </c>
      <c r="B31" s="70">
        <f>+Pobl_adoptada!B31</f>
        <v>27</v>
      </c>
      <c r="C31" s="353" t="str">
        <f>+Pobl_adoptada!C31</f>
        <v>Carhué</v>
      </c>
      <c r="D31" s="261">
        <f>IF(E31&lt;=15000,DATOS!B$3,IF(E31&lt;=50000,DATOS!B$4,IF(E31&lt;=300000,DATOS!B$5,IF(E31&lt;=500000,DATOS!B$6,DATOS!B$7))))</f>
        <v>0.92</v>
      </c>
      <c r="E31" s="262">
        <f>+Pobl_adoptada!F31</f>
        <v>10160</v>
      </c>
      <c r="F31" s="263">
        <f>+Pobl_adoptada!G31*$D31/1000</f>
        <v>9.4005600000000005</v>
      </c>
      <c r="G31" s="263">
        <f>+Pobl_adoptada!H31*$D31/1000</f>
        <v>9.5597200000000004</v>
      </c>
      <c r="H31" s="263">
        <f>+Pobl_adoptada!I31*$D31/1000</f>
        <v>9.6121599999999994</v>
      </c>
      <c r="I31" s="263">
        <f>+Pobl_adoptada!J31*$D31/1000</f>
        <v>9.6655200000000008</v>
      </c>
      <c r="J31" s="263">
        <f>+Pobl_adoptada!K31*$D31/1000</f>
        <v>9.7188800000000004</v>
      </c>
      <c r="K31" s="263">
        <f>+Pobl_adoptada!L31*$D31/1000</f>
        <v>9.7713199999999993</v>
      </c>
      <c r="L31" s="263">
        <f>+Pobl_adoptada!M31*$D31/1000</f>
        <v>9.8246800000000007</v>
      </c>
      <c r="M31" s="263">
        <f>+Pobl_adoptada!N31*$D31/1000</f>
        <v>9.8780400000000004</v>
      </c>
      <c r="N31" s="263">
        <f>+Pobl_adoptada!O31*$D31/1000</f>
        <v>9.9304799999999993</v>
      </c>
      <c r="O31" s="263">
        <f>+Pobl_adoptada!P31*$D31/1000</f>
        <v>9.9838400000000007</v>
      </c>
      <c r="P31" s="263">
        <f>+Pobl_adoptada!Q31*$D31/1000</f>
        <v>10.0372</v>
      </c>
      <c r="Q31" s="263">
        <f>+Pobl_adoptada!R31*$D31/1000</f>
        <v>10.089640000000001</v>
      </c>
      <c r="R31" s="263">
        <f>+Pobl_adoptada!S31*$D31/1000</f>
        <v>10.143000000000001</v>
      </c>
      <c r="S31" s="263">
        <f>+Pobl_adoptada!T31*$D31/1000</f>
        <v>10.19636</v>
      </c>
      <c r="T31" s="263">
        <f>+Pobl_adoptada!U31*$D31/1000</f>
        <v>10.248800000000001</v>
      </c>
      <c r="U31" s="263">
        <f>+Pobl_adoptada!V31*$D31/1000</f>
        <v>10.302160000000001</v>
      </c>
      <c r="V31" s="263">
        <f>+Pobl_adoptada!W31*$D31/1000</f>
        <v>10.35552</v>
      </c>
      <c r="W31" s="263">
        <f>+Pobl_adoptada!X31*$D31/1000</f>
        <v>10.408880000000002</v>
      </c>
      <c r="X31" s="263">
        <f>+Pobl_adoptada!Y31*$D31/1000</f>
        <v>10.461319999999999</v>
      </c>
      <c r="Y31" s="263">
        <f>+Pobl_adoptada!Z31*$D31/1000</f>
        <v>10.51468</v>
      </c>
      <c r="Z31" s="263">
        <f>+Pobl_adoptada!AA31*$D31/1000</f>
        <v>10.568040000000002</v>
      </c>
    </row>
    <row r="32" spans="1:29" ht="24.95" hidden="1" customHeight="1">
      <c r="A32" s="351" t="str">
        <f>+Pobl_adoptada!A32</f>
        <v>Adolfo Gonzáles Chaves</v>
      </c>
      <c r="B32" s="70">
        <f>+Pobl_adoptada!B32</f>
        <v>28</v>
      </c>
      <c r="C32" s="353" t="str">
        <f>+Pobl_adoptada!C32</f>
        <v>Adolfo Gonzáles Chaves</v>
      </c>
      <c r="D32" s="261">
        <f>IF(E32&lt;=15000,DATOS!B$3,IF(E32&lt;=50000,DATOS!B$4,IF(E32&lt;=300000,DATOS!B$5,IF(E32&lt;=500000,DATOS!B$6,DATOS!B$7))))</f>
        <v>0.92</v>
      </c>
      <c r="E32" s="262">
        <f>+Pobl_adoptada!F32</f>
        <v>9364</v>
      </c>
      <c r="F32" s="263">
        <f>+Pobl_adoptada!G32*$D32/1000</f>
        <v>8.6884800000000002</v>
      </c>
      <c r="G32" s="263">
        <f>+Pobl_adoptada!H32*$D32/1000</f>
        <v>8.9083600000000001</v>
      </c>
      <c r="H32" s="263">
        <f>+Pobl_adoptada!I32*$D32/1000</f>
        <v>8.9819600000000008</v>
      </c>
      <c r="I32" s="263">
        <f>+Pobl_adoptada!J32*$D32/1000</f>
        <v>9.0555599999999998</v>
      </c>
      <c r="J32" s="263">
        <f>+Pobl_adoptada!K32*$D32/1000</f>
        <v>9.1291600000000006</v>
      </c>
      <c r="K32" s="263">
        <f>+Pobl_adoptada!L32*$D32/1000</f>
        <v>9.2027599999999996</v>
      </c>
      <c r="L32" s="263">
        <f>+Pobl_adoptada!M32*$D32/1000</f>
        <v>9.3103999999999996</v>
      </c>
      <c r="M32" s="263">
        <f>+Pobl_adoptada!N32*$D32/1000</f>
        <v>9.4180400000000013</v>
      </c>
      <c r="N32" s="263">
        <f>+Pobl_adoptada!O32*$D32/1000</f>
        <v>9.5256799999999995</v>
      </c>
      <c r="O32" s="263">
        <f>+Pobl_adoptada!P32*$D32/1000</f>
        <v>9.6333199999999994</v>
      </c>
      <c r="P32" s="263">
        <f>+Pobl_adoptada!Q32*$D32/1000</f>
        <v>9.7409600000000012</v>
      </c>
      <c r="Q32" s="263">
        <f>+Pobl_adoptada!R32*$D32/1000</f>
        <v>9.8486000000000011</v>
      </c>
      <c r="R32" s="263">
        <f>+Pobl_adoptada!S32*$D32/1000</f>
        <v>9.9562399999999993</v>
      </c>
      <c r="S32" s="263">
        <f>+Pobl_adoptada!T32*$D32/1000</f>
        <v>10.063880000000001</v>
      </c>
      <c r="T32" s="263">
        <f>+Pobl_adoptada!U32*$D32/1000</f>
        <v>10.171520000000001</v>
      </c>
      <c r="U32" s="263">
        <f>+Pobl_adoptada!V32*$D32/1000</f>
        <v>10.279159999999999</v>
      </c>
      <c r="V32" s="263">
        <f>+Pobl_adoptada!W32*$D32/1000</f>
        <v>10.386800000000001</v>
      </c>
      <c r="W32" s="263">
        <f>+Pobl_adoptada!X32*$D32/1000</f>
        <v>10.494440000000001</v>
      </c>
      <c r="X32" s="263">
        <f>+Pobl_adoptada!Y32*$D32/1000</f>
        <v>10.602079999999999</v>
      </c>
      <c r="Y32" s="263">
        <f>+Pobl_adoptada!Z32*$D32/1000</f>
        <v>10.709720000000001</v>
      </c>
      <c r="Z32" s="263">
        <f>+Pobl_adoptada!AA32*$D32/1000</f>
        <v>10.817360000000001</v>
      </c>
    </row>
    <row r="33" spans="1:29" ht="24.95" hidden="1" customHeight="1">
      <c r="A33" s="351" t="str">
        <f>+Pobl_adoptada!A33</f>
        <v>Alberti</v>
      </c>
      <c r="B33" s="70">
        <f>+Pobl_adoptada!B33</f>
        <v>29</v>
      </c>
      <c r="C33" s="353" t="str">
        <f>+Pobl_adoptada!C33</f>
        <v>Alberti</v>
      </c>
      <c r="D33" s="261">
        <f>IF(E33&lt;=15000,DATOS!B$3,IF(E33&lt;=50000,DATOS!B$4,IF(E33&lt;=300000,DATOS!B$5,IF(E33&lt;=500000,DATOS!B$6,DATOS!B$7))))</f>
        <v>0.92</v>
      </c>
      <c r="E33" s="262">
        <f>+Pobl_adoptada!F33</f>
        <v>9710</v>
      </c>
      <c r="F33" s="263">
        <f>+Pobl_adoptada!G33*$D33/1000</f>
        <v>9.06752</v>
      </c>
      <c r="G33" s="263">
        <f>+Pobl_adoptada!H33*$D33/1000</f>
        <v>9.4695600000000013</v>
      </c>
      <c r="H33" s="263">
        <f>+Pobl_adoptada!I33*$D33/1000</f>
        <v>9.6038800000000002</v>
      </c>
      <c r="I33" s="263">
        <f>+Pobl_adoptada!J33*$D33/1000</f>
        <v>9.7382000000000009</v>
      </c>
      <c r="J33" s="263">
        <f>+Pobl_adoptada!K33*$D33/1000</f>
        <v>9.8716000000000008</v>
      </c>
      <c r="K33" s="263">
        <f>+Pobl_adoptada!L33*$D33/1000</f>
        <v>10.00592</v>
      </c>
      <c r="L33" s="263">
        <f>+Pobl_adoptada!M33*$D33/1000</f>
        <v>10.173360000000001</v>
      </c>
      <c r="M33" s="263">
        <f>+Pobl_adoptada!N33*$D33/1000</f>
        <v>10.339880000000001</v>
      </c>
      <c r="N33" s="263">
        <f>+Pobl_adoptada!O33*$D33/1000</f>
        <v>10.50732</v>
      </c>
      <c r="O33" s="263">
        <f>+Pobl_adoptada!P33*$D33/1000</f>
        <v>10.674760000000001</v>
      </c>
      <c r="P33" s="263">
        <f>+Pobl_adoptada!Q33*$D33/1000</f>
        <v>10.8422</v>
      </c>
      <c r="Q33" s="263">
        <f>+Pobl_adoptada!R33*$D33/1000</f>
        <v>11.00872</v>
      </c>
      <c r="R33" s="263">
        <f>+Pobl_adoptada!S33*$D33/1000</f>
        <v>11.176159999999999</v>
      </c>
      <c r="S33" s="263">
        <f>+Pobl_adoptada!T33*$D33/1000</f>
        <v>11.3436</v>
      </c>
      <c r="T33" s="263">
        <f>+Pobl_adoptada!U33*$D33/1000</f>
        <v>11.510120000000001</v>
      </c>
      <c r="U33" s="263">
        <f>+Pobl_adoptada!V33*$D33/1000</f>
        <v>11.677560000000001</v>
      </c>
      <c r="V33" s="263">
        <f>+Pobl_adoptada!W33*$D33/1000</f>
        <v>11.845000000000001</v>
      </c>
      <c r="W33" s="263">
        <f>+Pobl_adoptada!X33*$D33/1000</f>
        <v>12.011520000000001</v>
      </c>
      <c r="X33" s="263">
        <f>+Pobl_adoptada!Y33*$D33/1000</f>
        <v>12.178960000000002</v>
      </c>
      <c r="Y33" s="263">
        <f>+Pobl_adoptada!Z33*$D33/1000</f>
        <v>12.346399999999999</v>
      </c>
      <c r="Z33" s="263">
        <f>+Pobl_adoptada!AA33*$D33/1000</f>
        <v>12.51384</v>
      </c>
    </row>
    <row r="34" spans="1:29" ht="24.95" hidden="1" customHeight="1">
      <c r="A34" s="351" t="str">
        <f>+Pobl_adoptada!A34</f>
        <v>Arrecifes</v>
      </c>
      <c r="B34" s="70">
        <f>+Pobl_adoptada!B34</f>
        <v>30</v>
      </c>
      <c r="C34" s="353" t="str">
        <f>+Pobl_adoptada!C34</f>
        <v>Arrecifes</v>
      </c>
      <c r="D34" s="261">
        <f>IF(E34&lt;=15000,DATOS!B$3,IF(E34&lt;=50000,DATOS!B$4,IF(E34&lt;=300000,DATOS!B$5,IF(E34&lt;=500000,DATOS!B$6,DATOS!B$7))))</f>
        <v>1.06</v>
      </c>
      <c r="E34" s="262">
        <f>+Pobl_adoptada!F34</f>
        <v>29427</v>
      </c>
      <c r="F34" s="263">
        <f>+Pobl_adoptada!G34*$D34/1000</f>
        <v>31.475640000000002</v>
      </c>
      <c r="G34" s="263">
        <f>+Pobl_adoptada!H34*$D34/1000</f>
        <v>32.341659999999997</v>
      </c>
      <c r="H34" s="263">
        <f>+Pobl_adoptada!I34*$D34/1000</f>
        <v>32.635280000000002</v>
      </c>
      <c r="I34" s="263">
        <f>+Pobl_adoptada!J34*$D34/1000</f>
        <v>32.932079999999999</v>
      </c>
      <c r="J34" s="263">
        <f>+Pobl_adoptada!K34*$D34/1000</f>
        <v>33.231000000000002</v>
      </c>
      <c r="K34" s="263">
        <f>+Pobl_adoptada!L34*$D34/1000</f>
        <v>33.533099999999997</v>
      </c>
      <c r="L34" s="263">
        <f>+Pobl_adoptada!M34*$D34/1000</f>
        <v>33.838380000000008</v>
      </c>
      <c r="M34" s="263">
        <f>+Pobl_adoptada!N34*$D34/1000</f>
        <v>34.145780000000002</v>
      </c>
      <c r="N34" s="263">
        <f>+Pobl_adoptada!O34*$D34/1000</f>
        <v>34.455300000000001</v>
      </c>
      <c r="O34" s="263">
        <f>+Pobl_adoptada!P34*$D34/1000</f>
        <v>34.769060000000003</v>
      </c>
      <c r="P34" s="263">
        <f>+Pobl_adoptada!Q34*$D34/1000</f>
        <v>35.084940000000003</v>
      </c>
      <c r="Q34" s="263">
        <f>+Pobl_adoptada!R34*$D34/1000</f>
        <v>35.402940000000001</v>
      </c>
      <c r="R34" s="263">
        <f>+Pobl_adoptada!S34*$D34/1000</f>
        <v>35.725180000000002</v>
      </c>
      <c r="S34" s="263">
        <f>+Pobl_adoptada!T34*$D34/1000</f>
        <v>36.04954</v>
      </c>
      <c r="T34" s="263">
        <f>+Pobl_adoptada!U34*$D34/1000</f>
        <v>36.377079999999999</v>
      </c>
      <c r="U34" s="263">
        <f>+Pobl_adoptada!V34*$D34/1000</f>
        <v>36.707800000000006</v>
      </c>
      <c r="V34" s="263">
        <f>+Pobl_adoptada!W34*$D34/1000</f>
        <v>37.041700000000006</v>
      </c>
      <c r="W34" s="263">
        <f>+Pobl_adoptada!X34*$D34/1000</f>
        <v>37.377720000000004</v>
      </c>
      <c r="X34" s="263">
        <f>+Pobl_adoptada!Y34*$D34/1000</f>
        <v>37.717980000000004</v>
      </c>
      <c r="Y34" s="263">
        <f>+Pobl_adoptada!Z34*$D34/1000</f>
        <v>38.060360000000003</v>
      </c>
      <c r="Z34" s="263">
        <f>+Pobl_adoptada!AA34*$D34/1000</f>
        <v>38.405920000000009</v>
      </c>
    </row>
    <row r="35" spans="1:29" ht="24.95" hidden="1" customHeight="1">
      <c r="A35" s="351" t="str">
        <f>+Pobl_adoptada!A35</f>
        <v>Ayacucho</v>
      </c>
      <c r="B35" s="70">
        <f>+Pobl_adoptada!B35</f>
        <v>31</v>
      </c>
      <c r="C35" s="353" t="str">
        <f>+Pobl_adoptada!C35</f>
        <v>Ayacucho</v>
      </c>
      <c r="D35" s="261">
        <f>IF(E35&lt;=15000,DATOS!B$3,IF(E35&lt;=50000,DATOS!B$4,IF(E35&lt;=300000,DATOS!B$5,IF(E35&lt;=500000,DATOS!B$6,DATOS!B$7))))</f>
        <v>1.06</v>
      </c>
      <c r="E35" s="262">
        <f>+Pobl_adoptada!F35</f>
        <v>18671</v>
      </c>
      <c r="F35" s="263">
        <f>+Pobl_adoptada!G35*$D35/1000</f>
        <v>19.912100000000002</v>
      </c>
      <c r="G35" s="263">
        <f>+Pobl_adoptada!H35*$D35/1000</f>
        <v>20.275680000000001</v>
      </c>
      <c r="H35" s="263">
        <f>+Pobl_adoptada!I35*$D35/1000</f>
        <v>20.399699999999999</v>
      </c>
      <c r="I35" s="263">
        <f>+Pobl_adoptada!J35*$D35/1000</f>
        <v>20.522659999999998</v>
      </c>
      <c r="J35" s="263">
        <f>+Pobl_adoptada!K35*$D35/1000</f>
        <v>20.647740000000002</v>
      </c>
      <c r="K35" s="263">
        <f>+Pobl_adoptada!L35*$D35/1000</f>
        <v>20.772819999999999</v>
      </c>
      <c r="L35" s="263">
        <f>+Pobl_adoptada!M35*$D35/1000</f>
        <v>20.898960000000002</v>
      </c>
      <c r="M35" s="263">
        <f>+Pobl_adoptada!N35*$D35/1000</f>
        <v>21.025100000000002</v>
      </c>
      <c r="N35" s="263">
        <f>+Pobl_adoptada!O35*$D35/1000</f>
        <v>21.153359999999999</v>
      </c>
      <c r="O35" s="263">
        <f>+Pobl_adoptada!P35*$D35/1000</f>
        <v>21.281620000000004</v>
      </c>
      <c r="P35" s="263">
        <f>+Pobl_adoptada!Q35*$D35/1000</f>
        <v>21.410940000000004</v>
      </c>
      <c r="Q35" s="263">
        <f>+Pobl_adoptada!R35*$D35/1000</f>
        <v>21.540260000000004</v>
      </c>
      <c r="R35" s="263">
        <f>+Pobl_adoptada!S35*$D35/1000</f>
        <v>21.671700000000001</v>
      </c>
      <c r="S35" s="263">
        <f>+Pobl_adoptada!T35*$D35/1000</f>
        <v>21.803139999999999</v>
      </c>
      <c r="T35" s="263">
        <f>+Pobl_adoptada!U35*$D35/1000</f>
        <v>21.93458</v>
      </c>
      <c r="U35" s="263">
        <f>+Pobl_adoptada!V35*$D35/1000</f>
        <v>22.06814</v>
      </c>
      <c r="V35" s="263">
        <f>+Pobl_adoptada!W35*$D35/1000</f>
        <v>22.201700000000002</v>
      </c>
      <c r="W35" s="263">
        <f>+Pobl_adoptada!X35*$D35/1000</f>
        <v>22.336320000000001</v>
      </c>
      <c r="X35" s="263">
        <f>+Pobl_adoptada!Y35*$D35/1000</f>
        <v>22.472000000000001</v>
      </c>
      <c r="Y35" s="263">
        <f>+Pobl_adoptada!Z35*$D35/1000</f>
        <v>22.608740000000001</v>
      </c>
      <c r="Z35" s="263">
        <f>+Pobl_adoptada!AA35*$D35/1000</f>
        <v>22.745480000000001</v>
      </c>
    </row>
    <row r="36" spans="1:29" ht="24.95" hidden="1" customHeight="1">
      <c r="A36" s="351" t="str">
        <f>+Pobl_adoptada!A36</f>
        <v>Azul</v>
      </c>
      <c r="B36" s="70">
        <f>+Pobl_adoptada!B36</f>
        <v>32</v>
      </c>
      <c r="C36" s="353" t="str">
        <f>+Pobl_adoptada!C36</f>
        <v>Azul</v>
      </c>
      <c r="D36" s="261">
        <f>IF(E36&lt;=15000,DATOS!B$3,IF(E36&lt;=50000,DATOS!B$4,IF(E36&lt;=300000,DATOS!B$5,IF(E36&lt;=500000,DATOS!B$6,DATOS!B$7))))</f>
        <v>1.02</v>
      </c>
      <c r="E36" s="262">
        <f>+Pobl_adoptada!F36</f>
        <v>61776</v>
      </c>
      <c r="F36" s="263">
        <f>+Pobl_adoptada!G36*$D36/1000</f>
        <v>63.807120000000005</v>
      </c>
      <c r="G36" s="263">
        <f>+Pobl_adoptada!H36*$D36/1000</f>
        <v>66.193919999999991</v>
      </c>
      <c r="H36" s="263">
        <f>+Pobl_adoptada!I36*$D36/1000</f>
        <v>66.99054000000001</v>
      </c>
      <c r="I36" s="263">
        <f>+Pobl_adoptada!J36*$D36/1000</f>
        <v>67.786140000000003</v>
      </c>
      <c r="J36" s="263">
        <f>+Pobl_adoptada!K36*$D36/1000</f>
        <v>68.581740000000011</v>
      </c>
      <c r="K36" s="263">
        <f>+Pobl_adoptada!L36*$D36/1000</f>
        <v>69.37733999999999</v>
      </c>
      <c r="L36" s="263">
        <f>+Pobl_adoptada!M36*$D36/1000</f>
        <v>70.422839999999994</v>
      </c>
      <c r="M36" s="263">
        <f>+Pobl_adoptada!N36*$D36/1000</f>
        <v>71.467320000000001</v>
      </c>
      <c r="N36" s="263">
        <f>+Pobl_adoptada!O36*$D36/1000</f>
        <v>72.512820000000005</v>
      </c>
      <c r="O36" s="263">
        <f>+Pobl_adoptada!P36*$D36/1000</f>
        <v>73.557299999999998</v>
      </c>
      <c r="P36" s="263">
        <f>+Pobl_adoptada!Q36*$D36/1000</f>
        <v>74.602800000000002</v>
      </c>
      <c r="Q36" s="263">
        <f>+Pobl_adoptada!R36*$D36/1000</f>
        <v>75.647279999999995</v>
      </c>
      <c r="R36" s="263">
        <f>+Pobl_adoptada!S36*$D36/1000</f>
        <v>76.692779999999999</v>
      </c>
      <c r="S36" s="263">
        <f>+Pobl_adoptada!T36*$D36/1000</f>
        <v>77.738280000000003</v>
      </c>
      <c r="T36" s="263">
        <f>+Pobl_adoptada!U36*$D36/1000</f>
        <v>78.782759999999996</v>
      </c>
      <c r="U36" s="263">
        <f>+Pobl_adoptada!V36*$D36/1000</f>
        <v>79.82826</v>
      </c>
      <c r="V36" s="263">
        <f>+Pobl_adoptada!W36*$D36/1000</f>
        <v>80.872740000000007</v>
      </c>
      <c r="W36" s="263">
        <f>+Pobl_adoptada!X36*$D36/1000</f>
        <v>81.918240000000011</v>
      </c>
      <c r="X36" s="263">
        <f>+Pobl_adoptada!Y36*$D36/1000</f>
        <v>82.962720000000004</v>
      </c>
      <c r="Y36" s="263">
        <f>+Pobl_adoptada!Z36*$D36/1000</f>
        <v>84.008219999999994</v>
      </c>
      <c r="Z36" s="263">
        <f>+Pobl_adoptada!AA36*$D36/1000</f>
        <v>85.053719999999998</v>
      </c>
    </row>
    <row r="37" spans="1:29" ht="24.95" hidden="1" customHeight="1">
      <c r="A37" s="351" t="str">
        <f>+Pobl_adoptada!A37</f>
        <v>Bahía Blanca</v>
      </c>
      <c r="B37" s="70">
        <f>+Pobl_adoptada!B37</f>
        <v>33</v>
      </c>
      <c r="C37" s="353" t="str">
        <f>+Pobl_adoptada!C37</f>
        <v>Bahía Blanca</v>
      </c>
      <c r="D37" s="261">
        <f>IF(E37&lt;=15000,DATOS!B$3,IF(E37&lt;=50000,DATOS!B$4,IF(E37&lt;=300000,DATOS!B$5,IF(E37&lt;=500000,DATOS!B$6,DATOS!B$7))))</f>
        <v>1.41</v>
      </c>
      <c r="E37" s="262">
        <f>+Pobl_adoptada!F37</f>
        <v>320702</v>
      </c>
      <c r="F37" s="263">
        <f>+Pobl_adoptada!G37*$D37/1000</f>
        <v>457.61831999999993</v>
      </c>
      <c r="G37" s="263">
        <f>+Pobl_adoptada!H37*$D37/1000</f>
        <v>473.90522999999996</v>
      </c>
      <c r="H37" s="263">
        <f>+Pobl_adoptada!I37*$D37/1000</f>
        <v>479.33513999999997</v>
      </c>
      <c r="I37" s="263">
        <f>+Pobl_adoptada!J37*$D37/1000</f>
        <v>484.76363999999995</v>
      </c>
      <c r="J37" s="263">
        <f>+Pobl_adoptada!K37*$D37/1000</f>
        <v>490.19213999999994</v>
      </c>
      <c r="K37" s="263">
        <f>+Pobl_adoptada!L37*$D37/1000</f>
        <v>495.62205</v>
      </c>
      <c r="L37" s="263">
        <f>+Pobl_adoptada!M37*$D37/1000</f>
        <v>502.79894999999993</v>
      </c>
      <c r="M37" s="263">
        <f>+Pobl_adoptada!N37*$D37/1000</f>
        <v>509.97725999999994</v>
      </c>
      <c r="N37" s="263">
        <f>+Pobl_adoptada!O37*$D37/1000</f>
        <v>517.15415999999993</v>
      </c>
      <c r="O37" s="263">
        <f>+Pobl_adoptada!P37*$D37/1000</f>
        <v>524.33246999999994</v>
      </c>
      <c r="P37" s="263">
        <f>+Pobl_adoptada!Q37*$D37/1000</f>
        <v>531.50936999999999</v>
      </c>
      <c r="Q37" s="263">
        <f>+Pobl_adoptada!R37*$D37/1000</f>
        <v>538.68767999999989</v>
      </c>
      <c r="R37" s="263">
        <f>+Pobl_adoptada!S37*$D37/1000</f>
        <v>545.86457999999993</v>
      </c>
      <c r="S37" s="263">
        <f>+Pobl_adoptada!T37*$D37/1000</f>
        <v>553.04147999999998</v>
      </c>
      <c r="T37" s="263">
        <f>+Pobl_adoptada!U37*$D37/1000</f>
        <v>560.21978999999988</v>
      </c>
      <c r="U37" s="263">
        <f>+Pobl_adoptada!V37*$D37/1000</f>
        <v>567.39668999999992</v>
      </c>
      <c r="V37" s="263">
        <f>+Pobl_adoptada!W37*$D37/1000</f>
        <v>574.57500000000005</v>
      </c>
      <c r="W37" s="263">
        <f>+Pobl_adoptada!X37*$D37/1000</f>
        <v>581.75189999999998</v>
      </c>
      <c r="X37" s="263">
        <f>+Pobl_adoptada!Y37*$D37/1000</f>
        <v>588.93020999999999</v>
      </c>
      <c r="Y37" s="263">
        <f>+Pobl_adoptada!Z37*$D37/1000</f>
        <v>596.10711000000003</v>
      </c>
      <c r="Z37" s="263">
        <f>+Pobl_adoptada!AA37*$D37/1000</f>
        <v>603.28541999999993</v>
      </c>
    </row>
    <row r="38" spans="1:29" ht="24.95" hidden="1" customHeight="1">
      <c r="A38" s="351" t="str">
        <f>+Pobl_adoptada!A38</f>
        <v>Balcarce</v>
      </c>
      <c r="B38" s="70">
        <f>+Pobl_adoptada!B38</f>
        <v>34</v>
      </c>
      <c r="C38" s="353" t="str">
        <f>+Pobl_adoptada!C38</f>
        <v>Balcarce</v>
      </c>
      <c r="D38" s="261">
        <f>IF(E38&lt;=15000,DATOS!B$3,IF(E38&lt;=50000,DATOS!B$4,IF(E38&lt;=300000,DATOS!B$5,IF(E38&lt;=500000,DATOS!B$6,DATOS!B$7))))</f>
        <v>1.06</v>
      </c>
      <c r="E38" s="262">
        <f>+Pobl_adoptada!F38</f>
        <v>45567</v>
      </c>
      <c r="F38" s="263">
        <f>+Pobl_adoptada!G38*$D38/1000</f>
        <v>49.005920000000003</v>
      </c>
      <c r="G38" s="263">
        <f>+Pobl_adoptada!H38*$D38/1000</f>
        <v>51.188459999999999</v>
      </c>
      <c r="H38" s="263">
        <f>+Pobl_adoptada!I38*$D38/1000</f>
        <v>51.94</v>
      </c>
      <c r="I38" s="263">
        <f>+Pobl_adoptada!J38*$D38/1000</f>
        <v>52.704260000000005</v>
      </c>
      <c r="J38" s="263">
        <f>+Pobl_adoptada!K38*$D38/1000</f>
        <v>53.480179999999997</v>
      </c>
      <c r="K38" s="263">
        <f>+Pobl_adoptada!L38*$D38/1000</f>
        <v>54.269880000000008</v>
      </c>
      <c r="L38" s="263">
        <f>+Pobl_adoptada!M38*$D38/1000</f>
        <v>55.071240000000003</v>
      </c>
      <c r="M38" s="263">
        <f>+Pobl_adoptada!N38*$D38/1000</f>
        <v>55.886380000000003</v>
      </c>
      <c r="N38" s="263">
        <f>+Pobl_adoptada!O38*$D38/1000</f>
        <v>56.715300000000006</v>
      </c>
      <c r="O38" s="263">
        <f>+Pobl_adoptada!P38*$D38/1000</f>
        <v>57.556940000000004</v>
      </c>
      <c r="P38" s="263">
        <f>+Pobl_adoptada!Q38*$D38/1000</f>
        <v>58.41236</v>
      </c>
      <c r="Q38" s="263">
        <f>+Pobl_adoptada!R38*$D38/1000</f>
        <v>59.281560000000006</v>
      </c>
      <c r="R38" s="263">
        <f>+Pobl_adoptada!S38*$D38/1000</f>
        <v>60.165600000000005</v>
      </c>
      <c r="S38" s="263">
        <f>+Pobl_adoptada!T38*$D38/1000</f>
        <v>61.063420000000008</v>
      </c>
      <c r="T38" s="263">
        <f>+Pobl_adoptada!U38*$D38/1000</f>
        <v>61.976080000000003</v>
      </c>
      <c r="U38" s="263">
        <f>+Pobl_adoptada!V38*$D38/1000</f>
        <v>62.903580000000005</v>
      </c>
      <c r="V38" s="263">
        <f>+Pobl_adoptada!W38*$D38/1000</f>
        <v>63.846980000000002</v>
      </c>
      <c r="W38" s="263">
        <f>+Pobl_adoptada!X38*$D38/1000</f>
        <v>64.805220000000006</v>
      </c>
      <c r="X38" s="263">
        <f>+Pobl_adoptada!Y38*$D38/1000</f>
        <v>65.778300000000002</v>
      </c>
      <c r="Y38" s="263">
        <f>+Pobl_adoptada!Z38*$D38/1000</f>
        <v>66.768339999999995</v>
      </c>
      <c r="Z38" s="263">
        <f>+Pobl_adoptada!AA38*$D38/1000</f>
        <v>67.774280000000005</v>
      </c>
    </row>
    <row r="39" spans="1:29" ht="24.95" hidden="1" customHeight="1">
      <c r="A39" s="351" t="str">
        <f>+Pobl_adoptada!A39</f>
        <v>Baradero</v>
      </c>
      <c r="B39" s="70">
        <f>+Pobl_adoptada!B39</f>
        <v>35</v>
      </c>
      <c r="C39" s="353" t="str">
        <f>+Pobl_adoptada!C39</f>
        <v>Baradero</v>
      </c>
      <c r="D39" s="261">
        <f>IF(E39&lt;=15000,DATOS!B$3,IF(E39&lt;=50000,DATOS!B$4,IF(E39&lt;=300000,DATOS!B$5,IF(E39&lt;=500000,DATOS!B$6,DATOS!B$7))))</f>
        <v>1.06</v>
      </c>
      <c r="E39" s="262">
        <f>+Pobl_adoptada!F39</f>
        <v>32205</v>
      </c>
      <c r="F39" s="263">
        <f>+Pobl_adoptada!G39*$D39/1000</f>
        <v>34.483919999999998</v>
      </c>
      <c r="G39" s="263">
        <f>+Pobl_adoptada!H39*$D39/1000</f>
        <v>35.541800000000002</v>
      </c>
      <c r="H39" s="263">
        <f>+Pobl_adoptada!I39*$D39/1000</f>
        <v>35.902200000000008</v>
      </c>
      <c r="I39" s="263">
        <f>+Pobl_adoptada!J39*$D39/1000</f>
        <v>36.265779999999999</v>
      </c>
      <c r="J39" s="263">
        <f>+Pobl_adoptada!K39*$D39/1000</f>
        <v>36.632539999999999</v>
      </c>
      <c r="K39" s="263">
        <f>+Pobl_adoptada!L39*$D39/1000</f>
        <v>37.003540000000001</v>
      </c>
      <c r="L39" s="263">
        <f>+Pobl_adoptada!M39*$D39/1000</f>
        <v>37.378779999999999</v>
      </c>
      <c r="M39" s="263">
        <f>+Pobl_adoptada!N39*$D39/1000</f>
        <v>37.757200000000005</v>
      </c>
      <c r="N39" s="263">
        <f>+Pobl_adoptada!O39*$D39/1000</f>
        <v>38.139859999999999</v>
      </c>
      <c r="O39" s="263">
        <f>+Pobl_adoptada!P39*$D39/1000</f>
        <v>38.525700000000008</v>
      </c>
      <c r="P39" s="263">
        <f>+Pobl_adoptada!Q39*$D39/1000</f>
        <v>38.915779999999998</v>
      </c>
      <c r="Q39" s="263">
        <f>+Pobl_adoptada!R39*$D39/1000</f>
        <v>39.310099999999998</v>
      </c>
      <c r="R39" s="263">
        <f>+Pobl_adoptada!S39*$D39/1000</f>
        <v>39.708660000000002</v>
      </c>
      <c r="S39" s="263">
        <f>+Pobl_adoptada!T39*$D39/1000</f>
        <v>40.110399999999998</v>
      </c>
      <c r="T39" s="263">
        <f>+Pobl_adoptada!U39*$D39/1000</f>
        <v>40.516380000000005</v>
      </c>
      <c r="U39" s="263">
        <f>+Pobl_adoptada!V39*$D39/1000</f>
        <v>40.927660000000003</v>
      </c>
      <c r="V39" s="263">
        <f>+Pobl_adoptada!W39*$D39/1000</f>
        <v>41.342120000000001</v>
      </c>
      <c r="W39" s="263">
        <f>+Pobl_adoptada!X39*$D39/1000</f>
        <v>41.760820000000002</v>
      </c>
      <c r="X39" s="263">
        <f>+Pobl_adoptada!Y39*$D39/1000</f>
        <v>42.183759999999999</v>
      </c>
      <c r="Y39" s="263">
        <f>+Pobl_adoptada!Z39*$D39/1000</f>
        <v>42.610939999999999</v>
      </c>
      <c r="Z39" s="263">
        <f>+Pobl_adoptada!AA39*$D39/1000</f>
        <v>43.042360000000002</v>
      </c>
    </row>
    <row r="40" spans="1:29" ht="24.95" hidden="1" customHeight="1">
      <c r="A40" s="351" t="str">
        <f>+Pobl_adoptada!A40</f>
        <v>Benito Juárez</v>
      </c>
      <c r="B40" s="70">
        <f>+Pobl_adoptada!B40</f>
        <v>36</v>
      </c>
      <c r="C40" s="353" t="str">
        <f>+Pobl_adoptada!C40</f>
        <v>Benito Juárez</v>
      </c>
      <c r="D40" s="261">
        <f>IF(E40&lt;=15000,DATOS!B$3,IF(E40&lt;=50000,DATOS!B$4,IF(E40&lt;=300000,DATOS!B$5,IF(E40&lt;=500000,DATOS!B$6,DATOS!B$7))))</f>
        <v>1.06</v>
      </c>
      <c r="E40" s="262">
        <f>+Pobl_adoptada!F40</f>
        <v>15195</v>
      </c>
      <c r="F40" s="263">
        <f>+Pobl_adoptada!G40*$D40/1000</f>
        <v>16.1968</v>
      </c>
      <c r="G40" s="263">
        <f>+Pobl_adoptada!H40*$D40/1000</f>
        <v>16.474520000000002</v>
      </c>
      <c r="H40" s="263">
        <f>+Pobl_adoptada!I40*$D40/1000</f>
        <v>16.570979999999999</v>
      </c>
      <c r="I40" s="263">
        <f>+Pobl_adoptada!J40*$D40/1000</f>
        <v>16.667440000000003</v>
      </c>
      <c r="J40" s="263">
        <f>+Pobl_adoptada!K40*$D40/1000</f>
        <v>16.76708</v>
      </c>
      <c r="K40" s="263">
        <f>+Pobl_adoptada!L40*$D40/1000</f>
        <v>16.867780000000003</v>
      </c>
      <c r="L40" s="263">
        <f>+Pobl_adoptada!M40*$D40/1000</f>
        <v>16.969540000000002</v>
      </c>
      <c r="M40" s="263">
        <f>+Pobl_adoptada!N40*$D40/1000</f>
        <v>17.073420000000002</v>
      </c>
      <c r="N40" s="263">
        <f>+Pobl_adoptada!O40*$D40/1000</f>
        <v>17.178360000000001</v>
      </c>
      <c r="O40" s="263">
        <f>+Pobl_adoptada!P40*$D40/1000</f>
        <v>17.286480000000001</v>
      </c>
      <c r="P40" s="263">
        <f>+Pobl_adoptada!Q40*$D40/1000</f>
        <v>17.394600000000001</v>
      </c>
      <c r="Q40" s="263">
        <f>+Pobl_adoptada!R40*$D40/1000</f>
        <v>17.5059</v>
      </c>
      <c r="R40" s="263">
        <f>+Pobl_adoptada!S40*$D40/1000</f>
        <v>17.618260000000003</v>
      </c>
      <c r="S40" s="263">
        <f>+Pobl_adoptada!T40*$D40/1000</f>
        <v>17.732740000000003</v>
      </c>
      <c r="T40" s="263">
        <f>+Pobl_adoptada!U40*$D40/1000</f>
        <v>17.849340000000002</v>
      </c>
      <c r="U40" s="263">
        <f>+Pobl_adoptada!V40*$D40/1000</f>
        <v>17.966999999999999</v>
      </c>
      <c r="V40" s="263">
        <f>+Pobl_adoptada!W40*$D40/1000</f>
        <v>18.08784</v>
      </c>
      <c r="W40" s="263">
        <f>+Pobl_adoptada!X40*$D40/1000</f>
        <v>18.20974</v>
      </c>
      <c r="X40" s="263">
        <f>+Pobl_adoptada!Y40*$D40/1000</f>
        <v>18.333760000000002</v>
      </c>
      <c r="Y40" s="263">
        <f>+Pobl_adoptada!Z40*$D40/1000</f>
        <v>18.459900000000001</v>
      </c>
      <c r="Z40" s="263">
        <f>+Pobl_adoptada!AA40*$D40/1000</f>
        <v>18.588159999999998</v>
      </c>
    </row>
    <row r="41" spans="1:29" ht="24.95" hidden="1" customHeight="1">
      <c r="A41" s="351" t="str">
        <f>+Pobl_adoptada!A41</f>
        <v>Berisso</v>
      </c>
      <c r="B41" s="70">
        <f>+Pobl_adoptada!B41</f>
        <v>37</v>
      </c>
      <c r="C41" s="353" t="str">
        <f>+Pobl_adoptada!C41</f>
        <v>Berisso</v>
      </c>
      <c r="D41" s="261">
        <f>IF(E41&lt;=15000,DATOS!B$3,IF(E41&lt;=50000,DATOS!B$4,IF(E41&lt;=300000,DATOS!B$5,IF(E41&lt;=500000,DATOS!B$6,DATOS!B$7))))</f>
        <v>1.02</v>
      </c>
      <c r="E41" s="262">
        <f>+Pobl_adoptada!F41</f>
        <v>98562</v>
      </c>
      <c r="F41" s="263">
        <f>+Pobl_adoptada!G41*$D41/1000</f>
        <v>101.51652</v>
      </c>
      <c r="G41" s="263">
        <f>+Pobl_adoptada!H41*$D41/1000</f>
        <v>104.5245</v>
      </c>
      <c r="H41" s="263">
        <f>+Pobl_adoptada!I41*$D41/1000</f>
        <v>105.54654000000001</v>
      </c>
      <c r="I41" s="263">
        <f>+Pobl_adoptada!J41*$D41/1000</f>
        <v>106.57877999999999</v>
      </c>
      <c r="J41" s="263">
        <f>+Pobl_adoptada!K41*$D41/1000</f>
        <v>107.62122000000001</v>
      </c>
      <c r="K41" s="263">
        <f>+Pobl_adoptada!L41*$D41/1000</f>
        <v>108.67386</v>
      </c>
      <c r="L41" s="263">
        <f>+Pobl_adoptada!M41*$D41/1000</f>
        <v>109.7367</v>
      </c>
      <c r="M41" s="263">
        <f>+Pobl_adoptada!N41*$D41/1000</f>
        <v>110.80974000000001</v>
      </c>
      <c r="N41" s="263">
        <f>+Pobl_adoptada!O41*$D41/1000</f>
        <v>111.89297999999999</v>
      </c>
      <c r="O41" s="263">
        <f>+Pobl_adoptada!P41*$D41/1000</f>
        <v>112.98744000000001</v>
      </c>
      <c r="P41" s="263">
        <f>+Pobl_adoptada!Q41*$D41/1000</f>
        <v>114.0921</v>
      </c>
      <c r="Q41" s="263">
        <f>+Pobl_adoptada!R41*$D41/1000</f>
        <v>115.20797999999999</v>
      </c>
      <c r="R41" s="263">
        <f>+Pobl_adoptada!S41*$D41/1000</f>
        <v>116.33508</v>
      </c>
      <c r="S41" s="263">
        <f>+Pobl_adoptada!T41*$D41/1000</f>
        <v>117.47238</v>
      </c>
      <c r="T41" s="263">
        <f>+Pobl_adoptada!U41*$D41/1000</f>
        <v>118.62192</v>
      </c>
      <c r="U41" s="263">
        <f>+Pobl_adoptada!V41*$D41/1000</f>
        <v>119.78166</v>
      </c>
      <c r="V41" s="263">
        <f>+Pobl_adoptada!W41*$D41/1000</f>
        <v>120.95363999999999</v>
      </c>
      <c r="W41" s="263">
        <f>+Pobl_adoptada!X41*$D41/1000</f>
        <v>122.13582000000001</v>
      </c>
      <c r="X41" s="263">
        <f>+Pobl_adoptada!Y41*$D41/1000</f>
        <v>123.33024</v>
      </c>
      <c r="Y41" s="263">
        <f>+Pobl_adoptada!Z41*$D41/1000</f>
        <v>124.5369</v>
      </c>
      <c r="Z41" s="263">
        <f>+Pobl_adoptada!AA41*$D41/1000</f>
        <v>125.75478</v>
      </c>
    </row>
    <row r="42" spans="1:29" ht="24.95" customHeight="1">
      <c r="A42" s="351" t="str">
        <f>+Pobl_adoptada!A42</f>
        <v>Bolívar</v>
      </c>
      <c r="B42" s="70">
        <f>+Pobl_adoptada!B42</f>
        <v>38</v>
      </c>
      <c r="C42" s="353" t="str">
        <f>+Pobl_adoptada!C42</f>
        <v>San Carlos de Bolívar</v>
      </c>
      <c r="D42" s="261">
        <f>IF(E42&lt;=15000,DATOS!B$3,IF(E42&lt;=50000,DATOS!B$4,IF(E42&lt;=300000,DATOS!B$5,IF(E42&lt;=500000,DATOS!B$6,DATOS!B$7))))</f>
        <v>1.06</v>
      </c>
      <c r="E42" s="262">
        <f>+Pobl_adoptada!F42</f>
        <v>28482</v>
      </c>
      <c r="F42" s="263">
        <f>+Pobl_adoptada!G42*$D42/1000</f>
        <v>30.397620000000003</v>
      </c>
      <c r="G42" s="263">
        <f>+Pobl_adoptada!H42*$D42/1000</f>
        <v>31.027260000000002</v>
      </c>
      <c r="H42" s="263">
        <f>+Pobl_adoptada!I42*$D42/1000</f>
        <v>31.239260000000002</v>
      </c>
      <c r="I42" s="263">
        <f>+Pobl_adoptada!J42*$D42/1000</f>
        <v>31.453380000000003</v>
      </c>
      <c r="J42" s="263">
        <f>+Pobl_adoptada!K42*$D42/1000</f>
        <v>31.668560000000003</v>
      </c>
      <c r="K42" s="263">
        <f>+Pobl_adoptada!L42*$D42/1000</f>
        <v>31.885860000000001</v>
      </c>
      <c r="L42" s="263">
        <f>+Pobl_adoptada!M42*$D42/1000</f>
        <v>32.104219999999998</v>
      </c>
      <c r="M42" s="263">
        <f>+Pobl_adoptada!N42*$D42/1000</f>
        <v>32.323640000000005</v>
      </c>
      <c r="N42" s="263">
        <f>+Pobl_adoptada!O42*$D42/1000</f>
        <v>32.545180000000002</v>
      </c>
      <c r="O42" s="263">
        <f>+Pobl_adoptada!P42*$D42/1000</f>
        <v>32.767780000000002</v>
      </c>
      <c r="P42" s="263">
        <f>+Pobl_adoptada!Q42*$D42/1000</f>
        <v>32.9925</v>
      </c>
      <c r="Q42" s="263">
        <f>+Pobl_adoptada!R42*$D42/1000</f>
        <v>33.21828</v>
      </c>
      <c r="R42" s="263">
        <f>+Pobl_adoptada!S42*$D42/1000</f>
        <v>33.446179999999998</v>
      </c>
      <c r="S42" s="263">
        <f>+Pobl_adoptada!T42*$D42/1000</f>
        <v>33.675139999999999</v>
      </c>
      <c r="T42" s="263">
        <f>+Pobl_adoptada!U42*$D42/1000</f>
        <v>33.906220000000005</v>
      </c>
      <c r="U42" s="263">
        <f>+Pobl_adoptada!V42*$D42/1000</f>
        <v>34.138359999999999</v>
      </c>
      <c r="V42" s="263">
        <f>+Pobl_adoptada!W42*$D42/1000</f>
        <v>34.372620000000005</v>
      </c>
      <c r="W42" s="263">
        <f>+Pobl_adoptada!X42*$D42/1000</f>
        <v>34.607939999999999</v>
      </c>
      <c r="X42" s="263">
        <f>+Pobl_adoptada!Y42*$D42/1000</f>
        <v>34.844319999999996</v>
      </c>
      <c r="Y42" s="263">
        <f>+Pobl_adoptada!Z42*$D42/1000</f>
        <v>35.082819999999998</v>
      </c>
      <c r="Z42" s="263">
        <f>+Pobl_adoptada!AA42*$D42/1000</f>
        <v>35.323440000000005</v>
      </c>
      <c r="AA42" s="270">
        <f>AVERAGE(F42:Z42)</f>
        <v>33.000980000000006</v>
      </c>
      <c r="AB42" s="270">
        <f>Resumen_Generación!G42</f>
        <v>10.173831770000001</v>
      </c>
      <c r="AC42" s="270">
        <f>AA42-AB42</f>
        <v>22.827148230000006</v>
      </c>
    </row>
    <row r="43" spans="1:29" ht="24.95" hidden="1" customHeight="1">
      <c r="A43" s="351" t="str">
        <f>+Pobl_adoptada!A43</f>
        <v>Bragado</v>
      </c>
      <c r="B43" s="70">
        <f>+Pobl_adoptada!B43</f>
        <v>39</v>
      </c>
      <c r="C43" s="353" t="str">
        <f>+Pobl_adoptada!C43</f>
        <v>Bragado</v>
      </c>
      <c r="D43" s="261">
        <f>IF(E43&lt;=15000,DATOS!B$3,IF(E43&lt;=50000,DATOS!B$4,IF(E43&lt;=300000,DATOS!B$5,IF(E43&lt;=500000,DATOS!B$6,DATOS!B$7))))</f>
        <v>1.06</v>
      </c>
      <c r="E43" s="262">
        <f>+Pobl_adoptada!F43</f>
        <v>34691</v>
      </c>
      <c r="F43" s="263">
        <f>+Pobl_adoptada!G43*$D43/1000</f>
        <v>36.884819999999998</v>
      </c>
      <c r="G43" s="263">
        <f>+Pobl_adoptada!H43*$D43/1000</f>
        <v>37.221899999999998</v>
      </c>
      <c r="H43" s="263">
        <f>+Pobl_adoptada!I43*$D43/1000</f>
        <v>37.33426</v>
      </c>
      <c r="I43" s="263">
        <f>+Pobl_adoptada!J43*$D43/1000</f>
        <v>37.447679999999998</v>
      </c>
      <c r="J43" s="263">
        <f>+Pobl_adoptada!K43*$D43/1000</f>
        <v>37.560040000000001</v>
      </c>
      <c r="K43" s="263">
        <f>+Pobl_adoptada!L43*$D43/1000</f>
        <v>37.672400000000003</v>
      </c>
      <c r="L43" s="263">
        <f>+Pobl_adoptada!M43*$D43/1000</f>
        <v>37.784759999999999</v>
      </c>
      <c r="M43" s="263">
        <f>+Pobl_adoptada!N43*$D43/1000</f>
        <v>37.897120000000001</v>
      </c>
      <c r="N43" s="263">
        <f>+Pobl_adoptada!O43*$D43/1000</f>
        <v>38.010539999999999</v>
      </c>
      <c r="O43" s="263">
        <f>+Pobl_adoptada!P43*$D43/1000</f>
        <v>38.122900000000001</v>
      </c>
      <c r="P43" s="263">
        <f>+Pobl_adoptada!Q43*$D43/1000</f>
        <v>38.235260000000004</v>
      </c>
      <c r="Q43" s="263">
        <f>+Pobl_adoptada!R43*$D43/1000</f>
        <v>38.347619999999999</v>
      </c>
      <c r="R43" s="263">
        <f>+Pobl_adoptada!S43*$D43/1000</f>
        <v>38.459980000000002</v>
      </c>
      <c r="S43" s="263">
        <f>+Pobl_adoptada!T43*$D43/1000</f>
        <v>38.572340000000004</v>
      </c>
      <c r="T43" s="263">
        <f>+Pobl_adoptada!U43*$D43/1000</f>
        <v>38.685760000000002</v>
      </c>
      <c r="U43" s="263">
        <f>+Pobl_adoptada!V43*$D43/1000</f>
        <v>38.798120000000004</v>
      </c>
      <c r="V43" s="263">
        <f>+Pobl_adoptada!W43*$D43/1000</f>
        <v>38.91048</v>
      </c>
      <c r="W43" s="263">
        <f>+Pobl_adoptada!X43*$D43/1000</f>
        <v>39.022840000000002</v>
      </c>
      <c r="X43" s="263">
        <f>+Pobl_adoptada!Y43*$D43/1000</f>
        <v>39.135200000000005</v>
      </c>
      <c r="Y43" s="263">
        <f>+Pobl_adoptada!Z43*$D43/1000</f>
        <v>39.248620000000003</v>
      </c>
      <c r="Z43" s="263">
        <f>+Pobl_adoptada!AA43*$D43/1000</f>
        <v>39.360980000000005</v>
      </c>
    </row>
    <row r="44" spans="1:29" ht="24.95" hidden="1" customHeight="1">
      <c r="A44" s="351" t="str">
        <f>+Pobl_adoptada!A44</f>
        <v>Brandsen</v>
      </c>
      <c r="B44" s="70">
        <f>+Pobl_adoptada!B44</f>
        <v>40</v>
      </c>
      <c r="C44" s="353" t="str">
        <f>+Pobl_adoptada!C44</f>
        <v>Coronel Brandsen</v>
      </c>
      <c r="D44" s="261">
        <f>IF(E44&lt;=15000,DATOS!B$3,IF(E44&lt;=50000,DATOS!B$4,IF(E44&lt;=300000,DATOS!B$5,IF(E44&lt;=500000,DATOS!B$6,DATOS!B$7))))</f>
        <v>1.06</v>
      </c>
      <c r="E44" s="262">
        <f>+Pobl_adoptada!F44</f>
        <v>25009</v>
      </c>
      <c r="F44" s="263">
        <f>+Pobl_adoptada!G44*$D44/1000</f>
        <v>27.021519999999999</v>
      </c>
      <c r="G44" s="263">
        <f>+Pobl_adoptada!H44*$D44/1000</f>
        <v>28.61788</v>
      </c>
      <c r="H44" s="263">
        <f>+Pobl_adoptada!I44*$D44/1000</f>
        <v>29.171200000000002</v>
      </c>
      <c r="I44" s="263">
        <f>+Pobl_adoptada!J44*$D44/1000</f>
        <v>29.735120000000002</v>
      </c>
      <c r="J44" s="263">
        <f>+Pobl_adoptada!K44*$D44/1000</f>
        <v>30.309640000000002</v>
      </c>
      <c r="K44" s="263">
        <f>+Pobl_adoptada!L44*$D44/1000</f>
        <v>30.894760000000002</v>
      </c>
      <c r="L44" s="263">
        <f>+Pobl_adoptada!M44*$D44/1000</f>
        <v>31.491540000000001</v>
      </c>
      <c r="M44" s="263">
        <f>+Pobl_adoptada!N44*$D44/1000</f>
        <v>32.099980000000002</v>
      </c>
      <c r="N44" s="263">
        <f>+Pobl_adoptada!O44*$D44/1000</f>
        <v>32.720080000000003</v>
      </c>
      <c r="O44" s="263">
        <f>+Pobl_adoptada!P44*$D44/1000</f>
        <v>33.352899999999998</v>
      </c>
      <c r="P44" s="263">
        <f>+Pobl_adoptada!Q44*$D44/1000</f>
        <v>33.997380000000007</v>
      </c>
      <c r="Q44" s="263">
        <f>+Pobl_adoptada!R44*$D44/1000</f>
        <v>34.654580000000003</v>
      </c>
      <c r="R44" s="263">
        <f>+Pobl_adoptada!S44*$D44/1000</f>
        <v>35.323440000000005</v>
      </c>
      <c r="S44" s="263">
        <f>+Pobl_adoptada!T44*$D44/1000</f>
        <v>36.006080000000004</v>
      </c>
      <c r="T44" s="263">
        <f>+Pobl_adoptada!U44*$D44/1000</f>
        <v>36.701440000000005</v>
      </c>
      <c r="U44" s="263">
        <f>+Pobl_adoptada!V44*$D44/1000</f>
        <v>37.410580000000003</v>
      </c>
      <c r="V44" s="263">
        <f>+Pobl_adoptada!W44*$D44/1000</f>
        <v>38.133499999999998</v>
      </c>
      <c r="W44" s="263">
        <f>+Pobl_adoptada!X44*$D44/1000</f>
        <v>38.871259999999999</v>
      </c>
      <c r="X44" s="263">
        <f>+Pobl_adoptada!Y44*$D44/1000</f>
        <v>39.621740000000003</v>
      </c>
      <c r="Y44" s="263">
        <f>+Pobl_adoptada!Z44*$D44/1000</f>
        <v>40.387060000000005</v>
      </c>
      <c r="Z44" s="263">
        <f>+Pobl_adoptada!AA44*$D44/1000</f>
        <v>41.168279999999996</v>
      </c>
    </row>
    <row r="45" spans="1:29" ht="24.95" hidden="1" customHeight="1">
      <c r="A45" s="351" t="str">
        <f>+Pobl_adoptada!A45</f>
        <v>Campana</v>
      </c>
      <c r="B45" s="70">
        <f>+Pobl_adoptada!B45</f>
        <v>41</v>
      </c>
      <c r="C45" s="353" t="str">
        <f>+Pobl_adoptada!C45</f>
        <v>Campana</v>
      </c>
      <c r="D45" s="261">
        <f>IF(E45&lt;=15000,DATOS!B$3,IF(E45&lt;=50000,DATOS!B$4,IF(E45&lt;=300000,DATOS!B$5,IF(E45&lt;=500000,DATOS!B$6,DATOS!B$7))))</f>
        <v>1.02</v>
      </c>
      <c r="E45" s="262">
        <f>+Pobl_adoptada!F45</f>
        <v>98914</v>
      </c>
      <c r="F45" s="263">
        <f>+Pobl_adoptada!G45*$D45/1000</f>
        <v>101.91636</v>
      </c>
      <c r="G45" s="263">
        <f>+Pobl_adoptada!H45*$D45/1000</f>
        <v>104.98860000000001</v>
      </c>
      <c r="H45" s="263">
        <f>+Pobl_adoptada!I45*$D45/1000</f>
        <v>106.01268</v>
      </c>
      <c r="I45" s="263">
        <f>+Pobl_adoptada!J45*$D45/1000</f>
        <v>107.03778</v>
      </c>
      <c r="J45" s="263">
        <f>+Pobl_adoptada!K45*$D45/1000</f>
        <v>108.06186</v>
      </c>
      <c r="K45" s="263">
        <f>+Pobl_adoptada!L45*$D45/1000</f>
        <v>109.08594000000001</v>
      </c>
      <c r="L45" s="263">
        <f>+Pobl_adoptada!M45*$D45/1000</f>
        <v>110.11002000000001</v>
      </c>
      <c r="M45" s="263">
        <f>+Pobl_adoptada!N45*$D45/1000</f>
        <v>111.1341</v>
      </c>
      <c r="N45" s="263">
        <f>+Pobl_adoptada!O45*$D45/1000</f>
        <v>112.15818</v>
      </c>
      <c r="O45" s="263">
        <f>+Pobl_adoptada!P45*$D45/1000</f>
        <v>113.18226</v>
      </c>
      <c r="P45" s="263">
        <f>+Pobl_adoptada!Q45*$D45/1000</f>
        <v>114.20634</v>
      </c>
      <c r="Q45" s="263">
        <f>+Pobl_adoptada!R45*$D45/1000</f>
        <v>115.23042</v>
      </c>
      <c r="R45" s="263">
        <f>+Pobl_adoptada!S45*$D45/1000</f>
        <v>116.25449999999999</v>
      </c>
      <c r="S45" s="263">
        <f>+Pobl_adoptada!T45*$D45/1000</f>
        <v>117.27858000000001</v>
      </c>
      <c r="T45" s="263">
        <f>+Pobl_adoptada!U45*$D45/1000</f>
        <v>118.30266</v>
      </c>
      <c r="U45" s="263">
        <f>+Pobl_adoptada!V45*$D45/1000</f>
        <v>119.32674</v>
      </c>
      <c r="V45" s="263">
        <f>+Pobl_adoptada!W45*$D45/1000</f>
        <v>120.35184</v>
      </c>
      <c r="W45" s="263">
        <f>+Pobl_adoptada!X45*$D45/1000</f>
        <v>121.37591999999999</v>
      </c>
      <c r="X45" s="263">
        <f>+Pobl_adoptada!Y45*$D45/1000</f>
        <v>122.4</v>
      </c>
      <c r="Y45" s="263">
        <f>+Pobl_adoptada!Z45*$D45/1000</f>
        <v>123.42408</v>
      </c>
      <c r="Z45" s="263">
        <f>+Pobl_adoptada!AA45*$D45/1000</f>
        <v>124.44816</v>
      </c>
    </row>
    <row r="46" spans="1:29" ht="24.95" hidden="1" customHeight="1">
      <c r="A46" s="351" t="str">
        <f>+Pobl_adoptada!A46</f>
        <v>Cañuelas</v>
      </c>
      <c r="B46" s="70">
        <f>+Pobl_adoptada!B46</f>
        <v>42</v>
      </c>
      <c r="C46" s="353" t="str">
        <f>+Pobl_adoptada!C46</f>
        <v>Cañuelas</v>
      </c>
      <c r="D46" s="261">
        <f>IF(E46&lt;=15000,DATOS!B$3,IF(E46&lt;=50000,DATOS!B$4,IF(E46&lt;=300000,DATOS!B$5,IF(E46&lt;=500000,DATOS!B$6,DATOS!B$7))))</f>
        <v>1.06</v>
      </c>
      <c r="E46" s="262">
        <f>+Pobl_adoptada!F46</f>
        <v>42443</v>
      </c>
      <c r="F46" s="263">
        <f>+Pobl_adoptada!G46*$D46/1000</f>
        <v>46.211760000000005</v>
      </c>
      <c r="G46" s="263">
        <f>+Pobl_adoptada!H46*$D46/1000</f>
        <v>49.997020000000006</v>
      </c>
      <c r="H46" s="263">
        <f>+Pobl_adoptada!I46*$D46/1000</f>
        <v>51.300820000000002</v>
      </c>
      <c r="I46" s="263">
        <f>+Pobl_adoptada!J46*$D46/1000</f>
        <v>52.625819999999997</v>
      </c>
      <c r="J46" s="263">
        <f>+Pobl_adoptada!K46*$D46/1000</f>
        <v>53.972020000000001</v>
      </c>
      <c r="K46" s="263">
        <f>+Pobl_adoptada!L46*$D46/1000</f>
        <v>55.340480000000007</v>
      </c>
      <c r="L46" s="263">
        <f>+Pobl_adoptada!M46*$D46/1000</f>
        <v>56.730139999999999</v>
      </c>
      <c r="M46" s="263">
        <f>+Pobl_adoptada!N46*$D46/1000</f>
        <v>58.144179999999999</v>
      </c>
      <c r="N46" s="263">
        <f>+Pobl_adoptada!O46*$D46/1000</f>
        <v>59.580480000000001</v>
      </c>
      <c r="O46" s="263">
        <f>+Pobl_adoptada!P46*$D46/1000</f>
        <v>61.040100000000002</v>
      </c>
      <c r="P46" s="263">
        <f>+Pobl_adoptada!Q46*$D46/1000</f>
        <v>62.523040000000002</v>
      </c>
      <c r="Q46" s="263">
        <f>+Pobl_adoptada!R46*$D46/1000</f>
        <v>64.031420000000011</v>
      </c>
      <c r="R46" s="263">
        <f>+Pobl_adoptada!S46*$D46/1000</f>
        <v>65.563120000000012</v>
      </c>
      <c r="S46" s="263">
        <f>+Pobl_adoptada!T46*$D46/1000</f>
        <v>67.120260000000016</v>
      </c>
      <c r="T46" s="263">
        <f>+Pobl_adoptada!U46*$D46/1000</f>
        <v>68.702839999999995</v>
      </c>
      <c r="U46" s="263">
        <f>+Pobl_adoptada!V46*$D46/1000</f>
        <v>70.311920000000001</v>
      </c>
      <c r="V46" s="263">
        <f>+Pobl_adoptada!W46*$D46/1000</f>
        <v>71.946439999999996</v>
      </c>
      <c r="W46" s="263">
        <f>+Pobl_adoptada!X46*$D46/1000</f>
        <v>73.608519999999999</v>
      </c>
      <c r="X46" s="263">
        <f>+Pobl_adoptada!Y46*$D46/1000</f>
        <v>75.296040000000005</v>
      </c>
      <c r="Y46" s="263">
        <f>+Pobl_adoptada!Z46*$D46/1000</f>
        <v>77.012180000000001</v>
      </c>
      <c r="Z46" s="263">
        <f>+Pobl_adoptada!AA46*$D46/1000</f>
        <v>78.75694</v>
      </c>
    </row>
    <row r="47" spans="1:29" ht="24.95" hidden="1" customHeight="1">
      <c r="A47" s="351" t="str">
        <f>+Pobl_adoptada!A47</f>
        <v>Capitán Sarmiento</v>
      </c>
      <c r="B47" s="70">
        <f>+Pobl_adoptada!B47</f>
        <v>43</v>
      </c>
      <c r="C47" s="353" t="str">
        <f>+Pobl_adoptada!C47</f>
        <v>Capitán Sarmiento</v>
      </c>
      <c r="D47" s="261">
        <f>IF(E47&lt;=15000,DATOS!B$3,IF(E47&lt;=50000,DATOS!B$4,IF(E47&lt;=300000,DATOS!B$5,IF(E47&lt;=500000,DATOS!B$6,DATOS!B$7))))</f>
        <v>1.06</v>
      </c>
      <c r="E47" s="262">
        <f>+Pobl_adoptada!F47</f>
        <v>15212</v>
      </c>
      <c r="F47" s="263">
        <f>+Pobl_adoptada!G47*$D47/1000</f>
        <v>16.316579999999998</v>
      </c>
      <c r="G47" s="263">
        <f>+Pobl_adoptada!H47*$D47/1000</f>
        <v>16.893219999999999</v>
      </c>
      <c r="H47" s="263">
        <f>+Pobl_adoptada!I47*$D47/1000</f>
        <v>17.085080000000001</v>
      </c>
      <c r="I47" s="263">
        <f>+Pobl_adoptada!J47*$D47/1000</f>
        <v>17.276940000000003</v>
      </c>
      <c r="J47" s="263">
        <f>+Pobl_adoptada!K47*$D47/1000</f>
        <v>17.468799999999998</v>
      </c>
      <c r="K47" s="263">
        <f>+Pobl_adoptada!L47*$D47/1000</f>
        <v>17.66066</v>
      </c>
      <c r="L47" s="263">
        <f>+Pobl_adoptada!M47*$D47/1000</f>
        <v>17.852520000000002</v>
      </c>
      <c r="M47" s="263">
        <f>+Pobl_adoptada!N47*$D47/1000</f>
        <v>18.04438</v>
      </c>
      <c r="N47" s="263">
        <f>+Pobl_adoptada!O47*$D47/1000</f>
        <v>18.237299999999998</v>
      </c>
      <c r="O47" s="263">
        <f>+Pobl_adoptada!P47*$D47/1000</f>
        <v>18.42916</v>
      </c>
      <c r="P47" s="263">
        <f>+Pobl_adoptada!Q47*$D47/1000</f>
        <v>18.621020000000001</v>
      </c>
      <c r="Q47" s="263">
        <f>+Pobl_adoptada!R47*$D47/1000</f>
        <v>18.81288</v>
      </c>
      <c r="R47" s="263">
        <f>+Pobl_adoptada!S47*$D47/1000</f>
        <v>19.004740000000002</v>
      </c>
      <c r="S47" s="263">
        <f>+Pobl_adoptada!T47*$D47/1000</f>
        <v>19.196600000000004</v>
      </c>
      <c r="T47" s="263">
        <f>+Pobl_adoptada!U47*$D47/1000</f>
        <v>19.388460000000002</v>
      </c>
      <c r="U47" s="263">
        <f>+Pobl_adoptada!V47*$D47/1000</f>
        <v>19.58032</v>
      </c>
      <c r="V47" s="263">
        <f>+Pobl_adoptada!W47*$D47/1000</f>
        <v>19.772179999999999</v>
      </c>
      <c r="W47" s="263">
        <f>+Pobl_adoptada!X47*$D47/1000</f>
        <v>19.965100000000003</v>
      </c>
      <c r="X47" s="263">
        <f>+Pobl_adoptada!Y47*$D47/1000</f>
        <v>20.156960000000002</v>
      </c>
      <c r="Y47" s="263">
        <f>+Pobl_adoptada!Z47*$D47/1000</f>
        <v>20.34882</v>
      </c>
      <c r="Z47" s="263">
        <f>+Pobl_adoptada!AA47*$D47/1000</f>
        <v>20.540680000000002</v>
      </c>
    </row>
    <row r="48" spans="1:29" ht="24.95" customHeight="1">
      <c r="A48" s="351" t="str">
        <f>+Pobl_adoptada!A48</f>
        <v>Carlos Casares</v>
      </c>
      <c r="B48" s="70">
        <f>+Pobl_adoptada!B48</f>
        <v>44</v>
      </c>
      <c r="C48" s="353" t="str">
        <f>+Pobl_adoptada!C48</f>
        <v>Carlos Casares</v>
      </c>
      <c r="D48" s="261">
        <f>IF(E48&lt;=15000,DATOS!B$3,IF(E48&lt;=50000,DATOS!B$4,IF(E48&lt;=300000,DATOS!B$5,IF(E48&lt;=500000,DATOS!B$6,DATOS!B$7))))</f>
        <v>1.06</v>
      </c>
      <c r="E48" s="262">
        <f>+Pobl_adoptada!F48</f>
        <v>20066</v>
      </c>
      <c r="F48" s="263">
        <f>+Pobl_adoptada!G48*$D48/1000</f>
        <v>21.428960000000004</v>
      </c>
      <c r="G48" s="263">
        <f>+Pobl_adoptada!H48*$D48/1000</f>
        <v>21.914440000000003</v>
      </c>
      <c r="H48" s="263">
        <f>+Pobl_adoptada!I48*$D48/1000</f>
        <v>22.078740000000003</v>
      </c>
      <c r="I48" s="263">
        <f>+Pobl_adoptada!J48*$D48/1000</f>
        <v>22.244100000000003</v>
      </c>
      <c r="J48" s="263">
        <f>+Pobl_adoptada!K48*$D48/1000</f>
        <v>22.410520000000002</v>
      </c>
      <c r="K48" s="263">
        <f>+Pobl_adoptada!L48*$D48/1000</f>
        <v>22.579060000000002</v>
      </c>
      <c r="L48" s="263">
        <f>+Pobl_adoptada!M48*$D48/1000</f>
        <v>22.747600000000002</v>
      </c>
      <c r="M48" s="263">
        <f>+Pobl_adoptada!N48*$D48/1000</f>
        <v>22.918260000000004</v>
      </c>
      <c r="N48" s="263">
        <f>+Pobl_adoptada!O48*$D48/1000</f>
        <v>23.089980000000001</v>
      </c>
      <c r="O48" s="263">
        <f>+Pobl_adoptada!P48*$D48/1000</f>
        <v>23.262760000000004</v>
      </c>
      <c r="P48" s="263">
        <f>+Pobl_adoptada!Q48*$D48/1000</f>
        <v>23.437660000000001</v>
      </c>
      <c r="Q48" s="263">
        <f>+Pobl_adoptada!R48*$D48/1000</f>
        <v>23.612560000000002</v>
      </c>
      <c r="R48" s="263">
        <f>+Pobl_adoptada!S48*$D48/1000</f>
        <v>23.789580000000001</v>
      </c>
      <c r="S48" s="263">
        <f>+Pobl_adoptada!T48*$D48/1000</f>
        <v>23.968720000000001</v>
      </c>
      <c r="T48" s="263">
        <f>+Pobl_adoptada!U48*$D48/1000</f>
        <v>24.147860000000001</v>
      </c>
      <c r="U48" s="263">
        <f>+Pobl_adoptada!V48*$D48/1000</f>
        <v>24.329120000000003</v>
      </c>
      <c r="V48" s="263">
        <f>+Pobl_adoptada!W48*$D48/1000</f>
        <v>24.511440000000004</v>
      </c>
      <c r="W48" s="263">
        <f>+Pobl_adoptada!X48*$D48/1000</f>
        <v>24.69482</v>
      </c>
      <c r="X48" s="263">
        <f>+Pobl_adoptada!Y48*$D48/1000</f>
        <v>24.879260000000002</v>
      </c>
      <c r="Y48" s="263">
        <f>+Pobl_adoptada!Z48*$D48/1000</f>
        <v>25.065819999999999</v>
      </c>
      <c r="Z48" s="263">
        <f>+Pobl_adoptada!AA48*$D48/1000</f>
        <v>25.253440000000001</v>
      </c>
      <c r="AA48" s="270">
        <f>AVERAGE(F48:Z48)</f>
        <v>23.445938095238095</v>
      </c>
      <c r="AB48" s="270">
        <f>Resumen_Generación!G48</f>
        <v>7.2362733800000001</v>
      </c>
      <c r="AC48" s="270">
        <f>AA48-AB48</f>
        <v>16.209664715238095</v>
      </c>
    </row>
    <row r="49" spans="1:29" ht="24.95" hidden="1" customHeight="1">
      <c r="A49" s="351" t="str">
        <f>+Pobl_adoptada!A49</f>
        <v>Carlos Tejedor</v>
      </c>
      <c r="B49" s="70">
        <f>+Pobl_adoptada!B49</f>
        <v>45</v>
      </c>
      <c r="C49" s="353" t="str">
        <f>+Pobl_adoptada!C49</f>
        <v>Carlos Tejedor</v>
      </c>
      <c r="D49" s="261">
        <f>IF(E49&lt;=15000,DATOS!B$3,IF(E49&lt;=50000,DATOS!B$4,IF(E49&lt;=300000,DATOS!B$5,IF(E49&lt;=500000,DATOS!B$6,DATOS!B$7))))</f>
        <v>0.92</v>
      </c>
      <c r="E49" s="262">
        <f>+Pobl_adoptada!F49</f>
        <v>5466</v>
      </c>
      <c r="F49" s="263">
        <f>+Pobl_adoptada!G49*$D49/1000</f>
        <v>5.0471199999999996</v>
      </c>
      <c r="G49" s="263">
        <f>+Pobl_adoptada!H49*$D49/1000</f>
        <v>5.1032399999999996</v>
      </c>
      <c r="H49" s="263">
        <f>+Pobl_adoptada!I49*$D49/1000</f>
        <v>5.1216400000000002</v>
      </c>
      <c r="I49" s="263">
        <f>+Pobl_adoptada!J49*$D49/1000</f>
        <v>5.1409599999999998</v>
      </c>
      <c r="J49" s="263">
        <f>+Pobl_adoptada!K49*$D49/1000</f>
        <v>5.1593600000000004</v>
      </c>
      <c r="K49" s="263">
        <f>+Pobl_adoptada!L49*$D49/1000</f>
        <v>5.1777600000000001</v>
      </c>
      <c r="L49" s="263">
        <f>+Pobl_adoptada!M49*$D49/1000</f>
        <v>5.1961599999999999</v>
      </c>
      <c r="M49" s="263">
        <f>+Pobl_adoptada!N49*$D49/1000</f>
        <v>5.2145600000000005</v>
      </c>
      <c r="N49" s="263">
        <f>+Pobl_adoptada!O49*$D49/1000</f>
        <v>5.2338800000000001</v>
      </c>
      <c r="O49" s="263">
        <f>+Pobl_adoptada!P49*$D49/1000</f>
        <v>5.2522800000000007</v>
      </c>
      <c r="P49" s="263">
        <f>+Pobl_adoptada!Q49*$D49/1000</f>
        <v>5.2706800000000005</v>
      </c>
      <c r="Q49" s="263">
        <f>+Pobl_adoptada!R49*$D49/1000</f>
        <v>5.2890800000000002</v>
      </c>
      <c r="R49" s="263">
        <f>+Pobl_adoptada!S49*$D49/1000</f>
        <v>5.3084000000000007</v>
      </c>
      <c r="S49" s="263">
        <f>+Pobl_adoptada!T49*$D49/1000</f>
        <v>5.3268000000000004</v>
      </c>
      <c r="T49" s="263">
        <f>+Pobl_adoptada!U49*$D49/1000</f>
        <v>5.3452000000000002</v>
      </c>
      <c r="U49" s="263">
        <f>+Pobl_adoptada!V49*$D49/1000</f>
        <v>5.3635999999999999</v>
      </c>
      <c r="V49" s="263">
        <f>+Pobl_adoptada!W49*$D49/1000</f>
        <v>5.3829200000000004</v>
      </c>
      <c r="W49" s="263">
        <f>+Pobl_adoptada!X49*$D49/1000</f>
        <v>5.401320000000001</v>
      </c>
      <c r="X49" s="263">
        <f>+Pobl_adoptada!Y49*$D49/1000</f>
        <v>5.4197199999999999</v>
      </c>
      <c r="Y49" s="263">
        <f>+Pobl_adoptada!Z49*$D49/1000</f>
        <v>5.4381199999999996</v>
      </c>
      <c r="Z49" s="263">
        <f>+Pobl_adoptada!AA49*$D49/1000</f>
        <v>5.4574400000000001</v>
      </c>
    </row>
    <row r="50" spans="1:29" ht="24.95" hidden="1" customHeight="1">
      <c r="A50" s="351" t="str">
        <f>+Pobl_adoptada!A50</f>
        <v>Carmen de Areco</v>
      </c>
      <c r="B50" s="70">
        <f>+Pobl_adoptada!B50</f>
        <v>46</v>
      </c>
      <c r="C50" s="353" t="str">
        <f>+Pobl_adoptada!C50</f>
        <v>Carmen de Areco</v>
      </c>
      <c r="D50" s="261">
        <f>IF(E50&lt;=15000,DATOS!B$3,IF(E50&lt;=50000,DATOS!B$4,IF(E50&lt;=300000,DATOS!B$5,IF(E50&lt;=500000,DATOS!B$6,DATOS!B$7))))</f>
        <v>1.06</v>
      </c>
      <c r="E50" s="262">
        <f>+Pobl_adoptada!F50</f>
        <v>15061</v>
      </c>
      <c r="F50" s="263">
        <f>+Pobl_adoptada!G50*$D50/1000</f>
        <v>16.14274</v>
      </c>
      <c r="G50" s="263">
        <f>+Pobl_adoptada!H50*$D50/1000</f>
        <v>16.680160000000001</v>
      </c>
      <c r="H50" s="263">
        <f>+Pobl_adoptada!I50*$D50/1000</f>
        <v>16.859299999999998</v>
      </c>
      <c r="I50" s="263">
        <f>+Pobl_adoptada!J50*$D50/1000</f>
        <v>17.038440000000001</v>
      </c>
      <c r="J50" s="263">
        <f>+Pobl_adoptada!K50*$D50/1000</f>
        <v>17.216519999999999</v>
      </c>
      <c r="K50" s="263">
        <f>+Pobl_adoptada!L50*$D50/1000</f>
        <v>17.395659999999999</v>
      </c>
      <c r="L50" s="263">
        <f>+Pobl_adoptada!M50*$D50/1000</f>
        <v>17.5748</v>
      </c>
      <c r="M50" s="263">
        <f>+Pobl_adoptada!N50*$D50/1000</f>
        <v>17.753940000000004</v>
      </c>
      <c r="N50" s="263">
        <f>+Pobl_adoptada!O50*$D50/1000</f>
        <v>17.93308</v>
      </c>
      <c r="O50" s="263">
        <f>+Pobl_adoptada!P50*$D50/1000</f>
        <v>18.112220000000001</v>
      </c>
      <c r="P50" s="263">
        <f>+Pobl_adoptada!Q50*$D50/1000</f>
        <v>18.290299999999998</v>
      </c>
      <c r="Q50" s="263">
        <f>+Pobl_adoptada!R50*$D50/1000</f>
        <v>18.469440000000002</v>
      </c>
      <c r="R50" s="263">
        <f>+Pobl_adoptada!S50*$D50/1000</f>
        <v>18.648580000000003</v>
      </c>
      <c r="S50" s="263">
        <f>+Pobl_adoptada!T50*$D50/1000</f>
        <v>18.827720000000003</v>
      </c>
      <c r="T50" s="263">
        <f>+Pobl_adoptada!U50*$D50/1000</f>
        <v>19.00686</v>
      </c>
      <c r="U50" s="263">
        <f>+Pobl_adoptada!V50*$D50/1000</f>
        <v>19.186</v>
      </c>
      <c r="V50" s="263">
        <f>+Pobl_adoptada!W50*$D50/1000</f>
        <v>19.36514</v>
      </c>
      <c r="W50" s="263">
        <f>+Pobl_adoptada!X50*$D50/1000</f>
        <v>19.543220000000002</v>
      </c>
      <c r="X50" s="263">
        <f>+Pobl_adoptada!Y50*$D50/1000</f>
        <v>19.722360000000002</v>
      </c>
      <c r="Y50" s="263">
        <f>+Pobl_adoptada!Z50*$D50/1000</f>
        <v>19.901499999999999</v>
      </c>
      <c r="Z50" s="263">
        <f>+Pobl_adoptada!AA50*$D50/1000</f>
        <v>20.080639999999999</v>
      </c>
    </row>
    <row r="51" spans="1:29" ht="24.95" hidden="1" customHeight="1">
      <c r="A51" s="351" t="str">
        <f>+Pobl_adoptada!A51</f>
        <v>Castelli</v>
      </c>
      <c r="B51" s="70">
        <f>+Pobl_adoptada!B51</f>
        <v>47</v>
      </c>
      <c r="C51" s="353" t="str">
        <f>+Pobl_adoptada!C51</f>
        <v>Castelli</v>
      </c>
      <c r="D51" s="261">
        <f>IF(E51&lt;=15000,DATOS!B$3,IF(E51&lt;=50000,DATOS!B$4,IF(E51&lt;=300000,DATOS!B$5,IF(E51&lt;=500000,DATOS!B$6,DATOS!B$7))))</f>
        <v>0.92</v>
      </c>
      <c r="E51" s="262">
        <f>+Pobl_adoptada!F51</f>
        <v>8615</v>
      </c>
      <c r="F51" s="263">
        <f>+Pobl_adoptada!G51*$D51/1000</f>
        <v>8.0812800000000014</v>
      </c>
      <c r="G51" s="263">
        <f>+Pobl_adoptada!H51*$D51/1000</f>
        <v>8.5458800000000004</v>
      </c>
      <c r="H51" s="263">
        <f>+Pobl_adoptada!I51*$D51/1000</f>
        <v>8.7004400000000004</v>
      </c>
      <c r="I51" s="263">
        <f>+Pobl_adoptada!J51*$D51/1000</f>
        <v>8.8559199999999993</v>
      </c>
      <c r="J51" s="263">
        <f>+Pobl_adoptada!K51*$D51/1000</f>
        <v>9.0104799999999994</v>
      </c>
      <c r="K51" s="263">
        <f>+Pobl_adoptada!L51*$D51/1000</f>
        <v>9.1650400000000012</v>
      </c>
      <c r="L51" s="263">
        <f>+Pobl_adoptada!M51*$D51/1000</f>
        <v>9.35548</v>
      </c>
      <c r="M51" s="263">
        <f>+Pobl_adoptada!N51*$D51/1000</f>
        <v>9.5449999999999999</v>
      </c>
      <c r="N51" s="263">
        <f>+Pobl_adoptada!O51*$D51/1000</f>
        <v>9.7354400000000005</v>
      </c>
      <c r="O51" s="263">
        <f>+Pobl_adoptada!P51*$D51/1000</f>
        <v>9.9249600000000004</v>
      </c>
      <c r="P51" s="263">
        <f>+Pobl_adoptada!Q51*$D51/1000</f>
        <v>10.115399999999999</v>
      </c>
      <c r="Q51" s="263">
        <f>+Pobl_adoptada!R51*$D51/1000</f>
        <v>10.304919999999999</v>
      </c>
      <c r="R51" s="263">
        <f>+Pobl_adoptada!S51*$D51/1000</f>
        <v>10.49536</v>
      </c>
      <c r="S51" s="263">
        <f>+Pobl_adoptada!T51*$D51/1000</f>
        <v>10.684880000000001</v>
      </c>
      <c r="T51" s="263">
        <f>+Pobl_adoptada!U51*$D51/1000</f>
        <v>10.8744</v>
      </c>
      <c r="U51" s="263">
        <f>+Pobl_adoptada!V51*$D51/1000</f>
        <v>11.06484</v>
      </c>
      <c r="V51" s="263">
        <f>+Pobl_adoptada!W51*$D51/1000</f>
        <v>11.25436</v>
      </c>
      <c r="W51" s="263">
        <f>+Pobl_adoptada!X51*$D51/1000</f>
        <v>11.444800000000001</v>
      </c>
      <c r="X51" s="263">
        <f>+Pobl_adoptada!Y51*$D51/1000</f>
        <v>11.634319999999999</v>
      </c>
      <c r="Y51" s="263">
        <f>+Pobl_adoptada!Z51*$D51/1000</f>
        <v>11.824759999999999</v>
      </c>
      <c r="Z51" s="263">
        <f>+Pobl_adoptada!AA51*$D51/1000</f>
        <v>12.014280000000001</v>
      </c>
    </row>
    <row r="52" spans="1:29" ht="24.95" hidden="1" customHeight="1">
      <c r="A52" s="351" t="str">
        <f>+Pobl_adoptada!A52</f>
        <v>Chacabuco</v>
      </c>
      <c r="B52" s="70">
        <f>+Pobl_adoptada!B52</f>
        <v>48</v>
      </c>
      <c r="C52" s="353" t="str">
        <f>+Pobl_adoptada!C52</f>
        <v>Chacabuco</v>
      </c>
      <c r="D52" s="261">
        <f>IF(E52&lt;=15000,DATOS!B$3,IF(E52&lt;=50000,DATOS!B$4,IF(E52&lt;=300000,DATOS!B$5,IF(E52&lt;=500000,DATOS!B$6,DATOS!B$7))))</f>
        <v>1.06</v>
      </c>
      <c r="E52" s="262">
        <f>+Pobl_adoptada!F52</f>
        <v>43499</v>
      </c>
      <c r="F52" s="263">
        <f>+Pobl_adoptada!G52*$D52/1000</f>
        <v>46.548840000000006</v>
      </c>
      <c r="G52" s="263">
        <f>+Pobl_adoptada!H52*$D52/1000</f>
        <v>47.869600000000005</v>
      </c>
      <c r="H52" s="263">
        <f>+Pobl_adoptada!I52*$D52/1000</f>
        <v>48.310560000000002</v>
      </c>
      <c r="I52" s="263">
        <f>+Pobl_adoptada!J52*$D52/1000</f>
        <v>48.750459999999997</v>
      </c>
      <c r="J52" s="263">
        <f>+Pobl_adoptada!K52*$D52/1000</f>
        <v>49.191420000000008</v>
      </c>
      <c r="K52" s="263">
        <f>+Pobl_adoptada!L52*$D52/1000</f>
        <v>49.631320000000002</v>
      </c>
      <c r="L52" s="263">
        <f>+Pobl_adoptada!M52*$D52/1000</f>
        <v>50.071220000000004</v>
      </c>
      <c r="M52" s="263">
        <f>+Pobl_adoptada!N52*$D52/1000</f>
        <v>50.512180000000001</v>
      </c>
      <c r="N52" s="263">
        <f>+Pobl_adoptada!O52*$D52/1000</f>
        <v>50.952080000000002</v>
      </c>
      <c r="O52" s="263">
        <f>+Pobl_adoptada!P52*$D52/1000</f>
        <v>51.393039999999999</v>
      </c>
      <c r="P52" s="263">
        <f>+Pobl_adoptada!Q52*$D52/1000</f>
        <v>51.832940000000001</v>
      </c>
      <c r="Q52" s="263">
        <f>+Pobl_adoptada!R52*$D52/1000</f>
        <v>52.272840000000002</v>
      </c>
      <c r="R52" s="263">
        <f>+Pobl_adoptada!S52*$D52/1000</f>
        <v>52.713800000000006</v>
      </c>
      <c r="S52" s="263">
        <f>+Pobl_adoptada!T52*$D52/1000</f>
        <v>53.153700000000008</v>
      </c>
      <c r="T52" s="263">
        <f>+Pobl_adoptada!U52*$D52/1000</f>
        <v>53.594660000000005</v>
      </c>
      <c r="U52" s="263">
        <f>+Pobl_adoptada!V52*$D52/1000</f>
        <v>54.034560000000006</v>
      </c>
      <c r="V52" s="263">
        <f>+Pobl_adoptada!W52*$D52/1000</f>
        <v>54.474460000000001</v>
      </c>
      <c r="W52" s="263">
        <f>+Pobl_adoptada!X52*$D52/1000</f>
        <v>54.915420000000005</v>
      </c>
      <c r="X52" s="263">
        <f>+Pobl_adoptada!Y52*$D52/1000</f>
        <v>55.355319999999999</v>
      </c>
      <c r="Y52" s="263">
        <f>+Pobl_adoptada!Z52*$D52/1000</f>
        <v>55.796280000000003</v>
      </c>
      <c r="Z52" s="263">
        <f>+Pobl_adoptada!AA52*$D52/1000</f>
        <v>56.236179999999997</v>
      </c>
    </row>
    <row r="53" spans="1:29" ht="24.95" hidden="1" customHeight="1">
      <c r="A53" s="351" t="str">
        <f>+Pobl_adoptada!A53</f>
        <v>Chascomús</v>
      </c>
      <c r="B53" s="70">
        <f>+Pobl_adoptada!B53</f>
        <v>49</v>
      </c>
      <c r="C53" s="353" t="str">
        <f>+Pobl_adoptada!C53</f>
        <v>Chascomús</v>
      </c>
      <c r="D53" s="261">
        <f>IF(E53&lt;=15000,DATOS!B$3,IF(E53&lt;=50000,DATOS!B$4,IF(E53&lt;=300000,DATOS!B$5,IF(E53&lt;=500000,DATOS!B$6,DATOS!B$7))))</f>
        <v>1.06</v>
      </c>
      <c r="E53" s="262">
        <f>+Pobl_adoptada!F53</f>
        <v>37965</v>
      </c>
      <c r="F53" s="263">
        <f>+Pobl_adoptada!G53*$D53/1000</f>
        <v>40.654180000000004</v>
      </c>
      <c r="G53" s="263">
        <f>+Pobl_adoptada!H53*$D53/1000</f>
        <v>41.912399999999998</v>
      </c>
      <c r="H53" s="263">
        <f>+Pobl_adoptada!I53*$D53/1000</f>
        <v>42.34064</v>
      </c>
      <c r="I53" s="263">
        <f>+Pobl_adoptada!J53*$D53/1000</f>
        <v>42.773120000000006</v>
      </c>
      <c r="J53" s="263">
        <f>+Pobl_adoptada!K53*$D53/1000</f>
        <v>43.209840000000007</v>
      </c>
      <c r="K53" s="263">
        <f>+Pobl_adoptada!L53*$D53/1000</f>
        <v>43.650800000000004</v>
      </c>
      <c r="L53" s="263">
        <f>+Pobl_adoptada!M53*$D53/1000</f>
        <v>44.097060000000006</v>
      </c>
      <c r="M53" s="263">
        <f>+Pobl_adoptada!N53*$D53/1000</f>
        <v>44.547560000000004</v>
      </c>
      <c r="N53" s="263">
        <f>+Pobl_adoptada!O53*$D53/1000</f>
        <v>45.002300000000005</v>
      </c>
      <c r="O53" s="263">
        <f>+Pobl_adoptada!P53*$D53/1000</f>
        <v>45.461280000000002</v>
      </c>
      <c r="P53" s="263">
        <f>+Pobl_adoptada!Q53*$D53/1000</f>
        <v>45.925560000000004</v>
      </c>
      <c r="Q53" s="263">
        <f>+Pobl_adoptada!R53*$D53/1000</f>
        <v>46.395139999999998</v>
      </c>
      <c r="R53" s="263">
        <f>+Pobl_adoptada!S53*$D53/1000</f>
        <v>46.868960000000001</v>
      </c>
      <c r="S53" s="263">
        <f>+Pobl_adoptada!T53*$D53/1000</f>
        <v>47.347020000000001</v>
      </c>
      <c r="T53" s="263">
        <f>+Pobl_adoptada!U53*$D53/1000</f>
        <v>47.831440000000001</v>
      </c>
      <c r="U53" s="263">
        <f>+Pobl_adoptada!V53*$D53/1000</f>
        <v>48.319040000000001</v>
      </c>
      <c r="V53" s="263">
        <f>+Pobl_adoptada!W53*$D53/1000</f>
        <v>48.813000000000002</v>
      </c>
      <c r="W53" s="263">
        <f>+Pobl_adoptada!X53*$D53/1000</f>
        <v>49.311200000000007</v>
      </c>
      <c r="X53" s="263">
        <f>+Pobl_adoptada!Y53*$D53/1000</f>
        <v>49.814700000000002</v>
      </c>
      <c r="Y53" s="263">
        <f>+Pobl_adoptada!Z53*$D53/1000</f>
        <v>50.323500000000003</v>
      </c>
      <c r="Z53" s="263">
        <f>+Pobl_adoptada!AA53*$D53/1000</f>
        <v>50.837600000000009</v>
      </c>
    </row>
    <row r="54" spans="1:29" ht="24.95" hidden="1" customHeight="1">
      <c r="A54" s="351" t="str">
        <f>+Pobl_adoptada!A54</f>
        <v>Chivilcoy</v>
      </c>
      <c r="B54" s="70">
        <f>+Pobl_adoptada!B54</f>
        <v>50</v>
      </c>
      <c r="C54" s="353" t="str">
        <f>+Pobl_adoptada!C54</f>
        <v>Chivilcoy</v>
      </c>
      <c r="D54" s="261">
        <f>IF(E54&lt;=15000,DATOS!B$3,IF(E54&lt;=50000,DATOS!B$4,IF(E54&lt;=300000,DATOS!B$5,IF(E54&lt;=500000,DATOS!B$6,DATOS!B$7))))</f>
        <v>1.02</v>
      </c>
      <c r="E54" s="262">
        <f>+Pobl_adoptada!F54</f>
        <v>64679</v>
      </c>
      <c r="F54" s="263">
        <f>+Pobl_adoptada!G54*$D54/1000</f>
        <v>66.534600000000012</v>
      </c>
      <c r="G54" s="263">
        <f>+Pobl_adoptada!H54*$D54/1000</f>
        <v>68.220660000000009</v>
      </c>
      <c r="H54" s="263">
        <f>+Pobl_adoptada!I54*$D54/1000</f>
        <v>68.783699999999996</v>
      </c>
      <c r="I54" s="263">
        <f>+Pobl_adoptada!J54*$D54/1000</f>
        <v>69.34572</v>
      </c>
      <c r="J54" s="263">
        <f>+Pobl_adoptada!K54*$D54/1000</f>
        <v>69.907740000000004</v>
      </c>
      <c r="K54" s="263">
        <f>+Pobl_adoptada!L54*$D54/1000</f>
        <v>70.469759999999994</v>
      </c>
      <c r="L54" s="263">
        <f>+Pobl_adoptada!M54*$D54/1000</f>
        <v>71.031779999999998</v>
      </c>
      <c r="M54" s="263">
        <f>+Pobl_adoptada!N54*$D54/1000</f>
        <v>71.593800000000002</v>
      </c>
      <c r="N54" s="263">
        <f>+Pobl_adoptada!O54*$D54/1000</f>
        <v>72.156840000000003</v>
      </c>
      <c r="O54" s="263">
        <f>+Pobl_adoptada!P54*$D54/1000</f>
        <v>72.718860000000006</v>
      </c>
      <c r="P54" s="263">
        <f>+Pobl_adoptada!Q54*$D54/1000</f>
        <v>73.28088000000001</v>
      </c>
      <c r="Q54" s="263">
        <f>+Pobl_adoptada!R54*$D54/1000</f>
        <v>73.8429</v>
      </c>
      <c r="R54" s="263">
        <f>+Pobl_adoptada!S54*$D54/1000</f>
        <v>74.404920000000004</v>
      </c>
      <c r="S54" s="263">
        <f>+Pobl_adoptada!T54*$D54/1000</f>
        <v>74.966940000000008</v>
      </c>
      <c r="T54" s="263">
        <f>+Pobl_adoptada!U54*$D54/1000</f>
        <v>75.529979999999995</v>
      </c>
      <c r="U54" s="263">
        <f>+Pobl_adoptada!V54*$D54/1000</f>
        <v>76.091999999999999</v>
      </c>
      <c r="V54" s="263">
        <f>+Pobl_adoptada!W54*$D54/1000</f>
        <v>76.654020000000003</v>
      </c>
      <c r="W54" s="263">
        <f>+Pobl_adoptada!X54*$D54/1000</f>
        <v>77.216040000000007</v>
      </c>
      <c r="X54" s="263">
        <f>+Pobl_adoptada!Y54*$D54/1000</f>
        <v>77.778059999999996</v>
      </c>
      <c r="Y54" s="263">
        <f>+Pobl_adoptada!Z54*$D54/1000</f>
        <v>78.34008</v>
      </c>
      <c r="Z54" s="263">
        <f>+Pobl_adoptada!AA54*$D54/1000</f>
        <v>78.903120000000001</v>
      </c>
    </row>
    <row r="55" spans="1:29" ht="24.95" hidden="1" customHeight="1">
      <c r="A55" s="351" t="str">
        <f>+Pobl_adoptada!A55</f>
        <v>Colón</v>
      </c>
      <c r="B55" s="70">
        <f>+Pobl_adoptada!B55</f>
        <v>51</v>
      </c>
      <c r="C55" s="353" t="str">
        <f>+Pobl_adoptada!C55</f>
        <v>Colón</v>
      </c>
      <c r="D55" s="261">
        <f>IF(E55&lt;=15000,DATOS!B$3,IF(E55&lt;=50000,DATOS!B$4,IF(E55&lt;=300000,DATOS!B$5,IF(E55&lt;=500000,DATOS!B$6,DATOS!B$7))))</f>
        <v>1.06</v>
      </c>
      <c r="E55" s="262">
        <f>+Pobl_adoptada!F55</f>
        <v>25860</v>
      </c>
      <c r="F55" s="263">
        <f>+Pobl_adoptada!G55*$D55/1000</f>
        <v>27.659640000000003</v>
      </c>
      <c r="G55" s="263">
        <f>+Pobl_adoptada!H55*$D55/1000</f>
        <v>28.418600000000001</v>
      </c>
      <c r="H55" s="263">
        <f>+Pobl_adoptada!I55*$D55/1000</f>
        <v>28.676179999999999</v>
      </c>
      <c r="I55" s="263">
        <f>+Pobl_adoptada!J55*$D55/1000</f>
        <v>28.935880000000001</v>
      </c>
      <c r="J55" s="263">
        <f>+Pobl_adoptada!K55*$D55/1000</f>
        <v>29.198760000000004</v>
      </c>
      <c r="K55" s="263">
        <f>+Pobl_adoptada!L55*$D55/1000</f>
        <v>29.462700000000002</v>
      </c>
      <c r="L55" s="263">
        <f>+Pobl_adoptada!M55*$D55/1000</f>
        <v>29.72982</v>
      </c>
      <c r="M55" s="263">
        <f>+Pobl_adoptada!N55*$D55/1000</f>
        <v>30.000120000000003</v>
      </c>
      <c r="N55" s="263">
        <f>+Pobl_adoptada!O55*$D55/1000</f>
        <v>30.271480000000004</v>
      </c>
      <c r="O55" s="263">
        <f>+Pobl_adoptada!P55*$D55/1000</f>
        <v>30.546020000000002</v>
      </c>
      <c r="P55" s="263">
        <f>+Pobl_adoptada!Q55*$D55/1000</f>
        <v>30.822680000000002</v>
      </c>
      <c r="Q55" s="263">
        <f>+Pobl_adoptada!R55*$D55/1000</f>
        <v>31.102520000000002</v>
      </c>
      <c r="R55" s="263">
        <f>+Pobl_adoptada!S55*$D55/1000</f>
        <v>31.384480000000003</v>
      </c>
      <c r="S55" s="263">
        <f>+Pobl_adoptada!T55*$D55/1000</f>
        <v>31.668560000000003</v>
      </c>
      <c r="T55" s="263">
        <f>+Pobl_adoptada!U55*$D55/1000</f>
        <v>31.955820000000003</v>
      </c>
      <c r="U55" s="263">
        <f>+Pobl_adoptada!V55*$D55/1000</f>
        <v>32.245200000000004</v>
      </c>
      <c r="V55" s="263">
        <f>+Pobl_adoptada!W55*$D55/1000</f>
        <v>32.537759999999999</v>
      </c>
      <c r="W55" s="263">
        <f>+Pobl_adoptada!X55*$D55/1000</f>
        <v>32.832440000000005</v>
      </c>
      <c r="X55" s="263">
        <f>+Pobl_adoptada!Y55*$D55/1000</f>
        <v>33.130300000000005</v>
      </c>
      <c r="Y55" s="263">
        <f>+Pobl_adoptada!Z55*$D55/1000</f>
        <v>33.430279999999996</v>
      </c>
      <c r="Z55" s="263">
        <f>+Pobl_adoptada!AA55*$D55/1000</f>
        <v>33.733440000000002</v>
      </c>
    </row>
    <row r="56" spans="1:29" ht="24.95" hidden="1" customHeight="1">
      <c r="A56" s="351" t="str">
        <f>+Pobl_adoptada!A56</f>
        <v>Coronel de Marina L. Rosales</v>
      </c>
      <c r="B56" s="70">
        <f>+Pobl_adoptada!B56</f>
        <v>52</v>
      </c>
      <c r="C56" s="353" t="str">
        <f>+Pobl_adoptada!C56</f>
        <v>Punta Alta</v>
      </c>
      <c r="D56" s="261">
        <f>IF(E56&lt;=15000,DATOS!B$3,IF(E56&lt;=50000,DATOS!B$4,IF(E56&lt;=300000,DATOS!B$5,IF(E56&lt;=500000,DATOS!B$6,DATOS!B$7))))</f>
        <v>1.02</v>
      </c>
      <c r="E56" s="262">
        <f>+Pobl_adoptada!F56</f>
        <v>60586</v>
      </c>
      <c r="F56" s="263">
        <f>+Pobl_adoptada!G56*$D56/1000</f>
        <v>62.011919999999996</v>
      </c>
      <c r="G56" s="263">
        <f>+Pobl_adoptada!H56*$D56/1000</f>
        <v>62.675940000000004</v>
      </c>
      <c r="H56" s="263">
        <f>+Pobl_adoptada!I56*$D56/1000</f>
        <v>62.904420000000002</v>
      </c>
      <c r="I56" s="263">
        <f>+Pobl_adoptada!J56*$D56/1000</f>
        <v>63.136980000000001</v>
      </c>
      <c r="J56" s="263">
        <f>+Pobl_adoptada!K56*$D56/1000</f>
        <v>63.372599999999998</v>
      </c>
      <c r="K56" s="263">
        <f>+Pobl_adoptada!L56*$D56/1000</f>
        <v>63.612300000000005</v>
      </c>
      <c r="L56" s="263">
        <f>+Pobl_adoptada!M56*$D56/1000</f>
        <v>63.856079999999999</v>
      </c>
      <c r="M56" s="263">
        <f>+Pobl_adoptada!N56*$D56/1000</f>
        <v>64.103940000000009</v>
      </c>
      <c r="N56" s="263">
        <f>+Pobl_adoptada!O56*$D56/1000</f>
        <v>64.355879999999999</v>
      </c>
      <c r="O56" s="263">
        <f>+Pobl_adoptada!P56*$D56/1000</f>
        <v>64.611900000000006</v>
      </c>
      <c r="P56" s="263">
        <f>+Pobl_adoptada!Q56*$D56/1000</f>
        <v>64.870980000000003</v>
      </c>
      <c r="Q56" s="263">
        <f>+Pobl_adoptada!R56*$D56/1000</f>
        <v>65.136179999999996</v>
      </c>
      <c r="R56" s="263">
        <f>+Pobl_adoptada!S56*$D56/1000</f>
        <v>65.404440000000008</v>
      </c>
      <c r="S56" s="263">
        <f>+Pobl_adoptada!T56*$D56/1000</f>
        <v>65.677800000000005</v>
      </c>
      <c r="T56" s="263">
        <f>+Pobl_adoptada!U56*$D56/1000</f>
        <v>65.955240000000003</v>
      </c>
      <c r="U56" s="263">
        <f>+Pobl_adoptada!V56*$D56/1000</f>
        <v>66.23675999999999</v>
      </c>
      <c r="V56" s="263">
        <f>+Pobl_adoptada!W56*$D56/1000</f>
        <v>66.523380000000003</v>
      </c>
      <c r="W56" s="263">
        <f>+Pobl_adoptada!X56*$D56/1000</f>
        <v>66.814080000000004</v>
      </c>
      <c r="X56" s="263">
        <f>+Pobl_adoptada!Y56*$D56/1000</f>
        <v>67.110900000000001</v>
      </c>
      <c r="Y56" s="263">
        <f>+Pobl_adoptada!Z56*$D56/1000</f>
        <v>67.410780000000003</v>
      </c>
      <c r="Z56" s="263">
        <f>+Pobl_adoptada!AA56*$D56/1000</f>
        <v>67.71678</v>
      </c>
    </row>
    <row r="57" spans="1:29" ht="24.95" hidden="1" customHeight="1">
      <c r="A57" s="351" t="str">
        <f>+Pobl_adoptada!A57</f>
        <v>Coronel Dorrego</v>
      </c>
      <c r="B57" s="70">
        <f>+Pobl_adoptada!B57</f>
        <v>53</v>
      </c>
      <c r="C57" s="353" t="str">
        <f>+Pobl_adoptada!C57</f>
        <v>Coronel Dorrego</v>
      </c>
      <c r="D57" s="261">
        <f>IF(E57&lt;=15000,DATOS!B$3,IF(E57&lt;=50000,DATOS!B$4,IF(E57&lt;=300000,DATOS!B$5,IF(E57&lt;=500000,DATOS!B$6,DATOS!B$7))))</f>
        <v>0.92</v>
      </c>
      <c r="E57" s="262">
        <f>+Pobl_adoptada!F57</f>
        <v>11634</v>
      </c>
      <c r="F57" s="263">
        <f>+Pobl_adoptada!G57*$D57/1000</f>
        <v>10.707880000000001</v>
      </c>
      <c r="G57" s="263">
        <f>+Pobl_adoptada!H57*$D57/1000</f>
        <v>10.7226</v>
      </c>
      <c r="H57" s="263">
        <f>+Pobl_adoptada!I57*$D57/1000</f>
        <v>10.7272</v>
      </c>
      <c r="I57" s="263">
        <f>+Pobl_adoptada!J57*$D57/1000</f>
        <v>10.731800000000002</v>
      </c>
      <c r="J57" s="263">
        <f>+Pobl_adoptada!K57*$D57/1000</f>
        <v>10.7364</v>
      </c>
      <c r="K57" s="263">
        <f>+Pobl_adoptada!L57*$D57/1000</f>
        <v>10.74192</v>
      </c>
      <c r="L57" s="263">
        <f>+Pobl_adoptada!M57*$D57/1000</f>
        <v>10.74652</v>
      </c>
      <c r="M57" s="263">
        <f>+Pobl_adoptada!N57*$D57/1000</f>
        <v>10.75112</v>
      </c>
      <c r="N57" s="263">
        <f>+Pobl_adoptada!O57*$D57/1000</f>
        <v>10.755720000000002</v>
      </c>
      <c r="O57" s="263">
        <f>+Pobl_adoptada!P57*$D57/1000</f>
        <v>10.76032</v>
      </c>
      <c r="P57" s="263">
        <f>+Pobl_adoptada!Q57*$D57/1000</f>
        <v>10.76492</v>
      </c>
      <c r="Q57" s="263">
        <f>+Pobl_adoptada!R57*$D57/1000</f>
        <v>10.770440000000001</v>
      </c>
      <c r="R57" s="263">
        <f>+Pobl_adoptada!S57*$D57/1000</f>
        <v>10.775040000000001</v>
      </c>
      <c r="S57" s="263">
        <f>+Pobl_adoptada!T57*$D57/1000</f>
        <v>10.779640000000001</v>
      </c>
      <c r="T57" s="263">
        <f>+Pobl_adoptada!U57*$D57/1000</f>
        <v>10.78424</v>
      </c>
      <c r="U57" s="263">
        <f>+Pobl_adoptada!V57*$D57/1000</f>
        <v>10.78884</v>
      </c>
      <c r="V57" s="263">
        <f>+Pobl_adoptada!W57*$D57/1000</f>
        <v>10.794360000000001</v>
      </c>
      <c r="W57" s="263">
        <f>+Pobl_adoptada!X57*$D57/1000</f>
        <v>10.798960000000001</v>
      </c>
      <c r="X57" s="263">
        <f>+Pobl_adoptada!Y57*$D57/1000</f>
        <v>10.803560000000001</v>
      </c>
      <c r="Y57" s="263">
        <f>+Pobl_adoptada!Z57*$D57/1000</f>
        <v>10.808159999999999</v>
      </c>
      <c r="Z57" s="263">
        <f>+Pobl_adoptada!AA57*$D57/1000</f>
        <v>10.812760000000001</v>
      </c>
    </row>
    <row r="58" spans="1:29" ht="24.95" hidden="1" customHeight="1">
      <c r="A58" s="351" t="str">
        <f>+Pobl_adoptada!A58</f>
        <v>Coronel Pringles</v>
      </c>
      <c r="B58" s="70">
        <f>+Pobl_adoptada!B58</f>
        <v>54</v>
      </c>
      <c r="C58" s="353" t="str">
        <f>+Pobl_adoptada!C58</f>
        <v>Coronel Pringles</v>
      </c>
      <c r="D58" s="261">
        <f>IF(E58&lt;=15000,DATOS!B$3,IF(E58&lt;=50000,DATOS!B$4,IF(E58&lt;=300000,DATOS!B$5,IF(E58&lt;=500000,DATOS!B$6,DATOS!B$7))))</f>
        <v>1.06</v>
      </c>
      <c r="E58" s="262">
        <f>+Pobl_adoptada!F58</f>
        <v>20916</v>
      </c>
      <c r="F58" s="263">
        <f>+Pobl_adoptada!G58*$D58/1000</f>
        <v>22.391440000000003</v>
      </c>
      <c r="G58" s="263">
        <f>+Pobl_adoptada!H58*$D58/1000</f>
        <v>23.05076</v>
      </c>
      <c r="H58" s="263">
        <f>+Pobl_adoptada!I58*$D58/1000</f>
        <v>23.271240000000002</v>
      </c>
      <c r="I58" s="263">
        <f>+Pobl_adoptada!J58*$D58/1000</f>
        <v>23.490659999999998</v>
      </c>
      <c r="J58" s="263">
        <f>+Pobl_adoptada!K58*$D58/1000</f>
        <v>23.71114</v>
      </c>
      <c r="K58" s="263">
        <f>+Pobl_adoptada!L58*$D58/1000</f>
        <v>23.93056</v>
      </c>
      <c r="L58" s="263">
        <f>+Pobl_adoptada!M58*$D58/1000</f>
        <v>24.248560000000001</v>
      </c>
      <c r="M58" s="263">
        <f>+Pobl_adoptada!N58*$D58/1000</f>
        <v>24.566560000000003</v>
      </c>
      <c r="N58" s="263">
        <f>+Pobl_adoptada!O58*$D58/1000</f>
        <v>24.88456</v>
      </c>
      <c r="O58" s="263">
        <f>+Pobl_adoptada!P58*$D58/1000</f>
        <v>25.201499999999999</v>
      </c>
      <c r="P58" s="263">
        <f>+Pobl_adoptada!Q58*$D58/1000</f>
        <v>25.519500000000001</v>
      </c>
      <c r="Q58" s="263">
        <f>+Pobl_adoptada!R58*$D58/1000</f>
        <v>25.837499999999999</v>
      </c>
      <c r="R58" s="263">
        <f>+Pobl_adoptada!S58*$D58/1000</f>
        <v>26.1555</v>
      </c>
      <c r="S58" s="263">
        <f>+Pobl_adoptada!T58*$D58/1000</f>
        <v>26.473500000000001</v>
      </c>
      <c r="T58" s="263">
        <f>+Pobl_adoptada!U58*$D58/1000</f>
        <v>26.790440000000004</v>
      </c>
      <c r="U58" s="263">
        <f>+Pobl_adoptada!V58*$D58/1000</f>
        <v>27.108440000000002</v>
      </c>
      <c r="V58" s="263">
        <f>+Pobl_adoptada!W58*$D58/1000</f>
        <v>27.426440000000003</v>
      </c>
      <c r="W58" s="263">
        <f>+Pobl_adoptada!X58*$D58/1000</f>
        <v>27.744440000000001</v>
      </c>
      <c r="X58" s="263">
        <f>+Pobl_adoptada!Y58*$D58/1000</f>
        <v>28.062440000000002</v>
      </c>
      <c r="Y58" s="263">
        <f>+Pobl_adoptada!Z58*$D58/1000</f>
        <v>28.379380000000001</v>
      </c>
      <c r="Z58" s="263">
        <f>+Pobl_adoptada!AA58*$D58/1000</f>
        <v>28.697380000000003</v>
      </c>
    </row>
    <row r="59" spans="1:29" ht="24.95" hidden="1" customHeight="1">
      <c r="A59" s="351" t="str">
        <f>+Pobl_adoptada!A59</f>
        <v>Coronel Suárez</v>
      </c>
      <c r="B59" s="70">
        <f>+Pobl_adoptada!B59</f>
        <v>55</v>
      </c>
      <c r="C59" s="353" t="str">
        <f>+Pobl_adoptada!C59</f>
        <v>Coronel Suárez</v>
      </c>
      <c r="D59" s="261">
        <f>IF(E59&lt;=15000,DATOS!B$3,IF(E59&lt;=50000,DATOS!B$4,IF(E59&lt;=300000,DATOS!B$5,IF(E59&lt;=500000,DATOS!B$6,DATOS!B$7))))</f>
        <v>1.06</v>
      </c>
      <c r="E59" s="262">
        <f>+Pobl_adoptada!F59</f>
        <v>26028</v>
      </c>
      <c r="F59" s="263">
        <f>+Pobl_adoptada!G59*$D59/1000</f>
        <v>27.93206</v>
      </c>
      <c r="G59" s="263">
        <f>+Pobl_adoptada!H59*$D59/1000</f>
        <v>28.959199999999999</v>
      </c>
      <c r="H59" s="263">
        <f>+Pobl_adoptada!I59*$D59/1000</f>
        <v>29.301580000000001</v>
      </c>
      <c r="I59" s="263">
        <f>+Pobl_adoptada!J59*$D59/1000</f>
        <v>29.643960000000003</v>
      </c>
      <c r="J59" s="263">
        <f>+Pobl_adoptada!K59*$D59/1000</f>
        <v>29.986339999999998</v>
      </c>
      <c r="K59" s="263">
        <f>+Pobl_adoptada!L59*$D59/1000</f>
        <v>30.328720000000001</v>
      </c>
      <c r="L59" s="263">
        <f>+Pobl_adoptada!M59*$D59/1000</f>
        <v>30.78134</v>
      </c>
      <c r="M59" s="263">
        <f>+Pobl_adoptada!N59*$D59/1000</f>
        <v>31.233960000000003</v>
      </c>
      <c r="N59" s="263">
        <f>+Pobl_adoptada!O59*$D59/1000</f>
        <v>31.686580000000003</v>
      </c>
      <c r="O59" s="263">
        <f>+Pobl_adoptada!P59*$D59/1000</f>
        <v>32.139200000000002</v>
      </c>
      <c r="P59" s="263">
        <f>+Pobl_adoptada!Q59*$D59/1000</f>
        <v>32.591820000000006</v>
      </c>
      <c r="Q59" s="263">
        <f>+Pobl_adoptada!R59*$D59/1000</f>
        <v>33.044440000000002</v>
      </c>
      <c r="R59" s="263">
        <f>+Pobl_adoptada!S59*$D59/1000</f>
        <v>33.49812</v>
      </c>
      <c r="S59" s="263">
        <f>+Pobl_adoptada!T59*$D59/1000</f>
        <v>33.950740000000003</v>
      </c>
      <c r="T59" s="263">
        <f>+Pobl_adoptada!U59*$D59/1000</f>
        <v>34.403359999999999</v>
      </c>
      <c r="U59" s="263">
        <f>+Pobl_adoptada!V59*$D59/1000</f>
        <v>34.855980000000002</v>
      </c>
      <c r="V59" s="263">
        <f>+Pobl_adoptada!W59*$D59/1000</f>
        <v>35.308599999999998</v>
      </c>
      <c r="W59" s="263">
        <f>+Pobl_adoptada!X59*$D59/1000</f>
        <v>35.761220000000002</v>
      </c>
      <c r="X59" s="263">
        <f>+Pobl_adoptada!Y59*$D59/1000</f>
        <v>36.213840000000005</v>
      </c>
      <c r="Y59" s="263">
        <f>+Pobl_adoptada!Z59*$D59/1000</f>
        <v>36.666460000000001</v>
      </c>
      <c r="Z59" s="263">
        <f>+Pobl_adoptada!AA59*$D59/1000</f>
        <v>37.119080000000004</v>
      </c>
    </row>
    <row r="60" spans="1:29" ht="24.95" customHeight="1">
      <c r="A60" s="351" t="str">
        <f>+Pobl_adoptada!A60</f>
        <v>Daireaux</v>
      </c>
      <c r="B60" s="70">
        <f>+Pobl_adoptada!B60</f>
        <v>56</v>
      </c>
      <c r="C60" s="353" t="str">
        <f>+Pobl_adoptada!C60</f>
        <v>Daireaux</v>
      </c>
      <c r="D60" s="261">
        <f>IF(E60&lt;=15000,DATOS!B$3,IF(E60&lt;=50000,DATOS!B$4,IF(E60&lt;=300000,DATOS!B$5,IF(E60&lt;=500000,DATOS!B$6,DATOS!B$7))))</f>
        <v>0.92</v>
      </c>
      <c r="E60" s="262">
        <f>+Pobl_adoptada!F60</f>
        <v>13531</v>
      </c>
      <c r="F60" s="263">
        <f>+Pobl_adoptada!G60*$D60/1000</f>
        <v>12.558920000000001</v>
      </c>
      <c r="G60" s="263">
        <f>+Pobl_adoptada!H60*$D60/1000</f>
        <v>12.89104</v>
      </c>
      <c r="H60" s="263">
        <f>+Pobl_adoptada!I60*$D60/1000</f>
        <v>13.002360000000001</v>
      </c>
      <c r="I60" s="263">
        <f>+Pobl_adoptada!J60*$D60/1000</f>
        <v>13.11276</v>
      </c>
      <c r="J60" s="263">
        <f>+Pobl_adoptada!K60*$D60/1000</f>
        <v>13.224080000000001</v>
      </c>
      <c r="K60" s="263">
        <f>+Pobl_adoptada!L60*$D60/1000</f>
        <v>13.334480000000001</v>
      </c>
      <c r="L60" s="263">
        <f>+Pobl_adoptada!M60*$D60/1000</f>
        <v>13.445800000000002</v>
      </c>
      <c r="M60" s="263">
        <f>+Pobl_adoptada!N60*$D60/1000</f>
        <v>13.5562</v>
      </c>
      <c r="N60" s="263">
        <f>+Pobl_adoptada!O60*$D60/1000</f>
        <v>13.66752</v>
      </c>
      <c r="O60" s="263">
        <f>+Pobl_adoptada!P60*$D60/1000</f>
        <v>13.77792</v>
      </c>
      <c r="P60" s="263">
        <f>+Pobl_adoptada!Q60*$D60/1000</f>
        <v>13.88832</v>
      </c>
      <c r="Q60" s="263">
        <f>+Pobl_adoptada!R60*$D60/1000</f>
        <v>13.999640000000001</v>
      </c>
      <c r="R60" s="263">
        <f>+Pobl_adoptada!S60*$D60/1000</f>
        <v>14.110040000000001</v>
      </c>
      <c r="S60" s="263">
        <f>+Pobl_adoptada!T60*$D60/1000</f>
        <v>14.221360000000001</v>
      </c>
      <c r="T60" s="263">
        <f>+Pobl_adoptada!U60*$D60/1000</f>
        <v>14.331760000000001</v>
      </c>
      <c r="U60" s="263">
        <f>+Pobl_adoptada!V60*$D60/1000</f>
        <v>14.44308</v>
      </c>
      <c r="V60" s="263">
        <f>+Pobl_adoptada!W60*$D60/1000</f>
        <v>14.553480000000002</v>
      </c>
      <c r="W60" s="263">
        <f>+Pobl_adoptada!X60*$D60/1000</f>
        <v>14.663880000000001</v>
      </c>
      <c r="X60" s="263">
        <f>+Pobl_adoptada!Y60*$D60/1000</f>
        <v>14.7752</v>
      </c>
      <c r="Y60" s="263">
        <f>+Pobl_adoptada!Z60*$D60/1000</f>
        <v>14.8856</v>
      </c>
      <c r="Z60" s="263">
        <f>+Pobl_adoptada!AA60*$D60/1000</f>
        <v>14.996919999999999</v>
      </c>
      <c r="AA60" s="270">
        <f>AVERAGE(F60:Z60)</f>
        <v>13.878112380952384</v>
      </c>
      <c r="AB60" s="270">
        <f>Resumen_Generación!G60</f>
        <v>4.2884976599999991</v>
      </c>
      <c r="AC60" s="270">
        <f>AA60-AB60</f>
        <v>9.589614720952385</v>
      </c>
    </row>
    <row r="61" spans="1:29" ht="24.95" hidden="1" customHeight="1">
      <c r="A61" s="351" t="str">
        <f>+Pobl_adoptada!A61</f>
        <v>Dolores</v>
      </c>
      <c r="B61" s="70">
        <f>+Pobl_adoptada!B61</f>
        <v>57</v>
      </c>
      <c r="C61" s="353" t="str">
        <f>+Pobl_adoptada!C61</f>
        <v>Dolores</v>
      </c>
      <c r="D61" s="261">
        <f>IF(E61&lt;=15000,DATOS!B$3,IF(E61&lt;=50000,DATOS!B$4,IF(E61&lt;=300000,DATOS!B$5,IF(E61&lt;=500000,DATOS!B$6,DATOS!B$7))))</f>
        <v>1.06</v>
      </c>
      <c r="E61" s="262">
        <f>+Pobl_adoptada!F61</f>
        <v>29898</v>
      </c>
      <c r="F61" s="263">
        <f>+Pobl_adoptada!G61*$D61/1000</f>
        <v>32.147680000000001</v>
      </c>
      <c r="G61" s="263">
        <f>+Pobl_adoptada!H61*$D61/1000</f>
        <v>33.51614</v>
      </c>
      <c r="H61" s="263">
        <f>+Pobl_adoptada!I61*$D61/1000</f>
        <v>33.971940000000004</v>
      </c>
      <c r="I61" s="263">
        <f>+Pobl_adoptada!J61*$D61/1000</f>
        <v>34.427740000000007</v>
      </c>
      <c r="J61" s="263">
        <f>+Pobl_adoptada!K61*$D61/1000</f>
        <v>34.884599999999999</v>
      </c>
      <c r="K61" s="263">
        <f>+Pobl_adoptada!L61*$D61/1000</f>
        <v>35.340400000000002</v>
      </c>
      <c r="L61" s="263">
        <f>+Pobl_adoptada!M61*$D61/1000</f>
        <v>35.918099999999995</v>
      </c>
      <c r="M61" s="263">
        <f>+Pobl_adoptada!N61*$D61/1000</f>
        <v>36.496859999999998</v>
      </c>
      <c r="N61" s="263">
        <f>+Pobl_adoptada!O61*$D61/1000</f>
        <v>37.074560000000005</v>
      </c>
      <c r="O61" s="263">
        <f>+Pobl_adoptada!P61*$D61/1000</f>
        <v>37.653320000000001</v>
      </c>
      <c r="P61" s="263">
        <f>+Pobl_adoptada!Q61*$D61/1000</f>
        <v>38.231020000000001</v>
      </c>
      <c r="Q61" s="263">
        <f>+Pobl_adoptada!R61*$D61/1000</f>
        <v>38.809779999999996</v>
      </c>
      <c r="R61" s="263">
        <f>+Pobl_adoptada!S61*$D61/1000</f>
        <v>39.387480000000004</v>
      </c>
      <c r="S61" s="263">
        <f>+Pobl_adoptada!T61*$D61/1000</f>
        <v>39.965180000000004</v>
      </c>
      <c r="T61" s="263">
        <f>+Pobl_adoptada!U61*$D61/1000</f>
        <v>40.543939999999999</v>
      </c>
      <c r="U61" s="263">
        <f>+Pobl_adoptada!V61*$D61/1000</f>
        <v>41.121639999999999</v>
      </c>
      <c r="V61" s="263">
        <f>+Pobl_adoptada!W61*$D61/1000</f>
        <v>41.700400000000002</v>
      </c>
      <c r="W61" s="263">
        <f>+Pobl_adoptada!X61*$D61/1000</f>
        <v>42.278100000000002</v>
      </c>
      <c r="X61" s="263">
        <f>+Pobl_adoptada!Y61*$D61/1000</f>
        <v>42.856859999999998</v>
      </c>
      <c r="Y61" s="263">
        <f>+Pobl_adoptada!Z61*$D61/1000</f>
        <v>43.434560000000005</v>
      </c>
      <c r="Z61" s="263">
        <f>+Pobl_adoptada!AA61*$D61/1000</f>
        <v>44.01332</v>
      </c>
    </row>
    <row r="62" spans="1:29" ht="24.95" hidden="1" customHeight="1">
      <c r="A62" s="351" t="str">
        <f>+Pobl_adoptada!A62</f>
        <v>Ensenada</v>
      </c>
      <c r="B62" s="70">
        <f>+Pobl_adoptada!B62</f>
        <v>58</v>
      </c>
      <c r="C62" s="353" t="str">
        <f>+Pobl_adoptada!C62</f>
        <v>Ensenada</v>
      </c>
      <c r="D62" s="261">
        <f>IF(E62&lt;=15000,DATOS!B$3,IF(E62&lt;=50000,DATOS!B$4,IF(E62&lt;=300000,DATOS!B$5,IF(E62&lt;=500000,DATOS!B$6,DATOS!B$7))))</f>
        <v>1.02</v>
      </c>
      <c r="E62" s="262">
        <f>+Pobl_adoptada!F62</f>
        <v>62632</v>
      </c>
      <c r="F62" s="263">
        <f>+Pobl_adoptada!G62*$D62/1000</f>
        <v>64.439520000000002</v>
      </c>
      <c r="G62" s="263">
        <f>+Pobl_adoptada!H62*$D62/1000</f>
        <v>66.131699999999995</v>
      </c>
      <c r="H62" s="263">
        <f>+Pobl_adoptada!I62*$D62/1000</f>
        <v>66.705960000000005</v>
      </c>
      <c r="I62" s="263">
        <f>+Pobl_adoptada!J62*$D62/1000</f>
        <v>67.284300000000002</v>
      </c>
      <c r="J62" s="263">
        <f>+Pobl_adoptada!K62*$D62/1000</f>
        <v>67.868759999999995</v>
      </c>
      <c r="K62" s="263">
        <f>+Pobl_adoptada!L62*$D62/1000</f>
        <v>68.457300000000004</v>
      </c>
      <c r="L62" s="263">
        <f>+Pobl_adoptada!M62*$D62/1000</f>
        <v>69.050939999999997</v>
      </c>
      <c r="M62" s="263">
        <f>+Pobl_adoptada!N62*$D62/1000</f>
        <v>69.650700000000001</v>
      </c>
      <c r="N62" s="263">
        <f>+Pobl_adoptada!O62*$D62/1000</f>
        <v>70.255560000000003</v>
      </c>
      <c r="O62" s="263">
        <f>+Pobl_adoptada!P62*$D62/1000</f>
        <v>70.864500000000007</v>
      </c>
      <c r="P62" s="263">
        <f>+Pobl_adoptada!Q62*$D62/1000</f>
        <v>71.479559999999992</v>
      </c>
      <c r="Q62" s="263">
        <f>+Pobl_adoptada!R62*$D62/1000</f>
        <v>72.099720000000005</v>
      </c>
      <c r="R62" s="263">
        <f>+Pobl_adoptada!S62*$D62/1000</f>
        <v>72.725999999999999</v>
      </c>
      <c r="S62" s="263">
        <f>+Pobl_adoptada!T62*$D62/1000</f>
        <v>73.357380000000006</v>
      </c>
      <c r="T62" s="263">
        <f>+Pobl_adoptada!U62*$D62/1000</f>
        <v>73.993859999999998</v>
      </c>
      <c r="U62" s="263">
        <f>+Pobl_adoptada!V62*$D62/1000</f>
        <v>74.635440000000003</v>
      </c>
      <c r="V62" s="263">
        <f>+Pobl_adoptada!W62*$D62/1000</f>
        <v>75.283140000000003</v>
      </c>
      <c r="W62" s="263">
        <f>+Pobl_adoptada!X62*$D62/1000</f>
        <v>75.936960000000013</v>
      </c>
      <c r="X62" s="263">
        <f>+Pobl_adoptada!Y62*$D62/1000</f>
        <v>76.595880000000008</v>
      </c>
      <c r="Y62" s="263">
        <f>+Pobl_adoptada!Z62*$D62/1000</f>
        <v>77.260919999999999</v>
      </c>
      <c r="Z62" s="263">
        <f>+Pobl_adoptada!AA62*$D62/1000</f>
        <v>77.931060000000002</v>
      </c>
    </row>
    <row r="63" spans="1:29" ht="24.95" hidden="1" customHeight="1">
      <c r="A63" s="351" t="str">
        <f>+Pobl_adoptada!A63</f>
        <v>Escobar</v>
      </c>
      <c r="B63" s="70">
        <f>+Pobl_adoptada!B63</f>
        <v>59</v>
      </c>
      <c r="C63" s="353" t="str">
        <f>+Pobl_adoptada!C63</f>
        <v>Escobar</v>
      </c>
      <c r="D63" s="261">
        <f>IF(E63&lt;=15000,DATOS!B$3,IF(E63&lt;=50000,DATOS!B$4,IF(E63&lt;=300000,DATOS!B$5,IF(E63&lt;=500000,DATOS!B$6,DATOS!B$7))))</f>
        <v>1.02</v>
      </c>
      <c r="E63" s="262">
        <f>+Pobl_adoptada!F63</f>
        <v>270687</v>
      </c>
      <c r="F63" s="263">
        <f>+Pobl_adoptada!G63*$D63/1000</f>
        <v>280.959</v>
      </c>
      <c r="G63" s="263">
        <f>+Pobl_adoptada!H63*$D63/1000</f>
        <v>295.53582</v>
      </c>
      <c r="H63" s="263">
        <f>+Pobl_adoptada!I63*$D63/1000</f>
        <v>300.39408000000003</v>
      </c>
      <c r="I63" s="263">
        <f>+Pobl_adoptada!J63*$D63/1000</f>
        <v>305.25335999999999</v>
      </c>
      <c r="J63" s="263">
        <f>+Pobl_adoptada!K63*$D63/1000</f>
        <v>310.11162000000002</v>
      </c>
      <c r="K63" s="263">
        <f>+Pobl_adoptada!L63*$D63/1000</f>
        <v>314.97090000000003</v>
      </c>
      <c r="L63" s="263">
        <f>+Pobl_adoptada!M63*$D63/1000</f>
        <v>319.82916000000006</v>
      </c>
      <c r="M63" s="263">
        <f>+Pobl_adoptada!N63*$D63/1000</f>
        <v>324.68844000000001</v>
      </c>
      <c r="N63" s="263">
        <f>+Pobl_adoptada!O63*$D63/1000</f>
        <v>329.54669999999999</v>
      </c>
      <c r="O63" s="263">
        <f>+Pobl_adoptada!P63*$D63/1000</f>
        <v>334.40598</v>
      </c>
      <c r="P63" s="263">
        <f>+Pobl_adoptada!Q63*$D63/1000</f>
        <v>339.26423999999997</v>
      </c>
      <c r="Q63" s="263">
        <f>+Pobl_adoptada!R63*$D63/1000</f>
        <v>344.12352000000004</v>
      </c>
      <c r="R63" s="263">
        <f>+Pobl_adoptada!S63*$D63/1000</f>
        <v>348.9828</v>
      </c>
      <c r="S63" s="263">
        <f>+Pobl_adoptada!T63*$D63/1000</f>
        <v>353.84105999999997</v>
      </c>
      <c r="T63" s="263">
        <f>+Pobl_adoptada!U63*$D63/1000</f>
        <v>358.70034000000004</v>
      </c>
      <c r="U63" s="263">
        <f>+Pobl_adoptada!V63*$D63/1000</f>
        <v>363.55860000000001</v>
      </c>
      <c r="V63" s="263">
        <f>+Pobl_adoptada!W63*$D63/1000</f>
        <v>368.41788000000003</v>
      </c>
      <c r="W63" s="263">
        <f>+Pobl_adoptada!X63*$D63/1000</f>
        <v>373.27614</v>
      </c>
      <c r="X63" s="263">
        <f>+Pobl_adoptada!Y63*$D63/1000</f>
        <v>378.13542000000001</v>
      </c>
      <c r="Y63" s="263">
        <f>+Pobl_adoptada!Z63*$D63/1000</f>
        <v>382.99367999999998</v>
      </c>
      <c r="Z63" s="263">
        <f>+Pobl_adoptada!AA63*$D63/1000</f>
        <v>387.85296</v>
      </c>
    </row>
    <row r="64" spans="1:29" ht="24.95" hidden="1" customHeight="1">
      <c r="A64" s="351" t="str">
        <f>+Pobl_adoptada!A64</f>
        <v>Exaltación de la Cruz</v>
      </c>
      <c r="B64" s="70">
        <f>+Pobl_adoptada!B64</f>
        <v>60</v>
      </c>
      <c r="C64" s="353" t="str">
        <f>+Pobl_adoptada!C64</f>
        <v>Capilla del Señor</v>
      </c>
      <c r="D64" s="261">
        <f>IF(E64&lt;=15000,DATOS!B$3,IF(E64&lt;=50000,DATOS!B$4,IF(E64&lt;=300000,DATOS!B$5,IF(E64&lt;=500000,DATOS!B$6,DATOS!B$7))))</f>
        <v>0.92</v>
      </c>
      <c r="E64" s="262">
        <f>+Pobl_adoptada!F64</f>
        <v>11919</v>
      </c>
      <c r="F64" s="263">
        <f>+Pobl_adoptada!G64*$D64/1000</f>
        <v>11.192720000000001</v>
      </c>
      <c r="G64" s="263">
        <f>+Pobl_adoptada!H64*$D64/1000</f>
        <v>11.897440000000001</v>
      </c>
      <c r="H64" s="263">
        <f>+Pobl_adoptada!I64*$D64/1000</f>
        <v>12.140319999999999</v>
      </c>
      <c r="I64" s="263">
        <f>+Pobl_adoptada!J64*$D64/1000</f>
        <v>12.386880000000001</v>
      </c>
      <c r="J64" s="263">
        <f>+Pobl_adoptada!K64*$D64/1000</f>
        <v>12.63804</v>
      </c>
      <c r="K64" s="263">
        <f>+Pobl_adoptada!L64*$D64/1000</f>
        <v>12.891960000000001</v>
      </c>
      <c r="L64" s="263">
        <f>+Pobl_adoptada!M64*$D64/1000</f>
        <v>13.151400000000001</v>
      </c>
      <c r="M64" s="263">
        <f>+Pobl_adoptada!N64*$D64/1000</f>
        <v>13.41452</v>
      </c>
      <c r="N64" s="263">
        <f>+Pobl_adoptada!O64*$D64/1000</f>
        <v>13.68224</v>
      </c>
      <c r="O64" s="263">
        <f>+Pobl_adoptada!P64*$D64/1000</f>
        <v>13.953640000000002</v>
      </c>
      <c r="P64" s="263">
        <f>+Pobl_adoptada!Q64*$D64/1000</f>
        <v>14.229640000000002</v>
      </c>
      <c r="Q64" s="263">
        <f>+Pobl_adoptada!R64*$D64/1000</f>
        <v>14.51024</v>
      </c>
      <c r="R64" s="263">
        <f>+Pobl_adoptada!S64*$D64/1000</f>
        <v>14.795440000000001</v>
      </c>
      <c r="S64" s="263">
        <f>+Pobl_adoptada!T64*$D64/1000</f>
        <v>15.08616</v>
      </c>
      <c r="T64" s="263">
        <f>+Pobl_adoptada!U64*$D64/1000</f>
        <v>15.380560000000001</v>
      </c>
      <c r="U64" s="263">
        <f>+Pobl_adoptada!V64*$D64/1000</f>
        <v>15.679560000000002</v>
      </c>
      <c r="V64" s="263">
        <f>+Pobl_adoptada!W64*$D64/1000</f>
        <v>15.984080000000001</v>
      </c>
      <c r="W64" s="263">
        <f>+Pobl_adoptada!X64*$D64/1000</f>
        <v>16.293200000000002</v>
      </c>
      <c r="X64" s="263">
        <f>+Pobl_adoptada!Y64*$D64/1000</f>
        <v>16.607839999999999</v>
      </c>
      <c r="Y64" s="263">
        <f>+Pobl_adoptada!Z64*$D64/1000</f>
        <v>16.92708</v>
      </c>
      <c r="Z64" s="263">
        <f>+Pobl_adoptada!AA64*$D64/1000</f>
        <v>17.251840000000001</v>
      </c>
    </row>
    <row r="65" spans="1:26" ht="24.95" hidden="1" customHeight="1">
      <c r="A65" s="351" t="str">
        <f>+Pobl_adoptada!A65</f>
        <v>Florentino Ameghino</v>
      </c>
      <c r="B65" s="70">
        <f>+Pobl_adoptada!B65</f>
        <v>61</v>
      </c>
      <c r="C65" s="353" t="str">
        <f>+Pobl_adoptada!C65</f>
        <v>Florentino Ameghino</v>
      </c>
      <c r="D65" s="261">
        <f>IF(E65&lt;=15000,DATOS!B$3,IF(E65&lt;=50000,DATOS!B$4,IF(E65&lt;=300000,DATOS!B$5,IF(E65&lt;=500000,DATOS!B$6,DATOS!B$7))))</f>
        <v>0.92</v>
      </c>
      <c r="E65" s="262">
        <f>+Pobl_adoptada!F65</f>
        <v>8488</v>
      </c>
      <c r="F65" s="263">
        <f>+Pobl_adoptada!G65*$D65/1000</f>
        <v>7.9074000000000009</v>
      </c>
      <c r="G65" s="263">
        <f>+Pobl_adoptada!H65*$D65/1000</f>
        <v>8.2018000000000004</v>
      </c>
      <c r="H65" s="263">
        <f>+Pobl_adoptada!I65*$D65/1000</f>
        <v>8.2993199999999998</v>
      </c>
      <c r="I65" s="263">
        <f>+Pobl_adoptada!J65*$D65/1000</f>
        <v>8.3977599999999999</v>
      </c>
      <c r="J65" s="263">
        <f>+Pobl_adoptada!K65*$D65/1000</f>
        <v>8.4962</v>
      </c>
      <c r="K65" s="263">
        <f>+Pobl_adoptada!L65*$D65/1000</f>
        <v>8.5937200000000011</v>
      </c>
      <c r="L65" s="263">
        <f>+Pobl_adoptada!M65*$D65/1000</f>
        <v>8.6921599999999994</v>
      </c>
      <c r="M65" s="263">
        <f>+Pobl_adoptada!N65*$D65/1000</f>
        <v>8.7905999999999995</v>
      </c>
      <c r="N65" s="263">
        <f>+Pobl_adoptada!O65*$D65/1000</f>
        <v>8.8881200000000007</v>
      </c>
      <c r="O65" s="263">
        <f>+Pobl_adoptada!P65*$D65/1000</f>
        <v>8.986559999999999</v>
      </c>
      <c r="P65" s="263">
        <f>+Pobl_adoptada!Q65*$D65/1000</f>
        <v>9.0850000000000009</v>
      </c>
      <c r="Q65" s="263">
        <f>+Pobl_adoptada!R65*$D65/1000</f>
        <v>9.1825200000000002</v>
      </c>
      <c r="R65" s="263">
        <f>+Pobl_adoptada!S65*$D65/1000</f>
        <v>9.2809600000000003</v>
      </c>
      <c r="S65" s="263">
        <f>+Pobl_adoptada!T65*$D65/1000</f>
        <v>9.3794000000000004</v>
      </c>
      <c r="T65" s="263">
        <f>+Pobl_adoptada!U65*$D65/1000</f>
        <v>9.4769199999999998</v>
      </c>
      <c r="U65" s="263">
        <f>+Pobl_adoptada!V65*$D65/1000</f>
        <v>9.5753599999999999</v>
      </c>
      <c r="V65" s="263">
        <f>+Pobl_adoptada!W65*$D65/1000</f>
        <v>9.6738000000000017</v>
      </c>
      <c r="W65" s="263">
        <f>+Pobl_adoptada!X65*$D65/1000</f>
        <v>9.7713199999999993</v>
      </c>
      <c r="X65" s="263">
        <f>+Pobl_adoptada!Y65*$D65/1000</f>
        <v>9.8697599999999994</v>
      </c>
      <c r="Y65" s="263">
        <f>+Pobl_adoptada!Z65*$D65/1000</f>
        <v>9.9672800000000006</v>
      </c>
      <c r="Z65" s="263">
        <f>+Pobl_adoptada!AA65*$D65/1000</f>
        <v>10.065720000000001</v>
      </c>
    </row>
    <row r="66" spans="1:26" ht="24.95" hidden="1" customHeight="1">
      <c r="A66" s="351" t="str">
        <f>+Pobl_adoptada!A66</f>
        <v>General Alvarado</v>
      </c>
      <c r="B66" s="70">
        <f>+Pobl_adoptada!B66</f>
        <v>62</v>
      </c>
      <c r="C66" s="353" t="str">
        <f>+Pobl_adoptada!C66</f>
        <v>Miramar</v>
      </c>
      <c r="D66" s="261">
        <f>IF(E66&lt;=15000,DATOS!B$3,IF(E66&lt;=50000,DATOS!B$4,IF(E66&lt;=300000,DATOS!B$5,IF(E66&lt;=500000,DATOS!B$6,DATOS!B$7))))</f>
        <v>1.06</v>
      </c>
      <c r="E66" s="262">
        <f>+Pobl_adoptada!F66</f>
        <v>48797</v>
      </c>
      <c r="F66" s="263">
        <f>+Pobl_adoptada!G66*$D66/1000</f>
        <v>52.480600000000003</v>
      </c>
      <c r="G66" s="263">
        <f>+Pobl_adoptada!H66*$D66/1000</f>
        <v>54.745820000000002</v>
      </c>
      <c r="H66" s="263">
        <f>+Pobl_adoptada!I66*$D66/1000</f>
        <v>55.500540000000001</v>
      </c>
      <c r="I66" s="263">
        <f>+Pobl_adoptada!J66*$D66/1000</f>
        <v>56.257380000000005</v>
      </c>
      <c r="J66" s="263">
        <f>+Pobl_adoptada!K66*$D66/1000</f>
        <v>57.012100000000004</v>
      </c>
      <c r="K66" s="263">
        <f>+Pobl_adoptada!L66*$D66/1000</f>
        <v>57.766820000000003</v>
      </c>
      <c r="L66" s="263">
        <f>+Pobl_adoptada!M66*$D66/1000</f>
        <v>58.522600000000004</v>
      </c>
      <c r="M66" s="263">
        <f>+Pobl_adoptada!N66*$D66/1000</f>
        <v>59.277320000000003</v>
      </c>
      <c r="N66" s="263">
        <f>+Pobl_adoptada!O66*$D66/1000</f>
        <v>60.033100000000005</v>
      </c>
      <c r="O66" s="263">
        <f>+Pobl_adoptada!P66*$D66/1000</f>
        <v>60.788880000000006</v>
      </c>
      <c r="P66" s="263">
        <f>+Pobl_adoptada!Q66*$D66/1000</f>
        <v>61.543600000000005</v>
      </c>
      <c r="Q66" s="263">
        <f>+Pobl_adoptada!R66*$D66/1000</f>
        <v>62.298319999999997</v>
      </c>
      <c r="R66" s="263">
        <f>+Pobl_adoptada!S66*$D66/1000</f>
        <v>63.054100000000005</v>
      </c>
      <c r="S66" s="263">
        <f>+Pobl_adoptada!T66*$D66/1000</f>
        <v>63.808819999999997</v>
      </c>
      <c r="T66" s="263">
        <f>+Pobl_adoptada!U66*$D66/1000</f>
        <v>64.564600000000013</v>
      </c>
      <c r="U66" s="263">
        <f>+Pobl_adoptada!V66*$D66/1000</f>
        <v>65.32038</v>
      </c>
      <c r="V66" s="263">
        <f>+Pobl_adoptada!W66*$D66/1000</f>
        <v>66.075100000000006</v>
      </c>
      <c r="W66" s="263">
        <f>+Pobl_adoptada!X66*$D66/1000</f>
        <v>66.829820000000012</v>
      </c>
      <c r="X66" s="263">
        <f>+Pobl_adoptada!Y66*$D66/1000</f>
        <v>67.585599999999999</v>
      </c>
      <c r="Y66" s="263">
        <f>+Pobl_adoptada!Z66*$D66/1000</f>
        <v>68.341380000000001</v>
      </c>
      <c r="Z66" s="263">
        <f>+Pobl_adoptada!AA66*$D66/1000</f>
        <v>69.096100000000007</v>
      </c>
    </row>
    <row r="67" spans="1:26" ht="24.95" hidden="1" customHeight="1">
      <c r="A67" s="351" t="str">
        <f>+Pobl_adoptada!A67</f>
        <v>General Alvear</v>
      </c>
      <c r="B67" s="70">
        <f>+Pobl_adoptada!B67</f>
        <v>63</v>
      </c>
      <c r="C67" s="353" t="str">
        <f>+Pobl_adoptada!C67</f>
        <v>General Alvear</v>
      </c>
      <c r="D67" s="261">
        <f>IF(E67&lt;=15000,DATOS!B$3,IF(E67&lt;=50000,DATOS!B$4,IF(E67&lt;=300000,DATOS!B$5,IF(E67&lt;=500000,DATOS!B$6,DATOS!B$7))))</f>
        <v>0.92</v>
      </c>
      <c r="E67" s="262">
        <f>+Pobl_adoptada!F67</f>
        <v>10175</v>
      </c>
      <c r="F67" s="263">
        <f>+Pobl_adoptada!G67*$D67/1000</f>
        <v>9.389520000000001</v>
      </c>
      <c r="G67" s="263">
        <f>+Pobl_adoptada!H67*$D67/1000</f>
        <v>9.4750800000000002</v>
      </c>
      <c r="H67" s="263">
        <f>+Pobl_adoptada!I67*$D67/1000</f>
        <v>9.5045200000000012</v>
      </c>
      <c r="I67" s="263">
        <f>+Pobl_adoptada!J67*$D67/1000</f>
        <v>9.5330400000000015</v>
      </c>
      <c r="J67" s="263">
        <f>+Pobl_adoptada!K67*$D67/1000</f>
        <v>9.562479999999999</v>
      </c>
      <c r="K67" s="263">
        <f>+Pobl_adoptada!L67*$D67/1000</f>
        <v>9.5909999999999993</v>
      </c>
      <c r="L67" s="263">
        <f>+Pobl_adoptada!M67*$D67/1000</f>
        <v>9.6204400000000003</v>
      </c>
      <c r="M67" s="263">
        <f>+Pobl_adoptada!N67*$D67/1000</f>
        <v>9.6489600000000006</v>
      </c>
      <c r="N67" s="263">
        <f>+Pobl_adoptada!O67*$D67/1000</f>
        <v>9.6783999999999999</v>
      </c>
      <c r="O67" s="263">
        <f>+Pobl_adoptada!P67*$D67/1000</f>
        <v>9.7078400000000009</v>
      </c>
      <c r="P67" s="263">
        <f>+Pobl_adoptada!Q67*$D67/1000</f>
        <v>9.7372800000000002</v>
      </c>
      <c r="Q67" s="263">
        <f>+Pobl_adoptada!R67*$D67/1000</f>
        <v>9.7667200000000012</v>
      </c>
      <c r="R67" s="263">
        <f>+Pobl_adoptada!S67*$D67/1000</f>
        <v>9.7970799999999993</v>
      </c>
      <c r="S67" s="263">
        <f>+Pobl_adoptada!T67*$D67/1000</f>
        <v>9.8265200000000004</v>
      </c>
      <c r="T67" s="263">
        <f>+Pobl_adoptada!U67*$D67/1000</f>
        <v>9.8559600000000014</v>
      </c>
      <c r="U67" s="263">
        <f>+Pobl_adoptada!V67*$D67/1000</f>
        <v>9.8863199999999996</v>
      </c>
      <c r="V67" s="263">
        <f>+Pobl_adoptada!W67*$D67/1000</f>
        <v>9.9157600000000006</v>
      </c>
      <c r="W67" s="263">
        <f>+Pobl_adoptada!X67*$D67/1000</f>
        <v>9.9461200000000005</v>
      </c>
      <c r="X67" s="263">
        <f>+Pobl_adoptada!Y67*$D67/1000</f>
        <v>9.9764799999999987</v>
      </c>
      <c r="Y67" s="263">
        <f>+Pobl_adoptada!Z67*$D67/1000</f>
        <v>10.00684</v>
      </c>
      <c r="Z67" s="263">
        <f>+Pobl_adoptada!AA67*$D67/1000</f>
        <v>10.0372</v>
      </c>
    </row>
    <row r="68" spans="1:26" ht="24.95" hidden="1" customHeight="1">
      <c r="A68" s="351" t="str">
        <f>+Pobl_adoptada!A68</f>
        <v>General Arenales</v>
      </c>
      <c r="B68" s="70">
        <f>+Pobl_adoptada!B68</f>
        <v>64</v>
      </c>
      <c r="C68" s="353" t="str">
        <f>+Pobl_adoptada!C68</f>
        <v>General Arenales</v>
      </c>
      <c r="D68" s="261">
        <f>IF(E68&lt;=15000,DATOS!B$3,IF(E68&lt;=50000,DATOS!B$4,IF(E68&lt;=300000,DATOS!B$5,IF(E68&lt;=500000,DATOS!B$6,DATOS!B$7))))</f>
        <v>0.92</v>
      </c>
      <c r="E68" s="262">
        <f>+Pobl_adoptada!F68</f>
        <v>4823</v>
      </c>
      <c r="F68" s="263">
        <f>+Pobl_adoptada!G68*$D68/1000</f>
        <v>4.4748799999999997</v>
      </c>
      <c r="G68" s="263">
        <f>+Pobl_adoptada!H68*$D68/1000</f>
        <v>4.5889600000000002</v>
      </c>
      <c r="H68" s="263">
        <f>+Pobl_adoptada!I68*$D68/1000</f>
        <v>4.6266800000000003</v>
      </c>
      <c r="I68" s="263">
        <f>+Pobl_adoptada!J68*$D68/1000</f>
        <v>4.6644000000000005</v>
      </c>
      <c r="J68" s="263">
        <f>+Pobl_adoptada!K68*$D68/1000</f>
        <v>4.7030399999999997</v>
      </c>
      <c r="K68" s="263">
        <f>+Pobl_adoptada!L68*$D68/1000</f>
        <v>4.7407599999999999</v>
      </c>
      <c r="L68" s="263">
        <f>+Pobl_adoptada!M68*$D68/1000</f>
        <v>4.7784800000000001</v>
      </c>
      <c r="M68" s="263">
        <f>+Pobl_adoptada!N68*$D68/1000</f>
        <v>4.8162000000000003</v>
      </c>
      <c r="N68" s="263">
        <f>+Pobl_adoptada!O68*$D68/1000</f>
        <v>4.8539200000000005</v>
      </c>
      <c r="O68" s="263">
        <f>+Pobl_adoptada!P68*$D68/1000</f>
        <v>4.8925600000000005</v>
      </c>
      <c r="P68" s="263">
        <f>+Pobl_adoptada!Q68*$D68/1000</f>
        <v>4.9302800000000007</v>
      </c>
      <c r="Q68" s="263">
        <f>+Pobl_adoptada!R68*$D68/1000</f>
        <v>4.968</v>
      </c>
      <c r="R68" s="263">
        <f>+Pobl_adoptada!S68*$D68/1000</f>
        <v>5.0057200000000002</v>
      </c>
      <c r="S68" s="263">
        <f>+Pobl_adoptada!T68*$D68/1000</f>
        <v>5.0434400000000004</v>
      </c>
      <c r="T68" s="263">
        <f>+Pobl_adoptada!U68*$D68/1000</f>
        <v>5.0820799999999995</v>
      </c>
      <c r="U68" s="263">
        <f>+Pobl_adoptada!V68*$D68/1000</f>
        <v>5.1198000000000006</v>
      </c>
      <c r="V68" s="263">
        <f>+Pobl_adoptada!W68*$D68/1000</f>
        <v>5.1575200000000008</v>
      </c>
      <c r="W68" s="263">
        <f>+Pobl_adoptada!X68*$D68/1000</f>
        <v>5.1952400000000001</v>
      </c>
      <c r="X68" s="263">
        <f>+Pobl_adoptada!Y68*$D68/1000</f>
        <v>5.2329600000000003</v>
      </c>
      <c r="Y68" s="263">
        <f>+Pobl_adoptada!Z68*$D68/1000</f>
        <v>5.2716000000000003</v>
      </c>
      <c r="Z68" s="263">
        <f>+Pobl_adoptada!AA68*$D68/1000</f>
        <v>5.3093200000000005</v>
      </c>
    </row>
    <row r="69" spans="1:26" ht="24.95" hidden="1" customHeight="1">
      <c r="A69" s="351" t="str">
        <f>+Pobl_adoptada!A69</f>
        <v>General Belgrano</v>
      </c>
      <c r="B69" s="70">
        <f>+Pobl_adoptada!B69</f>
        <v>65</v>
      </c>
      <c r="C69" s="353" t="str">
        <f>+Pobl_adoptada!C69</f>
        <v>General Belgrano</v>
      </c>
      <c r="D69" s="261">
        <f>IF(E69&lt;=15000,DATOS!B$3,IF(E69&lt;=50000,DATOS!B$4,IF(E69&lt;=300000,DATOS!B$5,IF(E69&lt;=500000,DATOS!B$6,DATOS!B$7))))</f>
        <v>1.06</v>
      </c>
      <c r="E69" s="262">
        <f>+Pobl_adoptada!F69</f>
        <v>18310</v>
      </c>
      <c r="F69" s="263">
        <f>+Pobl_adoptada!G69*$D69/1000</f>
        <v>19.691620000000004</v>
      </c>
      <c r="G69" s="263">
        <f>+Pobl_adoptada!H69*$D69/1000</f>
        <v>20.564</v>
      </c>
      <c r="H69" s="263">
        <f>+Pobl_adoptada!I69*$D69/1000</f>
        <v>20.862920000000003</v>
      </c>
      <c r="I69" s="263">
        <f>+Pobl_adoptada!J69*$D69/1000</f>
        <v>21.16714</v>
      </c>
      <c r="J69" s="263">
        <f>+Pobl_adoptada!K69*$D69/1000</f>
        <v>21.475600000000004</v>
      </c>
      <c r="K69" s="263">
        <f>+Pobl_adoptada!L69*$D69/1000</f>
        <v>21.788300000000003</v>
      </c>
      <c r="L69" s="263">
        <f>+Pobl_adoptada!M69*$D69/1000</f>
        <v>22.105240000000002</v>
      </c>
      <c r="M69" s="263">
        <f>+Pobl_adoptada!N69*$D69/1000</f>
        <v>22.427479999999999</v>
      </c>
      <c r="N69" s="263">
        <f>+Pobl_adoptada!O69*$D69/1000</f>
        <v>22.753960000000003</v>
      </c>
      <c r="O69" s="263">
        <f>+Pobl_adoptada!P69*$D69/1000</f>
        <v>23.084679999999999</v>
      </c>
      <c r="P69" s="263">
        <f>+Pobl_adoptada!Q69*$D69/1000</f>
        <v>23.421760000000003</v>
      </c>
      <c r="Q69" s="263">
        <f>+Pobl_adoptada!R69*$D69/1000</f>
        <v>23.76202</v>
      </c>
      <c r="R69" s="263">
        <f>+Pobl_adoptada!S69*$D69/1000</f>
        <v>24.108640000000001</v>
      </c>
      <c r="S69" s="263">
        <f>+Pobl_adoptada!T69*$D69/1000</f>
        <v>24.459499999999998</v>
      </c>
      <c r="T69" s="263">
        <f>+Pobl_adoptada!U69*$D69/1000</f>
        <v>24.815660000000001</v>
      </c>
      <c r="U69" s="263">
        <f>+Pobl_adoptada!V69*$D69/1000</f>
        <v>25.177120000000002</v>
      </c>
      <c r="V69" s="263">
        <f>+Pobl_adoptada!W69*$D69/1000</f>
        <v>25.543880000000001</v>
      </c>
      <c r="W69" s="263">
        <f>+Pobl_adoptada!X69*$D69/1000</f>
        <v>25.91488</v>
      </c>
      <c r="X69" s="263">
        <f>+Pobl_adoptada!Y69*$D69/1000</f>
        <v>26.292240000000003</v>
      </c>
      <c r="Y69" s="263">
        <f>+Pobl_adoptada!Z69*$D69/1000</f>
        <v>26.675960000000003</v>
      </c>
      <c r="Z69" s="263">
        <f>+Pobl_adoptada!AA69*$D69/1000</f>
        <v>27.063920000000003</v>
      </c>
    </row>
    <row r="70" spans="1:26" ht="24.95" hidden="1" customHeight="1">
      <c r="A70" s="351" t="str">
        <f>+Pobl_adoptada!A70</f>
        <v>General Guido</v>
      </c>
      <c r="B70" s="70">
        <f>+Pobl_adoptada!B70</f>
        <v>66</v>
      </c>
      <c r="C70" s="353" t="str">
        <f>+Pobl_adoptada!C70</f>
        <v>General Guido</v>
      </c>
      <c r="D70" s="261">
        <f>IF(E70&lt;=15000,DATOS!B$3,IF(E70&lt;=50000,DATOS!B$4,IF(E70&lt;=300000,DATOS!B$5,IF(E70&lt;=500000,DATOS!B$6,DATOS!B$7))))</f>
        <v>0.92</v>
      </c>
      <c r="E70" s="262">
        <f>+Pobl_adoptada!F70</f>
        <v>1478</v>
      </c>
      <c r="F70" s="263">
        <f>+Pobl_adoptada!G70*$D70/1000</f>
        <v>1.3754000000000002</v>
      </c>
      <c r="G70" s="263">
        <f>+Pobl_adoptada!H70*$D70/1000</f>
        <v>1.4223200000000003</v>
      </c>
      <c r="H70" s="263">
        <f>+Pobl_adoptada!I70*$D70/1000</f>
        <v>1.4388800000000002</v>
      </c>
      <c r="I70" s="263">
        <f>+Pobl_adoptada!J70*$D70/1000</f>
        <v>1.45452</v>
      </c>
      <c r="J70" s="263">
        <f>+Pobl_adoptada!K70*$D70/1000</f>
        <v>1.4710800000000002</v>
      </c>
      <c r="K70" s="263">
        <f>+Pobl_adoptada!L70*$D70/1000</f>
        <v>1.4876400000000001</v>
      </c>
      <c r="L70" s="263">
        <f>+Pobl_adoptada!M70*$D70/1000</f>
        <v>1.50512</v>
      </c>
      <c r="M70" s="263">
        <f>+Pobl_adoptada!N70*$D70/1000</f>
        <v>1.5216800000000001</v>
      </c>
      <c r="N70" s="263">
        <f>+Pobl_adoptada!O70*$D70/1000</f>
        <v>1.5391600000000001</v>
      </c>
      <c r="O70" s="263">
        <f>+Pobl_adoptada!P70*$D70/1000</f>
        <v>1.55664</v>
      </c>
      <c r="P70" s="263">
        <f>+Pobl_adoptada!Q70*$D70/1000</f>
        <v>1.5741200000000002</v>
      </c>
      <c r="Q70" s="263">
        <f>+Pobl_adoptada!R70*$D70/1000</f>
        <v>1.5916000000000001</v>
      </c>
      <c r="R70" s="263">
        <f>+Pobl_adoptada!S70*$D70/1000</f>
        <v>1.61</v>
      </c>
      <c r="S70" s="263">
        <f>+Pobl_adoptada!T70*$D70/1000</f>
        <v>1.6284000000000001</v>
      </c>
      <c r="T70" s="263">
        <f>+Pobl_adoptada!U70*$D70/1000</f>
        <v>1.6468000000000003</v>
      </c>
      <c r="U70" s="263">
        <f>+Pobl_adoptada!V70*$D70/1000</f>
        <v>1.6652</v>
      </c>
      <c r="V70" s="263">
        <f>+Pobl_adoptada!W70*$D70/1000</f>
        <v>1.68452</v>
      </c>
      <c r="W70" s="263">
        <f>+Pobl_adoptada!X70*$D70/1000</f>
        <v>1.70292</v>
      </c>
      <c r="X70" s="263">
        <f>+Pobl_adoptada!Y70*$D70/1000</f>
        <v>1.72224</v>
      </c>
      <c r="Y70" s="263">
        <f>+Pobl_adoptada!Z70*$D70/1000</f>
        <v>1.74248</v>
      </c>
      <c r="Z70" s="263">
        <f>+Pobl_adoptada!AA70*$D70/1000</f>
        <v>1.7618000000000003</v>
      </c>
    </row>
    <row r="71" spans="1:26" ht="24.95" hidden="1" customHeight="1">
      <c r="A71" s="351" t="str">
        <f>+Pobl_adoptada!A71</f>
        <v>General Juan Madariaga</v>
      </c>
      <c r="B71" s="70">
        <f>+Pobl_adoptada!B71</f>
        <v>67</v>
      </c>
      <c r="C71" s="353" t="str">
        <f>+Pobl_adoptada!C71</f>
        <v>General Juan Madariaga</v>
      </c>
      <c r="D71" s="261">
        <f>IF(E71&lt;=15000,DATOS!B$3,IF(E71&lt;=50000,DATOS!B$4,IF(E71&lt;=300000,DATOS!B$5,IF(E71&lt;=500000,DATOS!B$6,DATOS!B$7))))</f>
        <v>1.06</v>
      </c>
      <c r="E71" s="262">
        <f>+Pobl_adoptada!F71</f>
        <v>21045</v>
      </c>
      <c r="F71" s="263">
        <f>+Pobl_adoptada!G71*$D71/1000</f>
        <v>22.597080000000002</v>
      </c>
      <c r="G71" s="263">
        <f>+Pobl_adoptada!H71*$D71/1000</f>
        <v>23.494900000000001</v>
      </c>
      <c r="H71" s="263">
        <f>+Pobl_adoptada!I71*$D71/1000</f>
        <v>23.803360000000001</v>
      </c>
      <c r="I71" s="263">
        <f>+Pobl_adoptada!J71*$D71/1000</f>
        <v>24.117120000000003</v>
      </c>
      <c r="J71" s="263">
        <f>+Pobl_adoptada!K71*$D71/1000</f>
        <v>24.43618</v>
      </c>
      <c r="K71" s="263">
        <f>+Pobl_adoptada!L71*$D71/1000</f>
        <v>24.760540000000002</v>
      </c>
      <c r="L71" s="263">
        <f>+Pobl_adoptada!M71*$D71/1000</f>
        <v>25.090199999999999</v>
      </c>
      <c r="M71" s="263">
        <f>+Pobl_adoptada!N71*$D71/1000</f>
        <v>25.425159999999998</v>
      </c>
      <c r="N71" s="263">
        <f>+Pobl_adoptada!O71*$D71/1000</f>
        <v>25.765420000000002</v>
      </c>
      <c r="O71" s="263">
        <f>+Pobl_adoptada!P71*$D71/1000</f>
        <v>26.11204</v>
      </c>
      <c r="P71" s="263">
        <f>+Pobl_adoptada!Q71*$D71/1000</f>
        <v>26.463960000000004</v>
      </c>
      <c r="Q71" s="263">
        <f>+Pobl_adoptada!R71*$D71/1000</f>
        <v>26.821180000000002</v>
      </c>
      <c r="R71" s="263">
        <f>+Pobl_adoptada!S71*$D71/1000</f>
        <v>27.183700000000002</v>
      </c>
      <c r="S71" s="263">
        <f>+Pobl_adoptada!T71*$D71/1000</f>
        <v>27.553640000000001</v>
      </c>
      <c r="T71" s="263">
        <f>+Pobl_adoptada!U71*$D71/1000</f>
        <v>27.928879999999999</v>
      </c>
      <c r="U71" s="263">
        <f>+Pobl_adoptada!V71*$D71/1000</f>
        <v>28.309420000000003</v>
      </c>
      <c r="V71" s="263">
        <f>+Pobl_adoptada!W71*$D71/1000</f>
        <v>28.697380000000003</v>
      </c>
      <c r="W71" s="263">
        <f>+Pobl_adoptada!X71*$D71/1000</f>
        <v>29.090640000000004</v>
      </c>
      <c r="X71" s="263">
        <f>+Pobl_adoptada!Y71*$D71/1000</f>
        <v>29.491319999999998</v>
      </c>
      <c r="Y71" s="263">
        <f>+Pobl_adoptada!Z71*$D71/1000</f>
        <v>29.89836</v>
      </c>
      <c r="Z71" s="263">
        <f>+Pobl_adoptada!AA71*$D71/1000</f>
        <v>30.311760000000003</v>
      </c>
    </row>
    <row r="72" spans="1:26" ht="24.95" hidden="1" customHeight="1">
      <c r="A72" s="351" t="str">
        <f>+Pobl_adoptada!A72</f>
        <v>General La Madrid</v>
      </c>
      <c r="B72" s="70">
        <f>+Pobl_adoptada!B72</f>
        <v>68</v>
      </c>
      <c r="C72" s="353" t="str">
        <f>+Pobl_adoptada!C72</f>
        <v>General La Madrid</v>
      </c>
      <c r="D72" s="261">
        <f>IF(E72&lt;=15000,DATOS!B$3,IF(E72&lt;=50000,DATOS!B$4,IF(E72&lt;=300000,DATOS!B$5,IF(E72&lt;=500000,DATOS!B$6,DATOS!B$7))))</f>
        <v>0.92</v>
      </c>
      <c r="E72" s="262">
        <f>+Pobl_adoptada!F72</f>
        <v>8869</v>
      </c>
      <c r="F72" s="263">
        <f>+Pobl_adoptada!G72*$D72/1000</f>
        <v>8.263440000000001</v>
      </c>
      <c r="G72" s="263">
        <f>+Pobl_adoptada!H72*$D72/1000</f>
        <v>8.5762400000000003</v>
      </c>
      <c r="H72" s="263">
        <f>+Pobl_adoptada!I72*$D72/1000</f>
        <v>8.680200000000001</v>
      </c>
      <c r="I72" s="263">
        <f>+Pobl_adoptada!J72*$D72/1000</f>
        <v>8.78416</v>
      </c>
      <c r="J72" s="263">
        <f>+Pobl_adoptada!K72*$D72/1000</f>
        <v>8.8881200000000007</v>
      </c>
      <c r="K72" s="263">
        <f>+Pobl_adoptada!L72*$D72/1000</f>
        <v>8.9920799999999996</v>
      </c>
      <c r="L72" s="263">
        <f>+Pobl_adoptada!M72*$D72/1000</f>
        <v>9.1300799999999995</v>
      </c>
      <c r="M72" s="263">
        <f>+Pobl_adoptada!N72*$D72/1000</f>
        <v>9.2690000000000001</v>
      </c>
      <c r="N72" s="263">
        <f>+Pobl_adoptada!O72*$D72/1000</f>
        <v>9.407</v>
      </c>
      <c r="O72" s="263">
        <f>+Pobl_adoptada!P72*$D72/1000</f>
        <v>9.5449999999999999</v>
      </c>
      <c r="P72" s="263">
        <f>+Pobl_adoptada!Q72*$D72/1000</f>
        <v>9.6839200000000005</v>
      </c>
      <c r="Q72" s="263">
        <f>+Pobl_adoptada!R72*$D72/1000</f>
        <v>9.8219200000000004</v>
      </c>
      <c r="R72" s="263">
        <f>+Pobl_adoptada!S72*$D72/1000</f>
        <v>9.9599200000000003</v>
      </c>
      <c r="S72" s="263">
        <f>+Pobl_adoptada!T72*$D72/1000</f>
        <v>10.09792</v>
      </c>
      <c r="T72" s="263">
        <f>+Pobl_adoptada!U72*$D72/1000</f>
        <v>10.236840000000001</v>
      </c>
      <c r="U72" s="263">
        <f>+Pobl_adoptada!V72*$D72/1000</f>
        <v>10.374840000000001</v>
      </c>
      <c r="V72" s="263">
        <f>+Pobl_adoptada!W72*$D72/1000</f>
        <v>10.512840000000001</v>
      </c>
      <c r="W72" s="263">
        <f>+Pobl_adoptada!X72*$D72/1000</f>
        <v>10.651759999999999</v>
      </c>
      <c r="X72" s="263">
        <f>+Pobl_adoptada!Y72*$D72/1000</f>
        <v>10.789759999999999</v>
      </c>
      <c r="Y72" s="263">
        <f>+Pobl_adoptada!Z72*$D72/1000</f>
        <v>10.927760000000001</v>
      </c>
      <c r="Z72" s="263">
        <f>+Pobl_adoptada!AA72*$D72/1000</f>
        <v>11.06668</v>
      </c>
    </row>
    <row r="73" spans="1:26" ht="24.95" hidden="1" customHeight="1">
      <c r="A73" s="351" t="str">
        <f>+Pobl_adoptada!A73</f>
        <v>General Las Heras</v>
      </c>
      <c r="B73" s="70">
        <f>+Pobl_adoptada!B73</f>
        <v>69</v>
      </c>
      <c r="C73" s="353" t="str">
        <f>+Pobl_adoptada!C73</f>
        <v>General Las Heras</v>
      </c>
      <c r="D73" s="261">
        <f>IF(E73&lt;=15000,DATOS!B$3,IF(E73&lt;=50000,DATOS!B$4,IF(E73&lt;=300000,DATOS!B$5,IF(E73&lt;=500000,DATOS!B$6,DATOS!B$7))))</f>
        <v>0.92</v>
      </c>
      <c r="E73" s="262">
        <f>+Pobl_adoptada!F73</f>
        <v>13577</v>
      </c>
      <c r="F73" s="263">
        <f>+Pobl_adoptada!G73*$D73/1000</f>
        <v>12.661040000000002</v>
      </c>
      <c r="G73" s="263">
        <f>+Pobl_adoptada!H73*$D73/1000</f>
        <v>13.171640000000002</v>
      </c>
      <c r="H73" s="263">
        <f>+Pobl_adoptada!I73*$D73/1000</f>
        <v>13.341839999999999</v>
      </c>
      <c r="I73" s="263">
        <f>+Pobl_adoptada!J73*$D73/1000</f>
        <v>13.512040000000001</v>
      </c>
      <c r="J73" s="263">
        <f>+Pobl_adoptada!K73*$D73/1000</f>
        <v>13.683159999999999</v>
      </c>
      <c r="K73" s="263">
        <f>+Pobl_adoptada!L73*$D73/1000</f>
        <v>13.85336</v>
      </c>
      <c r="L73" s="263">
        <f>+Pobl_adoptada!M73*$D73/1000</f>
        <v>14.023560000000002</v>
      </c>
      <c r="M73" s="263">
        <f>+Pobl_adoptada!N73*$D73/1000</f>
        <v>14.193760000000001</v>
      </c>
      <c r="N73" s="263">
        <f>+Pobl_adoptada!O73*$D73/1000</f>
        <v>14.363960000000001</v>
      </c>
      <c r="O73" s="263">
        <f>+Pobl_adoptada!P73*$D73/1000</f>
        <v>14.53416</v>
      </c>
      <c r="P73" s="263">
        <f>+Pobl_adoptada!Q73*$D73/1000</f>
        <v>14.704360000000001</v>
      </c>
      <c r="Q73" s="263">
        <f>+Pobl_adoptada!R73*$D73/1000</f>
        <v>14.874560000000001</v>
      </c>
      <c r="R73" s="263">
        <f>+Pobl_adoptada!S73*$D73/1000</f>
        <v>15.045680000000001</v>
      </c>
      <c r="S73" s="263">
        <f>+Pobl_adoptada!T73*$D73/1000</f>
        <v>15.21588</v>
      </c>
      <c r="T73" s="263">
        <f>+Pobl_adoptada!U73*$D73/1000</f>
        <v>15.38608</v>
      </c>
      <c r="U73" s="263">
        <f>+Pobl_adoptada!V73*$D73/1000</f>
        <v>15.556280000000001</v>
      </c>
      <c r="V73" s="263">
        <f>+Pobl_adoptada!W73*$D73/1000</f>
        <v>15.726480000000002</v>
      </c>
      <c r="W73" s="263">
        <f>+Pobl_adoptada!X73*$D73/1000</f>
        <v>15.89668</v>
      </c>
      <c r="X73" s="263">
        <f>+Pobl_adoptada!Y73*$D73/1000</f>
        <v>16.066880000000001</v>
      </c>
      <c r="Y73" s="263">
        <f>+Pobl_adoptada!Z73*$D73/1000</f>
        <v>16.238</v>
      </c>
      <c r="Z73" s="263">
        <f>+Pobl_adoptada!AA73*$D73/1000</f>
        <v>16.408200000000001</v>
      </c>
    </row>
    <row r="74" spans="1:26" ht="24.95" hidden="1" customHeight="1">
      <c r="A74" s="351" t="str">
        <f>+Pobl_adoptada!A74</f>
        <v>General Lavalle</v>
      </c>
      <c r="B74" s="70">
        <f>+Pobl_adoptada!B74</f>
        <v>70</v>
      </c>
      <c r="C74" s="353" t="str">
        <f>+Pobl_adoptada!C74</f>
        <v>General Lavalle</v>
      </c>
      <c r="D74" s="261">
        <f>IF(E74&lt;=15000,DATOS!B$3,IF(E74&lt;=50000,DATOS!B$4,IF(E74&lt;=300000,DATOS!B$5,IF(E74&lt;=500000,DATOS!B$6,DATOS!B$7))))</f>
        <v>0.92</v>
      </c>
      <c r="E74" s="262">
        <f>+Pobl_adoptada!F74</f>
        <v>2437</v>
      </c>
      <c r="F74" s="263">
        <f>+Pobl_adoptada!G74*$D74/1000</f>
        <v>2.2963200000000001</v>
      </c>
      <c r="G74" s="263">
        <f>+Pobl_adoptada!H74*$D74/1000</f>
        <v>2.4683600000000001</v>
      </c>
      <c r="H74" s="263">
        <f>+Pobl_adoptada!I74*$D74/1000</f>
        <v>2.5281600000000002</v>
      </c>
      <c r="I74" s="263">
        <f>+Pobl_adoptada!J74*$D74/1000</f>
        <v>2.5888800000000001</v>
      </c>
      <c r="J74" s="263">
        <f>+Pobl_adoptada!K74*$D74/1000</f>
        <v>2.6523600000000003</v>
      </c>
      <c r="K74" s="263">
        <f>+Pobl_adoptada!L74*$D74/1000</f>
        <v>2.7167600000000003</v>
      </c>
      <c r="L74" s="263">
        <f>+Pobl_adoptada!M74*$D74/1000</f>
        <v>2.7829999999999999</v>
      </c>
      <c r="M74" s="263">
        <f>+Pobl_adoptada!N74*$D74/1000</f>
        <v>2.8501600000000002</v>
      </c>
      <c r="N74" s="263">
        <f>+Pobl_adoptada!O74*$D74/1000</f>
        <v>2.9191600000000002</v>
      </c>
      <c r="O74" s="263">
        <f>+Pobl_adoptada!P74*$D74/1000</f>
        <v>2.99092</v>
      </c>
      <c r="P74" s="263">
        <f>+Pobl_adoptada!Q74*$D74/1000</f>
        <v>3.0636000000000001</v>
      </c>
      <c r="Q74" s="263">
        <f>+Pobl_adoptada!R74*$D74/1000</f>
        <v>3.1372000000000004</v>
      </c>
      <c r="R74" s="263">
        <f>+Pobl_adoptada!S74*$D74/1000</f>
        <v>3.2135599999999998</v>
      </c>
      <c r="S74" s="263">
        <f>+Pobl_adoptada!T74*$D74/1000</f>
        <v>3.29176</v>
      </c>
      <c r="T74" s="263">
        <f>+Pobl_adoptada!U74*$D74/1000</f>
        <v>3.3718000000000004</v>
      </c>
      <c r="U74" s="263">
        <f>+Pobl_adoptada!V74*$D74/1000</f>
        <v>3.4536800000000003</v>
      </c>
      <c r="V74" s="263">
        <f>+Pobl_adoptada!W74*$D74/1000</f>
        <v>3.5373999999999999</v>
      </c>
      <c r="W74" s="263">
        <f>+Pobl_adoptada!X74*$D74/1000</f>
        <v>3.6238800000000002</v>
      </c>
      <c r="X74" s="263">
        <f>+Pobl_adoptada!Y74*$D74/1000</f>
        <v>3.7112800000000004</v>
      </c>
      <c r="Y74" s="263">
        <f>+Pobl_adoptada!Z74*$D74/1000</f>
        <v>3.8014399999999999</v>
      </c>
      <c r="Z74" s="263">
        <f>+Pobl_adoptada!AA74*$D74/1000</f>
        <v>3.8943600000000003</v>
      </c>
    </row>
    <row r="75" spans="1:26" ht="24.95" hidden="1" customHeight="1">
      <c r="A75" s="351" t="str">
        <f>+Pobl_adoptada!A75</f>
        <v>General Paz</v>
      </c>
      <c r="B75" s="70">
        <f>+Pobl_adoptada!B75</f>
        <v>71</v>
      </c>
      <c r="C75" s="353" t="str">
        <f>+Pobl_adoptada!C75</f>
        <v>Ranchos</v>
      </c>
      <c r="D75" s="261">
        <f>IF(E75&lt;=15000,DATOS!B$3,IF(E75&lt;=50000,DATOS!B$4,IF(E75&lt;=300000,DATOS!B$5,IF(E75&lt;=500000,DATOS!B$6,DATOS!B$7))))</f>
        <v>0.92</v>
      </c>
      <c r="E75" s="262">
        <f>+Pobl_adoptada!F75</f>
        <v>9741</v>
      </c>
      <c r="F75" s="263">
        <f>+Pobl_adoptada!G75*$D75/1000</f>
        <v>9.1245599999999989</v>
      </c>
      <c r="G75" s="263">
        <f>+Pobl_adoptada!H75*$D75/1000</f>
        <v>9.6121599999999994</v>
      </c>
      <c r="H75" s="263">
        <f>+Pobl_adoptada!I75*$D75/1000</f>
        <v>9.7750000000000004</v>
      </c>
      <c r="I75" s="263">
        <f>+Pobl_adoptada!J75*$D75/1000</f>
        <v>9.9378399999999996</v>
      </c>
      <c r="J75" s="263">
        <f>+Pobl_adoptada!K75*$D75/1000</f>
        <v>10.100680000000001</v>
      </c>
      <c r="K75" s="263">
        <f>+Pobl_adoptada!L75*$D75/1000</f>
        <v>10.26352</v>
      </c>
      <c r="L75" s="263">
        <f>+Pobl_adoptada!M75*$D75/1000</f>
        <v>10.464079999999999</v>
      </c>
      <c r="M75" s="263">
        <f>+Pobl_adoptada!N75*$D75/1000</f>
        <v>10.663720000000001</v>
      </c>
      <c r="N75" s="263">
        <f>+Pobl_adoptada!O75*$D75/1000</f>
        <v>10.86336</v>
      </c>
      <c r="O75" s="263">
        <f>+Pobl_adoptada!P75*$D75/1000</f>
        <v>11.06392</v>
      </c>
      <c r="P75" s="263">
        <f>+Pobl_adoptada!Q75*$D75/1000</f>
        <v>11.263560000000002</v>
      </c>
      <c r="Q75" s="263">
        <f>+Pobl_adoptada!R75*$D75/1000</f>
        <v>11.464120000000001</v>
      </c>
      <c r="R75" s="263">
        <f>+Pobl_adoptada!S75*$D75/1000</f>
        <v>11.66376</v>
      </c>
      <c r="S75" s="263">
        <f>+Pobl_adoptada!T75*$D75/1000</f>
        <v>11.864319999999999</v>
      </c>
      <c r="T75" s="263">
        <f>+Pobl_adoptada!U75*$D75/1000</f>
        <v>12.063960000000002</v>
      </c>
      <c r="U75" s="263">
        <f>+Pobl_adoptada!V75*$D75/1000</f>
        <v>12.264520000000001</v>
      </c>
      <c r="V75" s="263">
        <f>+Pobl_adoptada!W75*$D75/1000</f>
        <v>12.46416</v>
      </c>
      <c r="W75" s="263">
        <f>+Pobl_adoptada!X75*$D75/1000</f>
        <v>12.664720000000001</v>
      </c>
      <c r="X75" s="263">
        <f>+Pobl_adoptada!Y75*$D75/1000</f>
        <v>12.864360000000001</v>
      </c>
      <c r="Y75" s="263">
        <f>+Pobl_adoptada!Z75*$D75/1000</f>
        <v>13.064</v>
      </c>
      <c r="Z75" s="263">
        <f>+Pobl_adoptada!AA75*$D75/1000</f>
        <v>13.264560000000001</v>
      </c>
    </row>
    <row r="76" spans="1:26" ht="24.95" hidden="1" customHeight="1">
      <c r="A76" s="351" t="str">
        <f>+Pobl_adoptada!A76</f>
        <v>General Pinto</v>
      </c>
      <c r="B76" s="70">
        <f>+Pobl_adoptada!B76</f>
        <v>72</v>
      </c>
      <c r="C76" s="353" t="str">
        <f>+Pobl_adoptada!C76</f>
        <v>General Pinto</v>
      </c>
      <c r="D76" s="261">
        <f>IF(E76&lt;=15000,DATOS!B$3,IF(E76&lt;=50000,DATOS!B$4,IF(E76&lt;=300000,DATOS!B$5,IF(E76&lt;=500000,DATOS!B$6,DATOS!B$7))))</f>
        <v>0.92</v>
      </c>
      <c r="E76" s="262">
        <f>+Pobl_adoptada!F76</f>
        <v>7089</v>
      </c>
      <c r="F76" s="263">
        <f>+Pobl_adoptada!G76*$D76/1000</f>
        <v>6.5623600000000009</v>
      </c>
      <c r="G76" s="263">
        <f>+Pobl_adoptada!H76*$D76/1000</f>
        <v>6.6856400000000002</v>
      </c>
      <c r="H76" s="263">
        <f>+Pobl_adoptada!I76*$D76/1000</f>
        <v>6.7261199999999999</v>
      </c>
      <c r="I76" s="263">
        <f>+Pobl_adoptada!J76*$D76/1000</f>
        <v>6.7666000000000004</v>
      </c>
      <c r="J76" s="263">
        <f>+Pobl_adoptada!K76*$D76/1000</f>
        <v>6.8079999999999998</v>
      </c>
      <c r="K76" s="263">
        <f>+Pobl_adoptada!L76*$D76/1000</f>
        <v>6.8484800000000003</v>
      </c>
      <c r="L76" s="263">
        <f>+Pobl_adoptada!M76*$D76/1000</f>
        <v>6.8898799999999998</v>
      </c>
      <c r="M76" s="263">
        <f>+Pobl_adoptada!N76*$D76/1000</f>
        <v>6.9303600000000003</v>
      </c>
      <c r="N76" s="263">
        <f>+Pobl_adoptada!O76*$D76/1000</f>
        <v>6.9708399999999999</v>
      </c>
      <c r="O76" s="263">
        <f>+Pobl_adoptada!P76*$D76/1000</f>
        <v>7.0122400000000003</v>
      </c>
      <c r="P76" s="263">
        <f>+Pobl_adoptada!Q76*$D76/1000</f>
        <v>7.0527199999999999</v>
      </c>
      <c r="Q76" s="263">
        <f>+Pobl_adoptada!R76*$D76/1000</f>
        <v>7.0941200000000002</v>
      </c>
      <c r="R76" s="263">
        <f>+Pobl_adoptada!S76*$D76/1000</f>
        <v>7.1346000000000007</v>
      </c>
      <c r="S76" s="263">
        <f>+Pobl_adoptada!T76*$D76/1000</f>
        <v>7.1750800000000003</v>
      </c>
      <c r="T76" s="263">
        <f>+Pobl_adoptada!U76*$D76/1000</f>
        <v>7.2164800000000007</v>
      </c>
      <c r="U76" s="263">
        <f>+Pobl_adoptada!V76*$D76/1000</f>
        <v>7.2569600000000003</v>
      </c>
      <c r="V76" s="263">
        <f>+Pobl_adoptada!W76*$D76/1000</f>
        <v>7.2983600000000006</v>
      </c>
      <c r="W76" s="263">
        <f>+Pobl_adoptada!X76*$D76/1000</f>
        <v>7.3388400000000003</v>
      </c>
      <c r="X76" s="263">
        <f>+Pobl_adoptada!Y76*$D76/1000</f>
        <v>7.3802400000000006</v>
      </c>
      <c r="Y76" s="263">
        <f>+Pobl_adoptada!Z76*$D76/1000</f>
        <v>7.4207200000000002</v>
      </c>
      <c r="Z76" s="263">
        <f>+Pobl_adoptada!AA76*$D76/1000</f>
        <v>7.4612000000000007</v>
      </c>
    </row>
    <row r="77" spans="1:26" ht="24.95" hidden="1" customHeight="1">
      <c r="A77" s="351" t="str">
        <f>+Pobl_adoptada!A77</f>
        <v>General Pueyrredón</v>
      </c>
      <c r="B77" s="70">
        <f>+Pobl_adoptada!B77</f>
        <v>73</v>
      </c>
      <c r="C77" s="353" t="str">
        <f>+Pobl_adoptada!C77</f>
        <v>Mar del Plata</v>
      </c>
      <c r="D77" s="261">
        <f>IF(E77&lt;=15000,DATOS!B$3,IF(E77&lt;=50000,DATOS!B$4,IF(E77&lt;=300000,DATOS!B$5,IF(E77&lt;=500000,DATOS!B$6,DATOS!B$7))))</f>
        <v>1.41</v>
      </c>
      <c r="E77" s="262">
        <f>+Pobl_adoptada!F77</f>
        <v>737713</v>
      </c>
      <c r="F77" s="263">
        <f>+Pobl_adoptada!G77*$D77/1000</f>
        <v>1048.32231</v>
      </c>
      <c r="G77" s="263">
        <f>+Pobl_adoptada!H77*$D77/1000</f>
        <v>1073.1467700000001</v>
      </c>
      <c r="H77" s="263">
        <f>+Pobl_adoptada!I77*$D77/1000</f>
        <v>1081.5489599999999</v>
      </c>
      <c r="I77" s="263">
        <f>+Pobl_adoptada!J77*$D77/1000</f>
        <v>1090.0202400000001</v>
      </c>
      <c r="J77" s="263">
        <f>+Pobl_adoptada!K77*$D77/1000</f>
        <v>1098.55638</v>
      </c>
      <c r="K77" s="263">
        <f>+Pobl_adoptada!L77*$D77/1000</f>
        <v>1107.1602</v>
      </c>
      <c r="L77" s="263">
        <f>+Pobl_adoptada!M77*$D77/1000</f>
        <v>1115.8317</v>
      </c>
      <c r="M77" s="263">
        <f>+Pobl_adoptada!N77*$D77/1000</f>
        <v>1124.5694699999999</v>
      </c>
      <c r="N77" s="263">
        <f>+Pobl_adoptada!O77*$D77/1000</f>
        <v>1133.3777399999999</v>
      </c>
      <c r="O77" s="263">
        <f>+Pobl_adoptada!P77*$D77/1000</f>
        <v>1142.25369</v>
      </c>
      <c r="P77" s="263">
        <f>+Pobl_adoptada!Q77*$D77/1000</f>
        <v>1151.1987300000001</v>
      </c>
      <c r="Q77" s="263">
        <f>+Pobl_adoptada!R77*$D77/1000</f>
        <v>1160.2142699999999</v>
      </c>
      <c r="R77" s="263">
        <f>+Pobl_adoptada!S77*$D77/1000</f>
        <v>1169.3003099999999</v>
      </c>
      <c r="S77" s="263">
        <f>+Pobl_adoptada!T77*$D77/1000</f>
        <v>1178.4582600000001</v>
      </c>
      <c r="T77" s="263">
        <f>+Pobl_adoptada!U77*$D77/1000</f>
        <v>1187.6867099999999</v>
      </c>
      <c r="U77" s="263">
        <f>+Pobl_adoptada!V77*$D77/1000</f>
        <v>1196.98848</v>
      </c>
      <c r="V77" s="263">
        <f>+Pobl_adoptada!W77*$D77/1000</f>
        <v>1206.3621599999999</v>
      </c>
      <c r="W77" s="263">
        <f>+Pobl_adoptada!X77*$D77/1000</f>
        <v>1215.8105699999999</v>
      </c>
      <c r="X77" s="263">
        <f>+Pobl_adoptada!Y77*$D77/1000</f>
        <v>1225.3337099999999</v>
      </c>
      <c r="Y77" s="263">
        <f>+Pobl_adoptada!Z77*$D77/1000</f>
        <v>1234.92876</v>
      </c>
      <c r="Z77" s="263">
        <f>+Pobl_adoptada!AA77*$D77/1000</f>
        <v>1244.59995</v>
      </c>
    </row>
    <row r="78" spans="1:26" ht="24.95" hidden="1" customHeight="1">
      <c r="A78" s="351" t="str">
        <f>+Pobl_adoptada!A78</f>
        <v>General Rodríguez</v>
      </c>
      <c r="B78" s="70">
        <f>+Pobl_adoptada!B78</f>
        <v>74</v>
      </c>
      <c r="C78" s="353" t="str">
        <f>+Pobl_adoptada!C78</f>
        <v>General Rodríguez</v>
      </c>
      <c r="D78" s="261">
        <f>IF(E78&lt;=15000,DATOS!B$3,IF(E78&lt;=50000,DATOS!B$4,IF(E78&lt;=300000,DATOS!B$5,IF(E78&lt;=500000,DATOS!B$6,DATOS!B$7))))</f>
        <v>1.02</v>
      </c>
      <c r="E78" s="262">
        <f>+Pobl_adoptada!F78</f>
        <v>134349</v>
      </c>
      <c r="F78" s="263">
        <f>+Pobl_adoptada!G78*$D78/1000</f>
        <v>141.65964000000002</v>
      </c>
      <c r="G78" s="263">
        <f>+Pobl_adoptada!H78*$D78/1000</f>
        <v>155.98554000000001</v>
      </c>
      <c r="H78" s="263">
        <f>+Pobl_adoptada!I78*$D78/1000</f>
        <v>160.91723999999999</v>
      </c>
      <c r="I78" s="263">
        <f>+Pobl_adoptada!J78*$D78/1000</f>
        <v>165.92952</v>
      </c>
      <c r="J78" s="263">
        <f>+Pobl_adoptada!K78*$D78/1000</f>
        <v>171.02442000000002</v>
      </c>
      <c r="K78" s="263">
        <f>+Pobl_adoptada!L78*$D78/1000</f>
        <v>176.20194000000001</v>
      </c>
      <c r="L78" s="263">
        <f>+Pobl_adoptada!M78*$D78/1000</f>
        <v>181.4631</v>
      </c>
      <c r="M78" s="263">
        <f>+Pobl_adoptada!N78*$D78/1000</f>
        <v>186.81095999999999</v>
      </c>
      <c r="N78" s="263">
        <f>+Pobl_adoptada!O78*$D78/1000</f>
        <v>192.24654000000001</v>
      </c>
      <c r="O78" s="263">
        <f>+Pobl_adoptada!P78*$D78/1000</f>
        <v>197.76983999999999</v>
      </c>
      <c r="P78" s="263">
        <f>+Pobl_adoptada!Q78*$D78/1000</f>
        <v>203.38290000000001</v>
      </c>
      <c r="Q78" s="263">
        <f>+Pobl_adoptada!R78*$D78/1000</f>
        <v>209.08877999999999</v>
      </c>
      <c r="R78" s="263">
        <f>+Pobl_adoptada!S78*$D78/1000</f>
        <v>214.88646</v>
      </c>
      <c r="S78" s="263">
        <f>+Pobl_adoptada!T78*$D78/1000</f>
        <v>220.78001999999998</v>
      </c>
      <c r="T78" s="263">
        <f>+Pobl_adoptada!U78*$D78/1000</f>
        <v>226.76844</v>
      </c>
      <c r="U78" s="263">
        <f>+Pobl_adoptada!V78*$D78/1000</f>
        <v>232.85580000000002</v>
      </c>
      <c r="V78" s="263">
        <f>+Pobl_adoptada!W78*$D78/1000</f>
        <v>239.0421</v>
      </c>
      <c r="W78" s="263">
        <f>+Pobl_adoptada!X78*$D78/1000</f>
        <v>245.32836</v>
      </c>
      <c r="X78" s="263">
        <f>+Pobl_adoptada!Y78*$D78/1000</f>
        <v>251.71764000000002</v>
      </c>
      <c r="Y78" s="263">
        <f>+Pobl_adoptada!Z78*$D78/1000</f>
        <v>258.21197999999998</v>
      </c>
      <c r="Z78" s="263">
        <f>+Pobl_adoptada!AA78*$D78/1000</f>
        <v>264.81137999999999</v>
      </c>
    </row>
    <row r="79" spans="1:26" ht="24.95" hidden="1" customHeight="1">
      <c r="A79" s="351" t="str">
        <f>+Pobl_adoptada!A79</f>
        <v>General Viamonte</v>
      </c>
      <c r="B79" s="70">
        <f>+Pobl_adoptada!B79</f>
        <v>75</v>
      </c>
      <c r="C79" s="353" t="str">
        <f>+Pobl_adoptada!C79</f>
        <v>Los Toldos</v>
      </c>
      <c r="D79" s="261">
        <f>IF(E79&lt;=15000,DATOS!B$3,IF(E79&lt;=50000,DATOS!B$4,IF(E79&lt;=300000,DATOS!B$5,IF(E79&lt;=500000,DATOS!B$6,DATOS!B$7))))</f>
        <v>1.06</v>
      </c>
      <c r="E79" s="262">
        <f>+Pobl_adoptada!F79</f>
        <v>15973</v>
      </c>
      <c r="F79" s="263">
        <f>+Pobl_adoptada!G79*$D79/1000</f>
        <v>17.060700000000001</v>
      </c>
      <c r="G79" s="263">
        <f>+Pobl_adoptada!H79*$D79/1000</f>
        <v>17.446540000000002</v>
      </c>
      <c r="H79" s="263">
        <f>+Pobl_adoptada!I79*$D79/1000</f>
        <v>17.5748</v>
      </c>
      <c r="I79" s="263">
        <f>+Pobl_adoptada!J79*$D79/1000</f>
        <v>17.704120000000003</v>
      </c>
      <c r="J79" s="263">
        <f>+Pobl_adoptada!K79*$D79/1000</f>
        <v>17.832380000000001</v>
      </c>
      <c r="K79" s="263">
        <f>+Pobl_adoptada!L79*$D79/1000</f>
        <v>17.9617</v>
      </c>
      <c r="L79" s="263">
        <f>+Pobl_adoptada!M79*$D79/1000</f>
        <v>18.089959999999998</v>
      </c>
      <c r="M79" s="263">
        <f>+Pobl_adoptada!N79*$D79/1000</f>
        <v>18.219280000000001</v>
      </c>
      <c r="N79" s="263">
        <f>+Pobl_adoptada!O79*$D79/1000</f>
        <v>18.347540000000002</v>
      </c>
      <c r="O79" s="263">
        <f>+Pobl_adoptada!P79*$D79/1000</f>
        <v>18.4758</v>
      </c>
      <c r="P79" s="263">
        <f>+Pobl_adoptada!Q79*$D79/1000</f>
        <v>18.605120000000003</v>
      </c>
      <c r="Q79" s="263">
        <f>+Pobl_adoptada!R79*$D79/1000</f>
        <v>18.73338</v>
      </c>
      <c r="R79" s="263">
        <f>+Pobl_adoptada!S79*$D79/1000</f>
        <v>18.8627</v>
      </c>
      <c r="S79" s="263">
        <f>+Pobl_adoptada!T79*$D79/1000</f>
        <v>18.990960000000001</v>
      </c>
      <c r="T79" s="263">
        <f>+Pobl_adoptada!U79*$D79/1000</f>
        <v>19.120280000000001</v>
      </c>
      <c r="U79" s="263">
        <f>+Pobl_adoptada!V79*$D79/1000</f>
        <v>19.248540000000002</v>
      </c>
      <c r="V79" s="263">
        <f>+Pobl_adoptada!W79*$D79/1000</f>
        <v>19.376799999999999</v>
      </c>
      <c r="W79" s="263">
        <f>+Pobl_adoptada!X79*$D79/1000</f>
        <v>19.506120000000003</v>
      </c>
      <c r="X79" s="263">
        <f>+Pobl_adoptada!Y79*$D79/1000</f>
        <v>19.63438</v>
      </c>
      <c r="Y79" s="263">
        <f>+Pobl_adoptada!Z79*$D79/1000</f>
        <v>19.7637</v>
      </c>
      <c r="Z79" s="263">
        <f>+Pobl_adoptada!AA79*$D79/1000</f>
        <v>19.891960000000005</v>
      </c>
    </row>
    <row r="80" spans="1:26" ht="24.95" hidden="1" customHeight="1">
      <c r="A80" s="351" t="str">
        <f>+Pobl_adoptada!A80</f>
        <v>General Villegas</v>
      </c>
      <c r="B80" s="70">
        <f>+Pobl_adoptada!B80</f>
        <v>76</v>
      </c>
      <c r="C80" s="353" t="str">
        <f>+Pobl_adoptada!C80</f>
        <v>General Villegas</v>
      </c>
      <c r="D80" s="261">
        <f>IF(E80&lt;=15000,DATOS!B$3,IF(E80&lt;=50000,DATOS!B$4,IF(E80&lt;=300000,DATOS!B$5,IF(E80&lt;=500000,DATOS!B$6,DATOS!B$7))))</f>
        <v>1.06</v>
      </c>
      <c r="E80" s="262">
        <f>+Pobl_adoptada!F80</f>
        <v>21338</v>
      </c>
      <c r="F80" s="263">
        <f>+Pobl_adoptada!G80*$D80/1000</f>
        <v>22.911900000000003</v>
      </c>
      <c r="G80" s="263">
        <f>+Pobl_adoptada!H80*$D80/1000</f>
        <v>23.817139999999998</v>
      </c>
      <c r="H80" s="263">
        <f>+Pobl_adoptada!I80*$D80/1000</f>
        <v>24.126660000000001</v>
      </c>
      <c r="I80" s="263">
        <f>+Pobl_adoptada!J80*$D80/1000</f>
        <v>24.440420000000003</v>
      </c>
      <c r="J80" s="263">
        <f>+Pobl_adoptada!K80*$D80/1000</f>
        <v>24.757360000000002</v>
      </c>
      <c r="K80" s="263">
        <f>+Pobl_adoptada!L80*$D80/1000</f>
        <v>25.079600000000003</v>
      </c>
      <c r="L80" s="263">
        <f>+Pobl_adoptada!M80*$D80/1000</f>
        <v>25.40502</v>
      </c>
      <c r="M80" s="263">
        <f>+Pobl_adoptada!N80*$D80/1000</f>
        <v>25.73574</v>
      </c>
      <c r="N80" s="263">
        <f>+Pobl_adoptada!O80*$D80/1000</f>
        <v>26.069640000000003</v>
      </c>
      <c r="O80" s="263">
        <f>+Pobl_adoptada!P80*$D80/1000</f>
        <v>26.408840000000001</v>
      </c>
      <c r="P80" s="263">
        <f>+Pobl_adoptada!Q80*$D80/1000</f>
        <v>26.752280000000003</v>
      </c>
      <c r="Q80" s="263">
        <f>+Pobl_adoptada!R80*$D80/1000</f>
        <v>27.099960000000003</v>
      </c>
      <c r="R80" s="263">
        <f>+Pobl_adoptada!S80*$D80/1000</f>
        <v>27.451880000000003</v>
      </c>
      <c r="S80" s="263">
        <f>+Pobl_adoptada!T80*$D80/1000</f>
        <v>27.809100000000001</v>
      </c>
      <c r="T80" s="263">
        <f>+Pobl_adoptada!U80*$D80/1000</f>
        <v>28.170560000000002</v>
      </c>
      <c r="U80" s="263">
        <f>+Pobl_adoptada!V80*$D80/1000</f>
        <v>28.536260000000002</v>
      </c>
      <c r="V80" s="263">
        <f>+Pobl_adoptada!W80*$D80/1000</f>
        <v>28.907260000000001</v>
      </c>
      <c r="W80" s="263">
        <f>+Pobl_adoptada!X80*$D80/1000</f>
        <v>29.282499999999999</v>
      </c>
      <c r="X80" s="263">
        <f>+Pobl_adoptada!Y80*$D80/1000</f>
        <v>29.663040000000002</v>
      </c>
      <c r="Y80" s="263">
        <f>+Pobl_adoptada!Z80*$D80/1000</f>
        <v>30.04888</v>
      </c>
      <c r="Z80" s="263">
        <f>+Pobl_adoptada!AA80*$D80/1000</f>
        <v>30.438960000000002</v>
      </c>
    </row>
    <row r="81" spans="1:29" ht="24.95" hidden="1" customHeight="1">
      <c r="A81" s="351" t="str">
        <f>+Pobl_adoptada!A81</f>
        <v>Guaminí</v>
      </c>
      <c r="B81" s="70">
        <f>+Pobl_adoptada!B81</f>
        <v>77</v>
      </c>
      <c r="C81" s="353" t="str">
        <f>+Pobl_adoptada!C81</f>
        <v>Guaminí</v>
      </c>
      <c r="D81" s="261">
        <f>IF(E81&lt;=15000,DATOS!B$3,IF(E81&lt;=50000,DATOS!B$4,IF(E81&lt;=300000,DATOS!B$5,IF(E81&lt;=500000,DATOS!B$6,DATOS!B$7))))</f>
        <v>0.92</v>
      </c>
      <c r="E81" s="262">
        <f>+Pobl_adoptada!F81</f>
        <v>2883</v>
      </c>
      <c r="F81" s="263">
        <f>+Pobl_adoptada!G81*$D81/1000</f>
        <v>2.65788</v>
      </c>
      <c r="G81" s="263">
        <f>+Pobl_adoptada!H81*$D81/1000</f>
        <v>2.6735199999999999</v>
      </c>
      <c r="H81" s="263">
        <f>+Pobl_adoptada!I81*$D81/1000</f>
        <v>2.6790400000000001</v>
      </c>
      <c r="I81" s="263">
        <f>+Pobl_adoptada!J81*$D81/1000</f>
        <v>2.6836400000000005</v>
      </c>
      <c r="J81" s="263">
        <f>+Pobl_adoptada!K81*$D81/1000</f>
        <v>2.6891600000000002</v>
      </c>
      <c r="K81" s="263">
        <f>+Pobl_adoptada!L81*$D81/1000</f>
        <v>2.6946800000000004</v>
      </c>
      <c r="L81" s="263">
        <f>+Pobl_adoptada!M81*$D81/1000</f>
        <v>2.7002000000000002</v>
      </c>
      <c r="M81" s="263">
        <f>+Pobl_adoptada!N81*$D81/1000</f>
        <v>2.7048000000000001</v>
      </c>
      <c r="N81" s="263">
        <f>+Pobl_adoptada!O81*$D81/1000</f>
        <v>2.7103200000000003</v>
      </c>
      <c r="O81" s="263">
        <f>+Pobl_adoptada!P81*$D81/1000</f>
        <v>2.71584</v>
      </c>
      <c r="P81" s="263">
        <f>+Pobl_adoptada!Q81*$D81/1000</f>
        <v>2.72044</v>
      </c>
      <c r="Q81" s="263">
        <f>+Pobl_adoptada!R81*$D81/1000</f>
        <v>2.7259600000000002</v>
      </c>
      <c r="R81" s="263">
        <f>+Pobl_adoptada!S81*$D81/1000</f>
        <v>2.7314799999999999</v>
      </c>
      <c r="S81" s="263">
        <f>+Pobl_adoptada!T81*$D81/1000</f>
        <v>2.7370000000000001</v>
      </c>
      <c r="T81" s="263">
        <f>+Pobl_adoptada!U81*$D81/1000</f>
        <v>2.7416</v>
      </c>
      <c r="U81" s="263">
        <f>+Pobl_adoptada!V81*$D81/1000</f>
        <v>2.7471200000000002</v>
      </c>
      <c r="V81" s="263">
        <f>+Pobl_adoptada!W81*$D81/1000</f>
        <v>2.7526400000000004</v>
      </c>
      <c r="W81" s="263">
        <f>+Pobl_adoptada!X81*$D81/1000</f>
        <v>2.7581600000000002</v>
      </c>
      <c r="X81" s="263">
        <f>+Pobl_adoptada!Y81*$D81/1000</f>
        <v>2.7627600000000001</v>
      </c>
      <c r="Y81" s="263">
        <f>+Pobl_adoptada!Z81*$D81/1000</f>
        <v>2.7682800000000003</v>
      </c>
      <c r="Z81" s="263">
        <f>+Pobl_adoptada!AA81*$D81/1000</f>
        <v>2.7738</v>
      </c>
    </row>
    <row r="82" spans="1:29" ht="24.95" customHeight="1">
      <c r="A82" s="351" t="str">
        <f>+Pobl_adoptada!A82</f>
        <v>Hipólito Yrigoyen</v>
      </c>
      <c r="B82" s="70">
        <f>+Pobl_adoptada!B82</f>
        <v>78</v>
      </c>
      <c r="C82" s="353" t="str">
        <f>+Pobl_adoptada!C82</f>
        <v>Henderson</v>
      </c>
      <c r="D82" s="261">
        <f>IF(E82&lt;=15000,DATOS!B$3,IF(E82&lt;=50000,DATOS!B$4,IF(E82&lt;=300000,DATOS!B$5,IF(E82&lt;=500000,DATOS!B$6,DATOS!B$7))))</f>
        <v>0.92</v>
      </c>
      <c r="E82" s="262">
        <f>+Pobl_adoptada!F82</f>
        <v>9263</v>
      </c>
      <c r="F82" s="263">
        <f>+Pobl_adoptada!G82*$D82/1000</f>
        <v>8.5716400000000004</v>
      </c>
      <c r="G82" s="263">
        <f>+Pobl_adoptada!H82*$D82/1000</f>
        <v>8.7206799999999998</v>
      </c>
      <c r="H82" s="263">
        <f>+Pobl_adoptada!I82*$D82/1000</f>
        <v>8.7712800000000009</v>
      </c>
      <c r="I82" s="263">
        <f>+Pobl_adoptada!J82*$D82/1000</f>
        <v>8.8218800000000002</v>
      </c>
      <c r="J82" s="263">
        <f>+Pobl_adoptada!K82*$D82/1000</f>
        <v>8.8724799999999995</v>
      </c>
      <c r="K82" s="263">
        <f>+Pobl_adoptada!L82*$D82/1000</f>
        <v>8.9239999999999995</v>
      </c>
      <c r="L82" s="263">
        <f>+Pobl_adoptada!M82*$D82/1000</f>
        <v>8.9755200000000013</v>
      </c>
      <c r="M82" s="263">
        <f>+Pobl_adoptada!N82*$D82/1000</f>
        <v>9.0270400000000013</v>
      </c>
      <c r="N82" s="263">
        <f>+Pobl_adoptada!O82*$D82/1000</f>
        <v>9.0794800000000002</v>
      </c>
      <c r="O82" s="263">
        <f>+Pobl_adoptada!P82*$D82/1000</f>
        <v>9.1319200000000009</v>
      </c>
      <c r="P82" s="263">
        <f>+Pobl_adoptada!Q82*$D82/1000</f>
        <v>9.1843599999999999</v>
      </c>
      <c r="Q82" s="263">
        <f>+Pobl_adoptada!R82*$D82/1000</f>
        <v>9.2377200000000013</v>
      </c>
      <c r="R82" s="263">
        <f>+Pobl_adoptada!S82*$D82/1000</f>
        <v>9.2910799999999991</v>
      </c>
      <c r="S82" s="263">
        <f>+Pobl_adoptada!T82*$D82/1000</f>
        <v>9.3444400000000005</v>
      </c>
      <c r="T82" s="263">
        <f>+Pobl_adoptada!U82*$D82/1000</f>
        <v>9.3987200000000009</v>
      </c>
      <c r="U82" s="263">
        <f>+Pobl_adoptada!V82*$D82/1000</f>
        <v>9.4529999999999994</v>
      </c>
      <c r="V82" s="263">
        <f>+Pobl_adoptada!W82*$D82/1000</f>
        <v>9.5072800000000015</v>
      </c>
      <c r="W82" s="263">
        <f>+Pobl_adoptada!X82*$D82/1000</f>
        <v>9.562479999999999</v>
      </c>
      <c r="X82" s="263">
        <f>+Pobl_adoptada!Y82*$D82/1000</f>
        <v>9.61768</v>
      </c>
      <c r="Y82" s="263">
        <f>+Pobl_adoptada!Z82*$D82/1000</f>
        <v>9.672880000000001</v>
      </c>
      <c r="Z82" s="263">
        <f>+Pobl_adoptada!AA82*$D82/1000</f>
        <v>9.7289999999999992</v>
      </c>
      <c r="AA82" s="270">
        <f>AVERAGE(F82:Z82)</f>
        <v>9.1854552380952388</v>
      </c>
      <c r="AB82" s="270">
        <f>Resumen_Generación!G82</f>
        <v>2.8264060599999996</v>
      </c>
      <c r="AC82" s="270">
        <f>AA82-AB82</f>
        <v>6.3590491780952387</v>
      </c>
    </row>
    <row r="83" spans="1:29" ht="24.95" hidden="1" customHeight="1">
      <c r="A83" s="351" t="str">
        <f>+Pobl_adoptada!A83</f>
        <v>Junín</v>
      </c>
      <c r="B83" s="70">
        <f>+Pobl_adoptada!B83</f>
        <v>79</v>
      </c>
      <c r="C83" s="353" t="str">
        <f>+Pobl_adoptada!C83</f>
        <v>Junín</v>
      </c>
      <c r="D83" s="261">
        <f>IF(E83&lt;=15000,DATOS!B$3,IF(E83&lt;=50000,DATOS!B$4,IF(E83&lt;=300000,DATOS!B$5,IF(E83&lt;=500000,DATOS!B$6,DATOS!B$7))))</f>
        <v>1.02</v>
      </c>
      <c r="E83" s="262">
        <f>+Pobl_adoptada!F83</f>
        <v>95726</v>
      </c>
      <c r="F83" s="263">
        <f>+Pobl_adoptada!G83*$D83/1000</f>
        <v>98.313720000000004</v>
      </c>
      <c r="G83" s="263">
        <f>+Pobl_adoptada!H83*$D83/1000</f>
        <v>100.33332</v>
      </c>
      <c r="H83" s="263">
        <f>+Pobl_adoptada!I83*$D83/1000</f>
        <v>101.00754000000001</v>
      </c>
      <c r="I83" s="263">
        <f>+Pobl_adoptada!J83*$D83/1000</f>
        <v>101.68074</v>
      </c>
      <c r="J83" s="263">
        <f>+Pobl_adoptada!K83*$D83/1000</f>
        <v>102.35394000000001</v>
      </c>
      <c r="K83" s="263">
        <f>+Pobl_adoptada!L83*$D83/1000</f>
        <v>103.02714</v>
      </c>
      <c r="L83" s="263">
        <f>+Pobl_adoptada!M83*$D83/1000</f>
        <v>103.70034</v>
      </c>
      <c r="M83" s="263">
        <f>+Pobl_adoptada!N83*$D83/1000</f>
        <v>104.37354000000001</v>
      </c>
      <c r="N83" s="263">
        <f>+Pobl_adoptada!O83*$D83/1000</f>
        <v>105.04674</v>
      </c>
      <c r="O83" s="263">
        <f>+Pobl_adoptada!P83*$D83/1000</f>
        <v>105.71994000000001</v>
      </c>
      <c r="P83" s="263">
        <f>+Pobl_adoptada!Q83*$D83/1000</f>
        <v>106.39314</v>
      </c>
      <c r="Q83" s="263">
        <f>+Pobl_adoptada!R83*$D83/1000</f>
        <v>107.06634</v>
      </c>
      <c r="R83" s="263">
        <f>+Pobl_adoptada!S83*$D83/1000</f>
        <v>107.73954000000001</v>
      </c>
      <c r="S83" s="263">
        <f>+Pobl_adoptada!T83*$D83/1000</f>
        <v>108.41376</v>
      </c>
      <c r="T83" s="263">
        <f>+Pobl_adoptada!U83*$D83/1000</f>
        <v>109.08696</v>
      </c>
      <c r="U83" s="263">
        <f>+Pobl_adoptada!V83*$D83/1000</f>
        <v>109.76016</v>
      </c>
      <c r="V83" s="263">
        <f>+Pobl_adoptada!W83*$D83/1000</f>
        <v>110.43336000000001</v>
      </c>
      <c r="W83" s="263">
        <f>+Pobl_adoptada!X83*$D83/1000</f>
        <v>111.10656</v>
      </c>
      <c r="X83" s="263">
        <f>+Pobl_adoptada!Y83*$D83/1000</f>
        <v>111.77976</v>
      </c>
      <c r="Y83" s="263">
        <f>+Pobl_adoptada!Z83*$D83/1000</f>
        <v>112.45296</v>
      </c>
      <c r="Z83" s="263">
        <f>+Pobl_adoptada!AA83*$D83/1000</f>
        <v>113.12616</v>
      </c>
    </row>
    <row r="84" spans="1:29" ht="24.95" hidden="1" customHeight="1">
      <c r="A84" s="351" t="str">
        <f>+Pobl_adoptada!A84</f>
        <v>La Costa</v>
      </c>
      <c r="B84" s="70">
        <f>+Pobl_adoptada!B84</f>
        <v>80</v>
      </c>
      <c r="C84" s="353" t="str">
        <f>+Pobl_adoptada!C84</f>
        <v>Mar de Ajó - San Bernardo</v>
      </c>
      <c r="D84" s="261">
        <f>IF(E84&lt;=15000,DATOS!B$3,IF(E84&lt;=50000,DATOS!B$4,IF(E84&lt;=300000,DATOS!B$5,IF(E84&lt;=500000,DATOS!B$6,DATOS!B$7))))</f>
        <v>1.02</v>
      </c>
      <c r="E84" s="262">
        <f>+Pobl_adoptada!F84</f>
        <v>88647</v>
      </c>
      <c r="F84" s="263">
        <f>+Pobl_adoptada!G84*$D84/1000</f>
        <v>93.242279999999994</v>
      </c>
      <c r="G84" s="263">
        <f>+Pobl_adoptada!H84*$D84/1000</f>
        <v>101.71032000000001</v>
      </c>
      <c r="H84" s="263">
        <f>+Pobl_adoptada!I84*$D84/1000</f>
        <v>104.53368</v>
      </c>
      <c r="I84" s="263">
        <f>+Pobl_adoptada!J84*$D84/1000</f>
        <v>107.355</v>
      </c>
      <c r="J84" s="263">
        <f>+Pobl_adoptada!K84*$D84/1000</f>
        <v>110.17836</v>
      </c>
      <c r="K84" s="263">
        <f>+Pobl_adoptada!L84*$D84/1000</f>
        <v>113.00069999999999</v>
      </c>
      <c r="L84" s="263">
        <f>+Pobl_adoptada!M84*$D84/1000</f>
        <v>116.45952</v>
      </c>
      <c r="M84" s="263">
        <f>+Pobl_adoptada!N84*$D84/1000</f>
        <v>119.91936</v>
      </c>
      <c r="N84" s="263">
        <f>+Pobl_adoptada!O84*$D84/1000</f>
        <v>123.37818000000001</v>
      </c>
      <c r="O84" s="263">
        <f>+Pobl_adoptada!P84*$D84/1000</f>
        <v>126.837</v>
      </c>
      <c r="P84" s="263">
        <f>+Pobl_adoptada!Q84*$D84/1000</f>
        <v>130.29684</v>
      </c>
      <c r="Q84" s="263">
        <f>+Pobl_adoptada!R84*$D84/1000</f>
        <v>133.75566000000001</v>
      </c>
      <c r="R84" s="263">
        <f>+Pobl_adoptada!S84*$D84/1000</f>
        <v>137.21549999999999</v>
      </c>
      <c r="S84" s="263">
        <f>+Pobl_adoptada!T84*$D84/1000</f>
        <v>140.67431999999999</v>
      </c>
      <c r="T84" s="263">
        <f>+Pobl_adoptada!U84*$D84/1000</f>
        <v>144.13314000000003</v>
      </c>
      <c r="U84" s="263">
        <f>+Pobl_adoptada!V84*$D84/1000</f>
        <v>147.59298000000001</v>
      </c>
      <c r="V84" s="263">
        <f>+Pobl_adoptada!W84*$D84/1000</f>
        <v>151.05179999999999</v>
      </c>
      <c r="W84" s="263">
        <f>+Pobl_adoptada!X84*$D84/1000</f>
        <v>154.51164</v>
      </c>
      <c r="X84" s="263">
        <f>+Pobl_adoptada!Y84*$D84/1000</f>
        <v>157.97046</v>
      </c>
      <c r="Y84" s="263">
        <f>+Pobl_adoptada!Z84*$D84/1000</f>
        <v>161.43029999999999</v>
      </c>
      <c r="Z84" s="263">
        <f>+Pobl_adoptada!AA84*$D84/1000</f>
        <v>164.88911999999999</v>
      </c>
    </row>
    <row r="85" spans="1:29" ht="24.95" hidden="1" customHeight="1">
      <c r="A85" s="351" t="str">
        <f>+Pobl_adoptada!A85</f>
        <v>La Costa</v>
      </c>
      <c r="B85" s="70">
        <f>+Pobl_adoptada!B85</f>
        <v>81</v>
      </c>
      <c r="C85" s="353" t="str">
        <f>+Pobl_adoptada!C85</f>
        <v>Santa Teresita - Mar del Tuyú</v>
      </c>
      <c r="D85" s="261">
        <f>IF(E85&lt;=15000,DATOS!B$3,IF(E85&lt;=50000,DATOS!B$4,IF(E85&lt;=300000,DATOS!B$5,IF(E85&lt;=500000,DATOS!B$6,DATOS!B$7))))</f>
        <v>1.02</v>
      </c>
      <c r="E85" s="262">
        <f>+Pobl_adoptada!F85</f>
        <v>58875</v>
      </c>
      <c r="F85" s="263">
        <f>+Pobl_adoptada!G85*$D85/1000</f>
        <v>61.226520000000001</v>
      </c>
      <c r="G85" s="263">
        <f>+Pobl_adoptada!H85*$D85/1000</f>
        <v>64.752660000000006</v>
      </c>
      <c r="H85" s="263">
        <f>+Pobl_adoptada!I85*$D85/1000</f>
        <v>65.928719999999998</v>
      </c>
      <c r="I85" s="263">
        <f>+Pobl_adoptada!J85*$D85/1000</f>
        <v>67.102740000000011</v>
      </c>
      <c r="J85" s="263">
        <f>+Pobl_adoptada!K85*$D85/1000</f>
        <v>68.277779999999993</v>
      </c>
      <c r="K85" s="263">
        <f>+Pobl_adoptada!L85*$D85/1000</f>
        <v>69.45384</v>
      </c>
      <c r="L85" s="263">
        <f>+Pobl_adoptada!M85*$D85/1000</f>
        <v>70.628880000000009</v>
      </c>
      <c r="M85" s="263">
        <f>+Pobl_adoptada!N85*$D85/1000</f>
        <v>71.802899999999994</v>
      </c>
      <c r="N85" s="263">
        <f>+Pobl_adoptada!O85*$D85/1000</f>
        <v>72.978960000000001</v>
      </c>
      <c r="O85" s="263">
        <f>+Pobl_adoptada!P85*$D85/1000</f>
        <v>74.153999999999996</v>
      </c>
      <c r="P85" s="263">
        <f>+Pobl_adoptada!Q85*$D85/1000</f>
        <v>75.329040000000006</v>
      </c>
      <c r="Q85" s="263">
        <f>+Pobl_adoptada!R85*$D85/1000</f>
        <v>76.505099999999999</v>
      </c>
      <c r="R85" s="263">
        <f>+Pobl_adoptada!S85*$D85/1000</f>
        <v>77.679119999999998</v>
      </c>
      <c r="S85" s="263">
        <f>+Pobl_adoptada!T85*$D85/1000</f>
        <v>78.854160000000007</v>
      </c>
      <c r="T85" s="263">
        <f>+Pobl_adoptada!U85*$D85/1000</f>
        <v>80.03022</v>
      </c>
      <c r="U85" s="263">
        <f>+Pobl_adoptada!V85*$D85/1000</f>
        <v>81.205259999999996</v>
      </c>
      <c r="V85" s="263">
        <f>+Pobl_adoptada!W85*$D85/1000</f>
        <v>82.380300000000005</v>
      </c>
      <c r="W85" s="263">
        <f>+Pobl_adoptada!X85*$D85/1000</f>
        <v>83.555340000000001</v>
      </c>
      <c r="X85" s="263">
        <f>+Pobl_adoptada!Y85*$D85/1000</f>
        <v>84.730380000000011</v>
      </c>
      <c r="Y85" s="263">
        <f>+Pobl_adoptada!Z85*$D85/1000</f>
        <v>85.905419999999992</v>
      </c>
      <c r="Z85" s="263">
        <f>+Pobl_adoptada!AA85*$D85/1000</f>
        <v>87.081479999999999</v>
      </c>
    </row>
    <row r="86" spans="1:29" ht="24.95" hidden="1" customHeight="1">
      <c r="A86" s="351" t="str">
        <f>+Pobl_adoptada!A86</f>
        <v>La Plata</v>
      </c>
      <c r="B86" s="70">
        <f>+Pobl_adoptada!B86</f>
        <v>82</v>
      </c>
      <c r="C86" s="353" t="str">
        <f>+Pobl_adoptada!C86</f>
        <v>La Plata</v>
      </c>
      <c r="D86" s="261">
        <f>IF(E86&lt;=15000,DATOS!B$3,IF(E86&lt;=50000,DATOS!B$4,IF(E86&lt;=300000,DATOS!B$5,IF(E86&lt;=500000,DATOS!B$6,DATOS!B$7))))</f>
        <v>1.41</v>
      </c>
      <c r="E86" s="262">
        <f>+Pobl_adoptada!F86</f>
        <v>735333</v>
      </c>
      <c r="F86" s="263">
        <f>+Pobl_adoptada!G86*$D86/1000</f>
        <v>1048.4590799999999</v>
      </c>
      <c r="G86" s="263">
        <f>+Pobl_adoptada!H86*$D86/1000</f>
        <v>1084.1701499999999</v>
      </c>
      <c r="H86" s="263">
        <f>+Pobl_adoptada!I86*$D86/1000</f>
        <v>1096.34268</v>
      </c>
      <c r="I86" s="263">
        <f>+Pobl_adoptada!J86*$D86/1000</f>
        <v>1108.6505699999998</v>
      </c>
      <c r="J86" s="263">
        <f>+Pobl_adoptada!K86*$D86/1000</f>
        <v>1121.0980500000001</v>
      </c>
      <c r="K86" s="263">
        <f>+Pobl_adoptada!L86*$D86/1000</f>
        <v>1133.68371</v>
      </c>
      <c r="L86" s="263">
        <f>+Pobl_adoptada!M86*$D86/1000</f>
        <v>1146.4117800000001</v>
      </c>
      <c r="M86" s="263">
        <f>+Pobl_adoptada!N86*$D86/1000</f>
        <v>1159.28226</v>
      </c>
      <c r="N86" s="263">
        <f>+Pobl_adoptada!O86*$D86/1000</f>
        <v>1172.2979700000001</v>
      </c>
      <c r="O86" s="263">
        <f>+Pobl_adoptada!P86*$D86/1000</f>
        <v>1185.4589099999998</v>
      </c>
      <c r="P86" s="263">
        <f>+Pobl_adoptada!Q86*$D86/1000</f>
        <v>1198.7678999999998</v>
      </c>
      <c r="Q86" s="263">
        <f>+Pobl_adoptada!R86*$D86/1000</f>
        <v>1212.2263499999999</v>
      </c>
      <c r="R86" s="263">
        <f>+Pobl_adoptada!S86*$D86/1000</f>
        <v>1225.8356699999999</v>
      </c>
      <c r="S86" s="263">
        <f>+Pobl_adoptada!T86*$D86/1000</f>
        <v>1239.59727</v>
      </c>
      <c r="T86" s="263">
        <f>+Pobl_adoptada!U86*$D86/1000</f>
        <v>1253.51397</v>
      </c>
      <c r="U86" s="263">
        <f>+Pobl_adoptada!V86*$D86/1000</f>
        <v>1267.58718</v>
      </c>
      <c r="V86" s="263">
        <f>+Pobl_adoptada!W86*$D86/1000</f>
        <v>1281.8183099999999</v>
      </c>
      <c r="W86" s="263">
        <f>+Pobl_adoptada!X86*$D86/1000</f>
        <v>1296.21018</v>
      </c>
      <c r="X86" s="263">
        <f>+Pobl_adoptada!Y86*$D86/1000</f>
        <v>1310.7613799999999</v>
      </c>
      <c r="Y86" s="263">
        <f>+Pobl_adoptada!Z86*$D86/1000</f>
        <v>1325.4775499999998</v>
      </c>
      <c r="Z86" s="263">
        <f>+Pobl_adoptada!AA86*$D86/1000</f>
        <v>1340.35869</v>
      </c>
    </row>
    <row r="87" spans="1:29" ht="24.95" hidden="1" customHeight="1">
      <c r="A87" s="351" t="str">
        <f>+Pobl_adoptada!A87</f>
        <v>Laprida</v>
      </c>
      <c r="B87" s="70">
        <f>+Pobl_adoptada!B87</f>
        <v>83</v>
      </c>
      <c r="C87" s="353" t="str">
        <f>+Pobl_adoptada!C87</f>
        <v>Laprida</v>
      </c>
      <c r="D87" s="261">
        <f>IF(E87&lt;=15000,DATOS!B$3,IF(E87&lt;=50000,DATOS!B$4,IF(E87&lt;=300000,DATOS!B$5,IF(E87&lt;=500000,DATOS!B$6,DATOS!B$7))))</f>
        <v>0.92</v>
      </c>
      <c r="E87" s="262">
        <f>+Pobl_adoptada!F87</f>
        <v>9807</v>
      </c>
      <c r="F87" s="263">
        <f>+Pobl_adoptada!G87*$D87/1000</f>
        <v>9.1006400000000021</v>
      </c>
      <c r="G87" s="263">
        <f>+Pobl_adoptada!H87*$D87/1000</f>
        <v>9.3398400000000006</v>
      </c>
      <c r="H87" s="263">
        <f>+Pobl_adoptada!I87*$D87/1000</f>
        <v>9.4208000000000016</v>
      </c>
      <c r="I87" s="263">
        <f>+Pobl_adoptada!J87*$D87/1000</f>
        <v>9.5026799999999998</v>
      </c>
      <c r="J87" s="263">
        <f>+Pobl_adoptada!K87*$D87/1000</f>
        <v>9.5854800000000004</v>
      </c>
      <c r="K87" s="263">
        <f>+Pobl_adoptada!L87*$D87/1000</f>
        <v>9.6682800000000011</v>
      </c>
      <c r="L87" s="263">
        <f>+Pobl_adoptada!M87*$D87/1000</f>
        <v>9.7529199999999996</v>
      </c>
      <c r="M87" s="263">
        <f>+Pobl_adoptada!N87*$D87/1000</f>
        <v>9.8375600000000016</v>
      </c>
      <c r="N87" s="263">
        <f>+Pobl_adoptada!O87*$D87/1000</f>
        <v>9.9231200000000008</v>
      </c>
      <c r="O87" s="263">
        <f>+Pobl_adoptada!P87*$D87/1000</f>
        <v>10.00868</v>
      </c>
      <c r="P87" s="263">
        <f>+Pobl_adoptada!Q87*$D87/1000</f>
        <v>10.096080000000001</v>
      </c>
      <c r="Q87" s="263">
        <f>+Pobl_adoptada!R87*$D87/1000</f>
        <v>10.183479999999999</v>
      </c>
      <c r="R87" s="263">
        <f>+Pobl_adoptada!S87*$D87/1000</f>
        <v>10.271800000000001</v>
      </c>
      <c r="S87" s="263">
        <f>+Pobl_adoptada!T87*$D87/1000</f>
        <v>10.361040000000001</v>
      </c>
      <c r="T87" s="263">
        <f>+Pobl_adoptada!U87*$D87/1000</f>
        <v>10.4512</v>
      </c>
      <c r="U87" s="263">
        <f>+Pobl_adoptada!V87*$D87/1000</f>
        <v>10.54228</v>
      </c>
      <c r="V87" s="263">
        <f>+Pobl_adoptada!W87*$D87/1000</f>
        <v>10.63336</v>
      </c>
      <c r="W87" s="263">
        <f>+Pobl_adoptada!X87*$D87/1000</f>
        <v>10.726280000000001</v>
      </c>
      <c r="X87" s="263">
        <f>+Pobl_adoptada!Y87*$D87/1000</f>
        <v>10.8192</v>
      </c>
      <c r="Y87" s="263">
        <f>+Pobl_adoptada!Z87*$D87/1000</f>
        <v>10.913040000000001</v>
      </c>
      <c r="Z87" s="263">
        <f>+Pobl_adoptada!AA87*$D87/1000</f>
        <v>11.007800000000001</v>
      </c>
    </row>
    <row r="88" spans="1:29" ht="24.95" hidden="1" customHeight="1">
      <c r="A88" s="351" t="str">
        <f>+Pobl_adoptada!A88</f>
        <v>Las Flores</v>
      </c>
      <c r="B88" s="70">
        <f>+Pobl_adoptada!B88</f>
        <v>84</v>
      </c>
      <c r="C88" s="353" t="str">
        <f>+Pobl_adoptada!C88</f>
        <v>Las Flores</v>
      </c>
      <c r="D88" s="261">
        <f>IF(E88&lt;=15000,DATOS!B$3,IF(E88&lt;=50000,DATOS!B$4,IF(E88&lt;=300000,DATOS!B$5,IF(E88&lt;=500000,DATOS!B$6,DATOS!B$7))))</f>
        <v>1.06</v>
      </c>
      <c r="E88" s="262">
        <f>+Pobl_adoptada!F88</f>
        <v>23600</v>
      </c>
      <c r="F88" s="263">
        <f>+Pobl_adoptada!G88*$D88/1000</f>
        <v>25.327640000000002</v>
      </c>
      <c r="G88" s="263">
        <f>+Pobl_adoptada!H88*$D88/1000</f>
        <v>26.264680000000002</v>
      </c>
      <c r="H88" s="263">
        <f>+Pobl_adoptada!I88*$D88/1000</f>
        <v>26.577380000000002</v>
      </c>
      <c r="I88" s="263">
        <f>+Pobl_adoptada!J88*$D88/1000</f>
        <v>26.890080000000001</v>
      </c>
      <c r="J88" s="263">
        <f>+Pobl_adoptada!K88*$D88/1000</f>
        <v>27.201720000000002</v>
      </c>
      <c r="K88" s="263">
        <f>+Pobl_adoptada!L88*$D88/1000</f>
        <v>27.514420000000001</v>
      </c>
      <c r="L88" s="263">
        <f>+Pobl_adoptada!M88*$D88/1000</f>
        <v>27.927820000000001</v>
      </c>
      <c r="M88" s="263">
        <f>+Pobl_adoptada!N88*$D88/1000</f>
        <v>28.342280000000002</v>
      </c>
      <c r="N88" s="263">
        <f>+Pobl_adoptada!O88*$D88/1000</f>
        <v>28.755680000000002</v>
      </c>
      <c r="O88" s="263">
        <f>+Pobl_adoptada!P88*$D88/1000</f>
        <v>29.170140000000004</v>
      </c>
      <c r="P88" s="263">
        <f>+Pobl_adoptada!Q88*$D88/1000</f>
        <v>29.583539999999999</v>
      </c>
      <c r="Q88" s="263">
        <f>+Pobl_adoptada!R88*$D88/1000</f>
        <v>29.998000000000001</v>
      </c>
      <c r="R88" s="263">
        <f>+Pobl_adoptada!S88*$D88/1000</f>
        <v>30.4114</v>
      </c>
      <c r="S88" s="263">
        <f>+Pobl_adoptada!T88*$D88/1000</f>
        <v>30.825860000000002</v>
      </c>
      <c r="T88" s="263">
        <f>+Pobl_adoptada!U88*$D88/1000</f>
        <v>31.239260000000002</v>
      </c>
      <c r="U88" s="263">
        <f>+Pobl_adoptada!V88*$D88/1000</f>
        <v>31.65372</v>
      </c>
      <c r="V88" s="263">
        <f>+Pobl_adoptada!W88*$D88/1000</f>
        <v>32.067120000000003</v>
      </c>
      <c r="W88" s="263">
        <f>+Pobl_adoptada!X88*$D88/1000</f>
        <v>32.481580000000001</v>
      </c>
      <c r="X88" s="263">
        <f>+Pobl_adoptada!Y88*$D88/1000</f>
        <v>32.894980000000004</v>
      </c>
      <c r="Y88" s="263">
        <f>+Pobl_adoptada!Z88*$D88/1000</f>
        <v>33.309440000000002</v>
      </c>
      <c r="Z88" s="263">
        <f>+Pobl_adoptada!AA88*$D88/1000</f>
        <v>33.722840000000005</v>
      </c>
    </row>
    <row r="89" spans="1:29" ht="24.95" hidden="1" customHeight="1">
      <c r="A89" s="351" t="str">
        <f>+Pobl_adoptada!A89</f>
        <v>Leandro N. Alem</v>
      </c>
      <c r="B89" s="70">
        <f>+Pobl_adoptada!B89</f>
        <v>85</v>
      </c>
      <c r="C89" s="353" t="str">
        <f>+Pobl_adoptada!C89</f>
        <v>Vedia</v>
      </c>
      <c r="D89" s="261">
        <f>IF(E89&lt;=15000,DATOS!B$3,IF(E89&lt;=50000,DATOS!B$4,IF(E89&lt;=300000,DATOS!B$5,IF(E89&lt;=500000,DATOS!B$6,DATOS!B$7))))</f>
        <v>0.92</v>
      </c>
      <c r="E89" s="262">
        <f>+Pobl_adoptada!F89</f>
        <v>9833</v>
      </c>
      <c r="F89" s="263">
        <f>+Pobl_adoptada!G89*$D89/1000</f>
        <v>9.1227200000000011</v>
      </c>
      <c r="G89" s="263">
        <f>+Pobl_adoptada!H89*$D89/1000</f>
        <v>9.3536400000000004</v>
      </c>
      <c r="H89" s="263">
        <f>+Pobl_adoptada!I89*$D89/1000</f>
        <v>9.43</v>
      </c>
      <c r="I89" s="263">
        <f>+Pobl_adoptada!J89*$D89/1000</f>
        <v>9.5063600000000008</v>
      </c>
      <c r="J89" s="263">
        <f>+Pobl_adoptada!K89*$D89/1000</f>
        <v>9.5836400000000008</v>
      </c>
      <c r="K89" s="263">
        <f>+Pobl_adoptada!L89*$D89/1000</f>
        <v>9.66</v>
      </c>
      <c r="L89" s="263">
        <f>+Pobl_adoptada!M89*$D89/1000</f>
        <v>9.7372800000000002</v>
      </c>
      <c r="M89" s="263">
        <f>+Pobl_adoptada!N89*$D89/1000</f>
        <v>9.8136400000000013</v>
      </c>
      <c r="N89" s="263">
        <f>+Pobl_adoptada!O89*$D89/1000</f>
        <v>9.8909199999999995</v>
      </c>
      <c r="O89" s="263">
        <f>+Pobl_adoptada!P89*$D89/1000</f>
        <v>9.9672800000000006</v>
      </c>
      <c r="P89" s="263">
        <f>+Pobl_adoptada!Q89*$D89/1000</f>
        <v>10.044560000000001</v>
      </c>
      <c r="Q89" s="263">
        <f>+Pobl_adoptada!R89*$D89/1000</f>
        <v>10.12092</v>
      </c>
      <c r="R89" s="263">
        <f>+Pobl_adoptada!S89*$D89/1000</f>
        <v>10.197280000000001</v>
      </c>
      <c r="S89" s="263">
        <f>+Pobl_adoptada!T89*$D89/1000</f>
        <v>10.274560000000001</v>
      </c>
      <c r="T89" s="263">
        <f>+Pobl_adoptada!U89*$D89/1000</f>
        <v>10.35092</v>
      </c>
      <c r="U89" s="263">
        <f>+Pobl_adoptada!V89*$D89/1000</f>
        <v>10.4282</v>
      </c>
      <c r="V89" s="263">
        <f>+Pobl_adoptada!W89*$D89/1000</f>
        <v>10.504560000000001</v>
      </c>
      <c r="W89" s="263">
        <f>+Pobl_adoptada!X89*$D89/1000</f>
        <v>10.58184</v>
      </c>
      <c r="X89" s="263">
        <f>+Pobl_adoptada!Y89*$D89/1000</f>
        <v>10.658200000000001</v>
      </c>
      <c r="Y89" s="263">
        <f>+Pobl_adoptada!Z89*$D89/1000</f>
        <v>10.735479999999999</v>
      </c>
      <c r="Z89" s="263">
        <f>+Pobl_adoptada!AA89*$D89/1000</f>
        <v>10.81184</v>
      </c>
    </row>
    <row r="90" spans="1:29" ht="24.95" hidden="1" customHeight="1">
      <c r="A90" s="351" t="str">
        <f>+Pobl_adoptada!A90</f>
        <v>Lincoln</v>
      </c>
      <c r="B90" s="70">
        <f>+Pobl_adoptada!B90</f>
        <v>86</v>
      </c>
      <c r="C90" s="353" t="str">
        <f>+Pobl_adoptada!C90</f>
        <v>Lincoln</v>
      </c>
      <c r="D90" s="261">
        <f>IF(E90&lt;=15000,DATOS!B$3,IF(E90&lt;=50000,DATOS!B$4,IF(E90&lt;=300000,DATOS!B$5,IF(E90&lt;=500000,DATOS!B$6,DATOS!B$7))))</f>
        <v>1.06</v>
      </c>
      <c r="E90" s="262">
        <f>+Pobl_adoptada!F90</f>
        <v>29635</v>
      </c>
      <c r="F90" s="263">
        <f>+Pobl_adoptada!G90*$D90/1000</f>
        <v>31.557260000000003</v>
      </c>
      <c r="G90" s="263">
        <f>+Pobl_adoptada!H90*$D90/1000</f>
        <v>31.992920000000002</v>
      </c>
      <c r="H90" s="263">
        <f>+Pobl_adoptada!I90*$D90/1000</f>
        <v>32.140260000000005</v>
      </c>
      <c r="I90" s="263">
        <f>+Pobl_adoptada!J90*$D90/1000</f>
        <v>32.287600000000005</v>
      </c>
      <c r="J90" s="263">
        <f>+Pobl_adoptada!K90*$D90/1000</f>
        <v>32.436</v>
      </c>
      <c r="K90" s="263">
        <f>+Pobl_adoptada!L90*$D90/1000</f>
        <v>32.584400000000002</v>
      </c>
      <c r="L90" s="263">
        <f>+Pobl_adoptada!M90*$D90/1000</f>
        <v>32.73386</v>
      </c>
      <c r="M90" s="263">
        <f>+Pobl_adoptada!N90*$D90/1000</f>
        <v>32.884380000000007</v>
      </c>
      <c r="N90" s="263">
        <f>+Pobl_adoptada!O90*$D90/1000</f>
        <v>33.0349</v>
      </c>
      <c r="O90" s="263">
        <f>+Pobl_adoptada!P90*$D90/1000</f>
        <v>33.186480000000003</v>
      </c>
      <c r="P90" s="263">
        <f>+Pobl_adoptada!Q90*$D90/1000</f>
        <v>33.338060000000006</v>
      </c>
      <c r="Q90" s="263">
        <f>+Pobl_adoptada!R90*$D90/1000</f>
        <v>33.491759999999999</v>
      </c>
      <c r="R90" s="263">
        <f>+Pobl_adoptada!S90*$D90/1000</f>
        <v>33.64546</v>
      </c>
      <c r="S90" s="263">
        <f>+Pobl_adoptada!T90*$D90/1000</f>
        <v>33.799160000000001</v>
      </c>
      <c r="T90" s="263">
        <f>+Pobl_adoptada!U90*$D90/1000</f>
        <v>33.954980000000006</v>
      </c>
      <c r="U90" s="263">
        <f>+Pobl_adoptada!V90*$D90/1000</f>
        <v>34.110800000000005</v>
      </c>
      <c r="V90" s="263">
        <f>+Pobl_adoptada!W90*$D90/1000</f>
        <v>34.266620000000003</v>
      </c>
      <c r="W90" s="263">
        <f>+Pobl_adoptada!X90*$D90/1000</f>
        <v>34.423499999999997</v>
      </c>
      <c r="X90" s="263">
        <f>+Pobl_adoptada!Y90*$D90/1000</f>
        <v>34.581440000000001</v>
      </c>
      <c r="Y90" s="263">
        <f>+Pobl_adoptada!Z90*$D90/1000</f>
        <v>34.74044</v>
      </c>
      <c r="Z90" s="263">
        <f>+Pobl_adoptada!AA90*$D90/1000</f>
        <v>34.899440000000006</v>
      </c>
    </row>
    <row r="91" spans="1:29" ht="24.95" hidden="1" customHeight="1">
      <c r="A91" s="351" t="str">
        <f>+Pobl_adoptada!A91</f>
        <v>Lobería</v>
      </c>
      <c r="B91" s="70">
        <f>+Pobl_adoptada!B91</f>
        <v>87</v>
      </c>
      <c r="C91" s="353" t="str">
        <f>+Pobl_adoptada!C91</f>
        <v>Lobería</v>
      </c>
      <c r="D91" s="261">
        <f>IF(E91&lt;=15000,DATOS!B$3,IF(E91&lt;=50000,DATOS!B$4,IF(E91&lt;=300000,DATOS!B$5,IF(E91&lt;=500000,DATOS!B$6,DATOS!B$7))))</f>
        <v>0.92</v>
      </c>
      <c r="E91" s="262">
        <f>+Pobl_adoptada!F91</f>
        <v>14163</v>
      </c>
      <c r="F91" s="263">
        <f>+Pobl_adoptada!G91*$D91/1000</f>
        <v>13.12288</v>
      </c>
      <c r="G91" s="263">
        <f>+Pobl_adoptada!H91*$D91/1000</f>
        <v>13.40624</v>
      </c>
      <c r="H91" s="263">
        <f>+Pobl_adoptada!I91*$D91/1000</f>
        <v>13.50192</v>
      </c>
      <c r="I91" s="263">
        <f>+Pobl_adoptada!J91*$D91/1000</f>
        <v>13.5976</v>
      </c>
      <c r="J91" s="263">
        <f>+Pobl_adoptada!K91*$D91/1000</f>
        <v>13.695120000000001</v>
      </c>
      <c r="K91" s="263">
        <f>+Pobl_adoptada!L91*$D91/1000</f>
        <v>13.79264</v>
      </c>
      <c r="L91" s="263">
        <f>+Pobl_adoptada!M91*$D91/1000</f>
        <v>13.891080000000001</v>
      </c>
      <c r="M91" s="263">
        <f>+Pobl_adoptada!N91*$D91/1000</f>
        <v>13.990440000000001</v>
      </c>
      <c r="N91" s="263">
        <f>+Pobl_adoptada!O91*$D91/1000</f>
        <v>14.0898</v>
      </c>
      <c r="O91" s="263">
        <f>+Pobl_adoptada!P91*$D91/1000</f>
        <v>14.19008</v>
      </c>
      <c r="P91" s="263">
        <f>+Pobl_adoptada!Q91*$D91/1000</f>
        <v>14.29128</v>
      </c>
      <c r="Q91" s="263">
        <f>+Pobl_adoptada!R91*$D91/1000</f>
        <v>14.393400000000002</v>
      </c>
      <c r="R91" s="263">
        <f>+Pobl_adoptada!S91*$D91/1000</f>
        <v>14.49644</v>
      </c>
      <c r="S91" s="263">
        <f>+Pobl_adoptada!T91*$D91/1000</f>
        <v>14.599480000000002</v>
      </c>
      <c r="T91" s="263">
        <f>+Pobl_adoptada!U91*$D91/1000</f>
        <v>14.703440000000001</v>
      </c>
      <c r="U91" s="263">
        <f>+Pobl_adoptada!V91*$D91/1000</f>
        <v>14.808320000000002</v>
      </c>
      <c r="V91" s="263">
        <f>+Pobl_adoptada!W91*$D91/1000</f>
        <v>14.91412</v>
      </c>
      <c r="W91" s="263">
        <f>+Pobl_adoptada!X91*$D91/1000</f>
        <v>15.02084</v>
      </c>
      <c r="X91" s="263">
        <f>+Pobl_adoptada!Y91*$D91/1000</f>
        <v>15.127560000000001</v>
      </c>
      <c r="Y91" s="263">
        <f>+Pobl_adoptada!Z91*$D91/1000</f>
        <v>15.236120000000001</v>
      </c>
      <c r="Z91" s="263">
        <f>+Pobl_adoptada!AA91*$D91/1000</f>
        <v>15.34468</v>
      </c>
    </row>
    <row r="92" spans="1:29" ht="24.95" hidden="1" customHeight="1">
      <c r="A92" s="351" t="str">
        <f>+Pobl_adoptada!A92</f>
        <v>Lobos</v>
      </c>
      <c r="B92" s="70">
        <f>+Pobl_adoptada!B92</f>
        <v>88</v>
      </c>
      <c r="C92" s="353" t="str">
        <f>+Pobl_adoptada!C92</f>
        <v>Lobos</v>
      </c>
      <c r="D92" s="261">
        <f>IF(E92&lt;=15000,DATOS!B$3,IF(E92&lt;=50000,DATOS!B$4,IF(E92&lt;=300000,DATOS!B$5,IF(E92&lt;=500000,DATOS!B$6,DATOS!B$7))))</f>
        <v>1.06</v>
      </c>
      <c r="E92" s="262">
        <f>+Pobl_adoptada!F92</f>
        <v>34278</v>
      </c>
      <c r="F92" s="263">
        <f>+Pobl_adoptada!G92*$D92/1000</f>
        <v>36.754440000000002</v>
      </c>
      <c r="G92" s="263">
        <f>+Pobl_adoptada!H92*$D92/1000</f>
        <v>38.04128</v>
      </c>
      <c r="H92" s="263">
        <f>+Pobl_adoptada!I92*$D92/1000</f>
        <v>38.480119999999999</v>
      </c>
      <c r="I92" s="263">
        <f>+Pobl_adoptada!J92*$D92/1000</f>
        <v>38.924260000000004</v>
      </c>
      <c r="J92" s="263">
        <f>+Pobl_adoptada!K92*$D92/1000</f>
        <v>39.373700000000007</v>
      </c>
      <c r="K92" s="263">
        <f>+Pobl_adoptada!L92*$D92/1000</f>
        <v>39.828440000000001</v>
      </c>
      <c r="L92" s="263">
        <f>+Pobl_adoptada!M92*$D92/1000</f>
        <v>40.28848</v>
      </c>
      <c r="M92" s="263">
        <f>+Pobl_adoptada!N92*$D92/1000</f>
        <v>40.752760000000002</v>
      </c>
      <c r="N92" s="263">
        <f>+Pobl_adoptada!O92*$D92/1000</f>
        <v>41.223399999999998</v>
      </c>
      <c r="O92" s="263">
        <f>+Pobl_adoptada!P92*$D92/1000</f>
        <v>41.699340000000007</v>
      </c>
      <c r="P92" s="263">
        <f>+Pobl_adoptada!Q92*$D92/1000</f>
        <v>42.180579999999999</v>
      </c>
      <c r="Q92" s="263">
        <f>+Pobl_adoptada!R92*$D92/1000</f>
        <v>42.667120000000004</v>
      </c>
      <c r="R92" s="263">
        <f>+Pobl_adoptada!S92*$D92/1000</f>
        <v>43.160020000000003</v>
      </c>
      <c r="S92" s="263">
        <f>+Pobl_adoptada!T92*$D92/1000</f>
        <v>43.65822</v>
      </c>
      <c r="T92" s="263">
        <f>+Pobl_adoptada!U92*$D92/1000</f>
        <v>44.161720000000003</v>
      </c>
      <c r="U92" s="263">
        <f>+Pobl_adoptada!V92*$D92/1000</f>
        <v>44.671579999999999</v>
      </c>
      <c r="V92" s="263">
        <f>+Pobl_adoptada!W92*$D92/1000</f>
        <v>45.187800000000003</v>
      </c>
      <c r="W92" s="263">
        <f>+Pobl_adoptada!X92*$D92/1000</f>
        <v>45.709319999999998</v>
      </c>
      <c r="X92" s="263">
        <f>+Pobl_adoptada!Y92*$D92/1000</f>
        <v>46.237200000000001</v>
      </c>
      <c r="Y92" s="263">
        <f>+Pobl_adoptada!Z92*$D92/1000</f>
        <v>46.770380000000003</v>
      </c>
      <c r="Z92" s="263">
        <f>+Pobl_adoptada!AA92*$D92/1000</f>
        <v>47.309920000000005</v>
      </c>
    </row>
    <row r="93" spans="1:29" ht="24.95" hidden="1" customHeight="1">
      <c r="A93" s="351" t="str">
        <f>+Pobl_adoptada!A93</f>
        <v>Luján</v>
      </c>
      <c r="B93" s="70">
        <f>+Pobl_adoptada!B93</f>
        <v>89</v>
      </c>
      <c r="C93" s="353" t="str">
        <f>+Pobl_adoptada!C93</f>
        <v>Luján</v>
      </c>
      <c r="D93" s="261">
        <f>IF(E93&lt;=15000,DATOS!B$3,IF(E93&lt;=50000,DATOS!B$4,IF(E93&lt;=300000,DATOS!B$5,IF(E93&lt;=500000,DATOS!B$6,DATOS!B$7))))</f>
        <v>1.02</v>
      </c>
      <c r="E93" s="262">
        <f>+Pobl_adoptada!F93</f>
        <v>117714</v>
      </c>
      <c r="F93" s="263">
        <f>+Pobl_adoptada!G93*$D93/1000</f>
        <v>122.14398</v>
      </c>
      <c r="G93" s="263">
        <f>+Pobl_adoptada!H93*$D93/1000</f>
        <v>128.37006</v>
      </c>
      <c r="H93" s="263">
        <f>+Pobl_adoptada!I93*$D93/1000</f>
        <v>130.44474</v>
      </c>
      <c r="I93" s="263">
        <f>+Pobl_adoptada!J93*$D93/1000</f>
        <v>132.52044000000001</v>
      </c>
      <c r="J93" s="263">
        <f>+Pobl_adoptada!K93*$D93/1000</f>
        <v>134.59614000000002</v>
      </c>
      <c r="K93" s="263">
        <f>+Pobl_adoptada!L93*$D93/1000</f>
        <v>136.67082000000002</v>
      </c>
      <c r="L93" s="263">
        <f>+Pobl_adoptada!M93*$D93/1000</f>
        <v>138.74651999999998</v>
      </c>
      <c r="M93" s="263">
        <f>+Pobl_adoptada!N93*$D93/1000</f>
        <v>140.8212</v>
      </c>
      <c r="N93" s="263">
        <f>+Pobl_adoptada!O93*$D93/1000</f>
        <v>142.89689999999999</v>
      </c>
      <c r="O93" s="263">
        <f>+Pobl_adoptada!P93*$D93/1000</f>
        <v>144.9726</v>
      </c>
      <c r="P93" s="263">
        <f>+Pobl_adoptada!Q93*$D93/1000</f>
        <v>147.04728</v>
      </c>
      <c r="Q93" s="263">
        <f>+Pobl_adoptada!R93*$D93/1000</f>
        <v>149.12298000000001</v>
      </c>
      <c r="R93" s="263">
        <f>+Pobl_adoptada!S93*$D93/1000</f>
        <v>151.19868</v>
      </c>
      <c r="S93" s="263">
        <f>+Pobl_adoptada!T93*$D93/1000</f>
        <v>153.27336000000003</v>
      </c>
      <c r="T93" s="263">
        <f>+Pobl_adoptada!U93*$D93/1000</f>
        <v>155.34906000000001</v>
      </c>
      <c r="U93" s="263">
        <f>+Pobl_adoptada!V93*$D93/1000</f>
        <v>157.42373999999998</v>
      </c>
      <c r="V93" s="263">
        <f>+Pobl_adoptada!W93*$D93/1000</f>
        <v>159.49943999999999</v>
      </c>
      <c r="W93" s="263">
        <f>+Pobl_adoptada!X93*$D93/1000</f>
        <v>161.57514</v>
      </c>
      <c r="X93" s="263">
        <f>+Pobl_adoptada!Y93*$D93/1000</f>
        <v>163.64982000000001</v>
      </c>
      <c r="Y93" s="263">
        <f>+Pobl_adoptada!Z93*$D93/1000</f>
        <v>165.72551999999999</v>
      </c>
      <c r="Z93" s="263">
        <f>+Pobl_adoptada!AA93*$D93/1000</f>
        <v>167.80020000000002</v>
      </c>
    </row>
    <row r="94" spans="1:29" ht="24.95" hidden="1" customHeight="1">
      <c r="A94" s="351" t="str">
        <f>+Pobl_adoptada!A94</f>
        <v>Magdalena</v>
      </c>
      <c r="B94" s="70">
        <f>+Pobl_adoptada!B94</f>
        <v>90</v>
      </c>
      <c r="C94" s="353" t="str">
        <f>+Pobl_adoptada!C94</f>
        <v>Magdalena</v>
      </c>
      <c r="D94" s="261">
        <f>IF(E94&lt;=15000,DATOS!B$3,IF(E94&lt;=50000,DATOS!B$4,IF(E94&lt;=300000,DATOS!B$5,IF(E94&lt;=500000,DATOS!B$6,DATOS!B$7))))</f>
        <v>0.92</v>
      </c>
      <c r="E94" s="262">
        <f>+Pobl_adoptada!F94</f>
        <v>13206</v>
      </c>
      <c r="F94" s="263">
        <f>+Pobl_adoptada!G94*$D94/1000</f>
        <v>12.316040000000001</v>
      </c>
      <c r="G94" s="263">
        <f>+Pobl_adoptada!H94*$D94/1000</f>
        <v>12.814680000000001</v>
      </c>
      <c r="H94" s="263">
        <f>+Pobl_adoptada!I94*$D94/1000</f>
        <v>12.981200000000001</v>
      </c>
      <c r="I94" s="263">
        <f>+Pobl_adoptada!J94*$D94/1000</f>
        <v>13.147720000000001</v>
      </c>
      <c r="J94" s="263">
        <f>+Pobl_adoptada!K94*$D94/1000</f>
        <v>13.31424</v>
      </c>
      <c r="K94" s="263">
        <f>+Pobl_adoptada!L94*$D94/1000</f>
        <v>13.48076</v>
      </c>
      <c r="L94" s="263">
        <f>+Pobl_adoptada!M94*$D94/1000</f>
        <v>13.64728</v>
      </c>
      <c r="M94" s="263">
        <f>+Pobl_adoptada!N94*$D94/1000</f>
        <v>13.813800000000001</v>
      </c>
      <c r="N94" s="263">
        <f>+Pobl_adoptada!O94*$D94/1000</f>
        <v>13.980319999999999</v>
      </c>
      <c r="O94" s="263">
        <f>+Pobl_adoptada!P94*$D94/1000</f>
        <v>14.146840000000001</v>
      </c>
      <c r="P94" s="263">
        <f>+Pobl_adoptada!Q94*$D94/1000</f>
        <v>14.313360000000001</v>
      </c>
      <c r="Q94" s="263">
        <f>+Pobl_adoptada!R94*$D94/1000</f>
        <v>14.479880000000001</v>
      </c>
      <c r="R94" s="263">
        <f>+Pobl_adoptada!S94*$D94/1000</f>
        <v>14.646400000000002</v>
      </c>
      <c r="S94" s="263">
        <f>+Pobl_adoptada!T94*$D94/1000</f>
        <v>14.81292</v>
      </c>
      <c r="T94" s="263">
        <f>+Pobl_adoptada!U94*$D94/1000</f>
        <v>14.97944</v>
      </c>
      <c r="U94" s="263">
        <f>+Pobl_adoptada!V94*$D94/1000</f>
        <v>15.145960000000001</v>
      </c>
      <c r="V94" s="263">
        <f>+Pobl_adoptada!W94*$D94/1000</f>
        <v>15.312480000000001</v>
      </c>
      <c r="W94" s="263">
        <f>+Pobl_adoptada!X94*$D94/1000</f>
        <v>15.478999999999999</v>
      </c>
      <c r="X94" s="263">
        <f>+Pobl_adoptada!Y94*$D94/1000</f>
        <v>15.645520000000001</v>
      </c>
      <c r="Y94" s="263">
        <f>+Pobl_adoptada!Z94*$D94/1000</f>
        <v>15.812040000000001</v>
      </c>
      <c r="Z94" s="263">
        <f>+Pobl_adoptada!AA94*$D94/1000</f>
        <v>15.978560000000002</v>
      </c>
    </row>
    <row r="95" spans="1:29" ht="24.95" hidden="1" customHeight="1">
      <c r="A95" s="351" t="str">
        <f>+Pobl_adoptada!A95</f>
        <v>Maipú</v>
      </c>
      <c r="B95" s="70">
        <f>+Pobl_adoptada!B95</f>
        <v>91</v>
      </c>
      <c r="C95" s="353" t="str">
        <f>+Pobl_adoptada!C95</f>
        <v>Maipú</v>
      </c>
      <c r="D95" s="261">
        <f>IF(E95&lt;=15000,DATOS!B$3,IF(E95&lt;=50000,DATOS!B$4,IF(E95&lt;=300000,DATOS!B$5,IF(E95&lt;=500000,DATOS!B$6,DATOS!B$7))))</f>
        <v>0.92</v>
      </c>
      <c r="E95" s="262">
        <f>+Pobl_adoptada!F95</f>
        <v>9561</v>
      </c>
      <c r="F95" s="263">
        <f>+Pobl_adoptada!G95*$D95/1000</f>
        <v>8.8375199999999996</v>
      </c>
      <c r="G95" s="263">
        <f>+Pobl_adoptada!H95*$D95/1000</f>
        <v>8.9626400000000004</v>
      </c>
      <c r="H95" s="263">
        <f>+Pobl_adoptada!I95*$D95/1000</f>
        <v>9.0040400000000016</v>
      </c>
      <c r="I95" s="263">
        <f>+Pobl_adoptada!J95*$D95/1000</f>
        <v>9.045440000000001</v>
      </c>
      <c r="J95" s="263">
        <f>+Pobl_adoptada!K95*$D95/1000</f>
        <v>9.0877599999999994</v>
      </c>
      <c r="K95" s="263">
        <f>+Pobl_adoptada!L95*$D95/1000</f>
        <v>9.1291600000000006</v>
      </c>
      <c r="L95" s="263">
        <f>+Pobl_adoptada!M95*$D95/1000</f>
        <v>9.17056</v>
      </c>
      <c r="M95" s="263">
        <f>+Pobl_adoptada!N95*$D95/1000</f>
        <v>9.2128800000000002</v>
      </c>
      <c r="N95" s="263">
        <f>+Pobl_adoptada!O95*$D95/1000</f>
        <v>9.2542800000000014</v>
      </c>
      <c r="O95" s="263">
        <f>+Pobl_adoptada!P95*$D95/1000</f>
        <v>9.2956800000000008</v>
      </c>
      <c r="P95" s="263">
        <f>+Pobl_adoptada!Q95*$D95/1000</f>
        <v>9.3370800000000003</v>
      </c>
      <c r="Q95" s="263">
        <f>+Pobl_adoptada!R95*$D95/1000</f>
        <v>9.3794000000000004</v>
      </c>
      <c r="R95" s="263">
        <f>+Pobl_adoptada!S95*$D95/1000</f>
        <v>9.4208000000000016</v>
      </c>
      <c r="S95" s="263">
        <f>+Pobl_adoptada!T95*$D95/1000</f>
        <v>9.4622000000000011</v>
      </c>
      <c r="T95" s="263">
        <f>+Pobl_adoptada!U95*$D95/1000</f>
        <v>9.5045200000000012</v>
      </c>
      <c r="U95" s="263">
        <f>+Pobl_adoptada!V95*$D95/1000</f>
        <v>9.5459200000000006</v>
      </c>
      <c r="V95" s="263">
        <f>+Pobl_adoptada!W95*$D95/1000</f>
        <v>9.5873200000000001</v>
      </c>
      <c r="W95" s="263">
        <f>+Pobl_adoptada!X95*$D95/1000</f>
        <v>9.6287200000000013</v>
      </c>
      <c r="X95" s="263">
        <f>+Pobl_adoptada!Y95*$D95/1000</f>
        <v>9.6710400000000014</v>
      </c>
      <c r="Y95" s="263">
        <f>+Pobl_adoptada!Z95*$D95/1000</f>
        <v>9.7124400000000009</v>
      </c>
      <c r="Z95" s="263">
        <f>+Pobl_adoptada!AA95*$D95/1000</f>
        <v>9.7538400000000003</v>
      </c>
    </row>
    <row r="96" spans="1:29" ht="24.95" hidden="1" customHeight="1">
      <c r="A96" s="351" t="str">
        <f>+Pobl_adoptada!A96</f>
        <v>Mar Chiquita</v>
      </c>
      <c r="B96" s="70">
        <f>+Pobl_adoptada!B96</f>
        <v>92</v>
      </c>
      <c r="C96" s="353" t="str">
        <f>+Pobl_adoptada!C96</f>
        <v>Coronel Vidal</v>
      </c>
      <c r="D96" s="261">
        <f>IF(E96&lt;=15000,DATOS!B$3,IF(E96&lt;=50000,DATOS!B$4,IF(E96&lt;=300000,DATOS!B$5,IF(E96&lt;=500000,DATOS!B$6,DATOS!B$7))))</f>
        <v>0.92</v>
      </c>
      <c r="E96" s="262">
        <f>+Pobl_adoptada!F96</f>
        <v>7333</v>
      </c>
      <c r="F96" s="263">
        <f>+Pobl_adoptada!G96*$D96/1000</f>
        <v>6.83284</v>
      </c>
      <c r="G96" s="263">
        <f>+Pobl_adoptada!H96*$D96/1000</f>
        <v>7.0904400000000001</v>
      </c>
      <c r="H96" s="263">
        <f>+Pobl_adoptada!I96*$D96/1000</f>
        <v>7.17692</v>
      </c>
      <c r="I96" s="263">
        <f>+Pobl_adoptada!J96*$D96/1000</f>
        <v>7.26248</v>
      </c>
      <c r="J96" s="263">
        <f>+Pobl_adoptada!K96*$D96/1000</f>
        <v>7.3489599999999999</v>
      </c>
      <c r="K96" s="263">
        <f>+Pobl_adoptada!L96*$D96/1000</f>
        <v>7.43452</v>
      </c>
      <c r="L96" s="263">
        <f>+Pobl_adoptada!M96*$D96/1000</f>
        <v>7.5476800000000006</v>
      </c>
      <c r="M96" s="263">
        <f>+Pobl_adoptada!N96*$D96/1000</f>
        <v>7.6608400000000003</v>
      </c>
      <c r="N96" s="263">
        <f>+Pobl_adoptada!O96*$D96/1000</f>
        <v>7.774</v>
      </c>
      <c r="O96" s="263">
        <f>+Pobl_adoptada!P96*$D96/1000</f>
        <v>7.8871600000000006</v>
      </c>
      <c r="P96" s="263">
        <f>+Pobl_adoptada!Q96*$D96/1000</f>
        <v>7.9994000000000005</v>
      </c>
      <c r="Q96" s="263">
        <f>+Pobl_adoptada!R96*$D96/1000</f>
        <v>8.1125600000000002</v>
      </c>
      <c r="R96" s="263">
        <f>+Pobl_adoptada!S96*$D96/1000</f>
        <v>8.2257200000000008</v>
      </c>
      <c r="S96" s="263">
        <f>+Pobl_adoptada!T96*$D96/1000</f>
        <v>8.3388800000000014</v>
      </c>
      <c r="T96" s="263">
        <f>+Pobl_adoptada!U96*$D96/1000</f>
        <v>8.4520400000000002</v>
      </c>
      <c r="U96" s="263">
        <f>+Pobl_adoptada!V96*$D96/1000</f>
        <v>8.5642800000000001</v>
      </c>
      <c r="V96" s="263">
        <f>+Pobl_adoptada!W96*$D96/1000</f>
        <v>8.6774400000000007</v>
      </c>
      <c r="W96" s="263">
        <f>+Pobl_adoptada!X96*$D96/1000</f>
        <v>8.7905999999999995</v>
      </c>
      <c r="X96" s="263">
        <f>+Pobl_adoptada!Y96*$D96/1000</f>
        <v>8.9037600000000001</v>
      </c>
      <c r="Y96" s="263">
        <f>+Pobl_adoptada!Z96*$D96/1000</f>
        <v>9.0169200000000007</v>
      </c>
      <c r="Z96" s="263">
        <f>+Pobl_adoptada!AA96*$D96/1000</f>
        <v>9.1291600000000006</v>
      </c>
    </row>
    <row r="97" spans="1:29" ht="24.95" hidden="1" customHeight="1">
      <c r="A97" s="351" t="str">
        <f>+Pobl_adoptada!A97</f>
        <v>Marcos Paz</v>
      </c>
      <c r="B97" s="70">
        <f>+Pobl_adoptada!B97</f>
        <v>93</v>
      </c>
      <c r="C97" s="353" t="str">
        <f>+Pobl_adoptada!C97</f>
        <v>Marcos Paz</v>
      </c>
      <c r="D97" s="261">
        <f>IF(E97&lt;=15000,DATOS!B$3,IF(E97&lt;=50000,DATOS!B$4,IF(E97&lt;=300000,DATOS!B$5,IF(E97&lt;=500000,DATOS!B$6,DATOS!B$7))))</f>
        <v>1.02</v>
      </c>
      <c r="E97" s="262">
        <f>+Pobl_adoptada!F97</f>
        <v>66702</v>
      </c>
      <c r="F97" s="263">
        <f>+Pobl_adoptada!G97*$D97/1000</f>
        <v>69.395699999999991</v>
      </c>
      <c r="G97" s="263">
        <f>+Pobl_adoptada!H97*$D97/1000</f>
        <v>73.47672</v>
      </c>
      <c r="H97" s="263">
        <f>+Pobl_adoptada!I97*$D97/1000</f>
        <v>74.837399999999988</v>
      </c>
      <c r="I97" s="263">
        <f>+Pobl_adoptada!J97*$D97/1000</f>
        <v>76.197059999999993</v>
      </c>
      <c r="J97" s="263">
        <f>+Pobl_adoptada!K97*$D97/1000</f>
        <v>77.55774000000001</v>
      </c>
      <c r="K97" s="263">
        <f>+Pobl_adoptada!L97*$D97/1000</f>
        <v>78.917400000000001</v>
      </c>
      <c r="L97" s="263">
        <f>+Pobl_adoptada!M97*$D97/1000</f>
        <v>80.278080000000003</v>
      </c>
      <c r="M97" s="263">
        <f>+Pobl_adoptada!N97*$D97/1000</f>
        <v>81.638759999999991</v>
      </c>
      <c r="N97" s="263">
        <f>+Pobl_adoptada!O97*$D97/1000</f>
        <v>82.998419999999996</v>
      </c>
      <c r="O97" s="263">
        <f>+Pobl_adoptada!P97*$D97/1000</f>
        <v>84.359100000000012</v>
      </c>
      <c r="P97" s="263">
        <f>+Pobl_adoptada!Q97*$D97/1000</f>
        <v>85.718759999999989</v>
      </c>
      <c r="Q97" s="263">
        <f>+Pobl_adoptada!R97*$D97/1000</f>
        <v>87.079440000000005</v>
      </c>
      <c r="R97" s="263">
        <f>+Pobl_adoptada!S97*$D97/1000</f>
        <v>88.440119999999993</v>
      </c>
      <c r="S97" s="263">
        <f>+Pobl_adoptada!T97*$D97/1000</f>
        <v>89.799779999999998</v>
      </c>
      <c r="T97" s="263">
        <f>+Pobl_adoptada!U97*$D97/1000</f>
        <v>91.16046</v>
      </c>
      <c r="U97" s="263">
        <f>+Pobl_adoptada!V97*$D97/1000</f>
        <v>92.520119999999991</v>
      </c>
      <c r="V97" s="263">
        <f>+Pobl_adoptada!W97*$D97/1000</f>
        <v>93.880800000000008</v>
      </c>
      <c r="W97" s="263">
        <f>+Pobl_adoptada!X97*$D97/1000</f>
        <v>95.240460000000013</v>
      </c>
      <c r="X97" s="263">
        <f>+Pobl_adoptada!Y97*$D97/1000</f>
        <v>96.601140000000001</v>
      </c>
      <c r="Y97" s="263">
        <f>+Pobl_adoptada!Z97*$D97/1000</f>
        <v>97.961820000000003</v>
      </c>
      <c r="Z97" s="263">
        <f>+Pobl_adoptada!AA97*$D97/1000</f>
        <v>99.321479999999994</v>
      </c>
    </row>
    <row r="98" spans="1:29" ht="24.95" hidden="1" customHeight="1">
      <c r="A98" s="351" t="str">
        <f>+Pobl_adoptada!A98</f>
        <v>Mercedes</v>
      </c>
      <c r="B98" s="70">
        <f>+Pobl_adoptada!B98</f>
        <v>94</v>
      </c>
      <c r="C98" s="353" t="str">
        <f>+Pobl_adoptada!C98</f>
        <v>Mercedes</v>
      </c>
      <c r="D98" s="261">
        <f>IF(E98&lt;=15000,DATOS!B$3,IF(E98&lt;=50000,DATOS!B$4,IF(E98&lt;=300000,DATOS!B$5,IF(E98&lt;=500000,DATOS!B$6,DATOS!B$7))))</f>
        <v>1.02</v>
      </c>
      <c r="E98" s="262">
        <f>+Pobl_adoptada!F98</f>
        <v>62104</v>
      </c>
      <c r="F98" s="263">
        <f>+Pobl_adoptada!G98*$D98/1000</f>
        <v>63.883620000000001</v>
      </c>
      <c r="G98" s="263">
        <f>+Pobl_adoptada!H98*$D98/1000</f>
        <v>65.523780000000002</v>
      </c>
      <c r="H98" s="263">
        <f>+Pobl_adoptada!I98*$D98/1000</f>
        <v>66.07968000000001</v>
      </c>
      <c r="I98" s="263">
        <f>+Pobl_adoptada!J98*$D98/1000</f>
        <v>66.640680000000003</v>
      </c>
      <c r="J98" s="263">
        <f>+Pobl_adoptada!K98*$D98/1000</f>
        <v>67.206779999999995</v>
      </c>
      <c r="K98" s="263">
        <f>+Pobl_adoptada!L98*$D98/1000</f>
        <v>67.776960000000003</v>
      </c>
      <c r="L98" s="263">
        <f>+Pobl_adoptada!M98*$D98/1000</f>
        <v>68.351219999999998</v>
      </c>
      <c r="M98" s="263">
        <f>+Pobl_adoptada!N98*$D98/1000</f>
        <v>68.931600000000003</v>
      </c>
      <c r="N98" s="263">
        <f>+Pobl_adoptada!O98*$D98/1000</f>
        <v>69.517080000000007</v>
      </c>
      <c r="O98" s="263">
        <f>+Pobl_adoptada!P98*$D98/1000</f>
        <v>70.106639999999999</v>
      </c>
      <c r="P98" s="263">
        <f>+Pobl_adoptada!Q98*$D98/1000</f>
        <v>70.701300000000003</v>
      </c>
      <c r="Q98" s="263">
        <f>+Pobl_adoptada!R98*$D98/1000</f>
        <v>71.301059999999993</v>
      </c>
      <c r="R98" s="263">
        <f>+Pobl_adoptada!S98*$D98/1000</f>
        <v>71.905919999999995</v>
      </c>
      <c r="S98" s="263">
        <f>+Pobl_adoptada!T98*$D98/1000</f>
        <v>72.516899999999993</v>
      </c>
      <c r="T98" s="263">
        <f>+Pobl_adoptada!U98*$D98/1000</f>
        <v>73.131960000000007</v>
      </c>
      <c r="U98" s="263">
        <f>+Pobl_adoptada!V98*$D98/1000</f>
        <v>73.752119999999991</v>
      </c>
      <c r="V98" s="263">
        <f>+Pobl_adoptada!W98*$D98/1000</f>
        <v>74.378399999999999</v>
      </c>
      <c r="W98" s="263">
        <f>+Pobl_adoptada!X98*$D98/1000</f>
        <v>75.009779999999992</v>
      </c>
      <c r="X98" s="263">
        <f>+Pobl_adoptada!Y98*$D98/1000</f>
        <v>75.646259999999998</v>
      </c>
      <c r="Y98" s="263">
        <f>+Pobl_adoptada!Z98*$D98/1000</f>
        <v>76.287840000000003</v>
      </c>
      <c r="Z98" s="263">
        <f>+Pobl_adoptada!AA98*$D98/1000</f>
        <v>76.934520000000006</v>
      </c>
    </row>
    <row r="99" spans="1:29" ht="24.95" hidden="1" customHeight="1">
      <c r="A99" s="351" t="str">
        <f>+Pobl_adoptada!A99</f>
        <v>Monte</v>
      </c>
      <c r="B99" s="70">
        <f>+Pobl_adoptada!B99</f>
        <v>95</v>
      </c>
      <c r="C99" s="353" t="str">
        <f>+Pobl_adoptada!C99</f>
        <v>San Miguel del Monte</v>
      </c>
      <c r="D99" s="261">
        <f>IF(E99&lt;=15000,DATOS!B$3,IF(E99&lt;=50000,DATOS!B$4,IF(E99&lt;=300000,DATOS!B$5,IF(E99&lt;=500000,DATOS!B$6,DATOS!B$7))))</f>
        <v>1.06</v>
      </c>
      <c r="E99" s="262">
        <f>+Pobl_adoptada!F99</f>
        <v>20688</v>
      </c>
      <c r="F99" s="263">
        <f>+Pobl_adoptada!G99*$D99/1000</f>
        <v>22.2759</v>
      </c>
      <c r="G99" s="263">
        <f>+Pobl_adoptada!H99*$D99/1000</f>
        <v>23.314700000000002</v>
      </c>
      <c r="H99" s="263">
        <f>+Pobl_adoptada!I99*$D99/1000</f>
        <v>23.660260000000001</v>
      </c>
      <c r="I99" s="263">
        <f>+Pobl_adoptada!J99*$D99/1000</f>
        <v>24.006880000000002</v>
      </c>
      <c r="J99" s="263">
        <f>+Pobl_adoptada!K99*$D99/1000</f>
        <v>24.352440000000001</v>
      </c>
      <c r="K99" s="263">
        <f>+Pobl_adoptada!L99*$D99/1000</f>
        <v>24.699060000000003</v>
      </c>
      <c r="L99" s="263">
        <f>+Pobl_adoptada!M99*$D99/1000</f>
        <v>25.044620000000002</v>
      </c>
      <c r="M99" s="263">
        <f>+Pobl_adoptada!N99*$D99/1000</f>
        <v>25.391240000000003</v>
      </c>
      <c r="N99" s="263">
        <f>+Pobl_adoptada!O99*$D99/1000</f>
        <v>25.737860000000001</v>
      </c>
      <c r="O99" s="263">
        <f>+Pobl_adoptada!P99*$D99/1000</f>
        <v>26.08342</v>
      </c>
      <c r="P99" s="263">
        <f>+Pobl_adoptada!Q99*$D99/1000</f>
        <v>26.430040000000002</v>
      </c>
      <c r="Q99" s="263">
        <f>+Pobl_adoptada!R99*$D99/1000</f>
        <v>26.775600000000001</v>
      </c>
      <c r="R99" s="263">
        <f>+Pobl_adoptada!S99*$D99/1000</f>
        <v>27.122220000000002</v>
      </c>
      <c r="S99" s="263">
        <f>+Pobl_adoptada!T99*$D99/1000</f>
        <v>27.467780000000001</v>
      </c>
      <c r="T99" s="263">
        <f>+Pobl_adoptada!U99*$D99/1000</f>
        <v>27.814400000000003</v>
      </c>
      <c r="U99" s="263">
        <f>+Pobl_adoptada!V99*$D99/1000</f>
        <v>28.159960000000002</v>
      </c>
      <c r="V99" s="263">
        <f>+Pobl_adoptada!W99*$D99/1000</f>
        <v>28.506580000000003</v>
      </c>
      <c r="W99" s="263">
        <f>+Pobl_adoptada!X99*$D99/1000</f>
        <v>28.852140000000002</v>
      </c>
      <c r="X99" s="263">
        <f>+Pobl_adoptada!Y99*$D99/1000</f>
        <v>29.198760000000004</v>
      </c>
      <c r="Y99" s="263">
        <f>+Pobl_adoptada!Z99*$D99/1000</f>
        <v>29.545380000000002</v>
      </c>
      <c r="Z99" s="263">
        <f>+Pobl_adoptada!AA99*$D99/1000</f>
        <v>29.890940000000004</v>
      </c>
    </row>
    <row r="100" spans="1:29" ht="24.95" hidden="1" customHeight="1">
      <c r="A100" s="351" t="str">
        <f>+Pobl_adoptada!A100</f>
        <v>Monte Hermoso</v>
      </c>
      <c r="B100" s="70">
        <f>+Pobl_adoptada!B100</f>
        <v>96</v>
      </c>
      <c r="C100" s="353" t="str">
        <f>+Pobl_adoptada!C100</f>
        <v>Monte Hermoso</v>
      </c>
      <c r="D100" s="261">
        <f>IF(E100&lt;=15000,DATOS!B$3,IF(E100&lt;=50000,DATOS!B$4,IF(E100&lt;=300000,DATOS!B$5,IF(E100&lt;=500000,DATOS!B$6,DATOS!B$7))))</f>
        <v>1.06</v>
      </c>
      <c r="E100" s="262">
        <f>+Pobl_adoptada!F100</f>
        <v>19401</v>
      </c>
      <c r="F100" s="263">
        <f>+Pobl_adoptada!G100*$D100/1000</f>
        <v>21.043120000000002</v>
      </c>
      <c r="G100" s="263">
        <f>+Pobl_adoptada!H100*$D100/1000</f>
        <v>22.523940000000003</v>
      </c>
      <c r="H100" s="263">
        <f>+Pobl_adoptada!I100*$D100/1000</f>
        <v>23.034860000000002</v>
      </c>
      <c r="I100" s="263">
        <f>+Pobl_adoptada!J100*$D100/1000</f>
        <v>23.5532</v>
      </c>
      <c r="J100" s="263">
        <f>+Pobl_adoptada!K100*$D100/1000</f>
        <v>24.078960000000002</v>
      </c>
      <c r="K100" s="263">
        <f>+Pobl_adoptada!L100*$D100/1000</f>
        <v>24.614260000000002</v>
      </c>
      <c r="L100" s="263">
        <f>+Pobl_adoptada!M100*$D100/1000</f>
        <v>25.15804</v>
      </c>
      <c r="M100" s="263">
        <f>+Pobl_adoptada!N100*$D100/1000</f>
        <v>25.711359999999999</v>
      </c>
      <c r="N100" s="263">
        <f>+Pobl_adoptada!O100*$D100/1000</f>
        <v>26.273160000000001</v>
      </c>
      <c r="O100" s="263">
        <f>+Pobl_adoptada!P100*$D100/1000</f>
        <v>26.8445</v>
      </c>
      <c r="P100" s="263">
        <f>+Pobl_adoptada!Q100*$D100/1000</f>
        <v>27.424319999999998</v>
      </c>
      <c r="Q100" s="263">
        <f>+Pobl_adoptada!R100*$D100/1000</f>
        <v>28.013680000000001</v>
      </c>
      <c r="R100" s="263">
        <f>+Pobl_adoptada!S100*$D100/1000</f>
        <v>28.614699999999999</v>
      </c>
      <c r="S100" s="263">
        <f>+Pobl_adoptada!T100*$D100/1000</f>
        <v>29.223140000000004</v>
      </c>
      <c r="T100" s="263">
        <f>+Pobl_adoptada!U100*$D100/1000</f>
        <v>29.842179999999999</v>
      </c>
      <c r="U100" s="263">
        <f>+Pobl_adoptada!V100*$D100/1000</f>
        <v>30.471820000000005</v>
      </c>
      <c r="V100" s="263">
        <f>+Pobl_adoptada!W100*$D100/1000</f>
        <v>31.111000000000001</v>
      </c>
      <c r="W100" s="263">
        <f>+Pobl_adoptada!X100*$D100/1000</f>
        <v>31.760780000000004</v>
      </c>
      <c r="X100" s="263">
        <f>+Pobl_adoptada!Y100*$D100/1000</f>
        <v>32.42116</v>
      </c>
      <c r="Y100" s="263">
        <f>+Pobl_adoptada!Z100*$D100/1000</f>
        <v>33.092140000000001</v>
      </c>
      <c r="Z100" s="263">
        <f>+Pobl_adoptada!AA100*$D100/1000</f>
        <v>33.77478</v>
      </c>
    </row>
    <row r="101" spans="1:29" ht="24.95" hidden="1" customHeight="1">
      <c r="A101" s="351" t="str">
        <f>+Pobl_adoptada!A101</f>
        <v>Navarro</v>
      </c>
      <c r="B101" s="70">
        <f>+Pobl_adoptada!B101</f>
        <v>97</v>
      </c>
      <c r="C101" s="353" t="str">
        <f>+Pobl_adoptada!C101</f>
        <v>Navarro</v>
      </c>
      <c r="D101" s="261">
        <f>IF(E101&lt;=15000,DATOS!B$3,IF(E101&lt;=50000,DATOS!B$4,IF(E101&lt;=300000,DATOS!B$5,IF(E101&lt;=500000,DATOS!B$6,DATOS!B$7))))</f>
        <v>1.06</v>
      </c>
      <c r="E101" s="262">
        <f>+Pobl_adoptada!F101</f>
        <v>15817</v>
      </c>
      <c r="F101" s="263">
        <f>+Pobl_adoptada!G101*$D101/1000</f>
        <v>17.0183</v>
      </c>
      <c r="G101" s="263">
        <f>+Pobl_adoptada!H101*$D101/1000</f>
        <v>17.797400000000003</v>
      </c>
      <c r="H101" s="263">
        <f>+Pobl_adoptada!I101*$D101/1000</f>
        <v>18.065580000000001</v>
      </c>
      <c r="I101" s="263">
        <f>+Pobl_adoptada!J101*$D101/1000</f>
        <v>18.336940000000002</v>
      </c>
      <c r="J101" s="263">
        <f>+Pobl_adoptada!K101*$D101/1000</f>
        <v>18.612539999999999</v>
      </c>
      <c r="K101" s="263">
        <f>+Pobl_adoptada!L101*$D101/1000</f>
        <v>18.892379999999999</v>
      </c>
      <c r="L101" s="263">
        <f>+Pobl_adoptada!M101*$D101/1000</f>
        <v>19.176460000000002</v>
      </c>
      <c r="M101" s="263">
        <f>+Pobl_adoptada!N101*$D101/1000</f>
        <v>19.464780000000001</v>
      </c>
      <c r="N101" s="263">
        <f>+Pobl_adoptada!O101*$D101/1000</f>
        <v>19.757339999999999</v>
      </c>
      <c r="O101" s="263">
        <f>+Pobl_adoptada!P101*$D101/1000</f>
        <v>20.05414</v>
      </c>
      <c r="P101" s="263">
        <f>+Pobl_adoptada!Q101*$D101/1000</f>
        <v>20.356240000000003</v>
      </c>
      <c r="Q101" s="263">
        <f>+Pobl_adoptada!R101*$D101/1000</f>
        <v>20.662580000000002</v>
      </c>
      <c r="R101" s="263">
        <f>+Pobl_adoptada!S101*$D101/1000</f>
        <v>20.97316</v>
      </c>
      <c r="S101" s="263">
        <f>+Pobl_adoptada!T101*$D101/1000</f>
        <v>21.287980000000001</v>
      </c>
      <c r="T101" s="263">
        <f>+Pobl_adoptada!U101*$D101/1000</f>
        <v>21.608100000000004</v>
      </c>
      <c r="U101" s="263">
        <f>+Pobl_adoptada!V101*$D101/1000</f>
        <v>21.933520000000001</v>
      </c>
      <c r="V101" s="263">
        <f>+Pobl_adoptada!W101*$D101/1000</f>
        <v>22.263180000000002</v>
      </c>
      <c r="W101" s="263">
        <f>+Pobl_adoptada!X101*$D101/1000</f>
        <v>22.598140000000001</v>
      </c>
      <c r="X101" s="263">
        <f>+Pobl_adoptada!Y101*$D101/1000</f>
        <v>22.937339999999999</v>
      </c>
      <c r="Y101" s="263">
        <f>+Pobl_adoptada!Z101*$D101/1000</f>
        <v>23.281839999999999</v>
      </c>
      <c r="Z101" s="263">
        <f>+Pobl_adoptada!AA101*$D101/1000</f>
        <v>23.6327</v>
      </c>
    </row>
    <row r="102" spans="1:29" ht="24.95" hidden="1" customHeight="1">
      <c r="A102" s="351" t="str">
        <f>+Pobl_adoptada!A102</f>
        <v>Necochea</v>
      </c>
      <c r="B102" s="70">
        <f>+Pobl_adoptada!B102</f>
        <v>98</v>
      </c>
      <c r="C102" s="353" t="str">
        <f>+Pobl_adoptada!C102</f>
        <v>Necochea - Quequén</v>
      </c>
      <c r="D102" s="261">
        <f>IF(E102&lt;=15000,DATOS!B$3,IF(E102&lt;=50000,DATOS!B$4,IF(E102&lt;=300000,DATOS!B$5,IF(E102&lt;=500000,DATOS!B$6,DATOS!B$7))))</f>
        <v>1.02</v>
      </c>
      <c r="E102" s="262">
        <f>+Pobl_adoptada!F102</f>
        <v>104176</v>
      </c>
      <c r="F102" s="263">
        <f>+Pobl_adoptada!G102*$D102/1000</f>
        <v>107.3601</v>
      </c>
      <c r="G102" s="263">
        <f>+Pobl_adoptada!H102*$D102/1000</f>
        <v>110.77097999999999</v>
      </c>
      <c r="H102" s="263">
        <f>+Pobl_adoptada!I102*$D102/1000</f>
        <v>111.94499999999999</v>
      </c>
      <c r="I102" s="263">
        <f>+Pobl_adoptada!J102*$D102/1000</f>
        <v>113.13942</v>
      </c>
      <c r="J102" s="263">
        <f>+Pobl_adoptada!K102*$D102/1000</f>
        <v>114.3522</v>
      </c>
      <c r="K102" s="263">
        <f>+Pobl_adoptada!L102*$D102/1000</f>
        <v>115.58538</v>
      </c>
      <c r="L102" s="263">
        <f>+Pobl_adoptada!M102*$D102/1000</f>
        <v>116.83896</v>
      </c>
      <c r="M102" s="263">
        <f>+Pobl_adoptada!N102*$D102/1000</f>
        <v>118.11192</v>
      </c>
      <c r="N102" s="263">
        <f>+Pobl_adoptada!O102*$D102/1000</f>
        <v>119.4063</v>
      </c>
      <c r="O102" s="263">
        <f>+Pobl_adoptada!P102*$D102/1000</f>
        <v>120.72210000000001</v>
      </c>
      <c r="P102" s="263">
        <f>+Pobl_adoptada!Q102*$D102/1000</f>
        <v>122.0583</v>
      </c>
      <c r="Q102" s="263">
        <f>+Pobl_adoptada!R102*$D102/1000</f>
        <v>123.41592</v>
      </c>
      <c r="R102" s="263">
        <f>+Pobl_adoptada!S102*$D102/1000</f>
        <v>124.797</v>
      </c>
      <c r="S102" s="263">
        <f>+Pobl_adoptada!T102*$D102/1000</f>
        <v>126.20052</v>
      </c>
      <c r="T102" s="263">
        <f>+Pobl_adoptada!U102*$D102/1000</f>
        <v>127.62546</v>
      </c>
      <c r="U102" s="263">
        <f>+Pobl_adoptada!V102*$D102/1000</f>
        <v>129.07590000000002</v>
      </c>
      <c r="V102" s="263">
        <f>+Pobl_adoptada!W102*$D102/1000</f>
        <v>130.54776000000001</v>
      </c>
      <c r="W102" s="263">
        <f>+Pobl_adoptada!X102*$D102/1000</f>
        <v>132.04614000000001</v>
      </c>
      <c r="X102" s="263">
        <f>+Pobl_adoptada!Y102*$D102/1000</f>
        <v>133.56695999999999</v>
      </c>
      <c r="Y102" s="263">
        <f>+Pobl_adoptada!Z102*$D102/1000</f>
        <v>135.11226000000002</v>
      </c>
      <c r="Z102" s="263">
        <f>+Pobl_adoptada!AA102*$D102/1000</f>
        <v>136.68408000000002</v>
      </c>
    </row>
    <row r="103" spans="1:29" ht="24.95" hidden="1" customHeight="1">
      <c r="A103" s="351" t="str">
        <f>+Pobl_adoptada!A103</f>
        <v>Olavarría</v>
      </c>
      <c r="B103" s="70">
        <f>+Pobl_adoptada!B103</f>
        <v>99</v>
      </c>
      <c r="C103" s="353" t="str">
        <f>+Pobl_adoptada!C103</f>
        <v>Olavarría</v>
      </c>
      <c r="D103" s="261">
        <f>IF(E103&lt;=15000,DATOS!B$3,IF(E103&lt;=50000,DATOS!B$4,IF(E103&lt;=300000,DATOS!B$5,IF(E103&lt;=500000,DATOS!B$6,DATOS!B$7))))</f>
        <v>1.02</v>
      </c>
      <c r="E103" s="262">
        <f>+Pobl_adoptada!F103</f>
        <v>98369</v>
      </c>
      <c r="F103" s="263">
        <f>+Pobl_adoptada!G103*$D103/1000</f>
        <v>101.10852</v>
      </c>
      <c r="G103" s="263">
        <f>+Pobl_adoptada!H103*$D103/1000</f>
        <v>103.46064</v>
      </c>
      <c r="H103" s="263">
        <f>+Pobl_adoptada!I103*$D103/1000</f>
        <v>104.25725999999999</v>
      </c>
      <c r="I103" s="263">
        <f>+Pobl_adoptada!J103*$D103/1000</f>
        <v>105.06</v>
      </c>
      <c r="J103" s="263">
        <f>+Pobl_adoptada!K103*$D103/1000</f>
        <v>105.86886</v>
      </c>
      <c r="K103" s="263">
        <f>+Pobl_adoptada!L103*$D103/1000</f>
        <v>106.68384</v>
      </c>
      <c r="L103" s="263">
        <f>+Pobl_adoptada!M103*$D103/1000</f>
        <v>107.50494</v>
      </c>
      <c r="M103" s="263">
        <f>+Pobl_adoptada!N103*$D103/1000</f>
        <v>108.33216</v>
      </c>
      <c r="N103" s="263">
        <f>+Pobl_adoptada!O103*$D103/1000</f>
        <v>109.16652000000001</v>
      </c>
      <c r="O103" s="263">
        <f>+Pobl_adoptada!P103*$D103/1000</f>
        <v>110.00700000000001</v>
      </c>
      <c r="P103" s="263">
        <f>+Pobl_adoptada!Q103*$D103/1000</f>
        <v>110.8536</v>
      </c>
      <c r="Q103" s="263">
        <f>+Pobl_adoptada!R103*$D103/1000</f>
        <v>111.70632000000001</v>
      </c>
      <c r="R103" s="263">
        <f>+Pobl_adoptada!S103*$D103/1000</f>
        <v>112.56618</v>
      </c>
      <c r="S103" s="263">
        <f>+Pobl_adoptada!T103*$D103/1000</f>
        <v>113.43318000000001</v>
      </c>
      <c r="T103" s="263">
        <f>+Pobl_adoptada!U103*$D103/1000</f>
        <v>114.30630000000001</v>
      </c>
      <c r="U103" s="263">
        <f>+Pobl_adoptada!V103*$D103/1000</f>
        <v>115.18554</v>
      </c>
      <c r="V103" s="263">
        <f>+Pobl_adoptada!W103*$D103/1000</f>
        <v>116.07294</v>
      </c>
      <c r="W103" s="263">
        <f>+Pobl_adoptada!X103*$D103/1000</f>
        <v>116.96646000000001</v>
      </c>
      <c r="X103" s="263">
        <f>+Pobl_adoptada!Y103*$D103/1000</f>
        <v>117.8661</v>
      </c>
      <c r="Y103" s="263">
        <f>+Pobl_adoptada!Z103*$D103/1000</f>
        <v>118.77390000000001</v>
      </c>
      <c r="Z103" s="263">
        <f>+Pobl_adoptada!AA103*$D103/1000</f>
        <v>119.68782</v>
      </c>
    </row>
    <row r="104" spans="1:29" ht="24.95" hidden="1" customHeight="1">
      <c r="A104" s="351" t="str">
        <f>+Pobl_adoptada!A104</f>
        <v>Patagones</v>
      </c>
      <c r="B104" s="70">
        <f>+Pobl_adoptada!B104</f>
        <v>100</v>
      </c>
      <c r="C104" s="353" t="str">
        <f>+Pobl_adoptada!C104</f>
        <v>Carmen de Patagones</v>
      </c>
      <c r="D104" s="261">
        <f>IF(E104&lt;=15000,DATOS!B$3,IF(E104&lt;=50000,DATOS!B$4,IF(E104&lt;=300000,DATOS!B$5,IF(E104&lt;=500000,DATOS!B$6,DATOS!B$7))))</f>
        <v>1.06</v>
      </c>
      <c r="E104" s="262">
        <f>+Pobl_adoptada!F104</f>
        <v>25758</v>
      </c>
      <c r="F104" s="263">
        <f>+Pobl_adoptada!G104*$D104/1000</f>
        <v>27.815460000000002</v>
      </c>
      <c r="G104" s="263">
        <f>+Pobl_adoptada!H104*$D104/1000</f>
        <v>29.401220000000002</v>
      </c>
      <c r="H104" s="263">
        <f>+Pobl_adoptada!I104*$D104/1000</f>
        <v>29.948180000000001</v>
      </c>
      <c r="I104" s="263">
        <f>+Pobl_adoptada!J104*$D104/1000</f>
        <v>30.502560000000003</v>
      </c>
      <c r="J104" s="263">
        <f>+Pobl_adoptada!K104*$D104/1000</f>
        <v>31.066480000000002</v>
      </c>
      <c r="K104" s="263">
        <f>+Pobl_adoptada!L104*$D104/1000</f>
        <v>31.639940000000003</v>
      </c>
      <c r="L104" s="263">
        <f>+Pobl_adoptada!M104*$D104/1000</f>
        <v>32.222940000000001</v>
      </c>
      <c r="M104" s="263">
        <f>+Pobl_adoptada!N104*$D104/1000</f>
        <v>32.815480000000001</v>
      </c>
      <c r="N104" s="263">
        <f>+Pobl_adoptada!O104*$D104/1000</f>
        <v>33.416499999999999</v>
      </c>
      <c r="O104" s="263">
        <f>+Pobl_adoptada!P104*$D104/1000</f>
        <v>34.028120000000001</v>
      </c>
      <c r="P104" s="263">
        <f>+Pobl_adoptada!Q104*$D104/1000</f>
        <v>34.650340000000007</v>
      </c>
      <c r="Q104" s="263">
        <f>+Pobl_adoptada!R104*$D104/1000</f>
        <v>35.2821</v>
      </c>
      <c r="R104" s="263">
        <f>+Pobl_adoptada!S104*$D104/1000</f>
        <v>35.924459999999996</v>
      </c>
      <c r="S104" s="263">
        <f>+Pobl_adoptada!T104*$D104/1000</f>
        <v>36.576360000000001</v>
      </c>
      <c r="T104" s="263">
        <f>+Pobl_adoptada!U104*$D104/1000</f>
        <v>37.239919999999998</v>
      </c>
      <c r="U104" s="263">
        <f>+Pobl_adoptada!V104*$D104/1000</f>
        <v>37.914079999999998</v>
      </c>
      <c r="V104" s="263">
        <f>+Pobl_adoptada!W104*$D104/1000</f>
        <v>38.598840000000003</v>
      </c>
      <c r="W104" s="263">
        <f>+Pobl_adoptada!X104*$D104/1000</f>
        <v>39.295259999999999</v>
      </c>
      <c r="X104" s="263">
        <f>+Pobl_adoptada!Y104*$D104/1000</f>
        <v>40.002279999999999</v>
      </c>
      <c r="Y104" s="263">
        <f>+Pobl_adoptada!Z104*$D104/1000</f>
        <v>40.722020000000001</v>
      </c>
      <c r="Z104" s="263">
        <f>+Pobl_adoptada!AA104*$D104/1000</f>
        <v>41.452359999999999</v>
      </c>
    </row>
    <row r="105" spans="1:29" ht="24.95" customHeight="1">
      <c r="A105" s="351" t="str">
        <f>+Pobl_adoptada!A105</f>
        <v>Pehuajó</v>
      </c>
      <c r="B105" s="70">
        <f>+Pobl_adoptada!B105</f>
        <v>101</v>
      </c>
      <c r="C105" s="353" t="str">
        <f>+Pobl_adoptada!C105</f>
        <v>Pehuajó</v>
      </c>
      <c r="D105" s="261">
        <f>IF(E105&lt;=15000,DATOS!B$3,IF(E105&lt;=50000,DATOS!B$4,IF(E105&lt;=300000,DATOS!B$5,IF(E105&lt;=500000,DATOS!B$6,DATOS!B$7))))</f>
        <v>1.06</v>
      </c>
      <c r="E105" s="262">
        <f>+Pobl_adoptada!F105</f>
        <v>33937</v>
      </c>
      <c r="F105" s="263">
        <f>+Pobl_adoptada!G105*$D105/1000</f>
        <v>36.187340000000006</v>
      </c>
      <c r="G105" s="263">
        <f>+Pobl_adoptada!H105*$D105/1000</f>
        <v>36.830760000000005</v>
      </c>
      <c r="H105" s="263">
        <f>+Pobl_adoptada!I105*$D105/1000</f>
        <v>37.045940000000002</v>
      </c>
      <c r="I105" s="263">
        <f>+Pobl_adoptada!J105*$D105/1000</f>
        <v>37.260060000000003</v>
      </c>
      <c r="J105" s="263">
        <f>+Pobl_adoptada!K105*$D105/1000</f>
        <v>37.475240000000007</v>
      </c>
      <c r="K105" s="263">
        <f>+Pobl_adoptada!L105*$D105/1000</f>
        <v>37.689360000000001</v>
      </c>
      <c r="L105" s="263">
        <f>+Pobl_adoptada!M105*$D105/1000</f>
        <v>37.903480000000002</v>
      </c>
      <c r="M105" s="263">
        <f>+Pobl_adoptada!N105*$D105/1000</f>
        <v>38.118660000000006</v>
      </c>
      <c r="N105" s="263">
        <f>+Pobl_adoptada!O105*$D105/1000</f>
        <v>38.33278</v>
      </c>
      <c r="O105" s="263">
        <f>+Pobl_adoptada!P105*$D105/1000</f>
        <v>38.546900000000001</v>
      </c>
      <c r="P105" s="263">
        <f>+Pobl_adoptada!Q105*$D105/1000</f>
        <v>38.762080000000005</v>
      </c>
      <c r="Q105" s="263">
        <f>+Pobl_adoptada!R105*$D105/1000</f>
        <v>38.976200000000006</v>
      </c>
      <c r="R105" s="263">
        <f>+Pobl_adoptada!S105*$D105/1000</f>
        <v>39.191380000000002</v>
      </c>
      <c r="S105" s="263">
        <f>+Pobl_adoptada!T105*$D105/1000</f>
        <v>39.405500000000004</v>
      </c>
      <c r="T105" s="263">
        <f>+Pobl_adoptada!U105*$D105/1000</f>
        <v>39.619620000000005</v>
      </c>
      <c r="U105" s="263">
        <f>+Pobl_adoptada!V105*$D105/1000</f>
        <v>39.834800000000001</v>
      </c>
      <c r="V105" s="263">
        <f>+Pobl_adoptada!W105*$D105/1000</f>
        <v>40.048920000000003</v>
      </c>
      <c r="W105" s="263">
        <f>+Pobl_adoptada!X105*$D105/1000</f>
        <v>40.264099999999999</v>
      </c>
      <c r="X105" s="263">
        <f>+Pobl_adoptada!Y105*$D105/1000</f>
        <v>40.47822</v>
      </c>
      <c r="Y105" s="263">
        <f>+Pobl_adoptada!Z105*$D105/1000</f>
        <v>40.692340000000002</v>
      </c>
      <c r="Z105" s="263">
        <f>+Pobl_adoptada!AA105*$D105/1000</f>
        <v>40.907520000000005</v>
      </c>
      <c r="AA105" s="270">
        <f>AVERAGE(F105:Z105)</f>
        <v>38.741485714285709</v>
      </c>
      <c r="AB105" s="270">
        <f>Resumen_Generación!G105</f>
        <v>11.917997640000001</v>
      </c>
      <c r="AC105" s="270">
        <f>AA105-AB105</f>
        <v>26.823488074285706</v>
      </c>
    </row>
    <row r="106" spans="1:29" ht="24.95" hidden="1" customHeight="1">
      <c r="A106" s="351" t="str">
        <f>+Pobl_adoptada!A106</f>
        <v>Pellegrini</v>
      </c>
      <c r="B106" s="70">
        <f>+Pobl_adoptada!B106</f>
        <v>102</v>
      </c>
      <c r="C106" s="353" t="str">
        <f>+Pobl_adoptada!C106</f>
        <v>Pellegrini</v>
      </c>
      <c r="D106" s="261">
        <f>IF(E106&lt;=15000,DATOS!B$3,IF(E106&lt;=50000,DATOS!B$4,IF(E106&lt;=300000,DATOS!B$5,IF(E106&lt;=500000,DATOS!B$6,DATOS!B$7))))</f>
        <v>0.92</v>
      </c>
      <c r="E106" s="262">
        <f>+Pobl_adoptada!F106</f>
        <v>5523</v>
      </c>
      <c r="F106" s="263">
        <f>+Pobl_adoptada!G106*$D106/1000</f>
        <v>5.1069199999999997</v>
      </c>
      <c r="G106" s="263">
        <f>+Pobl_adoptada!H106*$D106/1000</f>
        <v>5.18696</v>
      </c>
      <c r="H106" s="263">
        <f>+Pobl_adoptada!I106*$D106/1000</f>
        <v>5.2136400000000007</v>
      </c>
      <c r="I106" s="263">
        <f>+Pobl_adoptada!J106*$D106/1000</f>
        <v>5.2403200000000005</v>
      </c>
      <c r="J106" s="263">
        <f>+Pobl_adoptada!K106*$D106/1000</f>
        <v>5.2670000000000003</v>
      </c>
      <c r="K106" s="263">
        <f>+Pobl_adoptada!L106*$D106/1000</f>
        <v>5.2936800000000002</v>
      </c>
      <c r="L106" s="263">
        <f>+Pobl_adoptada!M106*$D106/1000</f>
        <v>5.3203600000000009</v>
      </c>
      <c r="M106" s="263">
        <f>+Pobl_adoptada!N106*$D106/1000</f>
        <v>5.34612</v>
      </c>
      <c r="N106" s="263">
        <f>+Pobl_adoptada!O106*$D106/1000</f>
        <v>5.3727999999999998</v>
      </c>
      <c r="O106" s="263">
        <f>+Pobl_adoptada!P106*$D106/1000</f>
        <v>5.3994800000000005</v>
      </c>
      <c r="P106" s="263">
        <f>+Pobl_adoptada!Q106*$D106/1000</f>
        <v>5.4261599999999994</v>
      </c>
      <c r="Q106" s="263">
        <f>+Pobl_adoptada!R106*$D106/1000</f>
        <v>5.4528400000000001</v>
      </c>
      <c r="R106" s="263">
        <f>+Pobl_adoptada!S106*$D106/1000</f>
        <v>5.4795200000000008</v>
      </c>
      <c r="S106" s="263">
        <f>+Pobl_adoptada!T106*$D106/1000</f>
        <v>5.5061999999999998</v>
      </c>
      <c r="T106" s="263">
        <f>+Pobl_adoptada!U106*$D106/1000</f>
        <v>5.5328800000000005</v>
      </c>
      <c r="U106" s="263">
        <f>+Pobl_adoptada!V106*$D106/1000</f>
        <v>5.5595600000000003</v>
      </c>
      <c r="V106" s="263">
        <f>+Pobl_adoptada!W106*$D106/1000</f>
        <v>5.586240000000001</v>
      </c>
      <c r="W106" s="263">
        <f>+Pobl_adoptada!X106*$D106/1000</f>
        <v>5.6120000000000001</v>
      </c>
      <c r="X106" s="263">
        <f>+Pobl_adoptada!Y106*$D106/1000</f>
        <v>5.6386799999999999</v>
      </c>
      <c r="Y106" s="263">
        <f>+Pobl_adoptada!Z106*$D106/1000</f>
        <v>5.6653600000000006</v>
      </c>
      <c r="Z106" s="263">
        <f>+Pobl_adoptada!AA106*$D106/1000</f>
        <v>5.6920399999999995</v>
      </c>
    </row>
    <row r="107" spans="1:29" ht="24.95" hidden="1" customHeight="1">
      <c r="A107" s="351" t="str">
        <f>+Pobl_adoptada!A107</f>
        <v>Pergamino</v>
      </c>
      <c r="B107" s="70">
        <f>+Pobl_adoptada!B107</f>
        <v>103</v>
      </c>
      <c r="C107" s="353" t="str">
        <f>+Pobl_adoptada!C107</f>
        <v>Pergamino</v>
      </c>
      <c r="D107" s="261">
        <f>IF(E107&lt;=15000,DATOS!B$3,IF(E107&lt;=50000,DATOS!B$4,IF(E107&lt;=300000,DATOS!B$5,IF(E107&lt;=500000,DATOS!B$6,DATOS!B$7))))</f>
        <v>1.02</v>
      </c>
      <c r="E107" s="262">
        <f>+Pobl_adoptada!F107</f>
        <v>99022</v>
      </c>
      <c r="F107" s="263">
        <f>+Pobl_adoptada!G107*$D107/1000</f>
        <v>101.65422</v>
      </c>
      <c r="G107" s="263">
        <f>+Pobl_adoptada!H107*$D107/1000</f>
        <v>103.61160000000001</v>
      </c>
      <c r="H107" s="263">
        <f>+Pobl_adoptada!I107*$D107/1000</f>
        <v>104.26440000000001</v>
      </c>
      <c r="I107" s="263">
        <f>+Pobl_adoptada!J107*$D107/1000</f>
        <v>104.91719999999999</v>
      </c>
      <c r="J107" s="263">
        <f>+Pobl_adoptada!K107*$D107/1000</f>
        <v>105.56898</v>
      </c>
      <c r="K107" s="263">
        <f>+Pobl_adoptada!L107*$D107/1000</f>
        <v>106.22178</v>
      </c>
      <c r="L107" s="263">
        <f>+Pobl_adoptada!M107*$D107/1000</f>
        <v>106.87458000000001</v>
      </c>
      <c r="M107" s="263">
        <f>+Pobl_adoptada!N107*$D107/1000</f>
        <v>107.52636</v>
      </c>
      <c r="N107" s="263">
        <f>+Pobl_adoptada!O107*$D107/1000</f>
        <v>108.17916000000001</v>
      </c>
      <c r="O107" s="263">
        <f>+Pobl_adoptada!P107*$D107/1000</f>
        <v>108.83196000000001</v>
      </c>
      <c r="P107" s="263">
        <f>+Pobl_adoptada!Q107*$D107/1000</f>
        <v>109.48374000000001</v>
      </c>
      <c r="Q107" s="263">
        <f>+Pobl_adoptada!R107*$D107/1000</f>
        <v>110.13654000000001</v>
      </c>
      <c r="R107" s="263">
        <f>+Pobl_adoptada!S107*$D107/1000</f>
        <v>110.78934</v>
      </c>
      <c r="S107" s="263">
        <f>+Pobl_adoptada!T107*$D107/1000</f>
        <v>111.44112</v>
      </c>
      <c r="T107" s="263">
        <f>+Pobl_adoptada!U107*$D107/1000</f>
        <v>112.09392</v>
      </c>
      <c r="U107" s="263">
        <f>+Pobl_adoptada!V107*$D107/1000</f>
        <v>112.74672</v>
      </c>
      <c r="V107" s="263">
        <f>+Pobl_adoptada!W107*$D107/1000</f>
        <v>113.3985</v>
      </c>
      <c r="W107" s="263">
        <f>+Pobl_adoptada!X107*$D107/1000</f>
        <v>114.0513</v>
      </c>
      <c r="X107" s="263">
        <f>+Pobl_adoptada!Y107*$D107/1000</f>
        <v>114.70410000000001</v>
      </c>
      <c r="Y107" s="263">
        <f>+Pobl_adoptada!Z107*$D107/1000</f>
        <v>115.35588</v>
      </c>
      <c r="Z107" s="263">
        <f>+Pobl_adoptada!AA107*$D107/1000</f>
        <v>116.00868000000001</v>
      </c>
    </row>
    <row r="108" spans="1:29" ht="24.95" hidden="1" customHeight="1">
      <c r="A108" s="351" t="str">
        <f>+Pobl_adoptada!A108</f>
        <v>Pila</v>
      </c>
      <c r="B108" s="70">
        <f>+Pobl_adoptada!B108</f>
        <v>104</v>
      </c>
      <c r="C108" s="353" t="str">
        <f>+Pobl_adoptada!C108</f>
        <v>Pila</v>
      </c>
      <c r="D108" s="261">
        <f>IF(E108&lt;=15000,DATOS!B$3,IF(E108&lt;=50000,DATOS!B$4,IF(E108&lt;=300000,DATOS!B$5,IF(E108&lt;=500000,DATOS!B$6,DATOS!B$7))))</f>
        <v>0.92</v>
      </c>
      <c r="E108" s="262">
        <f>+Pobl_adoptada!F108</f>
        <v>3191</v>
      </c>
      <c r="F108" s="263">
        <f>+Pobl_adoptada!G108*$D108/1000</f>
        <v>2.99552</v>
      </c>
      <c r="G108" s="263">
        <f>+Pobl_adoptada!H108*$D108/1000</f>
        <v>3.1832000000000003</v>
      </c>
      <c r="H108" s="263">
        <f>+Pobl_adoptada!I108*$D108/1000</f>
        <v>3.2485200000000001</v>
      </c>
      <c r="I108" s="263">
        <f>+Pobl_adoptada!J108*$D108/1000</f>
        <v>3.3147600000000002</v>
      </c>
      <c r="J108" s="263">
        <f>+Pobl_adoptada!K108*$D108/1000</f>
        <v>3.3828400000000003</v>
      </c>
      <c r="K108" s="263">
        <f>+Pobl_adoptada!L108*$D108/1000</f>
        <v>3.4518400000000002</v>
      </c>
      <c r="L108" s="263">
        <f>+Pobl_adoptada!M108*$D108/1000</f>
        <v>3.5226800000000003</v>
      </c>
      <c r="M108" s="263">
        <f>+Pobl_adoptada!N108*$D108/1000</f>
        <v>3.5944400000000001</v>
      </c>
      <c r="N108" s="263">
        <f>+Pobl_adoptada!O108*$D108/1000</f>
        <v>3.66804</v>
      </c>
      <c r="O108" s="263">
        <f>+Pobl_adoptada!P108*$D108/1000</f>
        <v>3.7434799999999999</v>
      </c>
      <c r="P108" s="263">
        <f>+Pobl_adoptada!Q108*$D108/1000</f>
        <v>3.8198400000000001</v>
      </c>
      <c r="Q108" s="263">
        <f>+Pobl_adoptada!R108*$D108/1000</f>
        <v>3.8980399999999999</v>
      </c>
      <c r="R108" s="263">
        <f>+Pobl_adoptada!S108*$D108/1000</f>
        <v>3.9771600000000005</v>
      </c>
      <c r="S108" s="263">
        <f>+Pobl_adoptada!T108*$D108/1000</f>
        <v>4.0590399999999995</v>
      </c>
      <c r="T108" s="263">
        <f>+Pobl_adoptada!U108*$D108/1000</f>
        <v>4.1418400000000002</v>
      </c>
      <c r="U108" s="263">
        <f>+Pobl_adoptada!V108*$D108/1000</f>
        <v>4.2264800000000005</v>
      </c>
      <c r="V108" s="263">
        <f>+Pobl_adoptada!W108*$D108/1000</f>
        <v>4.3129600000000003</v>
      </c>
      <c r="W108" s="263">
        <f>+Pobl_adoptada!X108*$D108/1000</f>
        <v>4.4012799999999999</v>
      </c>
      <c r="X108" s="263">
        <f>+Pobl_adoptada!Y108*$D108/1000</f>
        <v>4.4914400000000008</v>
      </c>
      <c r="Y108" s="263">
        <f>+Pobl_adoptada!Z108*$D108/1000</f>
        <v>4.5834400000000004</v>
      </c>
      <c r="Z108" s="263">
        <f>+Pobl_adoptada!AA108*$D108/1000</f>
        <v>4.6772800000000005</v>
      </c>
    </row>
    <row r="109" spans="1:29" ht="24.95" hidden="1" customHeight="1">
      <c r="A109" s="351" t="str">
        <f>+Pobl_adoptada!A109</f>
        <v>Pilar</v>
      </c>
      <c r="B109" s="70">
        <f>+Pobl_adoptada!B109</f>
        <v>105</v>
      </c>
      <c r="C109" s="353" t="str">
        <f>+Pobl_adoptada!C109</f>
        <v>Pilar</v>
      </c>
      <c r="D109" s="261">
        <f>IF(E109&lt;=15000,DATOS!B$3,IF(E109&lt;=50000,DATOS!B$4,IF(E109&lt;=300000,DATOS!B$5,IF(E109&lt;=500000,DATOS!B$6,DATOS!B$7))))</f>
        <v>1.41</v>
      </c>
      <c r="E109" s="262">
        <f>+Pobl_adoptada!F109</f>
        <v>400129</v>
      </c>
      <c r="F109" s="263">
        <f>+Pobl_adoptada!G109*$D109/1000</f>
        <v>576.08933999999999</v>
      </c>
      <c r="G109" s="263">
        <f>+Pobl_adoptada!H109*$D109/1000</f>
        <v>611.81169</v>
      </c>
      <c r="H109" s="263">
        <f>+Pobl_adoptada!I109*$D109/1000</f>
        <v>623.71772999999996</v>
      </c>
      <c r="I109" s="263">
        <f>+Pobl_adoptada!J109*$D109/1000</f>
        <v>635.62517999999989</v>
      </c>
      <c r="J109" s="263">
        <f>+Pobl_adoptada!K109*$D109/1000</f>
        <v>647.53263000000004</v>
      </c>
      <c r="K109" s="263">
        <f>+Pobl_adoptada!L109*$D109/1000</f>
        <v>659.44007999999997</v>
      </c>
      <c r="L109" s="263">
        <f>+Pobl_adoptada!M109*$D109/1000</f>
        <v>671.34752999999989</v>
      </c>
      <c r="M109" s="263">
        <f>+Pobl_adoptada!N109*$D109/1000</f>
        <v>683.25497999999993</v>
      </c>
      <c r="N109" s="263">
        <f>+Pobl_adoptada!O109*$D109/1000</f>
        <v>695.16242999999997</v>
      </c>
      <c r="O109" s="263">
        <f>+Pobl_adoptada!P109*$D109/1000</f>
        <v>707.06988000000001</v>
      </c>
      <c r="P109" s="263">
        <f>+Pobl_adoptada!Q109*$D109/1000</f>
        <v>718.97732999999994</v>
      </c>
      <c r="Q109" s="263">
        <f>+Pobl_adoptada!R109*$D109/1000</f>
        <v>730.88477999999986</v>
      </c>
      <c r="R109" s="263">
        <f>+Pobl_adoptada!S109*$D109/1000</f>
        <v>742.79223000000002</v>
      </c>
      <c r="S109" s="263">
        <f>+Pobl_adoptada!T109*$D109/1000</f>
        <v>754.69826999999987</v>
      </c>
      <c r="T109" s="263">
        <f>+Pobl_adoptada!U109*$D109/1000</f>
        <v>766.60572000000002</v>
      </c>
      <c r="U109" s="263">
        <f>+Pobl_adoptada!V109*$D109/1000</f>
        <v>778.51316999999995</v>
      </c>
      <c r="V109" s="263">
        <f>+Pobl_adoptada!W109*$D109/1000</f>
        <v>790.42061999999999</v>
      </c>
      <c r="W109" s="263">
        <f>+Pobl_adoptada!X109*$D109/1000</f>
        <v>802.32806999999991</v>
      </c>
      <c r="X109" s="263">
        <f>+Pobl_adoptada!Y109*$D109/1000</f>
        <v>814.23551999999995</v>
      </c>
      <c r="Y109" s="263">
        <f>+Pobl_adoptada!Z109*$D109/1000</f>
        <v>826.14296999999999</v>
      </c>
      <c r="Z109" s="263">
        <f>+Pobl_adoptada!AA109*$D109/1000</f>
        <v>838.05041999999992</v>
      </c>
    </row>
    <row r="110" spans="1:29" ht="24.95" hidden="1" customHeight="1">
      <c r="A110" s="351" t="str">
        <f>+Pobl_adoptada!A110</f>
        <v>Pinamar</v>
      </c>
      <c r="B110" s="70">
        <f>+Pobl_adoptada!B110</f>
        <v>106</v>
      </c>
      <c r="C110" s="353" t="str">
        <f>+Pobl_adoptada!C110</f>
        <v>Pinamar</v>
      </c>
      <c r="D110" s="261">
        <f>IF(E110&lt;=15000,DATOS!B$3,IF(E110&lt;=50000,DATOS!B$4,IF(E110&lt;=300000,DATOS!B$5,IF(E110&lt;=500000,DATOS!B$6,DATOS!B$7))))</f>
        <v>1.02</v>
      </c>
      <c r="E110" s="262">
        <f>+Pobl_adoptada!F110</f>
        <v>58312</v>
      </c>
      <c r="F110" s="263">
        <f>+Pobl_adoptada!G110*$D110/1000</f>
        <v>61.109220000000001</v>
      </c>
      <c r="G110" s="263">
        <f>+Pobl_adoptada!H110*$D110/1000</f>
        <v>66.162300000000002</v>
      </c>
      <c r="H110" s="263">
        <f>+Pobl_adoptada!I110*$D110/1000</f>
        <v>67.903440000000003</v>
      </c>
      <c r="I110" s="263">
        <f>+Pobl_adoptada!J110*$D110/1000</f>
        <v>69.67110000000001</v>
      </c>
      <c r="J110" s="263">
        <f>+Pobl_adoptada!K110*$D110/1000</f>
        <v>71.468339999999998</v>
      </c>
      <c r="K110" s="263">
        <f>+Pobl_adoptada!L110*$D110/1000</f>
        <v>73.29516000000001</v>
      </c>
      <c r="L110" s="263">
        <f>+Pobl_adoptada!M110*$D110/1000</f>
        <v>75.150540000000007</v>
      </c>
      <c r="M110" s="263">
        <f>+Pobl_adoptada!N110*$D110/1000</f>
        <v>77.037540000000007</v>
      </c>
      <c r="N110" s="263">
        <f>+Pobl_adoptada!O110*$D110/1000</f>
        <v>78.954119999999989</v>
      </c>
      <c r="O110" s="263">
        <f>+Pobl_adoptada!P110*$D110/1000</f>
        <v>80.902320000000003</v>
      </c>
      <c r="P110" s="263">
        <f>+Pobl_adoptada!Q110*$D110/1000</f>
        <v>82.882139999999993</v>
      </c>
      <c r="Q110" s="263">
        <f>+Pobl_adoptada!R110*$D110/1000</f>
        <v>84.895619999999994</v>
      </c>
      <c r="R110" s="263">
        <f>+Pobl_adoptada!S110*$D110/1000</f>
        <v>86.940719999999999</v>
      </c>
      <c r="S110" s="263">
        <f>+Pobl_adoptada!T110*$D110/1000</f>
        <v>89.019480000000001</v>
      </c>
      <c r="T110" s="263">
        <f>+Pobl_adoptada!U110*$D110/1000</f>
        <v>91.131900000000002</v>
      </c>
      <c r="U110" s="263">
        <f>+Pobl_adoptada!V110*$D110/1000</f>
        <v>93.280020000000007</v>
      </c>
      <c r="V110" s="263">
        <f>+Pobl_adoptada!W110*$D110/1000</f>
        <v>95.461799999999997</v>
      </c>
      <c r="W110" s="263">
        <f>+Pobl_adoptada!X110*$D110/1000</f>
        <v>97.679280000000006</v>
      </c>
      <c r="X110" s="263">
        <f>+Pobl_adoptada!Y110*$D110/1000</f>
        <v>99.933480000000003</v>
      </c>
      <c r="Y110" s="263">
        <f>+Pobl_adoptada!Z110*$D110/1000</f>
        <v>102.2244</v>
      </c>
      <c r="Z110" s="263">
        <f>+Pobl_adoptada!AA110*$D110/1000</f>
        <v>104.55204000000001</v>
      </c>
    </row>
    <row r="111" spans="1:29" ht="24.95" hidden="1" customHeight="1">
      <c r="A111" s="351" t="str">
        <f>+Pobl_adoptada!A111</f>
        <v>Presidente Perón</v>
      </c>
      <c r="B111" s="70">
        <f>+Pobl_adoptada!B111</f>
        <v>107</v>
      </c>
      <c r="C111" s="353" t="str">
        <f>+Pobl_adoptada!C111</f>
        <v>Presidente Perón</v>
      </c>
      <c r="D111" s="261">
        <f>IF(E111&lt;=15000,DATOS!B$3,IF(E111&lt;=50000,DATOS!B$4,IF(E111&lt;=300000,DATOS!B$5,IF(E111&lt;=500000,DATOS!B$6,DATOS!B$7))))</f>
        <v>1.02</v>
      </c>
      <c r="E111" s="262">
        <f>+Pobl_adoptada!F111</f>
        <v>105499</v>
      </c>
      <c r="F111" s="263">
        <f>+Pobl_adoptada!G111*$D111/1000</f>
        <v>109.76627999999999</v>
      </c>
      <c r="G111" s="263">
        <f>+Pobl_adoptada!H111*$D111/1000</f>
        <v>116.23818000000001</v>
      </c>
      <c r="H111" s="263">
        <f>+Pobl_adoptada!I111*$D111/1000</f>
        <v>118.39547999999999</v>
      </c>
      <c r="I111" s="263">
        <f>+Pobl_adoptada!J111*$D111/1000</f>
        <v>120.55278</v>
      </c>
      <c r="J111" s="263">
        <f>+Pobl_adoptada!K111*$D111/1000</f>
        <v>122.71008</v>
      </c>
      <c r="K111" s="263">
        <f>+Pobl_adoptada!L111*$D111/1000</f>
        <v>124.86840000000001</v>
      </c>
      <c r="L111" s="263">
        <f>+Pobl_adoptada!M111*$D111/1000</f>
        <v>127.0257</v>
      </c>
      <c r="M111" s="263">
        <f>+Pobl_adoptada!N111*$D111/1000</f>
        <v>129.18299999999999</v>
      </c>
      <c r="N111" s="263">
        <f>+Pobl_adoptada!O111*$D111/1000</f>
        <v>131.34029999999998</v>
      </c>
      <c r="O111" s="263">
        <f>+Pobl_adoptada!P111*$D111/1000</f>
        <v>133.49760000000001</v>
      </c>
      <c r="P111" s="263">
        <f>+Pobl_adoptada!Q111*$D111/1000</f>
        <v>135.6549</v>
      </c>
      <c r="Q111" s="263">
        <f>+Pobl_adoptada!R111*$D111/1000</f>
        <v>137.81220000000002</v>
      </c>
      <c r="R111" s="263">
        <f>+Pobl_adoptada!S111*$D111/1000</f>
        <v>139.96950000000001</v>
      </c>
      <c r="S111" s="263">
        <f>+Pobl_adoptada!T111*$D111/1000</f>
        <v>142.12782000000001</v>
      </c>
      <c r="T111" s="263">
        <f>+Pobl_adoptada!U111*$D111/1000</f>
        <v>144.28512000000001</v>
      </c>
      <c r="U111" s="263">
        <f>+Pobl_adoptada!V111*$D111/1000</f>
        <v>146.44242000000003</v>
      </c>
      <c r="V111" s="263">
        <f>+Pobl_adoptada!W111*$D111/1000</f>
        <v>148.59971999999999</v>
      </c>
      <c r="W111" s="263">
        <f>+Pobl_adoptada!X111*$D111/1000</f>
        <v>150.75701999999998</v>
      </c>
      <c r="X111" s="263">
        <f>+Pobl_adoptada!Y111*$D111/1000</f>
        <v>152.91432</v>
      </c>
      <c r="Y111" s="263">
        <f>+Pobl_adoptada!Z111*$D111/1000</f>
        <v>155.07162</v>
      </c>
      <c r="Z111" s="263">
        <f>+Pobl_adoptada!AA111*$D111/1000</f>
        <v>157.22892000000002</v>
      </c>
    </row>
    <row r="112" spans="1:29" ht="24.95" hidden="1" customHeight="1">
      <c r="A112" s="351" t="str">
        <f>+Pobl_adoptada!A112</f>
        <v>Puán</v>
      </c>
      <c r="B112" s="70">
        <f>+Pobl_adoptada!B112</f>
        <v>108</v>
      </c>
      <c r="C112" s="353" t="str">
        <f>+Pobl_adoptada!C112</f>
        <v>Puán</v>
      </c>
      <c r="D112" s="261">
        <f>IF(E112&lt;=15000,DATOS!B$3,IF(E112&lt;=50000,DATOS!B$4,IF(E112&lt;=300000,DATOS!B$5,IF(E112&lt;=500000,DATOS!B$6,DATOS!B$7))))</f>
        <v>0.92</v>
      </c>
      <c r="E112" s="262">
        <f>+Pobl_adoptada!F112</f>
        <v>4881</v>
      </c>
      <c r="F112" s="263">
        <f>+Pobl_adoptada!G112*$D112/1000</f>
        <v>4.5328400000000002</v>
      </c>
      <c r="G112" s="263">
        <f>+Pobl_adoptada!H112*$D112/1000</f>
        <v>4.6588799999999999</v>
      </c>
      <c r="H112" s="263">
        <f>+Pobl_adoptada!I112*$D112/1000</f>
        <v>4.7012</v>
      </c>
      <c r="I112" s="263">
        <f>+Pobl_adoptada!J112*$D112/1000</f>
        <v>4.7435200000000002</v>
      </c>
      <c r="J112" s="263">
        <f>+Pobl_adoptada!K112*$D112/1000</f>
        <v>4.7849200000000005</v>
      </c>
      <c r="K112" s="263">
        <f>+Pobl_adoptada!L112*$D112/1000</f>
        <v>4.8272399999999998</v>
      </c>
      <c r="L112" s="263">
        <f>+Pobl_adoptada!M112*$D112/1000</f>
        <v>4.8888800000000003</v>
      </c>
      <c r="M112" s="263">
        <f>+Pobl_adoptada!N112*$D112/1000</f>
        <v>4.9496000000000002</v>
      </c>
      <c r="N112" s="263">
        <f>+Pobl_adoptada!O112*$D112/1000</f>
        <v>5.0112399999999999</v>
      </c>
      <c r="O112" s="263">
        <f>+Pobl_adoptada!P112*$D112/1000</f>
        <v>5.0728800000000005</v>
      </c>
      <c r="P112" s="263">
        <f>+Pobl_adoptada!Q112*$D112/1000</f>
        <v>5.1336000000000004</v>
      </c>
      <c r="Q112" s="263">
        <f>+Pobl_adoptada!R112*$D112/1000</f>
        <v>5.1952400000000001</v>
      </c>
      <c r="R112" s="263">
        <f>+Pobl_adoptada!S112*$D112/1000</f>
        <v>5.2568799999999998</v>
      </c>
      <c r="S112" s="263">
        <f>+Pobl_adoptada!T112*$D112/1000</f>
        <v>5.3176000000000005</v>
      </c>
      <c r="T112" s="263">
        <f>+Pobl_adoptada!U112*$D112/1000</f>
        <v>5.3792399999999994</v>
      </c>
      <c r="U112" s="263">
        <f>+Pobl_adoptada!V112*$D112/1000</f>
        <v>5.4399600000000001</v>
      </c>
      <c r="V112" s="263">
        <f>+Pobl_adoptada!W112*$D112/1000</f>
        <v>5.5016000000000007</v>
      </c>
      <c r="W112" s="263">
        <f>+Pobl_adoptada!X112*$D112/1000</f>
        <v>5.5632400000000004</v>
      </c>
      <c r="X112" s="263">
        <f>+Pobl_adoptada!Y112*$D112/1000</f>
        <v>5.6239600000000003</v>
      </c>
      <c r="Y112" s="263">
        <f>+Pobl_adoptada!Z112*$D112/1000</f>
        <v>5.6856</v>
      </c>
      <c r="Z112" s="263">
        <f>+Pobl_adoptada!AA112*$D112/1000</f>
        <v>5.7472400000000006</v>
      </c>
    </row>
    <row r="113" spans="1:26" ht="24.95" hidden="1" customHeight="1">
      <c r="A113" s="351" t="str">
        <f>+Pobl_adoptada!A113</f>
        <v>Punta Indio</v>
      </c>
      <c r="B113" s="70">
        <f>+Pobl_adoptada!B113</f>
        <v>109</v>
      </c>
      <c r="C113" s="353" t="str">
        <f>+Pobl_adoptada!C113</f>
        <v>Verónica</v>
      </c>
      <c r="D113" s="261">
        <f>IF(E113&lt;=15000,DATOS!B$3,IF(E113&lt;=50000,DATOS!B$4,IF(E113&lt;=300000,DATOS!B$5,IF(E113&lt;=500000,DATOS!B$6,DATOS!B$7))))</f>
        <v>0.92</v>
      </c>
      <c r="E113" s="262">
        <f>+Pobl_adoptada!F113</f>
        <v>8271</v>
      </c>
      <c r="F113" s="263">
        <f>+Pobl_adoptada!G113*$D113/1000</f>
        <v>7.7565200000000001</v>
      </c>
      <c r="G113" s="263">
        <f>+Pobl_adoptada!H113*$D113/1000</f>
        <v>8.2110000000000003</v>
      </c>
      <c r="H113" s="263">
        <f>+Pobl_adoptada!I113*$D113/1000</f>
        <v>8.3673999999999999</v>
      </c>
      <c r="I113" s="263">
        <f>+Pobl_adoptada!J113*$D113/1000</f>
        <v>8.5265599999999999</v>
      </c>
      <c r="J113" s="263">
        <f>+Pobl_adoptada!K113*$D113/1000</f>
        <v>8.6884800000000002</v>
      </c>
      <c r="K113" s="263">
        <f>+Pobl_adoptada!L113*$D113/1000</f>
        <v>8.8522400000000001</v>
      </c>
      <c r="L113" s="263">
        <f>+Pobl_adoptada!M113*$D113/1000</f>
        <v>9.019680000000001</v>
      </c>
      <c r="M113" s="263">
        <f>+Pobl_adoptada!N113*$D113/1000</f>
        <v>9.1889600000000016</v>
      </c>
      <c r="N113" s="263">
        <f>+Pobl_adoptada!O113*$D113/1000</f>
        <v>9.3619199999999996</v>
      </c>
      <c r="O113" s="263">
        <f>+Pobl_adoptada!P113*$D113/1000</f>
        <v>9.5367200000000008</v>
      </c>
      <c r="P113" s="263">
        <f>+Pobl_adoptada!Q113*$D113/1000</f>
        <v>9.7152000000000012</v>
      </c>
      <c r="Q113" s="263">
        <f>+Pobl_adoptada!R113*$D113/1000</f>
        <v>9.8964400000000001</v>
      </c>
      <c r="R113" s="263">
        <f>+Pobl_adoptada!S113*$D113/1000</f>
        <v>10.080440000000001</v>
      </c>
      <c r="S113" s="263">
        <f>+Pobl_adoptada!T113*$D113/1000</f>
        <v>10.267200000000001</v>
      </c>
      <c r="T113" s="263">
        <f>+Pobl_adoptada!U113*$D113/1000</f>
        <v>10.457640000000001</v>
      </c>
      <c r="U113" s="263">
        <f>+Pobl_adoptada!V113*$D113/1000</f>
        <v>10.650840000000001</v>
      </c>
      <c r="V113" s="263">
        <f>+Pobl_adoptada!W113*$D113/1000</f>
        <v>10.846800000000002</v>
      </c>
      <c r="W113" s="263">
        <f>+Pobl_adoptada!X113*$D113/1000</f>
        <v>11.04644</v>
      </c>
      <c r="X113" s="263">
        <f>+Pobl_adoptada!Y113*$D113/1000</f>
        <v>11.24884</v>
      </c>
      <c r="Y113" s="263">
        <f>+Pobl_adoptada!Z113*$D113/1000</f>
        <v>11.45492</v>
      </c>
      <c r="Z113" s="263">
        <f>+Pobl_adoptada!AA113*$D113/1000</f>
        <v>11.664680000000001</v>
      </c>
    </row>
    <row r="114" spans="1:26" ht="24.95" hidden="1" customHeight="1">
      <c r="A114" s="351" t="str">
        <f>+Pobl_adoptada!A114</f>
        <v>Ramallo</v>
      </c>
      <c r="B114" s="70">
        <f>+Pobl_adoptada!B114</f>
        <v>110</v>
      </c>
      <c r="C114" s="353" t="str">
        <f>+Pobl_adoptada!C114</f>
        <v>Ramallo</v>
      </c>
      <c r="D114" s="261">
        <f>IF(E114&lt;=15000,DATOS!B$3,IF(E114&lt;=50000,DATOS!B$4,IF(E114&lt;=300000,DATOS!B$5,IF(E114&lt;=500000,DATOS!B$6,DATOS!B$7))))</f>
        <v>1.06</v>
      </c>
      <c r="E114" s="262">
        <f>+Pobl_adoptada!F114</f>
        <v>15742</v>
      </c>
      <c r="F114" s="263">
        <f>+Pobl_adoptada!G114*$D114/1000</f>
        <v>16.919720000000002</v>
      </c>
      <c r="G114" s="263">
        <f>+Pobl_adoptada!H114*$D114/1000</f>
        <v>17.64264</v>
      </c>
      <c r="H114" s="263">
        <f>+Pobl_adoptada!I114*$D114/1000</f>
        <v>17.889620000000004</v>
      </c>
      <c r="I114" s="263">
        <f>+Pobl_adoptada!J114*$D114/1000</f>
        <v>18.140840000000001</v>
      </c>
      <c r="J114" s="263">
        <f>+Pobl_adoptada!K114*$D114/1000</f>
        <v>18.395240000000001</v>
      </c>
      <c r="K114" s="263">
        <f>+Pobl_adoptada!L114*$D114/1000</f>
        <v>18.652819999999998</v>
      </c>
      <c r="L114" s="263">
        <f>+Pobl_adoptada!M114*$D114/1000</f>
        <v>18.914639999999999</v>
      </c>
      <c r="M114" s="263">
        <f>+Pobl_adoptada!N114*$D114/1000</f>
        <v>19.179639999999999</v>
      </c>
      <c r="N114" s="263">
        <f>+Pobl_adoptada!O114*$D114/1000</f>
        <v>19.448880000000003</v>
      </c>
      <c r="O114" s="263">
        <f>+Pobl_adoptada!P114*$D114/1000</f>
        <v>19.721299999999999</v>
      </c>
      <c r="P114" s="263">
        <f>+Pobl_adoptada!Q114*$D114/1000</f>
        <v>19.997960000000003</v>
      </c>
      <c r="Q114" s="263">
        <f>+Pobl_adoptada!R114*$D114/1000</f>
        <v>20.278860000000002</v>
      </c>
      <c r="R114" s="263">
        <f>+Pobl_adoptada!S114*$D114/1000</f>
        <v>20.562940000000001</v>
      </c>
      <c r="S114" s="263">
        <f>+Pobl_adoptada!T114*$D114/1000</f>
        <v>20.851260000000003</v>
      </c>
      <c r="T114" s="263">
        <f>+Pobl_adoptada!U114*$D114/1000</f>
        <v>21.143819999999998</v>
      </c>
      <c r="U114" s="263">
        <f>+Pobl_adoptada!V114*$D114/1000</f>
        <v>21.440620000000003</v>
      </c>
      <c r="V114" s="263">
        <f>+Pobl_adoptada!W114*$D114/1000</f>
        <v>21.740600000000001</v>
      </c>
      <c r="W114" s="263">
        <f>+Pobl_adoptada!X114*$D114/1000</f>
        <v>22.04588</v>
      </c>
      <c r="X114" s="263">
        <f>+Pobl_adoptada!Y114*$D114/1000</f>
        <v>22.355400000000003</v>
      </c>
      <c r="Y114" s="263">
        <f>+Pobl_adoptada!Z114*$D114/1000</f>
        <v>22.668100000000003</v>
      </c>
      <c r="Z114" s="263">
        <f>+Pobl_adoptada!AA114*$D114/1000</f>
        <v>22.9861</v>
      </c>
    </row>
    <row r="115" spans="1:26" ht="24.95" hidden="1" customHeight="1">
      <c r="A115" s="351" t="str">
        <f>+Pobl_adoptada!A115</f>
        <v>Rauch</v>
      </c>
      <c r="B115" s="70">
        <f>+Pobl_adoptada!B115</f>
        <v>111</v>
      </c>
      <c r="C115" s="353" t="str">
        <f>+Pobl_adoptada!C115</f>
        <v>Rauch</v>
      </c>
      <c r="D115" s="261">
        <f>IF(E115&lt;=15000,DATOS!B$3,IF(E115&lt;=50000,DATOS!B$4,IF(E115&lt;=300000,DATOS!B$5,IF(E115&lt;=500000,DATOS!B$6,DATOS!B$7))))</f>
        <v>0.92</v>
      </c>
      <c r="E115" s="262">
        <f>+Pobl_adoptada!F115</f>
        <v>14210</v>
      </c>
      <c r="F115" s="263">
        <f>+Pobl_adoptada!G115*$D115/1000</f>
        <v>13.19096</v>
      </c>
      <c r="G115" s="263">
        <f>+Pobl_adoptada!H115*$D115/1000</f>
        <v>13.542400000000001</v>
      </c>
      <c r="H115" s="263">
        <f>+Pobl_adoptada!I115*$D115/1000</f>
        <v>13.660159999999999</v>
      </c>
      <c r="I115" s="263">
        <f>+Pobl_adoptada!J115*$D115/1000</f>
        <v>13.776999999999999</v>
      </c>
      <c r="J115" s="263">
        <f>+Pobl_adoptada!K115*$D115/1000</f>
        <v>13.89476</v>
      </c>
      <c r="K115" s="263">
        <f>+Pobl_adoptada!L115*$D115/1000</f>
        <v>14.0116</v>
      </c>
      <c r="L115" s="263">
        <f>+Pobl_adoptada!M115*$D115/1000</f>
        <v>14.12936</v>
      </c>
      <c r="M115" s="263">
        <f>+Pobl_adoptada!N115*$D115/1000</f>
        <v>14.247120000000001</v>
      </c>
      <c r="N115" s="263">
        <f>+Pobl_adoptada!O115*$D115/1000</f>
        <v>14.363960000000001</v>
      </c>
      <c r="O115" s="263">
        <f>+Pobl_adoptada!P115*$D115/1000</f>
        <v>14.481720000000001</v>
      </c>
      <c r="P115" s="263">
        <f>+Pobl_adoptada!Q115*$D115/1000</f>
        <v>14.598560000000001</v>
      </c>
      <c r="Q115" s="263">
        <f>+Pobl_adoptada!R115*$D115/1000</f>
        <v>14.716320000000001</v>
      </c>
      <c r="R115" s="263">
        <f>+Pobl_adoptada!S115*$D115/1000</f>
        <v>14.833159999999999</v>
      </c>
      <c r="S115" s="263">
        <f>+Pobl_adoptada!T115*$D115/1000</f>
        <v>14.95092</v>
      </c>
      <c r="T115" s="263">
        <f>+Pobl_adoptada!U115*$D115/1000</f>
        <v>15.06776</v>
      </c>
      <c r="U115" s="263">
        <f>+Pobl_adoptada!V115*$D115/1000</f>
        <v>15.18552</v>
      </c>
      <c r="V115" s="263">
        <f>+Pobl_adoptada!W115*$D115/1000</f>
        <v>15.303280000000001</v>
      </c>
      <c r="W115" s="263">
        <f>+Pobl_adoptada!X115*$D115/1000</f>
        <v>15.420120000000001</v>
      </c>
      <c r="X115" s="263">
        <f>+Pobl_adoptada!Y115*$D115/1000</f>
        <v>15.537880000000001</v>
      </c>
      <c r="Y115" s="263">
        <f>+Pobl_adoptada!Z115*$D115/1000</f>
        <v>15.654720000000001</v>
      </c>
      <c r="Z115" s="263">
        <f>+Pobl_adoptada!AA115*$D115/1000</f>
        <v>15.772480000000002</v>
      </c>
    </row>
    <row r="116" spans="1:26" ht="24.95" hidden="1" customHeight="1">
      <c r="A116" s="351" t="str">
        <f>+Pobl_adoptada!A116</f>
        <v>Rivadavia</v>
      </c>
      <c r="B116" s="70">
        <f>+Pobl_adoptada!B116</f>
        <v>112</v>
      </c>
      <c r="C116" s="353" t="str">
        <f>+Pobl_adoptada!C116</f>
        <v>América</v>
      </c>
      <c r="D116" s="261">
        <f>IF(E116&lt;=15000,DATOS!B$3,IF(E116&lt;=50000,DATOS!B$4,IF(E116&lt;=300000,DATOS!B$5,IF(E116&lt;=500000,DATOS!B$6,DATOS!B$7))))</f>
        <v>0.92</v>
      </c>
      <c r="E116" s="262">
        <f>+Pobl_adoptada!F116</f>
        <v>13341</v>
      </c>
      <c r="F116" s="263">
        <f>+Pobl_adoptada!G116*$D116/1000</f>
        <v>12.402520000000001</v>
      </c>
      <c r="G116" s="263">
        <f>+Pobl_adoptada!H116*$D116/1000</f>
        <v>12.788920000000001</v>
      </c>
      <c r="H116" s="263">
        <f>+Pobl_adoptada!I116*$D116/1000</f>
        <v>12.917720000000001</v>
      </c>
      <c r="I116" s="263">
        <f>+Pobl_adoptada!J116*$D116/1000</f>
        <v>13.0456</v>
      </c>
      <c r="J116" s="263">
        <f>+Pobl_adoptada!K116*$D116/1000</f>
        <v>13.174400000000002</v>
      </c>
      <c r="K116" s="263">
        <f>+Pobl_adoptada!L116*$D116/1000</f>
        <v>13.3032</v>
      </c>
      <c r="L116" s="263">
        <f>+Pobl_adoptada!M116*$D116/1000</f>
        <v>13.432</v>
      </c>
      <c r="M116" s="263">
        <f>+Pobl_adoptada!N116*$D116/1000</f>
        <v>13.5608</v>
      </c>
      <c r="N116" s="263">
        <f>+Pobl_adoptada!O116*$D116/1000</f>
        <v>13.6896</v>
      </c>
      <c r="O116" s="263">
        <f>+Pobl_adoptada!P116*$D116/1000</f>
        <v>13.818400000000002</v>
      </c>
      <c r="P116" s="263">
        <f>+Pobl_adoptada!Q116*$D116/1000</f>
        <v>13.9472</v>
      </c>
      <c r="Q116" s="263">
        <f>+Pobl_adoptada!R116*$D116/1000</f>
        <v>14.07508</v>
      </c>
      <c r="R116" s="263">
        <f>+Pobl_adoptada!S116*$D116/1000</f>
        <v>14.203880000000002</v>
      </c>
      <c r="S116" s="263">
        <f>+Pobl_adoptada!T116*$D116/1000</f>
        <v>14.33268</v>
      </c>
      <c r="T116" s="263">
        <f>+Pobl_adoptada!U116*$D116/1000</f>
        <v>14.461480000000002</v>
      </c>
      <c r="U116" s="263">
        <f>+Pobl_adoptada!V116*$D116/1000</f>
        <v>14.59028</v>
      </c>
      <c r="V116" s="263">
        <f>+Pobl_adoptada!W116*$D116/1000</f>
        <v>14.71908</v>
      </c>
      <c r="W116" s="263">
        <f>+Pobl_adoptada!X116*$D116/1000</f>
        <v>14.847880000000002</v>
      </c>
      <c r="X116" s="263">
        <f>+Pobl_adoptada!Y116*$D116/1000</f>
        <v>14.97668</v>
      </c>
      <c r="Y116" s="263">
        <f>+Pobl_adoptada!Z116*$D116/1000</f>
        <v>15.105480000000002</v>
      </c>
      <c r="Z116" s="263">
        <f>+Pobl_adoptada!AA116*$D116/1000</f>
        <v>15.233360000000001</v>
      </c>
    </row>
    <row r="117" spans="1:26" ht="24.95" hidden="1" customHeight="1">
      <c r="A117" s="351" t="str">
        <f>+Pobl_adoptada!A117</f>
        <v>Rojas</v>
      </c>
      <c r="B117" s="70">
        <f>+Pobl_adoptada!B117</f>
        <v>113</v>
      </c>
      <c r="C117" s="353" t="str">
        <f>+Pobl_adoptada!C117</f>
        <v>Rojas</v>
      </c>
      <c r="D117" s="261">
        <f>IF(E117&lt;=15000,DATOS!B$3,IF(E117&lt;=50000,DATOS!B$4,IF(E117&lt;=300000,DATOS!B$5,IF(E117&lt;=500000,DATOS!B$6,DATOS!B$7))))</f>
        <v>1.06</v>
      </c>
      <c r="E117" s="262">
        <f>+Pobl_adoptada!F117</f>
        <v>21270</v>
      </c>
      <c r="F117" s="263">
        <f>+Pobl_adoptada!G117*$D117/1000</f>
        <v>22.68506</v>
      </c>
      <c r="G117" s="263">
        <f>+Pobl_adoptada!H117*$D117/1000</f>
        <v>23.10482</v>
      </c>
      <c r="H117" s="263">
        <f>+Pobl_adoptada!I117*$D117/1000</f>
        <v>23.245800000000003</v>
      </c>
      <c r="I117" s="263">
        <f>+Pobl_adoptada!J117*$D117/1000</f>
        <v>23.388900000000003</v>
      </c>
      <c r="J117" s="263">
        <f>+Pobl_adoptada!K117*$D117/1000</f>
        <v>23.532</v>
      </c>
      <c r="K117" s="263">
        <f>+Pobl_adoptada!L117*$D117/1000</f>
        <v>23.676159999999999</v>
      </c>
      <c r="L117" s="263">
        <f>+Pobl_adoptada!M117*$D117/1000</f>
        <v>23.821380000000001</v>
      </c>
      <c r="M117" s="263">
        <f>+Pobl_adoptada!N117*$D117/1000</f>
        <v>23.967659999999999</v>
      </c>
      <c r="N117" s="263">
        <f>+Pobl_adoptada!O117*$D117/1000</f>
        <v>24.114999999999998</v>
      </c>
      <c r="O117" s="263">
        <f>+Pobl_adoptada!P117*$D117/1000</f>
        <v>24.262340000000002</v>
      </c>
      <c r="P117" s="263">
        <f>+Pobl_adoptada!Q117*$D117/1000</f>
        <v>24.410740000000001</v>
      </c>
      <c r="Q117" s="263">
        <f>+Pobl_adoptada!R117*$D117/1000</f>
        <v>24.561260000000001</v>
      </c>
      <c r="R117" s="263">
        <f>+Pobl_adoptada!S117*$D117/1000</f>
        <v>24.711780000000001</v>
      </c>
      <c r="S117" s="263">
        <f>+Pobl_adoptada!T117*$D117/1000</f>
        <v>24.86336</v>
      </c>
      <c r="T117" s="263">
        <f>+Pobl_adoptada!U117*$D117/1000</f>
        <v>25.014940000000003</v>
      </c>
      <c r="U117" s="263">
        <f>+Pobl_adoptada!V117*$D117/1000</f>
        <v>25.168640000000003</v>
      </c>
      <c r="V117" s="263">
        <f>+Pobl_adoptada!W117*$D117/1000</f>
        <v>25.323400000000003</v>
      </c>
      <c r="W117" s="263">
        <f>+Pobl_adoptada!X117*$D117/1000</f>
        <v>25.478159999999999</v>
      </c>
      <c r="X117" s="263">
        <f>+Pobl_adoptada!Y117*$D117/1000</f>
        <v>25.63504</v>
      </c>
      <c r="Y117" s="263">
        <f>+Pobl_adoptada!Z117*$D117/1000</f>
        <v>25.791920000000001</v>
      </c>
      <c r="Z117" s="263">
        <f>+Pobl_adoptada!AA117*$D117/1000</f>
        <v>25.949860000000001</v>
      </c>
    </row>
    <row r="118" spans="1:26" ht="24.95" hidden="1" customHeight="1">
      <c r="A118" s="351" t="str">
        <f>+Pobl_adoptada!A118</f>
        <v>Roque Pérez</v>
      </c>
      <c r="B118" s="70">
        <f>+Pobl_adoptada!B118</f>
        <v>114</v>
      </c>
      <c r="C118" s="353" t="str">
        <f>+Pobl_adoptada!C118</f>
        <v>Roque Pérez</v>
      </c>
      <c r="D118" s="261">
        <f>IF(E118&lt;=15000,DATOS!B$3,IF(E118&lt;=50000,DATOS!B$4,IF(E118&lt;=300000,DATOS!B$5,IF(E118&lt;=500000,DATOS!B$6,DATOS!B$7))))</f>
        <v>0.92</v>
      </c>
      <c r="E118" s="262">
        <f>+Pobl_adoptada!F118</f>
        <v>13109</v>
      </c>
      <c r="F118" s="263">
        <f>+Pobl_adoptada!G118*$D118/1000</f>
        <v>12.270040000000002</v>
      </c>
      <c r="G118" s="263">
        <f>+Pobl_adoptada!H118*$D118/1000</f>
        <v>12.898400000000002</v>
      </c>
      <c r="H118" s="263">
        <f>+Pobl_adoptada!I118*$D118/1000</f>
        <v>13.10816</v>
      </c>
      <c r="I118" s="263">
        <f>+Pobl_adoptada!J118*$D118/1000</f>
        <v>13.317920000000001</v>
      </c>
      <c r="J118" s="263">
        <f>+Pobl_adoptada!K118*$D118/1000</f>
        <v>13.52768</v>
      </c>
      <c r="K118" s="263">
        <f>+Pobl_adoptada!L118*$D118/1000</f>
        <v>13.737440000000001</v>
      </c>
      <c r="L118" s="263">
        <f>+Pobl_adoptada!M118*$D118/1000</f>
        <v>13.9472</v>
      </c>
      <c r="M118" s="263">
        <f>+Pobl_adoptada!N118*$D118/1000</f>
        <v>14.156040000000001</v>
      </c>
      <c r="N118" s="263">
        <f>+Pobl_adoptada!O118*$D118/1000</f>
        <v>14.365800000000002</v>
      </c>
      <c r="O118" s="263">
        <f>+Pobl_adoptada!P118*$D118/1000</f>
        <v>14.575560000000001</v>
      </c>
      <c r="P118" s="263">
        <f>+Pobl_adoptada!Q118*$D118/1000</f>
        <v>14.785320000000002</v>
      </c>
      <c r="Q118" s="263">
        <f>+Pobl_adoptada!R118*$D118/1000</f>
        <v>14.99508</v>
      </c>
      <c r="R118" s="263">
        <f>+Pobl_adoptada!S118*$D118/1000</f>
        <v>15.204840000000001</v>
      </c>
      <c r="S118" s="263">
        <f>+Pobl_adoptada!T118*$D118/1000</f>
        <v>15.4146</v>
      </c>
      <c r="T118" s="263">
        <f>+Pobl_adoptada!U118*$D118/1000</f>
        <v>15.624360000000001</v>
      </c>
      <c r="U118" s="263">
        <f>+Pobl_adoptada!V118*$D118/1000</f>
        <v>15.833200000000001</v>
      </c>
      <c r="V118" s="263">
        <f>+Pobl_adoptada!W118*$D118/1000</f>
        <v>16.042960000000001</v>
      </c>
      <c r="W118" s="263">
        <f>+Pobl_adoptada!X118*$D118/1000</f>
        <v>16.25272</v>
      </c>
      <c r="X118" s="263">
        <f>+Pobl_adoptada!Y118*$D118/1000</f>
        <v>16.462479999999999</v>
      </c>
      <c r="Y118" s="263">
        <f>+Pobl_adoptada!Z118*$D118/1000</f>
        <v>16.672240000000002</v>
      </c>
      <c r="Z118" s="263">
        <f>+Pobl_adoptada!AA118*$D118/1000</f>
        <v>16.882000000000001</v>
      </c>
    </row>
    <row r="119" spans="1:26" ht="24.95" hidden="1" customHeight="1">
      <c r="A119" s="351" t="str">
        <f>+Pobl_adoptada!A119</f>
        <v>Saavedra</v>
      </c>
      <c r="B119" s="70">
        <f>+Pobl_adoptada!B119</f>
        <v>115</v>
      </c>
      <c r="C119" s="353" t="str">
        <f>+Pobl_adoptada!C119</f>
        <v>Pigüé</v>
      </c>
      <c r="D119" s="261">
        <f>IF(E119&lt;=15000,DATOS!B$3,IF(E119&lt;=50000,DATOS!B$4,IF(E119&lt;=300000,DATOS!B$5,IF(E119&lt;=500000,DATOS!B$6,DATOS!B$7))))</f>
        <v>1.06</v>
      </c>
      <c r="E119" s="262">
        <f>+Pobl_adoptada!F119</f>
        <v>15167</v>
      </c>
      <c r="F119" s="263">
        <f>+Pobl_adoptada!G119*$D119/1000</f>
        <v>16.148040000000002</v>
      </c>
      <c r="G119" s="263">
        <f>+Pobl_adoptada!H119*$D119/1000</f>
        <v>16.363220000000002</v>
      </c>
      <c r="H119" s="263">
        <f>+Pobl_adoptada!I119*$D119/1000</f>
        <v>16.436360000000001</v>
      </c>
      <c r="I119" s="263">
        <f>+Pobl_adoptada!J119*$D119/1000</f>
        <v>16.508440000000004</v>
      </c>
      <c r="J119" s="263">
        <f>+Pobl_adoptada!K119*$D119/1000</f>
        <v>16.581580000000002</v>
      </c>
      <c r="K119" s="263">
        <f>+Pobl_adoptada!L119*$D119/1000</f>
        <v>16.655780000000004</v>
      </c>
      <c r="L119" s="263">
        <f>+Pobl_adoptada!M119*$D119/1000</f>
        <v>16.728920000000002</v>
      </c>
      <c r="M119" s="263">
        <f>+Pobl_adoptada!N119*$D119/1000</f>
        <v>16.803120000000003</v>
      </c>
      <c r="N119" s="263">
        <f>+Pobl_adoptada!O119*$D119/1000</f>
        <v>16.877320000000001</v>
      </c>
      <c r="O119" s="263">
        <f>+Pobl_adoptada!P119*$D119/1000</f>
        <v>16.952580000000001</v>
      </c>
      <c r="P119" s="263">
        <f>+Pobl_adoptada!Q119*$D119/1000</f>
        <v>17.027840000000001</v>
      </c>
      <c r="Q119" s="263">
        <f>+Pobl_adoptada!R119*$D119/1000</f>
        <v>17.103100000000001</v>
      </c>
      <c r="R119" s="263">
        <f>+Pobl_adoptada!S119*$D119/1000</f>
        <v>17.178360000000001</v>
      </c>
      <c r="S119" s="263">
        <f>+Pobl_adoptada!T119*$D119/1000</f>
        <v>17.25468</v>
      </c>
      <c r="T119" s="263">
        <f>+Pobl_adoptada!U119*$D119/1000</f>
        <v>17.331</v>
      </c>
      <c r="U119" s="263">
        <f>+Pobl_adoptada!V119*$D119/1000</f>
        <v>17.408380000000001</v>
      </c>
      <c r="V119" s="263">
        <f>+Pobl_adoptada!W119*$D119/1000</f>
        <v>17.4847</v>
      </c>
      <c r="W119" s="263">
        <f>+Pobl_adoptada!X119*$D119/1000</f>
        <v>17.563140000000001</v>
      </c>
      <c r="X119" s="263">
        <f>+Pobl_adoptada!Y119*$D119/1000</f>
        <v>17.640520000000002</v>
      </c>
      <c r="Y119" s="263">
        <f>+Pobl_adoptada!Z119*$D119/1000</f>
        <v>17.718959999999999</v>
      </c>
      <c r="Z119" s="263">
        <f>+Pobl_adoptada!AA119*$D119/1000</f>
        <v>17.797400000000003</v>
      </c>
    </row>
    <row r="120" spans="1:26" ht="24.95" hidden="1" customHeight="1">
      <c r="A120" s="351" t="str">
        <f>+Pobl_adoptada!A120</f>
        <v>Saladillo</v>
      </c>
      <c r="B120" s="70">
        <f>+Pobl_adoptada!B120</f>
        <v>116</v>
      </c>
      <c r="C120" s="353" t="str">
        <f>+Pobl_adoptada!C120</f>
        <v>Saladillo</v>
      </c>
      <c r="D120" s="261">
        <f>IF(E120&lt;=15000,DATOS!B$3,IF(E120&lt;=50000,DATOS!B$4,IF(E120&lt;=300000,DATOS!B$5,IF(E120&lt;=500000,DATOS!B$6,DATOS!B$7))))</f>
        <v>1.06</v>
      </c>
      <c r="E120" s="262">
        <f>+Pobl_adoptada!F120</f>
        <v>31675</v>
      </c>
      <c r="F120" s="263">
        <f>+Pobl_adoptada!G120*$D120/1000</f>
        <v>34.003740000000008</v>
      </c>
      <c r="G120" s="263">
        <f>+Pobl_adoptada!H120*$D120/1000</f>
        <v>35.288460000000001</v>
      </c>
      <c r="H120" s="263">
        <f>+Pobl_adoptada!I120*$D120/1000</f>
        <v>35.716700000000003</v>
      </c>
      <c r="I120" s="263">
        <f>+Pobl_adoptada!J120*$D120/1000</f>
        <v>36.143880000000003</v>
      </c>
      <c r="J120" s="263">
        <f>+Pobl_adoptada!K120*$D120/1000</f>
        <v>36.572120000000005</v>
      </c>
      <c r="K120" s="263">
        <f>+Pobl_adoptada!L120*$D120/1000</f>
        <v>37.000360000000001</v>
      </c>
      <c r="L120" s="263">
        <f>+Pobl_adoptada!M120*$D120/1000</f>
        <v>37.428599999999996</v>
      </c>
      <c r="M120" s="263">
        <f>+Pobl_adoptada!N120*$D120/1000</f>
        <v>37.856840000000005</v>
      </c>
      <c r="N120" s="263">
        <f>+Pobl_adoptada!O120*$D120/1000</f>
        <v>38.285080000000001</v>
      </c>
      <c r="O120" s="263">
        <f>+Pobl_adoptada!P120*$D120/1000</f>
        <v>38.713320000000003</v>
      </c>
      <c r="P120" s="263">
        <f>+Pobl_adoptada!Q120*$D120/1000</f>
        <v>39.141560000000005</v>
      </c>
      <c r="Q120" s="263">
        <f>+Pobl_adoptada!R120*$D120/1000</f>
        <v>39.569800000000001</v>
      </c>
      <c r="R120" s="263">
        <f>+Pobl_adoptada!S120*$D120/1000</f>
        <v>39.998040000000003</v>
      </c>
      <c r="S120" s="263">
        <f>+Pobl_adoptada!T120*$D120/1000</f>
        <v>40.426279999999998</v>
      </c>
      <c r="T120" s="263">
        <f>+Pobl_adoptada!U120*$D120/1000</f>
        <v>40.854520000000001</v>
      </c>
      <c r="U120" s="263">
        <f>+Pobl_adoptada!V120*$D120/1000</f>
        <v>41.282760000000003</v>
      </c>
      <c r="V120" s="263">
        <f>+Pobl_adoptada!W120*$D120/1000</f>
        <v>41.710999999999999</v>
      </c>
      <c r="W120" s="263">
        <f>+Pobl_adoptada!X120*$D120/1000</f>
        <v>42.139240000000008</v>
      </c>
      <c r="X120" s="263">
        <f>+Pobl_adoptada!Y120*$D120/1000</f>
        <v>42.567480000000003</v>
      </c>
      <c r="Y120" s="263">
        <f>+Pobl_adoptada!Z120*$D120/1000</f>
        <v>42.995719999999999</v>
      </c>
      <c r="Z120" s="263">
        <f>+Pobl_adoptada!AA120*$D120/1000</f>
        <v>43.423960000000001</v>
      </c>
    </row>
    <row r="121" spans="1:26" ht="24.95" hidden="1" customHeight="1">
      <c r="A121" s="351" t="str">
        <f>+Pobl_adoptada!A121</f>
        <v>Salliqueló</v>
      </c>
      <c r="B121" s="70">
        <f>+Pobl_adoptada!B121</f>
        <v>117</v>
      </c>
      <c r="C121" s="353" t="str">
        <f>+Pobl_adoptada!C121</f>
        <v>Salliqueló</v>
      </c>
      <c r="D121" s="261">
        <f>IF(E121&lt;=15000,DATOS!B$3,IF(E121&lt;=50000,DATOS!B$4,IF(E121&lt;=300000,DATOS!B$5,IF(E121&lt;=500000,DATOS!B$6,DATOS!B$7))))</f>
        <v>0.92</v>
      </c>
      <c r="E121" s="262">
        <f>+Pobl_adoptada!F121</f>
        <v>8075</v>
      </c>
      <c r="F121" s="263">
        <f>+Pobl_adoptada!G121*$D121/1000</f>
        <v>7.4593600000000002</v>
      </c>
      <c r="G121" s="263">
        <f>+Pobl_adoptada!H121*$D121/1000</f>
        <v>7.5486000000000004</v>
      </c>
      <c r="H121" s="263">
        <f>+Pobl_adoptada!I121*$D121/1000</f>
        <v>7.5789600000000004</v>
      </c>
      <c r="I121" s="263">
        <f>+Pobl_adoptada!J121*$D121/1000</f>
        <v>7.6084000000000005</v>
      </c>
      <c r="J121" s="263">
        <f>+Pobl_adoptada!K121*$D121/1000</f>
        <v>7.6387600000000004</v>
      </c>
      <c r="K121" s="263">
        <f>+Pobl_adoptada!L121*$D121/1000</f>
        <v>7.6682000000000006</v>
      </c>
      <c r="L121" s="263">
        <f>+Pobl_adoptada!M121*$D121/1000</f>
        <v>7.6985600000000005</v>
      </c>
      <c r="M121" s="263">
        <f>+Pobl_adoptada!N121*$D121/1000</f>
        <v>7.7289200000000005</v>
      </c>
      <c r="N121" s="263">
        <f>+Pobl_adoptada!O121*$D121/1000</f>
        <v>7.7583600000000006</v>
      </c>
      <c r="O121" s="263">
        <f>+Pobl_adoptada!P121*$D121/1000</f>
        <v>7.7887200000000005</v>
      </c>
      <c r="P121" s="263">
        <f>+Pobl_adoptada!Q121*$D121/1000</f>
        <v>7.8181600000000007</v>
      </c>
      <c r="Q121" s="263">
        <f>+Pobl_adoptada!R121*$D121/1000</f>
        <v>7.8485200000000006</v>
      </c>
      <c r="R121" s="263">
        <f>+Pobl_adoptada!S121*$D121/1000</f>
        <v>7.8779599999999999</v>
      </c>
      <c r="S121" s="263">
        <f>+Pobl_adoptada!T121*$D121/1000</f>
        <v>7.9083200000000007</v>
      </c>
      <c r="T121" s="263">
        <f>+Pobl_adoptada!U121*$D121/1000</f>
        <v>7.9377599999999999</v>
      </c>
      <c r="U121" s="263">
        <f>+Pobl_adoptada!V121*$D121/1000</f>
        <v>7.9681200000000008</v>
      </c>
      <c r="V121" s="263">
        <f>+Pobl_adoptada!W121*$D121/1000</f>
        <v>7.99756</v>
      </c>
      <c r="W121" s="263">
        <f>+Pobl_adoptada!X121*$D121/1000</f>
        <v>8.0279199999999999</v>
      </c>
      <c r="X121" s="263">
        <f>+Pobl_adoptada!Y121*$D121/1000</f>
        <v>8.057360000000001</v>
      </c>
      <c r="Y121" s="263">
        <f>+Pobl_adoptada!Z121*$D121/1000</f>
        <v>8.0877200000000009</v>
      </c>
      <c r="Z121" s="263">
        <f>+Pobl_adoptada!AA121*$D121/1000</f>
        <v>8.1171600000000002</v>
      </c>
    </row>
    <row r="122" spans="1:26" ht="24.95" hidden="1" customHeight="1">
      <c r="A122" s="351" t="str">
        <f>+Pobl_adoptada!A122</f>
        <v>Salto</v>
      </c>
      <c r="B122" s="70">
        <f>+Pobl_adoptada!B122</f>
        <v>118</v>
      </c>
      <c r="C122" s="353" t="str">
        <f>+Pobl_adoptada!C122</f>
        <v>Salto</v>
      </c>
      <c r="D122" s="261">
        <f>IF(E122&lt;=15000,DATOS!B$3,IF(E122&lt;=50000,DATOS!B$4,IF(E122&lt;=300000,DATOS!B$5,IF(E122&lt;=500000,DATOS!B$6,DATOS!B$7))))</f>
        <v>1.06</v>
      </c>
      <c r="E122" s="262">
        <f>+Pobl_adoptada!F122</f>
        <v>32622</v>
      </c>
      <c r="F122" s="263">
        <f>+Pobl_adoptada!G122*$D122/1000</f>
        <v>35.078580000000002</v>
      </c>
      <c r="G122" s="263">
        <f>+Pobl_adoptada!H122*$D122/1000</f>
        <v>36.619819999999997</v>
      </c>
      <c r="H122" s="263">
        <f>+Pobl_adoptada!I122*$D122/1000</f>
        <v>37.148760000000003</v>
      </c>
      <c r="I122" s="263">
        <f>+Pobl_adoptada!J122*$D122/1000</f>
        <v>37.685120000000005</v>
      </c>
      <c r="J122" s="263">
        <f>+Pobl_adoptada!K122*$D122/1000</f>
        <v>38.229959999999998</v>
      </c>
      <c r="K122" s="263">
        <f>+Pobl_adoptada!L122*$D122/1000</f>
        <v>38.781160000000007</v>
      </c>
      <c r="L122" s="263">
        <f>+Pobl_adoptada!M122*$D122/1000</f>
        <v>39.341900000000003</v>
      </c>
      <c r="M122" s="263">
        <f>+Pobl_adoptada!N122*$D122/1000</f>
        <v>39.908999999999999</v>
      </c>
      <c r="N122" s="263">
        <f>+Pobl_adoptada!O122*$D122/1000</f>
        <v>40.485639999999997</v>
      </c>
      <c r="O122" s="263">
        <f>+Pobl_adoptada!P122*$D122/1000</f>
        <v>41.07076</v>
      </c>
      <c r="P122" s="263">
        <f>+Pobl_adoptada!Q122*$D122/1000</f>
        <v>41.6633</v>
      </c>
      <c r="Q122" s="263">
        <f>+Pobl_adoptada!R122*$D122/1000</f>
        <v>42.265380000000007</v>
      </c>
      <c r="R122" s="263">
        <f>+Pobl_adoptada!S122*$D122/1000</f>
        <v>42.874880000000005</v>
      </c>
      <c r="S122" s="263">
        <f>+Pobl_adoptada!T122*$D122/1000</f>
        <v>43.493920000000003</v>
      </c>
      <c r="T122" s="263">
        <f>+Pobl_adoptada!U122*$D122/1000</f>
        <v>44.122500000000002</v>
      </c>
      <c r="U122" s="263">
        <f>+Pobl_adoptada!V122*$D122/1000</f>
        <v>44.759560000000008</v>
      </c>
      <c r="V122" s="263">
        <f>+Pobl_adoptada!W122*$D122/1000</f>
        <v>45.406160000000007</v>
      </c>
      <c r="W122" s="263">
        <f>+Pobl_adoptada!X122*$D122/1000</f>
        <v>46.061240000000005</v>
      </c>
      <c r="X122" s="263">
        <f>+Pobl_adoptada!Y122*$D122/1000</f>
        <v>46.726920000000007</v>
      </c>
      <c r="Y122" s="263">
        <f>+Pobl_adoptada!Z122*$D122/1000</f>
        <v>47.40108</v>
      </c>
      <c r="Z122" s="263">
        <f>+Pobl_adoptada!AA122*$D122/1000</f>
        <v>48.085840000000005</v>
      </c>
    </row>
    <row r="123" spans="1:26" ht="24.95" hidden="1" customHeight="1">
      <c r="A123" s="351" t="str">
        <f>+Pobl_adoptada!A123</f>
        <v>San Andrés de Giles</v>
      </c>
      <c r="B123" s="70">
        <f>+Pobl_adoptada!B123</f>
        <v>119</v>
      </c>
      <c r="C123" s="353" t="str">
        <f>+Pobl_adoptada!C123</f>
        <v>San Andrés de Giles</v>
      </c>
      <c r="D123" s="261">
        <f>IF(E123&lt;=15000,DATOS!B$3,IF(E123&lt;=50000,DATOS!B$4,IF(E123&lt;=300000,DATOS!B$5,IF(E123&lt;=500000,DATOS!B$6,DATOS!B$7))))</f>
        <v>1.06</v>
      </c>
      <c r="E123" s="262">
        <f>+Pobl_adoptada!F123</f>
        <v>19343</v>
      </c>
      <c r="F123" s="263">
        <f>+Pobl_adoptada!G123*$D123/1000</f>
        <v>20.777060000000002</v>
      </c>
      <c r="G123" s="263">
        <f>+Pobl_adoptada!H123*$D123/1000</f>
        <v>21.5975</v>
      </c>
      <c r="H123" s="263">
        <f>+Pobl_adoptada!I123*$D123/1000</f>
        <v>21.86992</v>
      </c>
      <c r="I123" s="263">
        <f>+Pobl_adoptada!J123*$D123/1000</f>
        <v>22.1434</v>
      </c>
      <c r="J123" s="263">
        <f>+Pobl_adoptada!K123*$D123/1000</f>
        <v>22.416880000000003</v>
      </c>
      <c r="K123" s="263">
        <f>+Pobl_adoptada!L123*$D123/1000</f>
        <v>22.690360000000002</v>
      </c>
      <c r="L123" s="263">
        <f>+Pobl_adoptada!M123*$D123/1000</f>
        <v>22.963840000000001</v>
      </c>
      <c r="M123" s="263">
        <f>+Pobl_adoptada!N123*$D123/1000</f>
        <v>23.236260000000001</v>
      </c>
      <c r="N123" s="263">
        <f>+Pobl_adoptada!O123*$D123/1000</f>
        <v>23.509740000000001</v>
      </c>
      <c r="O123" s="263">
        <f>+Pobl_adoptada!P123*$D123/1000</f>
        <v>23.78322</v>
      </c>
      <c r="P123" s="263">
        <f>+Pobl_adoptada!Q123*$D123/1000</f>
        <v>24.056699999999999</v>
      </c>
      <c r="Q123" s="263">
        <f>+Pobl_adoptada!R123*$D123/1000</f>
        <v>24.330179999999999</v>
      </c>
      <c r="R123" s="263">
        <f>+Pobl_adoptada!S123*$D123/1000</f>
        <v>24.603660000000001</v>
      </c>
      <c r="S123" s="263">
        <f>+Pobl_adoptada!T123*$D123/1000</f>
        <v>24.876080000000002</v>
      </c>
      <c r="T123" s="263">
        <f>+Pobl_adoptada!U123*$D123/1000</f>
        <v>25.149560000000001</v>
      </c>
      <c r="U123" s="263">
        <f>+Pobl_adoptada!V123*$D123/1000</f>
        <v>25.42304</v>
      </c>
      <c r="V123" s="263">
        <f>+Pobl_adoptada!W123*$D123/1000</f>
        <v>25.69652</v>
      </c>
      <c r="W123" s="263">
        <f>+Pobl_adoptada!X123*$D123/1000</f>
        <v>25.97</v>
      </c>
      <c r="X123" s="263">
        <f>+Pobl_adoptada!Y123*$D123/1000</f>
        <v>26.243479999999998</v>
      </c>
      <c r="Y123" s="263">
        <f>+Pobl_adoptada!Z123*$D123/1000</f>
        <v>26.515900000000002</v>
      </c>
      <c r="Z123" s="263">
        <f>+Pobl_adoptada!AA123*$D123/1000</f>
        <v>26.789380000000001</v>
      </c>
    </row>
    <row r="124" spans="1:26" ht="24.95" hidden="1" customHeight="1">
      <c r="A124" s="351" t="str">
        <f>+Pobl_adoptada!A124</f>
        <v>San Antonio de Areco</v>
      </c>
      <c r="B124" s="70">
        <f>+Pobl_adoptada!B124</f>
        <v>120</v>
      </c>
      <c r="C124" s="353" t="str">
        <f>+Pobl_adoptada!C124</f>
        <v>San Antonio de Areco</v>
      </c>
      <c r="D124" s="261">
        <f>IF(E124&lt;=15000,DATOS!B$3,IF(E124&lt;=50000,DATOS!B$4,IF(E124&lt;=300000,DATOS!B$5,IF(E124&lt;=500000,DATOS!B$6,DATOS!B$7))))</f>
        <v>1.06</v>
      </c>
      <c r="E124" s="262">
        <f>+Pobl_adoptada!F124</f>
        <v>22554</v>
      </c>
      <c r="F124" s="263">
        <f>+Pobl_adoptada!G124*$D124/1000</f>
        <v>24.151040000000002</v>
      </c>
      <c r="G124" s="263">
        <f>+Pobl_adoptada!H124*$D124/1000</f>
        <v>24.883500000000002</v>
      </c>
      <c r="H124" s="263">
        <f>+Pobl_adoptada!I124*$D124/1000</f>
        <v>25.127300000000002</v>
      </c>
      <c r="I124" s="263">
        <f>+Pobl_adoptada!J124*$D124/1000</f>
        <v>25.372160000000001</v>
      </c>
      <c r="J124" s="263">
        <f>+Pobl_adoptada!K124*$D124/1000</f>
        <v>25.615960000000001</v>
      </c>
      <c r="K124" s="263">
        <f>+Pobl_adoptada!L124*$D124/1000</f>
        <v>25.859760000000001</v>
      </c>
      <c r="L124" s="263">
        <f>+Pobl_adoptada!M124*$D124/1000</f>
        <v>26.103560000000002</v>
      </c>
      <c r="M124" s="263">
        <f>+Pobl_adoptada!N124*$D124/1000</f>
        <v>26.348420000000001</v>
      </c>
      <c r="N124" s="263">
        <f>+Pobl_adoptada!O124*$D124/1000</f>
        <v>26.592220000000001</v>
      </c>
      <c r="O124" s="263">
        <f>+Pobl_adoptada!P124*$D124/1000</f>
        <v>26.836020000000001</v>
      </c>
      <c r="P124" s="263">
        <f>+Pobl_adoptada!Q124*$D124/1000</f>
        <v>27.079819999999998</v>
      </c>
      <c r="Q124" s="263">
        <f>+Pobl_adoptada!R124*$D124/1000</f>
        <v>27.323620000000002</v>
      </c>
      <c r="R124" s="263">
        <f>+Pobl_adoptada!S124*$D124/1000</f>
        <v>27.568480000000005</v>
      </c>
      <c r="S124" s="263">
        <f>+Pobl_adoptada!T124*$D124/1000</f>
        <v>27.812280000000001</v>
      </c>
      <c r="T124" s="263">
        <f>+Pobl_adoptada!U124*$D124/1000</f>
        <v>28.056080000000001</v>
      </c>
      <c r="U124" s="263">
        <f>+Pobl_adoptada!V124*$D124/1000</f>
        <v>28.299880000000002</v>
      </c>
      <c r="V124" s="263">
        <f>+Pobl_adoptada!W124*$D124/1000</f>
        <v>28.544740000000001</v>
      </c>
      <c r="W124" s="263">
        <f>+Pobl_adoptada!X124*$D124/1000</f>
        <v>28.788540000000001</v>
      </c>
      <c r="X124" s="263">
        <f>+Pobl_adoptada!Y124*$D124/1000</f>
        <v>29.032340000000001</v>
      </c>
      <c r="Y124" s="263">
        <f>+Pobl_adoptada!Z124*$D124/1000</f>
        <v>29.276140000000002</v>
      </c>
      <c r="Z124" s="263">
        <f>+Pobl_adoptada!AA124*$D124/1000</f>
        <v>29.519940000000002</v>
      </c>
    </row>
    <row r="125" spans="1:26" ht="24.95" hidden="1" customHeight="1">
      <c r="A125" s="351" t="str">
        <f>+Pobl_adoptada!A125</f>
        <v>San Cayetano</v>
      </c>
      <c r="B125" s="70">
        <f>+Pobl_adoptada!B125</f>
        <v>121</v>
      </c>
      <c r="C125" s="353" t="str">
        <f>+Pobl_adoptada!C125</f>
        <v>San Cayetano</v>
      </c>
      <c r="D125" s="261">
        <f>IF(E125&lt;=15000,DATOS!B$3,IF(E125&lt;=50000,DATOS!B$4,IF(E125&lt;=300000,DATOS!B$5,IF(E125&lt;=500000,DATOS!B$6,DATOS!B$7))))</f>
        <v>0.92</v>
      </c>
      <c r="E125" s="262">
        <f>+Pobl_adoptada!F125</f>
        <v>8233</v>
      </c>
      <c r="F125" s="263">
        <f>+Pobl_adoptada!G125*$D125/1000</f>
        <v>7.6461199999999998</v>
      </c>
      <c r="G125" s="263">
        <f>+Pobl_adoptada!H125*$D125/1000</f>
        <v>7.8650799999999998</v>
      </c>
      <c r="H125" s="263">
        <f>+Pobl_adoptada!I125*$D125/1000</f>
        <v>7.9386800000000006</v>
      </c>
      <c r="I125" s="263">
        <f>+Pobl_adoptada!J125*$D125/1000</f>
        <v>8.0141200000000001</v>
      </c>
      <c r="J125" s="263">
        <f>+Pobl_adoptada!K125*$D125/1000</f>
        <v>8.0895600000000005</v>
      </c>
      <c r="K125" s="263">
        <f>+Pobl_adoptada!L125*$D125/1000</f>
        <v>8.1659199999999998</v>
      </c>
      <c r="L125" s="263">
        <f>+Pobl_adoptada!M125*$D125/1000</f>
        <v>8.2431999999999999</v>
      </c>
      <c r="M125" s="263">
        <f>+Pobl_adoptada!N125*$D125/1000</f>
        <v>8.3213999999999988</v>
      </c>
      <c r="N125" s="263">
        <f>+Pobl_adoptada!O125*$D125/1000</f>
        <v>8.3995999999999995</v>
      </c>
      <c r="O125" s="263">
        <f>+Pobl_adoptada!P125*$D125/1000</f>
        <v>8.4796400000000016</v>
      </c>
      <c r="P125" s="263">
        <f>+Pobl_adoptada!Q125*$D125/1000</f>
        <v>8.5596800000000002</v>
      </c>
      <c r="Q125" s="263">
        <f>+Pobl_adoptada!R125*$D125/1000</f>
        <v>8.6406400000000012</v>
      </c>
      <c r="R125" s="263">
        <f>+Pobl_adoptada!S125*$D125/1000</f>
        <v>8.7225200000000012</v>
      </c>
      <c r="S125" s="263">
        <f>+Pobl_adoptada!T125*$D125/1000</f>
        <v>8.8043999999999993</v>
      </c>
      <c r="T125" s="263">
        <f>+Pobl_adoptada!U125*$D125/1000</f>
        <v>8.8881200000000007</v>
      </c>
      <c r="U125" s="263">
        <f>+Pobl_adoptada!V125*$D125/1000</f>
        <v>8.9718400000000003</v>
      </c>
      <c r="V125" s="263">
        <f>+Pobl_adoptada!W125*$D125/1000</f>
        <v>9.0564799999999988</v>
      </c>
      <c r="W125" s="263">
        <f>+Pobl_adoptada!X125*$D125/1000</f>
        <v>9.1420400000000015</v>
      </c>
      <c r="X125" s="263">
        <f>+Pobl_adoptada!Y125*$D125/1000</f>
        <v>9.2285199999999996</v>
      </c>
      <c r="Y125" s="263">
        <f>+Pobl_adoptada!Z125*$D125/1000</f>
        <v>9.3159200000000002</v>
      </c>
      <c r="Z125" s="263">
        <f>+Pobl_adoptada!AA125*$D125/1000</f>
        <v>9.4042399999999997</v>
      </c>
    </row>
    <row r="126" spans="1:26" ht="24.95" hidden="1" customHeight="1">
      <c r="A126" s="351" t="str">
        <f>+Pobl_adoptada!A126</f>
        <v>San Nicolás</v>
      </c>
      <c r="B126" s="70">
        <f>+Pobl_adoptada!B126</f>
        <v>122</v>
      </c>
      <c r="C126" s="353" t="str">
        <f>+Pobl_adoptada!C126</f>
        <v>San Nicolás de los Arroyos</v>
      </c>
      <c r="D126" s="261">
        <f>IF(E126&lt;=15000,DATOS!B$3,IF(E126&lt;=50000,DATOS!B$4,IF(E126&lt;=300000,DATOS!B$5,IF(E126&lt;=500000,DATOS!B$6,DATOS!B$7))))</f>
        <v>1.02</v>
      </c>
      <c r="E126" s="262">
        <f>+Pobl_adoptada!F126</f>
        <v>151867</v>
      </c>
      <c r="F126" s="263">
        <f>+Pobl_adoptada!G126*$D126/1000</f>
        <v>156.62610000000001</v>
      </c>
      <c r="G126" s="263">
        <f>+Pobl_adoptada!H126*$D126/1000</f>
        <v>161.96274</v>
      </c>
      <c r="H126" s="263">
        <f>+Pobl_adoptada!I126*$D126/1000</f>
        <v>163.79976000000002</v>
      </c>
      <c r="I126" s="263">
        <f>+Pobl_adoptada!J126*$D126/1000</f>
        <v>165.66636000000003</v>
      </c>
      <c r="J126" s="263">
        <f>+Pobl_adoptada!K126*$D126/1000</f>
        <v>167.56458000000001</v>
      </c>
      <c r="K126" s="263">
        <f>+Pobl_adoptada!L126*$D126/1000</f>
        <v>169.49238</v>
      </c>
      <c r="L126" s="263">
        <f>+Pobl_adoptada!M126*$D126/1000</f>
        <v>171.45282</v>
      </c>
      <c r="M126" s="263">
        <f>+Pobl_adoptada!N126*$D126/1000</f>
        <v>173.44488000000001</v>
      </c>
      <c r="N126" s="263">
        <f>+Pobl_adoptada!O126*$D126/1000</f>
        <v>175.46958000000001</v>
      </c>
      <c r="O126" s="263">
        <f>+Pobl_adoptada!P126*$D126/1000</f>
        <v>177.52692000000002</v>
      </c>
      <c r="P126" s="263">
        <f>+Pobl_adoptada!Q126*$D126/1000</f>
        <v>179.61792000000003</v>
      </c>
      <c r="Q126" s="263">
        <f>+Pobl_adoptada!R126*$D126/1000</f>
        <v>181.74258</v>
      </c>
      <c r="R126" s="263">
        <f>+Pobl_adoptada!S126*$D126/1000</f>
        <v>183.90294</v>
      </c>
      <c r="S126" s="263">
        <f>+Pobl_adoptada!T126*$D126/1000</f>
        <v>186.09798000000001</v>
      </c>
      <c r="T126" s="263">
        <f>+Pobl_adoptada!U126*$D126/1000</f>
        <v>188.32872</v>
      </c>
      <c r="U126" s="263">
        <f>+Pobl_adoptada!V126*$D126/1000</f>
        <v>190.59515999999999</v>
      </c>
      <c r="V126" s="263">
        <f>+Pobl_adoptada!W126*$D126/1000</f>
        <v>192.90036000000001</v>
      </c>
      <c r="W126" s="263">
        <f>+Pobl_adoptada!X126*$D126/1000</f>
        <v>195.24126000000001</v>
      </c>
      <c r="X126" s="263">
        <f>+Pobl_adoptada!Y126*$D126/1000</f>
        <v>197.62194</v>
      </c>
      <c r="Y126" s="263">
        <f>+Pobl_adoptada!Z126*$D126/1000</f>
        <v>200.04036000000002</v>
      </c>
      <c r="Z126" s="263">
        <f>+Pobl_adoptada!AA126*$D126/1000</f>
        <v>202.49856</v>
      </c>
    </row>
    <row r="127" spans="1:26" ht="24.95" hidden="1" customHeight="1">
      <c r="A127" s="351" t="str">
        <f>+Pobl_adoptada!A127</f>
        <v>San Pedro</v>
      </c>
      <c r="B127" s="70">
        <f>+Pobl_adoptada!B127</f>
        <v>123</v>
      </c>
      <c r="C127" s="353" t="str">
        <f>+Pobl_adoptada!C127</f>
        <v>San Pedro</v>
      </c>
      <c r="D127" s="261">
        <f>IF(E127&lt;=15000,DATOS!B$3,IF(E127&lt;=50000,DATOS!B$4,IF(E127&lt;=300000,DATOS!B$5,IF(E127&lt;=500000,DATOS!B$6,DATOS!B$7))))</f>
        <v>1.02</v>
      </c>
      <c r="E127" s="262">
        <f>+Pobl_adoptada!F127</f>
        <v>55571</v>
      </c>
      <c r="F127" s="263">
        <f>+Pobl_adoptada!G127*$D127/1000</f>
        <v>57.434160000000006</v>
      </c>
      <c r="G127" s="263">
        <f>+Pobl_adoptada!H127*$D127/1000</f>
        <v>59.746499999999997</v>
      </c>
      <c r="H127" s="263">
        <f>+Pobl_adoptada!I127*$D127/1000</f>
        <v>60.538020000000003</v>
      </c>
      <c r="I127" s="263">
        <f>+Pobl_adoptada!J127*$D127/1000</f>
        <v>61.340760000000003</v>
      </c>
      <c r="J127" s="263">
        <f>+Pobl_adoptada!K127*$D127/1000</f>
        <v>62.153700000000008</v>
      </c>
      <c r="K127" s="263">
        <f>+Pobl_adoptada!L127*$D127/1000</f>
        <v>62.976840000000003</v>
      </c>
      <c r="L127" s="263">
        <f>+Pobl_adoptada!M127*$D127/1000</f>
        <v>63.811200000000007</v>
      </c>
      <c r="M127" s="263">
        <f>+Pobl_adoptada!N127*$D127/1000</f>
        <v>64.656779999999998</v>
      </c>
      <c r="N127" s="263">
        <f>+Pobl_adoptada!O127*$D127/1000</f>
        <v>65.513580000000005</v>
      </c>
      <c r="O127" s="263">
        <f>+Pobl_adoptada!P127*$D127/1000</f>
        <v>66.381600000000006</v>
      </c>
      <c r="P127" s="263">
        <f>+Pobl_adoptada!Q127*$D127/1000</f>
        <v>67.260840000000002</v>
      </c>
      <c r="Q127" s="263">
        <f>+Pobl_adoptada!R127*$D127/1000</f>
        <v>68.152320000000003</v>
      </c>
      <c r="R127" s="263">
        <f>+Pobl_adoptada!S127*$D127/1000</f>
        <v>69.055019999999999</v>
      </c>
      <c r="S127" s="263">
        <f>+Pobl_adoptada!T127*$D127/1000</f>
        <v>69.96996</v>
      </c>
      <c r="T127" s="263">
        <f>+Pobl_adoptada!U127*$D127/1000</f>
        <v>70.897139999999993</v>
      </c>
      <c r="U127" s="263">
        <f>+Pobl_adoptada!V127*$D127/1000</f>
        <v>71.836559999999992</v>
      </c>
      <c r="V127" s="263">
        <f>+Pobl_adoptada!W127*$D127/1000</f>
        <v>72.788219999999995</v>
      </c>
      <c r="W127" s="263">
        <f>+Pobl_adoptada!X127*$D127/1000</f>
        <v>73.752119999999991</v>
      </c>
      <c r="X127" s="263">
        <f>+Pobl_adoptada!Y127*$D127/1000</f>
        <v>74.729280000000003</v>
      </c>
      <c r="Y127" s="263">
        <f>+Pobl_adoptada!Z127*$D127/1000</f>
        <v>75.719700000000003</v>
      </c>
      <c r="Z127" s="263">
        <f>+Pobl_adoptada!AA127*$D127/1000</f>
        <v>76.723380000000006</v>
      </c>
    </row>
    <row r="128" spans="1:26" ht="24.95" hidden="1" customHeight="1">
      <c r="A128" s="351" t="str">
        <f>+Pobl_adoptada!A128</f>
        <v>San Vicente</v>
      </c>
      <c r="B128" s="70">
        <f>+Pobl_adoptada!B128</f>
        <v>124</v>
      </c>
      <c r="C128" s="353" t="str">
        <f>+Pobl_adoptada!C128</f>
        <v>San Vicente</v>
      </c>
      <c r="D128" s="261">
        <f>IF(E128&lt;=15000,DATOS!B$3,IF(E128&lt;=50000,DATOS!B$4,IF(E128&lt;=300000,DATOS!B$5,IF(E128&lt;=500000,DATOS!B$6,DATOS!B$7))))</f>
        <v>1.02</v>
      </c>
      <c r="E128" s="262">
        <f>+Pobl_adoptada!F128</f>
        <v>96435</v>
      </c>
      <c r="F128" s="263">
        <f>+Pobl_adoptada!G128*$D128/1000</f>
        <v>101.97246000000001</v>
      </c>
      <c r="G128" s="263">
        <f>+Pobl_adoptada!H128*$D128/1000</f>
        <v>113.1537</v>
      </c>
      <c r="H128" s="263">
        <f>+Pobl_adoptada!I128*$D128/1000</f>
        <v>117.00318000000001</v>
      </c>
      <c r="I128" s="263">
        <f>+Pobl_adoptada!J128*$D128/1000</f>
        <v>120.91488000000001</v>
      </c>
      <c r="J128" s="263">
        <f>+Pobl_adoptada!K128*$D128/1000</f>
        <v>124.89084</v>
      </c>
      <c r="K128" s="263">
        <f>+Pobl_adoptada!L128*$D128/1000</f>
        <v>128.93208000000001</v>
      </c>
      <c r="L128" s="263">
        <f>+Pobl_adoptada!M128*$D128/1000</f>
        <v>133.0386</v>
      </c>
      <c r="M128" s="263">
        <f>+Pobl_adoptada!N128*$D128/1000</f>
        <v>137.21244000000002</v>
      </c>
      <c r="N128" s="263">
        <f>+Pobl_adoptada!O128*$D128/1000</f>
        <v>141.45462000000001</v>
      </c>
      <c r="O128" s="263">
        <f>+Pobl_adoptada!P128*$D128/1000</f>
        <v>145.76514</v>
      </c>
      <c r="P128" s="263">
        <f>+Pobl_adoptada!Q128*$D128/1000</f>
        <v>150.14706000000001</v>
      </c>
      <c r="Q128" s="263">
        <f>+Pobl_adoptada!R128*$D128/1000</f>
        <v>154.59936000000002</v>
      </c>
      <c r="R128" s="263">
        <f>+Pobl_adoptada!S128*$D128/1000</f>
        <v>159.1251</v>
      </c>
      <c r="S128" s="263">
        <f>+Pobl_adoptada!T128*$D128/1000</f>
        <v>163.72427999999999</v>
      </c>
      <c r="T128" s="263">
        <f>+Pobl_adoptada!U128*$D128/1000</f>
        <v>168.39894000000001</v>
      </c>
      <c r="U128" s="263">
        <f>+Pobl_adoptada!V128*$D128/1000</f>
        <v>173.14908000000003</v>
      </c>
      <c r="V128" s="263">
        <f>+Pobl_adoptada!W128*$D128/1000</f>
        <v>177.97673999999998</v>
      </c>
      <c r="W128" s="263">
        <f>+Pobl_adoptada!X128*$D128/1000</f>
        <v>182.88396</v>
      </c>
      <c r="X128" s="263">
        <f>+Pobl_adoptada!Y128*$D128/1000</f>
        <v>187.87073999999998</v>
      </c>
      <c r="Y128" s="263">
        <f>+Pobl_adoptada!Z128*$D128/1000</f>
        <v>192.93912</v>
      </c>
      <c r="Z128" s="263">
        <f>+Pobl_adoptada!AA128*$D128/1000</f>
        <v>198.09011999999998</v>
      </c>
    </row>
    <row r="129" spans="1:26" ht="24.95" hidden="1" customHeight="1">
      <c r="A129" s="351" t="str">
        <f>+Pobl_adoptada!A129</f>
        <v>Suipacha</v>
      </c>
      <c r="B129" s="70">
        <f>+Pobl_adoptada!B129</f>
        <v>125</v>
      </c>
      <c r="C129" s="353" t="str">
        <f>+Pobl_adoptada!C129</f>
        <v>Suipacha</v>
      </c>
      <c r="D129" s="261">
        <f>IF(E129&lt;=15000,DATOS!B$3,IF(E129&lt;=50000,DATOS!B$4,IF(E129&lt;=300000,DATOS!B$5,IF(E129&lt;=500000,DATOS!B$6,DATOS!B$7))))</f>
        <v>0.92</v>
      </c>
      <c r="E129" s="262">
        <f>+Pobl_adoptada!F129</f>
        <v>9951</v>
      </c>
      <c r="F129" s="263">
        <f>+Pobl_adoptada!G129*$D129/1000</f>
        <v>9.2754399999999997</v>
      </c>
      <c r="G129" s="263">
        <f>+Pobl_adoptada!H129*$D129/1000</f>
        <v>9.6379199999999994</v>
      </c>
      <c r="H129" s="263">
        <f>+Pobl_adoptada!I129*$D129/1000</f>
        <v>9.7584400000000002</v>
      </c>
      <c r="I129" s="263">
        <f>+Pobl_adoptada!J129*$D129/1000</f>
        <v>9.8789600000000011</v>
      </c>
      <c r="J129" s="263">
        <f>+Pobl_adoptada!K129*$D129/1000</f>
        <v>9.9994800000000001</v>
      </c>
      <c r="K129" s="263">
        <f>+Pobl_adoptada!L129*$D129/1000</f>
        <v>10.119999999999999</v>
      </c>
      <c r="L129" s="263">
        <f>+Pobl_adoptada!M129*$D129/1000</f>
        <v>10.24052</v>
      </c>
      <c r="M129" s="263">
        <f>+Pobl_adoptada!N129*$D129/1000</f>
        <v>10.361040000000001</v>
      </c>
      <c r="N129" s="263">
        <f>+Pobl_adoptada!O129*$D129/1000</f>
        <v>10.482479999999999</v>
      </c>
      <c r="O129" s="263">
        <f>+Pobl_adoptada!P129*$D129/1000</f>
        <v>10.603</v>
      </c>
      <c r="P129" s="263">
        <f>+Pobl_adoptada!Q129*$D129/1000</f>
        <v>10.723520000000001</v>
      </c>
      <c r="Q129" s="263">
        <f>+Pobl_adoptada!R129*$D129/1000</f>
        <v>10.844040000000001</v>
      </c>
      <c r="R129" s="263">
        <f>+Pobl_adoptada!S129*$D129/1000</f>
        <v>10.964560000000001</v>
      </c>
      <c r="S129" s="263">
        <f>+Pobl_adoptada!T129*$D129/1000</f>
        <v>11.08508</v>
      </c>
      <c r="T129" s="263">
        <f>+Pobl_adoptada!U129*$D129/1000</f>
        <v>11.2056</v>
      </c>
      <c r="U129" s="263">
        <f>+Pobl_adoptada!V129*$D129/1000</f>
        <v>11.326120000000001</v>
      </c>
      <c r="V129" s="263">
        <f>+Pobl_adoptada!W129*$D129/1000</f>
        <v>11.447560000000001</v>
      </c>
      <c r="W129" s="263">
        <f>+Pobl_adoptada!X129*$D129/1000</f>
        <v>11.56808</v>
      </c>
      <c r="X129" s="263">
        <f>+Pobl_adoptada!Y129*$D129/1000</f>
        <v>11.688600000000001</v>
      </c>
      <c r="Y129" s="263">
        <f>+Pobl_adoptada!Z129*$D129/1000</f>
        <v>11.80912</v>
      </c>
      <c r="Z129" s="263">
        <f>+Pobl_adoptada!AA129*$D129/1000</f>
        <v>11.929640000000001</v>
      </c>
    </row>
    <row r="130" spans="1:26" ht="24.95" hidden="1" customHeight="1">
      <c r="A130" s="351" t="str">
        <f>+Pobl_adoptada!A130</f>
        <v>Tandil</v>
      </c>
      <c r="B130" s="70">
        <f>+Pobl_adoptada!B130</f>
        <v>126</v>
      </c>
      <c r="C130" s="353" t="str">
        <f>+Pobl_adoptada!C130</f>
        <v>Tandil</v>
      </c>
      <c r="D130" s="261">
        <f>IF(E130&lt;=15000,DATOS!B$3,IF(E130&lt;=50000,DATOS!B$4,IF(E130&lt;=300000,DATOS!B$5,IF(E130&lt;=500000,DATOS!B$6,DATOS!B$7))))</f>
        <v>1.02</v>
      </c>
      <c r="E130" s="262">
        <f>+Pobl_adoptada!F130</f>
        <v>137133</v>
      </c>
      <c r="F130" s="263">
        <f>+Pobl_adoptada!G130*$D130/1000</f>
        <v>141.74736000000001</v>
      </c>
      <c r="G130" s="263">
        <f>+Pobl_adoptada!H130*$D130/1000</f>
        <v>147.51342000000002</v>
      </c>
      <c r="H130" s="263">
        <f>+Pobl_adoptada!I130*$D130/1000</f>
        <v>149.48712</v>
      </c>
      <c r="I130" s="263">
        <f>+Pobl_adoptada!J130*$D130/1000</f>
        <v>151.48733999999999</v>
      </c>
      <c r="J130" s="263">
        <f>+Pobl_adoptada!K130*$D130/1000</f>
        <v>153.51408000000001</v>
      </c>
      <c r="K130" s="263">
        <f>+Pobl_adoptada!L130*$D130/1000</f>
        <v>155.56734</v>
      </c>
      <c r="L130" s="263">
        <f>+Pobl_adoptada!M130*$D130/1000</f>
        <v>157.64915999999999</v>
      </c>
      <c r="M130" s="263">
        <f>+Pobl_adoptada!N130*$D130/1000</f>
        <v>159.75851999999998</v>
      </c>
      <c r="N130" s="263">
        <f>+Pobl_adoptada!O130*$D130/1000</f>
        <v>161.89644000000001</v>
      </c>
      <c r="O130" s="263">
        <f>+Pobl_adoptada!P130*$D130/1000</f>
        <v>164.06189999999998</v>
      </c>
      <c r="P130" s="263">
        <f>+Pobl_adoptada!Q130*$D130/1000</f>
        <v>166.25694000000001</v>
      </c>
      <c r="Q130" s="263">
        <f>+Pobl_adoptada!R130*$D130/1000</f>
        <v>168.48156</v>
      </c>
      <c r="R130" s="263">
        <f>+Pobl_adoptada!S130*$D130/1000</f>
        <v>170.73576</v>
      </c>
      <c r="S130" s="263">
        <f>+Pobl_adoptada!T130*$D130/1000</f>
        <v>173.02055999999999</v>
      </c>
      <c r="T130" s="263">
        <f>+Pobl_adoptada!U130*$D130/1000</f>
        <v>175.33596</v>
      </c>
      <c r="U130" s="263">
        <f>+Pobl_adoptada!V130*$D130/1000</f>
        <v>177.68196</v>
      </c>
      <c r="V130" s="263">
        <f>+Pobl_adoptada!W130*$D130/1000</f>
        <v>180.05856</v>
      </c>
      <c r="W130" s="263">
        <f>+Pobl_adoptada!X130*$D130/1000</f>
        <v>182.46780000000001</v>
      </c>
      <c r="X130" s="263">
        <f>+Pobl_adoptada!Y130*$D130/1000</f>
        <v>184.90967999999998</v>
      </c>
      <c r="Y130" s="263">
        <f>+Pobl_adoptada!Z130*$D130/1000</f>
        <v>187.38317999999998</v>
      </c>
      <c r="Z130" s="263">
        <f>+Pobl_adoptada!AA130*$D130/1000</f>
        <v>189.89034000000001</v>
      </c>
    </row>
    <row r="131" spans="1:26" ht="24.95" hidden="1" customHeight="1">
      <c r="A131" s="351" t="str">
        <f>+Pobl_adoptada!A131</f>
        <v>Tapalqué</v>
      </c>
      <c r="B131" s="70">
        <f>+Pobl_adoptada!B131</f>
        <v>127</v>
      </c>
      <c r="C131" s="353" t="str">
        <f>+Pobl_adoptada!C131</f>
        <v>Tapalqué</v>
      </c>
      <c r="D131" s="261">
        <f>IF(E131&lt;=15000,DATOS!B$3,IF(E131&lt;=50000,DATOS!B$4,IF(E131&lt;=300000,DATOS!B$5,IF(E131&lt;=500000,DATOS!B$6,DATOS!B$7))))</f>
        <v>0.92</v>
      </c>
      <c r="E131" s="262">
        <f>+Pobl_adoptada!F131</f>
        <v>8731</v>
      </c>
      <c r="F131" s="263">
        <f>+Pobl_adoptada!G131*$D131/1000</f>
        <v>8.1401600000000016</v>
      </c>
      <c r="G131" s="263">
        <f>+Pobl_adoptada!H131*$D131/1000</f>
        <v>8.47044</v>
      </c>
      <c r="H131" s="263">
        <f>+Pobl_adoptada!I131*$D131/1000</f>
        <v>8.5836000000000006</v>
      </c>
      <c r="I131" s="263">
        <f>+Pobl_adoptada!J131*$D131/1000</f>
        <v>8.6986000000000008</v>
      </c>
      <c r="J131" s="263">
        <f>+Pobl_adoptada!K131*$D131/1000</f>
        <v>8.8154400000000006</v>
      </c>
      <c r="K131" s="263">
        <f>+Pobl_adoptada!L131*$D131/1000</f>
        <v>8.9332000000000011</v>
      </c>
      <c r="L131" s="263">
        <f>+Pobl_adoptada!M131*$D131/1000</f>
        <v>9.0528000000000013</v>
      </c>
      <c r="M131" s="263">
        <f>+Pobl_adoptada!N131*$D131/1000</f>
        <v>9.1733200000000004</v>
      </c>
      <c r="N131" s="263">
        <f>+Pobl_adoptada!O131*$D131/1000</f>
        <v>9.2965999999999998</v>
      </c>
      <c r="O131" s="263">
        <f>+Pobl_adoptada!P131*$D131/1000</f>
        <v>9.4208000000000016</v>
      </c>
      <c r="P131" s="263">
        <f>+Pobl_adoptada!Q131*$D131/1000</f>
        <v>9.5468399999999995</v>
      </c>
      <c r="Q131" s="263">
        <f>+Pobl_adoptada!R131*$D131/1000</f>
        <v>9.6747200000000007</v>
      </c>
      <c r="R131" s="263">
        <f>+Pobl_adoptada!S131*$D131/1000</f>
        <v>9.8035200000000007</v>
      </c>
      <c r="S131" s="263">
        <f>+Pobl_adoptada!T131*$D131/1000</f>
        <v>9.9350799999999992</v>
      </c>
      <c r="T131" s="263">
        <f>+Pobl_adoptada!U131*$D131/1000</f>
        <v>10.067560000000002</v>
      </c>
      <c r="U131" s="263">
        <f>+Pobl_adoptada!V131*$D131/1000</f>
        <v>10.202800000000002</v>
      </c>
      <c r="V131" s="263">
        <f>+Pobl_adoptada!W131*$D131/1000</f>
        <v>10.33896</v>
      </c>
      <c r="W131" s="263">
        <f>+Pobl_adoptada!X131*$D131/1000</f>
        <v>10.476960000000002</v>
      </c>
      <c r="X131" s="263">
        <f>+Pobl_adoptada!Y131*$D131/1000</f>
        <v>10.617720000000002</v>
      </c>
      <c r="Y131" s="263">
        <f>+Pobl_adoptada!Z131*$D131/1000</f>
        <v>10.759399999999999</v>
      </c>
      <c r="Z131" s="263">
        <f>+Pobl_adoptada!AA131*$D131/1000</f>
        <v>10.90292</v>
      </c>
    </row>
    <row r="132" spans="1:26" ht="24.95" hidden="1" customHeight="1">
      <c r="A132" s="351" t="str">
        <f>+Pobl_adoptada!A132</f>
        <v>Tordillo</v>
      </c>
      <c r="B132" s="70">
        <f>+Pobl_adoptada!B132</f>
        <v>128</v>
      </c>
      <c r="C132" s="353" t="str">
        <f>+Pobl_adoptada!C132</f>
        <v>General Conesa</v>
      </c>
      <c r="D132" s="261">
        <f>IF(E132&lt;=15000,DATOS!B$3,IF(E132&lt;=50000,DATOS!B$4,IF(E132&lt;=300000,DATOS!B$5,IF(E132&lt;=500000,DATOS!B$6,DATOS!B$7))))</f>
        <v>0.92</v>
      </c>
      <c r="E132" s="262">
        <f>+Pobl_adoptada!F132</f>
        <v>1941</v>
      </c>
      <c r="F132" s="263">
        <f>+Pobl_adoptada!G132*$D132/1000</f>
        <v>1.83908</v>
      </c>
      <c r="G132" s="263">
        <f>+Pobl_adoptada!H132*$D132/1000</f>
        <v>1.99916</v>
      </c>
      <c r="H132" s="263">
        <f>+Pobl_adoptada!I132*$D132/1000</f>
        <v>2.0525199999999999</v>
      </c>
      <c r="I132" s="263">
        <f>+Pobl_adoptada!J132*$D132/1000</f>
        <v>2.10588</v>
      </c>
      <c r="J132" s="263">
        <f>+Pobl_adoptada!K132*$D132/1000</f>
        <v>2.15924</v>
      </c>
      <c r="K132" s="263">
        <f>+Pobl_adoptada!L132*$D132/1000</f>
        <v>2.2116800000000003</v>
      </c>
      <c r="L132" s="263">
        <f>+Pobl_adoptada!M132*$D132/1000</f>
        <v>2.2779199999999999</v>
      </c>
      <c r="M132" s="263">
        <f>+Pobl_adoptada!N132*$D132/1000</f>
        <v>2.3432400000000002</v>
      </c>
      <c r="N132" s="263">
        <f>+Pobl_adoptada!O132*$D132/1000</f>
        <v>2.4094799999999998</v>
      </c>
      <c r="O132" s="263">
        <f>+Pobl_adoptada!P132*$D132/1000</f>
        <v>2.4748000000000001</v>
      </c>
      <c r="P132" s="263">
        <f>+Pobl_adoptada!Q132*$D132/1000</f>
        <v>2.5401199999999999</v>
      </c>
      <c r="Q132" s="263">
        <f>+Pobl_adoptada!R132*$D132/1000</f>
        <v>2.60636</v>
      </c>
      <c r="R132" s="263">
        <f>+Pobl_adoptada!S132*$D132/1000</f>
        <v>2.6716800000000003</v>
      </c>
      <c r="S132" s="263">
        <f>+Pobl_adoptada!T132*$D132/1000</f>
        <v>2.7370000000000001</v>
      </c>
      <c r="T132" s="263">
        <f>+Pobl_adoptada!U132*$D132/1000</f>
        <v>2.8032400000000002</v>
      </c>
      <c r="U132" s="263">
        <f>+Pobl_adoptada!V132*$D132/1000</f>
        <v>2.86856</v>
      </c>
      <c r="V132" s="263">
        <f>+Pobl_adoptada!W132*$D132/1000</f>
        <v>2.9348000000000001</v>
      </c>
      <c r="W132" s="263">
        <f>+Pobl_adoptada!X132*$D132/1000</f>
        <v>3.0001200000000003</v>
      </c>
      <c r="X132" s="263">
        <f>+Pobl_adoptada!Y132*$D132/1000</f>
        <v>3.0654400000000002</v>
      </c>
      <c r="Y132" s="263">
        <f>+Pobl_adoptada!Z132*$D132/1000</f>
        <v>3.1316800000000002</v>
      </c>
      <c r="Z132" s="263">
        <f>+Pobl_adoptada!AA132*$D132/1000</f>
        <v>3.1970000000000001</v>
      </c>
    </row>
    <row r="133" spans="1:26" ht="24.95" hidden="1" customHeight="1">
      <c r="A133" s="351" t="str">
        <f>+Pobl_adoptada!A133</f>
        <v>Tornquist</v>
      </c>
      <c r="B133" s="70">
        <f>+Pobl_adoptada!B133</f>
        <v>129</v>
      </c>
      <c r="C133" s="353" t="str">
        <f>+Pobl_adoptada!C133</f>
        <v>Tornquist</v>
      </c>
      <c r="D133" s="261">
        <f>IF(E133&lt;=15000,DATOS!B$3,IF(E133&lt;=50000,DATOS!B$4,IF(E133&lt;=300000,DATOS!B$5,IF(E133&lt;=500000,DATOS!B$6,DATOS!B$7))))</f>
        <v>0.92</v>
      </c>
      <c r="E133" s="262">
        <f>+Pobl_adoptada!F133</f>
        <v>7290</v>
      </c>
      <c r="F133" s="263">
        <f>+Pobl_adoptada!G133*$D133/1000</f>
        <v>6.7951199999999998</v>
      </c>
      <c r="G133" s="263">
        <f>+Pobl_adoptada!H133*$D133/1000</f>
        <v>7.0609999999999999</v>
      </c>
      <c r="H133" s="263">
        <f>+Pobl_adoptada!I133*$D133/1000</f>
        <v>7.150240000000001</v>
      </c>
      <c r="I133" s="263">
        <f>+Pobl_adoptada!J133*$D133/1000</f>
        <v>7.2385600000000005</v>
      </c>
      <c r="J133" s="263">
        <f>+Pobl_adoptada!K133*$D133/1000</f>
        <v>7.3268800000000001</v>
      </c>
      <c r="K133" s="263">
        <f>+Pobl_adoptada!L133*$D133/1000</f>
        <v>7.4152000000000005</v>
      </c>
      <c r="L133" s="263">
        <f>+Pobl_adoptada!M133*$D133/1000</f>
        <v>7.5302000000000007</v>
      </c>
      <c r="M133" s="263">
        <f>+Pobl_adoptada!N133*$D133/1000</f>
        <v>7.6442800000000011</v>
      </c>
      <c r="N133" s="263">
        <f>+Pobl_adoptada!O133*$D133/1000</f>
        <v>7.7592800000000004</v>
      </c>
      <c r="O133" s="263">
        <f>+Pobl_adoptada!P133*$D133/1000</f>
        <v>7.8733600000000008</v>
      </c>
      <c r="P133" s="263">
        <f>+Pobl_adoptada!Q133*$D133/1000</f>
        <v>7.988360000000001</v>
      </c>
      <c r="Q133" s="263">
        <f>+Pobl_adoptada!R133*$D133/1000</f>
        <v>8.1024399999999996</v>
      </c>
      <c r="R133" s="263">
        <f>+Pobl_adoptada!S133*$D133/1000</f>
        <v>8.2165200000000009</v>
      </c>
      <c r="S133" s="263">
        <f>+Pobl_adoptada!T133*$D133/1000</f>
        <v>8.3315200000000011</v>
      </c>
      <c r="T133" s="263">
        <f>+Pobl_adoptada!U133*$D133/1000</f>
        <v>8.4456000000000007</v>
      </c>
      <c r="U133" s="263">
        <f>+Pobl_adoptada!V133*$D133/1000</f>
        <v>8.5606000000000009</v>
      </c>
      <c r="V133" s="263">
        <f>+Pobl_adoptada!W133*$D133/1000</f>
        <v>8.6746800000000004</v>
      </c>
      <c r="W133" s="263">
        <f>+Pobl_adoptada!X133*$D133/1000</f>
        <v>8.7896800000000006</v>
      </c>
      <c r="X133" s="263">
        <f>+Pobl_adoptada!Y133*$D133/1000</f>
        <v>8.9037600000000001</v>
      </c>
      <c r="Y133" s="263">
        <f>+Pobl_adoptada!Z133*$D133/1000</f>
        <v>9.0178399999999996</v>
      </c>
      <c r="Z133" s="263">
        <f>+Pobl_adoptada!AA133*$D133/1000</f>
        <v>9.1328399999999998</v>
      </c>
    </row>
    <row r="134" spans="1:26" ht="24.95" hidden="1" customHeight="1">
      <c r="A134" s="351" t="str">
        <f>+Pobl_adoptada!A134</f>
        <v>Trenque Lauquen</v>
      </c>
      <c r="B134" s="70">
        <f>+Pobl_adoptada!B134</f>
        <v>130</v>
      </c>
      <c r="C134" s="353" t="str">
        <f>+Pobl_adoptada!C134</f>
        <v>Trenque Lauquen</v>
      </c>
      <c r="D134" s="261">
        <f>IF(E134&lt;=15000,DATOS!B$3,IF(E134&lt;=50000,DATOS!B$4,IF(E134&lt;=300000,DATOS!B$5,IF(E134&lt;=500000,DATOS!B$6,DATOS!B$7))))</f>
        <v>1.06</v>
      </c>
      <c r="E134" s="262">
        <f>+Pobl_adoptada!F134</f>
        <v>37379</v>
      </c>
      <c r="F134" s="263">
        <f>+Pobl_adoptada!G134*$D134/1000</f>
        <v>39.99062</v>
      </c>
      <c r="G134" s="263">
        <f>+Pobl_adoptada!H134*$D134/1000</f>
        <v>41.118459999999999</v>
      </c>
      <c r="H134" s="263">
        <f>+Pobl_adoptada!I134*$D134/1000</f>
        <v>41.502180000000003</v>
      </c>
      <c r="I134" s="263">
        <f>+Pobl_adoptada!J134*$D134/1000</f>
        <v>41.88908</v>
      </c>
      <c r="J134" s="263">
        <f>+Pobl_adoptada!K134*$D134/1000</f>
        <v>42.279160000000005</v>
      </c>
      <c r="K134" s="263">
        <f>+Pobl_adoptada!L134*$D134/1000</f>
        <v>42.672420000000002</v>
      </c>
      <c r="L134" s="263">
        <f>+Pobl_adoptada!M134*$D134/1000</f>
        <v>43.070980000000006</v>
      </c>
      <c r="M134" s="263">
        <f>+Pobl_adoptada!N134*$D134/1000</f>
        <v>43.47166</v>
      </c>
      <c r="N134" s="263">
        <f>+Pobl_adoptada!O134*$D134/1000</f>
        <v>43.876580000000004</v>
      </c>
      <c r="O134" s="263">
        <f>+Pobl_adoptada!P134*$D134/1000</f>
        <v>44.285740000000004</v>
      </c>
      <c r="P134" s="263">
        <f>+Pobl_adoptada!Q134*$D134/1000</f>
        <v>44.698080000000004</v>
      </c>
      <c r="Q134" s="263">
        <f>+Pobl_adoptada!R134*$D134/1000</f>
        <v>45.114660000000001</v>
      </c>
      <c r="R134" s="263">
        <f>+Pobl_adoptada!S134*$D134/1000</f>
        <v>45.53548</v>
      </c>
      <c r="S134" s="263">
        <f>+Pobl_adoptada!T134*$D134/1000</f>
        <v>45.959480000000006</v>
      </c>
      <c r="T134" s="263">
        <f>+Pobl_adoptada!U134*$D134/1000</f>
        <v>46.387720000000002</v>
      </c>
      <c r="U134" s="263">
        <f>+Pobl_adoptada!V134*$D134/1000</f>
        <v>46.820200000000007</v>
      </c>
      <c r="V134" s="263">
        <f>+Pobl_adoptada!W134*$D134/1000</f>
        <v>47.255859999999998</v>
      </c>
      <c r="W134" s="263">
        <f>+Pobl_adoptada!X134*$D134/1000</f>
        <v>47.696820000000002</v>
      </c>
      <c r="X134" s="263">
        <f>+Pobl_adoptada!Y134*$D134/1000</f>
        <v>48.14096</v>
      </c>
      <c r="Y134" s="263">
        <f>+Pobl_adoptada!Z134*$D134/1000</f>
        <v>48.589340000000007</v>
      </c>
      <c r="Z134" s="263">
        <f>+Pobl_adoptada!AA134*$D134/1000</f>
        <v>49.041959999999996</v>
      </c>
    </row>
    <row r="135" spans="1:26" ht="24.95" hidden="1" customHeight="1">
      <c r="A135" s="351" t="str">
        <f>+Pobl_adoptada!A135</f>
        <v>Tres Arroyos</v>
      </c>
      <c r="B135" s="70">
        <f>+Pobl_adoptada!B135</f>
        <v>131</v>
      </c>
      <c r="C135" s="353" t="str">
        <f>+Pobl_adoptada!C135</f>
        <v>Tres Arroyos</v>
      </c>
      <c r="D135" s="261">
        <f>IF(E135&lt;=15000,DATOS!B$3,IF(E135&lt;=50000,DATOS!B$4,IF(E135&lt;=300000,DATOS!B$5,IF(E135&lt;=500000,DATOS!B$6,DATOS!B$7))))</f>
        <v>1.06</v>
      </c>
      <c r="E135" s="262">
        <f>+Pobl_adoptada!F135</f>
        <v>48831</v>
      </c>
      <c r="F135" s="263">
        <f>+Pobl_adoptada!G135*$D135/1000</f>
        <v>51.952719999999999</v>
      </c>
      <c r="G135" s="263">
        <f>+Pobl_adoptada!H135*$D135/1000</f>
        <v>52.549500000000002</v>
      </c>
      <c r="H135" s="263">
        <f>+Pobl_adoptada!I135*$D135/1000</f>
        <v>52.754080000000002</v>
      </c>
      <c r="I135" s="263">
        <f>+Pobl_adoptada!J135*$D135/1000</f>
        <v>52.962900000000005</v>
      </c>
      <c r="J135" s="263">
        <f>+Pobl_adoptada!K135*$D135/1000</f>
        <v>53.174900000000001</v>
      </c>
      <c r="K135" s="263">
        <f>+Pobl_adoptada!L135*$D135/1000</f>
        <v>53.39114</v>
      </c>
      <c r="L135" s="263">
        <f>+Pobl_adoptada!M135*$D135/1000</f>
        <v>53.609499999999997</v>
      </c>
      <c r="M135" s="263">
        <f>+Pobl_adoptada!N135*$D135/1000</f>
        <v>53.832100000000004</v>
      </c>
      <c r="N135" s="263">
        <f>+Pobl_adoptada!O135*$D135/1000</f>
        <v>54.05894</v>
      </c>
      <c r="O135" s="263">
        <f>+Pobl_adoptada!P135*$D135/1000</f>
        <v>54.2879</v>
      </c>
      <c r="P135" s="263">
        <f>+Pobl_adoptada!Q135*$D135/1000</f>
        <v>54.522160000000007</v>
      </c>
      <c r="Q135" s="263">
        <f>+Pobl_adoptada!R135*$D135/1000</f>
        <v>54.759600000000006</v>
      </c>
      <c r="R135" s="263">
        <f>+Pobl_adoptada!S135*$D135/1000</f>
        <v>55.000219999999999</v>
      </c>
      <c r="S135" s="263">
        <f>+Pobl_adoptada!T135*$D135/1000</f>
        <v>55.246139999999997</v>
      </c>
      <c r="T135" s="263">
        <f>+Pobl_adoptada!U135*$D135/1000</f>
        <v>55.495240000000003</v>
      </c>
      <c r="U135" s="263">
        <f>+Pobl_adoptada!V135*$D135/1000</f>
        <v>55.748580000000004</v>
      </c>
      <c r="V135" s="263">
        <f>+Pobl_adoptada!W135*$D135/1000</f>
        <v>56.006160000000001</v>
      </c>
      <c r="W135" s="263">
        <f>+Pobl_adoptada!X135*$D135/1000</f>
        <v>56.267980000000001</v>
      </c>
      <c r="X135" s="263">
        <f>+Pobl_adoptada!Y135*$D135/1000</f>
        <v>56.534039999999997</v>
      </c>
      <c r="Y135" s="263">
        <f>+Pobl_adoptada!Z135*$D135/1000</f>
        <v>56.804340000000003</v>
      </c>
      <c r="Z135" s="263">
        <f>+Pobl_adoptada!AA135*$D135/1000</f>
        <v>57.078880000000005</v>
      </c>
    </row>
    <row r="136" spans="1:26" ht="24.95" hidden="1" customHeight="1">
      <c r="A136" s="351" t="str">
        <f>+Pobl_adoptada!A136</f>
        <v>Tres Lomas</v>
      </c>
      <c r="B136" s="70">
        <f>+Pobl_adoptada!B136</f>
        <v>132</v>
      </c>
      <c r="C136" s="353" t="str">
        <f>+Pobl_adoptada!C136</f>
        <v>Tres Lomas</v>
      </c>
      <c r="D136" s="261">
        <f>IF(E136&lt;=15000,DATOS!B$3,IF(E136&lt;=50000,DATOS!B$4,IF(E136&lt;=300000,DATOS!B$5,IF(E136&lt;=500000,DATOS!B$6,DATOS!B$7))))</f>
        <v>0.92</v>
      </c>
      <c r="E136" s="262">
        <f>+Pobl_adoptada!F136</f>
        <v>8878</v>
      </c>
      <c r="F136" s="263">
        <f>+Pobl_adoptada!G136*$D136/1000</f>
        <v>8.2459600000000002</v>
      </c>
      <c r="G136" s="263">
        <f>+Pobl_adoptada!H136*$D136/1000</f>
        <v>8.4814799999999995</v>
      </c>
      <c r="H136" s="263">
        <f>+Pobl_adoptada!I136*$D136/1000</f>
        <v>8.5606000000000009</v>
      </c>
      <c r="I136" s="263">
        <f>+Pobl_adoptada!J136*$D136/1000</f>
        <v>8.6388000000000016</v>
      </c>
      <c r="J136" s="263">
        <f>+Pobl_adoptada!K136*$D136/1000</f>
        <v>8.7179199999999994</v>
      </c>
      <c r="K136" s="263">
        <f>+Pobl_adoptada!L136*$D136/1000</f>
        <v>8.7961200000000002</v>
      </c>
      <c r="L136" s="263">
        <f>+Pobl_adoptada!M136*$D136/1000</f>
        <v>8.8752399999999998</v>
      </c>
      <c r="M136" s="263">
        <f>+Pobl_adoptada!N136*$D136/1000</f>
        <v>8.9534400000000005</v>
      </c>
      <c r="N136" s="263">
        <f>+Pobl_adoptada!O136*$D136/1000</f>
        <v>9.0325600000000001</v>
      </c>
      <c r="O136" s="263">
        <f>+Pobl_adoptada!P136*$D136/1000</f>
        <v>9.1107600000000009</v>
      </c>
      <c r="P136" s="263">
        <f>+Pobl_adoptada!Q136*$D136/1000</f>
        <v>9.1898800000000005</v>
      </c>
      <c r="Q136" s="263">
        <f>+Pobl_adoptada!R136*$D136/1000</f>
        <v>9.2680799999999994</v>
      </c>
      <c r="R136" s="263">
        <f>+Pobl_adoptada!S136*$D136/1000</f>
        <v>9.3472000000000008</v>
      </c>
      <c r="S136" s="263">
        <f>+Pobl_adoptada!T136*$D136/1000</f>
        <v>9.4253999999999998</v>
      </c>
      <c r="T136" s="263">
        <f>+Pobl_adoptada!U136*$D136/1000</f>
        <v>9.5045200000000012</v>
      </c>
      <c r="U136" s="263">
        <f>+Pobl_adoptada!V136*$D136/1000</f>
        <v>9.5827200000000019</v>
      </c>
      <c r="V136" s="263">
        <f>+Pobl_adoptada!W136*$D136/1000</f>
        <v>9.6618399999999998</v>
      </c>
      <c r="W136" s="263">
        <f>+Pobl_adoptada!X136*$D136/1000</f>
        <v>9.7400400000000005</v>
      </c>
      <c r="X136" s="263">
        <f>+Pobl_adoptada!Y136*$D136/1000</f>
        <v>9.8191600000000001</v>
      </c>
      <c r="Y136" s="263">
        <f>+Pobl_adoptada!Z136*$D136/1000</f>
        <v>9.8973600000000008</v>
      </c>
      <c r="Z136" s="263">
        <f>+Pobl_adoptada!AA136*$D136/1000</f>
        <v>9.9764799999999987</v>
      </c>
    </row>
    <row r="137" spans="1:26" ht="24.95" hidden="1" customHeight="1">
      <c r="A137" s="351" t="str">
        <f>+Pobl_adoptada!A137</f>
        <v>Villa Gesell</v>
      </c>
      <c r="B137" s="70">
        <f>+Pobl_adoptada!B137</f>
        <v>133</v>
      </c>
      <c r="C137" s="353" t="str">
        <f>+Pobl_adoptada!C137</f>
        <v>Villa Gesell</v>
      </c>
      <c r="D137" s="261">
        <f>IF(E137&lt;=15000,DATOS!B$3,IF(E137&lt;=50000,DATOS!B$4,IF(E137&lt;=300000,DATOS!B$5,IF(E137&lt;=500000,DATOS!B$6,DATOS!B$7))))</f>
        <v>1.02</v>
      </c>
      <c r="E137" s="262">
        <f>+Pobl_adoptada!F137</f>
        <v>62972</v>
      </c>
      <c r="F137" s="263">
        <f>+Pobl_adoptada!G137*$D137/1000</f>
        <v>65.462580000000003</v>
      </c>
      <c r="G137" s="263">
        <f>+Pobl_adoptada!H137*$D137/1000</f>
        <v>69.156000000000006</v>
      </c>
      <c r="H137" s="263">
        <f>+Pobl_adoptada!I137*$D137/1000</f>
        <v>70.387140000000002</v>
      </c>
      <c r="I137" s="263">
        <f>+Pobl_adoptada!J137*$D137/1000</f>
        <v>71.618279999999999</v>
      </c>
      <c r="J137" s="263">
        <f>+Pobl_adoptada!K137*$D137/1000</f>
        <v>72.849419999999995</v>
      </c>
      <c r="K137" s="263">
        <f>+Pobl_adoptada!L137*$D137/1000</f>
        <v>74.080559999999991</v>
      </c>
      <c r="L137" s="263">
        <f>+Pobl_adoptada!M137*$D137/1000</f>
        <v>75.311700000000002</v>
      </c>
      <c r="M137" s="263">
        <f>+Pobl_adoptada!N137*$D137/1000</f>
        <v>76.542839999999998</v>
      </c>
      <c r="N137" s="263">
        <f>+Pobl_adoptada!O137*$D137/1000</f>
        <v>77.775000000000006</v>
      </c>
      <c r="O137" s="263">
        <f>+Pobl_adoptada!P137*$D137/1000</f>
        <v>79.005119999999991</v>
      </c>
      <c r="P137" s="263">
        <f>+Pobl_adoptada!Q137*$D137/1000</f>
        <v>80.236260000000001</v>
      </c>
      <c r="Q137" s="263">
        <f>+Pobl_adoptada!R137*$D137/1000</f>
        <v>81.468419999999995</v>
      </c>
      <c r="R137" s="263">
        <f>+Pobl_adoptada!S137*$D137/1000</f>
        <v>82.698540000000008</v>
      </c>
      <c r="S137" s="263">
        <f>+Pobl_adoptada!T137*$D137/1000</f>
        <v>83.930700000000002</v>
      </c>
      <c r="T137" s="263">
        <f>+Pobl_adoptada!U137*$D137/1000</f>
        <v>85.160820000000001</v>
      </c>
      <c r="U137" s="263">
        <f>+Pobl_adoptada!V137*$D137/1000</f>
        <v>86.392979999999994</v>
      </c>
      <c r="V137" s="263">
        <f>+Pobl_adoptada!W137*$D137/1000</f>
        <v>87.624119999999991</v>
      </c>
      <c r="W137" s="263">
        <f>+Pobl_adoptada!X137*$D137/1000</f>
        <v>88.854240000000004</v>
      </c>
      <c r="X137" s="263">
        <f>+Pobl_adoptada!Y137*$D137/1000</f>
        <v>90.086400000000012</v>
      </c>
      <c r="Y137" s="263">
        <f>+Pobl_adoptada!Z137*$D137/1000</f>
        <v>91.316519999999997</v>
      </c>
      <c r="Z137" s="263">
        <f>+Pobl_adoptada!AA137*$D137/1000</f>
        <v>92.548680000000004</v>
      </c>
    </row>
    <row r="138" spans="1:26" ht="24.95" hidden="1" customHeight="1">
      <c r="A138" s="351" t="str">
        <f>+Pobl_adoptada!A138</f>
        <v>Villarino</v>
      </c>
      <c r="B138" s="70">
        <f>+Pobl_adoptada!B138</f>
        <v>134</v>
      </c>
      <c r="C138" s="353" t="str">
        <f>+Pobl_adoptada!C138</f>
        <v>Médanos</v>
      </c>
      <c r="D138" s="261">
        <f>IF(E138&lt;=15000,DATOS!B$3,IF(E138&lt;=50000,DATOS!B$4,IF(E138&lt;=300000,DATOS!B$5,IF(E138&lt;=500000,DATOS!B$6,DATOS!B$7))))</f>
        <v>0.92</v>
      </c>
      <c r="E138" s="262">
        <f>+Pobl_adoptada!F138</f>
        <v>5716</v>
      </c>
      <c r="F138" s="263">
        <f>+Pobl_adoptada!G138*$D138/1000</f>
        <v>5.2835600000000005</v>
      </c>
      <c r="G138" s="263">
        <f>+Pobl_adoptada!H138*$D138/1000</f>
        <v>5.3571599999999995</v>
      </c>
      <c r="H138" s="263">
        <f>+Pobl_adoptada!I138*$D138/1000</f>
        <v>5.3810799999999999</v>
      </c>
      <c r="I138" s="263">
        <f>+Pobl_adoptada!J138*$D138/1000</f>
        <v>5.4059200000000001</v>
      </c>
      <c r="J138" s="263">
        <f>+Pobl_adoptada!K138*$D138/1000</f>
        <v>5.4298400000000004</v>
      </c>
      <c r="K138" s="263">
        <f>+Pobl_adoptada!L138*$D138/1000</f>
        <v>5.4546800000000006</v>
      </c>
      <c r="L138" s="263">
        <f>+Pobl_adoptada!M138*$D138/1000</f>
        <v>5.4795200000000008</v>
      </c>
      <c r="M138" s="263">
        <f>+Pobl_adoptada!N138*$D138/1000</f>
        <v>5.5034400000000003</v>
      </c>
      <c r="N138" s="263">
        <f>+Pobl_adoptada!O138*$D138/1000</f>
        <v>5.5282800000000005</v>
      </c>
      <c r="O138" s="263">
        <f>+Pobl_adoptada!P138*$D138/1000</f>
        <v>5.5522</v>
      </c>
      <c r="P138" s="263">
        <f>+Pobl_adoptada!Q138*$D138/1000</f>
        <v>5.5770400000000002</v>
      </c>
      <c r="Q138" s="263">
        <f>+Pobl_adoptada!R138*$D138/1000</f>
        <v>5.6018800000000004</v>
      </c>
      <c r="R138" s="263">
        <f>+Pobl_adoptada!S138*$D138/1000</f>
        <v>5.6257999999999999</v>
      </c>
      <c r="S138" s="263">
        <f>+Pobl_adoptada!T138*$D138/1000</f>
        <v>5.6506400000000001</v>
      </c>
      <c r="T138" s="263">
        <f>+Pobl_adoptada!U138*$D138/1000</f>
        <v>5.6745600000000005</v>
      </c>
      <c r="U138" s="263">
        <f>+Pobl_adoptada!V138*$D138/1000</f>
        <v>5.6994000000000007</v>
      </c>
      <c r="V138" s="263">
        <f>+Pobl_adoptada!W138*$D138/1000</f>
        <v>5.7233200000000002</v>
      </c>
      <c r="W138" s="263">
        <f>+Pobl_adoptada!X138*$D138/1000</f>
        <v>5.7481599999999995</v>
      </c>
      <c r="X138" s="263">
        <f>+Pobl_adoptada!Y138*$D138/1000</f>
        <v>5.7729999999999997</v>
      </c>
      <c r="Y138" s="263">
        <f>+Pobl_adoptada!Z138*$D138/1000</f>
        <v>5.7969200000000001</v>
      </c>
      <c r="Z138" s="263">
        <f>+Pobl_adoptada!AA138*$D138/1000</f>
        <v>5.8217600000000003</v>
      </c>
    </row>
    <row r="139" spans="1:26" ht="24.95" hidden="1" customHeight="1">
      <c r="A139" s="351" t="str">
        <f>+Pobl_adoptada!A139</f>
        <v>Zárate</v>
      </c>
      <c r="B139" s="70">
        <f>+Pobl_adoptada!B139</f>
        <v>135</v>
      </c>
      <c r="C139" s="353" t="str">
        <f>+Pobl_adoptada!C139</f>
        <v>Zárate</v>
      </c>
      <c r="D139" s="261">
        <f>IF(E139&lt;=15000,DATOS!B$3,IF(E139&lt;=50000,DATOS!B$4,IF(E139&lt;=300000,DATOS!B$5,IF(E139&lt;=500000,DATOS!B$6,DATOS!B$7))))</f>
        <v>1.02</v>
      </c>
      <c r="E139" s="262">
        <f>+Pobl_adoptada!F139</f>
        <v>113429</v>
      </c>
      <c r="F139" s="263">
        <f>+Pobl_adoptada!G139*$D139/1000</f>
        <v>117.06438</v>
      </c>
      <c r="G139" s="263">
        <f>+Pobl_adoptada!H139*$D139/1000</f>
        <v>121.26168000000001</v>
      </c>
      <c r="H139" s="263">
        <f>+Pobl_adoptada!I139*$D139/1000</f>
        <v>122.69376000000001</v>
      </c>
      <c r="I139" s="263">
        <f>+Pobl_adoptada!J139*$D139/1000</f>
        <v>124.14318</v>
      </c>
      <c r="J139" s="263">
        <f>+Pobl_adoptada!K139*$D139/1000</f>
        <v>125.60892</v>
      </c>
      <c r="K139" s="263">
        <f>+Pobl_adoptada!L139*$D139/1000</f>
        <v>127.09302000000001</v>
      </c>
      <c r="L139" s="263">
        <f>+Pobl_adoptada!M139*$D139/1000</f>
        <v>128.59446</v>
      </c>
      <c r="M139" s="263">
        <f>+Pobl_adoptada!N139*$D139/1000</f>
        <v>130.11324000000002</v>
      </c>
      <c r="N139" s="263">
        <f>+Pobl_adoptada!O139*$D139/1000</f>
        <v>131.64936</v>
      </c>
      <c r="O139" s="263">
        <f>+Pobl_adoptada!P139*$D139/1000</f>
        <v>133.20486000000002</v>
      </c>
      <c r="P139" s="263">
        <f>+Pobl_adoptada!Q139*$D139/1000</f>
        <v>134.77770000000001</v>
      </c>
      <c r="Q139" s="263">
        <f>+Pobl_adoptada!R139*$D139/1000</f>
        <v>136.36992000000001</v>
      </c>
      <c r="R139" s="263">
        <f>+Pobl_adoptada!S139*$D139/1000</f>
        <v>137.98050000000001</v>
      </c>
      <c r="S139" s="263">
        <f>+Pobl_adoptada!T139*$D139/1000</f>
        <v>139.61045999999999</v>
      </c>
      <c r="T139" s="263">
        <f>+Pobl_adoptada!U139*$D139/1000</f>
        <v>141.25878</v>
      </c>
      <c r="U139" s="263">
        <f>+Pobl_adoptada!V139*$D139/1000</f>
        <v>142.92750000000001</v>
      </c>
      <c r="V139" s="263">
        <f>+Pobl_adoptada!W139*$D139/1000</f>
        <v>144.6156</v>
      </c>
      <c r="W139" s="263">
        <f>+Pobl_adoptada!X139*$D139/1000</f>
        <v>146.32308</v>
      </c>
      <c r="X139" s="263">
        <f>+Pobl_adoptada!Y139*$D139/1000</f>
        <v>148.05198000000001</v>
      </c>
      <c r="Y139" s="263">
        <f>+Pobl_adoptada!Z139*$D139/1000</f>
        <v>149.80026000000001</v>
      </c>
      <c r="Z139" s="263">
        <f>+Pobl_adoptada!AA139*$D139/1000</f>
        <v>151.56995999999998</v>
      </c>
    </row>
    <row r="140" spans="1:26" ht="24.95" hidden="1" customHeight="1">
      <c r="A140" s="351" t="str">
        <f>+Pobl_adoptada!A140</f>
        <v>CABA</v>
      </c>
      <c r="B140" s="70">
        <f>+Pobl_adoptada!B140</f>
        <v>136</v>
      </c>
      <c r="C140" s="353" t="str">
        <f>+Pobl_adoptada!C140</f>
        <v>CABA</v>
      </c>
      <c r="D140" s="261">
        <f>IF(E140&lt;=15000,DATOS!B$3,IF(E140&lt;=50000,DATOS!B$4,IF(E140&lt;=300000,DATOS!B$5,IF(E140&lt;=500000,DATOS!B$6,DATOS!B$7))))</f>
        <v>1.41</v>
      </c>
      <c r="E140" s="262">
        <f>+Pobl_adoptada!F140</f>
        <v>5478423</v>
      </c>
      <c r="F140" s="263">
        <f>+Pobl_adoptada!G140*$D140/1000</f>
        <v>7782.2849099999994</v>
      </c>
      <c r="G140" s="263">
        <f>+Pobl_adoptada!H140*$D140/1000</f>
        <v>7961.1208499999993</v>
      </c>
      <c r="H140" s="263">
        <f>+Pobl_adoptada!I140*$D140/1000</f>
        <v>8022.6885000000002</v>
      </c>
      <c r="I140" s="263">
        <f>+Pobl_adoptada!J140*$D140/1000</f>
        <v>8085.2600699999994</v>
      </c>
      <c r="J140" s="263">
        <f>+Pobl_adoptada!K140*$D140/1000</f>
        <v>8148.8538899999994</v>
      </c>
      <c r="K140" s="263">
        <f>+Pobl_adoptada!L140*$D140/1000</f>
        <v>8213.4840599999989</v>
      </c>
      <c r="L140" s="263">
        <f>+Pobl_adoptada!M140*$D140/1000</f>
        <v>8279.1674999999996</v>
      </c>
      <c r="M140" s="263">
        <f>+Pobl_adoptada!N140*$D140/1000</f>
        <v>8345.9239499999985</v>
      </c>
      <c r="N140" s="263">
        <f>+Pobl_adoptada!O140*$D140/1000</f>
        <v>8413.7689200000004</v>
      </c>
      <c r="O140" s="263">
        <f>+Pobl_adoptada!P140*$D140/1000</f>
        <v>8482.7207400000007</v>
      </c>
      <c r="P140" s="263">
        <f>+Pobl_adoptada!Q140*$D140/1000</f>
        <v>8552.7949200000003</v>
      </c>
      <c r="Q140" s="263">
        <f>+Pobl_adoptada!R140*$D140/1000</f>
        <v>8624.0140199999987</v>
      </c>
      <c r="R140" s="263">
        <f>+Pobl_adoptada!S140*$D140/1000</f>
        <v>8696.3963699999986</v>
      </c>
      <c r="S140" s="263">
        <f>+Pobl_adoptada!T140*$D140/1000</f>
        <v>8769.9574799999991</v>
      </c>
      <c r="T140" s="263">
        <f>+Pobl_adoptada!U140*$D140/1000</f>
        <v>8844.7185000000009</v>
      </c>
      <c r="U140" s="263">
        <f>+Pobl_adoptada!V140*$D140/1000</f>
        <v>8920.7005800000006</v>
      </c>
      <c r="V140" s="263">
        <f>+Pobl_adoptada!W140*$D140/1000</f>
        <v>8997.9220499999992</v>
      </c>
      <c r="W140" s="263">
        <f>+Pobl_adoptada!X140*$D140/1000</f>
        <v>9076.40265</v>
      </c>
      <c r="X140" s="263">
        <f>+Pobl_adoptada!Y140*$D140/1000</f>
        <v>9156.162119999999</v>
      </c>
      <c r="Y140" s="263">
        <f>+Pobl_adoptada!Z140*$D140/1000</f>
        <v>9237.2244300000002</v>
      </c>
      <c r="Z140" s="263">
        <f>+Pobl_adoptada!AA140*$D140/1000</f>
        <v>9319.6093199999996</v>
      </c>
    </row>
    <row r="141" spans="1:26" ht="24.95" hidden="1" customHeight="1">
      <c r="A141" s="351" t="str">
        <f>+Pobl_adoptada!A141</f>
        <v>Adolfo Alsina</v>
      </c>
      <c r="B141" s="70">
        <f>+Pobl_adoptada!B141</f>
        <v>137</v>
      </c>
      <c r="C141" s="353" t="str">
        <f>+Pobl_adoptada!C141</f>
        <v>Rivera</v>
      </c>
      <c r="D141" s="261">
        <f>IF(E141&lt;=15000,DATOS!B$3,IF(E141&lt;=50000,DATOS!B$4,IF(E141&lt;=300000,DATOS!B$5,IF(E141&lt;=500000,DATOS!B$6,DATOS!B$7))))</f>
        <v>0.92</v>
      </c>
      <c r="E141" s="262">
        <f>+Pobl_adoptada!F141</f>
        <v>3288</v>
      </c>
      <c r="F141" s="263">
        <f>+Pobl_adoptada!G141*$D141/1000</f>
        <v>3.0341600000000004</v>
      </c>
      <c r="G141" s="263">
        <f>+Pobl_adoptada!H141*$D141/1000</f>
        <v>3.05992</v>
      </c>
      <c r="H141" s="263">
        <f>+Pobl_adoptada!I141*$D141/1000</f>
        <v>3.0682000000000005</v>
      </c>
      <c r="I141" s="263">
        <f>+Pobl_adoptada!J141*$D141/1000</f>
        <v>3.0764800000000001</v>
      </c>
      <c r="J141" s="263">
        <f>+Pobl_adoptada!K141*$D141/1000</f>
        <v>3.0856800000000004</v>
      </c>
      <c r="K141" s="263">
        <f>+Pobl_adoptada!L141*$D141/1000</f>
        <v>3.09396</v>
      </c>
      <c r="L141" s="263">
        <f>+Pobl_adoptada!M141*$D141/1000</f>
        <v>3.1022400000000001</v>
      </c>
      <c r="M141" s="263">
        <f>+Pobl_adoptada!N141*$D141/1000</f>
        <v>3.1105200000000002</v>
      </c>
      <c r="N141" s="263">
        <f>+Pobl_adoptada!O141*$D141/1000</f>
        <v>3.11972</v>
      </c>
      <c r="O141" s="263">
        <f>+Pobl_adoptada!P141*$D141/1000</f>
        <v>3.1280000000000001</v>
      </c>
      <c r="P141" s="263">
        <f>+Pobl_adoptada!Q141*$D141/1000</f>
        <v>3.1362800000000002</v>
      </c>
      <c r="Q141" s="263">
        <f>+Pobl_adoptada!R141*$D141/1000</f>
        <v>3.1454800000000001</v>
      </c>
      <c r="R141" s="263">
        <f>+Pobl_adoptada!S141*$D141/1000</f>
        <v>3.1537600000000001</v>
      </c>
      <c r="S141" s="263">
        <f>+Pobl_adoptada!T141*$D141/1000</f>
        <v>3.1620400000000002</v>
      </c>
      <c r="T141" s="263">
        <f>+Pobl_adoptada!U141*$D141/1000</f>
        <v>3.1712400000000001</v>
      </c>
      <c r="U141" s="263">
        <f>+Pobl_adoptada!V141*$D141/1000</f>
        <v>3.1795200000000001</v>
      </c>
      <c r="V141" s="263">
        <f>+Pobl_adoptada!W141*$D141/1000</f>
        <v>3.1878000000000002</v>
      </c>
      <c r="W141" s="263">
        <f>+Pobl_adoptada!X141*$D141/1000</f>
        <v>3.1970000000000001</v>
      </c>
      <c r="X141" s="263">
        <f>+Pobl_adoptada!Y141*$D141/1000</f>
        <v>3.2052800000000001</v>
      </c>
      <c r="Y141" s="263">
        <f>+Pobl_adoptada!Z141*$D141/1000</f>
        <v>3.2135599999999998</v>
      </c>
      <c r="Z141" s="263">
        <f>+Pobl_adoptada!AA141*$D141/1000</f>
        <v>3.2227600000000001</v>
      </c>
    </row>
    <row r="142" spans="1:26" ht="24.95" hidden="1" customHeight="1">
      <c r="A142" s="351" t="str">
        <f>+Pobl_adoptada!A142</f>
        <v>Carlos Tejedor</v>
      </c>
      <c r="B142" s="70">
        <f>+Pobl_adoptada!B142</f>
        <v>138</v>
      </c>
      <c r="C142" s="353" t="str">
        <f>+Pobl_adoptada!C142</f>
        <v>Tres Algarrobos</v>
      </c>
      <c r="D142" s="261">
        <f>IF(E142&lt;=15000,DATOS!B$3,IF(E142&lt;=50000,DATOS!B$4,IF(E142&lt;=300000,DATOS!B$5,IF(E142&lt;=500000,DATOS!B$6,DATOS!B$7))))</f>
        <v>0.92</v>
      </c>
      <c r="E142" s="262">
        <f>+Pobl_adoptada!F142</f>
        <v>3432</v>
      </c>
      <c r="F142" s="263">
        <f>+Pobl_adoptada!G142*$D142/1000</f>
        <v>3.17584</v>
      </c>
      <c r="G142" s="263">
        <f>+Pobl_adoptada!H142*$D142/1000</f>
        <v>3.2310400000000001</v>
      </c>
      <c r="H142" s="263">
        <f>+Pobl_adoptada!I142*$D142/1000</f>
        <v>3.2494399999999999</v>
      </c>
      <c r="I142" s="263">
        <f>+Pobl_adoptada!J142*$D142/1000</f>
        <v>3.2678400000000001</v>
      </c>
      <c r="J142" s="263">
        <f>+Pobl_adoptada!K142*$D142/1000</f>
        <v>3.2862400000000003</v>
      </c>
      <c r="K142" s="263">
        <f>+Pobl_adoptada!L142*$D142/1000</f>
        <v>3.3046400000000005</v>
      </c>
      <c r="L142" s="263">
        <f>+Pobl_adoptada!M142*$D142/1000</f>
        <v>3.3230399999999998</v>
      </c>
      <c r="M142" s="263">
        <f>+Pobl_adoptada!N142*$D142/1000</f>
        <v>3.34144</v>
      </c>
      <c r="N142" s="263">
        <f>+Pobl_adoptada!O142*$D142/1000</f>
        <v>3.3598400000000002</v>
      </c>
      <c r="O142" s="263">
        <f>+Pobl_adoptada!P142*$D142/1000</f>
        <v>3.3782400000000004</v>
      </c>
      <c r="P142" s="263">
        <f>+Pobl_adoptada!Q142*$D142/1000</f>
        <v>3.3966400000000005</v>
      </c>
      <c r="Q142" s="263">
        <f>+Pobl_adoptada!R142*$D142/1000</f>
        <v>3.4150399999999999</v>
      </c>
      <c r="R142" s="263">
        <f>+Pobl_adoptada!S142*$D142/1000</f>
        <v>3.43344</v>
      </c>
      <c r="S142" s="263">
        <f>+Pobl_adoptada!T142*$D142/1000</f>
        <v>3.4518400000000002</v>
      </c>
      <c r="T142" s="263">
        <f>+Pobl_adoptada!U142*$D142/1000</f>
        <v>3.4702400000000004</v>
      </c>
      <c r="U142" s="263">
        <f>+Pobl_adoptada!V142*$D142/1000</f>
        <v>3.4886400000000002</v>
      </c>
      <c r="V142" s="263">
        <f>+Pobl_adoptada!W142*$D142/1000</f>
        <v>3.5070399999999999</v>
      </c>
      <c r="W142" s="263">
        <f>+Pobl_adoptada!X142*$D142/1000</f>
        <v>3.5254400000000001</v>
      </c>
      <c r="X142" s="263">
        <f>+Pobl_adoptada!Y142*$D142/1000</f>
        <v>3.5438400000000003</v>
      </c>
      <c r="Y142" s="263">
        <f>+Pobl_adoptada!Z142*$D142/1000</f>
        <v>3.5622400000000001</v>
      </c>
      <c r="Z142" s="263">
        <f>+Pobl_adoptada!AA142*$D142/1000</f>
        <v>3.5806400000000003</v>
      </c>
    </row>
    <row r="143" spans="1:26" ht="24.95" hidden="1" customHeight="1">
      <c r="A143" s="351" t="str">
        <f>+Pobl_adoptada!A143</f>
        <v>Exaltación de la Cruz</v>
      </c>
      <c r="B143" s="70">
        <f>+Pobl_adoptada!B143</f>
        <v>139</v>
      </c>
      <c r="C143" s="353" t="str">
        <f>+Pobl_adoptada!C143</f>
        <v>Los Cardales</v>
      </c>
      <c r="D143" s="261">
        <f>IF(E143&lt;=15000,DATOS!B$3,IF(E143&lt;=50000,DATOS!B$4,IF(E143&lt;=300000,DATOS!B$5,IF(E143&lt;=500000,DATOS!B$6,DATOS!B$7))))</f>
        <v>0.92</v>
      </c>
      <c r="E143" s="262">
        <f>+Pobl_adoptada!F143</f>
        <v>11258</v>
      </c>
      <c r="F143" s="263">
        <f>+Pobl_adoptada!G143*$D143/1000</f>
        <v>10.7042</v>
      </c>
      <c r="G143" s="263">
        <f>+Pobl_adoptada!H143*$D143/1000</f>
        <v>11.7806</v>
      </c>
      <c r="H143" s="263">
        <f>+Pobl_adoptada!I143*$D143/1000</f>
        <v>12.15044</v>
      </c>
      <c r="I143" s="263">
        <f>+Pobl_adoptada!J143*$D143/1000</f>
        <v>12.527640000000002</v>
      </c>
      <c r="J143" s="263">
        <f>+Pobl_adoptada!K143*$D143/1000</f>
        <v>12.910360000000001</v>
      </c>
      <c r="K143" s="263">
        <f>+Pobl_adoptada!L143*$D143/1000</f>
        <v>13.2986</v>
      </c>
      <c r="L143" s="263">
        <f>+Pobl_adoptada!M143*$D143/1000</f>
        <v>13.6942</v>
      </c>
      <c r="M143" s="263">
        <f>+Pobl_adoptada!N143*$D143/1000</f>
        <v>14.09624</v>
      </c>
      <c r="N143" s="263">
        <f>+Pobl_adoptada!O143*$D143/1000</f>
        <v>14.503800000000002</v>
      </c>
      <c r="O143" s="263">
        <f>+Pobl_adoptada!P143*$D143/1000</f>
        <v>14.91872</v>
      </c>
      <c r="P143" s="263">
        <f>+Pobl_adoptada!Q143*$D143/1000</f>
        <v>15.340999999999999</v>
      </c>
      <c r="Q143" s="263">
        <f>+Pobl_adoptada!R143*$D143/1000</f>
        <v>15.768800000000001</v>
      </c>
      <c r="R143" s="263">
        <f>+Pobl_adoptada!S143*$D143/1000</f>
        <v>16.204879999999999</v>
      </c>
      <c r="S143" s="263">
        <f>+Pobl_adoptada!T143*$D143/1000</f>
        <v>16.647400000000001</v>
      </c>
      <c r="T143" s="263">
        <f>+Pobl_adoptada!U143*$D143/1000</f>
        <v>17.097280000000001</v>
      </c>
      <c r="U143" s="263">
        <f>+Pobl_adoptada!V143*$D143/1000</f>
        <v>17.55452</v>
      </c>
      <c r="V143" s="263">
        <f>+Pobl_adoptada!W143*$D143/1000</f>
        <v>18.019119999999997</v>
      </c>
      <c r="W143" s="263">
        <f>+Pobl_adoptada!X143*$D143/1000</f>
        <v>18.49108</v>
      </c>
      <c r="X143" s="263">
        <f>+Pobl_adoptada!Y143*$D143/1000</f>
        <v>18.971319999999999</v>
      </c>
      <c r="Y143" s="263">
        <f>+Pobl_adoptada!Z143*$D143/1000</f>
        <v>19.458920000000003</v>
      </c>
      <c r="Z143" s="263">
        <f>+Pobl_adoptada!AA143*$D143/1000</f>
        <v>19.954799999999999</v>
      </c>
    </row>
    <row r="144" spans="1:26" ht="24.95" hidden="1" customHeight="1">
      <c r="A144" s="351" t="str">
        <f>+Pobl_adoptada!A144</f>
        <v>Exaltación de la Cruz</v>
      </c>
      <c r="B144" s="70">
        <f>+Pobl_adoptada!B144</f>
        <v>140</v>
      </c>
      <c r="C144" s="353" t="str">
        <f>+Pobl_adoptada!C144</f>
        <v>Parada Robles - Pavón</v>
      </c>
      <c r="D144" s="261">
        <f>IF(E144&lt;=15000,DATOS!B$3,IF(E144&lt;=50000,DATOS!B$4,IF(E144&lt;=300000,DATOS!B$5,IF(E144&lt;=500000,DATOS!B$6,DATOS!B$7))))</f>
        <v>1.06</v>
      </c>
      <c r="E144" s="262">
        <f>+Pobl_adoptada!F144</f>
        <v>15246</v>
      </c>
      <c r="F144" s="263">
        <f>+Pobl_adoptada!G144*$D144/1000</f>
        <v>16.869900000000001</v>
      </c>
      <c r="G144" s="263">
        <f>+Pobl_adoptada!H144*$D144/1000</f>
        <v>19.067280000000004</v>
      </c>
      <c r="H144" s="263">
        <f>+Pobl_adoptada!I144*$D144/1000</f>
        <v>19.824120000000004</v>
      </c>
      <c r="I144" s="263">
        <f>+Pobl_adoptada!J144*$D144/1000</f>
        <v>20.592620000000004</v>
      </c>
      <c r="J144" s="263">
        <f>+Pobl_adoptada!K144*$D144/1000</f>
        <v>21.373840000000001</v>
      </c>
      <c r="K144" s="263">
        <f>+Pobl_adoptada!L144*$D144/1000</f>
        <v>22.167780000000004</v>
      </c>
      <c r="L144" s="263">
        <f>+Pobl_adoptada!M144*$D144/1000</f>
        <v>22.9755</v>
      </c>
      <c r="M144" s="263">
        <f>+Pobl_adoptada!N144*$D144/1000</f>
        <v>23.795940000000002</v>
      </c>
      <c r="N144" s="263">
        <f>+Pobl_adoptada!O144*$D144/1000</f>
        <v>24.629100000000001</v>
      </c>
      <c r="O144" s="263">
        <f>+Pobl_adoptada!P144*$D144/1000</f>
        <v>25.476040000000001</v>
      </c>
      <c r="P144" s="263">
        <f>+Pobl_adoptada!Q144*$D144/1000</f>
        <v>26.337820000000001</v>
      </c>
      <c r="Q144" s="263">
        <f>+Pobl_adoptada!R144*$D144/1000</f>
        <v>27.212319999999998</v>
      </c>
      <c r="R144" s="263">
        <f>+Pobl_adoptada!S144*$D144/1000</f>
        <v>28.101659999999999</v>
      </c>
      <c r="S144" s="263">
        <f>+Pobl_adoptada!T144*$D144/1000</f>
        <v>29.005839999999999</v>
      </c>
      <c r="T144" s="263">
        <f>+Pobl_adoptada!U144*$D144/1000</f>
        <v>29.924859999999999</v>
      </c>
      <c r="U144" s="263">
        <f>+Pobl_adoptada!V144*$D144/1000</f>
        <v>30.858720000000002</v>
      </c>
      <c r="V144" s="263">
        <f>+Pobl_adoptada!W144*$D144/1000</f>
        <v>31.80742</v>
      </c>
      <c r="W144" s="263">
        <f>+Pobl_adoptada!X144*$D144/1000</f>
        <v>32.772020000000005</v>
      </c>
      <c r="X144" s="263">
        <f>+Pobl_adoptada!Y144*$D144/1000</f>
        <v>33.751460000000002</v>
      </c>
      <c r="Y144" s="263">
        <f>+Pobl_adoptada!Z144*$D144/1000</f>
        <v>34.747860000000003</v>
      </c>
      <c r="Z144" s="263">
        <f>+Pobl_adoptada!AA144*$D144/1000</f>
        <v>35.760160000000006</v>
      </c>
    </row>
    <row r="145" spans="1:26" ht="24.95" hidden="1" customHeight="1">
      <c r="A145" s="351" t="str">
        <f>+Pobl_adoptada!A145</f>
        <v>General Alvarado</v>
      </c>
      <c r="B145" s="70">
        <f>+Pobl_adoptada!B145</f>
        <v>141</v>
      </c>
      <c r="C145" s="353" t="str">
        <f>+Pobl_adoptada!C145</f>
        <v>Comandante Nicanor Otamendi</v>
      </c>
      <c r="D145" s="261">
        <f>IF(E145&lt;=15000,DATOS!B$3,IF(E145&lt;=50000,DATOS!B$4,IF(E145&lt;=300000,DATOS!B$5,IF(E145&lt;=500000,DATOS!B$6,DATOS!B$7))))</f>
        <v>0.92</v>
      </c>
      <c r="E145" s="262">
        <f>+Pobl_adoptada!F145</f>
        <v>7196</v>
      </c>
      <c r="F145" s="263">
        <f>+Pobl_adoptada!G145*$D145/1000</f>
        <v>6.6690800000000001</v>
      </c>
      <c r="G145" s="263">
        <f>+Pobl_adoptada!H145*$D145/1000</f>
        <v>6.8144400000000003</v>
      </c>
      <c r="H145" s="263">
        <f>+Pobl_adoptada!I145*$D145/1000</f>
        <v>6.862280000000001</v>
      </c>
      <c r="I145" s="263">
        <f>+Pobl_adoptada!J145*$D145/1000</f>
        <v>6.9110399999999998</v>
      </c>
      <c r="J145" s="263">
        <f>+Pobl_adoptada!K145*$D145/1000</f>
        <v>6.9598000000000004</v>
      </c>
      <c r="K145" s="263">
        <f>+Pobl_adoptada!L145*$D145/1000</f>
        <v>7.0085600000000001</v>
      </c>
      <c r="L145" s="263">
        <f>+Pobl_adoptada!M145*$D145/1000</f>
        <v>7.0564000000000009</v>
      </c>
      <c r="M145" s="263">
        <f>+Pobl_adoptada!N145*$D145/1000</f>
        <v>7.1051599999999997</v>
      </c>
      <c r="N145" s="263">
        <f>+Pobl_adoptada!O145*$D145/1000</f>
        <v>7.1539200000000003</v>
      </c>
      <c r="O145" s="263">
        <f>+Pobl_adoptada!P145*$D145/1000</f>
        <v>7.2017600000000002</v>
      </c>
      <c r="P145" s="263">
        <f>+Pobl_adoptada!Q145*$D145/1000</f>
        <v>7.2505200000000007</v>
      </c>
      <c r="Q145" s="263">
        <f>+Pobl_adoptada!R145*$D145/1000</f>
        <v>7.2992800000000004</v>
      </c>
      <c r="R145" s="263">
        <f>+Pobl_adoptada!S145*$D145/1000</f>
        <v>7.3471200000000003</v>
      </c>
      <c r="S145" s="263">
        <f>+Pobl_adoptada!T145*$D145/1000</f>
        <v>7.39588</v>
      </c>
      <c r="T145" s="263">
        <f>+Pobl_adoptada!U145*$D145/1000</f>
        <v>7.4446400000000006</v>
      </c>
      <c r="U145" s="263">
        <f>+Pobl_adoptada!V145*$D145/1000</f>
        <v>7.4924800000000005</v>
      </c>
      <c r="V145" s="263">
        <f>+Pobl_adoptada!W145*$D145/1000</f>
        <v>7.5412400000000011</v>
      </c>
      <c r="W145" s="263">
        <f>+Pobl_adoptada!X145*$D145/1000</f>
        <v>7.59</v>
      </c>
      <c r="X145" s="263">
        <f>+Pobl_adoptada!Y145*$D145/1000</f>
        <v>7.6378399999999997</v>
      </c>
      <c r="Y145" s="263">
        <f>+Pobl_adoptada!Z145*$D145/1000</f>
        <v>7.6866000000000003</v>
      </c>
      <c r="Z145" s="263">
        <f>+Pobl_adoptada!AA145*$D145/1000</f>
        <v>7.7353600000000009</v>
      </c>
    </row>
    <row r="146" spans="1:26" ht="24.95" hidden="1" customHeight="1">
      <c r="A146" s="351" t="str">
        <f>+Pobl_adoptada!A146</f>
        <v>General Arenales</v>
      </c>
      <c r="B146" s="70">
        <f>+Pobl_adoptada!B146</f>
        <v>142</v>
      </c>
      <c r="C146" s="353" t="str">
        <f>+Pobl_adoptada!C146</f>
        <v>Arribeños</v>
      </c>
      <c r="D146" s="261">
        <f>IF(E146&lt;=15000,DATOS!B$3,IF(E146&lt;=50000,DATOS!B$4,IF(E146&lt;=300000,DATOS!B$5,IF(E146&lt;=500000,DATOS!B$6,DATOS!B$7))))</f>
        <v>0.92</v>
      </c>
      <c r="E146" s="262">
        <f>+Pobl_adoptada!F146</f>
        <v>2969</v>
      </c>
      <c r="F146" s="263">
        <f>+Pobl_adoptada!G146*$D146/1000</f>
        <v>2.7370000000000001</v>
      </c>
      <c r="G146" s="263">
        <f>+Pobl_adoptada!H146*$D146/1000</f>
        <v>2.7554000000000003</v>
      </c>
      <c r="H146" s="263">
        <f>+Pobl_adoptada!I146*$D146/1000</f>
        <v>2.76092</v>
      </c>
      <c r="I146" s="263">
        <f>+Pobl_adoptada!J146*$D146/1000</f>
        <v>2.76736</v>
      </c>
      <c r="J146" s="263">
        <f>+Pobl_adoptada!K146*$D146/1000</f>
        <v>2.7728800000000002</v>
      </c>
      <c r="K146" s="263">
        <f>+Pobl_adoptada!L146*$D146/1000</f>
        <v>2.7793200000000002</v>
      </c>
      <c r="L146" s="263">
        <f>+Pobl_adoptada!M146*$D146/1000</f>
        <v>2.78484</v>
      </c>
      <c r="M146" s="263">
        <f>+Pobl_adoptada!N146*$D146/1000</f>
        <v>2.79128</v>
      </c>
      <c r="N146" s="263">
        <f>+Pobl_adoptada!O146*$D146/1000</f>
        <v>2.7968000000000002</v>
      </c>
      <c r="O146" s="263">
        <f>+Pobl_adoptada!P146*$D146/1000</f>
        <v>2.8032400000000002</v>
      </c>
      <c r="P146" s="263">
        <f>+Pobl_adoptada!Q146*$D146/1000</f>
        <v>2.8087600000000004</v>
      </c>
      <c r="Q146" s="263">
        <f>+Pobl_adoptada!R146*$D146/1000</f>
        <v>2.8152000000000004</v>
      </c>
      <c r="R146" s="263">
        <f>+Pobl_adoptada!S146*$D146/1000</f>
        <v>2.8216400000000004</v>
      </c>
      <c r="S146" s="263">
        <f>+Pobl_adoptada!T146*$D146/1000</f>
        <v>2.8271600000000001</v>
      </c>
      <c r="T146" s="263">
        <f>+Pobl_adoptada!U146*$D146/1000</f>
        <v>2.8336000000000001</v>
      </c>
      <c r="U146" s="263">
        <f>+Pobl_adoptada!V146*$D146/1000</f>
        <v>2.8391200000000003</v>
      </c>
      <c r="V146" s="263">
        <f>+Pobl_adoptada!W146*$D146/1000</f>
        <v>2.8455599999999999</v>
      </c>
      <c r="W146" s="263">
        <f>+Pobl_adoptada!X146*$D146/1000</f>
        <v>2.8510800000000001</v>
      </c>
      <c r="X146" s="263">
        <f>+Pobl_adoptada!Y146*$D146/1000</f>
        <v>2.8575200000000001</v>
      </c>
      <c r="Y146" s="263">
        <f>+Pobl_adoptada!Z146*$D146/1000</f>
        <v>2.8630399999999998</v>
      </c>
      <c r="Z146" s="263">
        <f>+Pobl_adoptada!AA146*$D146/1000</f>
        <v>2.8694799999999998</v>
      </c>
    </row>
    <row r="147" spans="1:26" ht="24.95" hidden="1" customHeight="1">
      <c r="A147" s="351" t="str">
        <f>+Pobl_adoptada!A147</f>
        <v>General Arenales</v>
      </c>
      <c r="B147" s="70">
        <f>+Pobl_adoptada!B147</f>
        <v>143</v>
      </c>
      <c r="C147" s="353" t="str">
        <f>+Pobl_adoptada!C147</f>
        <v>Ascensión</v>
      </c>
      <c r="D147" s="261">
        <f>IF(E147&lt;=15000,DATOS!B$3,IF(E147&lt;=50000,DATOS!B$4,IF(E147&lt;=300000,DATOS!B$5,IF(E147&lt;=500000,DATOS!B$6,DATOS!B$7))))</f>
        <v>0.92</v>
      </c>
      <c r="E147" s="262">
        <f>+Pobl_adoptada!F147</f>
        <v>4348</v>
      </c>
      <c r="F147" s="263">
        <f>+Pobl_adoptada!G147*$D147/1000</f>
        <v>4.0121200000000004</v>
      </c>
      <c r="G147" s="263">
        <f>+Pobl_adoptada!H147*$D147/1000</f>
        <v>4.048</v>
      </c>
      <c r="H147" s="263">
        <f>+Pobl_adoptada!I147*$D147/1000</f>
        <v>4.0599600000000002</v>
      </c>
      <c r="I147" s="263">
        <f>+Pobl_adoptada!J147*$D147/1000</f>
        <v>4.0709999999999997</v>
      </c>
      <c r="J147" s="263">
        <f>+Pobl_adoptada!K147*$D147/1000</f>
        <v>4.0829599999999999</v>
      </c>
      <c r="K147" s="263">
        <f>+Pobl_adoptada!L147*$D147/1000</f>
        <v>4.0949200000000001</v>
      </c>
      <c r="L147" s="263">
        <f>+Pobl_adoptada!M147*$D147/1000</f>
        <v>4.1068800000000003</v>
      </c>
      <c r="M147" s="263">
        <f>+Pobl_adoptada!N147*$D147/1000</f>
        <v>4.1188400000000005</v>
      </c>
      <c r="N147" s="263">
        <f>+Pobl_adoptada!O147*$D147/1000</f>
        <v>4.12988</v>
      </c>
      <c r="O147" s="263">
        <f>+Pobl_adoptada!P147*$D147/1000</f>
        <v>4.1418400000000002</v>
      </c>
      <c r="P147" s="263">
        <f>+Pobl_adoptada!Q147*$D147/1000</f>
        <v>4.1538000000000004</v>
      </c>
      <c r="Q147" s="263">
        <f>+Pobl_adoptada!R147*$D147/1000</f>
        <v>4.1657600000000006</v>
      </c>
      <c r="R147" s="263">
        <f>+Pobl_adoptada!S147*$D147/1000</f>
        <v>4.1777199999999999</v>
      </c>
      <c r="S147" s="263">
        <f>+Pobl_adoptada!T147*$D147/1000</f>
        <v>4.1896800000000001</v>
      </c>
      <c r="T147" s="263">
        <f>+Pobl_adoptada!U147*$D147/1000</f>
        <v>4.2007200000000005</v>
      </c>
      <c r="U147" s="263">
        <f>+Pobl_adoptada!V147*$D147/1000</f>
        <v>4.2126800000000006</v>
      </c>
      <c r="V147" s="263">
        <f>+Pobl_adoptada!W147*$D147/1000</f>
        <v>4.22464</v>
      </c>
      <c r="W147" s="263">
        <f>+Pobl_adoptada!X147*$D147/1000</f>
        <v>4.2366000000000001</v>
      </c>
      <c r="X147" s="263">
        <f>+Pobl_adoptada!Y147*$D147/1000</f>
        <v>4.2485600000000003</v>
      </c>
      <c r="Y147" s="263">
        <f>+Pobl_adoptada!Z147*$D147/1000</f>
        <v>4.2596000000000007</v>
      </c>
      <c r="Z147" s="263">
        <f>+Pobl_adoptada!AA147*$D147/1000</f>
        <v>4.27156</v>
      </c>
    </row>
    <row r="148" spans="1:26" ht="24.95" hidden="1" customHeight="1">
      <c r="A148" s="351" t="str">
        <f>+Pobl_adoptada!A148</f>
        <v>General Guido</v>
      </c>
      <c r="B148" s="70">
        <f>+Pobl_adoptada!B148</f>
        <v>144</v>
      </c>
      <c r="C148" s="353" t="str">
        <f>+Pobl_adoptada!C148</f>
        <v>Labarden</v>
      </c>
      <c r="D148" s="261">
        <f>IF(E148&lt;=15000,DATOS!B$3,IF(E148&lt;=50000,DATOS!B$4,IF(E148&lt;=300000,DATOS!B$5,IF(E148&lt;=500000,DATOS!B$6,DATOS!B$7))))</f>
        <v>0.92</v>
      </c>
      <c r="E148" s="262">
        <f>+Pobl_adoptada!F148</f>
        <v>773</v>
      </c>
      <c r="F148" s="263">
        <f>+Pobl_adoptada!G148*$D148/1000</f>
        <v>0.70932000000000006</v>
      </c>
      <c r="G148" s="263">
        <f>+Pobl_adoptada!H148*$D148/1000</f>
        <v>0.70380000000000009</v>
      </c>
      <c r="H148" s="263">
        <f>+Pobl_adoptada!I148*$D148/1000</f>
        <v>0.70196000000000003</v>
      </c>
      <c r="I148" s="263">
        <f>+Pobl_adoptada!J148*$D148/1000</f>
        <v>0.69920000000000004</v>
      </c>
      <c r="J148" s="263">
        <f>+Pobl_adoptada!K148*$D148/1000</f>
        <v>0.69735999999999998</v>
      </c>
      <c r="K148" s="263">
        <f>+Pobl_adoptada!L148*$D148/1000</f>
        <v>0.69552000000000003</v>
      </c>
      <c r="L148" s="263">
        <f>+Pobl_adoptada!M148*$D148/1000</f>
        <v>0.69368000000000007</v>
      </c>
      <c r="M148" s="263">
        <f>+Pobl_adoptada!N148*$D148/1000</f>
        <v>0.69184000000000001</v>
      </c>
      <c r="N148" s="263">
        <f>+Pobl_adoptada!O148*$D148/1000</f>
        <v>0.69</v>
      </c>
      <c r="O148" s="263">
        <f>+Pobl_adoptada!P148*$D148/1000</f>
        <v>0.6881600000000001</v>
      </c>
      <c r="P148" s="263">
        <f>+Pobl_adoptada!Q148*$D148/1000</f>
        <v>0.68632000000000004</v>
      </c>
      <c r="Q148" s="263">
        <f>+Pobl_adoptada!R148*$D148/1000</f>
        <v>0.68447999999999998</v>
      </c>
      <c r="R148" s="263">
        <f>+Pobl_adoptada!S148*$D148/1000</f>
        <v>0.68264000000000002</v>
      </c>
      <c r="S148" s="263">
        <f>+Pobl_adoptada!T148*$D148/1000</f>
        <v>0.68080000000000007</v>
      </c>
      <c r="T148" s="263">
        <f>+Pobl_adoptada!U148*$D148/1000</f>
        <v>0.67896000000000001</v>
      </c>
      <c r="U148" s="263">
        <f>+Pobl_adoptada!V148*$D148/1000</f>
        <v>0.67712000000000006</v>
      </c>
      <c r="V148" s="263">
        <f>+Pobl_adoptada!W148*$D148/1000</f>
        <v>0.67527999999999999</v>
      </c>
      <c r="W148" s="263">
        <f>+Pobl_adoptada!X148*$D148/1000</f>
        <v>0.67344000000000004</v>
      </c>
      <c r="X148" s="263">
        <f>+Pobl_adoptada!Y148*$D148/1000</f>
        <v>0.67159999999999997</v>
      </c>
      <c r="Y148" s="263">
        <f>+Pobl_adoptada!Z148*$D148/1000</f>
        <v>0.66976000000000002</v>
      </c>
      <c r="Z148" s="263">
        <f>+Pobl_adoptada!AA148*$D148/1000</f>
        <v>0.66792000000000007</v>
      </c>
    </row>
    <row r="149" spans="1:26" ht="24.95" hidden="1" customHeight="1">
      <c r="A149" s="351" t="str">
        <f>+Pobl_adoptada!A149</f>
        <v>General Lavalle</v>
      </c>
      <c r="B149" s="70">
        <f>+Pobl_adoptada!B149</f>
        <v>145</v>
      </c>
      <c r="C149" s="353" t="str">
        <f>+Pobl_adoptada!C149</f>
        <v>Pavón</v>
      </c>
      <c r="D149" s="261">
        <f>IF(E149&lt;=15000,DATOS!B$3,IF(E149&lt;=50000,DATOS!B$4,IF(E149&lt;=300000,DATOS!B$5,IF(E149&lt;=500000,DATOS!B$6,DATOS!B$7))))</f>
        <v>0.92</v>
      </c>
      <c r="E149" s="262">
        <f>+Pobl_adoptada!F149</f>
        <v>1250</v>
      </c>
      <c r="F149" s="263">
        <f>+Pobl_adoptada!G149*$D149/1000</f>
        <v>1.1776000000000002</v>
      </c>
      <c r="G149" s="263">
        <f>+Pobl_adoptada!H149*$D149/1000</f>
        <v>1.2631600000000001</v>
      </c>
      <c r="H149" s="263">
        <f>+Pobl_adoptada!I149*$D149/1000</f>
        <v>1.29352</v>
      </c>
      <c r="I149" s="263">
        <f>+Pobl_adoptada!J149*$D149/1000</f>
        <v>1.3248</v>
      </c>
      <c r="J149" s="263">
        <f>+Pobl_adoptada!K149*$D149/1000</f>
        <v>1.3560800000000002</v>
      </c>
      <c r="K149" s="263">
        <f>+Pobl_adoptada!L149*$D149/1000</f>
        <v>1.38828</v>
      </c>
      <c r="L149" s="263">
        <f>+Pobl_adoptada!M149*$D149/1000</f>
        <v>1.4214</v>
      </c>
      <c r="M149" s="263">
        <f>+Pobl_adoptada!N149*$D149/1000</f>
        <v>1.4554400000000001</v>
      </c>
      <c r="N149" s="263">
        <f>+Pobl_adoptada!O149*$D149/1000</f>
        <v>1.4904000000000002</v>
      </c>
      <c r="O149" s="263">
        <f>+Pobl_adoptada!P149*$D149/1000</f>
        <v>1.52536</v>
      </c>
      <c r="P149" s="263">
        <f>+Pobl_adoptada!Q149*$D149/1000</f>
        <v>1.56216</v>
      </c>
      <c r="Q149" s="263">
        <f>+Pobl_adoptada!R149*$D149/1000</f>
        <v>1.5989599999999999</v>
      </c>
      <c r="R149" s="263">
        <f>+Pobl_adoptada!S149*$D149/1000</f>
        <v>1.6376000000000002</v>
      </c>
      <c r="S149" s="263">
        <f>+Pobl_adoptada!T149*$D149/1000</f>
        <v>1.67624</v>
      </c>
      <c r="T149" s="263">
        <f>+Pobl_adoptada!U149*$D149/1000</f>
        <v>1.71672</v>
      </c>
      <c r="U149" s="263">
        <f>+Pobl_adoptada!V149*$D149/1000</f>
        <v>1.7572000000000001</v>
      </c>
      <c r="V149" s="263">
        <f>+Pobl_adoptada!W149*$D149/1000</f>
        <v>1.79952</v>
      </c>
      <c r="W149" s="263">
        <f>+Pobl_adoptada!X149*$D149/1000</f>
        <v>1.8418400000000001</v>
      </c>
      <c r="X149" s="263">
        <f>+Pobl_adoptada!Y149*$D149/1000</f>
        <v>1.8859999999999999</v>
      </c>
      <c r="Y149" s="263">
        <f>+Pobl_adoptada!Z149*$D149/1000</f>
        <v>1.9310800000000001</v>
      </c>
      <c r="Z149" s="263">
        <f>+Pobl_adoptada!AA149*$D149/1000</f>
        <v>1.9770800000000002</v>
      </c>
    </row>
    <row r="150" spans="1:26" ht="24.95" hidden="1" customHeight="1">
      <c r="A150" s="351" t="str">
        <f>+Pobl_adoptada!A150</f>
        <v>Guaminí</v>
      </c>
      <c r="B150" s="70">
        <f>+Pobl_adoptada!B150</f>
        <v>146</v>
      </c>
      <c r="C150" s="353" t="str">
        <f>+Pobl_adoptada!C150</f>
        <v>Casbas</v>
      </c>
      <c r="D150" s="261">
        <f>IF(E150&lt;=15000,DATOS!B$3,IF(E150&lt;=50000,DATOS!B$4,IF(E150&lt;=300000,DATOS!B$5,IF(E150&lt;=500000,DATOS!B$6,DATOS!B$7))))</f>
        <v>0.92</v>
      </c>
      <c r="E150" s="262">
        <f>+Pobl_adoptada!F150</f>
        <v>4746</v>
      </c>
      <c r="F150" s="263">
        <f>+Pobl_adoptada!G150*$D150/1000</f>
        <v>4.3911600000000002</v>
      </c>
      <c r="G150" s="263">
        <f>+Pobl_adoptada!H150*$D150/1000</f>
        <v>4.4675200000000004</v>
      </c>
      <c r="H150" s="263">
        <f>+Pobl_adoptada!I150*$D150/1000</f>
        <v>4.4923600000000006</v>
      </c>
      <c r="I150" s="263">
        <f>+Pobl_adoptada!J150*$D150/1000</f>
        <v>4.5171999999999999</v>
      </c>
      <c r="J150" s="263">
        <f>+Pobl_adoptada!K150*$D150/1000</f>
        <v>4.5429599999999999</v>
      </c>
      <c r="K150" s="263">
        <f>+Pobl_adoptada!L150*$D150/1000</f>
        <v>4.5678000000000001</v>
      </c>
      <c r="L150" s="263">
        <f>+Pobl_adoptada!M150*$D150/1000</f>
        <v>4.5935600000000001</v>
      </c>
      <c r="M150" s="263">
        <f>+Pobl_adoptada!N150*$D150/1000</f>
        <v>4.6184000000000003</v>
      </c>
      <c r="N150" s="263">
        <f>+Pobl_adoptada!O150*$D150/1000</f>
        <v>4.6432399999999996</v>
      </c>
      <c r="O150" s="263">
        <f>+Pobl_adoptada!P150*$D150/1000</f>
        <v>4.6689999999999996</v>
      </c>
      <c r="P150" s="263">
        <f>+Pobl_adoptada!Q150*$D150/1000</f>
        <v>4.6938399999999998</v>
      </c>
      <c r="Q150" s="263">
        <f>+Pobl_adoptada!R150*$D150/1000</f>
        <v>4.7196000000000007</v>
      </c>
      <c r="R150" s="263">
        <f>+Pobl_adoptada!S150*$D150/1000</f>
        <v>4.7444400000000009</v>
      </c>
      <c r="S150" s="263">
        <f>+Pobl_adoptada!T150*$D150/1000</f>
        <v>4.7692800000000011</v>
      </c>
      <c r="T150" s="263">
        <f>+Pobl_adoptada!U150*$D150/1000</f>
        <v>4.7950400000000002</v>
      </c>
      <c r="U150" s="263">
        <f>+Pobl_adoptada!V150*$D150/1000</f>
        <v>4.8198800000000004</v>
      </c>
      <c r="V150" s="263">
        <f>+Pobl_adoptada!W150*$D150/1000</f>
        <v>4.8456400000000004</v>
      </c>
      <c r="W150" s="263">
        <f>+Pobl_adoptada!X150*$D150/1000</f>
        <v>4.8704800000000006</v>
      </c>
      <c r="X150" s="263">
        <f>+Pobl_adoptada!Y150*$D150/1000</f>
        <v>4.8962399999999997</v>
      </c>
      <c r="Y150" s="263">
        <f>+Pobl_adoptada!Z150*$D150/1000</f>
        <v>4.9210799999999999</v>
      </c>
      <c r="Z150" s="263">
        <f>+Pobl_adoptada!AA150*$D150/1000</f>
        <v>4.9459200000000001</v>
      </c>
    </row>
    <row r="151" spans="1:26" ht="24.95" hidden="1" customHeight="1">
      <c r="A151" s="351" t="str">
        <f>+Pobl_adoptada!A151</f>
        <v>La Costa</v>
      </c>
      <c r="B151" s="70">
        <f>+Pobl_adoptada!B151</f>
        <v>147</v>
      </c>
      <c r="C151" s="353" t="str">
        <f>+Pobl_adoptada!C151</f>
        <v>San Clemente del Tuyú</v>
      </c>
      <c r="D151" s="261">
        <f>IF(E151&lt;=15000,DATOS!B$3,IF(E151&lt;=50000,DATOS!B$4,IF(E151&lt;=300000,DATOS!B$5,IF(E151&lt;=500000,DATOS!B$6,DATOS!B$7))))</f>
        <v>1.06</v>
      </c>
      <c r="E151" s="262">
        <f>+Pobl_adoptada!F151</f>
        <v>30242</v>
      </c>
      <c r="F151" s="263">
        <f>+Pobl_adoptada!G151*$D151/1000</f>
        <v>32.890740000000008</v>
      </c>
      <c r="G151" s="263">
        <f>+Pobl_adoptada!H151*$D151/1000</f>
        <v>35.394460000000002</v>
      </c>
      <c r="H151" s="263">
        <f>+Pobl_adoptada!I151*$D151/1000</f>
        <v>36.228679999999997</v>
      </c>
      <c r="I151" s="263">
        <f>+Pobl_adoptada!J151*$D151/1000</f>
        <v>37.062899999999999</v>
      </c>
      <c r="J151" s="263">
        <f>+Pobl_adoptada!K151*$D151/1000</f>
        <v>37.897120000000001</v>
      </c>
      <c r="K151" s="263">
        <f>+Pobl_adoptada!L151*$D151/1000</f>
        <v>38.732399999999998</v>
      </c>
      <c r="L151" s="263">
        <f>+Pobl_adoptada!M151*$D151/1000</f>
        <v>39.747880000000002</v>
      </c>
      <c r="M151" s="263">
        <f>+Pobl_adoptada!N151*$D151/1000</f>
        <v>40.764420000000008</v>
      </c>
      <c r="N151" s="263">
        <f>+Pobl_adoptada!O151*$D151/1000</f>
        <v>41.78096</v>
      </c>
      <c r="O151" s="263">
        <f>+Pobl_adoptada!P151*$D151/1000</f>
        <v>42.796440000000004</v>
      </c>
      <c r="P151" s="263">
        <f>+Pobl_adoptada!Q151*$D151/1000</f>
        <v>43.812980000000003</v>
      </c>
      <c r="Q151" s="263">
        <f>+Pobl_adoptada!R151*$D151/1000</f>
        <v>44.82846</v>
      </c>
      <c r="R151" s="263">
        <f>+Pobl_adoptada!S151*$D151/1000</f>
        <v>45.844999999999999</v>
      </c>
      <c r="S151" s="263">
        <f>+Pobl_adoptada!T151*$D151/1000</f>
        <v>46.860480000000003</v>
      </c>
      <c r="T151" s="263">
        <f>+Pobl_adoptada!U151*$D151/1000</f>
        <v>47.878080000000004</v>
      </c>
      <c r="U151" s="263">
        <f>+Pobl_adoptada!V151*$D151/1000</f>
        <v>48.893560000000008</v>
      </c>
      <c r="V151" s="263">
        <f>+Pobl_adoptada!W151*$D151/1000</f>
        <v>49.910100000000007</v>
      </c>
      <c r="W151" s="263">
        <f>+Pobl_adoptada!X151*$D151/1000</f>
        <v>50.925580000000004</v>
      </c>
      <c r="X151" s="263">
        <f>+Pobl_adoptada!Y151*$D151/1000</f>
        <v>51.942120000000003</v>
      </c>
      <c r="Y151" s="263">
        <f>+Pobl_adoptada!Z151*$D151/1000</f>
        <v>52.957600000000006</v>
      </c>
      <c r="Z151" s="263">
        <f>+Pobl_adoptada!AA151*$D151/1000</f>
        <v>53.975200000000001</v>
      </c>
    </row>
    <row r="152" spans="1:26" ht="24.95" hidden="1" customHeight="1">
      <c r="A152" s="351" t="str">
        <f>+Pobl_adoptada!A152</f>
        <v>Leandro N. Alem</v>
      </c>
      <c r="B152" s="70">
        <f>+Pobl_adoptada!B152</f>
        <v>148</v>
      </c>
      <c r="C152" s="353" t="str">
        <f>+Pobl_adoptada!C152</f>
        <v>Juan Bautista Alberdi</v>
      </c>
      <c r="D152" s="261">
        <f>IF(E152&lt;=15000,DATOS!B$3,IF(E152&lt;=50000,DATOS!B$4,IF(E152&lt;=300000,DATOS!B$5,IF(E152&lt;=500000,DATOS!B$6,DATOS!B$7))))</f>
        <v>0.92</v>
      </c>
      <c r="E152" s="262">
        <f>+Pobl_adoptada!F152</f>
        <v>3406</v>
      </c>
      <c r="F152" s="263">
        <f>+Pobl_adoptada!G152*$D152/1000</f>
        <v>3.1335199999999999</v>
      </c>
      <c r="G152" s="263">
        <f>+Pobl_adoptada!H152*$D152/1000</f>
        <v>3.1326000000000001</v>
      </c>
      <c r="H152" s="263">
        <f>+Pobl_adoptada!I152*$D152/1000</f>
        <v>3.1316800000000002</v>
      </c>
      <c r="I152" s="263">
        <f>+Pobl_adoptada!J152*$D152/1000</f>
        <v>3.1316800000000002</v>
      </c>
      <c r="J152" s="263">
        <f>+Pobl_adoptada!K152*$D152/1000</f>
        <v>3.1307600000000004</v>
      </c>
      <c r="K152" s="263">
        <f>+Pobl_adoptada!L152*$D152/1000</f>
        <v>3.1307600000000004</v>
      </c>
      <c r="L152" s="263">
        <f>+Pobl_adoptada!M152*$D152/1000</f>
        <v>3.1307600000000004</v>
      </c>
      <c r="M152" s="263">
        <f>+Pobl_adoptada!N152*$D152/1000</f>
        <v>3.1298400000000002</v>
      </c>
      <c r="N152" s="263">
        <f>+Pobl_adoptada!O152*$D152/1000</f>
        <v>3.1298400000000002</v>
      </c>
      <c r="O152" s="263">
        <f>+Pobl_adoptada!P152*$D152/1000</f>
        <v>3.1289199999999999</v>
      </c>
      <c r="P152" s="263">
        <f>+Pobl_adoptada!Q152*$D152/1000</f>
        <v>3.1289199999999999</v>
      </c>
      <c r="Q152" s="263">
        <f>+Pobl_adoptada!R152*$D152/1000</f>
        <v>3.1280000000000001</v>
      </c>
      <c r="R152" s="263">
        <f>+Pobl_adoptada!S152*$D152/1000</f>
        <v>3.1280000000000001</v>
      </c>
      <c r="S152" s="263">
        <f>+Pobl_adoptada!T152*$D152/1000</f>
        <v>3.1270799999999999</v>
      </c>
      <c r="T152" s="263">
        <f>+Pobl_adoptada!U152*$D152/1000</f>
        <v>3.1270799999999999</v>
      </c>
      <c r="U152" s="263">
        <f>+Pobl_adoptada!V152*$D152/1000</f>
        <v>3.1270799999999999</v>
      </c>
      <c r="V152" s="263">
        <f>+Pobl_adoptada!W152*$D152/1000</f>
        <v>3.1261600000000005</v>
      </c>
      <c r="W152" s="263">
        <f>+Pobl_adoptada!X152*$D152/1000</f>
        <v>3.1261600000000005</v>
      </c>
      <c r="X152" s="263">
        <f>+Pobl_adoptada!Y152*$D152/1000</f>
        <v>3.1252400000000002</v>
      </c>
      <c r="Y152" s="263">
        <f>+Pobl_adoptada!Z152*$D152/1000</f>
        <v>3.1252400000000002</v>
      </c>
      <c r="Z152" s="263">
        <f>+Pobl_adoptada!AA152*$D152/1000</f>
        <v>3.12432</v>
      </c>
    </row>
    <row r="153" spans="1:26" ht="24.95" hidden="1" customHeight="1">
      <c r="A153" s="351" t="str">
        <f>+Pobl_adoptada!A153</f>
        <v>Mar Chiquita</v>
      </c>
      <c r="B153" s="70">
        <f>+Pobl_adoptada!B153</f>
        <v>149</v>
      </c>
      <c r="C153" s="353" t="str">
        <f>+Pobl_adoptada!C153</f>
        <v>Santa Clara del Mar</v>
      </c>
      <c r="D153" s="261">
        <f>IF(E153&lt;=15000,DATOS!B$3,IF(E153&lt;=50000,DATOS!B$4,IF(E153&lt;=300000,DATOS!B$5,IF(E153&lt;=500000,DATOS!B$6,DATOS!B$7))))</f>
        <v>1.06</v>
      </c>
      <c r="E153" s="262">
        <f>+Pobl_adoptada!F153</f>
        <v>19904</v>
      </c>
      <c r="F153" s="263">
        <f>+Pobl_adoptada!G153*$D153/1000</f>
        <v>22.040580000000002</v>
      </c>
      <c r="G153" s="263">
        <f>+Pobl_adoptada!H153*$D153/1000</f>
        <v>25.130479999999999</v>
      </c>
      <c r="H153" s="263">
        <f>+Pobl_adoptada!I153*$D153/1000</f>
        <v>26.251960000000004</v>
      </c>
      <c r="I153" s="263">
        <f>+Pobl_adoptada!J153*$D153/1000</f>
        <v>27.425380000000001</v>
      </c>
      <c r="J153" s="263">
        <f>+Pobl_adoptada!K153*$D153/1000</f>
        <v>28.650740000000003</v>
      </c>
      <c r="K153" s="263">
        <f>+Pobl_adoptada!L153*$D153/1000</f>
        <v>29.93122</v>
      </c>
      <c r="L153" s="263">
        <f>+Pobl_adoptada!M153*$D153/1000</f>
        <v>31.27</v>
      </c>
      <c r="M153" s="263">
        <f>+Pobl_adoptada!N153*$D153/1000</f>
        <v>32.667079999999999</v>
      </c>
      <c r="N153" s="263">
        <f>+Pobl_adoptada!O153*$D153/1000</f>
        <v>34.126700000000007</v>
      </c>
      <c r="O153" s="263">
        <f>+Pobl_adoptada!P153*$D153/1000</f>
        <v>35.650980000000004</v>
      </c>
      <c r="P153" s="263">
        <f>+Pobl_adoptada!Q153*$D153/1000</f>
        <v>37.244160000000001</v>
      </c>
      <c r="Q153" s="263">
        <f>+Pobl_adoptada!R153*$D153/1000</f>
        <v>38.91048</v>
      </c>
      <c r="R153" s="263">
        <f>+Pobl_adoptada!S153*$D153/1000</f>
        <v>40.648880000000005</v>
      </c>
      <c r="S153" s="263">
        <f>+Pobl_adoptada!T153*$D153/1000</f>
        <v>42.464660000000002</v>
      </c>
      <c r="T153" s="263">
        <f>+Pobl_adoptada!U153*$D153/1000</f>
        <v>44.363120000000002</v>
      </c>
      <c r="U153" s="263">
        <f>+Pobl_adoptada!V153*$D153/1000</f>
        <v>46.345320000000001</v>
      </c>
      <c r="V153" s="263">
        <f>+Pobl_adoptada!W153*$D153/1000</f>
        <v>48.416560000000004</v>
      </c>
      <c r="W153" s="263">
        <f>+Pobl_adoptada!X153*$D153/1000</f>
        <v>50.58108</v>
      </c>
      <c r="X153" s="263">
        <f>+Pobl_adoptada!Y153*$D153/1000</f>
        <v>52.839940000000006</v>
      </c>
      <c r="Y153" s="263">
        <f>+Pobl_adoptada!Z153*$D153/1000</f>
        <v>55.201620000000005</v>
      </c>
      <c r="Z153" s="263">
        <f>+Pobl_adoptada!AA153*$D153/1000</f>
        <v>57.6693</v>
      </c>
    </row>
    <row r="154" spans="1:26" ht="24.95" hidden="1" customHeight="1">
      <c r="A154" s="351" t="str">
        <f>+Pobl_adoptada!A154</f>
        <v>Puán</v>
      </c>
      <c r="B154" s="70">
        <f>+Pobl_adoptada!B154</f>
        <v>150</v>
      </c>
      <c r="C154" s="353" t="str">
        <f>+Pobl_adoptada!C154</f>
        <v>Darregueira</v>
      </c>
      <c r="D154" s="261">
        <f>IF(E154&lt;=15000,DATOS!B$3,IF(E154&lt;=50000,DATOS!B$4,IF(E154&lt;=300000,DATOS!B$5,IF(E154&lt;=500000,DATOS!B$6,DATOS!B$7))))</f>
        <v>0.92</v>
      </c>
      <c r="E154" s="262">
        <f>+Pobl_adoptada!F154</f>
        <v>5656</v>
      </c>
      <c r="F154" s="263">
        <f>+Pobl_adoptada!G154*$D154/1000</f>
        <v>5.2118000000000002</v>
      </c>
      <c r="G154" s="263">
        <f>+Pobl_adoptada!H154*$D154/1000</f>
        <v>5.2366400000000004</v>
      </c>
      <c r="H154" s="263">
        <f>+Pobl_adoptada!I154*$D154/1000</f>
        <v>5.2449200000000005</v>
      </c>
      <c r="I154" s="263">
        <f>+Pobl_adoptada!J154*$D154/1000</f>
        <v>5.2541199999999995</v>
      </c>
      <c r="J154" s="263">
        <f>+Pobl_adoptada!K154*$D154/1000</f>
        <v>5.2624000000000004</v>
      </c>
      <c r="K154" s="263">
        <f>+Pobl_adoptada!L154*$D154/1000</f>
        <v>5.2706800000000005</v>
      </c>
      <c r="L154" s="263">
        <f>+Pobl_adoptada!M154*$D154/1000</f>
        <v>5.2789599999999997</v>
      </c>
      <c r="M154" s="263">
        <f>+Pobl_adoptada!N154*$D154/1000</f>
        <v>5.2881599999999995</v>
      </c>
      <c r="N154" s="263">
        <f>+Pobl_adoptada!O154*$D154/1000</f>
        <v>5.2964400000000005</v>
      </c>
      <c r="O154" s="263">
        <f>+Pobl_adoptada!P154*$D154/1000</f>
        <v>5.3047200000000005</v>
      </c>
      <c r="P154" s="263">
        <f>+Pobl_adoptada!Q154*$D154/1000</f>
        <v>5.3139200000000004</v>
      </c>
      <c r="Q154" s="263">
        <f>+Pobl_adoptada!R154*$D154/1000</f>
        <v>5.3221999999999996</v>
      </c>
      <c r="R154" s="263">
        <f>+Pobl_adoptada!S154*$D154/1000</f>
        <v>5.3304800000000006</v>
      </c>
      <c r="S154" s="263">
        <f>+Pobl_adoptada!T154*$D154/1000</f>
        <v>5.3396800000000004</v>
      </c>
      <c r="T154" s="263">
        <f>+Pobl_adoptada!U154*$D154/1000</f>
        <v>5.3479599999999996</v>
      </c>
      <c r="U154" s="263">
        <f>+Pobl_adoptada!V154*$D154/1000</f>
        <v>5.3571599999999995</v>
      </c>
      <c r="V154" s="263">
        <f>+Pobl_adoptada!W154*$D154/1000</f>
        <v>5.3654400000000004</v>
      </c>
      <c r="W154" s="263">
        <f>+Pobl_adoptada!X154*$D154/1000</f>
        <v>5.3737200000000005</v>
      </c>
      <c r="X154" s="263">
        <f>+Pobl_adoptada!Y154*$D154/1000</f>
        <v>5.3829200000000004</v>
      </c>
      <c r="Y154" s="263">
        <f>+Pobl_adoptada!Z154*$D154/1000</f>
        <v>5.3911999999999995</v>
      </c>
      <c r="Z154" s="263">
        <f>+Pobl_adoptada!AA154*$D154/1000</f>
        <v>5.4004000000000003</v>
      </c>
    </row>
    <row r="155" spans="1:26" ht="24.95" hidden="1" customHeight="1">
      <c r="A155" s="351" t="str">
        <f>+Pobl_adoptada!A155</f>
        <v>Ramallo</v>
      </c>
      <c r="B155" s="70">
        <f>+Pobl_adoptada!B155</f>
        <v>151</v>
      </c>
      <c r="C155" s="353" t="str">
        <f>+Pobl_adoptada!C155</f>
        <v>Villa Ramallo</v>
      </c>
      <c r="D155" s="261">
        <f>IF(E155&lt;=15000,DATOS!B$3,IF(E155&lt;=50000,DATOS!B$4,IF(E155&lt;=300000,DATOS!B$5,IF(E155&lt;=500000,DATOS!B$6,DATOS!B$7))))</f>
        <v>0.92</v>
      </c>
      <c r="E155" s="262">
        <f>+Pobl_adoptada!F155</f>
        <v>12340</v>
      </c>
      <c r="F155" s="263">
        <f>+Pobl_adoptada!G155*$D155/1000</f>
        <v>11.438360000000001</v>
      </c>
      <c r="G155" s="263">
        <f>+Pobl_adoptada!H155*$D155/1000</f>
        <v>11.697800000000001</v>
      </c>
      <c r="H155" s="263">
        <f>+Pobl_adoptada!I155*$D155/1000</f>
        <v>11.785200000000001</v>
      </c>
      <c r="I155" s="263">
        <f>+Pobl_adoptada!J155*$D155/1000</f>
        <v>11.87444</v>
      </c>
      <c r="J155" s="263">
        <f>+Pobl_adoptada!K155*$D155/1000</f>
        <v>11.962759999999999</v>
      </c>
      <c r="K155" s="263">
        <f>+Pobl_adoptada!L155*$D155/1000</f>
        <v>12.05292</v>
      </c>
      <c r="L155" s="263">
        <f>+Pobl_adoptada!M155*$D155/1000</f>
        <v>12.144</v>
      </c>
      <c r="M155" s="263">
        <f>+Pobl_adoptada!N155*$D155/1000</f>
        <v>12.23508</v>
      </c>
      <c r="N155" s="263">
        <f>+Pobl_adoptada!O155*$D155/1000</f>
        <v>12.32708</v>
      </c>
      <c r="O155" s="263">
        <f>+Pobl_adoptada!P155*$D155/1000</f>
        <v>12.419079999999999</v>
      </c>
      <c r="P155" s="263">
        <f>+Pobl_adoptada!Q155*$D155/1000</f>
        <v>12.512919999999999</v>
      </c>
      <c r="Q155" s="263">
        <f>+Pobl_adoptada!R155*$D155/1000</f>
        <v>12.60676</v>
      </c>
      <c r="R155" s="263">
        <f>+Pobl_adoptada!S155*$D155/1000</f>
        <v>12.70152</v>
      </c>
      <c r="S155" s="263">
        <f>+Pobl_adoptada!T155*$D155/1000</f>
        <v>12.796280000000001</v>
      </c>
      <c r="T155" s="263">
        <f>+Pobl_adoptada!U155*$D155/1000</f>
        <v>12.892880000000002</v>
      </c>
      <c r="U155" s="263">
        <f>+Pobl_adoptada!V155*$D155/1000</f>
        <v>12.989480000000002</v>
      </c>
      <c r="V155" s="263">
        <f>+Pobl_adoptada!W155*$D155/1000</f>
        <v>13.087</v>
      </c>
      <c r="W155" s="263">
        <f>+Pobl_adoptada!X155*$D155/1000</f>
        <v>13.18544</v>
      </c>
      <c r="X155" s="263">
        <f>+Pobl_adoptada!Y155*$D155/1000</f>
        <v>13.284800000000001</v>
      </c>
      <c r="Y155" s="263">
        <f>+Pobl_adoptada!Z155*$D155/1000</f>
        <v>13.38416</v>
      </c>
      <c r="Z155" s="263">
        <f>+Pobl_adoptada!AA155*$D155/1000</f>
        <v>13.484440000000001</v>
      </c>
    </row>
    <row r="156" spans="1:26" ht="24.95" hidden="1" customHeight="1">
      <c r="A156" s="351" t="str">
        <f>+Pobl_adoptada!A156</f>
        <v>Tornquist</v>
      </c>
      <c r="B156" s="70">
        <f>+Pobl_adoptada!B156</f>
        <v>152</v>
      </c>
      <c r="C156" s="353" t="str">
        <f>+Pobl_adoptada!C156</f>
        <v>Sierra de la Ventana</v>
      </c>
      <c r="D156" s="261">
        <f>IF(E156&lt;=15000,DATOS!B$3,IF(E156&lt;=50000,DATOS!B$4,IF(E156&lt;=300000,DATOS!B$5,IF(E156&lt;=500000,DATOS!B$6,DATOS!B$7))))</f>
        <v>0.92</v>
      </c>
      <c r="E156" s="262">
        <f>+Pobl_adoptada!F156</f>
        <v>3488</v>
      </c>
      <c r="F156" s="263">
        <f>+Pobl_adoptada!G156*$D156/1000</f>
        <v>3.3386800000000001</v>
      </c>
      <c r="G156" s="263">
        <f>+Pobl_adoptada!H156*$D156/1000</f>
        <v>3.7618800000000001</v>
      </c>
      <c r="H156" s="263">
        <f>+Pobl_adoptada!I156*$D156/1000</f>
        <v>3.9146000000000005</v>
      </c>
      <c r="I156" s="263">
        <f>+Pobl_adoptada!J156*$D156/1000</f>
        <v>4.0728400000000002</v>
      </c>
      <c r="J156" s="263">
        <f>+Pobl_adoptada!K156*$D156/1000</f>
        <v>4.2384400000000007</v>
      </c>
      <c r="K156" s="263">
        <f>+Pobl_adoptada!L156*$D156/1000</f>
        <v>4.4095600000000008</v>
      </c>
      <c r="L156" s="263">
        <f>+Pobl_adoptada!M156*$D156/1000</f>
        <v>4.5889600000000002</v>
      </c>
      <c r="M156" s="263">
        <f>+Pobl_adoptada!N156*$D156/1000</f>
        <v>4.7747999999999999</v>
      </c>
      <c r="N156" s="263">
        <f>+Pobl_adoptada!O156*$D156/1000</f>
        <v>4.968</v>
      </c>
      <c r="O156" s="263">
        <f>+Pobl_adoptada!P156*$D156/1000</f>
        <v>5.1694800000000001</v>
      </c>
      <c r="P156" s="263">
        <f>+Pobl_adoptada!Q156*$D156/1000</f>
        <v>5.3792399999999994</v>
      </c>
      <c r="Q156" s="263">
        <f>+Pobl_adoptada!R156*$D156/1000</f>
        <v>5.5972800000000005</v>
      </c>
      <c r="R156" s="263">
        <f>+Pobl_adoptada!S156*$D156/1000</f>
        <v>5.8245200000000006</v>
      </c>
      <c r="S156" s="263">
        <f>+Pobl_adoptada!T156*$D156/1000</f>
        <v>6.0600399999999999</v>
      </c>
      <c r="T156" s="263">
        <f>+Pobl_adoptada!U156*$D156/1000</f>
        <v>6.3056800000000006</v>
      </c>
      <c r="U156" s="263">
        <f>+Pobl_adoptada!V156*$D156/1000</f>
        <v>6.5614400000000002</v>
      </c>
      <c r="V156" s="263">
        <f>+Pobl_adoptada!W156*$D156/1000</f>
        <v>6.8273200000000003</v>
      </c>
      <c r="W156" s="263">
        <f>+Pobl_adoptada!X156*$D156/1000</f>
        <v>7.1042400000000008</v>
      </c>
      <c r="X156" s="263">
        <f>+Pobl_adoptada!Y156*$D156/1000</f>
        <v>7.3922000000000008</v>
      </c>
      <c r="Y156" s="263">
        <f>+Pobl_adoptada!Z156*$D156/1000</f>
        <v>7.6921200000000001</v>
      </c>
      <c r="Z156" s="263">
        <f>+Pobl_adoptada!AA156*$D156/1000</f>
        <v>8.0039999999999996</v>
      </c>
    </row>
    <row r="157" spans="1:26" ht="24.95" hidden="1" customHeight="1">
      <c r="A157" s="351" t="str">
        <f>+Pobl_adoptada!A157</f>
        <v>Villarino</v>
      </c>
      <c r="B157" s="70">
        <f>+Pobl_adoptada!B157</f>
        <v>153</v>
      </c>
      <c r="C157" s="353" t="str">
        <f>+Pobl_adoptada!C157</f>
        <v>Mayor Buratovich</v>
      </c>
      <c r="D157" s="261">
        <f>IF(E157&lt;=15000,DATOS!B$3,IF(E157&lt;=50000,DATOS!B$4,IF(E157&lt;=300000,DATOS!B$5,IF(E157&lt;=500000,DATOS!B$6,DATOS!B$7))))</f>
        <v>0.92</v>
      </c>
      <c r="E157" s="262">
        <f>+Pobl_adoptada!F157</f>
        <v>6865</v>
      </c>
      <c r="F157" s="263">
        <f>+Pobl_adoptada!G157*$D157/1000</f>
        <v>6.4464400000000008</v>
      </c>
      <c r="G157" s="263">
        <f>+Pobl_adoptada!H157*$D157/1000</f>
        <v>6.8540000000000001</v>
      </c>
      <c r="H157" s="263">
        <f>+Pobl_adoptada!I157*$D157/1000</f>
        <v>6.9956800000000001</v>
      </c>
      <c r="I157" s="263">
        <f>+Pobl_adoptada!J157*$D157/1000</f>
        <v>7.1401199999999996</v>
      </c>
      <c r="J157" s="263">
        <f>+Pobl_adoptada!K157*$D157/1000</f>
        <v>7.2873200000000002</v>
      </c>
      <c r="K157" s="263">
        <f>+Pobl_adoptada!L157*$D157/1000</f>
        <v>7.4372800000000003</v>
      </c>
      <c r="L157" s="263">
        <f>+Pobl_adoptada!M157*$D157/1000</f>
        <v>7.5909199999999997</v>
      </c>
      <c r="M157" s="263">
        <f>+Pobl_adoptada!N157*$D157/1000</f>
        <v>7.7482400000000009</v>
      </c>
      <c r="N157" s="263">
        <f>+Pobl_adoptada!O157*$D157/1000</f>
        <v>7.9083200000000007</v>
      </c>
      <c r="O157" s="263">
        <f>+Pobl_adoptada!P157*$D157/1000</f>
        <v>8.0711600000000008</v>
      </c>
      <c r="P157" s="263">
        <f>+Pobl_adoptada!Q157*$D157/1000</f>
        <v>8.237680000000001</v>
      </c>
      <c r="Q157" s="263">
        <f>+Pobl_adoptada!R157*$D157/1000</f>
        <v>8.4078800000000005</v>
      </c>
      <c r="R157" s="263">
        <f>+Pobl_adoptada!S157*$D157/1000</f>
        <v>8.5817600000000009</v>
      </c>
      <c r="S157" s="263">
        <f>+Pobl_adoptada!T157*$D157/1000</f>
        <v>8.7584</v>
      </c>
      <c r="T157" s="263">
        <f>+Pobl_adoptada!U157*$D157/1000</f>
        <v>8.9396400000000007</v>
      </c>
      <c r="U157" s="263">
        <f>+Pobl_adoptada!V157*$D157/1000</f>
        <v>9.1245599999999989</v>
      </c>
      <c r="V157" s="263">
        <f>+Pobl_adoptada!W157*$D157/1000</f>
        <v>9.3122399999999992</v>
      </c>
      <c r="W157" s="263">
        <f>+Pobl_adoptada!X157*$D157/1000</f>
        <v>9.5045200000000012</v>
      </c>
      <c r="X157" s="263">
        <f>+Pobl_adoptada!Y157*$D157/1000</f>
        <v>9.7013999999999996</v>
      </c>
      <c r="Y157" s="263">
        <f>+Pobl_adoptada!Z157*$D157/1000</f>
        <v>9.9010400000000001</v>
      </c>
      <c r="Z157" s="263">
        <f>+Pobl_adoptada!AA157*$D157/1000</f>
        <v>10.106200000000001</v>
      </c>
    </row>
    <row r="158" spans="1:26" ht="24.95" hidden="1" customHeight="1">
      <c r="A158" s="351" t="str">
        <f>+Pobl_adoptada!A158</f>
        <v>Villarino</v>
      </c>
      <c r="B158" s="70">
        <f>+Pobl_adoptada!B158</f>
        <v>154</v>
      </c>
      <c r="C158" s="353" t="str">
        <f>+Pobl_adoptada!C158</f>
        <v>Pedro Luro</v>
      </c>
      <c r="D158" s="261">
        <f>IF(E158&lt;=15000,DATOS!B$3,IF(E158&lt;=50000,DATOS!B$4,IF(E158&lt;=300000,DATOS!B$5,IF(E158&lt;=500000,DATOS!B$6,DATOS!B$7))))</f>
        <v>1.06</v>
      </c>
      <c r="E158" s="262">
        <f>+Pobl_adoptada!F158</f>
        <v>15336</v>
      </c>
      <c r="F158" s="263">
        <f>+Pobl_adoptada!G158*$D158/1000</f>
        <v>16.918659999999999</v>
      </c>
      <c r="G158" s="263">
        <f>+Pobl_adoptada!H158*$D158/1000</f>
        <v>19.073640000000001</v>
      </c>
      <c r="H158" s="263">
        <f>+Pobl_adoptada!I158*$D158/1000</f>
        <v>19.851680000000002</v>
      </c>
      <c r="I158" s="263">
        <f>+Pobl_adoptada!J158*$D158/1000</f>
        <v>20.660460000000004</v>
      </c>
      <c r="J158" s="263">
        <f>+Pobl_adoptada!K158*$D158/1000</f>
        <v>21.503160000000001</v>
      </c>
      <c r="K158" s="263">
        <f>+Pobl_adoptada!L158*$D158/1000</f>
        <v>22.379780000000004</v>
      </c>
      <c r="L158" s="263">
        <f>+Pobl_adoptada!M158*$D158/1000</f>
        <v>23.292440000000003</v>
      </c>
      <c r="M158" s="263">
        <f>+Pobl_adoptada!N158*$D158/1000</f>
        <v>24.2422</v>
      </c>
      <c r="N158" s="263">
        <f>+Pobl_adoptada!O158*$D158/1000</f>
        <v>25.230120000000003</v>
      </c>
      <c r="O158" s="263">
        <f>+Pobl_adoptada!P158*$D158/1000</f>
        <v>26.25938</v>
      </c>
      <c r="P158" s="263">
        <f>+Pobl_adoptada!Q158*$D158/1000</f>
        <v>27.329979999999999</v>
      </c>
      <c r="Q158" s="263">
        <f>+Pobl_adoptada!R158*$D158/1000</f>
        <v>28.444040000000001</v>
      </c>
      <c r="R158" s="263">
        <f>+Pobl_adoptada!S158*$D158/1000</f>
        <v>29.603680000000001</v>
      </c>
      <c r="S158" s="263">
        <f>+Pobl_adoptada!T158*$D158/1000</f>
        <v>30.811019999999999</v>
      </c>
      <c r="T158" s="263">
        <f>+Pobl_adoptada!U158*$D158/1000</f>
        <v>32.067120000000003</v>
      </c>
      <c r="U158" s="263">
        <f>+Pobl_adoptada!V158*$D158/1000</f>
        <v>33.374099999999999</v>
      </c>
      <c r="V158" s="263">
        <f>+Pobl_adoptada!W158*$D158/1000</f>
        <v>34.735140000000001</v>
      </c>
      <c r="W158" s="263">
        <f>+Pobl_adoptada!X158*$D158/1000</f>
        <v>36.151300000000006</v>
      </c>
      <c r="X158" s="263">
        <f>+Pobl_adoptada!Y158*$D158/1000</f>
        <v>37.62576</v>
      </c>
      <c r="Y158" s="263">
        <f>+Pobl_adoptada!Z158*$D158/1000</f>
        <v>39.159579999999998</v>
      </c>
      <c r="Z158" s="263">
        <f>+Pobl_adoptada!AA158*$D158/1000</f>
        <v>40.755940000000002</v>
      </c>
    </row>
    <row r="160" spans="1:26">
      <c r="C160" s="108"/>
    </row>
    <row r="161" spans="1:26">
      <c r="C161" s="108"/>
      <c r="E161" s="111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</row>
    <row r="162" spans="1:26">
      <c r="C162" s="108"/>
      <c r="E162" s="112"/>
      <c r="F162" s="270"/>
      <c r="G162" s="270"/>
      <c r="H162" s="270"/>
      <c r="I162" s="270"/>
      <c r="J162" s="270"/>
      <c r="K162" s="270"/>
      <c r="L162" s="270"/>
      <c r="M162" s="270"/>
      <c r="N162" s="270"/>
      <c r="O162" s="270"/>
      <c r="P162" s="270"/>
      <c r="Q162" s="270"/>
      <c r="R162" s="270"/>
      <c r="S162" s="270"/>
      <c r="T162" s="270"/>
      <c r="U162" s="270"/>
      <c r="V162" s="270"/>
      <c r="W162" s="270"/>
      <c r="X162" s="270"/>
      <c r="Y162" s="270"/>
      <c r="Z162" s="270"/>
    </row>
    <row r="163" spans="1:26">
      <c r="A163" s="271"/>
      <c r="C163" s="272"/>
      <c r="D163" s="272"/>
      <c r="E163" s="269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>
      <c r="E164" s="270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69"/>
      <c r="T164" s="269"/>
      <c r="U164" s="269"/>
      <c r="V164" s="269"/>
      <c r="W164" s="269"/>
      <c r="X164" s="269"/>
      <c r="Y164" s="269"/>
      <c r="Z164" s="269"/>
    </row>
    <row r="165" spans="1:26"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</row>
  </sheetData>
  <autoFilter ref="A4:Z158" xr:uid="{00000000-0001-0000-1100-000000000000}">
    <filterColumn colId="2">
      <filters>
        <filter val="9 de Julio"/>
        <filter val="Carlos Casares"/>
        <filter val="Daireaux"/>
        <filter val="Henderson"/>
        <filter val="Pehuajó"/>
        <filter val="San Carlos de Bolívar"/>
      </filters>
    </filterColumn>
  </autoFilter>
  <mergeCells count="2">
    <mergeCell ref="F1:Y1"/>
    <mergeCell ref="F2:Z2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>
    <tabColor rgb="FF92D050"/>
  </sheetPr>
  <dimension ref="A1:AA163"/>
  <sheetViews>
    <sheetView view="pageBreakPreview" zoomScale="85" zoomScaleSheetLayoutView="85" workbookViewId="0">
      <pane xSplit="3" ySplit="4" topLeftCell="D8" activePane="bottomRight" state="frozen"/>
      <selection activeCell="F10" sqref="F10"/>
      <selection pane="topRight" activeCell="F10" sqref="F10"/>
      <selection pane="bottomLeft" activeCell="F10" sqref="F10"/>
      <selection pane="bottomRight" activeCell="A3" sqref="A3:XFD3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7" ht="27" thickBot="1">
      <c r="A1" s="251" t="s">
        <v>271</v>
      </c>
      <c r="F1" s="963"/>
      <c r="G1" s="963"/>
      <c r="H1" s="963"/>
      <c r="I1" s="963"/>
      <c r="J1" s="963"/>
      <c r="K1" s="963"/>
      <c r="L1" s="963"/>
      <c r="M1" s="963"/>
      <c r="N1" s="963"/>
      <c r="O1" s="963"/>
      <c r="P1" s="963"/>
      <c r="Q1" s="963"/>
      <c r="R1" s="963"/>
      <c r="S1" s="963"/>
      <c r="T1" s="963"/>
      <c r="U1" s="963"/>
      <c r="V1" s="963"/>
      <c r="W1" s="963"/>
      <c r="X1" s="963"/>
      <c r="Y1" s="963"/>
      <c r="Z1" s="43"/>
    </row>
    <row r="2" spans="1:27" ht="19.5" thickBot="1">
      <c r="A2" s="41"/>
      <c r="E2" s="273"/>
      <c r="F2" s="964" t="s">
        <v>272</v>
      </c>
      <c r="G2" s="965"/>
      <c r="H2" s="965"/>
      <c r="I2" s="965"/>
      <c r="J2" s="965"/>
      <c r="K2" s="965"/>
      <c r="L2" s="965"/>
      <c r="M2" s="965"/>
      <c r="N2" s="965"/>
      <c r="O2" s="965"/>
      <c r="P2" s="965"/>
      <c r="Q2" s="965"/>
      <c r="R2" s="965"/>
      <c r="S2" s="965"/>
      <c r="T2" s="965"/>
      <c r="U2" s="965"/>
      <c r="V2" s="965"/>
      <c r="W2" s="965"/>
      <c r="X2" s="965"/>
      <c r="Y2" s="965"/>
      <c r="Z2" s="966"/>
    </row>
    <row r="3" spans="1:27" ht="62.25" customHeight="1" thickBot="1">
      <c r="A3" s="45"/>
      <c r="B3" s="44"/>
      <c r="C3" s="45"/>
      <c r="D3" s="44"/>
      <c r="E3" s="274"/>
      <c r="F3" s="47"/>
      <c r="G3" s="275">
        <v>0.01</v>
      </c>
      <c r="H3" s="275">
        <v>0.08</v>
      </c>
      <c r="I3" s="275">
        <v>0.15</v>
      </c>
      <c r="J3" s="275">
        <v>0.25</v>
      </c>
      <c r="K3" s="275">
        <v>0.35</v>
      </c>
      <c r="L3" s="275">
        <v>0.35</v>
      </c>
      <c r="M3" s="275">
        <v>0.35</v>
      </c>
      <c r="N3" s="275">
        <v>0.35</v>
      </c>
      <c r="O3" s="275">
        <v>0.35</v>
      </c>
      <c r="P3" s="275">
        <v>0.35</v>
      </c>
      <c r="Q3" s="275">
        <v>0.35</v>
      </c>
      <c r="R3" s="275">
        <v>0.35</v>
      </c>
      <c r="S3" s="275">
        <v>0.35</v>
      </c>
      <c r="T3" s="275">
        <v>0.35</v>
      </c>
      <c r="U3" s="275">
        <v>0.35</v>
      </c>
      <c r="V3" s="275">
        <v>0.35</v>
      </c>
      <c r="W3" s="275">
        <v>0.35</v>
      </c>
      <c r="X3" s="275">
        <v>0.35</v>
      </c>
      <c r="Y3" s="275">
        <v>0.35</v>
      </c>
      <c r="Z3" s="275">
        <v>0.35</v>
      </c>
      <c r="AA3" s="564" t="s">
        <v>651</v>
      </c>
    </row>
    <row r="4" spans="1:27" ht="27" customHeight="1" thickBot="1">
      <c r="A4" s="253" t="s">
        <v>28</v>
      </c>
      <c r="B4" s="967" t="s">
        <v>22</v>
      </c>
      <c r="C4" s="967"/>
      <c r="D4" s="254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7" ht="24.95" customHeight="1">
      <c r="A5" s="350" t="str">
        <f>+Pobl_adoptada!A5</f>
        <v>Almirante Brown</v>
      </c>
      <c r="B5" s="63">
        <f>+Pobl_adoptada!B5</f>
        <v>1</v>
      </c>
      <c r="C5" s="352" t="str">
        <f>+Pobl_adoptada!C5</f>
        <v>Almirante Brown</v>
      </c>
      <c r="D5" s="257"/>
      <c r="E5" s="277"/>
      <c r="F5" s="259"/>
      <c r="G5" s="259">
        <f>+G$3*'PROYECCIÓN GENERACIÓN'!G5</f>
        <v>8.8605105000000002</v>
      </c>
      <c r="H5" s="259">
        <f>+H$3*'PROYECCIÓN GENERACIÓN'!H5</f>
        <v>71.453498400000001</v>
      </c>
      <c r="I5" s="259">
        <f>+I$3*'PROYECCIÓN GENERACIÓN'!I5</f>
        <v>135.0514215</v>
      </c>
      <c r="J5" s="259">
        <f>+J$3*'PROYECCIÓN GENERACIÓN'!J5</f>
        <v>226.893675</v>
      </c>
      <c r="K5" s="259">
        <f>+K$3*'PROYECCIÓN GENERACIÓN'!K5</f>
        <v>320.20253999999994</v>
      </c>
      <c r="L5" s="259">
        <f>+L$3*'PROYECCIÓN GENERACIÓN'!L5</f>
        <v>322.77466199999998</v>
      </c>
      <c r="M5" s="259">
        <f>+M$3*'PROYECCIÓN GENERACIÓN'!M5</f>
        <v>325.36751099999998</v>
      </c>
      <c r="N5" s="259">
        <f>+N$3*'PROYECCIÓN GENERACIÓN'!N5</f>
        <v>327.98108699999995</v>
      </c>
      <c r="O5" s="259">
        <f>+O$3*'PROYECCIÓN GENERACIÓN'!O5</f>
        <v>330.61538999999993</v>
      </c>
      <c r="P5" s="259">
        <f>+P$3*'PROYECCIÓN GENERACIÓN'!P5</f>
        <v>333.27091349999995</v>
      </c>
      <c r="Q5" s="259">
        <f>+Q$3*'PROYECCIÓN GENERACIÓN'!Q5</f>
        <v>335.948151</v>
      </c>
      <c r="R5" s="259">
        <f>+R$3*'PROYECCIÓN GENERACIÓN'!R5</f>
        <v>338.64660899999996</v>
      </c>
      <c r="S5" s="259">
        <f>+S$3*'PROYECCIÓN GENERACIÓN'!S5</f>
        <v>341.3662875</v>
      </c>
      <c r="T5" s="259">
        <f>+T$3*'PROYECCIÓN GENERACIÓN'!T5</f>
        <v>344.10866699999997</v>
      </c>
      <c r="U5" s="259">
        <f>+U$3*'PROYECCIÓN GENERACIÓN'!U5</f>
        <v>346.87276049999991</v>
      </c>
      <c r="V5" s="259">
        <f>+V$3*'PROYECCIÓN GENERACIÓN'!V5</f>
        <v>349.65856799999995</v>
      </c>
      <c r="W5" s="259">
        <f>+W$3*'PROYECCIÓN GENERACIÓN'!W5</f>
        <v>352.46756999999997</v>
      </c>
      <c r="X5" s="259">
        <f>+X$3*'PROYECCIÓN GENERACIÓN'!X5</f>
        <v>355.29828599999996</v>
      </c>
      <c r="Y5" s="259">
        <f>+Y$3*'PROYECCIÓN GENERACIÓN'!Y5</f>
        <v>358.15219649999995</v>
      </c>
      <c r="Z5" s="259">
        <f>+Z$3*'PROYECCIÓN GENERACIÓN'!Z5</f>
        <v>361.02930149999992</v>
      </c>
      <c r="AA5" s="565">
        <f>AVERAGE(G5:Z5)</f>
        <v>294.30098029499999</v>
      </c>
    </row>
    <row r="6" spans="1:27" ht="24.95" customHeight="1">
      <c r="A6" s="351" t="str">
        <f>+Pobl_adoptada!A6</f>
        <v>Avellaneda</v>
      </c>
      <c r="B6" s="70">
        <f>+Pobl_adoptada!B6</f>
        <v>2</v>
      </c>
      <c r="C6" s="353" t="str">
        <f>+Pobl_adoptada!C6</f>
        <v>Avellaneda</v>
      </c>
      <c r="D6" s="261"/>
      <c r="E6" s="278"/>
      <c r="F6" s="263"/>
      <c r="G6" s="263">
        <f>+G$3*'PROYECCIÓN GENERACIÓN'!G6</f>
        <v>5.4253274999999999</v>
      </c>
      <c r="H6" s="263">
        <f>+H$3*'PROYECCIÓN GENERACIÓN'!H6</f>
        <v>43.742260800000004</v>
      </c>
      <c r="I6" s="263">
        <f>+I$3*'PROYECCIÓN GENERACIÓN'!I6</f>
        <v>82.663928999999996</v>
      </c>
      <c r="J6" s="263">
        <f>+J$3*'PROYECCIÓN GENERACIÓN'!J6</f>
        <v>138.86948999999998</v>
      </c>
      <c r="K6" s="263">
        <f>+K$3*'PROYECCIÓN GENERACIÓN'!K6</f>
        <v>195.97674599999996</v>
      </c>
      <c r="L6" s="263">
        <f>+L$3*'PROYECCIÓN GENERACIÓN'!L6</f>
        <v>197.561868</v>
      </c>
      <c r="M6" s="263">
        <f>+M$3*'PROYECCIÓN GENERACIÓN'!M6</f>
        <v>199.1731455</v>
      </c>
      <c r="N6" s="263">
        <f>+N$3*'PROYECCIÓN GENERACIÓN'!N6</f>
        <v>200.81008499999999</v>
      </c>
      <c r="O6" s="263">
        <f>+O$3*'PROYECCIÓN GENERACIÓN'!O6</f>
        <v>202.47416699999999</v>
      </c>
      <c r="P6" s="263">
        <f>+P$3*'PROYECCIÓN GENERACIÓN'!P6</f>
        <v>204.16539149999997</v>
      </c>
      <c r="Q6" s="263">
        <f>+Q$3*'PROYECCIÓN GENERACIÓN'!Q6</f>
        <v>205.884252</v>
      </c>
      <c r="R6" s="263">
        <f>+R$3*'PROYECCIÓN GENERACIÓN'!R6</f>
        <v>207.63074849999995</v>
      </c>
      <c r="S6" s="263">
        <f>+S$3*'PROYECCIÓN GENERACIÓN'!S6</f>
        <v>209.40586799999997</v>
      </c>
      <c r="T6" s="263">
        <f>+T$3*'PROYECCIÓN GENERACIÓN'!T6</f>
        <v>211.21010399999994</v>
      </c>
      <c r="U6" s="263">
        <f>+U$3*'PROYECCIÓN GENERACIÓN'!U6</f>
        <v>213.04395</v>
      </c>
      <c r="V6" s="263">
        <f>+V$3*'PROYECCIÓN GENERACIÓN'!V6</f>
        <v>214.90740599999995</v>
      </c>
      <c r="W6" s="263">
        <f>+W$3*'PROYECCIÓN GENERACIÓN'!W6</f>
        <v>216.80145899999997</v>
      </c>
      <c r="X6" s="263">
        <f>+X$3*'PROYECCIÓN GENERACIÓN'!X6</f>
        <v>218.72610899999998</v>
      </c>
      <c r="Y6" s="263">
        <f>+Y$3*'PROYECCIÓN GENERACIÓN'!Y6</f>
        <v>220.682343</v>
      </c>
      <c r="Z6" s="263">
        <f>+Z$3*'PROYECCIÓN GENERACIÓN'!Z6</f>
        <v>222.67065449999998</v>
      </c>
      <c r="AA6" s="565">
        <f t="shared" ref="AA6:AA69" si="1">AVERAGE(G6:Z6)</f>
        <v>180.59126521499996</v>
      </c>
    </row>
    <row r="7" spans="1:27" ht="24.95" customHeight="1">
      <c r="A7" s="351" t="str">
        <f>+Pobl_adoptada!A7</f>
        <v>Berazategui</v>
      </c>
      <c r="B7" s="70">
        <f>+Pobl_adoptada!B7</f>
        <v>3</v>
      </c>
      <c r="C7" s="353" t="str">
        <f>+Pobl_adoptada!C7</f>
        <v>Berazategui</v>
      </c>
      <c r="D7" s="261"/>
      <c r="E7" s="278"/>
      <c r="F7" s="263"/>
      <c r="G7" s="263">
        <f>+G$3*'PROYECCIÓN GENERACIÓN'!G7</f>
        <v>5.5261284000000002</v>
      </c>
      <c r="H7" s="263">
        <f>+H$3*'PROYECCIÓN GENERACIÓN'!H7</f>
        <v>44.684930400000006</v>
      </c>
      <c r="I7" s="263">
        <f>+I$3*'PROYECCIÓN GENERACIÓN'!I7</f>
        <v>84.676774499999979</v>
      </c>
      <c r="J7" s="263">
        <f>+J$3*'PROYECCIÓN GENERACIÓN'!J7</f>
        <v>142.61550749999998</v>
      </c>
      <c r="K7" s="263">
        <f>+K$3*'PROYECCIÓN GENERACIÓN'!K7</f>
        <v>201.7442805</v>
      </c>
      <c r="L7" s="263">
        <f>+L$3*'PROYECCIÓN GENERACIÓN'!L7</f>
        <v>203.82685049999995</v>
      </c>
      <c r="M7" s="263">
        <f>+M$3*'PROYECCIÓN GENERACIÓN'!M7</f>
        <v>205.90942049999998</v>
      </c>
      <c r="N7" s="263">
        <f>+N$3*'PROYECCIÓN GENERACIÓN'!N7</f>
        <v>207.99199049999999</v>
      </c>
      <c r="O7" s="263">
        <f>+O$3*'PROYECCIÓN GENERACIÓN'!O7</f>
        <v>210.07406700000001</v>
      </c>
      <c r="P7" s="263">
        <f>+P$3*'PROYECCIÓN GENERACIÓN'!P7</f>
        <v>212.15663699999996</v>
      </c>
      <c r="Q7" s="263">
        <f>+Q$3*'PROYECCIÓN GENERACIÓN'!Q7</f>
        <v>214.23920699999999</v>
      </c>
      <c r="R7" s="263">
        <f>+R$3*'PROYECCIÓN GENERACIÓN'!R7</f>
        <v>216.321777</v>
      </c>
      <c r="S7" s="263">
        <f>+S$3*'PROYECCIÓN GENERACIÓN'!S7</f>
        <v>218.40434699999994</v>
      </c>
      <c r="T7" s="263">
        <f>+T$3*'PROYECCIÓN GENERACIÓN'!T7</f>
        <v>220.48691700000001</v>
      </c>
      <c r="U7" s="263">
        <f>+U$3*'PROYECCIÓN GENERACIÓN'!U7</f>
        <v>222.56948699999995</v>
      </c>
      <c r="V7" s="263">
        <f>+V$3*'PROYECCIÓN GENERACIÓN'!V7</f>
        <v>224.65156350000001</v>
      </c>
      <c r="W7" s="263">
        <f>+W$3*'PROYECCIÓN GENERACIÓN'!W7</f>
        <v>226.73413349999996</v>
      </c>
      <c r="X7" s="263">
        <f>+X$3*'PROYECCIÓN GENERACIÓN'!X7</f>
        <v>228.81670349999999</v>
      </c>
      <c r="Y7" s="263">
        <f>+Y$3*'PROYECCIÓN GENERACIÓN'!Y7</f>
        <v>230.89927349999996</v>
      </c>
      <c r="Z7" s="263">
        <f>+Z$3*'PROYECCIÓN GENERACIÓN'!Z7</f>
        <v>232.98184349999994</v>
      </c>
      <c r="AA7" s="565">
        <f t="shared" si="1"/>
        <v>187.76559196500003</v>
      </c>
    </row>
    <row r="8" spans="1:27" ht="24.95" customHeight="1">
      <c r="A8" s="351" t="str">
        <f>+Pobl_adoptada!A8</f>
        <v>Esteban Echeverría</v>
      </c>
      <c r="B8" s="70">
        <f>+Pobl_adoptada!B8</f>
        <v>4</v>
      </c>
      <c r="C8" s="353" t="str">
        <f>+Pobl_adoptada!C8</f>
        <v>Esteban Echeverría</v>
      </c>
      <c r="D8" s="261"/>
      <c r="E8" s="278"/>
      <c r="F8" s="263"/>
      <c r="G8" s="263">
        <f>+G$3*'PROYECCIÓN GENERACIÓN'!G8</f>
        <v>5.4290357999999994</v>
      </c>
      <c r="H8" s="263">
        <f>+H$3*'PROYECCIÓN GENERACIÓN'!H8</f>
        <v>44.047159199999996</v>
      </c>
      <c r="I8" s="263">
        <f>+I$3*'PROYECCIÓN GENERACIÓN'!I8</f>
        <v>83.74152149999999</v>
      </c>
      <c r="J8" s="263">
        <f>+J$3*'PROYECCIÓN GENERACIÓN'!J8</f>
        <v>141.49068</v>
      </c>
      <c r="K8" s="263">
        <f>+K$3*'PROYECCIÓN GENERACIÓN'!K8</f>
        <v>200.77751399999994</v>
      </c>
      <c r="L8" s="263">
        <f>+L$3*'PROYECCIÓN GENERACIÓN'!L8</f>
        <v>203.46758249999996</v>
      </c>
      <c r="M8" s="263">
        <f>+M$3*'PROYECCIÓN GENERACIÓN'!M8</f>
        <v>206.15814449999999</v>
      </c>
      <c r="N8" s="263">
        <f>+N$3*'PROYECCIÓN GENERACIÓN'!N8</f>
        <v>208.84821299999996</v>
      </c>
      <c r="O8" s="263">
        <f>+O$3*'PROYECCIÓN GENERACIÓN'!O8</f>
        <v>211.53828149999998</v>
      </c>
      <c r="P8" s="263">
        <f>+P$3*'PROYECCIÓN GENERACIÓN'!P8</f>
        <v>214.22884349999995</v>
      </c>
      <c r="Q8" s="263">
        <f>+Q$3*'PROYECCIÓN GENERACIÓN'!Q8</f>
        <v>216.91891199999995</v>
      </c>
      <c r="R8" s="263">
        <f>+R$3*'PROYECCIÓN GENERACIÓN'!R8</f>
        <v>219.60947400000001</v>
      </c>
      <c r="S8" s="263">
        <f>+S$3*'PROYECCIÓN GENERACIÓN'!S8</f>
        <v>222.29954249999997</v>
      </c>
      <c r="T8" s="263">
        <f>+T$3*'PROYECCIÓN GENERACIÓN'!T8</f>
        <v>224.9901045</v>
      </c>
      <c r="U8" s="263">
        <f>+U$3*'PROYECCIÓN GENERACIÓN'!U8</f>
        <v>227.68017299999994</v>
      </c>
      <c r="V8" s="263">
        <f>+V$3*'PROYECCIÓN GENERACIÓN'!V8</f>
        <v>230.37024149999993</v>
      </c>
      <c r="W8" s="263">
        <f>+W$3*'PROYECCIÓN GENERACIÓN'!W8</f>
        <v>233.06080349999999</v>
      </c>
      <c r="X8" s="263">
        <f>+X$3*'PROYECCIÓN GENERACIÓN'!X8</f>
        <v>235.75087199999996</v>
      </c>
      <c r="Y8" s="263">
        <f>+Y$3*'PROYECCIÓN GENERACIÓN'!Y8</f>
        <v>238.44143399999999</v>
      </c>
      <c r="Z8" s="263">
        <f>+Z$3*'PROYECCIÓN GENERACIÓN'!Z8</f>
        <v>241.13150249999993</v>
      </c>
      <c r="AA8" s="565">
        <f t="shared" si="1"/>
        <v>190.49900174999999</v>
      </c>
    </row>
    <row r="9" spans="1:27" ht="24.95" customHeight="1">
      <c r="A9" s="351" t="str">
        <f>+Pobl_adoptada!A9</f>
        <v>Ezeiza</v>
      </c>
      <c r="B9" s="70">
        <f>+Pobl_adoptada!B9</f>
        <v>5</v>
      </c>
      <c r="C9" s="353" t="str">
        <f>+Pobl_adoptada!C9</f>
        <v>Ezeiza</v>
      </c>
      <c r="D9" s="261"/>
      <c r="E9" s="278"/>
      <c r="F9" s="263"/>
      <c r="G9" s="263">
        <f>+G$3*'PROYECCIÓN GENERACIÓN'!G9</f>
        <v>2.4269166000000002</v>
      </c>
      <c r="H9" s="263">
        <f>+H$3*'PROYECCIÓN GENERACIÓN'!H9</f>
        <v>19.799587200000001</v>
      </c>
      <c r="I9" s="263">
        <f>+I$3*'PROYECCIÓN GENERACIÓN'!I9</f>
        <v>37.844549999999998</v>
      </c>
      <c r="J9" s="263">
        <f>+J$3*'PROYECCIÓN GENERACIÓN'!J9</f>
        <v>64.275044999999992</v>
      </c>
      <c r="K9" s="263">
        <f>+K$3*'PROYECCIÓN GENERACIÓN'!K9</f>
        <v>91.666176000000007</v>
      </c>
      <c r="L9" s="263">
        <f>+L$3*'PROYECCIÓN GENERACIÓN'!L9</f>
        <v>93.34693200000001</v>
      </c>
      <c r="M9" s="263">
        <f>+M$3*'PROYECCIÓN GENERACIÓN'!M9</f>
        <v>95.028045000000006</v>
      </c>
      <c r="N9" s="263">
        <f>+N$3*'PROYECCIÓN GENERACIÓN'!N9</f>
        <v>96.709158000000002</v>
      </c>
      <c r="O9" s="263">
        <f>+O$3*'PROYECCIÓN GENERACIÓN'!O9</f>
        <v>98.38991399999999</v>
      </c>
      <c r="P9" s="263">
        <f>+P$3*'PROYECCIÓN GENERACIÓN'!P9</f>
        <v>100.07102700000002</v>
      </c>
      <c r="Q9" s="263">
        <f>+Q$3*'PROYECCIÓN GENERACIÓN'!Q9</f>
        <v>101.75214000000001</v>
      </c>
      <c r="R9" s="263">
        <f>+R$3*'PROYECCIÓN GENERACIÓN'!R9</f>
        <v>103.43325300000001</v>
      </c>
      <c r="S9" s="263">
        <f>+S$3*'PROYECCIÓN GENERACIÓN'!S9</f>
        <v>105.114009</v>
      </c>
      <c r="T9" s="263">
        <f>+T$3*'PROYECCIÓN GENERACIÓN'!T9</f>
        <v>106.79512199999999</v>
      </c>
      <c r="U9" s="263">
        <f>+U$3*'PROYECCIÓN GENERACIÓN'!U9</f>
        <v>108.47623499999999</v>
      </c>
      <c r="V9" s="263">
        <f>+V$3*'PROYECCIÓN GENERACIÓN'!V9</f>
        <v>110.15699099999999</v>
      </c>
      <c r="W9" s="263">
        <f>+W$3*'PROYECCIÓN GENERACIÓN'!W9</f>
        <v>111.838104</v>
      </c>
      <c r="X9" s="263">
        <f>+X$3*'PROYECCIÓN GENERACIÓN'!X9</f>
        <v>113.519217</v>
      </c>
      <c r="Y9" s="263">
        <f>+Y$3*'PROYECCIÓN GENERACIÓN'!Y9</f>
        <v>115.199973</v>
      </c>
      <c r="Z9" s="263">
        <f>+Z$3*'PROYECCIÓN GENERACIÓN'!Z9</f>
        <v>116.881086</v>
      </c>
      <c r="AA9" s="565">
        <f t="shared" si="1"/>
        <v>89.636174040000014</v>
      </c>
    </row>
    <row r="10" spans="1:27" ht="24.95" customHeight="1">
      <c r="A10" s="351" t="str">
        <f>+Pobl_adoptada!A10</f>
        <v>Florencio Varela</v>
      </c>
      <c r="B10" s="70">
        <f>+Pobl_adoptada!B10</f>
        <v>6</v>
      </c>
      <c r="C10" s="353" t="str">
        <f>+Pobl_adoptada!C10</f>
        <v>Florencio Varela</v>
      </c>
      <c r="D10" s="261"/>
      <c r="E10" s="278"/>
      <c r="F10" s="263"/>
      <c r="G10" s="263">
        <f>+G$3*'PROYECCIÓN GENERACIÓN'!G10</f>
        <v>8.0958675000000007</v>
      </c>
      <c r="H10" s="263">
        <f>+H$3*'PROYECCIÓN GENERACIÓN'!H10</f>
        <v>65.813836800000004</v>
      </c>
      <c r="I10" s="263">
        <f>+I$3*'PROYECCIÓN GENERACIÓN'!I10</f>
        <v>125.36387549999998</v>
      </c>
      <c r="J10" s="263">
        <f>+J$3*'PROYECCIÓN GENERACIÓN'!J10</f>
        <v>212.21169749999999</v>
      </c>
      <c r="K10" s="263">
        <f>+K$3*'PROYECCIÓN GENERACIÓN'!K10</f>
        <v>301.67654999999996</v>
      </c>
      <c r="L10" s="263">
        <f>+L$3*'PROYECCIÓN GENERACIÓN'!L10</f>
        <v>306.25721699999997</v>
      </c>
      <c r="M10" s="263">
        <f>+M$3*'PROYECCIÓN GENERACIÓN'!M10</f>
        <v>310.83739049999997</v>
      </c>
      <c r="N10" s="263">
        <f>+N$3*'PROYECCIÓN GENERACIÓN'!N10</f>
        <v>315.41756399999991</v>
      </c>
      <c r="O10" s="263">
        <f>+O$3*'PROYECCIÓN GENERACIÓN'!O10</f>
        <v>319.99823099999992</v>
      </c>
      <c r="P10" s="263">
        <f>+P$3*'PROYECCIÓN GENERACIÓN'!P10</f>
        <v>324.57840449999998</v>
      </c>
      <c r="Q10" s="263">
        <f>+Q$3*'PROYECCIÓN GENERACIÓN'!Q10</f>
        <v>329.15907149999998</v>
      </c>
      <c r="R10" s="263">
        <f>+R$3*'PROYECCIÓN GENERACIÓN'!R10</f>
        <v>333.73924499999993</v>
      </c>
      <c r="S10" s="263">
        <f>+S$3*'PROYECCIÓN GENERACIÓN'!S10</f>
        <v>338.31941849999998</v>
      </c>
      <c r="T10" s="263">
        <f>+T$3*'PROYECCIÓN GENERACIÓN'!T10</f>
        <v>342.90008549999999</v>
      </c>
      <c r="U10" s="263">
        <f>+U$3*'PROYECCIÓN GENERACIÓN'!U10</f>
        <v>347.48025899999999</v>
      </c>
      <c r="V10" s="263">
        <f>+V$3*'PROYECCIÓN GENERACIÓN'!V10</f>
        <v>352.06092599999999</v>
      </c>
      <c r="W10" s="263">
        <f>+W$3*'PROYECCIÓN GENERACIÓN'!W10</f>
        <v>356.6410995</v>
      </c>
      <c r="X10" s="263">
        <f>+X$3*'PROYECCIÓN GENERACIÓN'!X10</f>
        <v>361.22176649999994</v>
      </c>
      <c r="Y10" s="263">
        <f>+Y$3*'PROYECCIÓN GENERACIÓN'!Y10</f>
        <v>365.80193999999989</v>
      </c>
      <c r="Z10" s="263">
        <f>+Z$3*'PROYECCIÓN GENERACIÓN'!Z10</f>
        <v>370.38211349999995</v>
      </c>
      <c r="AA10" s="565">
        <f t="shared" si="1"/>
        <v>289.39782796499992</v>
      </c>
    </row>
    <row r="11" spans="1:27" ht="24.95" customHeight="1">
      <c r="A11" s="351" t="str">
        <f>+Pobl_adoptada!A11</f>
        <v>General San Martín</v>
      </c>
      <c r="B11" s="70">
        <f>+Pobl_adoptada!B11</f>
        <v>7</v>
      </c>
      <c r="C11" s="353" t="str">
        <f>+Pobl_adoptada!C11</f>
        <v>General San Martín</v>
      </c>
      <c r="D11" s="261"/>
      <c r="E11" s="278"/>
      <c r="F11" s="263"/>
      <c r="G11" s="263">
        <f>+G$3*'PROYECCIÓN GENERACIÓN'!G11</f>
        <v>6.3207339000000005</v>
      </c>
      <c r="H11" s="263">
        <f>+H$3*'PROYECCIÓN GENERACIÓN'!H11</f>
        <v>50.840764799999995</v>
      </c>
      <c r="I11" s="263">
        <f>+I$3*'PROYECCIÓN GENERACIÓN'!I11</f>
        <v>95.850319499999998</v>
      </c>
      <c r="J11" s="263">
        <f>+J$3*'PROYECCIÓN GENERACIÓN'!J11</f>
        <v>160.6381275</v>
      </c>
      <c r="K11" s="263">
        <f>+K$3*'PROYECCIÓN GENERACIÓN'!K11</f>
        <v>226.15624499999996</v>
      </c>
      <c r="L11" s="263">
        <f>+L$3*'PROYECCIÓN GENERACIÓN'!L11</f>
        <v>227.43934499999997</v>
      </c>
      <c r="M11" s="263">
        <f>+M$3*'PROYECCIÓN GENERACIÓN'!M11</f>
        <v>228.74366549999996</v>
      </c>
      <c r="N11" s="263">
        <f>+N$3*'PROYECCIÓN GENERACIÓN'!N11</f>
        <v>230.06920649999998</v>
      </c>
      <c r="O11" s="263">
        <f>+O$3*'PROYECCIÓN GENERACIÓN'!O11</f>
        <v>231.41646149999997</v>
      </c>
      <c r="P11" s="263">
        <f>+P$3*'PROYECCIÓN GENERACIÓN'!P11</f>
        <v>232.78543049999999</v>
      </c>
      <c r="Q11" s="263">
        <f>+Q$3*'PROYECCIÓN GENERACIÓN'!Q11</f>
        <v>234.17710049999997</v>
      </c>
      <c r="R11" s="263">
        <f>+R$3*'PROYECCIÓN GENERACIÓN'!R11</f>
        <v>235.59097799999998</v>
      </c>
      <c r="S11" s="263">
        <f>+S$3*'PROYECCIÓN GENERACIÓN'!S11</f>
        <v>237.02804999999998</v>
      </c>
      <c r="T11" s="263">
        <f>+T$3*'PROYECCIÓN GENERACIÓN'!T11</f>
        <v>238.48880999999994</v>
      </c>
      <c r="U11" s="263">
        <f>+U$3*'PROYECCIÓN GENERACIÓN'!U11</f>
        <v>239.97325799999999</v>
      </c>
      <c r="V11" s="263">
        <f>+V$3*'PROYECCIÓN GENERACIÓN'!V11</f>
        <v>241.48238099999995</v>
      </c>
      <c r="W11" s="263">
        <f>+W$3*'PROYECCIÓN GENERACIÓN'!W11</f>
        <v>243.01568549999996</v>
      </c>
      <c r="X11" s="263">
        <f>+X$3*'PROYECCIÓN GENERACIÓN'!X11</f>
        <v>244.57366499999998</v>
      </c>
      <c r="Y11" s="263">
        <f>+Y$3*'PROYECCIÓN GENERACIÓN'!Y11</f>
        <v>246.15779999999998</v>
      </c>
      <c r="Z11" s="263">
        <f>+Z$3*'PROYECCIÓN GENERACIÓN'!Z11</f>
        <v>247.76710349999999</v>
      </c>
      <c r="AA11" s="565">
        <f t="shared" si="1"/>
        <v>204.92575656</v>
      </c>
    </row>
    <row r="12" spans="1:27" ht="24.95" customHeight="1">
      <c r="A12" s="351" t="str">
        <f>+Pobl_adoptada!A12</f>
        <v>Hurlingham</v>
      </c>
      <c r="B12" s="70">
        <f>+Pobl_adoptada!B12</f>
        <v>8</v>
      </c>
      <c r="C12" s="353" t="str">
        <f>+Pobl_adoptada!C12</f>
        <v>Hurlingham</v>
      </c>
      <c r="D12" s="261"/>
      <c r="E12" s="278"/>
      <c r="F12" s="263"/>
      <c r="G12" s="263">
        <f>+G$3*'PROYECCIÓN GENERACIÓN'!G12</f>
        <v>1.9629390000000002</v>
      </c>
      <c r="H12" s="263">
        <f>+H$3*'PROYECCIÓN GENERACIÓN'!H12</f>
        <v>15.764548800000002</v>
      </c>
      <c r="I12" s="263">
        <f>+I$3*'PROYECCIÓN GENERACIÓN'!I12</f>
        <v>29.673126</v>
      </c>
      <c r="J12" s="263">
        <f>+J$3*'PROYECCIÓN GENERACIÓN'!J12</f>
        <v>49.646205000000002</v>
      </c>
      <c r="K12" s="263">
        <f>+K$3*'PROYECCIÓN GENERACIÓN'!K12</f>
        <v>69.772080000000003</v>
      </c>
      <c r="L12" s="263">
        <f>+L$3*'PROYECCIÓN GENERACIÓN'!L12</f>
        <v>70.039472999999987</v>
      </c>
      <c r="M12" s="263">
        <f>+M$3*'PROYECCIÓN GENERACIÓN'!M12</f>
        <v>70.306865999999999</v>
      </c>
      <c r="N12" s="263">
        <f>+N$3*'PROYECCIÓN GENERACIÓN'!N12</f>
        <v>70.574258999999998</v>
      </c>
      <c r="O12" s="263">
        <f>+O$3*'PROYECCIÓN GENERACIÓN'!O12</f>
        <v>70.841295000000002</v>
      </c>
      <c r="P12" s="263">
        <f>+P$3*'PROYECCIÓN GENERACIÓN'!P12</f>
        <v>71.108687999999987</v>
      </c>
      <c r="Q12" s="263">
        <f>+Q$3*'PROYECCIÓN GENERACIÓN'!Q12</f>
        <v>71.376080999999999</v>
      </c>
      <c r="R12" s="263">
        <f>+R$3*'PROYECCIÓN GENERACIÓN'!R12</f>
        <v>71.643473999999998</v>
      </c>
      <c r="S12" s="263">
        <f>+S$3*'PROYECCIÓN GENERACIÓN'!S12</f>
        <v>71.910866999999996</v>
      </c>
      <c r="T12" s="263">
        <f>+T$3*'PROYECCIÓN GENERACIÓN'!T12</f>
        <v>72.178259999999995</v>
      </c>
      <c r="U12" s="263">
        <f>+U$3*'PROYECCIÓN GENERACIÓN'!U12</f>
        <v>72.445652999999993</v>
      </c>
      <c r="V12" s="263">
        <f>+V$3*'PROYECCIÓN GENERACIÓN'!V12</f>
        <v>72.712688999999997</v>
      </c>
      <c r="W12" s="263">
        <f>+W$3*'PROYECCIÓN GENERACIÓN'!W12</f>
        <v>72.980081999999982</v>
      </c>
      <c r="X12" s="263">
        <f>+X$3*'PROYECCIÓN GENERACIÓN'!X12</f>
        <v>73.247474999999994</v>
      </c>
      <c r="Y12" s="263">
        <f>+Y$3*'PROYECCIÓN GENERACIÓN'!Y12</f>
        <v>73.514867999999993</v>
      </c>
      <c r="Z12" s="263">
        <f>+Z$3*'PROYECCIÓN GENERACIÓN'!Z12</f>
        <v>73.782260999999991</v>
      </c>
      <c r="AA12" s="565">
        <f t="shared" si="1"/>
        <v>62.274059489999992</v>
      </c>
    </row>
    <row r="13" spans="1:27" ht="24.95" customHeight="1">
      <c r="A13" s="351" t="str">
        <f>+Pobl_adoptada!A13</f>
        <v>Ituzaingó</v>
      </c>
      <c r="B13" s="70">
        <f>+Pobl_adoptada!B13</f>
        <v>9</v>
      </c>
      <c r="C13" s="353" t="str">
        <f>+Pobl_adoptada!C13</f>
        <v>Ituzaingó</v>
      </c>
      <c r="D13" s="261"/>
      <c r="E13" s="278"/>
      <c r="F13" s="263"/>
      <c r="G13" s="263">
        <f>+G$3*'PROYECCIÓN GENERACIÓN'!G13</f>
        <v>1.9029834000000001</v>
      </c>
      <c r="H13" s="263">
        <f>+H$3*'PROYECCIÓN GENERACIÓN'!H13</f>
        <v>15.324969599999999</v>
      </c>
      <c r="I13" s="263">
        <f>+I$3*'PROYECCIÓN GENERACIÓN'!I13</f>
        <v>28.925108999999999</v>
      </c>
      <c r="J13" s="263">
        <f>+J$3*'PROYECCIÓN GENERACIÓN'!J13</f>
        <v>48.52854</v>
      </c>
      <c r="K13" s="263">
        <f>+K$3*'PROYECCIÓN GENERACIÓN'!K13</f>
        <v>68.390846999999994</v>
      </c>
      <c r="L13" s="263">
        <f>+L$3*'PROYECCIÓN GENERACIÓN'!L13</f>
        <v>68.844950999999995</v>
      </c>
      <c r="M13" s="263">
        <f>+M$3*'PROYECCIÓN GENERACIÓN'!M13</f>
        <v>69.302267999999998</v>
      </c>
      <c r="N13" s="263">
        <f>+N$3*'PROYECCIÓN GENERACIÓN'!N13</f>
        <v>69.762083999999987</v>
      </c>
      <c r="O13" s="263">
        <f>+O$3*'PROYECCIÓN GENERACIÓN'!O13</f>
        <v>70.225470000000001</v>
      </c>
      <c r="P13" s="263">
        <f>+P$3*'PROYECCIÓN GENERACIÓN'!P13</f>
        <v>70.691711999999995</v>
      </c>
      <c r="Q13" s="263">
        <f>+Q$3*'PROYECCIÓN GENERACIÓN'!Q13</f>
        <v>71.161166999999992</v>
      </c>
      <c r="R13" s="263">
        <f>+R$3*'PROYECCIÓN GENERACIÓN'!R13</f>
        <v>71.633478000000011</v>
      </c>
      <c r="S13" s="263">
        <f>+S$3*'PROYECCIÓN GENERACIÓN'!S13</f>
        <v>72.109002000000004</v>
      </c>
      <c r="T13" s="263">
        <f>+T$3*'PROYECCIÓN GENERACIÓN'!T13</f>
        <v>72.587738999999999</v>
      </c>
      <c r="U13" s="263">
        <f>+U$3*'PROYECCIÓN GENERACIÓN'!U13</f>
        <v>73.069688999999997</v>
      </c>
      <c r="V13" s="263">
        <f>+V$3*'PROYECCIÓN GENERACIÓN'!V13</f>
        <v>73.554851999999997</v>
      </c>
      <c r="W13" s="263">
        <f>+W$3*'PROYECCIÓN GENERACIÓN'!W13</f>
        <v>74.043227999999999</v>
      </c>
      <c r="X13" s="263">
        <f>+X$3*'PROYECCIÓN GENERACIÓN'!X13</f>
        <v>74.53481699999999</v>
      </c>
      <c r="Y13" s="263">
        <f>+Y$3*'PROYECCIÓN GENERACIÓN'!Y13</f>
        <v>75.029618999999997</v>
      </c>
      <c r="Z13" s="263">
        <f>+Z$3*'PROYECCIÓN GENERACIÓN'!Z13</f>
        <v>75.527633999999992</v>
      </c>
      <c r="AA13" s="565">
        <f t="shared" si="1"/>
        <v>62.257507950000004</v>
      </c>
    </row>
    <row r="14" spans="1:27" ht="24.95" customHeight="1">
      <c r="A14" s="351" t="str">
        <f>+Pobl_adoptada!A14</f>
        <v>José C. Paz</v>
      </c>
      <c r="B14" s="70">
        <f>+Pobl_adoptada!B14</f>
        <v>10</v>
      </c>
      <c r="C14" s="353" t="str">
        <f>+Pobl_adoptada!C14</f>
        <v>José C. Paz</v>
      </c>
      <c r="D14" s="261"/>
      <c r="E14" s="278"/>
      <c r="F14" s="263"/>
      <c r="G14" s="263">
        <f>+G$3*'PROYECCIÓN GENERACIÓN'!G14</f>
        <v>4.8483131999999998</v>
      </c>
      <c r="H14" s="263">
        <f>+H$3*'PROYECCIÓN GENERACIÓN'!H14</f>
        <v>39.414012</v>
      </c>
      <c r="I14" s="263">
        <f>+I$3*'PROYECCIÓN GENERACIÓN'!I14</f>
        <v>75.096881999999979</v>
      </c>
      <c r="J14" s="263">
        <f>+J$3*'PROYECCIÓN GENERACIÓN'!J14</f>
        <v>127.18622999999999</v>
      </c>
      <c r="K14" s="263">
        <f>+K$3*'PROYECCIÓN GENERACIÓN'!K14</f>
        <v>180.9412815</v>
      </c>
      <c r="L14" s="263">
        <f>+L$3*'PROYECCIÓN GENERACIÓN'!L14</f>
        <v>183.86872349999999</v>
      </c>
      <c r="M14" s="263">
        <f>+M$3*'PROYECCIÓN GENERACIÓN'!M14</f>
        <v>186.84354149999996</v>
      </c>
      <c r="N14" s="263">
        <f>+N$3*'PROYECCIÓN GENERACIÓN'!N14</f>
        <v>189.86672250000001</v>
      </c>
      <c r="O14" s="263">
        <f>+O$3*'PROYECCIÓN GENERACIÓN'!O14</f>
        <v>192.93826649999997</v>
      </c>
      <c r="P14" s="263">
        <f>+P$3*'PROYECCIÓN GENERACIÓN'!P14</f>
        <v>196.05965399999999</v>
      </c>
      <c r="Q14" s="263">
        <f>+Q$3*'PROYECCIÓN GENERACIÓN'!Q14</f>
        <v>199.23187199999995</v>
      </c>
      <c r="R14" s="263">
        <f>+R$3*'PROYECCIÓN GENERACIÓN'!R14</f>
        <v>202.45492049999999</v>
      </c>
      <c r="S14" s="263">
        <f>+S$3*'PROYECCIÓN GENERACIÓN'!S14</f>
        <v>205.73027999999999</v>
      </c>
      <c r="T14" s="263">
        <f>+T$3*'PROYECCIÓN GENERACIÓN'!T14</f>
        <v>209.05893749999998</v>
      </c>
      <c r="U14" s="263">
        <f>+U$3*'PROYECCIÓN GENERACIÓN'!U14</f>
        <v>212.44089299999999</v>
      </c>
      <c r="V14" s="263">
        <f>+V$3*'PROYECCIÓN GENERACIÓN'!V14</f>
        <v>215.87812049999999</v>
      </c>
      <c r="W14" s="263">
        <f>+W$3*'PROYECCIÓN GENERACIÓN'!W14</f>
        <v>219.37061999999997</v>
      </c>
      <c r="X14" s="263">
        <f>+X$3*'PROYECCIÓN GENERACIÓN'!X14</f>
        <v>222.91987199999997</v>
      </c>
      <c r="Y14" s="263">
        <f>+Y$3*'PROYECCIÓN GENERACIÓN'!Y14</f>
        <v>226.52636999999996</v>
      </c>
      <c r="Z14" s="263">
        <f>+Z$3*'PROYECCIÓN GENERACIÓN'!Z14</f>
        <v>230.19110099999997</v>
      </c>
      <c r="AA14" s="565">
        <f t="shared" si="1"/>
        <v>176.04333065999998</v>
      </c>
    </row>
    <row r="15" spans="1:27" ht="24.95" customHeight="1">
      <c r="A15" s="351" t="str">
        <f>+Pobl_adoptada!A15</f>
        <v>La Matanza</v>
      </c>
      <c r="B15" s="70">
        <f>+Pobl_adoptada!B15</f>
        <v>11</v>
      </c>
      <c r="C15" s="353" t="str">
        <f>+Pobl_adoptada!C15</f>
        <v>La Matanza</v>
      </c>
      <c r="D15" s="261"/>
      <c r="E15" s="278"/>
      <c r="F15" s="263"/>
      <c r="G15" s="263">
        <f>+G$3*'PROYECCIÓN GENERACIÓN'!G15</f>
        <v>31.6926123</v>
      </c>
      <c r="H15" s="263">
        <f>+H$3*'PROYECCIÓN GENERACIÓN'!H15</f>
        <v>257.38997279999995</v>
      </c>
      <c r="I15" s="263">
        <f>+I$3*'PROYECCIÓN GENERACIÓN'!I15</f>
        <v>489.82300199999992</v>
      </c>
      <c r="J15" s="263">
        <f>+J$3*'PROYECCIÓN GENERACIÓN'!J15</f>
        <v>828.39967499999989</v>
      </c>
      <c r="K15" s="263">
        <f>+K$3*'PROYECCIÓN GENERACIÓN'!K15</f>
        <v>1176.5987519999999</v>
      </c>
      <c r="L15" s="263">
        <f>+L$3*'PROYECCIÓN GENERACIÓN'!L15</f>
        <v>1193.4379589999999</v>
      </c>
      <c r="M15" s="263">
        <f>+M$3*'PROYECCIÓN GENERACIÓN'!M15</f>
        <v>1210.2771659999999</v>
      </c>
      <c r="N15" s="263">
        <f>+N$3*'PROYECCIÓN GENERACIÓN'!N15</f>
        <v>1227.1168665</v>
      </c>
      <c r="O15" s="263">
        <f>+O$3*'PROYECCIÓN GENERACIÓN'!O15</f>
        <v>1243.9560735</v>
      </c>
      <c r="P15" s="263">
        <f>+P$3*'PROYECCIÓN GENERACIÓN'!P15</f>
        <v>1260.7952805</v>
      </c>
      <c r="Q15" s="263">
        <f>+Q$3*'PROYECCIÓN GENERACIÓN'!Q15</f>
        <v>1277.6344875</v>
      </c>
      <c r="R15" s="263">
        <f>+R$3*'PROYECCIÓN GENERACIÓN'!R15</f>
        <v>1294.4736945</v>
      </c>
      <c r="S15" s="263">
        <f>+S$3*'PROYECCIÓN GENERACIÓN'!S15</f>
        <v>1311.3129014999997</v>
      </c>
      <c r="T15" s="263">
        <f>+T$3*'PROYECCIÓN GENERACIÓN'!T15</f>
        <v>1328.1526019999997</v>
      </c>
      <c r="U15" s="263">
        <f>+U$3*'PROYECCIÓN GENERACIÓN'!U15</f>
        <v>1344.9918089999999</v>
      </c>
      <c r="V15" s="263">
        <f>+V$3*'PROYECCIÓN GENERACIÓN'!V15</f>
        <v>1361.8310159999999</v>
      </c>
      <c r="W15" s="263">
        <f>+W$3*'PROYECCIÓN GENERACIÓN'!W15</f>
        <v>1378.6702229999999</v>
      </c>
      <c r="X15" s="263">
        <f>+X$3*'PROYECCIÓN GENERACIÓN'!X15</f>
        <v>1395.5094299999998</v>
      </c>
      <c r="Y15" s="263">
        <f>+Y$3*'PROYECCIÓN GENERACIÓN'!Y15</f>
        <v>1412.3486369999998</v>
      </c>
      <c r="Z15" s="263">
        <f>+Z$3*'PROYECCIÓN GENERACIÓN'!Z15</f>
        <v>1429.1883375</v>
      </c>
      <c r="AA15" s="565">
        <f t="shared" si="1"/>
        <v>1122.6800248799998</v>
      </c>
    </row>
    <row r="16" spans="1:27" ht="24.95" customHeight="1">
      <c r="A16" s="351" t="str">
        <f>+Pobl_adoptada!A16</f>
        <v>Lanús</v>
      </c>
      <c r="B16" s="70">
        <f>+Pobl_adoptada!B16</f>
        <v>12</v>
      </c>
      <c r="C16" s="353" t="str">
        <f>+Pobl_adoptada!C16</f>
        <v>Lanús</v>
      </c>
      <c r="D16" s="261"/>
      <c r="E16" s="278"/>
      <c r="F16" s="263"/>
      <c r="G16" s="263">
        <f>+G$3*'PROYECCIÓN GENERACIÓN'!G16</f>
        <v>6.3805883999999997</v>
      </c>
      <c r="H16" s="263">
        <f>+H$3*'PROYECCIÓN GENERACIÓN'!H16</f>
        <v>50.997556799999991</v>
      </c>
      <c r="I16" s="263">
        <f>+I$3*'PROYECCIÓN GENERACIÓN'!I16</f>
        <v>95.53201199999998</v>
      </c>
      <c r="J16" s="263">
        <f>+J$3*'PROYECCIÓN GENERACIÓN'!J16</f>
        <v>159.07302749999999</v>
      </c>
      <c r="K16" s="263">
        <f>+K$3*'PROYECCIÓN GENERACIÓN'!K16</f>
        <v>222.49644900000001</v>
      </c>
      <c r="L16" s="263">
        <f>+L$3*'PROYECCIÓN GENERACIÓN'!L16</f>
        <v>222.29115299999998</v>
      </c>
      <c r="M16" s="263">
        <f>+M$3*'PROYECCIÓN GENERACIÓN'!M16</f>
        <v>222.085857</v>
      </c>
      <c r="N16" s="263">
        <f>+N$3*'PROYECCIÓN GENERACIÓN'!N16</f>
        <v>221.88056099999997</v>
      </c>
      <c r="O16" s="263">
        <f>+O$3*'PROYECCIÓN GENERACIÓN'!O16</f>
        <v>221.67575849999997</v>
      </c>
      <c r="P16" s="263">
        <f>+P$3*'PROYECCIÓN GENERACIÓN'!P16</f>
        <v>221.47095599999997</v>
      </c>
      <c r="Q16" s="263">
        <f>+Q$3*'PROYECCIÓN GENERACIÓN'!Q16</f>
        <v>221.26664699999995</v>
      </c>
      <c r="R16" s="263">
        <f>+R$3*'PROYECCIÓN GENERACIÓN'!R16</f>
        <v>221.06233799999998</v>
      </c>
      <c r="S16" s="263">
        <f>+S$3*'PROYECCIÓN GENERACIÓN'!S16</f>
        <v>220.85802899999996</v>
      </c>
      <c r="T16" s="263">
        <f>+T$3*'PROYECCIÓN GENERACIÓN'!T16</f>
        <v>220.6542135</v>
      </c>
      <c r="U16" s="263">
        <f>+U$3*'PROYECCIÓN GENERACIÓN'!U16</f>
        <v>220.45039799999995</v>
      </c>
      <c r="V16" s="263">
        <f>+V$3*'PROYECCIÓN GENERACIÓN'!V16</f>
        <v>220.24658249999999</v>
      </c>
      <c r="W16" s="263">
        <f>+W$3*'PROYECCIÓN GENERACIÓN'!W16</f>
        <v>220.04326049999995</v>
      </c>
      <c r="X16" s="263">
        <f>+X$3*'PROYECCIÓN GENERACIÓN'!X16</f>
        <v>219.84043200000002</v>
      </c>
      <c r="Y16" s="263">
        <f>+Y$3*'PROYECCIÓN GENERACIÓN'!Y16</f>
        <v>219.63710999999998</v>
      </c>
      <c r="Z16" s="263">
        <f>+Z$3*'PROYECCIÓN GENERACIÓN'!Z16</f>
        <v>219.43428149999997</v>
      </c>
      <c r="AA16" s="565">
        <f t="shared" si="1"/>
        <v>192.36886055999997</v>
      </c>
    </row>
    <row r="17" spans="1:27" ht="24.95" customHeight="1">
      <c r="A17" s="351" t="str">
        <f>+Pobl_adoptada!A17</f>
        <v>Lomas de Zamora</v>
      </c>
      <c r="B17" s="70">
        <f>+Pobl_adoptada!B17</f>
        <v>13</v>
      </c>
      <c r="C17" s="353" t="str">
        <f>+Pobl_adoptada!C17</f>
        <v>Lomas de Zamora</v>
      </c>
      <c r="D17" s="261"/>
      <c r="E17" s="278"/>
      <c r="F17" s="263"/>
      <c r="G17" s="263">
        <f>+G$3*'PROYECCIÓN GENERACIÓN'!G17</f>
        <v>9.7701014999999991</v>
      </c>
      <c r="H17" s="263">
        <f>+H$3*'PROYECCIÓN GENERACIÓN'!H17</f>
        <v>78.77906879999999</v>
      </c>
      <c r="I17" s="263">
        <f>+I$3*'PROYECCIÓN GENERACIÓN'!I17</f>
        <v>148.88880899999998</v>
      </c>
      <c r="J17" s="263">
        <f>+J$3*'PROYECCIÓN GENERACIÓN'!J17</f>
        <v>250.14351749999997</v>
      </c>
      <c r="K17" s="263">
        <f>+K$3*'PROYECCIÓN GENERACIÓN'!K17</f>
        <v>353.04002999999994</v>
      </c>
      <c r="L17" s="263">
        <f>+L$3*'PROYECCIÓN GENERACIÓN'!L17</f>
        <v>355.92552449999999</v>
      </c>
      <c r="M17" s="263">
        <f>+M$3*'PROYECCIÓN GENERACIÓN'!M17</f>
        <v>358.85839499999997</v>
      </c>
      <c r="N17" s="263">
        <f>+N$3*'PROYECCIÓN GENERACIÓN'!N17</f>
        <v>361.83864149999994</v>
      </c>
      <c r="O17" s="263">
        <f>+O$3*'PROYECCIÓN GENERACIÓN'!O17</f>
        <v>364.8677444999999</v>
      </c>
      <c r="P17" s="263">
        <f>+P$3*'PROYECCIÓN GENERACIÓN'!P17</f>
        <v>367.94619749999993</v>
      </c>
      <c r="Q17" s="263">
        <f>+Q$3*'PROYECCIÓN GENERACIÓN'!Q17</f>
        <v>371.07498749999996</v>
      </c>
      <c r="R17" s="263">
        <f>+R$3*'PROYECCIÓN GENERACIÓN'!R17</f>
        <v>374.25510150000002</v>
      </c>
      <c r="S17" s="263">
        <f>+S$3*'PROYECCIÓN GENERACIÓN'!S17</f>
        <v>377.48653949999999</v>
      </c>
      <c r="T17" s="263">
        <f>+T$3*'PROYECCIÓN GENERACIÓN'!T17</f>
        <v>380.770782</v>
      </c>
      <c r="U17" s="263">
        <f>+U$3*'PROYECCIÓN GENERACIÓN'!U17</f>
        <v>384.10881599999999</v>
      </c>
      <c r="V17" s="263">
        <f>+V$3*'PROYECCIÓN GENERACIÓN'!V17</f>
        <v>387.50113499999998</v>
      </c>
      <c r="W17" s="263">
        <f>+W$3*'PROYECCIÓN GENERACIÓN'!W17</f>
        <v>390.94921949999997</v>
      </c>
      <c r="X17" s="263">
        <f>+X$3*'PROYECCIÓN GENERACIÓN'!X17</f>
        <v>394.45306949999997</v>
      </c>
      <c r="Y17" s="263">
        <f>+Y$3*'PROYECCIÓN GENERACIÓN'!Y17</f>
        <v>398.01416549999993</v>
      </c>
      <c r="Z17" s="263">
        <f>+Z$3*'PROYECCIÓN GENERACIÓN'!Z17</f>
        <v>401.63349450000004</v>
      </c>
      <c r="AA17" s="565">
        <f t="shared" si="1"/>
        <v>325.51526701499995</v>
      </c>
    </row>
    <row r="18" spans="1:27" ht="24.95" customHeight="1">
      <c r="A18" s="351" t="str">
        <f>+Pobl_adoptada!A18</f>
        <v>Malvinas Argentinas</v>
      </c>
      <c r="B18" s="70">
        <f>+Pobl_adoptada!B18</f>
        <v>14</v>
      </c>
      <c r="C18" s="353" t="str">
        <f>+Pobl_adoptada!C18</f>
        <v>Malvinas Argentinas</v>
      </c>
      <c r="D18" s="261"/>
      <c r="E18" s="278"/>
      <c r="F18" s="263"/>
      <c r="G18" s="263">
        <f>+G$3*'PROYECCIÓN GENERACIÓN'!G18</f>
        <v>5.4633129</v>
      </c>
      <c r="H18" s="263">
        <f>+H$3*'PROYECCIÓN GENERACIÓN'!H18</f>
        <v>44.211734399999997</v>
      </c>
      <c r="I18" s="263">
        <f>+I$3*'PROYECCIÓN GENERACIÓN'!I18</f>
        <v>83.855519999999999</v>
      </c>
      <c r="J18" s="263">
        <f>+J$3*'PROYECCIÓN GENERACIÓN'!J18</f>
        <v>141.3747075</v>
      </c>
      <c r="K18" s="263">
        <f>+K$3*'PROYECCIÓN GENERACIÓN'!K18</f>
        <v>200.21295000000001</v>
      </c>
      <c r="L18" s="263">
        <f>+L$3*'PROYECCIÓN GENERACIÓN'!L18</f>
        <v>202.52795849999998</v>
      </c>
      <c r="M18" s="263">
        <f>+M$3*'PROYECCIÓN GENERACIÓN'!M18</f>
        <v>204.86912249999997</v>
      </c>
      <c r="N18" s="263">
        <f>+N$3*'PROYECCIÓN GENERACIÓN'!N18</f>
        <v>207.23792249999997</v>
      </c>
      <c r="O18" s="263">
        <f>+O$3*'PROYECCIÓN GENERACIÓN'!O18</f>
        <v>209.63386499999999</v>
      </c>
      <c r="P18" s="263">
        <f>+P$3*'PROYECCIÓN GENERACIÓN'!P18</f>
        <v>212.05744349999995</v>
      </c>
      <c r="Q18" s="263">
        <f>+Q$3*'PROYECCIÓN GENERACIÓN'!Q18</f>
        <v>214.50915149999994</v>
      </c>
      <c r="R18" s="263">
        <f>+R$3*'PROYECCIÓN GENERACIÓN'!R18</f>
        <v>216.98898899999998</v>
      </c>
      <c r="S18" s="263">
        <f>+S$3*'PROYECCIÓN GENERACIÓN'!S18</f>
        <v>219.49794299999999</v>
      </c>
      <c r="T18" s="263">
        <f>+T$3*'PROYECCIÓN GENERACIÓN'!T18</f>
        <v>222.03551999999999</v>
      </c>
      <c r="U18" s="263">
        <f>+U$3*'PROYECCIÓN GENERACIÓN'!U18</f>
        <v>224.60221349999998</v>
      </c>
      <c r="V18" s="263">
        <f>+V$3*'PROYECCIÓN GENERACIÓN'!V18</f>
        <v>227.19901049999996</v>
      </c>
      <c r="W18" s="263">
        <f>+W$3*'PROYECCIÓN GENERACIÓN'!W18</f>
        <v>229.82591099999996</v>
      </c>
      <c r="X18" s="263">
        <f>+X$3*'PROYECCIÓN GENERACIÓN'!X18</f>
        <v>232.48291499999993</v>
      </c>
      <c r="Y18" s="263">
        <f>+Y$3*'PROYECCIÓN GENERACIÓN'!Y18</f>
        <v>235.17051599999996</v>
      </c>
      <c r="Z18" s="263">
        <f>+Z$3*'PROYECCIÓN GENERACIÓN'!Z18</f>
        <v>237.88970099999997</v>
      </c>
      <c r="AA18" s="565">
        <f t="shared" si="1"/>
        <v>188.58232036499999</v>
      </c>
    </row>
    <row r="19" spans="1:27" ht="24.95" customHeight="1">
      <c r="A19" s="351" t="str">
        <f>+Pobl_adoptada!A19</f>
        <v>Merlo</v>
      </c>
      <c r="B19" s="70">
        <f>+Pobl_adoptada!B19</f>
        <v>15</v>
      </c>
      <c r="C19" s="353" t="str">
        <f>+Pobl_adoptada!C19</f>
        <v>Merlo</v>
      </c>
      <c r="D19" s="261"/>
      <c r="E19" s="278"/>
      <c r="F19" s="263"/>
      <c r="G19" s="263">
        <f>+G$3*'PROYECCIÓN GENERACIÓN'!G19</f>
        <v>9.1269581999999989</v>
      </c>
      <c r="H19" s="263">
        <f>+H$3*'PROYECCIÓN GENERACIÓN'!H19</f>
        <v>73.838880000000003</v>
      </c>
      <c r="I19" s="263">
        <f>+I$3*'PROYECCIÓN GENERACIÓN'!I19</f>
        <v>139.99142699999999</v>
      </c>
      <c r="J19" s="263">
        <f>+J$3*'PROYECCIÓN GENERACIÓN'!J19</f>
        <v>235.89123749999999</v>
      </c>
      <c r="K19" s="263">
        <f>+K$3*'PROYECCIÓN GENERACIÓN'!K19</f>
        <v>333.84929549999993</v>
      </c>
      <c r="L19" s="263">
        <f>+L$3*'PROYECCIÓN GENERACIÓN'!L19</f>
        <v>337.45085849999998</v>
      </c>
      <c r="M19" s="263">
        <f>+M$3*'PROYECCIÓN GENERACIÓN'!M19</f>
        <v>341.05242149999998</v>
      </c>
      <c r="N19" s="263">
        <f>+N$3*'PROYECCIÓN GENERACIÓN'!N19</f>
        <v>344.65349099999992</v>
      </c>
      <c r="O19" s="263">
        <f>+O$3*'PROYECCIÓN GENERACIÓN'!O19</f>
        <v>348.25505399999997</v>
      </c>
      <c r="P19" s="263">
        <f>+P$3*'PROYECCIÓN GENERACIÓN'!P19</f>
        <v>351.85661699999997</v>
      </c>
      <c r="Q19" s="263">
        <f>+Q$3*'PROYECCIÓN GENERACIÓN'!Q19</f>
        <v>355.45768649999997</v>
      </c>
      <c r="R19" s="263">
        <f>+R$3*'PROYECCIÓN GENERACIÓN'!R19</f>
        <v>359.05924949999996</v>
      </c>
      <c r="S19" s="263">
        <f>+S$3*'PROYECCIÓN GENERACIÓN'!S19</f>
        <v>362.66081249999996</v>
      </c>
      <c r="T19" s="263">
        <f>+T$3*'PROYECCIÓN GENERACIÓN'!T19</f>
        <v>366.26237549999996</v>
      </c>
      <c r="U19" s="263">
        <f>+U$3*'PROYECCIÓN GENERACIÓN'!U19</f>
        <v>369.86344499999996</v>
      </c>
      <c r="V19" s="263">
        <f>+V$3*'PROYECCIÓN GENERACIÓN'!V19</f>
        <v>373.46500799999995</v>
      </c>
      <c r="W19" s="263">
        <f>+W$3*'PROYECCIÓN GENERACIÓN'!W19</f>
        <v>377.06657099999995</v>
      </c>
      <c r="X19" s="263">
        <f>+X$3*'PROYECCIÓN GENERACIÓN'!X19</f>
        <v>380.66764049999989</v>
      </c>
      <c r="Y19" s="263">
        <f>+Y$3*'PROYECCIÓN GENERACIÓN'!Y19</f>
        <v>384.2692035</v>
      </c>
      <c r="Z19" s="263">
        <f>+Z$3*'PROYECCIÓN GENERACIÓN'!Z19</f>
        <v>387.87076649999995</v>
      </c>
      <c r="AA19" s="565">
        <f t="shared" si="1"/>
        <v>311.630449935</v>
      </c>
    </row>
    <row r="20" spans="1:27" ht="24.95" customHeight="1">
      <c r="A20" s="351" t="str">
        <f>+Pobl_adoptada!A20</f>
        <v>Moreno</v>
      </c>
      <c r="B20" s="70">
        <f>+Pobl_adoptada!B20</f>
        <v>16</v>
      </c>
      <c r="C20" s="353" t="str">
        <f>+Pobl_adoptada!C20</f>
        <v>Moreno</v>
      </c>
      <c r="D20" s="261"/>
      <c r="E20" s="278"/>
      <c r="F20" s="263"/>
      <c r="G20" s="263">
        <f>+G$3*'PROYECCIÓN GENERACIÓN'!G20</f>
        <v>8.7315660000000008</v>
      </c>
      <c r="H20" s="263">
        <f>+H$3*'PROYECCIÓN GENERACIÓN'!H20</f>
        <v>71.235794400000003</v>
      </c>
      <c r="I20" s="263">
        <f>+I$3*'PROYECCIÓN GENERACIÓN'!I20</f>
        <v>136.21192199999999</v>
      </c>
      <c r="J20" s="263">
        <f>+J$3*'PROYECCIÓN GENERACIÓN'!J20</f>
        <v>231.51494999999997</v>
      </c>
      <c r="K20" s="263">
        <f>+K$3*'PROYECCIÓN GENERACIÓN'!K20</f>
        <v>330.53889749999996</v>
      </c>
      <c r="L20" s="263">
        <f>+L$3*'PROYECCIÓN GENERACIÓN'!L20</f>
        <v>337.08418799999998</v>
      </c>
      <c r="M20" s="263">
        <f>+M$3*'PROYECCIÓN GENERACIÓN'!M20</f>
        <v>343.75877549999996</v>
      </c>
      <c r="N20" s="263">
        <f>+N$3*'PROYECCIÓN GENERACIÓN'!N20</f>
        <v>350.56611449999997</v>
      </c>
      <c r="O20" s="263">
        <f>+O$3*'PROYECCIÓN GENERACIÓN'!O20</f>
        <v>357.50768549999998</v>
      </c>
      <c r="P20" s="263">
        <f>+P$3*'PROYECCIÓN GENERACIÓN'!P20</f>
        <v>364.58694299999996</v>
      </c>
      <c r="Q20" s="263">
        <f>+Q$3*'PROYECCIÓN GENERACIÓN'!Q20</f>
        <v>371.80635449999994</v>
      </c>
      <c r="R20" s="263">
        <f>+R$3*'PROYECCIÓN GENERACIÓN'!R20</f>
        <v>379.16838749999999</v>
      </c>
      <c r="S20" s="263">
        <f>+S$3*'PROYECCIÓN GENERACIÓN'!S20</f>
        <v>386.67649649999998</v>
      </c>
      <c r="T20" s="263">
        <f>+T$3*'PROYECCIÓN GENERACIÓN'!T20</f>
        <v>394.33314899999993</v>
      </c>
      <c r="U20" s="263">
        <f>+U$3*'PROYECCIÓN GENERACIÓN'!U20</f>
        <v>402.14179949999993</v>
      </c>
      <c r="V20" s="263">
        <f>+V$3*'PROYECCIÓN GENERACIÓN'!V20</f>
        <v>410.10442199999994</v>
      </c>
      <c r="W20" s="263">
        <f>+W$3*'PROYECCIÓN GENERACIÓN'!W20</f>
        <v>418.22545799999995</v>
      </c>
      <c r="X20" s="263">
        <f>+X$3*'PROYECCIÓN GENERACIÓN'!X20</f>
        <v>426.50688149999996</v>
      </c>
      <c r="Y20" s="263">
        <f>+Y$3*'PROYECCIÓN GENERACIÓN'!Y20</f>
        <v>434.95214699999991</v>
      </c>
      <c r="Z20" s="263">
        <f>+Z$3*'PROYECCIÓN GENERACIÓN'!Z20</f>
        <v>443.56470899999994</v>
      </c>
      <c r="AA20" s="565">
        <f t="shared" si="1"/>
        <v>329.96083204500002</v>
      </c>
    </row>
    <row r="21" spans="1:27" ht="24.95" customHeight="1">
      <c r="A21" s="351" t="str">
        <f>+Pobl_adoptada!A21</f>
        <v>Morón</v>
      </c>
      <c r="B21" s="70">
        <f>+Pobl_adoptada!B21</f>
        <v>17</v>
      </c>
      <c r="C21" s="353" t="str">
        <f>+Pobl_adoptada!C21</f>
        <v>Morón</v>
      </c>
      <c r="D21" s="261"/>
      <c r="E21" s="278"/>
      <c r="F21" s="263"/>
      <c r="G21" s="263">
        <f>+G$3*'PROYECCIÓN GENERACIÓN'!G21</f>
        <v>5.0359419000000001</v>
      </c>
      <c r="H21" s="263">
        <f>+H$3*'PROYECCIÓN GENERACIÓN'!H21</f>
        <v>40.578333600000001</v>
      </c>
      <c r="I21" s="263">
        <f>+I$3*'PROYECCIÓN GENERACIÓN'!I21</f>
        <v>76.638505499999994</v>
      </c>
      <c r="J21" s="263">
        <f>+J$3*'PROYECCIÓN GENERACIÓN'!J21</f>
        <v>128.66954999999999</v>
      </c>
      <c r="K21" s="263">
        <f>+K$3*'PROYECCIÓN GENERACIÓN'!K21</f>
        <v>181.47278099999997</v>
      </c>
      <c r="L21" s="263">
        <f>+L$3*'PROYECCIÓN GENERACIÓN'!L21</f>
        <v>182.8303995</v>
      </c>
      <c r="M21" s="263">
        <f>+M$3*'PROYECCIÓN GENERACIÓN'!M21</f>
        <v>184.209732</v>
      </c>
      <c r="N21" s="263">
        <f>+N$3*'PROYECCIÓN GENERACIÓN'!N21</f>
        <v>185.61176549999996</v>
      </c>
      <c r="O21" s="263">
        <f>+O$3*'PROYECCIÓN GENERACIÓN'!O21</f>
        <v>187.03699349999997</v>
      </c>
      <c r="P21" s="263">
        <f>+P$3*'PROYECCIÓN GENERACIÓN'!P21</f>
        <v>188.48492249999995</v>
      </c>
      <c r="Q21" s="263">
        <f>+Q$3*'PROYECCIÓN GENERACIÓN'!Q21</f>
        <v>189.95653949999999</v>
      </c>
      <c r="R21" s="263">
        <f>+R$3*'PROYECCIÓN GENERACIÓN'!R21</f>
        <v>191.45233799999997</v>
      </c>
      <c r="S21" s="263">
        <f>+S$3*'PROYECCIÓN GENERACIÓN'!S21</f>
        <v>192.97281150000001</v>
      </c>
      <c r="T21" s="263">
        <f>+T$3*'PROYECCIÓN GENERACIÓN'!T21</f>
        <v>194.51746649999998</v>
      </c>
      <c r="U21" s="263">
        <f>+U$3*'PROYECCIÓN GENERACIÓN'!U21</f>
        <v>196.08778349999994</v>
      </c>
      <c r="V21" s="263">
        <f>+V$3*'PROYECCIÓN GENERACIÓN'!V21</f>
        <v>197.68376249999997</v>
      </c>
      <c r="W21" s="263">
        <f>+W$3*'PROYECCIÓN GENERACIÓN'!W21</f>
        <v>199.30540350000001</v>
      </c>
      <c r="X21" s="263">
        <f>+X$3*'PROYECCIÓN GENERACIÓN'!X21</f>
        <v>200.95369349999996</v>
      </c>
      <c r="Y21" s="263">
        <f>+Y$3*'PROYECCIÓN GENERACIÓN'!Y21</f>
        <v>202.62863249999998</v>
      </c>
      <c r="Z21" s="263">
        <f>+Z$3*'PROYECCIÓN GENERACIÓN'!Z21</f>
        <v>204.33120749999998</v>
      </c>
      <c r="AA21" s="565">
        <f t="shared" si="1"/>
        <v>166.522928175</v>
      </c>
    </row>
    <row r="22" spans="1:27" ht="24.95" customHeight="1">
      <c r="A22" s="351" t="str">
        <f>+Pobl_adoptada!A22</f>
        <v>Quilmes</v>
      </c>
      <c r="B22" s="70">
        <f>+Pobl_adoptada!B22</f>
        <v>18</v>
      </c>
      <c r="C22" s="353" t="str">
        <f>+Pobl_adoptada!C22</f>
        <v>Quilmes</v>
      </c>
      <c r="D22" s="261"/>
      <c r="E22" s="278"/>
      <c r="F22" s="263"/>
      <c r="G22" s="263">
        <f>+G$3*'PROYECCIÓN GENERACIÓN'!G22</f>
        <v>9.2271104999999984</v>
      </c>
      <c r="H22" s="263">
        <f>+H$3*'PROYECCIÓN GENERACIÓN'!H22</f>
        <v>74.352345600000007</v>
      </c>
      <c r="I22" s="263">
        <f>+I$3*'PROYECCIÓN GENERACIÓN'!I22</f>
        <v>140.42182949999997</v>
      </c>
      <c r="J22" s="263">
        <f>+J$3*'PROYECCIÓN GENERACIÓN'!J22</f>
        <v>235.73402249999998</v>
      </c>
      <c r="K22" s="263">
        <f>+K$3*'PROYECCIÓN GENERACIÓN'!K22</f>
        <v>332.42159999999996</v>
      </c>
      <c r="L22" s="263">
        <f>+L$3*'PROYECCIÓN GENERACIÓN'!L22</f>
        <v>334.83284099999992</v>
      </c>
      <c r="M22" s="263">
        <f>+M$3*'PROYECCIÓN GENERACIÓN'!M22</f>
        <v>337.26135449999998</v>
      </c>
      <c r="N22" s="263">
        <f>+N$3*'PROYECCIÓN GENERACIÓN'!N22</f>
        <v>339.70763399999998</v>
      </c>
      <c r="O22" s="263">
        <f>+O$3*'PROYECCIÓN GENERACIÓN'!O22</f>
        <v>342.17167949999998</v>
      </c>
      <c r="P22" s="263">
        <f>+P$3*'PROYECCIÓN GENERACIÓN'!P22</f>
        <v>344.65398449999998</v>
      </c>
      <c r="Q22" s="263">
        <f>+Q$3*'PROYECCIÓN GENERACIÓN'!Q22</f>
        <v>347.15356199999997</v>
      </c>
      <c r="R22" s="263">
        <f>+R$3*'PROYECCIÓN GENERACIÓN'!R22</f>
        <v>349.67189249999996</v>
      </c>
      <c r="S22" s="263">
        <f>+S$3*'PROYECCIÓN GENERACIÓN'!S22</f>
        <v>352.20798899999994</v>
      </c>
      <c r="T22" s="263">
        <f>+T$3*'PROYECCIÓN GENERACIÓN'!T22</f>
        <v>354.76283849999999</v>
      </c>
      <c r="U22" s="263">
        <f>+U$3*'PROYECCIÓN GENERACIÓN'!U22</f>
        <v>357.33644099999998</v>
      </c>
      <c r="V22" s="263">
        <f>+V$3*'PROYECCIÓN GENERACIÓN'!V22</f>
        <v>359.92830299999991</v>
      </c>
      <c r="W22" s="263">
        <f>+W$3*'PROYECCIÓN GENERACIÓN'!W22</f>
        <v>362.53891799999997</v>
      </c>
      <c r="X22" s="263">
        <f>+X$3*'PROYECCIÓN GENERACIÓN'!X22</f>
        <v>365.16877949999997</v>
      </c>
      <c r="Y22" s="263">
        <f>+Y$3*'PROYECCIÓN GENERACIÓN'!Y22</f>
        <v>367.81739399999992</v>
      </c>
      <c r="Z22" s="263">
        <f>+Z$3*'PROYECCIÓN GENERACIÓN'!Z22</f>
        <v>370.48525500000005</v>
      </c>
      <c r="AA22" s="565">
        <f t="shared" si="1"/>
        <v>303.89278870499993</v>
      </c>
    </row>
    <row r="23" spans="1:27" ht="24.95" customHeight="1">
      <c r="A23" s="351" t="str">
        <f>+Pobl_adoptada!A23</f>
        <v>San Fernando</v>
      </c>
      <c r="B23" s="70">
        <f>+Pobl_adoptada!B23</f>
        <v>19</v>
      </c>
      <c r="C23" s="353" t="str">
        <f>+Pobl_adoptada!C23</f>
        <v>San Fernando</v>
      </c>
      <c r="D23" s="261"/>
      <c r="E23" s="278"/>
      <c r="F23" s="263"/>
      <c r="G23" s="263">
        <f>+G$3*'PROYECCIÓN GENERACIÓN'!G23</f>
        <v>1.7879172000000001</v>
      </c>
      <c r="H23" s="263">
        <f>+H$3*'PROYECCIÓN GENERACIÓN'!H23</f>
        <v>14.385427199999999</v>
      </c>
      <c r="I23" s="263">
        <f>+I$3*'PROYECCIÓN GENERACIÓN'!I23</f>
        <v>27.126593999999997</v>
      </c>
      <c r="J23" s="263">
        <f>+J$3*'PROYECCIÓN GENERACIÓN'!J23</f>
        <v>45.467520000000007</v>
      </c>
      <c r="K23" s="263">
        <f>+K$3*'PROYECCIÓN GENERACIÓN'!K23</f>
        <v>64.013670000000005</v>
      </c>
      <c r="L23" s="263">
        <f>+L$3*'PROYECCIÓN GENERACIÓN'!L23</f>
        <v>64.372455000000002</v>
      </c>
      <c r="M23" s="263">
        <f>+M$3*'PROYECCIÓN GENERACIÓN'!M23</f>
        <v>64.731597000000008</v>
      </c>
      <c r="N23" s="263">
        <f>+N$3*'PROYECCIÓN GENERACIÓN'!N23</f>
        <v>65.090738999999999</v>
      </c>
      <c r="O23" s="263">
        <f>+O$3*'PROYECCIÓN GENERACIÓN'!O23</f>
        <v>65.449881000000005</v>
      </c>
      <c r="P23" s="263">
        <f>+P$3*'PROYECCIÓN GENERACIÓN'!P23</f>
        <v>65.809022999999996</v>
      </c>
      <c r="Q23" s="263">
        <f>+Q$3*'PROYECCIÓN GENERACIÓN'!Q23</f>
        <v>66.168164999999988</v>
      </c>
      <c r="R23" s="263">
        <f>+R$3*'PROYECCIÓN GENERACIÓN'!R23</f>
        <v>66.527306999999993</v>
      </c>
      <c r="S23" s="263">
        <f>+S$3*'PROYECCIÓN GENERACIÓN'!S23</f>
        <v>66.886448999999999</v>
      </c>
      <c r="T23" s="263">
        <f>+T$3*'PROYECCIÓN GENERACIÓN'!T23</f>
        <v>67.245591000000005</v>
      </c>
      <c r="U23" s="263">
        <f>+U$3*'PROYECCIÓN GENERACIÓN'!U23</f>
        <v>67.604376000000002</v>
      </c>
      <c r="V23" s="263">
        <f>+V$3*'PROYECCIÓN GENERACIÓN'!V23</f>
        <v>67.963518000000008</v>
      </c>
      <c r="W23" s="263">
        <f>+W$3*'PROYECCIÓN GENERACIÓN'!W23</f>
        <v>68.322659999999999</v>
      </c>
      <c r="X23" s="263">
        <f>+X$3*'PROYECCIÓN GENERACIÓN'!X23</f>
        <v>68.68180199999999</v>
      </c>
      <c r="Y23" s="263">
        <f>+Y$3*'PROYECCIÓN GENERACIÓN'!Y23</f>
        <v>69.040943999999996</v>
      </c>
      <c r="Z23" s="263">
        <f>+Z$3*'PROYECCIÓN GENERACIÓN'!Z23</f>
        <v>69.400085999999988</v>
      </c>
      <c r="AA23" s="565">
        <f t="shared" si="1"/>
        <v>57.803786070000001</v>
      </c>
    </row>
    <row r="24" spans="1:27" ht="24.95" customHeight="1">
      <c r="A24" s="351" t="str">
        <f>+Pobl_adoptada!A24</f>
        <v>San Isidro</v>
      </c>
      <c r="B24" s="70">
        <f>+Pobl_adoptada!B24</f>
        <v>20</v>
      </c>
      <c r="C24" s="353" t="str">
        <f>+Pobl_adoptada!C24</f>
        <v>San Isidro</v>
      </c>
      <c r="D24" s="261"/>
      <c r="E24" s="278"/>
      <c r="F24" s="263"/>
      <c r="G24" s="263">
        <f>+G$3*'PROYECCIÓN GENERACIÓN'!G24</f>
        <v>3.0303996</v>
      </c>
      <c r="H24" s="263">
        <f>+H$3*'PROYECCIÓN GENERACIÓN'!H24</f>
        <v>24.267840000000003</v>
      </c>
      <c r="I24" s="263">
        <f>+I$3*'PROYECCIÓN GENERACIÓN'!I24</f>
        <v>45.549017999999997</v>
      </c>
      <c r="J24" s="263">
        <f>+J$3*'PROYECCIÓN GENERACIÓN'!J24</f>
        <v>75.994590000000002</v>
      </c>
      <c r="K24" s="263">
        <f>+K$3*'PROYECCIÓN GENERACIÓN'!K24</f>
        <v>106.50559500000001</v>
      </c>
      <c r="L24" s="263">
        <f>+L$3*'PROYECCIÓN GENERACIÓN'!L24</f>
        <v>106.62054900000001</v>
      </c>
      <c r="M24" s="263">
        <f>+M$3*'PROYECCIÓN GENERACIÓN'!M24</f>
        <v>106.73728799999999</v>
      </c>
      <c r="N24" s="263">
        <f>+N$3*'PROYECCIÓN GENERACIÓN'!N24</f>
        <v>106.85616900000001</v>
      </c>
      <c r="O24" s="263">
        <f>+O$3*'PROYECCIÓN GENERACIÓN'!O24</f>
        <v>106.97683499999999</v>
      </c>
      <c r="P24" s="263">
        <f>+P$3*'PROYECCIÓN GENERACIÓN'!P24</f>
        <v>107.09928600000001</v>
      </c>
      <c r="Q24" s="263">
        <f>+Q$3*'PROYECCIÓN GENERACIÓN'!Q24</f>
        <v>107.223879</v>
      </c>
      <c r="R24" s="263">
        <f>+R$3*'PROYECCIÓN GENERACIÓN'!R24</f>
        <v>107.35061399999998</v>
      </c>
      <c r="S24" s="263">
        <f>+S$3*'PROYECCIÓN GENERACIÓN'!S24</f>
        <v>107.47949100000001</v>
      </c>
      <c r="T24" s="263">
        <f>+T$3*'PROYECCIÓN GENERACIÓN'!T24</f>
        <v>107.610153</v>
      </c>
      <c r="U24" s="263">
        <f>+U$3*'PROYECCIÓN GENERACIÓN'!U24</f>
        <v>107.74331399999998</v>
      </c>
      <c r="V24" s="263">
        <f>+V$3*'PROYECCIÓN GENERACIÓN'!V24</f>
        <v>107.87825999999998</v>
      </c>
      <c r="W24" s="263">
        <f>+W$3*'PROYECCIÓN GENERACIÓN'!W24</f>
        <v>108.01570499999998</v>
      </c>
      <c r="X24" s="263">
        <f>+X$3*'PROYECCIÓN GENERACIÓN'!X24</f>
        <v>108.15529199999999</v>
      </c>
      <c r="Y24" s="263">
        <f>+Y$3*'PROYECCIÓN GENERACIÓN'!Y24</f>
        <v>108.29702099999999</v>
      </c>
      <c r="Z24" s="263">
        <f>+Z$3*'PROYECCIÓN GENERACIÓN'!Z24</f>
        <v>108.44124900000001</v>
      </c>
      <c r="AA24" s="565">
        <f t="shared" si="1"/>
        <v>93.391627380000003</v>
      </c>
    </row>
    <row r="25" spans="1:27" ht="24.95" customHeight="1">
      <c r="A25" s="351" t="str">
        <f>+Pobl_adoptada!A25</f>
        <v>San Miguel</v>
      </c>
      <c r="B25" s="70">
        <f>+Pobl_adoptada!B25</f>
        <v>21</v>
      </c>
      <c r="C25" s="353" t="str">
        <f>+Pobl_adoptada!C25</f>
        <v>San Miguel</v>
      </c>
      <c r="D25" s="261"/>
      <c r="E25" s="278"/>
      <c r="F25" s="263"/>
      <c r="G25" s="263">
        <f>+G$3*'PROYECCIÓN GENERACIÓN'!G25</f>
        <v>4.8955340999999999</v>
      </c>
      <c r="H25" s="263">
        <f>+H$3*'PROYECCIÓN GENERACIÓN'!H25</f>
        <v>39.737183999999999</v>
      </c>
      <c r="I25" s="263">
        <f>+I$3*'PROYECCIÓN GENERACIÓN'!I25</f>
        <v>75.598771499999998</v>
      </c>
      <c r="J25" s="263">
        <f>+J$3*'PROYECCIÓN GENERACIÓN'!J25</f>
        <v>127.8471675</v>
      </c>
      <c r="K25" s="263">
        <f>+K$3*'PROYECCIÓN GENERACIÓN'!K25</f>
        <v>181.61688299999997</v>
      </c>
      <c r="L25" s="263">
        <f>+L$3*'PROYECCIÓN GENERACIÓN'!L25</f>
        <v>184.29066599999999</v>
      </c>
      <c r="M25" s="263">
        <f>+M$3*'PROYECCIÓN GENERACIÓN'!M25</f>
        <v>187.00787699999998</v>
      </c>
      <c r="N25" s="263">
        <f>+N$3*'PROYECCIÓN GENERACIÓN'!N25</f>
        <v>189.76950299999999</v>
      </c>
      <c r="O25" s="263">
        <f>+O$3*'PROYECCIÓN GENERACIÓN'!O25</f>
        <v>192.57653099999996</v>
      </c>
      <c r="P25" s="263">
        <f>+P$3*'PROYECCIÓN GENERACIÓN'!P25</f>
        <v>195.42896099999996</v>
      </c>
      <c r="Q25" s="263">
        <f>+Q$3*'PROYECCIÓN GENERACIÓN'!Q25</f>
        <v>198.32827349999997</v>
      </c>
      <c r="R25" s="263">
        <f>+R$3*'PROYECCIÓN GENERACIÓN'!R25</f>
        <v>201.27446849999995</v>
      </c>
      <c r="S25" s="263">
        <f>+S$3*'PROYECCIÓN GENERACIÓN'!S25</f>
        <v>204.26902649999997</v>
      </c>
      <c r="T25" s="263">
        <f>+T$3*'PROYECCIÓN GENERACIÓN'!T25</f>
        <v>207.31244100000001</v>
      </c>
      <c r="U25" s="263">
        <f>+U$3*'PROYECCIÓN GENERACIÓN'!U25</f>
        <v>210.40520549999999</v>
      </c>
      <c r="V25" s="263">
        <f>+V$3*'PROYECCIÓN GENERACIÓN'!V25</f>
        <v>213.54880049999997</v>
      </c>
      <c r="W25" s="263">
        <f>+W$3*'PROYECCIÓN GENERACIÓN'!W25</f>
        <v>216.74322599999996</v>
      </c>
      <c r="X25" s="263">
        <f>+X$3*'PROYECCIÓN GENERACIÓN'!X25</f>
        <v>219.99045599999997</v>
      </c>
      <c r="Y25" s="263">
        <f>+Y$3*'PROYECCIÓN GENERACIÓN'!Y25</f>
        <v>223.28999699999997</v>
      </c>
      <c r="Z25" s="263">
        <f>+Z$3*'PROYECCIÓN GENERACIÓN'!Z25</f>
        <v>226.64382299999997</v>
      </c>
      <c r="AA25" s="565">
        <f t="shared" si="1"/>
        <v>175.02873977999997</v>
      </c>
    </row>
    <row r="26" spans="1:27" ht="24.95" customHeight="1">
      <c r="A26" s="351" t="str">
        <f>+Pobl_adoptada!A26</f>
        <v>Tigre</v>
      </c>
      <c r="B26" s="70">
        <f>+Pobl_adoptada!B26</f>
        <v>22</v>
      </c>
      <c r="C26" s="353" t="str">
        <f>+Pobl_adoptada!C26</f>
        <v>Tigre</v>
      </c>
      <c r="D26" s="261"/>
      <c r="E26" s="278"/>
      <c r="F26" s="263"/>
      <c r="G26" s="263">
        <f>+G$3*'PROYECCIÓN GENERACIÓN'!G26</f>
        <v>6.5039774999999995</v>
      </c>
      <c r="H26" s="263">
        <f>+H$3*'PROYECCIÓN GENERACIÓN'!H26</f>
        <v>52.717531200000003</v>
      </c>
      <c r="I26" s="263">
        <f>+I$3*'PROYECCIÓN GENERACIÓN'!I26</f>
        <v>100.13107949999998</v>
      </c>
      <c r="J26" s="263">
        <f>+J$3*'PROYECCIÓN GENERACIÓN'!J26</f>
        <v>169.02797999999999</v>
      </c>
      <c r="K26" s="263">
        <f>+K$3*'PROYECCIÓN GENERACIÓN'!K26</f>
        <v>239.63915849999995</v>
      </c>
      <c r="L26" s="263">
        <f>+L$3*'PROYECCIÓN GENERACIÓN'!L26</f>
        <v>242.63914499999996</v>
      </c>
      <c r="M26" s="263">
        <f>+M$3*'PROYECCIÓN GENERACIÓN'!M26</f>
        <v>245.63863799999996</v>
      </c>
      <c r="N26" s="263">
        <f>+N$3*'PROYECCIÓN GENERACIÓN'!N26</f>
        <v>248.63862449999993</v>
      </c>
      <c r="O26" s="263">
        <f>+O$3*'PROYECCIÓN GENERACIÓN'!O26</f>
        <v>251.63861099999997</v>
      </c>
      <c r="P26" s="263">
        <f>+P$3*'PROYECCIÓN GENERACIÓN'!P26</f>
        <v>254.6385975</v>
      </c>
      <c r="Q26" s="263">
        <f>+Q$3*'PROYECCIÓN GENERACIÓN'!Q26</f>
        <v>257.63858399999998</v>
      </c>
      <c r="R26" s="263">
        <f>+R$3*'PROYECCIÓN GENERACIÓN'!R26</f>
        <v>260.63857050000001</v>
      </c>
      <c r="S26" s="263">
        <f>+S$3*'PROYECCIÓN GENERACIÓN'!S26</f>
        <v>263.63855699999993</v>
      </c>
      <c r="T26" s="263">
        <f>+T$3*'PROYECCIÓN GENERACIÓN'!T26</f>
        <v>266.63854349999997</v>
      </c>
      <c r="U26" s="263">
        <f>+U$3*'PROYECCIÓN GENERACIÓN'!U26</f>
        <v>269.63852999999995</v>
      </c>
      <c r="V26" s="263">
        <f>+V$3*'PROYECCIÓN GENERACIÓN'!V26</f>
        <v>272.63851649999998</v>
      </c>
      <c r="W26" s="263">
        <f>+W$3*'PROYECCIÓN GENERACIÓN'!W26</f>
        <v>275.63850299999996</v>
      </c>
      <c r="X26" s="263">
        <f>+X$3*'PROYECCIÓN GENERACIÓN'!X26</f>
        <v>278.63848949999999</v>
      </c>
      <c r="Y26" s="263">
        <f>+Y$3*'PROYECCIÓN GENERACIÓN'!Y26</f>
        <v>281.63847599999997</v>
      </c>
      <c r="Z26" s="263">
        <f>+Z$3*'PROYECCIÓN GENERACIÓN'!Z26</f>
        <v>284.6384625</v>
      </c>
      <c r="AA26" s="565">
        <f t="shared" si="1"/>
        <v>226.12992875999998</v>
      </c>
    </row>
    <row r="27" spans="1:27" ht="24.95" customHeight="1">
      <c r="A27" s="351" t="str">
        <f>+Pobl_adoptada!A27</f>
        <v>Tres de Febrero</v>
      </c>
      <c r="B27" s="70">
        <f>+Pobl_adoptada!B27</f>
        <v>23</v>
      </c>
      <c r="C27" s="353" t="str">
        <f>+Pobl_adoptada!C27</f>
        <v>Tres de Febrero</v>
      </c>
      <c r="D27" s="261"/>
      <c r="E27" s="278"/>
      <c r="F27" s="263"/>
      <c r="G27" s="263">
        <f>+G$3*'PROYECCIÓN GENERACIÓN'!G27</f>
        <v>4.9511868000000003</v>
      </c>
      <c r="H27" s="263">
        <f>+H$3*'PROYECCIÓN GENERACIÓN'!H27</f>
        <v>39.698831999999996</v>
      </c>
      <c r="I27" s="263">
        <f>+I$3*'PROYECCIÓN GENERACIÓN'!I27</f>
        <v>74.605567499999992</v>
      </c>
      <c r="J27" s="263">
        <f>+J$3*'PROYECCIÓN GENERACIÓN'!J27</f>
        <v>124.63131</v>
      </c>
      <c r="K27" s="263">
        <f>+K$3*'PROYECCIÓN GENERACIÓN'!K27</f>
        <v>174.89393249999998</v>
      </c>
      <c r="L27" s="263">
        <f>+L$3*'PROYECCIÓN GENERACIÓN'!L27</f>
        <v>175.31093999999999</v>
      </c>
      <c r="M27" s="263">
        <f>+M$3*'PROYECCIÓN GENERACIÓN'!M27</f>
        <v>175.73485649999998</v>
      </c>
      <c r="N27" s="263">
        <f>+N$3*'PROYECCIÓN GENERACIÓN'!N27</f>
        <v>176.16568199999998</v>
      </c>
      <c r="O27" s="263">
        <f>+O$3*'PROYECCIÓN GENERACIÓN'!O27</f>
        <v>176.60341649999998</v>
      </c>
      <c r="P27" s="263">
        <f>+P$3*'PROYECCIÓN GENERACIÓN'!P27</f>
        <v>177.04855349999997</v>
      </c>
      <c r="Q27" s="263">
        <f>+Q$3*'PROYECCIÓN GENERACIÓN'!Q27</f>
        <v>177.501093</v>
      </c>
      <c r="R27" s="263">
        <f>+R$3*'PROYECCIÓN GENERACIÓN'!R27</f>
        <v>177.96054149999998</v>
      </c>
      <c r="S27" s="263">
        <f>+S$3*'PROYECCIÓN GENERACIÓN'!S27</f>
        <v>178.4273925</v>
      </c>
      <c r="T27" s="263">
        <f>+T$3*'PROYECCIÓN GENERACIÓN'!T27</f>
        <v>178.90213949999998</v>
      </c>
      <c r="U27" s="263">
        <f>+U$3*'PROYECCIÓN GENERACIÓN'!U27</f>
        <v>179.38478249999997</v>
      </c>
      <c r="V27" s="263">
        <f>+V$3*'PROYECCIÓN GENERACIÓN'!V27</f>
        <v>179.87532149999998</v>
      </c>
      <c r="W27" s="263">
        <f>+W$3*'PROYECCIÓN GENERACIÓN'!W27</f>
        <v>180.37326299999998</v>
      </c>
      <c r="X27" s="263">
        <f>+X$3*'PROYECCIÓN GENERACIÓN'!X27</f>
        <v>180.88008749999995</v>
      </c>
      <c r="Y27" s="263">
        <f>+Y$3*'PROYECCIÓN GENERACIÓN'!Y27</f>
        <v>181.39480799999995</v>
      </c>
      <c r="Z27" s="263">
        <f>+Z$3*'PROYECCIÓN GENERACIÓN'!Z27</f>
        <v>181.91791799999999</v>
      </c>
      <c r="AA27" s="565">
        <f t="shared" si="1"/>
        <v>154.81308121500001</v>
      </c>
    </row>
    <row r="28" spans="1:27" ht="24.95" customHeight="1">
      <c r="A28" s="351" t="str">
        <f>+Pobl_adoptada!A28</f>
        <v>Vicente López</v>
      </c>
      <c r="B28" s="70">
        <f>+Pobl_adoptada!B28</f>
        <v>24</v>
      </c>
      <c r="C28" s="353" t="str">
        <f>+Pobl_adoptada!C28</f>
        <v>Vicente López</v>
      </c>
      <c r="D28" s="261"/>
      <c r="E28" s="278"/>
      <c r="F28" s="263"/>
      <c r="G28" s="263">
        <f>+G$3*'PROYECCIÓN GENERACIÓN'!G28</f>
        <v>2.6019281999999997</v>
      </c>
      <c r="H28" s="263">
        <f>+H$3*'PROYECCIÓN GENERACIÓN'!H28</f>
        <v>20.731785599999998</v>
      </c>
      <c r="I28" s="263">
        <f>+I$3*'PROYECCIÓN GENERACIÓN'!I28</f>
        <v>38.712825000000002</v>
      </c>
      <c r="J28" s="263">
        <f>+J$3*'PROYECCIÓN GENERACIÓN'!J28</f>
        <v>64.251329999999996</v>
      </c>
      <c r="K28" s="263">
        <f>+K$3*'PROYECCIÓN GENERACIÓN'!K28</f>
        <v>89.568087000000006</v>
      </c>
      <c r="L28" s="263">
        <f>+L$3*'PROYECCIÓN GENERACIÓN'!L28</f>
        <v>89.177529000000007</v>
      </c>
      <c r="M28" s="263">
        <f>+M$3*'PROYECCIÓN GENERACIÓN'!M28</f>
        <v>88.780901999999998</v>
      </c>
      <c r="N28" s="263">
        <f>+N$3*'PROYECCIÓN GENERACIÓN'!N28</f>
        <v>88.377848999999998</v>
      </c>
      <c r="O28" s="263">
        <f>+O$3*'PROYECCIÓN GENERACIÓN'!O28</f>
        <v>87.968012999999985</v>
      </c>
      <c r="P28" s="263">
        <f>+P$3*'PROYECCIÓN GENERACIÓN'!P28</f>
        <v>87.551750999999996</v>
      </c>
      <c r="Q28" s="263">
        <f>+Q$3*'PROYECCIÓN GENERACIÓN'!Q28</f>
        <v>87.128705999999994</v>
      </c>
      <c r="R28" s="263">
        <f>+R$3*'PROYECCIÓN GENERACIÓN'!R28</f>
        <v>86.698521</v>
      </c>
      <c r="S28" s="263">
        <f>+S$3*'PROYECCIÓN GENERACIÓN'!S28</f>
        <v>86.261553000000006</v>
      </c>
      <c r="T28" s="263">
        <f>+T$3*'PROYECCIÓN GENERACIÓN'!T28</f>
        <v>85.817087999999998</v>
      </c>
      <c r="U28" s="263">
        <f>+U$3*'PROYECCIÓN GENERACIÓN'!U28</f>
        <v>85.365839999999992</v>
      </c>
      <c r="V28" s="263">
        <f>+V$3*'PROYECCIÓN GENERACIÓN'!V28</f>
        <v>84.90673799999999</v>
      </c>
      <c r="W28" s="263">
        <f>+W$3*'PROYECCIÓN GENERACIÓN'!W28</f>
        <v>84.440495999999996</v>
      </c>
      <c r="X28" s="263">
        <f>+X$3*'PROYECCIÓN GENERACIÓN'!X28</f>
        <v>83.966399999999993</v>
      </c>
      <c r="Y28" s="263">
        <f>+Y$3*'PROYECCIÓN GENERACIÓN'!Y28</f>
        <v>83.484807000000004</v>
      </c>
      <c r="Z28" s="263">
        <f>+Z$3*'PROYECCIÓN GENERACIÓN'!Z28</f>
        <v>82.995360000000005</v>
      </c>
      <c r="AA28" s="565">
        <f t="shared" si="1"/>
        <v>75.439375439999978</v>
      </c>
    </row>
    <row r="29" spans="1:27" ht="24.95" customHeight="1">
      <c r="A29" s="351" t="str">
        <f>+Pobl_adoptada!A29</f>
        <v>25 de Mayo</v>
      </c>
      <c r="B29" s="70">
        <f>+Pobl_adoptada!B29</f>
        <v>25</v>
      </c>
      <c r="C29" s="353" t="str">
        <f>+Pobl_adoptada!C29</f>
        <v>25 de Mayo</v>
      </c>
      <c r="D29" s="261"/>
      <c r="E29" s="278"/>
      <c r="F29" s="263"/>
      <c r="G29" s="263">
        <f>+G$3*'PROYECCIÓN GENERACIÓN'!G29</f>
        <v>0.26451240000000004</v>
      </c>
      <c r="H29" s="263">
        <f>+H$3*'PROYECCIÓN GENERACIÓN'!H29</f>
        <v>2.1245791999999999</v>
      </c>
      <c r="I29" s="263">
        <f>+I$3*'PROYECCIÓN GENERACIÓN'!I29</f>
        <v>3.9994860000000001</v>
      </c>
      <c r="J29" s="263">
        <f>+J$3*'PROYECCIÓN GENERACIÓN'!J29</f>
        <v>6.6925750000000006</v>
      </c>
      <c r="K29" s="263">
        <f>+K$3*'PROYECCIÓN GENERACIÓN'!K29</f>
        <v>9.407076</v>
      </c>
      <c r="L29" s="263">
        <f>+L$3*'PROYECCIÓN GENERACIÓN'!L29</f>
        <v>9.444547</v>
      </c>
      <c r="M29" s="263">
        <f>+M$3*'PROYECCIÓN GENERACIÓN'!M29</f>
        <v>9.4823889999999995</v>
      </c>
      <c r="N29" s="263">
        <f>+N$3*'PROYECCIÓN GENERACIÓN'!N29</f>
        <v>9.5206020000000002</v>
      </c>
      <c r="O29" s="263">
        <f>+O$3*'PROYECCIÓN GENERACIÓN'!O29</f>
        <v>9.5584439999999997</v>
      </c>
      <c r="P29" s="263">
        <f>+P$3*'PROYECCIÓN GENERACIÓN'!P29</f>
        <v>9.5970279999999999</v>
      </c>
      <c r="Q29" s="263">
        <f>+Q$3*'PROYECCIÓN GENERACIÓN'!Q29</f>
        <v>9.6352409999999988</v>
      </c>
      <c r="R29" s="263">
        <f>+R$3*'PROYECCIÓN GENERACIÓN'!R29</f>
        <v>9.6738250000000008</v>
      </c>
      <c r="S29" s="263">
        <f>+S$3*'PROYECCIÓN GENERACIÓN'!S29</f>
        <v>9.7127800000000004</v>
      </c>
      <c r="T29" s="263">
        <f>+T$3*'PROYECCIÓN GENERACIÓN'!T29</f>
        <v>9.7513639999999988</v>
      </c>
      <c r="U29" s="263">
        <f>+U$3*'PROYECCIÓN GENERACIÓN'!U29</f>
        <v>9.7906899999999997</v>
      </c>
      <c r="V29" s="263">
        <f>+V$3*'PROYECCIÓN GENERACIÓN'!V29</f>
        <v>9.8296449999999993</v>
      </c>
      <c r="W29" s="263">
        <f>+W$3*'PROYECCIÓN GENERACIÓN'!W29</f>
        <v>9.8693419999999996</v>
      </c>
      <c r="X29" s="263">
        <f>+X$3*'PROYECCIÓN GENERACIÓN'!X29</f>
        <v>9.9086680000000005</v>
      </c>
      <c r="Y29" s="263">
        <f>+Y$3*'PROYECCIÓN GENERACIÓN'!Y29</f>
        <v>9.948364999999999</v>
      </c>
      <c r="Z29" s="263">
        <f>+Z$3*'PROYECCIÓN GENERACIÓN'!Z29</f>
        <v>9.9880619999999993</v>
      </c>
      <c r="AA29" s="565">
        <f t="shared" si="1"/>
        <v>8.4099610299999998</v>
      </c>
    </row>
    <row r="30" spans="1:27" ht="24.95" customHeight="1">
      <c r="A30" s="351" t="str">
        <f>+Pobl_adoptada!A30</f>
        <v>9 de Julio</v>
      </c>
      <c r="B30" s="70">
        <f>+Pobl_adoptada!B30</f>
        <v>26</v>
      </c>
      <c r="C30" s="353" t="str">
        <f>+Pobl_adoptada!C30</f>
        <v>9 de Julio</v>
      </c>
      <c r="D30" s="261"/>
      <c r="E30" s="278"/>
      <c r="F30" s="263"/>
      <c r="G30" s="263">
        <f>+G$3*'PROYECCIÓN GENERACIÓN'!G30</f>
        <v>0.44470179999999998</v>
      </c>
      <c r="H30" s="263">
        <f>+H$3*'PROYECCIÓN GENERACIÓN'!H30</f>
        <v>3.5850895999999999</v>
      </c>
      <c r="I30" s="263">
        <f>+I$3*'PROYECCIÓN GENERACIÓN'!I30</f>
        <v>6.7737180000000006</v>
      </c>
      <c r="J30" s="263">
        <f>+J$3*'PROYECCIÓN GENERACIÓN'!J30</f>
        <v>11.375390000000001</v>
      </c>
      <c r="K30" s="263">
        <f>+K$3*'PROYECCIÓN GENERACIÓN'!K30</f>
        <v>16.046121000000003</v>
      </c>
      <c r="L30" s="263">
        <f>+L$3*'PROYECCIÓN GENERACIÓN'!L30</f>
        <v>16.166325000000001</v>
      </c>
      <c r="M30" s="263">
        <f>+M$3*'PROYECCIÓN GENERACIÓN'!M30</f>
        <v>16.286899999999999</v>
      </c>
      <c r="N30" s="263">
        <f>+N$3*'PROYECCIÓN GENERACIÓN'!N30</f>
        <v>16.407104</v>
      </c>
      <c r="O30" s="263">
        <f>+O$3*'PROYECCIÓN GENERACIÓN'!O30</f>
        <v>16.527678999999999</v>
      </c>
      <c r="P30" s="263">
        <f>+P$3*'PROYECCIÓN GENERACIÓN'!P30</f>
        <v>16.647883</v>
      </c>
      <c r="Q30" s="263">
        <f>+Q$3*'PROYECCIÓN GENERACIÓN'!Q30</f>
        <v>16.768457999999999</v>
      </c>
      <c r="R30" s="263">
        <f>+R$3*'PROYECCIÓN GENERACIÓN'!R30</f>
        <v>16.888662</v>
      </c>
      <c r="S30" s="263">
        <f>+S$3*'PROYECCIÓN GENERACIÓN'!S30</f>
        <v>17.009236999999999</v>
      </c>
      <c r="T30" s="263">
        <f>+T$3*'PROYECCIÓN GENERACIÓN'!T30</f>
        <v>17.129441</v>
      </c>
      <c r="U30" s="263">
        <f>+U$3*'PROYECCIÓN GENERACIÓN'!U30</f>
        <v>17.249644999999997</v>
      </c>
      <c r="V30" s="263">
        <f>+V$3*'PROYECCIÓN GENERACIÓN'!V30</f>
        <v>17.37022</v>
      </c>
      <c r="W30" s="263">
        <f>+W$3*'PROYECCIÓN GENERACIÓN'!W30</f>
        <v>17.490423999999997</v>
      </c>
      <c r="X30" s="263">
        <f>+X$3*'PROYECCIÓN GENERACIÓN'!X30</f>
        <v>17.610999</v>
      </c>
      <c r="Y30" s="263">
        <f>+Y$3*'PROYECCIÓN GENERACIÓN'!Y30</f>
        <v>17.731203000000001</v>
      </c>
      <c r="Z30" s="263">
        <f>+Z$3*'PROYECCIÓN GENERACIÓN'!Z30</f>
        <v>17.851777999999999</v>
      </c>
      <c r="AA30" s="565">
        <f t="shared" si="1"/>
        <v>14.66804892</v>
      </c>
    </row>
    <row r="31" spans="1:27" ht="24.95" customHeight="1">
      <c r="A31" s="351" t="str">
        <f>+Pobl_adoptada!A31</f>
        <v>Adolfo Alsina</v>
      </c>
      <c r="B31" s="70">
        <f>+Pobl_adoptada!B31</f>
        <v>27</v>
      </c>
      <c r="C31" s="353" t="str">
        <f>+Pobl_adoptada!C31</f>
        <v>Carhué</v>
      </c>
      <c r="D31" s="261"/>
      <c r="E31" s="278"/>
      <c r="F31" s="263"/>
      <c r="G31" s="263">
        <f>+G$3*'PROYECCIÓN GENERACIÓN'!G31</f>
        <v>9.5597200000000007E-2</v>
      </c>
      <c r="H31" s="263">
        <f>+H$3*'PROYECCIÓN GENERACIÓN'!H31</f>
        <v>0.76897280000000001</v>
      </c>
      <c r="I31" s="263">
        <f>+I$3*'PROYECCIÓN GENERACIÓN'!I31</f>
        <v>1.4498280000000001</v>
      </c>
      <c r="J31" s="263">
        <f>+J$3*'PROYECCIÓN GENERACIÓN'!J31</f>
        <v>2.4297200000000001</v>
      </c>
      <c r="K31" s="263">
        <f>+K$3*'PROYECCIÓN GENERACIÓN'!K31</f>
        <v>3.4199619999999995</v>
      </c>
      <c r="L31" s="263">
        <f>+L$3*'PROYECCIÓN GENERACIÓN'!L31</f>
        <v>3.4386380000000001</v>
      </c>
      <c r="M31" s="263">
        <f>+M$3*'PROYECCIÓN GENERACIÓN'!M31</f>
        <v>3.4573139999999998</v>
      </c>
      <c r="N31" s="263">
        <f>+N$3*'PROYECCIÓN GENERACIÓN'!N31</f>
        <v>3.4756679999999998</v>
      </c>
      <c r="O31" s="263">
        <f>+O$3*'PROYECCIÓN GENERACIÓN'!O31</f>
        <v>3.4943439999999999</v>
      </c>
      <c r="P31" s="263">
        <f>+P$3*'PROYECCIÓN GENERACIÓN'!P31</f>
        <v>3.51302</v>
      </c>
      <c r="Q31" s="263">
        <f>+Q$3*'PROYECCIÓN GENERACIÓN'!Q31</f>
        <v>3.531374</v>
      </c>
      <c r="R31" s="263">
        <f>+R$3*'PROYECCIÓN GENERACIÓN'!R31</f>
        <v>3.5500500000000001</v>
      </c>
      <c r="S31" s="263">
        <f>+S$3*'PROYECCIÓN GENERACIÓN'!S31</f>
        <v>3.5687259999999998</v>
      </c>
      <c r="T31" s="263">
        <f>+T$3*'PROYECCIÓN GENERACIÓN'!T31</f>
        <v>3.5870800000000003</v>
      </c>
      <c r="U31" s="263">
        <f>+U$3*'PROYECCIÓN GENERACIÓN'!U31</f>
        <v>3.605756</v>
      </c>
      <c r="V31" s="263">
        <f>+V$3*'PROYECCIÓN GENERACIÓN'!V31</f>
        <v>3.6244319999999997</v>
      </c>
      <c r="W31" s="263">
        <f>+W$3*'PROYECCIÓN GENERACIÓN'!W31</f>
        <v>3.6431080000000002</v>
      </c>
      <c r="X31" s="263">
        <f>+X$3*'PROYECCIÓN GENERACIÓN'!X31</f>
        <v>3.6614619999999993</v>
      </c>
      <c r="Y31" s="263">
        <f>+Y$3*'PROYECCIÓN GENERACIÓN'!Y31</f>
        <v>3.6801379999999999</v>
      </c>
      <c r="Z31" s="263">
        <f>+Z$3*'PROYECCIÓN GENERACIÓN'!Z31</f>
        <v>3.6988140000000005</v>
      </c>
      <c r="AA31" s="565">
        <f t="shared" si="1"/>
        <v>3.0847001999999994</v>
      </c>
    </row>
    <row r="32" spans="1:27" ht="24.95" customHeight="1">
      <c r="A32" s="351" t="str">
        <f>+Pobl_adoptada!A32</f>
        <v>Adolfo Gonzáles Chaves</v>
      </c>
      <c r="B32" s="70">
        <f>+Pobl_adoptada!B32</f>
        <v>28</v>
      </c>
      <c r="C32" s="353" t="str">
        <f>+Pobl_adoptada!C32</f>
        <v>Adolfo Gonzáles Chaves</v>
      </c>
      <c r="D32" s="261"/>
      <c r="E32" s="278"/>
      <c r="F32" s="263"/>
      <c r="G32" s="263">
        <f>+G$3*'PROYECCIÓN GENERACIÓN'!G32</f>
        <v>8.9083599999999999E-2</v>
      </c>
      <c r="H32" s="263">
        <f>+H$3*'PROYECCIÓN GENERACIÓN'!H32</f>
        <v>0.71855680000000011</v>
      </c>
      <c r="I32" s="263">
        <f>+I$3*'PROYECCIÓN GENERACIÓN'!I32</f>
        <v>1.3583339999999999</v>
      </c>
      <c r="J32" s="263">
        <f>+J$3*'PROYECCIÓN GENERACIÓN'!J32</f>
        <v>2.2822900000000002</v>
      </c>
      <c r="K32" s="263">
        <f>+K$3*'PROYECCIÓN GENERACIÓN'!K32</f>
        <v>3.2209659999999998</v>
      </c>
      <c r="L32" s="263">
        <f>+L$3*'PROYECCIÓN GENERACIÓN'!L32</f>
        <v>3.2586399999999998</v>
      </c>
      <c r="M32" s="263">
        <f>+M$3*'PROYECCIÓN GENERACIÓN'!M32</f>
        <v>3.2963140000000002</v>
      </c>
      <c r="N32" s="263">
        <f>+N$3*'PROYECCIÓN GENERACIÓN'!N32</f>
        <v>3.3339879999999997</v>
      </c>
      <c r="O32" s="263">
        <f>+O$3*'PROYECCIÓN GENERACIÓN'!O32</f>
        <v>3.3716619999999997</v>
      </c>
      <c r="P32" s="263">
        <f>+P$3*'PROYECCIÓN GENERACIÓN'!P32</f>
        <v>3.4093360000000001</v>
      </c>
      <c r="Q32" s="263">
        <f>+Q$3*'PROYECCIÓN GENERACIÓN'!Q32</f>
        <v>3.4470100000000001</v>
      </c>
      <c r="R32" s="263">
        <f>+R$3*'PROYECCIÓN GENERACIÓN'!R32</f>
        <v>3.4846839999999997</v>
      </c>
      <c r="S32" s="263">
        <f>+S$3*'PROYECCIÓN GENERACIÓN'!S32</f>
        <v>3.5223580000000001</v>
      </c>
      <c r="T32" s="263">
        <f>+T$3*'PROYECCIÓN GENERACIÓN'!T32</f>
        <v>3.5600320000000001</v>
      </c>
      <c r="U32" s="263">
        <f>+U$3*'PROYECCIÓN GENERACIÓN'!U32</f>
        <v>3.5977059999999996</v>
      </c>
      <c r="V32" s="263">
        <f>+V$3*'PROYECCIÓN GENERACIÓN'!V32</f>
        <v>3.6353800000000001</v>
      </c>
      <c r="W32" s="263">
        <f>+W$3*'PROYECCIÓN GENERACIÓN'!W32</f>
        <v>3.673054</v>
      </c>
      <c r="X32" s="263">
        <f>+X$3*'PROYECCIÓN GENERACIÓN'!X32</f>
        <v>3.7107279999999996</v>
      </c>
      <c r="Y32" s="263">
        <f>+Y$3*'PROYECCIÓN GENERACIÓN'!Y32</f>
        <v>3.748402</v>
      </c>
      <c r="Z32" s="263">
        <f>+Z$3*'PROYECCIÓN GENERACIÓN'!Z32</f>
        <v>3.786076</v>
      </c>
      <c r="AA32" s="565">
        <f t="shared" si="1"/>
        <v>3.0252300199999995</v>
      </c>
    </row>
    <row r="33" spans="1:27" ht="24.95" customHeight="1">
      <c r="A33" s="351" t="str">
        <f>+Pobl_adoptada!A33</f>
        <v>Alberti</v>
      </c>
      <c r="B33" s="70">
        <f>+Pobl_adoptada!B33</f>
        <v>29</v>
      </c>
      <c r="C33" s="353" t="str">
        <f>+Pobl_adoptada!C33</f>
        <v>Alberti</v>
      </c>
      <c r="D33" s="261"/>
      <c r="E33" s="278"/>
      <c r="F33" s="263"/>
      <c r="G33" s="263">
        <f>+G$3*'PROYECCIÓN GENERACIÓN'!G33</f>
        <v>9.4695600000000019E-2</v>
      </c>
      <c r="H33" s="263">
        <f>+H$3*'PROYECCIÓN GENERACIÓN'!H33</f>
        <v>0.76831040000000006</v>
      </c>
      <c r="I33" s="263">
        <f>+I$3*'PROYECCIÓN GENERACIÓN'!I33</f>
        <v>1.4607300000000001</v>
      </c>
      <c r="J33" s="263">
        <f>+J$3*'PROYECCIÓN GENERACIÓN'!J33</f>
        <v>2.4679000000000002</v>
      </c>
      <c r="K33" s="263">
        <f>+K$3*'PROYECCIÓN GENERACIÓN'!K33</f>
        <v>3.5020719999999996</v>
      </c>
      <c r="L33" s="263">
        <f>+L$3*'PROYECCIÓN GENERACIÓN'!L33</f>
        <v>3.560676</v>
      </c>
      <c r="M33" s="263">
        <f>+M$3*'PROYECCIÓN GENERACIÓN'!M33</f>
        <v>3.6189580000000001</v>
      </c>
      <c r="N33" s="263">
        <f>+N$3*'PROYECCIÓN GENERACIÓN'!N33</f>
        <v>3.6775619999999996</v>
      </c>
      <c r="O33" s="263">
        <f>+O$3*'PROYECCIÓN GENERACIÓN'!O33</f>
        <v>3.7361659999999999</v>
      </c>
      <c r="P33" s="263">
        <f>+P$3*'PROYECCIÓN GENERACIÓN'!P33</f>
        <v>3.7947699999999998</v>
      </c>
      <c r="Q33" s="263">
        <f>+Q$3*'PROYECCIÓN GENERACIÓN'!Q33</f>
        <v>3.8530519999999999</v>
      </c>
      <c r="R33" s="263">
        <f>+R$3*'PROYECCIÓN GENERACIÓN'!R33</f>
        <v>3.9116559999999994</v>
      </c>
      <c r="S33" s="263">
        <f>+S$3*'PROYECCIÓN GENERACIÓN'!S33</f>
        <v>3.9702599999999997</v>
      </c>
      <c r="T33" s="263">
        <f>+T$3*'PROYECCIÓN GENERACIÓN'!T33</f>
        <v>4.0285419999999998</v>
      </c>
      <c r="U33" s="263">
        <f>+U$3*'PROYECCIÓN GENERACIÓN'!U33</f>
        <v>4.0871460000000006</v>
      </c>
      <c r="V33" s="263">
        <f>+V$3*'PROYECCIÓN GENERACIÓN'!V33</f>
        <v>4.1457499999999996</v>
      </c>
      <c r="W33" s="263">
        <f>+W$3*'PROYECCIÓN GENERACIÓN'!W33</f>
        <v>4.2040319999999998</v>
      </c>
      <c r="X33" s="263">
        <f>+X$3*'PROYECCIÓN GENERACIÓN'!X33</f>
        <v>4.2626360000000005</v>
      </c>
      <c r="Y33" s="263">
        <f>+Y$3*'PROYECCIÓN GENERACIÓN'!Y33</f>
        <v>4.3212399999999995</v>
      </c>
      <c r="Z33" s="263">
        <f>+Z$3*'PROYECCIÓN GENERACIÓN'!Z33</f>
        <v>4.3798439999999994</v>
      </c>
      <c r="AA33" s="565">
        <f t="shared" si="1"/>
        <v>3.3922999000000003</v>
      </c>
    </row>
    <row r="34" spans="1:27" ht="24.95" customHeight="1">
      <c r="A34" s="351" t="str">
        <f>+Pobl_adoptada!A34</f>
        <v>Arrecifes</v>
      </c>
      <c r="B34" s="70">
        <f>+Pobl_adoptada!B34</f>
        <v>30</v>
      </c>
      <c r="C34" s="353" t="str">
        <f>+Pobl_adoptada!C34</f>
        <v>Arrecifes</v>
      </c>
      <c r="D34" s="261"/>
      <c r="E34" s="278"/>
      <c r="F34" s="263"/>
      <c r="G34" s="263">
        <f>+G$3*'PROYECCIÓN GENERACIÓN'!G34</f>
        <v>0.3234166</v>
      </c>
      <c r="H34" s="263">
        <f>+H$3*'PROYECCIÓN GENERACIÓN'!H34</f>
        <v>2.6108224</v>
      </c>
      <c r="I34" s="263">
        <f>+I$3*'PROYECCIÓN GENERACIÓN'!I34</f>
        <v>4.9398119999999999</v>
      </c>
      <c r="J34" s="263">
        <f>+J$3*'PROYECCIÓN GENERACIÓN'!J34</f>
        <v>8.3077500000000004</v>
      </c>
      <c r="K34" s="263">
        <f>+K$3*'PROYECCIÓN GENERACIÓN'!K34</f>
        <v>11.736584999999998</v>
      </c>
      <c r="L34" s="263">
        <f>+L$3*'PROYECCIÓN GENERACIÓN'!L34</f>
        <v>11.843433000000003</v>
      </c>
      <c r="M34" s="263">
        <f>+M$3*'PROYECCIÓN GENERACIÓN'!M34</f>
        <v>11.951022999999999</v>
      </c>
      <c r="N34" s="263">
        <f>+N$3*'PROYECCIÓN GENERACIÓN'!N34</f>
        <v>12.059355</v>
      </c>
      <c r="O34" s="263">
        <f>+O$3*'PROYECCIÓN GENERACIÓN'!O34</f>
        <v>12.169171</v>
      </c>
      <c r="P34" s="263">
        <f>+P$3*'PROYECCIÓN GENERACIÓN'!P34</f>
        <v>12.279729</v>
      </c>
      <c r="Q34" s="263">
        <f>+Q$3*'PROYECCIÓN GENERACIÓN'!Q34</f>
        <v>12.391029</v>
      </c>
      <c r="R34" s="263">
        <f>+R$3*'PROYECCIÓN GENERACIÓN'!R34</f>
        <v>12.503812999999999</v>
      </c>
      <c r="S34" s="263">
        <f>+S$3*'PROYECCIÓN GENERACIÓN'!S34</f>
        <v>12.617338999999999</v>
      </c>
      <c r="T34" s="263">
        <f>+T$3*'PROYECCIÓN GENERACIÓN'!T34</f>
        <v>12.731978</v>
      </c>
      <c r="U34" s="263">
        <f>+U$3*'PROYECCIÓN GENERACIÓN'!U34</f>
        <v>12.847730000000002</v>
      </c>
      <c r="V34" s="263">
        <f>+V$3*'PROYECCIÓN GENERACIÓN'!V34</f>
        <v>12.964595000000001</v>
      </c>
      <c r="W34" s="263">
        <f>+W$3*'PROYECCIÓN GENERACIÓN'!W34</f>
        <v>13.082202000000001</v>
      </c>
      <c r="X34" s="263">
        <f>+X$3*'PROYECCIÓN GENERACIÓN'!X34</f>
        <v>13.201293000000001</v>
      </c>
      <c r="Y34" s="263">
        <f>+Y$3*'PROYECCIÓN GENERACIÓN'!Y34</f>
        <v>13.321126</v>
      </c>
      <c r="Z34" s="263">
        <f>+Z$3*'PROYECCIÓN GENERACIÓN'!Z34</f>
        <v>13.442072000000003</v>
      </c>
      <c r="AA34" s="565">
        <f t="shared" si="1"/>
        <v>10.866213699999999</v>
      </c>
    </row>
    <row r="35" spans="1:27" ht="24.95" customHeight="1">
      <c r="A35" s="351" t="str">
        <f>+Pobl_adoptada!A35</f>
        <v>Ayacucho</v>
      </c>
      <c r="B35" s="70">
        <f>+Pobl_adoptada!B35</f>
        <v>31</v>
      </c>
      <c r="C35" s="353" t="str">
        <f>+Pobl_adoptada!C35</f>
        <v>Ayacucho</v>
      </c>
      <c r="D35" s="261"/>
      <c r="E35" s="278"/>
      <c r="F35" s="263"/>
      <c r="G35" s="263">
        <f>+G$3*'PROYECCIÓN GENERACIÓN'!G35</f>
        <v>0.20275680000000001</v>
      </c>
      <c r="H35" s="263">
        <f>+H$3*'PROYECCIÓN GENERACIÓN'!H35</f>
        <v>1.6319759999999999</v>
      </c>
      <c r="I35" s="263">
        <f>+I$3*'PROYECCIÓN GENERACIÓN'!I35</f>
        <v>3.0783989999999997</v>
      </c>
      <c r="J35" s="263">
        <f>+J$3*'PROYECCIÓN GENERACIÓN'!J35</f>
        <v>5.1619350000000006</v>
      </c>
      <c r="K35" s="263">
        <f>+K$3*'PROYECCIÓN GENERACIÓN'!K35</f>
        <v>7.2704869999999993</v>
      </c>
      <c r="L35" s="263">
        <f>+L$3*'PROYECCIÓN GENERACIÓN'!L35</f>
        <v>7.3146360000000001</v>
      </c>
      <c r="M35" s="263">
        <f>+M$3*'PROYECCIÓN GENERACIÓN'!M35</f>
        <v>7.3587850000000001</v>
      </c>
      <c r="N35" s="263">
        <f>+N$3*'PROYECCIÓN GENERACIÓN'!N35</f>
        <v>7.403675999999999</v>
      </c>
      <c r="O35" s="263">
        <f>+O$3*'PROYECCIÓN GENERACIÓN'!O35</f>
        <v>7.4485670000000006</v>
      </c>
      <c r="P35" s="263">
        <f>+P$3*'PROYECCIÓN GENERACIÓN'!P35</f>
        <v>7.4938290000000007</v>
      </c>
      <c r="Q35" s="263">
        <f>+Q$3*'PROYECCIÓN GENERACIÓN'!Q35</f>
        <v>7.5390910000000009</v>
      </c>
      <c r="R35" s="263">
        <f>+R$3*'PROYECCIÓN GENERACIÓN'!R35</f>
        <v>7.5850949999999999</v>
      </c>
      <c r="S35" s="263">
        <f>+S$3*'PROYECCIÓN GENERACIÓN'!S35</f>
        <v>7.631098999999999</v>
      </c>
      <c r="T35" s="263">
        <f>+T$3*'PROYECCIÓN GENERACIÓN'!T35</f>
        <v>7.6771029999999998</v>
      </c>
      <c r="U35" s="263">
        <f>+U$3*'PROYECCIÓN GENERACIÓN'!U35</f>
        <v>7.7238489999999995</v>
      </c>
      <c r="V35" s="263">
        <f>+V$3*'PROYECCIÓN GENERACIÓN'!V35</f>
        <v>7.7705950000000001</v>
      </c>
      <c r="W35" s="263">
        <f>+W$3*'PROYECCIÓN GENERACIÓN'!W35</f>
        <v>7.8177119999999993</v>
      </c>
      <c r="X35" s="263">
        <f>+X$3*'PROYECCIÓN GENERACIÓN'!X35</f>
        <v>7.8651999999999997</v>
      </c>
      <c r="Y35" s="263">
        <f>+Y$3*'PROYECCIÓN GENERACIÓN'!Y35</f>
        <v>7.9130589999999996</v>
      </c>
      <c r="Z35" s="263">
        <f>+Z$3*'PROYECCIÓN GENERACIÓN'!Z35</f>
        <v>7.9609179999999995</v>
      </c>
      <c r="AA35" s="565">
        <f t="shared" si="1"/>
        <v>6.5924383900000008</v>
      </c>
    </row>
    <row r="36" spans="1:27" ht="24.95" customHeight="1">
      <c r="A36" s="351" t="str">
        <f>+Pobl_adoptada!A36</f>
        <v>Azul</v>
      </c>
      <c r="B36" s="70">
        <f>+Pobl_adoptada!B36</f>
        <v>32</v>
      </c>
      <c r="C36" s="353" t="str">
        <f>+Pobl_adoptada!C36</f>
        <v>Azul</v>
      </c>
      <c r="D36" s="261"/>
      <c r="E36" s="278"/>
      <c r="F36" s="263"/>
      <c r="G36" s="263">
        <f>+G$3*'PROYECCIÓN GENERACIÓN'!G36</f>
        <v>0.66193919999999995</v>
      </c>
      <c r="H36" s="263">
        <f>+H$3*'PROYECCIÓN GENERACIÓN'!H36</f>
        <v>5.3592432000000008</v>
      </c>
      <c r="I36" s="263">
        <f>+I$3*'PROYECCIÓN GENERACIÓN'!I36</f>
        <v>10.167921</v>
      </c>
      <c r="J36" s="263">
        <f>+J$3*'PROYECCIÓN GENERACIÓN'!J36</f>
        <v>17.145435000000003</v>
      </c>
      <c r="K36" s="263">
        <f>+K$3*'PROYECCIÓN GENERACIÓN'!K36</f>
        <v>24.282068999999996</v>
      </c>
      <c r="L36" s="263">
        <f>+L$3*'PROYECCIÓN GENERACIÓN'!L36</f>
        <v>24.647993999999997</v>
      </c>
      <c r="M36" s="263">
        <f>+M$3*'PROYECCIÓN GENERACIÓN'!M36</f>
        <v>25.013562</v>
      </c>
      <c r="N36" s="263">
        <f>+N$3*'PROYECCIÓN GENERACIÓN'!N36</f>
        <v>25.379487000000001</v>
      </c>
      <c r="O36" s="263">
        <f>+O$3*'PROYECCIÓN GENERACIÓN'!O36</f>
        <v>25.745054999999997</v>
      </c>
      <c r="P36" s="263">
        <f>+P$3*'PROYECCIÓN GENERACIÓN'!P36</f>
        <v>26.110979999999998</v>
      </c>
      <c r="Q36" s="263">
        <f>+Q$3*'PROYECCIÓN GENERACIÓN'!Q36</f>
        <v>26.476547999999998</v>
      </c>
      <c r="R36" s="263">
        <f>+R$3*'PROYECCIÓN GENERACIÓN'!R36</f>
        <v>26.842472999999998</v>
      </c>
      <c r="S36" s="263">
        <f>+S$3*'PROYECCIÓN GENERACIÓN'!S36</f>
        <v>27.208397999999999</v>
      </c>
      <c r="T36" s="263">
        <f>+T$3*'PROYECCIÓN GENERACIÓN'!T36</f>
        <v>27.573965999999999</v>
      </c>
      <c r="U36" s="263">
        <f>+U$3*'PROYECCIÓN GENERACIÓN'!U36</f>
        <v>27.939890999999999</v>
      </c>
      <c r="V36" s="263">
        <f>+V$3*'PROYECCIÓN GENERACIÓN'!V36</f>
        <v>28.305458999999999</v>
      </c>
      <c r="W36" s="263">
        <f>+W$3*'PROYECCIÓN GENERACIÓN'!W36</f>
        <v>28.671384000000003</v>
      </c>
      <c r="X36" s="263">
        <f>+X$3*'PROYECCIÓN GENERACIÓN'!X36</f>
        <v>29.036951999999999</v>
      </c>
      <c r="Y36" s="263">
        <f>+Y$3*'PROYECCIÓN GENERACIÓN'!Y36</f>
        <v>29.402876999999997</v>
      </c>
      <c r="Z36" s="263">
        <f>+Z$3*'PROYECCIÓN GENERACIÓN'!Z36</f>
        <v>29.768801999999997</v>
      </c>
      <c r="AA36" s="565">
        <f t="shared" si="1"/>
        <v>23.287021769999996</v>
      </c>
    </row>
    <row r="37" spans="1:27" ht="24.95" customHeight="1">
      <c r="A37" s="351" t="str">
        <f>+Pobl_adoptada!A37</f>
        <v>Bahía Blanca</v>
      </c>
      <c r="B37" s="70">
        <f>+Pobl_adoptada!B37</f>
        <v>33</v>
      </c>
      <c r="C37" s="353" t="str">
        <f>+Pobl_adoptada!C37</f>
        <v>Bahía Blanca</v>
      </c>
      <c r="D37" s="261"/>
      <c r="E37" s="278"/>
      <c r="F37" s="263"/>
      <c r="G37" s="263">
        <f>+G$3*'PROYECCIÓN GENERACIÓN'!G37</f>
        <v>4.7390523</v>
      </c>
      <c r="H37" s="263">
        <f>+H$3*'PROYECCIÓN GENERACIÓN'!H37</f>
        <v>38.346811199999998</v>
      </c>
      <c r="I37" s="263">
        <f>+I$3*'PROYECCIÓN GENERACIÓN'!I37</f>
        <v>72.714545999999984</v>
      </c>
      <c r="J37" s="263">
        <f>+J$3*'PROYECCIÓN GENERACIÓN'!J37</f>
        <v>122.54803499999998</v>
      </c>
      <c r="K37" s="263">
        <f>+K$3*'PROYECCIÓN GENERACIÓN'!K37</f>
        <v>173.46771749999999</v>
      </c>
      <c r="L37" s="263">
        <f>+L$3*'PROYECCIÓN GENERACIÓN'!L37</f>
        <v>175.97963249999998</v>
      </c>
      <c r="M37" s="263">
        <f>+M$3*'PROYECCIÓN GENERACIÓN'!M37</f>
        <v>178.49204099999997</v>
      </c>
      <c r="N37" s="263">
        <f>+N$3*'PROYECCIÓN GENERACIÓN'!N37</f>
        <v>181.00395599999996</v>
      </c>
      <c r="O37" s="263">
        <f>+O$3*'PROYECCIÓN GENERACIÓN'!O37</f>
        <v>183.51636449999998</v>
      </c>
      <c r="P37" s="263">
        <f>+P$3*'PROYECCIÓN GENERACIÓN'!P37</f>
        <v>186.0282795</v>
      </c>
      <c r="Q37" s="263">
        <f>+Q$3*'PROYECCIÓN GENERACIÓN'!Q37</f>
        <v>188.54068799999996</v>
      </c>
      <c r="R37" s="263">
        <f>+R$3*'PROYECCIÓN GENERACIÓN'!R37</f>
        <v>191.05260299999998</v>
      </c>
      <c r="S37" s="263">
        <f>+S$3*'PROYECCIÓN GENERACIÓN'!S37</f>
        <v>193.56451799999999</v>
      </c>
      <c r="T37" s="263">
        <f>+T$3*'PROYECCIÓN GENERACIÓN'!T37</f>
        <v>196.07692649999996</v>
      </c>
      <c r="U37" s="263">
        <f>+U$3*'PROYECCIÓN GENERACIÓN'!U37</f>
        <v>198.58884149999997</v>
      </c>
      <c r="V37" s="263">
        <f>+V$3*'PROYECCIÓN GENERACIÓN'!V37</f>
        <v>201.10124999999999</v>
      </c>
      <c r="W37" s="263">
        <f>+W$3*'PROYECCIÓN GENERACIÓN'!W37</f>
        <v>203.61316499999998</v>
      </c>
      <c r="X37" s="263">
        <f>+X$3*'PROYECCIÓN GENERACIÓN'!X37</f>
        <v>206.12557349999997</v>
      </c>
      <c r="Y37" s="263">
        <f>+Y$3*'PROYECCIÓN GENERACIÓN'!Y37</f>
        <v>208.63748849999999</v>
      </c>
      <c r="Z37" s="263">
        <f>+Z$3*'PROYECCIÓN GENERACIÓN'!Z37</f>
        <v>211.14989699999995</v>
      </c>
      <c r="AA37" s="565">
        <f t="shared" si="1"/>
        <v>165.76436932499999</v>
      </c>
    </row>
    <row r="38" spans="1:27" ht="24.95" customHeight="1">
      <c r="A38" s="351" t="str">
        <f>+Pobl_adoptada!A38</f>
        <v>Balcarce</v>
      </c>
      <c r="B38" s="70">
        <f>+Pobl_adoptada!B38</f>
        <v>34</v>
      </c>
      <c r="C38" s="353" t="str">
        <f>+Pobl_adoptada!C38</f>
        <v>Balcarce</v>
      </c>
      <c r="D38" s="261"/>
      <c r="E38" s="278"/>
      <c r="F38" s="263"/>
      <c r="G38" s="263">
        <f>+G$3*'PROYECCIÓN GENERACIÓN'!G38</f>
        <v>0.51188460000000002</v>
      </c>
      <c r="H38" s="263">
        <f>+H$3*'PROYECCIÓN GENERACIÓN'!H38</f>
        <v>4.1551999999999998</v>
      </c>
      <c r="I38" s="263">
        <f>+I$3*'PROYECCIÓN GENERACIÓN'!I38</f>
        <v>7.9056390000000007</v>
      </c>
      <c r="J38" s="263">
        <f>+J$3*'PROYECCIÓN GENERACIÓN'!J38</f>
        <v>13.370044999999999</v>
      </c>
      <c r="K38" s="263">
        <f>+K$3*'PROYECCIÓN GENERACIÓN'!K38</f>
        <v>18.994458000000002</v>
      </c>
      <c r="L38" s="263">
        <f>+L$3*'PROYECCIÓN GENERACIÓN'!L38</f>
        <v>19.274933999999998</v>
      </c>
      <c r="M38" s="263">
        <f>+M$3*'PROYECCIÓN GENERACIÓN'!M38</f>
        <v>19.560233</v>
      </c>
      <c r="N38" s="263">
        <f>+N$3*'PROYECCIÓN GENERACIÓN'!N38</f>
        <v>19.850355</v>
      </c>
      <c r="O38" s="263">
        <f>+O$3*'PROYECCIÓN GENERACIÓN'!O38</f>
        <v>20.144929000000001</v>
      </c>
      <c r="P38" s="263">
        <f>+P$3*'PROYECCIÓN GENERACIÓN'!P38</f>
        <v>20.444326</v>
      </c>
      <c r="Q38" s="263">
        <f>+Q$3*'PROYECCIÓN GENERACIÓN'!Q38</f>
        <v>20.748546000000001</v>
      </c>
      <c r="R38" s="263">
        <f>+R$3*'PROYECCIÓN GENERACIÓN'!R38</f>
        <v>21.057960000000001</v>
      </c>
      <c r="S38" s="263">
        <f>+S$3*'PROYECCIÓN GENERACIÓN'!S38</f>
        <v>21.372197</v>
      </c>
      <c r="T38" s="263">
        <f>+T$3*'PROYECCIÓN GENERACIÓN'!T38</f>
        <v>21.691628000000001</v>
      </c>
      <c r="U38" s="263">
        <f>+U$3*'PROYECCIÓN GENERACIÓN'!U38</f>
        <v>22.016252999999999</v>
      </c>
      <c r="V38" s="263">
        <f>+V$3*'PROYECCIÓN GENERACIÓN'!V38</f>
        <v>22.346443000000001</v>
      </c>
      <c r="W38" s="263">
        <f>+W$3*'PROYECCIÓN GENERACIÓN'!W38</f>
        <v>22.681827000000002</v>
      </c>
      <c r="X38" s="263">
        <f>+X$3*'PROYECCIÓN GENERACIÓN'!X38</f>
        <v>23.022404999999999</v>
      </c>
      <c r="Y38" s="263">
        <f>+Y$3*'PROYECCIÓN GENERACIÓN'!Y38</f>
        <v>23.368918999999998</v>
      </c>
      <c r="Z38" s="263">
        <f>+Z$3*'PROYECCIÓN GENERACIÓN'!Z38</f>
        <v>23.720998000000002</v>
      </c>
      <c r="AA38" s="565">
        <f t="shared" si="1"/>
        <v>18.311958980000004</v>
      </c>
    </row>
    <row r="39" spans="1:27" ht="24.95" customHeight="1">
      <c r="A39" s="351" t="str">
        <f>+Pobl_adoptada!A39</f>
        <v>Baradero</v>
      </c>
      <c r="B39" s="70">
        <f>+Pobl_adoptada!B39</f>
        <v>35</v>
      </c>
      <c r="C39" s="353" t="str">
        <f>+Pobl_adoptada!C39</f>
        <v>Baradero</v>
      </c>
      <c r="D39" s="261"/>
      <c r="E39" s="278"/>
      <c r="F39" s="263"/>
      <c r="G39" s="263">
        <f>+G$3*'PROYECCIÓN GENERACIÓN'!G39</f>
        <v>0.35541800000000001</v>
      </c>
      <c r="H39" s="263">
        <f>+H$3*'PROYECCIÓN GENERACIÓN'!H39</f>
        <v>2.8721760000000005</v>
      </c>
      <c r="I39" s="263">
        <f>+I$3*'PROYECCIÓN GENERACIÓN'!I39</f>
        <v>5.4398669999999996</v>
      </c>
      <c r="J39" s="263">
        <f>+J$3*'PROYECCIÓN GENERACIÓN'!J39</f>
        <v>9.1581349999999997</v>
      </c>
      <c r="K39" s="263">
        <f>+K$3*'PROYECCIÓN GENERACIÓN'!K39</f>
        <v>12.951238999999999</v>
      </c>
      <c r="L39" s="263">
        <f>+L$3*'PROYECCIÓN GENERACIÓN'!L39</f>
        <v>13.082572999999998</v>
      </c>
      <c r="M39" s="263">
        <f>+M$3*'PROYECCIÓN GENERACIÓN'!M39</f>
        <v>13.215020000000001</v>
      </c>
      <c r="N39" s="263">
        <f>+N$3*'PROYECCIÓN GENERACIÓN'!N39</f>
        <v>13.348951</v>
      </c>
      <c r="O39" s="263">
        <f>+O$3*'PROYECCIÓN GENERACIÓN'!O39</f>
        <v>13.483995000000002</v>
      </c>
      <c r="P39" s="263">
        <f>+P$3*'PROYECCIÓN GENERACIÓN'!P39</f>
        <v>13.620522999999999</v>
      </c>
      <c r="Q39" s="263">
        <f>+Q$3*'PROYECCIÓN GENERACIÓN'!Q39</f>
        <v>13.758534999999998</v>
      </c>
      <c r="R39" s="263">
        <f>+R$3*'PROYECCIÓN GENERACIÓN'!R39</f>
        <v>13.898031</v>
      </c>
      <c r="S39" s="263">
        <f>+S$3*'PROYECCIÓN GENERACIÓN'!S39</f>
        <v>14.038639999999999</v>
      </c>
      <c r="T39" s="263">
        <f>+T$3*'PROYECCIÓN GENERACIÓN'!T39</f>
        <v>14.180733</v>
      </c>
      <c r="U39" s="263">
        <f>+U$3*'PROYECCIÓN GENERACIÓN'!U39</f>
        <v>14.324681</v>
      </c>
      <c r="V39" s="263">
        <f>+V$3*'PROYECCIÓN GENERACIÓN'!V39</f>
        <v>14.469742</v>
      </c>
      <c r="W39" s="263">
        <f>+W$3*'PROYECCIÓN GENERACIÓN'!W39</f>
        <v>14.616287</v>
      </c>
      <c r="X39" s="263">
        <f>+X$3*'PROYECCIÓN GENERACIÓN'!X39</f>
        <v>14.764315999999999</v>
      </c>
      <c r="Y39" s="263">
        <f>+Y$3*'PROYECCIÓN GENERACIÓN'!Y39</f>
        <v>14.913828999999998</v>
      </c>
      <c r="Z39" s="263">
        <f>+Z$3*'PROYECCIÓN GENERACIÓN'!Z39</f>
        <v>15.064826</v>
      </c>
      <c r="AA39" s="565">
        <f t="shared" si="1"/>
        <v>12.07787585</v>
      </c>
    </row>
    <row r="40" spans="1:27" ht="24.95" customHeight="1">
      <c r="A40" s="351" t="str">
        <f>+Pobl_adoptada!A40</f>
        <v>Benito Juárez</v>
      </c>
      <c r="B40" s="70">
        <f>+Pobl_adoptada!B40</f>
        <v>36</v>
      </c>
      <c r="C40" s="353" t="str">
        <f>+Pobl_adoptada!C40</f>
        <v>Benito Juárez</v>
      </c>
      <c r="D40" s="261"/>
      <c r="E40" s="278"/>
      <c r="F40" s="263"/>
      <c r="G40" s="263">
        <f>+G$3*'PROYECCIÓN GENERACIÓN'!G40</f>
        <v>0.16474520000000001</v>
      </c>
      <c r="H40" s="263">
        <f>+H$3*'PROYECCIÓN GENERACIÓN'!H40</f>
        <v>1.3256783999999999</v>
      </c>
      <c r="I40" s="263">
        <f>+I$3*'PROYECCIÓN GENERACIÓN'!I40</f>
        <v>2.5001160000000002</v>
      </c>
      <c r="J40" s="263">
        <f>+J$3*'PROYECCIÓN GENERACIÓN'!J40</f>
        <v>4.19177</v>
      </c>
      <c r="K40" s="263">
        <f>+K$3*'PROYECCIÓN GENERACIÓN'!K40</f>
        <v>5.9037230000000012</v>
      </c>
      <c r="L40" s="263">
        <f>+L$3*'PROYECCIÓN GENERACIÓN'!L40</f>
        <v>5.9393390000000004</v>
      </c>
      <c r="M40" s="263">
        <f>+M$3*'PROYECCIÓN GENERACIÓN'!M40</f>
        <v>5.9756970000000003</v>
      </c>
      <c r="N40" s="263">
        <f>+N$3*'PROYECCIÓN GENERACIÓN'!N40</f>
        <v>6.0124260000000005</v>
      </c>
      <c r="O40" s="263">
        <f>+O$3*'PROYECCIÓN GENERACIÓN'!O40</f>
        <v>6.050268</v>
      </c>
      <c r="P40" s="263">
        <f>+P$3*'PROYECCIÓN GENERACIÓN'!P40</f>
        <v>6.0881099999999995</v>
      </c>
      <c r="Q40" s="263">
        <f>+Q$3*'PROYECCIÓN GENERACIÓN'!Q40</f>
        <v>6.127065</v>
      </c>
      <c r="R40" s="263">
        <f>+R$3*'PROYECCIÓN GENERACIÓN'!R40</f>
        <v>6.1663910000000008</v>
      </c>
      <c r="S40" s="263">
        <f>+S$3*'PROYECCIÓN GENERACIÓN'!S40</f>
        <v>6.2064590000000006</v>
      </c>
      <c r="T40" s="263">
        <f>+T$3*'PROYECCIÓN GENERACIÓN'!T40</f>
        <v>6.2472690000000002</v>
      </c>
      <c r="U40" s="263">
        <f>+U$3*'PROYECCIÓN GENERACIÓN'!U40</f>
        <v>6.2884499999999992</v>
      </c>
      <c r="V40" s="263">
        <f>+V$3*'PROYECCIÓN GENERACIÓN'!V40</f>
        <v>6.3307439999999993</v>
      </c>
      <c r="W40" s="263">
        <f>+W$3*'PROYECCIÓN GENERACIÓN'!W40</f>
        <v>6.3734089999999997</v>
      </c>
      <c r="X40" s="263">
        <f>+X$3*'PROYECCIÓN GENERACIÓN'!X40</f>
        <v>6.4168159999999999</v>
      </c>
      <c r="Y40" s="263">
        <f>+Y$3*'PROYECCIÓN GENERACIÓN'!Y40</f>
        <v>6.4609649999999998</v>
      </c>
      <c r="Z40" s="263">
        <f>+Z$3*'PROYECCIÓN GENERACIÓN'!Z40</f>
        <v>6.5058559999999988</v>
      </c>
      <c r="AA40" s="565">
        <f t="shared" si="1"/>
        <v>5.3637648299999992</v>
      </c>
    </row>
    <row r="41" spans="1:27" ht="24.95" customHeight="1">
      <c r="A41" s="351" t="str">
        <f>+Pobl_adoptada!A41</f>
        <v>Berisso</v>
      </c>
      <c r="B41" s="70">
        <f>+Pobl_adoptada!B41</f>
        <v>37</v>
      </c>
      <c r="C41" s="353" t="str">
        <f>+Pobl_adoptada!C41</f>
        <v>Berisso</v>
      </c>
      <c r="D41" s="261"/>
      <c r="E41" s="278"/>
      <c r="F41" s="263"/>
      <c r="G41" s="263">
        <f>+G$3*'PROYECCIÓN GENERACIÓN'!G41</f>
        <v>1.045245</v>
      </c>
      <c r="H41" s="263">
        <f>+H$3*'PROYECCIÓN GENERACIÓN'!H41</f>
        <v>8.4437232000000009</v>
      </c>
      <c r="I41" s="263">
        <f>+I$3*'PROYECCIÓN GENERACIÓN'!I41</f>
        <v>15.986816999999999</v>
      </c>
      <c r="J41" s="263">
        <f>+J$3*'PROYECCIÓN GENERACIÓN'!J41</f>
        <v>26.905305000000002</v>
      </c>
      <c r="K41" s="263">
        <f>+K$3*'PROYECCIÓN GENERACIÓN'!K41</f>
        <v>38.035851000000001</v>
      </c>
      <c r="L41" s="263">
        <f>+L$3*'PROYECCIÓN GENERACIÓN'!L41</f>
        <v>38.407844999999995</v>
      </c>
      <c r="M41" s="263">
        <f>+M$3*'PROYECCIÓN GENERACIÓN'!M41</f>
        <v>38.783408999999999</v>
      </c>
      <c r="N41" s="263">
        <f>+N$3*'PROYECCIÓN GENERACIÓN'!N41</f>
        <v>39.162542999999992</v>
      </c>
      <c r="O41" s="263">
        <f>+O$3*'PROYECCIÓN GENERACIÓN'!O41</f>
        <v>39.545603999999997</v>
      </c>
      <c r="P41" s="263">
        <f>+P$3*'PROYECCIÓN GENERACIÓN'!P41</f>
        <v>39.932234999999999</v>
      </c>
      <c r="Q41" s="263">
        <f>+Q$3*'PROYECCIÓN GENERACIÓN'!Q41</f>
        <v>40.322792999999997</v>
      </c>
      <c r="R41" s="263">
        <f>+R$3*'PROYECCIÓN GENERACIÓN'!R41</f>
        <v>40.717278</v>
      </c>
      <c r="S41" s="263">
        <f>+S$3*'PROYECCIÓN GENERACIÓN'!S41</f>
        <v>41.115333</v>
      </c>
      <c r="T41" s="263">
        <f>+T$3*'PROYECCIÓN GENERACIÓN'!T41</f>
        <v>41.517671999999997</v>
      </c>
      <c r="U41" s="263">
        <f>+U$3*'PROYECCIÓN GENERACIÓN'!U41</f>
        <v>41.923580999999999</v>
      </c>
      <c r="V41" s="263">
        <f>+V$3*'PROYECCIÓN GENERACIÓN'!V41</f>
        <v>42.333773999999998</v>
      </c>
      <c r="W41" s="263">
        <f>+W$3*'PROYECCIÓN GENERACIÓN'!W41</f>
        <v>42.747537000000001</v>
      </c>
      <c r="X41" s="263">
        <f>+X$3*'PROYECCIÓN GENERACIÓN'!X41</f>
        <v>43.165583999999996</v>
      </c>
      <c r="Y41" s="263">
        <f>+Y$3*'PROYECCIÓN GENERACIÓN'!Y41</f>
        <v>43.587914999999995</v>
      </c>
      <c r="Z41" s="263">
        <f>+Z$3*'PROYECCIÓN GENERACIÓN'!Z41</f>
        <v>44.014173</v>
      </c>
      <c r="AA41" s="565">
        <f t="shared" si="1"/>
        <v>35.384710859999998</v>
      </c>
    </row>
    <row r="42" spans="1:27" ht="24.95" customHeight="1">
      <c r="A42" s="351" t="str">
        <f>+Pobl_adoptada!A42</f>
        <v>Bolívar</v>
      </c>
      <c r="B42" s="70">
        <f>+Pobl_adoptada!B42</f>
        <v>38</v>
      </c>
      <c r="C42" s="353" t="str">
        <f>+Pobl_adoptada!C42</f>
        <v>San Carlos de Bolívar</v>
      </c>
      <c r="D42" s="261"/>
      <c r="E42" s="278"/>
      <c r="F42" s="263"/>
      <c r="G42" s="263">
        <f>+G$3*'PROYECCIÓN GENERACIÓN'!G42</f>
        <v>0.31027260000000001</v>
      </c>
      <c r="H42" s="263">
        <f>+H$3*'PROYECCIÓN GENERACIÓN'!H42</f>
        <v>2.4991408000000002</v>
      </c>
      <c r="I42" s="263">
        <f>+I$3*'PROYECCIÓN GENERACIÓN'!I42</f>
        <v>4.7180070000000001</v>
      </c>
      <c r="J42" s="263">
        <f>+J$3*'PROYECCIÓN GENERACIÓN'!J42</f>
        <v>7.9171400000000007</v>
      </c>
      <c r="K42" s="263">
        <f>+K$3*'PROYECCIÓN GENERACIÓN'!K42</f>
        <v>11.160050999999999</v>
      </c>
      <c r="L42" s="263">
        <f>+L$3*'PROYECCIÓN GENERACIÓN'!L42</f>
        <v>11.236476999999999</v>
      </c>
      <c r="M42" s="263">
        <f>+M$3*'PROYECCIÓN GENERACIÓN'!M42</f>
        <v>11.313274000000002</v>
      </c>
      <c r="N42" s="263">
        <f>+N$3*'PROYECCIÓN GENERACIÓN'!N42</f>
        <v>11.390813</v>
      </c>
      <c r="O42" s="263">
        <f>+O$3*'PROYECCIÓN GENERACIÓN'!O42</f>
        <v>11.468723000000001</v>
      </c>
      <c r="P42" s="263">
        <f>+P$3*'PROYECCIÓN GENERACIÓN'!P42</f>
        <v>11.547374999999999</v>
      </c>
      <c r="Q42" s="263">
        <f>+Q$3*'PROYECCIÓN GENERACIÓN'!Q42</f>
        <v>11.626398</v>
      </c>
      <c r="R42" s="263">
        <f>+R$3*'PROYECCIÓN GENERACIÓN'!R42</f>
        <v>11.706162999999998</v>
      </c>
      <c r="S42" s="263">
        <f>+S$3*'PROYECCIÓN GENERACIÓN'!S42</f>
        <v>11.786299</v>
      </c>
      <c r="T42" s="263">
        <f>+T$3*'PROYECCIÓN GENERACIÓN'!T42</f>
        <v>11.867177000000002</v>
      </c>
      <c r="U42" s="263">
        <f>+U$3*'PROYECCIÓN GENERACIÓN'!U42</f>
        <v>11.948426</v>
      </c>
      <c r="V42" s="263">
        <f>+V$3*'PROYECCIÓN GENERACIÓN'!V42</f>
        <v>12.030417000000002</v>
      </c>
      <c r="W42" s="263">
        <f>+W$3*'PROYECCIÓN GENERACIÓN'!W42</f>
        <v>12.112779</v>
      </c>
      <c r="X42" s="263">
        <f>+X$3*'PROYECCIÓN GENERACIÓN'!X42</f>
        <v>12.195511999999997</v>
      </c>
      <c r="Y42" s="263">
        <f>+Y$3*'PROYECCIÓN GENERACIÓN'!Y42</f>
        <v>12.278986999999999</v>
      </c>
      <c r="Z42" s="263">
        <f>+Z$3*'PROYECCIÓN GENERACIÓN'!Z42</f>
        <v>12.363204000000001</v>
      </c>
      <c r="AA42" s="565">
        <f t="shared" si="1"/>
        <v>10.173831770000001</v>
      </c>
    </row>
    <row r="43" spans="1:27" ht="24.95" customHeight="1">
      <c r="A43" s="351" t="str">
        <f>+Pobl_adoptada!A43</f>
        <v>Bragado</v>
      </c>
      <c r="B43" s="70">
        <f>+Pobl_adoptada!B43</f>
        <v>39</v>
      </c>
      <c r="C43" s="353" t="str">
        <f>+Pobl_adoptada!C43</f>
        <v>Bragado</v>
      </c>
      <c r="D43" s="261"/>
      <c r="E43" s="278"/>
      <c r="F43" s="263"/>
      <c r="G43" s="263">
        <f>+G$3*'PROYECCIÓN GENERACIÓN'!G43</f>
        <v>0.37221899999999997</v>
      </c>
      <c r="H43" s="263">
        <f>+H$3*'PROYECCIÓN GENERACIÓN'!H43</f>
        <v>2.9867408000000002</v>
      </c>
      <c r="I43" s="263">
        <f>+I$3*'PROYECCIÓN GENERACIÓN'!I43</f>
        <v>5.6171519999999999</v>
      </c>
      <c r="J43" s="263">
        <f>+J$3*'PROYECCIÓN GENERACIÓN'!J43</f>
        <v>9.3900100000000002</v>
      </c>
      <c r="K43" s="263">
        <f>+K$3*'PROYECCIÓN GENERACIÓN'!K43</f>
        <v>13.18534</v>
      </c>
      <c r="L43" s="263">
        <f>+L$3*'PROYECCIÓN GENERACIÓN'!L43</f>
        <v>13.224665999999999</v>
      </c>
      <c r="M43" s="263">
        <f>+M$3*'PROYECCIÓN GENERACIÓN'!M43</f>
        <v>13.263992</v>
      </c>
      <c r="N43" s="263">
        <f>+N$3*'PROYECCIÓN GENERACIÓN'!N43</f>
        <v>13.303688999999999</v>
      </c>
      <c r="O43" s="263">
        <f>+O$3*'PROYECCIÓN GENERACIÓN'!O43</f>
        <v>13.343014999999999</v>
      </c>
      <c r="P43" s="263">
        <f>+P$3*'PROYECCIÓN GENERACIÓN'!P43</f>
        <v>13.382341</v>
      </c>
      <c r="Q43" s="263">
        <f>+Q$3*'PROYECCIÓN GENERACIÓN'!Q43</f>
        <v>13.421666999999999</v>
      </c>
      <c r="R43" s="263">
        <f>+R$3*'PROYECCIÓN GENERACIÓN'!R43</f>
        <v>13.460993</v>
      </c>
      <c r="S43" s="263">
        <f>+S$3*'PROYECCIÓN GENERACIÓN'!S43</f>
        <v>13.500319000000001</v>
      </c>
      <c r="T43" s="263">
        <f>+T$3*'PROYECCIÓN GENERACIÓN'!T43</f>
        <v>13.540016</v>
      </c>
      <c r="U43" s="263">
        <f>+U$3*'PROYECCIÓN GENERACIÓN'!U43</f>
        <v>13.579342</v>
      </c>
      <c r="V43" s="263">
        <f>+V$3*'PROYECCIÓN GENERACIÓN'!V43</f>
        <v>13.618668</v>
      </c>
      <c r="W43" s="263">
        <f>+W$3*'PROYECCIÓN GENERACIÓN'!W43</f>
        <v>13.657994</v>
      </c>
      <c r="X43" s="263">
        <f>+X$3*'PROYECCIÓN GENERACIÓN'!X43</f>
        <v>13.697320000000001</v>
      </c>
      <c r="Y43" s="263">
        <f>+Y$3*'PROYECCIÓN GENERACIÓN'!Y43</f>
        <v>13.737017</v>
      </c>
      <c r="Z43" s="263">
        <f>+Z$3*'PROYECCIÓN GENERACIÓN'!Z43</f>
        <v>13.776343000000001</v>
      </c>
      <c r="AA43" s="565">
        <f t="shared" si="1"/>
        <v>11.702942189999998</v>
      </c>
    </row>
    <row r="44" spans="1:27" ht="24.95" customHeight="1">
      <c r="A44" s="351" t="str">
        <f>+Pobl_adoptada!A44</f>
        <v>Brandsen</v>
      </c>
      <c r="B44" s="70">
        <f>+Pobl_adoptada!B44</f>
        <v>40</v>
      </c>
      <c r="C44" s="353" t="str">
        <f>+Pobl_adoptada!C44</f>
        <v>Coronel Brandsen</v>
      </c>
      <c r="D44" s="261"/>
      <c r="E44" s="278"/>
      <c r="F44" s="263"/>
      <c r="G44" s="263">
        <f>+G$3*'PROYECCIÓN GENERACIÓN'!G44</f>
        <v>0.28617880000000001</v>
      </c>
      <c r="H44" s="263">
        <f>+H$3*'PROYECCIÓN GENERACIÓN'!H44</f>
        <v>2.3336960000000002</v>
      </c>
      <c r="I44" s="263">
        <f>+I$3*'PROYECCIÓN GENERACIÓN'!I44</f>
        <v>4.4602680000000001</v>
      </c>
      <c r="J44" s="263">
        <f>+J$3*'PROYECCIÓN GENERACIÓN'!J44</f>
        <v>7.5774100000000004</v>
      </c>
      <c r="K44" s="263">
        <f>+K$3*'PROYECCIÓN GENERACIÓN'!K44</f>
        <v>10.813166000000001</v>
      </c>
      <c r="L44" s="263">
        <f>+L$3*'PROYECCIÓN GENERACIÓN'!L44</f>
        <v>11.022038999999999</v>
      </c>
      <c r="M44" s="263">
        <f>+M$3*'PROYECCIÓN GENERACIÓN'!M44</f>
        <v>11.234992999999999</v>
      </c>
      <c r="N44" s="263">
        <f>+N$3*'PROYECCIÓN GENERACIÓN'!N44</f>
        <v>11.452028</v>
      </c>
      <c r="O44" s="263">
        <f>+O$3*'PROYECCIÓN GENERACIÓN'!O44</f>
        <v>11.673514999999998</v>
      </c>
      <c r="P44" s="263">
        <f>+P$3*'PROYECCIÓN GENERACIÓN'!P44</f>
        <v>11.899083000000001</v>
      </c>
      <c r="Q44" s="263">
        <f>+Q$3*'PROYECCIÓN GENERACIÓN'!Q44</f>
        <v>12.129103000000001</v>
      </c>
      <c r="R44" s="263">
        <f>+R$3*'PROYECCIÓN GENERACIÓN'!R44</f>
        <v>12.363204000000001</v>
      </c>
      <c r="S44" s="263">
        <f>+S$3*'PROYECCIÓN GENERACIÓN'!S44</f>
        <v>12.602128</v>
      </c>
      <c r="T44" s="263">
        <f>+T$3*'PROYECCIÓN GENERACIÓN'!T44</f>
        <v>12.845504000000002</v>
      </c>
      <c r="U44" s="263">
        <f>+U$3*'PROYECCIÓN GENERACIÓN'!U44</f>
        <v>13.093703</v>
      </c>
      <c r="V44" s="263">
        <f>+V$3*'PROYECCIÓN GENERACIÓN'!V44</f>
        <v>13.346724999999999</v>
      </c>
      <c r="W44" s="263">
        <f>+W$3*'PROYECCIÓN GENERACIÓN'!W44</f>
        <v>13.604940999999998</v>
      </c>
      <c r="X44" s="263">
        <f>+X$3*'PROYECCIÓN GENERACIÓN'!X44</f>
        <v>13.867609</v>
      </c>
      <c r="Y44" s="263">
        <f>+Y$3*'PROYECCIÓN GENERACIÓN'!Y44</f>
        <v>14.135471000000001</v>
      </c>
      <c r="Z44" s="263">
        <f>+Z$3*'PROYECCIÓN GENERACIÓN'!Z44</f>
        <v>14.408897999999997</v>
      </c>
      <c r="AA44" s="565">
        <f t="shared" si="1"/>
        <v>10.757483139999998</v>
      </c>
    </row>
    <row r="45" spans="1:27" ht="24.95" customHeight="1">
      <c r="A45" s="351" t="str">
        <f>+Pobl_adoptada!A45</f>
        <v>Campana</v>
      </c>
      <c r="B45" s="70">
        <f>+Pobl_adoptada!B45</f>
        <v>41</v>
      </c>
      <c r="C45" s="353" t="str">
        <f>+Pobl_adoptada!C45</f>
        <v>Campana</v>
      </c>
      <c r="D45" s="261"/>
      <c r="E45" s="278"/>
      <c r="F45" s="263"/>
      <c r="G45" s="263">
        <f>+G$3*'PROYECCIÓN GENERACIÓN'!G45</f>
        <v>1.0498860000000001</v>
      </c>
      <c r="H45" s="263">
        <f>+H$3*'PROYECCIÓN GENERACIÓN'!H45</f>
        <v>8.4810144000000012</v>
      </c>
      <c r="I45" s="263">
        <f>+I$3*'PROYECCIÓN GENERACIÓN'!I45</f>
        <v>16.055667</v>
      </c>
      <c r="J45" s="263">
        <f>+J$3*'PROYECCIÓN GENERACIÓN'!J45</f>
        <v>27.015464999999999</v>
      </c>
      <c r="K45" s="263">
        <f>+K$3*'PROYECCIÓN GENERACIÓN'!K45</f>
        <v>38.180078999999999</v>
      </c>
      <c r="L45" s="263">
        <f>+L$3*'PROYECCIÓN GENERACIÓN'!L45</f>
        <v>38.538507000000003</v>
      </c>
      <c r="M45" s="263">
        <f>+M$3*'PROYECCIÓN GENERACIÓN'!M45</f>
        <v>38.896934999999999</v>
      </c>
      <c r="N45" s="263">
        <f>+N$3*'PROYECCIÓN GENERACIÓN'!N45</f>
        <v>39.255362999999996</v>
      </c>
      <c r="O45" s="263">
        <f>+O$3*'PROYECCIÓN GENERACIÓN'!O45</f>
        <v>39.613790999999999</v>
      </c>
      <c r="P45" s="263">
        <f>+P$3*'PROYECCIÓN GENERACIÓN'!P45</f>
        <v>39.972218999999996</v>
      </c>
      <c r="Q45" s="263">
        <f>+Q$3*'PROYECCIÓN GENERACIÓN'!Q45</f>
        <v>40.330646999999999</v>
      </c>
      <c r="R45" s="263">
        <f>+R$3*'PROYECCIÓN GENERACIÓN'!R45</f>
        <v>40.689074999999995</v>
      </c>
      <c r="S45" s="263">
        <f>+S$3*'PROYECCIÓN GENERACIÓN'!S45</f>
        <v>41.047502999999999</v>
      </c>
      <c r="T45" s="263">
        <f>+T$3*'PROYECCIÓN GENERACIÓN'!T45</f>
        <v>41.405930999999995</v>
      </c>
      <c r="U45" s="263">
        <f>+U$3*'PROYECCIÓN GENERACIÓN'!U45</f>
        <v>41.764358999999999</v>
      </c>
      <c r="V45" s="263">
        <f>+V$3*'PROYECCIÓN GENERACIÓN'!V45</f>
        <v>42.123143999999996</v>
      </c>
      <c r="W45" s="263">
        <f>+W$3*'PROYECCIÓN GENERACIÓN'!W45</f>
        <v>42.481571999999993</v>
      </c>
      <c r="X45" s="263">
        <f>+X$3*'PROYECCIÓN GENERACIÓN'!X45</f>
        <v>42.839999999999996</v>
      </c>
      <c r="Y45" s="263">
        <f>+Y$3*'PROYECCIÓN GENERACIÓN'!Y45</f>
        <v>43.198428</v>
      </c>
      <c r="Z45" s="263">
        <f>+Z$3*'PROYECCIÓN GENERACIÓN'!Z45</f>
        <v>43.556855999999996</v>
      </c>
      <c r="AA45" s="565">
        <f t="shared" si="1"/>
        <v>35.324822070000003</v>
      </c>
    </row>
    <row r="46" spans="1:27" ht="24.95" customHeight="1">
      <c r="A46" s="351" t="str">
        <f>+Pobl_adoptada!A46</f>
        <v>Cañuelas</v>
      </c>
      <c r="B46" s="70">
        <f>+Pobl_adoptada!B46</f>
        <v>42</v>
      </c>
      <c r="C46" s="353" t="str">
        <f>+Pobl_adoptada!C46</f>
        <v>Cañuelas</v>
      </c>
      <c r="D46" s="261"/>
      <c r="E46" s="278"/>
      <c r="F46" s="263"/>
      <c r="G46" s="263">
        <f>+G$3*'PROYECCIÓN GENERACIÓN'!G46</f>
        <v>0.49997020000000009</v>
      </c>
      <c r="H46" s="263">
        <f>+H$3*'PROYECCIÓN GENERACIÓN'!H46</f>
        <v>4.1040656000000002</v>
      </c>
      <c r="I46" s="263">
        <f>+I$3*'PROYECCIÓN GENERACIÓN'!I46</f>
        <v>7.8938729999999993</v>
      </c>
      <c r="J46" s="263">
        <f>+J$3*'PROYECCIÓN GENERACIÓN'!J46</f>
        <v>13.493005</v>
      </c>
      <c r="K46" s="263">
        <f>+K$3*'PROYECCIÓN GENERACIÓN'!K46</f>
        <v>19.369168000000002</v>
      </c>
      <c r="L46" s="263">
        <f>+L$3*'PROYECCIÓN GENERACIÓN'!L46</f>
        <v>19.855549</v>
      </c>
      <c r="M46" s="263">
        <f>+M$3*'PROYECCIÓN GENERACIÓN'!M46</f>
        <v>20.350462999999998</v>
      </c>
      <c r="N46" s="263">
        <f>+N$3*'PROYECCIÓN GENERACIÓN'!N46</f>
        <v>20.853168</v>
      </c>
      <c r="O46" s="263">
        <f>+O$3*'PROYECCIÓN GENERACIÓN'!O46</f>
        <v>21.364035000000001</v>
      </c>
      <c r="P46" s="263">
        <f>+P$3*'PROYECCIÓN GENERACIÓN'!P46</f>
        <v>21.883064000000001</v>
      </c>
      <c r="Q46" s="263">
        <f>+Q$3*'PROYECCIÓN GENERACIÓN'!Q46</f>
        <v>22.410997000000002</v>
      </c>
      <c r="R46" s="263">
        <f>+R$3*'PROYECCIÓN GENERACIÓN'!R46</f>
        <v>22.947092000000001</v>
      </c>
      <c r="S46" s="263">
        <f>+S$3*'PROYECCIÓN GENERACIÓN'!S46</f>
        <v>23.492091000000006</v>
      </c>
      <c r="T46" s="263">
        <f>+T$3*'PROYECCIÓN GENERACIÓN'!T46</f>
        <v>24.045993999999997</v>
      </c>
      <c r="U46" s="263">
        <f>+U$3*'PROYECCIÓN GENERACIÓN'!U46</f>
        <v>24.609171999999997</v>
      </c>
      <c r="V46" s="263">
        <f>+V$3*'PROYECCIÓN GENERACIÓN'!V46</f>
        <v>25.181253999999996</v>
      </c>
      <c r="W46" s="263">
        <f>+W$3*'PROYECCIÓN GENERACIÓN'!W46</f>
        <v>25.762981999999997</v>
      </c>
      <c r="X46" s="263">
        <f>+X$3*'PROYECCIÓN GENERACIÓN'!X46</f>
        <v>26.353614</v>
      </c>
      <c r="Y46" s="263">
        <f>+Y$3*'PROYECCIÓN GENERACIÓN'!Y46</f>
        <v>26.954262999999997</v>
      </c>
      <c r="Z46" s="263">
        <f>+Z$3*'PROYECCIÓN GENERACIÓN'!Z46</f>
        <v>27.564928999999999</v>
      </c>
      <c r="AA46" s="565">
        <f t="shared" si="1"/>
        <v>19.949437440000004</v>
      </c>
    </row>
    <row r="47" spans="1:27" ht="24.95" customHeight="1">
      <c r="A47" s="351" t="str">
        <f>+Pobl_adoptada!A47</f>
        <v>Capitán Sarmiento</v>
      </c>
      <c r="B47" s="70">
        <f>+Pobl_adoptada!B47</f>
        <v>43</v>
      </c>
      <c r="C47" s="353" t="str">
        <f>+Pobl_adoptada!C47</f>
        <v>Capitán Sarmiento</v>
      </c>
      <c r="D47" s="261"/>
      <c r="E47" s="278"/>
      <c r="F47" s="263"/>
      <c r="G47" s="263">
        <f>+G$3*'PROYECCIÓN GENERACIÓN'!G47</f>
        <v>0.1689322</v>
      </c>
      <c r="H47" s="263">
        <f>+H$3*'PROYECCIÓN GENERACIÓN'!H47</f>
        <v>1.3668064000000002</v>
      </c>
      <c r="I47" s="263">
        <f>+I$3*'PROYECCIÓN GENERACIÓN'!I47</f>
        <v>2.5915410000000003</v>
      </c>
      <c r="J47" s="263">
        <f>+J$3*'PROYECCIÓN GENERACIÓN'!J47</f>
        <v>4.3671999999999995</v>
      </c>
      <c r="K47" s="263">
        <f>+K$3*'PROYECCIÓN GENERACIÓN'!K47</f>
        <v>6.1812309999999995</v>
      </c>
      <c r="L47" s="263">
        <f>+L$3*'PROYECCIÓN GENERACIÓN'!L47</f>
        <v>6.2483820000000003</v>
      </c>
      <c r="M47" s="263">
        <f>+M$3*'PROYECCIÓN GENERACIÓN'!M47</f>
        <v>6.3155329999999994</v>
      </c>
      <c r="N47" s="263">
        <f>+N$3*'PROYECCIÓN GENERACIÓN'!N47</f>
        <v>6.3830549999999988</v>
      </c>
      <c r="O47" s="263">
        <f>+O$3*'PROYECCIÓN GENERACIÓN'!O47</f>
        <v>6.4502059999999997</v>
      </c>
      <c r="P47" s="263">
        <f>+P$3*'PROYECCIÓN GENERACIÓN'!P47</f>
        <v>6.5173570000000005</v>
      </c>
      <c r="Q47" s="263">
        <f>+Q$3*'PROYECCIÓN GENERACIÓN'!Q47</f>
        <v>6.5845079999999996</v>
      </c>
      <c r="R47" s="263">
        <f>+R$3*'PROYECCIÓN GENERACIÓN'!R47</f>
        <v>6.6516590000000004</v>
      </c>
      <c r="S47" s="263">
        <f>+S$3*'PROYECCIÓN GENERACIÓN'!S47</f>
        <v>6.7188100000000013</v>
      </c>
      <c r="T47" s="263">
        <f>+T$3*'PROYECCIÓN GENERACIÓN'!T47</f>
        <v>6.7859610000000004</v>
      </c>
      <c r="U47" s="263">
        <f>+U$3*'PROYECCIÓN GENERACIÓN'!U47</f>
        <v>6.8531119999999994</v>
      </c>
      <c r="V47" s="263">
        <f>+V$3*'PROYECCIÓN GENERACIÓN'!V47</f>
        <v>6.9202629999999994</v>
      </c>
      <c r="W47" s="263">
        <f>+W$3*'PROYECCIÓN GENERACIÓN'!W47</f>
        <v>6.9877850000000006</v>
      </c>
      <c r="X47" s="263">
        <f>+X$3*'PROYECCIÓN GENERACIÓN'!X47</f>
        <v>7.0549359999999997</v>
      </c>
      <c r="Y47" s="263">
        <f>+Y$3*'PROYECCIÓN GENERACIÓN'!Y47</f>
        <v>7.1220869999999996</v>
      </c>
      <c r="Z47" s="263">
        <f>+Z$3*'PROYECCIÓN GENERACIÓN'!Z47</f>
        <v>7.1892380000000005</v>
      </c>
      <c r="AA47" s="565">
        <f t="shared" si="1"/>
        <v>5.7729301299999998</v>
      </c>
    </row>
    <row r="48" spans="1:27" ht="24.95" customHeight="1">
      <c r="A48" s="351" t="str">
        <f>+Pobl_adoptada!A48</f>
        <v>Carlos Casares</v>
      </c>
      <c r="B48" s="70">
        <f>+Pobl_adoptada!B48</f>
        <v>44</v>
      </c>
      <c r="C48" s="353" t="str">
        <f>+Pobl_adoptada!C48</f>
        <v>Carlos Casares</v>
      </c>
      <c r="D48" s="261"/>
      <c r="E48" s="278"/>
      <c r="F48" s="263"/>
      <c r="G48" s="263">
        <f>+G$3*'PROYECCIÓN GENERACIÓN'!G48</f>
        <v>0.21914440000000002</v>
      </c>
      <c r="H48" s="263">
        <f>+H$3*'PROYECCIÓN GENERACIÓN'!H48</f>
        <v>1.7662992000000004</v>
      </c>
      <c r="I48" s="263">
        <f>+I$3*'PROYECCIÓN GENERACIÓN'!I48</f>
        <v>3.3366150000000006</v>
      </c>
      <c r="J48" s="263">
        <f>+J$3*'PROYECCIÓN GENERACIÓN'!J48</f>
        <v>5.6026300000000004</v>
      </c>
      <c r="K48" s="263">
        <f>+K$3*'PROYECCIÓN GENERACIÓN'!K48</f>
        <v>7.9026709999999998</v>
      </c>
      <c r="L48" s="263">
        <f>+L$3*'PROYECCIÓN GENERACIÓN'!L48</f>
        <v>7.9616600000000002</v>
      </c>
      <c r="M48" s="263">
        <f>+M$3*'PROYECCIÓN GENERACIÓN'!M48</f>
        <v>8.0213910000000013</v>
      </c>
      <c r="N48" s="263">
        <f>+N$3*'PROYECCIÓN GENERACIÓN'!N48</f>
        <v>8.081493</v>
      </c>
      <c r="O48" s="263">
        <f>+O$3*'PROYECCIÓN GENERACIÓN'!O48</f>
        <v>8.141966</v>
      </c>
      <c r="P48" s="263">
        <f>+P$3*'PROYECCIÓN GENERACIÓN'!P48</f>
        <v>8.2031810000000007</v>
      </c>
      <c r="Q48" s="263">
        <f>+Q$3*'PROYECCIÓN GENERACIÓN'!Q48</f>
        <v>8.2643959999999996</v>
      </c>
      <c r="R48" s="263">
        <f>+R$3*'PROYECCIÓN GENERACIÓN'!R48</f>
        <v>8.3263529999999992</v>
      </c>
      <c r="S48" s="263">
        <f>+S$3*'PROYECCIÓN GENERACIÓN'!S48</f>
        <v>8.3890519999999995</v>
      </c>
      <c r="T48" s="263">
        <f>+T$3*'PROYECCIÓN GENERACIÓN'!T48</f>
        <v>8.4517509999999998</v>
      </c>
      <c r="U48" s="263">
        <f>+U$3*'PROYECCIÓN GENERACIÓN'!U48</f>
        <v>8.5151920000000008</v>
      </c>
      <c r="V48" s="263">
        <f>+V$3*'PROYECCIÓN GENERACIÓN'!V48</f>
        <v>8.5790040000000012</v>
      </c>
      <c r="W48" s="263">
        <f>+W$3*'PROYECCIÓN GENERACIÓN'!W48</f>
        <v>8.6431869999999993</v>
      </c>
      <c r="X48" s="263">
        <f>+X$3*'PROYECCIÓN GENERACIÓN'!X48</f>
        <v>8.7077410000000004</v>
      </c>
      <c r="Y48" s="263">
        <f>+Y$3*'PROYECCIÓN GENERACIÓN'!Y48</f>
        <v>8.7730369999999986</v>
      </c>
      <c r="Z48" s="263">
        <f>+Z$3*'PROYECCIÓN GENERACIÓN'!Z48</f>
        <v>8.8387039999999999</v>
      </c>
      <c r="AA48" s="565">
        <f t="shared" si="1"/>
        <v>7.2362733800000001</v>
      </c>
    </row>
    <row r="49" spans="1:27" ht="24.95" customHeight="1">
      <c r="A49" s="351" t="str">
        <f>+Pobl_adoptada!A49</f>
        <v>Carlos Tejedor</v>
      </c>
      <c r="B49" s="70">
        <f>+Pobl_adoptada!B49</f>
        <v>45</v>
      </c>
      <c r="C49" s="353" t="str">
        <f>+Pobl_adoptada!C49</f>
        <v>Carlos Tejedor</v>
      </c>
      <c r="D49" s="261"/>
      <c r="E49" s="278"/>
      <c r="F49" s="263"/>
      <c r="G49" s="263">
        <f>+G$3*'PROYECCIÓN GENERACIÓN'!G49</f>
        <v>5.1032399999999999E-2</v>
      </c>
      <c r="H49" s="263">
        <f>+H$3*'PROYECCIÓN GENERACIÓN'!H49</f>
        <v>0.40973120000000002</v>
      </c>
      <c r="I49" s="263">
        <f>+I$3*'PROYECCIÓN GENERACIÓN'!I49</f>
        <v>0.77114399999999994</v>
      </c>
      <c r="J49" s="263">
        <f>+J$3*'PROYECCIÓN GENERACIÓN'!J49</f>
        <v>1.2898400000000001</v>
      </c>
      <c r="K49" s="263">
        <f>+K$3*'PROYECCIÓN GENERACIÓN'!K49</f>
        <v>1.8122159999999998</v>
      </c>
      <c r="L49" s="263">
        <f>+L$3*'PROYECCIÓN GENERACIÓN'!L49</f>
        <v>1.8186559999999998</v>
      </c>
      <c r="M49" s="263">
        <f>+M$3*'PROYECCIÓN GENERACIÓN'!M49</f>
        <v>1.8250960000000001</v>
      </c>
      <c r="N49" s="263">
        <f>+N$3*'PROYECCIÓN GENERACIÓN'!N49</f>
        <v>1.831858</v>
      </c>
      <c r="O49" s="263">
        <f>+O$3*'PROYECCIÓN GENERACIÓN'!O49</f>
        <v>1.8382980000000002</v>
      </c>
      <c r="P49" s="263">
        <f>+P$3*'PROYECCIÓN GENERACIÓN'!P49</f>
        <v>1.844738</v>
      </c>
      <c r="Q49" s="263">
        <f>+Q$3*'PROYECCIÓN GENERACIÓN'!Q49</f>
        <v>1.851178</v>
      </c>
      <c r="R49" s="263">
        <f>+R$3*'PROYECCIÓN GENERACIÓN'!R49</f>
        <v>1.8579400000000001</v>
      </c>
      <c r="S49" s="263">
        <f>+S$3*'PROYECCIÓN GENERACIÓN'!S49</f>
        <v>1.8643799999999999</v>
      </c>
      <c r="T49" s="263">
        <f>+T$3*'PROYECCIÓN GENERACIÓN'!T49</f>
        <v>1.8708199999999999</v>
      </c>
      <c r="U49" s="263">
        <f>+U$3*'PROYECCIÓN GENERACIÓN'!U49</f>
        <v>1.8772599999999999</v>
      </c>
      <c r="V49" s="263">
        <f>+V$3*'PROYECCIÓN GENERACIÓN'!V49</f>
        <v>1.8840220000000001</v>
      </c>
      <c r="W49" s="263">
        <f>+W$3*'PROYECCIÓN GENERACIÓN'!W49</f>
        <v>1.8904620000000003</v>
      </c>
      <c r="X49" s="263">
        <f>+X$3*'PROYECCIÓN GENERACIÓN'!X49</f>
        <v>1.8969019999999999</v>
      </c>
      <c r="Y49" s="263">
        <f>+Y$3*'PROYECCIÓN GENERACIÓN'!Y49</f>
        <v>1.9033419999999996</v>
      </c>
      <c r="Z49" s="263">
        <f>+Z$3*'PROYECCIÓN GENERACIÓN'!Z49</f>
        <v>1.9101039999999998</v>
      </c>
      <c r="AA49" s="565">
        <f t="shared" si="1"/>
        <v>1.6149509799999997</v>
      </c>
    </row>
    <row r="50" spans="1:27" ht="24.95" customHeight="1">
      <c r="A50" s="351" t="str">
        <f>+Pobl_adoptada!A50</f>
        <v>Carmen de Areco</v>
      </c>
      <c r="B50" s="70">
        <f>+Pobl_adoptada!B50</f>
        <v>46</v>
      </c>
      <c r="C50" s="353" t="str">
        <f>+Pobl_adoptada!C50</f>
        <v>Carmen de Areco</v>
      </c>
      <c r="D50" s="261"/>
      <c r="E50" s="278"/>
      <c r="F50" s="263"/>
      <c r="G50" s="263">
        <f>+G$3*'PROYECCIÓN GENERACIÓN'!G50</f>
        <v>0.16680160000000002</v>
      </c>
      <c r="H50" s="263">
        <f>+H$3*'PROYECCIÓN GENERACIÓN'!H50</f>
        <v>1.3487439999999997</v>
      </c>
      <c r="I50" s="263">
        <f>+I$3*'PROYECCIÓN GENERACIÓN'!I50</f>
        <v>2.5557660000000002</v>
      </c>
      <c r="J50" s="263">
        <f>+J$3*'PROYECCIÓN GENERACIÓN'!J50</f>
        <v>4.3041299999999998</v>
      </c>
      <c r="K50" s="263">
        <f>+K$3*'PROYECCIÓN GENERACIÓN'!K50</f>
        <v>6.0884809999999998</v>
      </c>
      <c r="L50" s="263">
        <f>+L$3*'PROYECCIÓN GENERACIÓN'!L50</f>
        <v>6.1511799999999992</v>
      </c>
      <c r="M50" s="263">
        <f>+M$3*'PROYECCIÓN GENERACIÓN'!M50</f>
        <v>6.2138790000000013</v>
      </c>
      <c r="N50" s="263">
        <f>+N$3*'PROYECCIÓN GENERACIÓN'!N50</f>
        <v>6.2765779999999998</v>
      </c>
      <c r="O50" s="263">
        <f>+O$3*'PROYECCIÓN GENERACIÓN'!O50</f>
        <v>6.3392770000000001</v>
      </c>
      <c r="P50" s="263">
        <f>+P$3*'PROYECCIÓN GENERACIÓN'!P50</f>
        <v>6.4016049999999991</v>
      </c>
      <c r="Q50" s="263">
        <f>+Q$3*'PROYECCIÓN GENERACIÓN'!Q50</f>
        <v>6.4643040000000003</v>
      </c>
      <c r="R50" s="263">
        <f>+R$3*'PROYECCIÓN GENERACIÓN'!R50</f>
        <v>6.5270030000000006</v>
      </c>
      <c r="S50" s="263">
        <f>+S$3*'PROYECCIÓN GENERACIÓN'!S50</f>
        <v>6.5897020000000008</v>
      </c>
      <c r="T50" s="263">
        <f>+T$3*'PROYECCIÓN GENERACIÓN'!T50</f>
        <v>6.6524009999999993</v>
      </c>
      <c r="U50" s="263">
        <f>+U$3*'PROYECCIÓN GENERACIÓN'!U50</f>
        <v>6.7150999999999996</v>
      </c>
      <c r="V50" s="263">
        <f>+V$3*'PROYECCIÓN GENERACIÓN'!V50</f>
        <v>6.7777989999999999</v>
      </c>
      <c r="W50" s="263">
        <f>+W$3*'PROYECCIÓN GENERACIÓN'!W50</f>
        <v>6.8401269999999998</v>
      </c>
      <c r="X50" s="263">
        <f>+X$3*'PROYECCIÓN GENERACIÓN'!X50</f>
        <v>6.9028260000000001</v>
      </c>
      <c r="Y50" s="263">
        <f>+Y$3*'PROYECCIÓN GENERACIÓN'!Y50</f>
        <v>6.9655249999999995</v>
      </c>
      <c r="Z50" s="263">
        <f>+Z$3*'PROYECCIÓN GENERACIÓN'!Z50</f>
        <v>7.0282239999999989</v>
      </c>
      <c r="AA50" s="565">
        <f t="shared" si="1"/>
        <v>5.6654726299999991</v>
      </c>
    </row>
    <row r="51" spans="1:27" ht="24.95" customHeight="1">
      <c r="A51" s="351" t="str">
        <f>+Pobl_adoptada!A51</f>
        <v>Castelli</v>
      </c>
      <c r="B51" s="70">
        <f>+Pobl_adoptada!B51</f>
        <v>47</v>
      </c>
      <c r="C51" s="353" t="str">
        <f>+Pobl_adoptada!C51</f>
        <v>Castelli</v>
      </c>
      <c r="D51" s="261"/>
      <c r="E51" s="278"/>
      <c r="F51" s="263"/>
      <c r="G51" s="263">
        <f>+G$3*'PROYECCIÓN GENERACIÓN'!G51</f>
        <v>8.5458800000000001E-2</v>
      </c>
      <c r="H51" s="263">
        <f>+H$3*'PROYECCIÓN GENERACIÓN'!H51</f>
        <v>0.69603520000000008</v>
      </c>
      <c r="I51" s="263">
        <f>+I$3*'PROYECCIÓN GENERACIÓN'!I51</f>
        <v>1.3283879999999999</v>
      </c>
      <c r="J51" s="263">
        <f>+J$3*'PROYECCIÓN GENERACIÓN'!J51</f>
        <v>2.2526199999999998</v>
      </c>
      <c r="K51" s="263">
        <f>+K$3*'PROYECCIÓN GENERACIÓN'!K51</f>
        <v>3.2077640000000001</v>
      </c>
      <c r="L51" s="263">
        <f>+L$3*'PROYECCIÓN GENERACIÓN'!L51</f>
        <v>3.2744179999999998</v>
      </c>
      <c r="M51" s="263">
        <f>+M$3*'PROYECCIÓN GENERACIÓN'!M51</f>
        <v>3.3407499999999999</v>
      </c>
      <c r="N51" s="263">
        <f>+N$3*'PROYECCIÓN GENERACIÓN'!N51</f>
        <v>3.4074040000000001</v>
      </c>
      <c r="O51" s="263">
        <f>+O$3*'PROYECCIÓN GENERACIÓN'!O51</f>
        <v>3.4737360000000002</v>
      </c>
      <c r="P51" s="263">
        <f>+P$3*'PROYECCIÓN GENERACIÓN'!P51</f>
        <v>3.5403899999999995</v>
      </c>
      <c r="Q51" s="263">
        <f>+Q$3*'PROYECCIÓN GENERACIÓN'!Q51</f>
        <v>3.6067219999999995</v>
      </c>
      <c r="R51" s="263">
        <f>+R$3*'PROYECCIÓN GENERACIÓN'!R51</f>
        <v>3.6733759999999998</v>
      </c>
      <c r="S51" s="263">
        <f>+S$3*'PROYECCIÓN GENERACIÓN'!S51</f>
        <v>3.7397080000000003</v>
      </c>
      <c r="T51" s="263">
        <f>+T$3*'PROYECCIÓN GENERACIÓN'!T51</f>
        <v>3.8060399999999994</v>
      </c>
      <c r="U51" s="263">
        <f>+U$3*'PROYECCIÓN GENERACIÓN'!U51</f>
        <v>3.8726939999999996</v>
      </c>
      <c r="V51" s="263">
        <f>+V$3*'PROYECCIÓN GENERACIÓN'!V51</f>
        <v>3.9390259999999997</v>
      </c>
      <c r="W51" s="263">
        <f>+W$3*'PROYECCIÓN GENERACIÓN'!W51</f>
        <v>4.0056799999999999</v>
      </c>
      <c r="X51" s="263">
        <f>+X$3*'PROYECCIÓN GENERACIÓN'!X51</f>
        <v>4.0720119999999991</v>
      </c>
      <c r="Y51" s="263">
        <f>+Y$3*'PROYECCIÓN GENERACIÓN'!Y51</f>
        <v>4.1386659999999997</v>
      </c>
      <c r="Z51" s="263">
        <f>+Z$3*'PROYECCIÓN GENERACIÓN'!Z51</f>
        <v>4.2049979999999998</v>
      </c>
      <c r="AA51" s="565">
        <f t="shared" si="1"/>
        <v>3.1832942999999991</v>
      </c>
    </row>
    <row r="52" spans="1:27" ht="24.95" customHeight="1">
      <c r="A52" s="351" t="str">
        <f>+Pobl_adoptada!A52</f>
        <v>Chacabuco</v>
      </c>
      <c r="B52" s="70">
        <f>+Pobl_adoptada!B52</f>
        <v>48</v>
      </c>
      <c r="C52" s="353" t="str">
        <f>+Pobl_adoptada!C52</f>
        <v>Chacabuco</v>
      </c>
      <c r="D52" s="261"/>
      <c r="E52" s="278"/>
      <c r="F52" s="263"/>
      <c r="G52" s="263">
        <f>+G$3*'PROYECCIÓN GENERACIÓN'!G52</f>
        <v>0.47869600000000007</v>
      </c>
      <c r="H52" s="263">
        <f>+H$3*'PROYECCIÓN GENERACIÓN'!H52</f>
        <v>3.8648448000000002</v>
      </c>
      <c r="I52" s="263">
        <f>+I$3*'PROYECCIÓN GENERACIÓN'!I52</f>
        <v>7.312568999999999</v>
      </c>
      <c r="J52" s="263">
        <f>+J$3*'PROYECCIÓN GENERACIÓN'!J52</f>
        <v>12.297855000000002</v>
      </c>
      <c r="K52" s="263">
        <f>+K$3*'PROYECCIÓN GENERACIÓN'!K52</f>
        <v>17.370961999999999</v>
      </c>
      <c r="L52" s="263">
        <f>+L$3*'PROYECCIÓN GENERACIÓN'!L52</f>
        <v>17.524927000000002</v>
      </c>
      <c r="M52" s="263">
        <f>+M$3*'PROYECCIÓN GENERACIÓN'!M52</f>
        <v>17.679262999999999</v>
      </c>
      <c r="N52" s="263">
        <f>+N$3*'PROYECCIÓN GENERACIÓN'!N52</f>
        <v>17.833227999999998</v>
      </c>
      <c r="O52" s="263">
        <f>+O$3*'PROYECCIÓN GENERACIÓN'!O52</f>
        <v>17.987563999999999</v>
      </c>
      <c r="P52" s="263">
        <f>+P$3*'PROYECCIÓN GENERACIÓN'!P52</f>
        <v>18.141528999999998</v>
      </c>
      <c r="Q52" s="263">
        <f>+Q$3*'PROYECCIÓN GENERACIÓN'!Q52</f>
        <v>18.295493999999998</v>
      </c>
      <c r="R52" s="263">
        <f>+R$3*'PROYECCIÓN GENERACIÓN'!R52</f>
        <v>18.449830000000002</v>
      </c>
      <c r="S52" s="263">
        <f>+S$3*'PROYECCIÓN GENERACIÓN'!S52</f>
        <v>18.603795000000002</v>
      </c>
      <c r="T52" s="263">
        <f>+T$3*'PROYECCIÓN GENERACIÓN'!T52</f>
        <v>18.758130999999999</v>
      </c>
      <c r="U52" s="263">
        <f>+U$3*'PROYECCIÓN GENERACIÓN'!U52</f>
        <v>18.912096000000002</v>
      </c>
      <c r="V52" s="263">
        <f>+V$3*'PROYECCIÓN GENERACIÓN'!V52</f>
        <v>19.066060999999998</v>
      </c>
      <c r="W52" s="263">
        <f>+W$3*'PROYECCIÓN GENERACIÓN'!W52</f>
        <v>19.220397000000002</v>
      </c>
      <c r="X52" s="263">
        <f>+X$3*'PROYECCIÓN GENERACIÓN'!X52</f>
        <v>19.374361999999998</v>
      </c>
      <c r="Y52" s="263">
        <f>+Y$3*'PROYECCIÓN GENERACIÓN'!Y52</f>
        <v>19.528697999999999</v>
      </c>
      <c r="Z52" s="263">
        <f>+Z$3*'PROYECCIÓN GENERACIÓN'!Z52</f>
        <v>19.682662999999998</v>
      </c>
      <c r="AA52" s="565">
        <f t="shared" si="1"/>
        <v>16.01914824</v>
      </c>
    </row>
    <row r="53" spans="1:27" ht="24.95" customHeight="1">
      <c r="A53" s="351" t="str">
        <f>+Pobl_adoptada!A53</f>
        <v>Chascomús</v>
      </c>
      <c r="B53" s="70">
        <f>+Pobl_adoptada!B53</f>
        <v>49</v>
      </c>
      <c r="C53" s="353" t="str">
        <f>+Pobl_adoptada!C53</f>
        <v>Chascomús</v>
      </c>
      <c r="D53" s="261"/>
      <c r="E53" s="278"/>
      <c r="F53" s="263"/>
      <c r="G53" s="263">
        <f>+G$3*'PROYECCIÓN GENERACIÓN'!G53</f>
        <v>0.419124</v>
      </c>
      <c r="H53" s="263">
        <f>+H$3*'PROYECCIÓN GENERACIÓN'!H53</f>
        <v>3.3872512000000001</v>
      </c>
      <c r="I53" s="263">
        <f>+I$3*'PROYECCIÓN GENERACIÓN'!I53</f>
        <v>6.4159680000000003</v>
      </c>
      <c r="J53" s="263">
        <f>+J$3*'PROYECCIÓN GENERACIÓN'!J53</f>
        <v>10.802460000000002</v>
      </c>
      <c r="K53" s="263">
        <f>+K$3*'PROYECCIÓN GENERACIÓN'!K53</f>
        <v>15.27778</v>
      </c>
      <c r="L53" s="263">
        <f>+L$3*'PROYECCIÓN GENERACIÓN'!L53</f>
        <v>15.433971000000001</v>
      </c>
      <c r="M53" s="263">
        <f>+M$3*'PROYECCIÓN GENERACIÓN'!M53</f>
        <v>15.591646000000001</v>
      </c>
      <c r="N53" s="263">
        <f>+N$3*'PROYECCIÓN GENERACIÓN'!N53</f>
        <v>15.750805000000001</v>
      </c>
      <c r="O53" s="263">
        <f>+O$3*'PROYECCIÓN GENERACIÓN'!O53</f>
        <v>15.911448</v>
      </c>
      <c r="P53" s="263">
        <f>+P$3*'PROYECCIÓN GENERACIÓN'!P53</f>
        <v>16.073945999999999</v>
      </c>
      <c r="Q53" s="263">
        <f>+Q$3*'PROYECCIÓN GENERACIÓN'!Q53</f>
        <v>16.238298999999998</v>
      </c>
      <c r="R53" s="263">
        <f>+R$3*'PROYECCIÓN GENERACIÓN'!R53</f>
        <v>16.404136000000001</v>
      </c>
      <c r="S53" s="263">
        <f>+S$3*'PROYECCIÓN GENERACIÓN'!S53</f>
        <v>16.571456999999999</v>
      </c>
      <c r="T53" s="263">
        <f>+T$3*'PROYECCIÓN GENERACIÓN'!T53</f>
        <v>16.741004</v>
      </c>
      <c r="U53" s="263">
        <f>+U$3*'PROYECCIÓN GENERACIÓN'!U53</f>
        <v>16.911663999999998</v>
      </c>
      <c r="V53" s="263">
        <f>+V$3*'PROYECCIÓN GENERACIÓN'!V53</f>
        <v>17.08455</v>
      </c>
      <c r="W53" s="263">
        <f>+W$3*'PROYECCIÓN GENERACIÓN'!W53</f>
        <v>17.25892</v>
      </c>
      <c r="X53" s="263">
        <f>+X$3*'PROYECCIÓN GENERACIÓN'!X53</f>
        <v>17.435144999999999</v>
      </c>
      <c r="Y53" s="263">
        <f>+Y$3*'PROYECCIÓN GENERACIÓN'!Y53</f>
        <v>17.613225</v>
      </c>
      <c r="Z53" s="263">
        <f>+Z$3*'PROYECCIÓN GENERACIÓN'!Z53</f>
        <v>17.79316</v>
      </c>
      <c r="AA53" s="565">
        <f t="shared" si="1"/>
        <v>14.255797960000001</v>
      </c>
    </row>
    <row r="54" spans="1:27" ht="24.95" customHeight="1">
      <c r="A54" s="351" t="str">
        <f>+Pobl_adoptada!A54</f>
        <v>Chivilcoy</v>
      </c>
      <c r="B54" s="70">
        <f>+Pobl_adoptada!B54</f>
        <v>50</v>
      </c>
      <c r="C54" s="353" t="str">
        <f>+Pobl_adoptada!C54</f>
        <v>Chivilcoy</v>
      </c>
      <c r="D54" s="261"/>
      <c r="E54" s="278"/>
      <c r="F54" s="263"/>
      <c r="G54" s="263">
        <f>+G$3*'PROYECCIÓN GENERACIÓN'!G54</f>
        <v>0.68220660000000011</v>
      </c>
      <c r="H54" s="263">
        <f>+H$3*'PROYECCIÓN GENERACIÓN'!H54</f>
        <v>5.5026959999999994</v>
      </c>
      <c r="I54" s="263">
        <f>+I$3*'PROYECCIÓN GENERACIÓN'!I54</f>
        <v>10.401857999999999</v>
      </c>
      <c r="J54" s="263">
        <f>+J$3*'PROYECCIÓN GENERACIÓN'!J54</f>
        <v>17.476935000000001</v>
      </c>
      <c r="K54" s="263">
        <f>+K$3*'PROYECCIÓN GENERACIÓN'!K54</f>
        <v>24.664415999999996</v>
      </c>
      <c r="L54" s="263">
        <f>+L$3*'PROYECCIÓN GENERACIÓN'!L54</f>
        <v>24.861122999999999</v>
      </c>
      <c r="M54" s="263">
        <f>+M$3*'PROYECCIÓN GENERACIÓN'!M54</f>
        <v>25.057829999999999</v>
      </c>
      <c r="N54" s="263">
        <f>+N$3*'PROYECCIÓN GENERACIÓN'!N54</f>
        <v>25.254894</v>
      </c>
      <c r="O54" s="263">
        <f>+O$3*'PROYECCIÓN GENERACIÓN'!O54</f>
        <v>25.451601</v>
      </c>
      <c r="P54" s="263">
        <f>+P$3*'PROYECCIÓN GENERACIÓN'!P54</f>
        <v>25.648308000000004</v>
      </c>
      <c r="Q54" s="263">
        <f>+Q$3*'PROYECCIÓN GENERACIÓN'!Q54</f>
        <v>25.845015</v>
      </c>
      <c r="R54" s="263">
        <f>+R$3*'PROYECCIÓN GENERACIÓN'!R54</f>
        <v>26.041722</v>
      </c>
      <c r="S54" s="263">
        <f>+S$3*'PROYECCIÓN GENERACIÓN'!S54</f>
        <v>26.238429</v>
      </c>
      <c r="T54" s="263">
        <f>+T$3*'PROYECCIÓN GENERACIÓN'!T54</f>
        <v>26.435492999999997</v>
      </c>
      <c r="U54" s="263">
        <f>+U$3*'PROYECCIÓN GENERACIÓN'!U54</f>
        <v>26.632199999999997</v>
      </c>
      <c r="V54" s="263">
        <f>+V$3*'PROYECCIÓN GENERACIÓN'!V54</f>
        <v>26.828907000000001</v>
      </c>
      <c r="W54" s="263">
        <f>+W$3*'PROYECCIÓN GENERACIÓN'!W54</f>
        <v>27.025614000000001</v>
      </c>
      <c r="X54" s="263">
        <f>+X$3*'PROYECCIÓN GENERACIÓN'!X54</f>
        <v>27.222320999999997</v>
      </c>
      <c r="Y54" s="263">
        <f>+Y$3*'PROYECCIÓN GENERACIÓN'!Y54</f>
        <v>27.419027999999997</v>
      </c>
      <c r="Z54" s="263">
        <f>+Z$3*'PROYECCIÓN GENERACIÓN'!Z54</f>
        <v>27.616091999999998</v>
      </c>
      <c r="AA54" s="565">
        <f t="shared" si="1"/>
        <v>22.615334430000001</v>
      </c>
    </row>
    <row r="55" spans="1:27" ht="24.95" customHeight="1">
      <c r="A55" s="351" t="str">
        <f>+Pobl_adoptada!A55</f>
        <v>Colón</v>
      </c>
      <c r="B55" s="70">
        <f>+Pobl_adoptada!B55</f>
        <v>51</v>
      </c>
      <c r="C55" s="353" t="str">
        <f>+Pobl_adoptada!C55</f>
        <v>Colón</v>
      </c>
      <c r="D55" s="261"/>
      <c r="E55" s="278"/>
      <c r="F55" s="263"/>
      <c r="G55" s="263">
        <f>+G$3*'PROYECCIÓN GENERACIÓN'!G55</f>
        <v>0.28418599999999999</v>
      </c>
      <c r="H55" s="263">
        <f>+H$3*'PROYECCIÓN GENERACIÓN'!H55</f>
        <v>2.2940944000000001</v>
      </c>
      <c r="I55" s="263">
        <f>+I$3*'PROYECCIÓN GENERACIÓN'!I55</f>
        <v>4.340382</v>
      </c>
      <c r="J55" s="263">
        <f>+J$3*'PROYECCIÓN GENERACIÓN'!J55</f>
        <v>7.2996900000000009</v>
      </c>
      <c r="K55" s="263">
        <f>+K$3*'PROYECCIÓN GENERACIÓN'!K55</f>
        <v>10.311945</v>
      </c>
      <c r="L55" s="263">
        <f>+L$3*'PROYECCIÓN GENERACIÓN'!L55</f>
        <v>10.405436999999999</v>
      </c>
      <c r="M55" s="263">
        <f>+M$3*'PROYECCIÓN GENERACIÓN'!M55</f>
        <v>10.500042000000001</v>
      </c>
      <c r="N55" s="263">
        <f>+N$3*'PROYECCIÓN GENERACIÓN'!N55</f>
        <v>10.595018000000001</v>
      </c>
      <c r="O55" s="263">
        <f>+O$3*'PROYECCIÓN GENERACIÓN'!O55</f>
        <v>10.691107000000001</v>
      </c>
      <c r="P55" s="263">
        <f>+P$3*'PROYECCIÓN GENERACIÓN'!P55</f>
        <v>10.787938</v>
      </c>
      <c r="Q55" s="263">
        <f>+Q$3*'PROYECCIÓN GENERACIÓN'!Q55</f>
        <v>10.885882000000001</v>
      </c>
      <c r="R55" s="263">
        <f>+R$3*'PROYECCIÓN GENERACIÓN'!R55</f>
        <v>10.984568000000001</v>
      </c>
      <c r="S55" s="263">
        <f>+S$3*'PROYECCIÓN GENERACIÓN'!S55</f>
        <v>11.083996000000001</v>
      </c>
      <c r="T55" s="263">
        <f>+T$3*'PROYECCIÓN GENERACIÓN'!T55</f>
        <v>11.184537000000001</v>
      </c>
      <c r="U55" s="263">
        <f>+U$3*'PROYECCIÓN GENERACIÓN'!U55</f>
        <v>11.285820000000001</v>
      </c>
      <c r="V55" s="263">
        <f>+V$3*'PROYECCIÓN GENERACIÓN'!V55</f>
        <v>11.388215999999998</v>
      </c>
      <c r="W55" s="263">
        <f>+W$3*'PROYECCIÓN GENERACIÓN'!W55</f>
        <v>11.491354000000001</v>
      </c>
      <c r="X55" s="263">
        <f>+X$3*'PROYECCIÓN GENERACIÓN'!X55</f>
        <v>11.595605000000001</v>
      </c>
      <c r="Y55" s="263">
        <f>+Y$3*'PROYECCIÓN GENERACIÓN'!Y55</f>
        <v>11.700597999999998</v>
      </c>
      <c r="Z55" s="263">
        <f>+Z$3*'PROYECCIÓN GENERACIÓN'!Z55</f>
        <v>11.806704</v>
      </c>
      <c r="AA55" s="565">
        <f t="shared" si="1"/>
        <v>9.5458559699999999</v>
      </c>
    </row>
    <row r="56" spans="1:27" ht="24.95" customHeight="1">
      <c r="A56" s="351" t="str">
        <f>+Pobl_adoptada!A56</f>
        <v>Coronel de Marina L. Rosales</v>
      </c>
      <c r="B56" s="70">
        <f>+Pobl_adoptada!B56</f>
        <v>52</v>
      </c>
      <c r="C56" s="353" t="str">
        <f>+Pobl_adoptada!C56</f>
        <v>Punta Alta</v>
      </c>
      <c r="D56" s="261"/>
      <c r="E56" s="278"/>
      <c r="F56" s="263"/>
      <c r="G56" s="263">
        <f>+G$3*'PROYECCIÓN GENERACIÓN'!G56</f>
        <v>0.62675940000000008</v>
      </c>
      <c r="H56" s="263">
        <f>+H$3*'PROYECCIÓN GENERACIÓN'!H56</f>
        <v>5.0323536000000004</v>
      </c>
      <c r="I56" s="263">
        <f>+I$3*'PROYECCIÓN GENERACIÓN'!I56</f>
        <v>9.4705469999999998</v>
      </c>
      <c r="J56" s="263">
        <f>+J$3*'PROYECCIÓN GENERACIÓN'!J56</f>
        <v>15.84315</v>
      </c>
      <c r="K56" s="263">
        <f>+K$3*'PROYECCIÓN GENERACIÓN'!K56</f>
        <v>22.264305</v>
      </c>
      <c r="L56" s="263">
        <f>+L$3*'PROYECCIÓN GENERACIÓN'!L56</f>
        <v>22.349627999999999</v>
      </c>
      <c r="M56" s="263">
        <f>+M$3*'PROYECCIÓN GENERACIÓN'!M56</f>
        <v>22.436379000000002</v>
      </c>
      <c r="N56" s="263">
        <f>+N$3*'PROYECCIÓN GENERACIÓN'!N56</f>
        <v>22.524557999999999</v>
      </c>
      <c r="O56" s="263">
        <f>+O$3*'PROYECCIÓN GENERACIÓN'!O56</f>
        <v>22.614165</v>
      </c>
      <c r="P56" s="263">
        <f>+P$3*'PROYECCIÓN GENERACIÓN'!P56</f>
        <v>22.704843</v>
      </c>
      <c r="Q56" s="263">
        <f>+Q$3*'PROYECCIÓN GENERACIÓN'!Q56</f>
        <v>22.797662999999996</v>
      </c>
      <c r="R56" s="263">
        <f>+R$3*'PROYECCIÓN GENERACIÓN'!R56</f>
        <v>22.891554000000003</v>
      </c>
      <c r="S56" s="263">
        <f>+S$3*'PROYECCIÓN GENERACIÓN'!S56</f>
        <v>22.98723</v>
      </c>
      <c r="T56" s="263">
        <f>+T$3*'PROYECCIÓN GENERACIÓN'!T56</f>
        <v>23.084333999999998</v>
      </c>
      <c r="U56" s="263">
        <f>+U$3*'PROYECCIÓN GENERACIÓN'!U56</f>
        <v>23.182865999999994</v>
      </c>
      <c r="V56" s="263">
        <f>+V$3*'PROYECCIÓN GENERACIÓN'!V56</f>
        <v>23.283183000000001</v>
      </c>
      <c r="W56" s="263">
        <f>+W$3*'PROYECCIÓN GENERACIÓN'!W56</f>
        <v>23.384927999999999</v>
      </c>
      <c r="X56" s="263">
        <f>+X$3*'PROYECCIÓN GENERACIÓN'!X56</f>
        <v>23.488814999999999</v>
      </c>
      <c r="Y56" s="263">
        <f>+Y$3*'PROYECCIÓN GENERACIÓN'!Y56</f>
        <v>23.593772999999999</v>
      </c>
      <c r="Z56" s="263">
        <f>+Z$3*'PROYECCIÓN GENERACIÓN'!Z56</f>
        <v>23.700872999999998</v>
      </c>
      <c r="AA56" s="565">
        <f t="shared" si="1"/>
        <v>19.913095349999999</v>
      </c>
    </row>
    <row r="57" spans="1:27" ht="24.95" customHeight="1">
      <c r="A57" s="351" t="str">
        <f>+Pobl_adoptada!A57</f>
        <v>Coronel Dorrego</v>
      </c>
      <c r="B57" s="70">
        <f>+Pobl_adoptada!B57</f>
        <v>53</v>
      </c>
      <c r="C57" s="353" t="str">
        <f>+Pobl_adoptada!C57</f>
        <v>Coronel Dorrego</v>
      </c>
      <c r="D57" s="261"/>
      <c r="E57" s="278"/>
      <c r="F57" s="263"/>
      <c r="G57" s="263">
        <f>+G$3*'PROYECCIÓN GENERACIÓN'!G57</f>
        <v>0.107226</v>
      </c>
      <c r="H57" s="263">
        <f>+H$3*'PROYECCIÓN GENERACIÓN'!H57</f>
        <v>0.85817600000000005</v>
      </c>
      <c r="I57" s="263">
        <f>+I$3*'PROYECCIÓN GENERACIÓN'!I57</f>
        <v>1.6097700000000001</v>
      </c>
      <c r="J57" s="263">
        <f>+J$3*'PROYECCIÓN GENERACIÓN'!J57</f>
        <v>2.6840999999999999</v>
      </c>
      <c r="K57" s="263">
        <f>+K$3*'PROYECCIÓN GENERACIÓN'!K57</f>
        <v>3.7596719999999997</v>
      </c>
      <c r="L57" s="263">
        <f>+L$3*'PROYECCIÓN GENERACIÓN'!L57</f>
        <v>3.761282</v>
      </c>
      <c r="M57" s="263">
        <f>+M$3*'PROYECCIÓN GENERACIÓN'!M57</f>
        <v>3.7628919999999999</v>
      </c>
      <c r="N57" s="263">
        <f>+N$3*'PROYECCIÓN GENERACIÓN'!N57</f>
        <v>3.7645020000000002</v>
      </c>
      <c r="O57" s="263">
        <f>+O$3*'PROYECCIÓN GENERACIÓN'!O57</f>
        <v>3.7661119999999997</v>
      </c>
      <c r="P57" s="263">
        <f>+P$3*'PROYECCIÓN GENERACIÓN'!P57</f>
        <v>3.7677219999999996</v>
      </c>
      <c r="Q57" s="263">
        <f>+Q$3*'PROYECCIÓN GENERACIÓN'!Q57</f>
        <v>3.7696540000000001</v>
      </c>
      <c r="R57" s="263">
        <f>+R$3*'PROYECCIÓN GENERACIÓN'!R57</f>
        <v>3.7712639999999999</v>
      </c>
      <c r="S57" s="263">
        <f>+S$3*'PROYECCIÓN GENERACIÓN'!S57</f>
        <v>3.7728739999999998</v>
      </c>
      <c r="T57" s="263">
        <f>+T$3*'PROYECCIÓN GENERACIÓN'!T57</f>
        <v>3.7744839999999997</v>
      </c>
      <c r="U57" s="263">
        <f>+U$3*'PROYECCIÓN GENERACIÓN'!U57</f>
        <v>3.7760940000000001</v>
      </c>
      <c r="V57" s="263">
        <f>+V$3*'PROYECCIÓN GENERACIÓN'!V57</f>
        <v>3.7780260000000001</v>
      </c>
      <c r="W57" s="263">
        <f>+W$3*'PROYECCIÓN GENERACIÓN'!W57</f>
        <v>3.779636</v>
      </c>
      <c r="X57" s="263">
        <f>+X$3*'PROYECCIÓN GENERACIÓN'!X57</f>
        <v>3.7812459999999999</v>
      </c>
      <c r="Y57" s="263">
        <f>+Y$3*'PROYECCIÓN GENERACIÓN'!Y57</f>
        <v>3.7828559999999993</v>
      </c>
      <c r="Z57" s="263">
        <f>+Z$3*'PROYECCIÓN GENERACIÓN'!Z57</f>
        <v>3.7844660000000001</v>
      </c>
      <c r="AA57" s="565">
        <f t="shared" si="1"/>
        <v>3.2806027000000002</v>
      </c>
    </row>
    <row r="58" spans="1:27" ht="24.95" customHeight="1">
      <c r="A58" s="351" t="str">
        <f>+Pobl_adoptada!A58</f>
        <v>Coronel Pringles</v>
      </c>
      <c r="B58" s="70">
        <f>+Pobl_adoptada!B58</f>
        <v>54</v>
      </c>
      <c r="C58" s="353" t="str">
        <f>+Pobl_adoptada!C58</f>
        <v>Coronel Pringles</v>
      </c>
      <c r="D58" s="261"/>
      <c r="E58" s="278"/>
      <c r="F58" s="263"/>
      <c r="G58" s="263">
        <f>+G$3*'PROYECCIÓN GENERACIÓN'!G58</f>
        <v>0.23050760000000001</v>
      </c>
      <c r="H58" s="263">
        <f>+H$3*'PROYECCIÓN GENERACIÓN'!H58</f>
        <v>1.8616992000000003</v>
      </c>
      <c r="I58" s="263">
        <f>+I$3*'PROYECCIÓN GENERACIÓN'!I58</f>
        <v>3.5235989999999995</v>
      </c>
      <c r="J58" s="263">
        <f>+J$3*'PROYECCIÓN GENERACIÓN'!J58</f>
        <v>5.9277850000000001</v>
      </c>
      <c r="K58" s="263">
        <f>+K$3*'PROYECCIÓN GENERACIÓN'!K58</f>
        <v>8.3756959999999996</v>
      </c>
      <c r="L58" s="263">
        <f>+L$3*'PROYECCIÓN GENERACIÓN'!L58</f>
        <v>8.4869959999999995</v>
      </c>
      <c r="M58" s="263">
        <f>+M$3*'PROYECCIÓN GENERACIÓN'!M58</f>
        <v>8.5982959999999995</v>
      </c>
      <c r="N58" s="263">
        <f>+N$3*'PROYECCIÓN GENERACIÓN'!N58</f>
        <v>8.7095959999999994</v>
      </c>
      <c r="O58" s="263">
        <f>+O$3*'PROYECCIÓN GENERACIÓN'!O58</f>
        <v>8.8205249999999999</v>
      </c>
      <c r="P58" s="263">
        <f>+P$3*'PROYECCIÓN GENERACIÓN'!P58</f>
        <v>8.9318249999999999</v>
      </c>
      <c r="Q58" s="263">
        <f>+Q$3*'PROYECCIÓN GENERACIÓN'!Q58</f>
        <v>9.0431249999999981</v>
      </c>
      <c r="R58" s="263">
        <f>+R$3*'PROYECCIÓN GENERACIÓN'!R58</f>
        <v>9.1544249999999998</v>
      </c>
      <c r="S58" s="263">
        <f>+S$3*'PROYECCIÓN GENERACIÓN'!S58</f>
        <v>9.2657249999999998</v>
      </c>
      <c r="T58" s="263">
        <f>+T$3*'PROYECCIÓN GENERACIÓN'!T58</f>
        <v>9.3766540000000003</v>
      </c>
      <c r="U58" s="263">
        <f>+U$3*'PROYECCIÓN GENERACIÓN'!U58</f>
        <v>9.4879540000000002</v>
      </c>
      <c r="V58" s="263">
        <f>+V$3*'PROYECCIÓN GENERACIÓN'!V58</f>
        <v>9.5992540000000002</v>
      </c>
      <c r="W58" s="263">
        <f>+W$3*'PROYECCIÓN GENERACIÓN'!W58</f>
        <v>9.7105540000000001</v>
      </c>
      <c r="X58" s="263">
        <f>+X$3*'PROYECCIÓN GENERACIÓN'!X58</f>
        <v>9.8218540000000001</v>
      </c>
      <c r="Y58" s="263">
        <f>+Y$3*'PROYECCIÓN GENERACIÓN'!Y58</f>
        <v>9.9327830000000006</v>
      </c>
      <c r="Z58" s="263">
        <f>+Z$3*'PROYECCIÓN GENERACIÓN'!Z58</f>
        <v>10.044083000000001</v>
      </c>
      <c r="AA58" s="565">
        <f t="shared" si="1"/>
        <v>7.9451467900000008</v>
      </c>
    </row>
    <row r="59" spans="1:27" ht="24.95" customHeight="1">
      <c r="A59" s="351" t="str">
        <f>+Pobl_adoptada!A59</f>
        <v>Coronel Suárez</v>
      </c>
      <c r="B59" s="70">
        <f>+Pobl_adoptada!B59</f>
        <v>55</v>
      </c>
      <c r="C59" s="353" t="str">
        <f>+Pobl_adoptada!C59</f>
        <v>Coronel Suárez</v>
      </c>
      <c r="D59" s="261"/>
      <c r="E59" s="278"/>
      <c r="F59" s="263"/>
      <c r="G59" s="263">
        <f>+G$3*'PROYECCIÓN GENERACIÓN'!G59</f>
        <v>0.28959200000000002</v>
      </c>
      <c r="H59" s="263">
        <f>+H$3*'PROYECCIÓN GENERACIÓN'!H59</f>
        <v>2.3441263999999999</v>
      </c>
      <c r="I59" s="263">
        <f>+I$3*'PROYECCIÓN GENERACIÓN'!I59</f>
        <v>4.4465940000000002</v>
      </c>
      <c r="J59" s="263">
        <f>+J$3*'PROYECCIÓN GENERACIÓN'!J59</f>
        <v>7.4965849999999996</v>
      </c>
      <c r="K59" s="263">
        <f>+K$3*'PROYECCIÓN GENERACIÓN'!K59</f>
        <v>10.615052</v>
      </c>
      <c r="L59" s="263">
        <f>+L$3*'PROYECCIÓN GENERACIÓN'!L59</f>
        <v>10.773468999999999</v>
      </c>
      <c r="M59" s="263">
        <f>+M$3*'PROYECCIÓN GENERACIÓN'!M59</f>
        <v>10.931886</v>
      </c>
      <c r="N59" s="263">
        <f>+N$3*'PROYECCIÓN GENERACIÓN'!N59</f>
        <v>11.090303</v>
      </c>
      <c r="O59" s="263">
        <f>+O$3*'PROYECCIÓN GENERACIÓN'!O59</f>
        <v>11.24872</v>
      </c>
      <c r="P59" s="263">
        <f>+P$3*'PROYECCIÓN GENERACIÓN'!P59</f>
        <v>11.407137000000001</v>
      </c>
      <c r="Q59" s="263">
        <f>+Q$3*'PROYECCIÓN GENERACIÓN'!Q59</f>
        <v>11.565554000000001</v>
      </c>
      <c r="R59" s="263">
        <f>+R$3*'PROYECCIÓN GENERACIÓN'!R59</f>
        <v>11.724342</v>
      </c>
      <c r="S59" s="263">
        <f>+S$3*'PROYECCIÓN GENERACIÓN'!S59</f>
        <v>11.882759</v>
      </c>
      <c r="T59" s="263">
        <f>+T$3*'PROYECCIÓN GENERACIÓN'!T59</f>
        <v>12.041175999999998</v>
      </c>
      <c r="U59" s="263">
        <f>+U$3*'PROYECCIÓN GENERACIÓN'!U59</f>
        <v>12.199593</v>
      </c>
      <c r="V59" s="263">
        <f>+V$3*'PROYECCIÓN GENERACIÓN'!V59</f>
        <v>12.358009999999998</v>
      </c>
      <c r="W59" s="263">
        <f>+W$3*'PROYECCIÓN GENERACIÓN'!W59</f>
        <v>12.516427</v>
      </c>
      <c r="X59" s="263">
        <f>+X$3*'PROYECCIÓN GENERACIÓN'!X59</f>
        <v>12.674844</v>
      </c>
      <c r="Y59" s="263">
        <f>+Y$3*'PROYECCIÓN GENERACIÓN'!Y59</f>
        <v>12.833261</v>
      </c>
      <c r="Z59" s="263">
        <f>+Z$3*'PROYECCIÓN GENERACIÓN'!Z59</f>
        <v>12.991678</v>
      </c>
      <c r="AA59" s="565">
        <f t="shared" si="1"/>
        <v>10.171555420000001</v>
      </c>
    </row>
    <row r="60" spans="1:27" ht="24.95" customHeight="1">
      <c r="A60" s="351" t="str">
        <f>+Pobl_adoptada!A60</f>
        <v>Daireaux</v>
      </c>
      <c r="B60" s="70">
        <f>+Pobl_adoptada!B60</f>
        <v>56</v>
      </c>
      <c r="C60" s="353" t="str">
        <f>+Pobl_adoptada!C60</f>
        <v>Daireaux</v>
      </c>
      <c r="D60" s="261"/>
      <c r="E60" s="278"/>
      <c r="F60" s="263"/>
      <c r="G60" s="263">
        <f>+G$3*'PROYECCIÓN GENERACIÓN'!G60</f>
        <v>0.12891040000000001</v>
      </c>
      <c r="H60" s="263">
        <f>+H$3*'PROYECCIÓN GENERACIÓN'!H60</f>
        <v>1.0401888000000001</v>
      </c>
      <c r="I60" s="263">
        <f>+I$3*'PROYECCIÓN GENERACIÓN'!I60</f>
        <v>1.9669139999999998</v>
      </c>
      <c r="J60" s="263">
        <f>+J$3*'PROYECCIÓN GENERACIÓN'!J60</f>
        <v>3.3060200000000002</v>
      </c>
      <c r="K60" s="263">
        <f>+K$3*'PROYECCIÓN GENERACIÓN'!K60</f>
        <v>4.6670680000000004</v>
      </c>
      <c r="L60" s="263">
        <f>+L$3*'PROYECCIÓN GENERACIÓN'!L60</f>
        <v>4.7060300000000002</v>
      </c>
      <c r="M60" s="263">
        <f>+M$3*'PROYECCIÓN GENERACIÓN'!M60</f>
        <v>4.7446700000000002</v>
      </c>
      <c r="N60" s="263">
        <f>+N$3*'PROYECCIÓN GENERACIÓN'!N60</f>
        <v>4.7836319999999999</v>
      </c>
      <c r="O60" s="263">
        <f>+O$3*'PROYECCIÓN GENERACIÓN'!O60</f>
        <v>4.8222719999999999</v>
      </c>
      <c r="P60" s="263">
        <f>+P$3*'PROYECCIÓN GENERACIÓN'!P60</f>
        <v>4.8609119999999999</v>
      </c>
      <c r="Q60" s="263">
        <f>+Q$3*'PROYECCIÓN GENERACIÓN'!Q60</f>
        <v>4.8998740000000005</v>
      </c>
      <c r="R60" s="263">
        <f>+R$3*'PROYECCIÓN GENERACIÓN'!R60</f>
        <v>4.9385140000000005</v>
      </c>
      <c r="S60" s="263">
        <f>+S$3*'PROYECCIÓN GENERACIÓN'!S60</f>
        <v>4.9774760000000002</v>
      </c>
      <c r="T60" s="263">
        <f>+T$3*'PROYECCIÓN GENERACIÓN'!T60</f>
        <v>5.0161160000000002</v>
      </c>
      <c r="U60" s="263">
        <f>+U$3*'PROYECCIÓN GENERACIÓN'!U60</f>
        <v>5.055078</v>
      </c>
      <c r="V60" s="263">
        <f>+V$3*'PROYECCIÓN GENERACIÓN'!V60</f>
        <v>5.0937180000000009</v>
      </c>
      <c r="W60" s="263">
        <f>+W$3*'PROYECCIÓN GENERACIÓN'!W60</f>
        <v>5.132358</v>
      </c>
      <c r="X60" s="263">
        <f>+X$3*'PROYECCIÓN GENERACIÓN'!X60</f>
        <v>5.1713199999999997</v>
      </c>
      <c r="Y60" s="263">
        <f>+Y$3*'PROYECCIÓN GENERACIÓN'!Y60</f>
        <v>5.2099599999999997</v>
      </c>
      <c r="Z60" s="263">
        <f>+Z$3*'PROYECCIÓN GENERACIÓN'!Z60</f>
        <v>5.2489219999999994</v>
      </c>
      <c r="AA60" s="565">
        <f t="shared" si="1"/>
        <v>4.2884976599999991</v>
      </c>
    </row>
    <row r="61" spans="1:27" ht="24.95" customHeight="1">
      <c r="A61" s="351" t="str">
        <f>+Pobl_adoptada!A61</f>
        <v>Dolores</v>
      </c>
      <c r="B61" s="70">
        <f>+Pobl_adoptada!B61</f>
        <v>57</v>
      </c>
      <c r="C61" s="353" t="str">
        <f>+Pobl_adoptada!C61</f>
        <v>Dolores</v>
      </c>
      <c r="D61" s="261"/>
      <c r="E61" s="278"/>
      <c r="F61" s="263"/>
      <c r="G61" s="263">
        <f>+G$3*'PROYECCIÓN GENERACIÓN'!G61</f>
        <v>0.3351614</v>
      </c>
      <c r="H61" s="263">
        <f>+H$3*'PROYECCIÓN GENERACIÓN'!H61</f>
        <v>2.7177552000000005</v>
      </c>
      <c r="I61" s="263">
        <f>+I$3*'PROYECCIÓN GENERACIÓN'!I61</f>
        <v>5.1641610000000009</v>
      </c>
      <c r="J61" s="263">
        <f>+J$3*'PROYECCIÓN GENERACIÓN'!J61</f>
        <v>8.7211499999999997</v>
      </c>
      <c r="K61" s="263">
        <f>+K$3*'PROYECCIÓN GENERACIÓN'!K61</f>
        <v>12.36914</v>
      </c>
      <c r="L61" s="263">
        <f>+L$3*'PROYECCIÓN GENERACIÓN'!L61</f>
        <v>12.571334999999998</v>
      </c>
      <c r="M61" s="263">
        <f>+M$3*'PROYECCIÓN GENERACIÓN'!M61</f>
        <v>12.773900999999999</v>
      </c>
      <c r="N61" s="263">
        <f>+N$3*'PROYECCIÓN GENERACIÓN'!N61</f>
        <v>12.976096000000002</v>
      </c>
      <c r="O61" s="263">
        <f>+O$3*'PROYECCIÓN GENERACIÓN'!O61</f>
        <v>13.178661999999999</v>
      </c>
      <c r="P61" s="263">
        <f>+P$3*'PROYECCIÓN GENERACIÓN'!P61</f>
        <v>13.380856999999999</v>
      </c>
      <c r="Q61" s="263">
        <f>+Q$3*'PROYECCIÓN GENERACIÓN'!Q61</f>
        <v>13.583422999999998</v>
      </c>
      <c r="R61" s="263">
        <f>+R$3*'PROYECCIÓN GENERACIÓN'!R61</f>
        <v>13.785618000000001</v>
      </c>
      <c r="S61" s="263">
        <f>+S$3*'PROYECCIÓN GENERACIÓN'!S61</f>
        <v>13.987813000000001</v>
      </c>
      <c r="T61" s="263">
        <f>+T$3*'PROYECCIÓN GENERACIÓN'!T61</f>
        <v>14.190378999999998</v>
      </c>
      <c r="U61" s="263">
        <f>+U$3*'PROYECCIÓN GENERACIÓN'!U61</f>
        <v>14.392573999999998</v>
      </c>
      <c r="V61" s="263">
        <f>+V$3*'PROYECCIÓN GENERACIÓN'!V61</f>
        <v>14.595139999999999</v>
      </c>
      <c r="W61" s="263">
        <f>+W$3*'PROYECCIÓN GENERACIÓN'!W61</f>
        <v>14.797335</v>
      </c>
      <c r="X61" s="263">
        <f>+X$3*'PROYECCIÓN GENERACIÓN'!X61</f>
        <v>14.999900999999998</v>
      </c>
      <c r="Y61" s="263">
        <f>+Y$3*'PROYECCIÓN GENERACIÓN'!Y61</f>
        <v>15.202096000000001</v>
      </c>
      <c r="Z61" s="263">
        <f>+Z$3*'PROYECCIÓN GENERACIÓN'!Z61</f>
        <v>15.404661999999998</v>
      </c>
      <c r="AA61" s="565">
        <f t="shared" si="1"/>
        <v>11.95635798</v>
      </c>
    </row>
    <row r="62" spans="1:27" ht="24.95" customHeight="1">
      <c r="A62" s="351" t="str">
        <f>+Pobl_adoptada!A62</f>
        <v>Ensenada</v>
      </c>
      <c r="B62" s="70">
        <f>+Pobl_adoptada!B62</f>
        <v>58</v>
      </c>
      <c r="C62" s="353" t="str">
        <f>+Pobl_adoptada!C62</f>
        <v>Ensenada</v>
      </c>
      <c r="D62" s="261"/>
      <c r="E62" s="278"/>
      <c r="F62" s="263"/>
      <c r="G62" s="263">
        <f>+G$3*'PROYECCIÓN GENERACIÓN'!G62</f>
        <v>0.66131699999999993</v>
      </c>
      <c r="H62" s="263">
        <f>+H$3*'PROYECCIÓN GENERACIÓN'!H62</f>
        <v>5.3364768000000007</v>
      </c>
      <c r="I62" s="263">
        <f>+I$3*'PROYECCIÓN GENERACIÓN'!I62</f>
        <v>10.092644999999999</v>
      </c>
      <c r="J62" s="263">
        <f>+J$3*'PROYECCIÓN GENERACIÓN'!J62</f>
        <v>16.967189999999999</v>
      </c>
      <c r="K62" s="263">
        <f>+K$3*'PROYECCIÓN GENERACIÓN'!K62</f>
        <v>23.960055000000001</v>
      </c>
      <c r="L62" s="263">
        <f>+L$3*'PROYECCIÓN GENERACIÓN'!L62</f>
        <v>24.167828999999998</v>
      </c>
      <c r="M62" s="263">
        <f>+M$3*'PROYECCIÓN GENERACIÓN'!M62</f>
        <v>24.377744999999997</v>
      </c>
      <c r="N62" s="263">
        <f>+N$3*'PROYECCIÓN GENERACIÓN'!N62</f>
        <v>24.589445999999999</v>
      </c>
      <c r="O62" s="263">
        <f>+O$3*'PROYECCIÓN GENERACIÓN'!O62</f>
        <v>24.802575000000001</v>
      </c>
      <c r="P62" s="263">
        <f>+P$3*'PROYECCIÓN GENERACIÓN'!P62</f>
        <v>25.017845999999995</v>
      </c>
      <c r="Q62" s="263">
        <f>+Q$3*'PROYECCIÓN GENERACIÓN'!Q62</f>
        <v>25.234902000000002</v>
      </c>
      <c r="R62" s="263">
        <f>+R$3*'PROYECCIÓN GENERACIÓN'!R62</f>
        <v>25.454099999999997</v>
      </c>
      <c r="S62" s="263">
        <f>+S$3*'PROYECCIÓN GENERACIÓN'!S62</f>
        <v>25.675083000000001</v>
      </c>
      <c r="T62" s="263">
        <f>+T$3*'PROYECCIÓN GENERACIÓN'!T62</f>
        <v>25.897850999999999</v>
      </c>
      <c r="U62" s="263">
        <f>+U$3*'PROYECCIÓN GENERACIÓN'!U62</f>
        <v>26.122404</v>
      </c>
      <c r="V62" s="263">
        <f>+V$3*'PROYECCIÓN GENERACIÓN'!V62</f>
        <v>26.349098999999999</v>
      </c>
      <c r="W62" s="263">
        <f>+W$3*'PROYECCIÓN GENERACIÓN'!W62</f>
        <v>26.577936000000005</v>
      </c>
      <c r="X62" s="263">
        <f>+X$3*'PROYECCIÓN GENERACIÓN'!X62</f>
        <v>26.808558000000001</v>
      </c>
      <c r="Y62" s="263">
        <f>+Y$3*'PROYECCIÓN GENERACIÓN'!Y62</f>
        <v>27.041321999999997</v>
      </c>
      <c r="Z62" s="263">
        <f>+Z$3*'PROYECCIÓN GENERACIÓN'!Z62</f>
        <v>27.275870999999999</v>
      </c>
      <c r="AA62" s="565">
        <f t="shared" si="1"/>
        <v>22.12051254</v>
      </c>
    </row>
    <row r="63" spans="1:27" ht="24.95" customHeight="1">
      <c r="A63" s="351" t="str">
        <f>+Pobl_adoptada!A63</f>
        <v>Escobar</v>
      </c>
      <c r="B63" s="70">
        <f>+Pobl_adoptada!B63</f>
        <v>59</v>
      </c>
      <c r="C63" s="353" t="str">
        <f>+Pobl_adoptada!C63</f>
        <v>Escobar</v>
      </c>
      <c r="D63" s="261"/>
      <c r="E63" s="278"/>
      <c r="F63" s="263"/>
      <c r="G63" s="263">
        <f>+G$3*'PROYECCIÓN GENERACIÓN'!G63</f>
        <v>2.9553582</v>
      </c>
      <c r="H63" s="263">
        <f>+H$3*'PROYECCIÓN GENERACIÓN'!H63</f>
        <v>24.031526400000004</v>
      </c>
      <c r="I63" s="263">
        <f>+I$3*'PROYECCIÓN GENERACIÓN'!I63</f>
        <v>45.788003999999994</v>
      </c>
      <c r="J63" s="263">
        <f>+J$3*'PROYECCIÓN GENERACIÓN'!J63</f>
        <v>77.527905000000004</v>
      </c>
      <c r="K63" s="263">
        <f>+K$3*'PROYECCIÓN GENERACIÓN'!K63</f>
        <v>110.23981500000001</v>
      </c>
      <c r="L63" s="263">
        <f>+L$3*'PROYECCIÓN GENERACIÓN'!L63</f>
        <v>111.94020600000002</v>
      </c>
      <c r="M63" s="263">
        <f>+M$3*'PROYECCIÓN GENERACIÓN'!M63</f>
        <v>113.64095399999999</v>
      </c>
      <c r="N63" s="263">
        <f>+N$3*'PROYECCIÓN GENERACIÓN'!N63</f>
        <v>115.34134499999999</v>
      </c>
      <c r="O63" s="263">
        <f>+O$3*'PROYECCIÓN GENERACIÓN'!O63</f>
        <v>117.04209299999999</v>
      </c>
      <c r="P63" s="263">
        <f>+P$3*'PROYECCIÓN GENERACIÓN'!P63</f>
        <v>118.74248399999998</v>
      </c>
      <c r="Q63" s="263">
        <f>+Q$3*'PROYECCIÓN GENERACIÓN'!Q63</f>
        <v>120.44323200000001</v>
      </c>
      <c r="R63" s="263">
        <f>+R$3*'PROYECCIÓN GENERACIÓN'!R63</f>
        <v>122.14397999999998</v>
      </c>
      <c r="S63" s="263">
        <f>+S$3*'PROYECCIÓN GENERACIÓN'!S63</f>
        <v>123.84437099999998</v>
      </c>
      <c r="T63" s="263">
        <f>+T$3*'PROYECCIÓN GENERACIÓN'!T63</f>
        <v>125.545119</v>
      </c>
      <c r="U63" s="263">
        <f>+U$3*'PROYECCIÓN GENERACIÓN'!U63</f>
        <v>127.24551</v>
      </c>
      <c r="V63" s="263">
        <f>+V$3*'PROYECCIÓN GENERACIÓN'!V63</f>
        <v>128.946258</v>
      </c>
      <c r="W63" s="263">
        <f>+W$3*'PROYECCIÓN GENERACIÓN'!W63</f>
        <v>130.646649</v>
      </c>
      <c r="X63" s="263">
        <f>+X$3*'PROYECCIÓN GENERACIÓN'!X63</f>
        <v>132.347397</v>
      </c>
      <c r="Y63" s="263">
        <f>+Y$3*'PROYECCIÓN GENERACIÓN'!Y63</f>
        <v>134.047788</v>
      </c>
      <c r="Z63" s="263">
        <f>+Z$3*'PROYECCIÓN GENERACIÓN'!Z63</f>
        <v>135.748536</v>
      </c>
      <c r="AA63" s="565">
        <f t="shared" si="1"/>
        <v>105.91042653</v>
      </c>
    </row>
    <row r="64" spans="1:27" ht="24.95" customHeight="1">
      <c r="A64" s="351" t="str">
        <f>+Pobl_adoptada!A64</f>
        <v>Exaltación de la Cruz</v>
      </c>
      <c r="B64" s="70">
        <f>+Pobl_adoptada!B64</f>
        <v>60</v>
      </c>
      <c r="C64" s="353" t="str">
        <f>+Pobl_adoptada!C64</f>
        <v>Capilla del Señor</v>
      </c>
      <c r="D64" s="261"/>
      <c r="E64" s="278"/>
      <c r="F64" s="263"/>
      <c r="G64" s="263">
        <f>+G$3*'PROYECCIÓN GENERACIÓN'!G64</f>
        <v>0.11897440000000002</v>
      </c>
      <c r="H64" s="263">
        <f>+H$3*'PROYECCIÓN GENERACIÓN'!H64</f>
        <v>0.97122559999999991</v>
      </c>
      <c r="I64" s="263">
        <f>+I$3*'PROYECCIÓN GENERACIÓN'!I64</f>
        <v>1.8580320000000001</v>
      </c>
      <c r="J64" s="263">
        <f>+J$3*'PROYECCIÓN GENERACIÓN'!J64</f>
        <v>3.15951</v>
      </c>
      <c r="K64" s="263">
        <f>+K$3*'PROYECCIÓN GENERACIÓN'!K64</f>
        <v>4.5121859999999998</v>
      </c>
      <c r="L64" s="263">
        <f>+L$3*'PROYECCIÓN GENERACIÓN'!L64</f>
        <v>4.6029900000000001</v>
      </c>
      <c r="M64" s="263">
        <f>+M$3*'PROYECCIÓN GENERACIÓN'!M64</f>
        <v>4.6950819999999993</v>
      </c>
      <c r="N64" s="263">
        <f>+N$3*'PROYECCIÓN GENERACIÓN'!N64</f>
        <v>4.7887839999999997</v>
      </c>
      <c r="O64" s="263">
        <f>+O$3*'PROYECCIÓN GENERACIÓN'!O64</f>
        <v>4.8837740000000007</v>
      </c>
      <c r="P64" s="263">
        <f>+P$3*'PROYECCIÓN GENERACIÓN'!P64</f>
        <v>4.9803740000000003</v>
      </c>
      <c r="Q64" s="263">
        <f>+Q$3*'PROYECCIÓN GENERACIÓN'!Q64</f>
        <v>5.0785839999999993</v>
      </c>
      <c r="R64" s="263">
        <f>+R$3*'PROYECCIÓN GENERACIÓN'!R64</f>
        <v>5.1784040000000005</v>
      </c>
      <c r="S64" s="263">
        <f>+S$3*'PROYECCIÓN GENERACIÓN'!S64</f>
        <v>5.2801559999999998</v>
      </c>
      <c r="T64" s="263">
        <f>+T$3*'PROYECCIÓN GENERACIÓN'!T64</f>
        <v>5.3831959999999999</v>
      </c>
      <c r="U64" s="263">
        <f>+U$3*'PROYECCIÓN GENERACIÓN'!U64</f>
        <v>5.4878460000000002</v>
      </c>
      <c r="V64" s="263">
        <f>+V$3*'PROYECCIÓN GENERACIÓN'!V64</f>
        <v>5.5944279999999997</v>
      </c>
      <c r="W64" s="263">
        <f>+W$3*'PROYECCIÓN GENERACIÓN'!W64</f>
        <v>5.7026200000000005</v>
      </c>
      <c r="X64" s="263">
        <f>+X$3*'PROYECCIÓN GENERACIÓN'!X64</f>
        <v>5.8127439999999995</v>
      </c>
      <c r="Y64" s="263">
        <f>+Y$3*'PROYECCIÓN GENERACIÓN'!Y64</f>
        <v>5.9244779999999997</v>
      </c>
      <c r="Z64" s="263">
        <f>+Z$3*'PROYECCIÓN GENERACIÓN'!Z64</f>
        <v>6.038144</v>
      </c>
      <c r="AA64" s="565">
        <f t="shared" si="1"/>
        <v>4.5025765999999994</v>
      </c>
    </row>
    <row r="65" spans="1:27" ht="24.95" customHeight="1">
      <c r="A65" s="351" t="str">
        <f>+Pobl_adoptada!A65</f>
        <v>Florentino Ameghino</v>
      </c>
      <c r="B65" s="70">
        <f>+Pobl_adoptada!B65</f>
        <v>61</v>
      </c>
      <c r="C65" s="353" t="str">
        <f>+Pobl_adoptada!C65</f>
        <v>Florentino Ameghino</v>
      </c>
      <c r="D65" s="261"/>
      <c r="E65" s="278"/>
      <c r="F65" s="263"/>
      <c r="G65" s="263">
        <f>+G$3*'PROYECCIÓN GENERACIÓN'!G65</f>
        <v>8.2018000000000008E-2</v>
      </c>
      <c r="H65" s="263">
        <f>+H$3*'PROYECCIÓN GENERACIÓN'!H65</f>
        <v>0.66394560000000002</v>
      </c>
      <c r="I65" s="263">
        <f>+I$3*'PROYECCIÓN GENERACIÓN'!I65</f>
        <v>1.2596639999999999</v>
      </c>
      <c r="J65" s="263">
        <f>+J$3*'PROYECCIÓN GENERACIÓN'!J65</f>
        <v>2.12405</v>
      </c>
      <c r="K65" s="263">
        <f>+K$3*'PROYECCIÓN GENERACIÓN'!K65</f>
        <v>3.0078020000000003</v>
      </c>
      <c r="L65" s="263">
        <f>+L$3*'PROYECCIÓN GENERACIÓN'!L65</f>
        <v>3.0422559999999996</v>
      </c>
      <c r="M65" s="263">
        <f>+M$3*'PROYECCIÓN GENERACIÓN'!M65</f>
        <v>3.0767099999999998</v>
      </c>
      <c r="N65" s="263">
        <f>+N$3*'PROYECCIÓN GENERACIÓN'!N65</f>
        <v>3.1108419999999999</v>
      </c>
      <c r="O65" s="263">
        <f>+O$3*'PROYECCIÓN GENERACIÓN'!O65</f>
        <v>3.1452959999999996</v>
      </c>
      <c r="P65" s="263">
        <f>+P$3*'PROYECCIÓN GENERACIÓN'!P65</f>
        <v>3.1797500000000003</v>
      </c>
      <c r="Q65" s="263">
        <f>+Q$3*'PROYECCIÓN GENERACIÓN'!Q65</f>
        <v>3.2138819999999999</v>
      </c>
      <c r="R65" s="263">
        <f>+R$3*'PROYECCIÓN GENERACIÓN'!R65</f>
        <v>3.2483360000000001</v>
      </c>
      <c r="S65" s="263">
        <f>+S$3*'PROYECCIÓN GENERACIÓN'!S65</f>
        <v>3.2827899999999999</v>
      </c>
      <c r="T65" s="263">
        <f>+T$3*'PROYECCIÓN GENERACIÓN'!T65</f>
        <v>3.3169219999999999</v>
      </c>
      <c r="U65" s="263">
        <f>+U$3*'PROYECCIÓN GENERACIÓN'!U65</f>
        <v>3.3513759999999997</v>
      </c>
      <c r="V65" s="263">
        <f>+V$3*'PROYECCIÓN GENERACIÓN'!V65</f>
        <v>3.3858300000000003</v>
      </c>
      <c r="W65" s="263">
        <f>+W$3*'PROYECCIÓN GENERACIÓN'!W65</f>
        <v>3.4199619999999995</v>
      </c>
      <c r="X65" s="263">
        <f>+X$3*'PROYECCIÓN GENERACIÓN'!X65</f>
        <v>3.4544159999999997</v>
      </c>
      <c r="Y65" s="263">
        <f>+Y$3*'PROYECCIÓN GENERACIÓN'!Y65</f>
        <v>3.4885480000000002</v>
      </c>
      <c r="Z65" s="263">
        <f>+Z$3*'PROYECCIÓN GENERACIÓN'!Z65</f>
        <v>3.523002</v>
      </c>
      <c r="AA65" s="565">
        <f t="shared" si="1"/>
        <v>2.8188698799999998</v>
      </c>
    </row>
    <row r="66" spans="1:27" ht="24.95" customHeight="1">
      <c r="A66" s="351" t="str">
        <f>+Pobl_adoptada!A66</f>
        <v>General Alvarado</v>
      </c>
      <c r="B66" s="70">
        <f>+Pobl_adoptada!B66</f>
        <v>62</v>
      </c>
      <c r="C66" s="353" t="str">
        <f>+Pobl_adoptada!C66</f>
        <v>Miramar</v>
      </c>
      <c r="D66" s="261"/>
      <c r="E66" s="278"/>
      <c r="F66" s="263"/>
      <c r="G66" s="263">
        <f>+G$3*'PROYECCIÓN GENERACIÓN'!G66</f>
        <v>0.54745820000000001</v>
      </c>
      <c r="H66" s="263">
        <f>+H$3*'PROYECCIÓN GENERACIÓN'!H66</f>
        <v>4.4400431999999999</v>
      </c>
      <c r="I66" s="263">
        <f>+I$3*'PROYECCIÓN GENERACIÓN'!I66</f>
        <v>8.4386070000000011</v>
      </c>
      <c r="J66" s="263">
        <f>+J$3*'PROYECCIÓN GENERACIÓN'!J66</f>
        <v>14.253025000000001</v>
      </c>
      <c r="K66" s="263">
        <f>+K$3*'PROYECCIÓN GENERACIÓN'!K66</f>
        <v>20.218387</v>
      </c>
      <c r="L66" s="263">
        <f>+L$3*'PROYECCIÓN GENERACIÓN'!L66</f>
        <v>20.48291</v>
      </c>
      <c r="M66" s="263">
        <f>+M$3*'PROYECCIÓN GENERACIÓN'!M66</f>
        <v>20.747062</v>
      </c>
      <c r="N66" s="263">
        <f>+N$3*'PROYECCIÓN GENERACIÓN'!N66</f>
        <v>21.011585</v>
      </c>
      <c r="O66" s="263">
        <f>+O$3*'PROYECCIÓN GENERACIÓN'!O66</f>
        <v>21.276108000000001</v>
      </c>
      <c r="P66" s="263">
        <f>+P$3*'PROYECCIÓN GENERACIÓN'!P66</f>
        <v>21.54026</v>
      </c>
      <c r="Q66" s="263">
        <f>+Q$3*'PROYECCIÓN GENERACIÓN'!Q66</f>
        <v>21.804411999999999</v>
      </c>
      <c r="R66" s="263">
        <f>+R$3*'PROYECCIÓN GENERACIÓN'!R66</f>
        <v>22.068935</v>
      </c>
      <c r="S66" s="263">
        <f>+S$3*'PROYECCIÓN GENERACIÓN'!S66</f>
        <v>22.333086999999999</v>
      </c>
      <c r="T66" s="263">
        <f>+T$3*'PROYECCIÓN GENERACIÓN'!T66</f>
        <v>22.597610000000003</v>
      </c>
      <c r="U66" s="263">
        <f>+U$3*'PROYECCIÓN GENERACIÓN'!U66</f>
        <v>22.862133</v>
      </c>
      <c r="V66" s="263">
        <f>+V$3*'PROYECCIÓN GENERACIÓN'!V66</f>
        <v>23.126284999999999</v>
      </c>
      <c r="W66" s="263">
        <f>+W$3*'PROYECCIÓN GENERACIÓN'!W66</f>
        <v>23.390437000000002</v>
      </c>
      <c r="X66" s="263">
        <f>+X$3*'PROYECCIÓN GENERACIÓN'!X66</f>
        <v>23.654959999999999</v>
      </c>
      <c r="Y66" s="263">
        <f>+Y$3*'PROYECCIÓN GENERACIÓN'!Y66</f>
        <v>23.919483</v>
      </c>
      <c r="Z66" s="263">
        <f>+Z$3*'PROYECCIÓN GENERACIÓN'!Z66</f>
        <v>24.183635000000002</v>
      </c>
      <c r="AA66" s="565">
        <f t="shared" si="1"/>
        <v>19.14482112</v>
      </c>
    </row>
    <row r="67" spans="1:27" ht="24.95" customHeight="1">
      <c r="A67" s="351" t="str">
        <f>+Pobl_adoptada!A67</f>
        <v>General Alvear</v>
      </c>
      <c r="B67" s="70">
        <f>+Pobl_adoptada!B67</f>
        <v>63</v>
      </c>
      <c r="C67" s="353" t="str">
        <f>+Pobl_adoptada!C67</f>
        <v>General Alvear</v>
      </c>
      <c r="D67" s="261"/>
      <c r="E67" s="278"/>
      <c r="F67" s="263"/>
      <c r="G67" s="263">
        <f>+G$3*'PROYECCIÓN GENERACIÓN'!G67</f>
        <v>9.475080000000001E-2</v>
      </c>
      <c r="H67" s="263">
        <f>+H$3*'PROYECCIÓN GENERACIÓN'!H67</f>
        <v>0.76036160000000008</v>
      </c>
      <c r="I67" s="263">
        <f>+I$3*'PROYECCIÓN GENERACIÓN'!I67</f>
        <v>1.4299560000000002</v>
      </c>
      <c r="J67" s="263">
        <f>+J$3*'PROYECCIÓN GENERACIÓN'!J67</f>
        <v>2.3906199999999997</v>
      </c>
      <c r="K67" s="263">
        <f>+K$3*'PROYECCIÓN GENERACIÓN'!K67</f>
        <v>3.3568499999999997</v>
      </c>
      <c r="L67" s="263">
        <f>+L$3*'PROYECCIÓN GENERACIÓN'!L67</f>
        <v>3.3671539999999998</v>
      </c>
      <c r="M67" s="263">
        <f>+M$3*'PROYECCIÓN GENERACIÓN'!M67</f>
        <v>3.3771360000000001</v>
      </c>
      <c r="N67" s="263">
        <f>+N$3*'PROYECCIÓN GENERACIÓN'!N67</f>
        <v>3.3874399999999998</v>
      </c>
      <c r="O67" s="263">
        <f>+O$3*'PROYECCIÓN GENERACIÓN'!O67</f>
        <v>3.3977440000000003</v>
      </c>
      <c r="P67" s="263">
        <f>+P$3*'PROYECCIÓN GENERACIÓN'!P67</f>
        <v>3.408048</v>
      </c>
      <c r="Q67" s="263">
        <f>+Q$3*'PROYECCIÓN GENERACIÓN'!Q67</f>
        <v>3.4183520000000001</v>
      </c>
      <c r="R67" s="263">
        <f>+R$3*'PROYECCIÓN GENERACIÓN'!R67</f>
        <v>3.4289779999999994</v>
      </c>
      <c r="S67" s="263">
        <f>+S$3*'PROYECCIÓN GENERACIÓN'!S67</f>
        <v>3.439282</v>
      </c>
      <c r="T67" s="263">
        <f>+T$3*'PROYECCIÓN GENERACIÓN'!T67</f>
        <v>3.4495860000000005</v>
      </c>
      <c r="U67" s="263">
        <f>+U$3*'PROYECCIÓN GENERACIÓN'!U67</f>
        <v>3.4602119999999998</v>
      </c>
      <c r="V67" s="263">
        <f>+V$3*'PROYECCIÓN GENERACIÓN'!V67</f>
        <v>3.4705159999999999</v>
      </c>
      <c r="W67" s="263">
        <f>+W$3*'PROYECCIÓN GENERACIÓN'!W67</f>
        <v>3.4811420000000002</v>
      </c>
      <c r="X67" s="263">
        <f>+X$3*'PROYECCIÓN GENERACIÓN'!X67</f>
        <v>3.4917679999999995</v>
      </c>
      <c r="Y67" s="263">
        <f>+Y$3*'PROYECCIÓN GENERACIÓN'!Y67</f>
        <v>3.5023939999999998</v>
      </c>
      <c r="Z67" s="263">
        <f>+Z$3*'PROYECCIÓN GENERACIÓN'!Z67</f>
        <v>3.51302</v>
      </c>
      <c r="AA67" s="565">
        <f t="shared" si="1"/>
        <v>2.98126552</v>
      </c>
    </row>
    <row r="68" spans="1:27" ht="24.95" customHeight="1">
      <c r="A68" s="351" t="str">
        <f>+Pobl_adoptada!A68</f>
        <v>General Arenales</v>
      </c>
      <c r="B68" s="70">
        <f>+Pobl_adoptada!B68</f>
        <v>64</v>
      </c>
      <c r="C68" s="353" t="str">
        <f>+Pobl_adoptada!C68</f>
        <v>General Arenales</v>
      </c>
      <c r="D68" s="261"/>
      <c r="E68" s="278"/>
      <c r="F68" s="263"/>
      <c r="G68" s="263">
        <f>+G$3*'PROYECCIÓN GENERACIÓN'!G68</f>
        <v>4.5889600000000003E-2</v>
      </c>
      <c r="H68" s="263">
        <f>+H$3*'PROYECCIÓN GENERACIÓN'!H68</f>
        <v>0.37013440000000003</v>
      </c>
      <c r="I68" s="263">
        <f>+I$3*'PROYECCIÓN GENERACIÓN'!I68</f>
        <v>0.69966000000000006</v>
      </c>
      <c r="J68" s="263">
        <f>+J$3*'PROYECCIÓN GENERACIÓN'!J68</f>
        <v>1.1757599999999999</v>
      </c>
      <c r="K68" s="263">
        <f>+K$3*'PROYECCIÓN GENERACIÓN'!K68</f>
        <v>1.6592659999999999</v>
      </c>
      <c r="L68" s="263">
        <f>+L$3*'PROYECCIÓN GENERACIÓN'!L68</f>
        <v>1.6724679999999998</v>
      </c>
      <c r="M68" s="263">
        <f>+M$3*'PROYECCIÓN GENERACIÓN'!M68</f>
        <v>1.68567</v>
      </c>
      <c r="N68" s="263">
        <f>+N$3*'PROYECCIÓN GENERACIÓN'!N68</f>
        <v>1.6988720000000002</v>
      </c>
      <c r="O68" s="263">
        <f>+O$3*'PROYECCIÓN GENERACIÓN'!O68</f>
        <v>1.712396</v>
      </c>
      <c r="P68" s="263">
        <f>+P$3*'PROYECCIÓN GENERACIÓN'!P68</f>
        <v>1.7255980000000002</v>
      </c>
      <c r="Q68" s="263">
        <f>+Q$3*'PROYECCIÓN GENERACIÓN'!Q68</f>
        <v>1.7387999999999999</v>
      </c>
      <c r="R68" s="263">
        <f>+R$3*'PROYECCIÓN GENERACIÓN'!R68</f>
        <v>1.7520019999999998</v>
      </c>
      <c r="S68" s="263">
        <f>+S$3*'PROYECCIÓN GENERACIÓN'!S68</f>
        <v>1.765204</v>
      </c>
      <c r="T68" s="263">
        <f>+T$3*'PROYECCIÓN GENERACIÓN'!T68</f>
        <v>1.7787279999999996</v>
      </c>
      <c r="U68" s="263">
        <f>+U$3*'PROYECCIÓN GENERACIÓN'!U68</f>
        <v>1.79193</v>
      </c>
      <c r="V68" s="263">
        <f>+V$3*'PROYECCIÓN GENERACIÓN'!V68</f>
        <v>1.8051320000000002</v>
      </c>
      <c r="W68" s="263">
        <f>+W$3*'PROYECCIÓN GENERACIÓN'!W68</f>
        <v>1.8183339999999999</v>
      </c>
      <c r="X68" s="263">
        <f>+X$3*'PROYECCIÓN GENERACIÓN'!X68</f>
        <v>1.8315360000000001</v>
      </c>
      <c r="Y68" s="263">
        <f>+Y$3*'PROYECCIÓN GENERACIÓN'!Y68</f>
        <v>1.8450599999999999</v>
      </c>
      <c r="Z68" s="263">
        <f>+Z$3*'PROYECCIÓN GENERACIÓN'!Z68</f>
        <v>1.8582620000000001</v>
      </c>
      <c r="AA68" s="565">
        <f t="shared" si="1"/>
        <v>1.5215350999999999</v>
      </c>
    </row>
    <row r="69" spans="1:27" ht="24.95" customHeight="1">
      <c r="A69" s="351" t="str">
        <f>+Pobl_adoptada!A69</f>
        <v>General Belgrano</v>
      </c>
      <c r="B69" s="70">
        <f>+Pobl_adoptada!B69</f>
        <v>65</v>
      </c>
      <c r="C69" s="353" t="str">
        <f>+Pobl_adoptada!C69</f>
        <v>General Belgrano</v>
      </c>
      <c r="D69" s="261"/>
      <c r="E69" s="278"/>
      <c r="F69" s="263"/>
      <c r="G69" s="263">
        <f>+G$3*'PROYECCIÓN GENERACIÓN'!G69</f>
        <v>0.20564000000000002</v>
      </c>
      <c r="H69" s="263">
        <f>+H$3*'PROYECCIÓN GENERACIÓN'!H69</f>
        <v>1.6690336000000003</v>
      </c>
      <c r="I69" s="263">
        <f>+I$3*'PROYECCIÓN GENERACIÓN'!I69</f>
        <v>3.175071</v>
      </c>
      <c r="J69" s="263">
        <f>+J$3*'PROYECCIÓN GENERACIÓN'!J69</f>
        <v>5.3689000000000009</v>
      </c>
      <c r="K69" s="263">
        <f>+K$3*'PROYECCIÓN GENERACIÓN'!K69</f>
        <v>7.6259050000000004</v>
      </c>
      <c r="L69" s="263">
        <f>+L$3*'PROYECCIÓN GENERACIÓN'!L69</f>
        <v>7.736834</v>
      </c>
      <c r="M69" s="263">
        <f>+M$3*'PROYECCIÓN GENERACIÓN'!M69</f>
        <v>7.8496179999999995</v>
      </c>
      <c r="N69" s="263">
        <f>+N$3*'PROYECCIÓN GENERACIÓN'!N69</f>
        <v>7.9638860000000005</v>
      </c>
      <c r="O69" s="263">
        <f>+O$3*'PROYECCIÓN GENERACIÓN'!O69</f>
        <v>8.0796379999999992</v>
      </c>
      <c r="P69" s="263">
        <f>+P$3*'PROYECCIÓN GENERACIÓN'!P69</f>
        <v>8.197616</v>
      </c>
      <c r="Q69" s="263">
        <f>+Q$3*'PROYECCIÓN GENERACIÓN'!Q69</f>
        <v>8.3167069999999992</v>
      </c>
      <c r="R69" s="263">
        <f>+R$3*'PROYECCIÓN GENERACIÓN'!R69</f>
        <v>8.4380240000000004</v>
      </c>
      <c r="S69" s="263">
        <f>+S$3*'PROYECCIÓN GENERACIÓN'!S69</f>
        <v>8.5608249999999995</v>
      </c>
      <c r="T69" s="263">
        <f>+T$3*'PROYECCIÓN GENERACIÓN'!T69</f>
        <v>8.6854809999999993</v>
      </c>
      <c r="U69" s="263">
        <f>+U$3*'PROYECCIÓN GENERACIÓN'!U69</f>
        <v>8.811992</v>
      </c>
      <c r="V69" s="263">
        <f>+V$3*'PROYECCIÓN GENERACIÓN'!V69</f>
        <v>8.9403579999999998</v>
      </c>
      <c r="W69" s="263">
        <f>+W$3*'PROYECCIÓN GENERACIÓN'!W69</f>
        <v>9.0702079999999992</v>
      </c>
      <c r="X69" s="263">
        <f>+X$3*'PROYECCIÓN GENERACIÓN'!X69</f>
        <v>9.2022840000000006</v>
      </c>
      <c r="Y69" s="263">
        <f>+Y$3*'PROYECCIÓN GENERACIÓN'!Y69</f>
        <v>9.3365860000000005</v>
      </c>
      <c r="Z69" s="263">
        <f>+Z$3*'PROYECCIÓN GENERACIÓN'!Z69</f>
        <v>9.472372</v>
      </c>
      <c r="AA69" s="565">
        <f t="shared" si="1"/>
        <v>7.3353489299999994</v>
      </c>
    </row>
    <row r="70" spans="1:27" ht="24.95" customHeight="1">
      <c r="A70" s="351" t="str">
        <f>+Pobl_adoptada!A70</f>
        <v>General Guido</v>
      </c>
      <c r="B70" s="70">
        <f>+Pobl_adoptada!B70</f>
        <v>66</v>
      </c>
      <c r="C70" s="353" t="str">
        <f>+Pobl_adoptada!C70</f>
        <v>General Guido</v>
      </c>
      <c r="D70" s="261"/>
      <c r="E70" s="278"/>
      <c r="F70" s="263"/>
      <c r="G70" s="263">
        <f>+G$3*'PROYECCIÓN GENERACIÓN'!G70</f>
        <v>1.4223200000000004E-2</v>
      </c>
      <c r="H70" s="263">
        <f>+H$3*'PROYECCIÓN GENERACIÓN'!H70</f>
        <v>0.11511040000000002</v>
      </c>
      <c r="I70" s="263">
        <f>+I$3*'PROYECCIÓN GENERACIÓN'!I70</f>
        <v>0.21817800000000001</v>
      </c>
      <c r="J70" s="263">
        <f>+J$3*'PROYECCIÓN GENERACIÓN'!J70</f>
        <v>0.36777000000000004</v>
      </c>
      <c r="K70" s="263">
        <f>+K$3*'PROYECCIÓN GENERACIÓN'!K70</f>
        <v>0.52067399999999997</v>
      </c>
      <c r="L70" s="263">
        <f>+L$3*'PROYECCIÓN GENERACIÓN'!L70</f>
        <v>0.52679199999999993</v>
      </c>
      <c r="M70" s="263">
        <f>+M$3*'PROYECCIÓN GENERACIÓN'!M70</f>
        <v>0.53258800000000006</v>
      </c>
      <c r="N70" s="263">
        <f>+N$3*'PROYECCIÓN GENERACIÓN'!N70</f>
        <v>0.53870600000000002</v>
      </c>
      <c r="O70" s="263">
        <f>+O$3*'PROYECCIÓN GENERACIÓN'!O70</f>
        <v>0.54482399999999997</v>
      </c>
      <c r="P70" s="263">
        <f>+P$3*'PROYECCIÓN GENERACIÓN'!P70</f>
        <v>0.55094200000000004</v>
      </c>
      <c r="Q70" s="263">
        <f>+Q$3*'PROYECCIÓN GENERACIÓN'!Q70</f>
        <v>0.55706</v>
      </c>
      <c r="R70" s="263">
        <f>+R$3*'PROYECCIÓN GENERACIÓN'!R70</f>
        <v>0.5635</v>
      </c>
      <c r="S70" s="263">
        <f>+S$3*'PROYECCIÓN GENERACIÓN'!S70</f>
        <v>0.56994</v>
      </c>
      <c r="T70" s="263">
        <f>+T$3*'PROYECCIÓN GENERACIÓN'!T70</f>
        <v>0.57638</v>
      </c>
      <c r="U70" s="263">
        <f>+U$3*'PROYECCIÓN GENERACIÓN'!U70</f>
        <v>0.58282</v>
      </c>
      <c r="V70" s="263">
        <f>+V$3*'PROYECCIÓN GENERACIÓN'!V70</f>
        <v>0.58958199999999994</v>
      </c>
      <c r="W70" s="263">
        <f>+W$3*'PROYECCIÓN GENERACIÓN'!W70</f>
        <v>0.59602199999999994</v>
      </c>
      <c r="X70" s="263">
        <f>+X$3*'PROYECCIÓN GENERACIÓN'!X70</f>
        <v>0.60278399999999999</v>
      </c>
      <c r="Y70" s="263">
        <f>+Y$3*'PROYECCIÓN GENERACIÓN'!Y70</f>
        <v>0.60986799999999997</v>
      </c>
      <c r="Z70" s="263">
        <f>+Z$3*'PROYECCIÓN GENERACIÓN'!Z70</f>
        <v>0.61663000000000001</v>
      </c>
      <c r="AA70" s="565">
        <f t="shared" ref="AA70:AA133" si="2">AVERAGE(G70:Z70)</f>
        <v>0.48971968000000005</v>
      </c>
    </row>
    <row r="71" spans="1:27" ht="24.95" customHeight="1">
      <c r="A71" s="351" t="str">
        <f>+Pobl_adoptada!A71</f>
        <v>General Juan Madariaga</v>
      </c>
      <c r="B71" s="70">
        <f>+Pobl_adoptada!B71</f>
        <v>67</v>
      </c>
      <c r="C71" s="353" t="str">
        <f>+Pobl_adoptada!C71</f>
        <v>General Juan Madariaga</v>
      </c>
      <c r="D71" s="261"/>
      <c r="E71" s="278"/>
      <c r="F71" s="263"/>
      <c r="G71" s="263">
        <f>+G$3*'PROYECCIÓN GENERACIÓN'!G71</f>
        <v>0.23494900000000002</v>
      </c>
      <c r="H71" s="263">
        <f>+H$3*'PROYECCIÓN GENERACIÓN'!H71</f>
        <v>1.9042688000000001</v>
      </c>
      <c r="I71" s="263">
        <f>+I$3*'PROYECCIÓN GENERACIÓN'!I71</f>
        <v>3.6175680000000003</v>
      </c>
      <c r="J71" s="263">
        <f>+J$3*'PROYECCIÓN GENERACIÓN'!J71</f>
        <v>6.1090450000000001</v>
      </c>
      <c r="K71" s="263">
        <f>+K$3*'PROYECCIÓN GENERACIÓN'!K71</f>
        <v>8.666189000000001</v>
      </c>
      <c r="L71" s="263">
        <f>+L$3*'PROYECCIÓN GENERACIÓN'!L71</f>
        <v>8.7815699999999985</v>
      </c>
      <c r="M71" s="263">
        <f>+M$3*'PROYECCIÓN GENERACIÓN'!M71</f>
        <v>8.8988059999999987</v>
      </c>
      <c r="N71" s="263">
        <f>+N$3*'PROYECCIÓN GENERACIÓN'!N71</f>
        <v>9.0178969999999996</v>
      </c>
      <c r="O71" s="263">
        <f>+O$3*'PROYECCIÓN GENERACIÓN'!O71</f>
        <v>9.1392139999999991</v>
      </c>
      <c r="P71" s="263">
        <f>+P$3*'PROYECCIÓN GENERACIÓN'!P71</f>
        <v>9.2623860000000011</v>
      </c>
      <c r="Q71" s="263">
        <f>+Q$3*'PROYECCIÓN GENERACIÓN'!Q71</f>
        <v>9.3874130000000005</v>
      </c>
      <c r="R71" s="263">
        <f>+R$3*'PROYECCIÓN GENERACIÓN'!R71</f>
        <v>9.5142950000000006</v>
      </c>
      <c r="S71" s="263">
        <f>+S$3*'PROYECCIÓN GENERACIÓN'!S71</f>
        <v>9.6437740000000005</v>
      </c>
      <c r="T71" s="263">
        <f>+T$3*'PROYECCIÓN GENERACIÓN'!T71</f>
        <v>9.7751079999999995</v>
      </c>
      <c r="U71" s="263">
        <f>+U$3*'PROYECCIÓN GENERACIÓN'!U71</f>
        <v>9.908297000000001</v>
      </c>
      <c r="V71" s="263">
        <f>+V$3*'PROYECCIÓN GENERACIÓN'!V71</f>
        <v>10.044083000000001</v>
      </c>
      <c r="W71" s="263">
        <f>+W$3*'PROYECCIÓN GENERACIÓN'!W71</f>
        <v>10.181724000000001</v>
      </c>
      <c r="X71" s="263">
        <f>+X$3*'PROYECCIÓN GENERACIÓN'!X71</f>
        <v>10.321961999999999</v>
      </c>
      <c r="Y71" s="263">
        <f>+Y$3*'PROYECCIÓN GENERACIÓN'!Y71</f>
        <v>10.464426</v>
      </c>
      <c r="Z71" s="263">
        <f>+Z$3*'PROYECCIÓN GENERACIÓN'!Z71</f>
        <v>10.609116</v>
      </c>
      <c r="AA71" s="565">
        <f t="shared" si="2"/>
        <v>8.2741045399999997</v>
      </c>
    </row>
    <row r="72" spans="1:27" ht="24.95" customHeight="1">
      <c r="A72" s="351" t="str">
        <f>+Pobl_adoptada!A72</f>
        <v>General La Madrid</v>
      </c>
      <c r="B72" s="70">
        <f>+Pobl_adoptada!B72</f>
        <v>68</v>
      </c>
      <c r="C72" s="353" t="str">
        <f>+Pobl_adoptada!C72</f>
        <v>General La Madrid</v>
      </c>
      <c r="D72" s="261"/>
      <c r="E72" s="278"/>
      <c r="F72" s="263"/>
      <c r="G72" s="263">
        <f>+G$3*'PROYECCIÓN GENERACIÓN'!G72</f>
        <v>8.5762400000000003E-2</v>
      </c>
      <c r="H72" s="263">
        <f>+H$3*'PROYECCIÓN GENERACIÓN'!H72</f>
        <v>0.69441600000000014</v>
      </c>
      <c r="I72" s="263">
        <f>+I$3*'PROYECCIÓN GENERACIÓN'!I72</f>
        <v>1.3176239999999999</v>
      </c>
      <c r="J72" s="263">
        <f>+J$3*'PROYECCIÓN GENERACIÓN'!J72</f>
        <v>2.2220300000000002</v>
      </c>
      <c r="K72" s="263">
        <f>+K$3*'PROYECCIÓN GENERACIÓN'!K72</f>
        <v>3.1472279999999997</v>
      </c>
      <c r="L72" s="263">
        <f>+L$3*'PROYECCIÓN GENERACIÓN'!L72</f>
        <v>3.1955279999999995</v>
      </c>
      <c r="M72" s="263">
        <f>+M$3*'PROYECCIÓN GENERACIÓN'!M72</f>
        <v>3.2441499999999999</v>
      </c>
      <c r="N72" s="263">
        <f>+N$3*'PROYECCIÓN GENERACIÓN'!N72</f>
        <v>3.2924499999999997</v>
      </c>
      <c r="O72" s="263">
        <f>+O$3*'PROYECCIÓN GENERACIÓN'!O72</f>
        <v>3.3407499999999999</v>
      </c>
      <c r="P72" s="263">
        <f>+P$3*'PROYECCIÓN GENERACIÓN'!P72</f>
        <v>3.3893719999999998</v>
      </c>
      <c r="Q72" s="263">
        <f>+Q$3*'PROYECCIÓN GENERACIÓN'!Q72</f>
        <v>3.4376720000000001</v>
      </c>
      <c r="R72" s="263">
        <f>+R$3*'PROYECCIÓN GENERACIÓN'!R72</f>
        <v>3.4859719999999998</v>
      </c>
      <c r="S72" s="263">
        <f>+S$3*'PROYECCIÓN GENERACIÓN'!S72</f>
        <v>3.5342719999999996</v>
      </c>
      <c r="T72" s="263">
        <f>+T$3*'PROYECCIÓN GENERACIÓN'!T72</f>
        <v>3.582894</v>
      </c>
      <c r="U72" s="263">
        <f>+U$3*'PROYECCIÓN GENERACIÓN'!U72</f>
        <v>3.6311939999999998</v>
      </c>
      <c r="V72" s="263">
        <f>+V$3*'PROYECCIÓN GENERACIÓN'!V72</f>
        <v>3.679494</v>
      </c>
      <c r="W72" s="263">
        <f>+W$3*'PROYECCIÓN GENERACIÓN'!W72</f>
        <v>3.7281159999999995</v>
      </c>
      <c r="X72" s="263">
        <f>+X$3*'PROYECCIÓN GENERACIÓN'!X72</f>
        <v>3.7764159999999993</v>
      </c>
      <c r="Y72" s="263">
        <f>+Y$3*'PROYECCIÓN GENERACIÓN'!Y72</f>
        <v>3.824716</v>
      </c>
      <c r="Z72" s="263">
        <f>+Z$3*'PROYECCIÓN GENERACIÓN'!Z72</f>
        <v>3.8733379999999995</v>
      </c>
      <c r="AA72" s="565">
        <f t="shared" si="2"/>
        <v>3.0241697199999997</v>
      </c>
    </row>
    <row r="73" spans="1:27" ht="24.95" customHeight="1">
      <c r="A73" s="351" t="str">
        <f>+Pobl_adoptada!A73</f>
        <v>General Las Heras</v>
      </c>
      <c r="B73" s="70">
        <f>+Pobl_adoptada!B73</f>
        <v>69</v>
      </c>
      <c r="C73" s="353" t="str">
        <f>+Pobl_adoptada!C73</f>
        <v>General Las Heras</v>
      </c>
      <c r="D73" s="261"/>
      <c r="E73" s="278"/>
      <c r="F73" s="263"/>
      <c r="G73" s="263">
        <f>+G$3*'PROYECCIÓN GENERACIÓN'!G73</f>
        <v>0.13171640000000001</v>
      </c>
      <c r="H73" s="263">
        <f>+H$3*'PROYECCIÓN GENERACIÓN'!H73</f>
        <v>1.0673471999999999</v>
      </c>
      <c r="I73" s="263">
        <f>+I$3*'PROYECCIÓN GENERACIÓN'!I73</f>
        <v>2.0268060000000001</v>
      </c>
      <c r="J73" s="263">
        <f>+J$3*'PROYECCIÓN GENERACIÓN'!J73</f>
        <v>3.4207899999999998</v>
      </c>
      <c r="K73" s="263">
        <f>+K$3*'PROYECCIÓN GENERACIÓN'!K73</f>
        <v>4.8486760000000002</v>
      </c>
      <c r="L73" s="263">
        <f>+L$3*'PROYECCIÓN GENERACIÓN'!L73</f>
        <v>4.9082460000000001</v>
      </c>
      <c r="M73" s="263">
        <f>+M$3*'PROYECCIÓN GENERACIÓN'!M73</f>
        <v>4.967816</v>
      </c>
      <c r="N73" s="263">
        <f>+N$3*'PROYECCIÓN GENERACIÓN'!N73</f>
        <v>5.0273859999999999</v>
      </c>
      <c r="O73" s="263">
        <f>+O$3*'PROYECCIÓN GENERACIÓN'!O73</f>
        <v>5.0869559999999998</v>
      </c>
      <c r="P73" s="263">
        <f>+P$3*'PROYECCIÓN GENERACIÓN'!P73</f>
        <v>5.1465259999999997</v>
      </c>
      <c r="Q73" s="263">
        <f>+Q$3*'PROYECCIÓN GENERACIÓN'!Q73</f>
        <v>5.2060959999999996</v>
      </c>
      <c r="R73" s="263">
        <f>+R$3*'PROYECCIÓN GENERACIÓN'!R73</f>
        <v>5.2659880000000001</v>
      </c>
      <c r="S73" s="263">
        <f>+S$3*'PROYECCIÓN GENERACIÓN'!S73</f>
        <v>5.325558</v>
      </c>
      <c r="T73" s="263">
        <f>+T$3*'PROYECCIÓN GENERACIÓN'!T73</f>
        <v>5.3851279999999999</v>
      </c>
      <c r="U73" s="263">
        <f>+U$3*'PROYECCIÓN GENERACIÓN'!U73</f>
        <v>5.4446979999999998</v>
      </c>
      <c r="V73" s="263">
        <f>+V$3*'PROYECCIÓN GENERACIÓN'!V73</f>
        <v>5.5042680000000006</v>
      </c>
      <c r="W73" s="263">
        <f>+W$3*'PROYECCIÓN GENERACIÓN'!W73</f>
        <v>5.5638379999999996</v>
      </c>
      <c r="X73" s="263">
        <f>+X$3*'PROYECCIÓN GENERACIÓN'!X73</f>
        <v>5.6234080000000004</v>
      </c>
      <c r="Y73" s="263">
        <f>+Y$3*'PROYECCIÓN GENERACIÓN'!Y73</f>
        <v>5.6832999999999991</v>
      </c>
      <c r="Z73" s="263">
        <f>+Z$3*'PROYECCIÓN GENERACIÓN'!Z73</f>
        <v>5.7428699999999999</v>
      </c>
      <c r="AA73" s="565">
        <f t="shared" si="2"/>
        <v>4.5688708800000004</v>
      </c>
    </row>
    <row r="74" spans="1:27" ht="24.95" customHeight="1">
      <c r="A74" s="351" t="str">
        <f>+Pobl_adoptada!A74</f>
        <v>General Lavalle</v>
      </c>
      <c r="B74" s="70">
        <f>+Pobl_adoptada!B74</f>
        <v>70</v>
      </c>
      <c r="C74" s="353" t="str">
        <f>+Pobl_adoptada!C74</f>
        <v>General Lavalle</v>
      </c>
      <c r="D74" s="261"/>
      <c r="E74" s="278"/>
      <c r="F74" s="263"/>
      <c r="G74" s="263">
        <f>+G$3*'PROYECCIÓN GENERACIÓN'!G74</f>
        <v>2.46836E-2</v>
      </c>
      <c r="H74" s="263">
        <f>+H$3*'PROYECCIÓN GENERACIÓN'!H74</f>
        <v>0.20225280000000001</v>
      </c>
      <c r="I74" s="263">
        <f>+I$3*'PROYECCIÓN GENERACIÓN'!I74</f>
        <v>0.38833200000000001</v>
      </c>
      <c r="J74" s="263">
        <f>+J$3*'PROYECCIÓN GENERACIÓN'!J74</f>
        <v>0.66309000000000007</v>
      </c>
      <c r="K74" s="263">
        <f>+K$3*'PROYECCIÓN GENERACIÓN'!K74</f>
        <v>0.95086599999999999</v>
      </c>
      <c r="L74" s="263">
        <f>+L$3*'PROYECCIÓN GENERACIÓN'!L74</f>
        <v>0.97404999999999986</v>
      </c>
      <c r="M74" s="263">
        <f>+M$3*'PROYECCIÓN GENERACIÓN'!M74</f>
        <v>0.997556</v>
      </c>
      <c r="N74" s="263">
        <f>+N$3*'PROYECCIÓN GENERACIÓN'!N74</f>
        <v>1.021706</v>
      </c>
      <c r="O74" s="263">
        <f>+O$3*'PROYECCIÓN GENERACIÓN'!O74</f>
        <v>1.0468219999999999</v>
      </c>
      <c r="P74" s="263">
        <f>+P$3*'PROYECCIÓN GENERACIÓN'!P74</f>
        <v>1.07226</v>
      </c>
      <c r="Q74" s="263">
        <f>+Q$3*'PROYECCIÓN GENERACIÓN'!Q74</f>
        <v>1.09802</v>
      </c>
      <c r="R74" s="263">
        <f>+R$3*'PROYECCIÓN GENERACIÓN'!R74</f>
        <v>1.1247459999999998</v>
      </c>
      <c r="S74" s="263">
        <f>+S$3*'PROYECCIÓN GENERACIÓN'!S74</f>
        <v>1.1521159999999999</v>
      </c>
      <c r="T74" s="263">
        <f>+T$3*'PROYECCIÓN GENERACIÓN'!T74</f>
        <v>1.1801300000000001</v>
      </c>
      <c r="U74" s="263">
        <f>+U$3*'PROYECCIÓN GENERACIÓN'!U74</f>
        <v>1.208788</v>
      </c>
      <c r="V74" s="263">
        <f>+V$3*'PROYECCIÓN GENERACIÓN'!V74</f>
        <v>1.2380899999999999</v>
      </c>
      <c r="W74" s="263">
        <f>+W$3*'PROYECCIÓN GENERACIÓN'!W74</f>
        <v>1.2683580000000001</v>
      </c>
      <c r="X74" s="263">
        <f>+X$3*'PROYECCIÓN GENERACIÓN'!X74</f>
        <v>1.298948</v>
      </c>
      <c r="Y74" s="263">
        <f>+Y$3*'PROYECCIÓN GENERACIÓN'!Y74</f>
        <v>1.3305039999999999</v>
      </c>
      <c r="Z74" s="263">
        <f>+Z$3*'PROYECCIÓN GENERACIÓN'!Z74</f>
        <v>1.3630260000000001</v>
      </c>
      <c r="AA74" s="565">
        <f t="shared" si="2"/>
        <v>0.98021722000000011</v>
      </c>
    </row>
    <row r="75" spans="1:27" ht="24.95" customHeight="1">
      <c r="A75" s="351" t="str">
        <f>+Pobl_adoptada!A75</f>
        <v>General Paz</v>
      </c>
      <c r="B75" s="70">
        <f>+Pobl_adoptada!B75</f>
        <v>71</v>
      </c>
      <c r="C75" s="353" t="str">
        <f>+Pobl_adoptada!C75</f>
        <v>Ranchos</v>
      </c>
      <c r="D75" s="261"/>
      <c r="E75" s="278"/>
      <c r="F75" s="263"/>
      <c r="G75" s="263">
        <f>+G$3*'PROYECCIÓN GENERACIÓN'!G75</f>
        <v>9.6121600000000001E-2</v>
      </c>
      <c r="H75" s="263">
        <f>+H$3*'PROYECCIÓN GENERACIÓN'!H75</f>
        <v>0.78200000000000003</v>
      </c>
      <c r="I75" s="263">
        <f>+I$3*'PROYECCIÓN GENERACIÓN'!I75</f>
        <v>1.4906759999999999</v>
      </c>
      <c r="J75" s="263">
        <f>+J$3*'PROYECCIÓN GENERACIÓN'!J75</f>
        <v>2.5251700000000001</v>
      </c>
      <c r="K75" s="263">
        <f>+K$3*'PROYECCIÓN GENERACIÓN'!K75</f>
        <v>3.5922319999999996</v>
      </c>
      <c r="L75" s="263">
        <f>+L$3*'PROYECCIÓN GENERACIÓN'!L75</f>
        <v>3.6624279999999994</v>
      </c>
      <c r="M75" s="263">
        <f>+M$3*'PROYECCIÓN GENERACIÓN'!M75</f>
        <v>3.7323020000000002</v>
      </c>
      <c r="N75" s="263">
        <f>+N$3*'PROYECCIÓN GENERACIÓN'!N75</f>
        <v>3.8021759999999998</v>
      </c>
      <c r="O75" s="263">
        <f>+O$3*'PROYECCIÓN GENERACIÓN'!O75</f>
        <v>3.8723719999999995</v>
      </c>
      <c r="P75" s="263">
        <f>+P$3*'PROYECCIÓN GENERACIÓN'!P75</f>
        <v>3.9422460000000004</v>
      </c>
      <c r="Q75" s="263">
        <f>+Q$3*'PROYECCIÓN GENERACIÓN'!Q75</f>
        <v>4.0124420000000001</v>
      </c>
      <c r="R75" s="263">
        <f>+R$3*'PROYECCIÓN GENERACIÓN'!R75</f>
        <v>4.0823159999999996</v>
      </c>
      <c r="S75" s="263">
        <f>+S$3*'PROYECCIÓN GENERACIÓN'!S75</f>
        <v>4.1525119999999998</v>
      </c>
      <c r="T75" s="263">
        <f>+T$3*'PROYECCIÓN GENERACIÓN'!T75</f>
        <v>4.2223860000000002</v>
      </c>
      <c r="U75" s="263">
        <f>+U$3*'PROYECCIÓN GENERACIÓN'!U75</f>
        <v>4.2925820000000003</v>
      </c>
      <c r="V75" s="263">
        <f>+V$3*'PROYECCIÓN GENERACIÓN'!V75</f>
        <v>4.3624559999999999</v>
      </c>
      <c r="W75" s="263">
        <f>+W$3*'PROYECCIÓN GENERACIÓN'!W75</f>
        <v>4.432652</v>
      </c>
      <c r="X75" s="263">
        <f>+X$3*'PROYECCIÓN GENERACIÓN'!X75</f>
        <v>4.5025260000000005</v>
      </c>
      <c r="Y75" s="263">
        <f>+Y$3*'PROYECCIÓN GENERACIÓN'!Y75</f>
        <v>4.5724</v>
      </c>
      <c r="Z75" s="263">
        <f>+Z$3*'PROYECCIÓN GENERACIÓN'!Z75</f>
        <v>4.6425960000000002</v>
      </c>
      <c r="AA75" s="565">
        <f t="shared" si="2"/>
        <v>3.5386295799999998</v>
      </c>
    </row>
    <row r="76" spans="1:27" ht="24.95" customHeight="1">
      <c r="A76" s="351" t="str">
        <f>+Pobl_adoptada!A76</f>
        <v>General Pinto</v>
      </c>
      <c r="B76" s="70">
        <f>+Pobl_adoptada!B76</f>
        <v>72</v>
      </c>
      <c r="C76" s="353" t="str">
        <f>+Pobl_adoptada!C76</f>
        <v>General Pinto</v>
      </c>
      <c r="D76" s="261"/>
      <c r="E76" s="278"/>
      <c r="F76" s="263"/>
      <c r="G76" s="263">
        <f>+G$3*'PROYECCIÓN GENERACIÓN'!G76</f>
        <v>6.685640000000001E-2</v>
      </c>
      <c r="H76" s="263">
        <f>+H$3*'PROYECCIÓN GENERACIÓN'!H76</f>
        <v>0.53808960000000006</v>
      </c>
      <c r="I76" s="263">
        <f>+I$3*'PROYECCIÓN GENERACIÓN'!I76</f>
        <v>1.0149900000000001</v>
      </c>
      <c r="J76" s="263">
        <f>+J$3*'PROYECCIÓN GENERACIÓN'!J76</f>
        <v>1.702</v>
      </c>
      <c r="K76" s="263">
        <f>+K$3*'PROYECCIÓN GENERACIÓN'!K76</f>
        <v>2.3969679999999998</v>
      </c>
      <c r="L76" s="263">
        <f>+L$3*'PROYECCIÓN GENERACIÓN'!L76</f>
        <v>2.4114579999999997</v>
      </c>
      <c r="M76" s="263">
        <f>+M$3*'PROYECCIÓN GENERACIÓN'!M76</f>
        <v>2.4256259999999998</v>
      </c>
      <c r="N76" s="263">
        <f>+N$3*'PROYECCIÓN GENERACIÓN'!N76</f>
        <v>2.439794</v>
      </c>
      <c r="O76" s="263">
        <f>+O$3*'PROYECCIÓN GENERACIÓN'!O76</f>
        <v>2.4542839999999999</v>
      </c>
      <c r="P76" s="263">
        <f>+P$3*'PROYECCIÓN GENERACIÓN'!P76</f>
        <v>2.4684519999999996</v>
      </c>
      <c r="Q76" s="263">
        <f>+Q$3*'PROYECCIÓN GENERACIÓN'!Q76</f>
        <v>2.482942</v>
      </c>
      <c r="R76" s="263">
        <f>+R$3*'PROYECCIÓN GENERACIÓN'!R76</f>
        <v>2.4971100000000002</v>
      </c>
      <c r="S76" s="263">
        <f>+S$3*'PROYECCIÓN GENERACIÓN'!S76</f>
        <v>2.5112779999999999</v>
      </c>
      <c r="T76" s="263">
        <f>+T$3*'PROYECCIÓN GENERACIÓN'!T76</f>
        <v>2.5257680000000002</v>
      </c>
      <c r="U76" s="263">
        <f>+U$3*'PROYECCIÓN GENERACIÓN'!U76</f>
        <v>2.539936</v>
      </c>
      <c r="V76" s="263">
        <f>+V$3*'PROYECCIÓN GENERACIÓN'!V76</f>
        <v>2.5544259999999999</v>
      </c>
      <c r="W76" s="263">
        <f>+W$3*'PROYECCIÓN GENERACIÓN'!W76</f>
        <v>2.568594</v>
      </c>
      <c r="X76" s="263">
        <f>+X$3*'PROYECCIÓN GENERACIÓN'!X76</f>
        <v>2.5830839999999999</v>
      </c>
      <c r="Y76" s="263">
        <f>+Y$3*'PROYECCIÓN GENERACIÓN'!Y76</f>
        <v>2.5972520000000001</v>
      </c>
      <c r="Z76" s="263">
        <f>+Z$3*'PROYECCIÓN GENERACIÓN'!Z76</f>
        <v>2.6114200000000003</v>
      </c>
      <c r="AA76" s="565">
        <f t="shared" si="2"/>
        <v>2.1695164</v>
      </c>
    </row>
    <row r="77" spans="1:27" ht="24.95" customHeight="1">
      <c r="A77" s="351" t="str">
        <f>+Pobl_adoptada!A77</f>
        <v>General Pueyrredón</v>
      </c>
      <c r="B77" s="70">
        <f>+Pobl_adoptada!B77</f>
        <v>73</v>
      </c>
      <c r="C77" s="353" t="str">
        <f>+Pobl_adoptada!C77</f>
        <v>Mar del Plata</v>
      </c>
      <c r="D77" s="261"/>
      <c r="E77" s="278"/>
      <c r="F77" s="263"/>
      <c r="G77" s="263">
        <f>+G$3*'PROYECCIÓN GENERACIÓN'!G77</f>
        <v>10.731467700000001</v>
      </c>
      <c r="H77" s="263">
        <f>+H$3*'PROYECCIÓN GENERACIÓN'!H77</f>
        <v>86.523916799999995</v>
      </c>
      <c r="I77" s="263">
        <f>+I$3*'PROYECCIÓN GENERACIÓN'!I77</f>
        <v>163.50303600000001</v>
      </c>
      <c r="J77" s="263">
        <f>+J$3*'PROYECCIÓN GENERACIÓN'!J77</f>
        <v>274.639095</v>
      </c>
      <c r="K77" s="263">
        <f>+K$3*'PROYECCIÓN GENERACIÓN'!K77</f>
        <v>387.50606999999997</v>
      </c>
      <c r="L77" s="263">
        <f>+L$3*'PROYECCIÓN GENERACIÓN'!L77</f>
        <v>390.54109499999998</v>
      </c>
      <c r="M77" s="263">
        <f>+M$3*'PROYECCIÓN GENERACIÓN'!M77</f>
        <v>393.59931449999993</v>
      </c>
      <c r="N77" s="263">
        <f>+N$3*'PROYECCIÓN GENERACIÓN'!N77</f>
        <v>396.68220899999994</v>
      </c>
      <c r="O77" s="263">
        <f>+O$3*'PROYECCIÓN GENERACIÓN'!O77</f>
        <v>399.7887915</v>
      </c>
      <c r="P77" s="263">
        <f>+P$3*'PROYECCIÓN GENERACIÓN'!P77</f>
        <v>402.9195555</v>
      </c>
      <c r="Q77" s="263">
        <f>+Q$3*'PROYECCIÓN GENERACIÓN'!Q77</f>
        <v>406.07499449999995</v>
      </c>
      <c r="R77" s="263">
        <f>+R$3*'PROYECCIÓN GENERACIÓN'!R77</f>
        <v>409.25510849999995</v>
      </c>
      <c r="S77" s="263">
        <f>+S$3*'PROYECCIÓN GENERACIÓN'!S77</f>
        <v>412.46039100000002</v>
      </c>
      <c r="T77" s="263">
        <f>+T$3*'PROYECCIÓN GENERACIÓN'!T77</f>
        <v>415.69034849999997</v>
      </c>
      <c r="U77" s="263">
        <f>+U$3*'PROYECCIÓN GENERACIÓN'!U77</f>
        <v>418.94596799999999</v>
      </c>
      <c r="V77" s="263">
        <f>+V$3*'PROYECCIÓN GENERACIÓN'!V77</f>
        <v>422.22675599999997</v>
      </c>
      <c r="W77" s="263">
        <f>+W$3*'PROYECCIÓN GENERACIÓN'!W77</f>
        <v>425.53369949999995</v>
      </c>
      <c r="X77" s="263">
        <f>+X$3*'PROYECCIÓN GENERACIÓN'!X77</f>
        <v>428.86679849999996</v>
      </c>
      <c r="Y77" s="263">
        <f>+Y$3*'PROYECCIÓN GENERACIÓN'!Y77</f>
        <v>432.22506599999997</v>
      </c>
      <c r="Z77" s="263">
        <f>+Z$3*'PROYECCIÓN GENERACIÓN'!Z77</f>
        <v>435.6099825</v>
      </c>
      <c r="AA77" s="565">
        <f t="shared" si="2"/>
        <v>355.66618320000003</v>
      </c>
    </row>
    <row r="78" spans="1:27" ht="24.95" customHeight="1">
      <c r="A78" s="351" t="str">
        <f>+Pobl_adoptada!A78</f>
        <v>General Rodríguez</v>
      </c>
      <c r="B78" s="70">
        <f>+Pobl_adoptada!B78</f>
        <v>74</v>
      </c>
      <c r="C78" s="353" t="str">
        <f>+Pobl_adoptada!C78</f>
        <v>General Rodríguez</v>
      </c>
      <c r="D78" s="261"/>
      <c r="E78" s="278"/>
      <c r="F78" s="263"/>
      <c r="G78" s="263">
        <f>+G$3*'PROYECCIÓN GENERACIÓN'!G78</f>
        <v>1.5598554000000002</v>
      </c>
      <c r="H78" s="263">
        <f>+H$3*'PROYECCIÓN GENERACIÓN'!H78</f>
        <v>12.8733792</v>
      </c>
      <c r="I78" s="263">
        <f>+I$3*'PROYECCIÓN GENERACIÓN'!I78</f>
        <v>24.889427999999999</v>
      </c>
      <c r="J78" s="263">
        <f>+J$3*'PROYECCIÓN GENERACIÓN'!J78</f>
        <v>42.756105000000005</v>
      </c>
      <c r="K78" s="263">
        <f>+K$3*'PROYECCIÓN GENERACIÓN'!K78</f>
        <v>61.670679</v>
      </c>
      <c r="L78" s="263">
        <f>+L$3*'PROYECCIÓN GENERACIÓN'!L78</f>
        <v>63.512084999999992</v>
      </c>
      <c r="M78" s="263">
        <f>+M$3*'PROYECCIÓN GENERACIÓN'!M78</f>
        <v>65.383835999999988</v>
      </c>
      <c r="N78" s="263">
        <f>+N$3*'PROYECCIÓN GENERACIÓN'!N78</f>
        <v>67.286288999999996</v>
      </c>
      <c r="O78" s="263">
        <f>+O$3*'PROYECCIÓN GENERACIÓN'!O78</f>
        <v>69.219443999999996</v>
      </c>
      <c r="P78" s="263">
        <f>+P$3*'PROYECCIÓN GENERACIÓN'!P78</f>
        <v>71.184015000000002</v>
      </c>
      <c r="Q78" s="263">
        <f>+Q$3*'PROYECCIÓN GENERACIÓN'!Q78</f>
        <v>73.181072999999984</v>
      </c>
      <c r="R78" s="263">
        <f>+R$3*'PROYECCIÓN GENERACIÓN'!R78</f>
        <v>75.210260999999988</v>
      </c>
      <c r="S78" s="263">
        <f>+S$3*'PROYECCIÓN GENERACIÓN'!S78</f>
        <v>77.273006999999993</v>
      </c>
      <c r="T78" s="263">
        <f>+T$3*'PROYECCIÓN GENERACIÓN'!T78</f>
        <v>79.368953999999988</v>
      </c>
      <c r="U78" s="263">
        <f>+U$3*'PROYECCIÓN GENERACIÓN'!U78</f>
        <v>81.499530000000007</v>
      </c>
      <c r="V78" s="263">
        <f>+V$3*'PROYECCIÓN GENERACIÓN'!V78</f>
        <v>83.664734999999993</v>
      </c>
      <c r="W78" s="263">
        <f>+W$3*'PROYECCIÓN GENERACIÓN'!W78</f>
        <v>85.864925999999997</v>
      </c>
      <c r="X78" s="263">
        <f>+X$3*'PROYECCIÓN GENERACIÓN'!X78</f>
        <v>88.101174</v>
      </c>
      <c r="Y78" s="263">
        <f>+Y$3*'PROYECCIÓN GENERACIÓN'!Y78</f>
        <v>90.374192999999991</v>
      </c>
      <c r="Z78" s="263">
        <f>+Z$3*'PROYECCIÓN GENERACIÓN'!Z78</f>
        <v>92.683982999999984</v>
      </c>
      <c r="AA78" s="565">
        <f t="shared" si="2"/>
        <v>65.37784757999998</v>
      </c>
    </row>
    <row r="79" spans="1:27" ht="24.95" customHeight="1">
      <c r="A79" s="351" t="str">
        <f>+Pobl_adoptada!A79</f>
        <v>General Viamonte</v>
      </c>
      <c r="B79" s="70">
        <f>+Pobl_adoptada!B79</f>
        <v>75</v>
      </c>
      <c r="C79" s="353" t="str">
        <f>+Pobl_adoptada!C79</f>
        <v>Los Toldos</v>
      </c>
      <c r="D79" s="261"/>
      <c r="E79" s="278"/>
      <c r="F79" s="263"/>
      <c r="G79" s="263">
        <f>+G$3*'PROYECCIÓN GENERACIÓN'!G79</f>
        <v>0.17446540000000002</v>
      </c>
      <c r="H79" s="263">
        <f>+H$3*'PROYECCIÓN GENERACIÓN'!H79</f>
        <v>1.4059839999999999</v>
      </c>
      <c r="I79" s="263">
        <f>+I$3*'PROYECCIÓN GENERACIÓN'!I79</f>
        <v>2.6556180000000005</v>
      </c>
      <c r="J79" s="263">
        <f>+J$3*'PROYECCIÓN GENERACIÓN'!J79</f>
        <v>4.4580950000000001</v>
      </c>
      <c r="K79" s="263">
        <f>+K$3*'PROYECCIÓN GENERACIÓN'!K79</f>
        <v>6.2865950000000002</v>
      </c>
      <c r="L79" s="263">
        <f>+L$3*'PROYECCIÓN GENERACIÓN'!L79</f>
        <v>6.3314859999999991</v>
      </c>
      <c r="M79" s="263">
        <f>+M$3*'PROYECCIÓN GENERACIÓN'!M79</f>
        <v>6.3767480000000001</v>
      </c>
      <c r="N79" s="263">
        <f>+N$3*'PROYECCIÓN GENERACIÓN'!N79</f>
        <v>6.4216390000000008</v>
      </c>
      <c r="O79" s="263">
        <f>+O$3*'PROYECCIÓN GENERACIÓN'!O79</f>
        <v>6.4665299999999997</v>
      </c>
      <c r="P79" s="263">
        <f>+P$3*'PROYECCIÓN GENERACIÓN'!P79</f>
        <v>6.5117920000000007</v>
      </c>
      <c r="Q79" s="263">
        <f>+Q$3*'PROYECCIÓN GENERACIÓN'!Q79</f>
        <v>6.5566829999999996</v>
      </c>
      <c r="R79" s="263">
        <f>+R$3*'PROYECCIÓN GENERACIÓN'!R79</f>
        <v>6.6019449999999997</v>
      </c>
      <c r="S79" s="263">
        <f>+S$3*'PROYECCIÓN GENERACIÓN'!S79</f>
        <v>6.6468360000000004</v>
      </c>
      <c r="T79" s="263">
        <f>+T$3*'PROYECCIÓN GENERACIÓN'!T79</f>
        <v>6.6920979999999997</v>
      </c>
      <c r="U79" s="263">
        <f>+U$3*'PROYECCIÓN GENERACIÓN'!U79</f>
        <v>6.7369890000000003</v>
      </c>
      <c r="V79" s="263">
        <f>+V$3*'PROYECCIÓN GENERACIÓN'!V79</f>
        <v>6.7818799999999992</v>
      </c>
      <c r="W79" s="263">
        <f>+W$3*'PROYECCIÓN GENERACIÓN'!W79</f>
        <v>6.8271420000000003</v>
      </c>
      <c r="X79" s="263">
        <f>+X$3*'PROYECCIÓN GENERACIÓN'!X79</f>
        <v>6.8720330000000001</v>
      </c>
      <c r="Y79" s="263">
        <f>+Y$3*'PROYECCIÓN GENERACIÓN'!Y79</f>
        <v>6.9172949999999993</v>
      </c>
      <c r="Z79" s="263">
        <f>+Z$3*'PROYECCIÓN GENERACIÓN'!Z79</f>
        <v>6.9621860000000009</v>
      </c>
      <c r="AA79" s="565">
        <f t="shared" si="2"/>
        <v>5.7342019699999991</v>
      </c>
    </row>
    <row r="80" spans="1:27" ht="24.95" customHeight="1">
      <c r="A80" s="351" t="str">
        <f>+Pobl_adoptada!A80</f>
        <v>General Villegas</v>
      </c>
      <c r="B80" s="70">
        <f>+Pobl_adoptada!B80</f>
        <v>76</v>
      </c>
      <c r="C80" s="353" t="str">
        <f>+Pobl_adoptada!C80</f>
        <v>General Villegas</v>
      </c>
      <c r="D80" s="261"/>
      <c r="E80" s="278"/>
      <c r="F80" s="263"/>
      <c r="G80" s="263">
        <f>+G$3*'PROYECCIÓN GENERACIÓN'!G80</f>
        <v>0.23817139999999998</v>
      </c>
      <c r="H80" s="263">
        <f>+H$3*'PROYECCIÓN GENERACIÓN'!H80</f>
        <v>1.9301328000000002</v>
      </c>
      <c r="I80" s="263">
        <f>+I$3*'PROYECCIÓN GENERACIÓN'!I80</f>
        <v>3.6660630000000003</v>
      </c>
      <c r="J80" s="263">
        <f>+J$3*'PROYECCIÓN GENERACIÓN'!J80</f>
        <v>6.1893400000000005</v>
      </c>
      <c r="K80" s="263">
        <f>+K$3*'PROYECCIÓN GENERACIÓN'!K80</f>
        <v>8.7778600000000004</v>
      </c>
      <c r="L80" s="263">
        <f>+L$3*'PROYECCIÓN GENERACIÓN'!L80</f>
        <v>8.8917570000000001</v>
      </c>
      <c r="M80" s="263">
        <f>+M$3*'PROYECCIÓN GENERACIÓN'!M80</f>
        <v>9.0075089999999989</v>
      </c>
      <c r="N80" s="263">
        <f>+N$3*'PROYECCIÓN GENERACIÓN'!N80</f>
        <v>9.1243740000000013</v>
      </c>
      <c r="O80" s="263">
        <f>+O$3*'PROYECCIÓN GENERACIÓN'!O80</f>
        <v>9.2430939999999993</v>
      </c>
      <c r="P80" s="263">
        <f>+P$3*'PROYECCIÓN GENERACIÓN'!P80</f>
        <v>9.3632980000000003</v>
      </c>
      <c r="Q80" s="263">
        <f>+Q$3*'PROYECCIÓN GENERACIÓN'!Q80</f>
        <v>9.484986000000001</v>
      </c>
      <c r="R80" s="263">
        <f>+R$3*'PROYECCIÓN GENERACIÓN'!R80</f>
        <v>9.6081579999999995</v>
      </c>
      <c r="S80" s="263">
        <f>+S$3*'PROYECCIÓN GENERACIÓN'!S80</f>
        <v>9.7331849999999989</v>
      </c>
      <c r="T80" s="263">
        <f>+T$3*'PROYECCIÓN GENERACIÓN'!T80</f>
        <v>9.8596959999999996</v>
      </c>
      <c r="U80" s="263">
        <f>+U$3*'PROYECCIÓN GENERACIÓN'!U80</f>
        <v>9.9876909999999999</v>
      </c>
      <c r="V80" s="263">
        <f>+V$3*'PROYECCIÓN GENERACIÓN'!V80</f>
        <v>10.117540999999999</v>
      </c>
      <c r="W80" s="263">
        <f>+W$3*'PROYECCIÓN GENERACIÓN'!W80</f>
        <v>10.248874999999998</v>
      </c>
      <c r="X80" s="263">
        <f>+X$3*'PROYECCIÓN GENERACIÓN'!X80</f>
        <v>10.382064</v>
      </c>
      <c r="Y80" s="263">
        <f>+Y$3*'PROYECCIÓN GENERACIÓN'!Y80</f>
        <v>10.517108</v>
      </c>
      <c r="Z80" s="263">
        <f>+Z$3*'PROYECCIÓN GENERACIÓN'!Z80</f>
        <v>10.653636000000001</v>
      </c>
      <c r="AA80" s="565">
        <f t="shared" si="2"/>
        <v>8.3512269600000018</v>
      </c>
    </row>
    <row r="81" spans="1:27" ht="24.95" customHeight="1">
      <c r="A81" s="351" t="str">
        <f>+Pobl_adoptada!A81</f>
        <v>Guaminí</v>
      </c>
      <c r="B81" s="70">
        <f>+Pobl_adoptada!B81</f>
        <v>77</v>
      </c>
      <c r="C81" s="353" t="str">
        <f>+Pobl_adoptada!C81</f>
        <v>Guaminí</v>
      </c>
      <c r="D81" s="261"/>
      <c r="E81" s="278"/>
      <c r="F81" s="263"/>
      <c r="G81" s="263">
        <f>+G$3*'PROYECCIÓN GENERACIÓN'!G81</f>
        <v>2.6735200000000001E-2</v>
      </c>
      <c r="H81" s="263">
        <f>+H$3*'PROYECCIÓN GENERACIÓN'!H81</f>
        <v>0.21432320000000002</v>
      </c>
      <c r="I81" s="263">
        <f>+I$3*'PROYECCIÓN GENERACIÓN'!I81</f>
        <v>0.40254600000000007</v>
      </c>
      <c r="J81" s="263">
        <f>+J$3*'PROYECCIÓN GENERACIÓN'!J81</f>
        <v>0.67229000000000005</v>
      </c>
      <c r="K81" s="263">
        <f>+K$3*'PROYECCIÓN GENERACIÓN'!K81</f>
        <v>0.94313800000000003</v>
      </c>
      <c r="L81" s="263">
        <f>+L$3*'PROYECCIÓN GENERACIÓN'!L81</f>
        <v>0.94506999999999997</v>
      </c>
      <c r="M81" s="263">
        <f>+M$3*'PROYECCIÓN GENERACIÓN'!M81</f>
        <v>0.94667999999999997</v>
      </c>
      <c r="N81" s="263">
        <f>+N$3*'PROYECCIÓN GENERACIÓN'!N81</f>
        <v>0.94861200000000001</v>
      </c>
      <c r="O81" s="263">
        <f>+O$3*'PROYECCIÓN GENERACIÓN'!O81</f>
        <v>0.95054399999999994</v>
      </c>
      <c r="P81" s="263">
        <f>+P$3*'PROYECCIÓN GENERACIÓN'!P81</f>
        <v>0.95215399999999994</v>
      </c>
      <c r="Q81" s="263">
        <f>+Q$3*'PROYECCIÓN GENERACIÓN'!Q81</f>
        <v>0.95408599999999999</v>
      </c>
      <c r="R81" s="263">
        <f>+R$3*'PROYECCIÓN GENERACIÓN'!R81</f>
        <v>0.95601799999999992</v>
      </c>
      <c r="S81" s="263">
        <f>+S$3*'PROYECCIÓN GENERACIÓN'!S81</f>
        <v>0.95794999999999997</v>
      </c>
      <c r="T81" s="263">
        <f>+T$3*'PROYECCIÓN GENERACIÓN'!T81</f>
        <v>0.95955999999999997</v>
      </c>
      <c r="U81" s="263">
        <f>+U$3*'PROYECCIÓN GENERACIÓN'!U81</f>
        <v>0.96149200000000001</v>
      </c>
      <c r="V81" s="263">
        <f>+V$3*'PROYECCIÓN GENERACIÓN'!V81</f>
        <v>0.96342400000000006</v>
      </c>
      <c r="W81" s="263">
        <f>+W$3*'PROYECCIÓN GENERACIÓN'!W81</f>
        <v>0.96535599999999999</v>
      </c>
      <c r="X81" s="263">
        <f>+X$3*'PROYECCIÓN GENERACIÓN'!X81</f>
        <v>0.96696599999999999</v>
      </c>
      <c r="Y81" s="263">
        <f>+Y$3*'PROYECCIÓN GENERACIÓN'!Y81</f>
        <v>0.96889800000000004</v>
      </c>
      <c r="Z81" s="263">
        <f>+Z$3*'PROYECCIÓN GENERACIÓN'!Z81</f>
        <v>0.97082999999999997</v>
      </c>
      <c r="AA81" s="565">
        <f t="shared" si="2"/>
        <v>0.83133361999999988</v>
      </c>
    </row>
    <row r="82" spans="1:27" ht="24.95" customHeight="1">
      <c r="A82" s="351" t="str">
        <f>+Pobl_adoptada!A82</f>
        <v>Hipólito Yrigoyen</v>
      </c>
      <c r="B82" s="70">
        <f>+Pobl_adoptada!B82</f>
        <v>78</v>
      </c>
      <c r="C82" s="353" t="str">
        <f>+Pobl_adoptada!C82</f>
        <v>Henderson</v>
      </c>
      <c r="D82" s="261"/>
      <c r="E82" s="278"/>
      <c r="F82" s="263"/>
      <c r="G82" s="263">
        <f>+G$3*'PROYECCIÓN GENERACIÓN'!G82</f>
        <v>8.7206800000000001E-2</v>
      </c>
      <c r="H82" s="263">
        <f>+H$3*'PROYECCIÓN GENERACIÓN'!H82</f>
        <v>0.70170240000000006</v>
      </c>
      <c r="I82" s="263">
        <f>+I$3*'PROYECCIÓN GENERACIÓN'!I82</f>
        <v>1.3232820000000001</v>
      </c>
      <c r="J82" s="263">
        <f>+J$3*'PROYECCIÓN GENERACIÓN'!J82</f>
        <v>2.2181199999999999</v>
      </c>
      <c r="K82" s="263">
        <f>+K$3*'PROYECCIÓN GENERACIÓN'!K82</f>
        <v>3.1233999999999997</v>
      </c>
      <c r="L82" s="263">
        <f>+L$3*'PROYECCIÓN GENERACIÓN'!L82</f>
        <v>3.1414320000000004</v>
      </c>
      <c r="M82" s="263">
        <f>+M$3*'PROYECCIÓN GENERACIÓN'!M82</f>
        <v>3.1594640000000003</v>
      </c>
      <c r="N82" s="263">
        <f>+N$3*'PROYECCIÓN GENERACIÓN'!N82</f>
        <v>3.1778179999999998</v>
      </c>
      <c r="O82" s="263">
        <f>+O$3*'PROYECCIÓN GENERACIÓN'!O82</f>
        <v>3.1961720000000002</v>
      </c>
      <c r="P82" s="263">
        <f>+P$3*'PROYECCIÓN GENERACIÓN'!P82</f>
        <v>3.2145259999999998</v>
      </c>
      <c r="Q82" s="263">
        <f>+Q$3*'PROYECCIÓN GENERACIÓN'!Q82</f>
        <v>3.2332020000000004</v>
      </c>
      <c r="R82" s="263">
        <f>+R$3*'PROYECCIÓN GENERACIÓN'!R82</f>
        <v>3.2518779999999996</v>
      </c>
      <c r="S82" s="263">
        <f>+S$3*'PROYECCIÓN GENERACIÓN'!S82</f>
        <v>3.2705540000000002</v>
      </c>
      <c r="T82" s="263">
        <f>+T$3*'PROYECCIÓN GENERACIÓN'!T82</f>
        <v>3.289552</v>
      </c>
      <c r="U82" s="263">
        <f>+U$3*'PROYECCIÓN GENERACIÓN'!U82</f>
        <v>3.3085499999999994</v>
      </c>
      <c r="V82" s="263">
        <f>+V$3*'PROYECCIÓN GENERACIÓN'!V82</f>
        <v>3.3275480000000002</v>
      </c>
      <c r="W82" s="263">
        <f>+W$3*'PROYECCIÓN GENERACIÓN'!W82</f>
        <v>3.3468679999999993</v>
      </c>
      <c r="X82" s="263">
        <f>+X$3*'PROYECCIÓN GENERACIÓN'!X82</f>
        <v>3.3661879999999997</v>
      </c>
      <c r="Y82" s="263">
        <f>+Y$3*'PROYECCIÓN GENERACIÓN'!Y82</f>
        <v>3.3855080000000002</v>
      </c>
      <c r="Z82" s="263">
        <f>+Z$3*'PROYECCIÓN GENERACIÓN'!Z82</f>
        <v>3.4051499999999995</v>
      </c>
      <c r="AA82" s="565">
        <f t="shared" si="2"/>
        <v>2.8264060599999996</v>
      </c>
    </row>
    <row r="83" spans="1:27" ht="24.95" customHeight="1">
      <c r="A83" s="351" t="str">
        <f>+Pobl_adoptada!A83</f>
        <v>Junín</v>
      </c>
      <c r="B83" s="70">
        <f>+Pobl_adoptada!B83</f>
        <v>79</v>
      </c>
      <c r="C83" s="353" t="str">
        <f>+Pobl_adoptada!C83</f>
        <v>Junín</v>
      </c>
      <c r="D83" s="261"/>
      <c r="E83" s="278"/>
      <c r="F83" s="263"/>
      <c r="G83" s="263">
        <f>+G$3*'PROYECCIÓN GENERACIÓN'!G83</f>
        <v>1.0033331999999999</v>
      </c>
      <c r="H83" s="263">
        <f>+H$3*'PROYECCIÓN GENERACIÓN'!H83</f>
        <v>8.0806032000000005</v>
      </c>
      <c r="I83" s="263">
        <f>+I$3*'PROYECCIÓN GENERACIÓN'!I83</f>
        <v>15.252110999999999</v>
      </c>
      <c r="J83" s="263">
        <f>+J$3*'PROYECCIÓN GENERACIÓN'!J83</f>
        <v>25.588485000000002</v>
      </c>
      <c r="K83" s="263">
        <f>+K$3*'PROYECCIÓN GENERACIÓN'!K83</f>
        <v>36.059498999999995</v>
      </c>
      <c r="L83" s="263">
        <f>+L$3*'PROYECCIÓN GENERACIÓN'!L83</f>
        <v>36.295119</v>
      </c>
      <c r="M83" s="263">
        <f>+M$3*'PROYECCIÓN GENERACIÓN'!M83</f>
        <v>36.530738999999997</v>
      </c>
      <c r="N83" s="263">
        <f>+N$3*'PROYECCIÓN GENERACIÓN'!N83</f>
        <v>36.766358999999994</v>
      </c>
      <c r="O83" s="263">
        <f>+O$3*'PROYECCIÓN GENERACIÓN'!O83</f>
        <v>37.001978999999999</v>
      </c>
      <c r="P83" s="263">
        <f>+P$3*'PROYECCIÓN GENERACIÓN'!P83</f>
        <v>37.237598999999996</v>
      </c>
      <c r="Q83" s="263">
        <f>+Q$3*'PROYECCIÓN GENERACIÓN'!Q83</f>
        <v>37.473218999999993</v>
      </c>
      <c r="R83" s="263">
        <f>+R$3*'PROYECCIÓN GENERACIÓN'!R83</f>
        <v>37.708838999999998</v>
      </c>
      <c r="S83" s="263">
        <f>+S$3*'PROYECCIÓN GENERACIÓN'!S83</f>
        <v>37.944815999999996</v>
      </c>
      <c r="T83" s="263">
        <f>+T$3*'PROYECCIÓN GENERACIÓN'!T83</f>
        <v>38.180436</v>
      </c>
      <c r="U83" s="263">
        <f>+U$3*'PROYECCIÓN GENERACIÓN'!U83</f>
        <v>38.416055999999998</v>
      </c>
      <c r="V83" s="263">
        <f>+V$3*'PROYECCIÓN GENERACIÓN'!V83</f>
        <v>38.651676000000002</v>
      </c>
      <c r="W83" s="263">
        <f>+W$3*'PROYECCIÓN GENERACIÓN'!W83</f>
        <v>38.887295999999999</v>
      </c>
      <c r="X83" s="263">
        <f>+X$3*'PROYECCIÓN GENERACIÓN'!X83</f>
        <v>39.122915999999996</v>
      </c>
      <c r="Y83" s="263">
        <f>+Y$3*'PROYECCIÓN GENERACIÓN'!Y83</f>
        <v>39.358536000000001</v>
      </c>
      <c r="Z83" s="263">
        <f>+Z$3*'PROYECCIÓN GENERACIÓN'!Z83</f>
        <v>39.594155999999998</v>
      </c>
      <c r="AA83" s="565">
        <f t="shared" si="2"/>
        <v>32.757688619999996</v>
      </c>
    </row>
    <row r="84" spans="1:27" ht="24.95" customHeight="1">
      <c r="A84" s="351" t="str">
        <f>+Pobl_adoptada!A84</f>
        <v>La Costa</v>
      </c>
      <c r="B84" s="70">
        <f>+Pobl_adoptada!B84</f>
        <v>80</v>
      </c>
      <c r="C84" s="353" t="str">
        <f>+Pobl_adoptada!C84</f>
        <v>Mar de Ajó - San Bernardo</v>
      </c>
      <c r="D84" s="261"/>
      <c r="E84" s="278"/>
      <c r="F84" s="263"/>
      <c r="G84" s="263">
        <f>+G$3*'PROYECCIÓN GENERACIÓN'!G84</f>
        <v>1.0171032000000002</v>
      </c>
      <c r="H84" s="263">
        <f>+H$3*'PROYECCIÓN GENERACIÓN'!H84</f>
        <v>8.3626944000000005</v>
      </c>
      <c r="I84" s="263">
        <f>+I$3*'PROYECCIÓN GENERACIÓN'!I84</f>
        <v>16.103249999999999</v>
      </c>
      <c r="J84" s="263">
        <f>+J$3*'PROYECCIÓN GENERACIÓN'!J84</f>
        <v>27.544589999999999</v>
      </c>
      <c r="K84" s="263">
        <f>+K$3*'PROYECCIÓN GENERACIÓN'!K84</f>
        <v>39.550244999999997</v>
      </c>
      <c r="L84" s="263">
        <f>+L$3*'PROYECCIÓN GENERACIÓN'!L84</f>
        <v>40.760831999999994</v>
      </c>
      <c r="M84" s="263">
        <f>+M$3*'PROYECCIÓN GENERACIÓN'!M84</f>
        <v>41.971775999999998</v>
      </c>
      <c r="N84" s="263">
        <f>+N$3*'PROYECCIÓN GENERACIÓN'!N84</f>
        <v>43.182363000000002</v>
      </c>
      <c r="O84" s="263">
        <f>+O$3*'PROYECCIÓN GENERACIÓN'!O84</f>
        <v>44.392949999999999</v>
      </c>
      <c r="P84" s="263">
        <f>+P$3*'PROYECCIÓN GENERACIÓN'!P84</f>
        <v>45.603893999999997</v>
      </c>
      <c r="Q84" s="263">
        <f>+Q$3*'PROYECCIÓN GENERACIÓN'!Q84</f>
        <v>46.814481000000001</v>
      </c>
      <c r="R84" s="263">
        <f>+R$3*'PROYECCIÓN GENERACIÓN'!R84</f>
        <v>48.025424999999991</v>
      </c>
      <c r="S84" s="263">
        <f>+S$3*'PROYECCIÓN GENERACIÓN'!S84</f>
        <v>49.236011999999995</v>
      </c>
      <c r="T84" s="263">
        <f>+T$3*'PROYECCIÓN GENERACIÓN'!T84</f>
        <v>50.446599000000006</v>
      </c>
      <c r="U84" s="263">
        <f>+U$3*'PROYECCIÓN GENERACIÓN'!U84</f>
        <v>51.657543000000004</v>
      </c>
      <c r="V84" s="263">
        <f>+V$3*'PROYECCIÓN GENERACIÓN'!V84</f>
        <v>52.868129999999994</v>
      </c>
      <c r="W84" s="263">
        <f>+W$3*'PROYECCIÓN GENERACIÓN'!W84</f>
        <v>54.079073999999999</v>
      </c>
      <c r="X84" s="263">
        <f>+X$3*'PROYECCIÓN GENERACIÓN'!X84</f>
        <v>55.289660999999995</v>
      </c>
      <c r="Y84" s="263">
        <f>+Y$3*'PROYECCIÓN GENERACIÓN'!Y84</f>
        <v>56.500604999999993</v>
      </c>
      <c r="Z84" s="263">
        <f>+Z$3*'PROYECCIÓN GENERACIÓN'!Z84</f>
        <v>57.71119199999999</v>
      </c>
      <c r="AA84" s="565">
        <f t="shared" si="2"/>
        <v>41.555920979999996</v>
      </c>
    </row>
    <row r="85" spans="1:27" ht="24.95" customHeight="1">
      <c r="A85" s="351" t="str">
        <f>+Pobl_adoptada!A85</f>
        <v>La Costa</v>
      </c>
      <c r="B85" s="70">
        <f>+Pobl_adoptada!B85</f>
        <v>81</v>
      </c>
      <c r="C85" s="353" t="str">
        <f>+Pobl_adoptada!C85</f>
        <v>Santa Teresita - Mar del Tuyú</v>
      </c>
      <c r="D85" s="261"/>
      <c r="E85" s="278"/>
      <c r="F85" s="263"/>
      <c r="G85" s="263">
        <f>+G$3*'PROYECCIÓN GENERACIÓN'!G85</f>
        <v>0.64752660000000006</v>
      </c>
      <c r="H85" s="263">
        <f>+H$3*'PROYECCIÓN GENERACIÓN'!H85</f>
        <v>5.2742975999999997</v>
      </c>
      <c r="I85" s="263">
        <f>+I$3*'PROYECCIÓN GENERACIÓN'!I85</f>
        <v>10.065411000000001</v>
      </c>
      <c r="J85" s="263">
        <f>+J$3*'PROYECCIÓN GENERACIÓN'!J85</f>
        <v>17.069444999999998</v>
      </c>
      <c r="K85" s="263">
        <f>+K$3*'PROYECCIÓN GENERACIÓN'!K85</f>
        <v>24.308843999999997</v>
      </c>
      <c r="L85" s="263">
        <f>+L$3*'PROYECCIÓN GENERACIÓN'!L85</f>
        <v>24.720108000000003</v>
      </c>
      <c r="M85" s="263">
        <f>+M$3*'PROYECCIÓN GENERACIÓN'!M85</f>
        <v>25.131014999999998</v>
      </c>
      <c r="N85" s="263">
        <f>+N$3*'PROYECCIÓN GENERACIÓN'!N85</f>
        <v>25.542635999999998</v>
      </c>
      <c r="O85" s="263">
        <f>+O$3*'PROYECCIÓN GENERACIÓN'!O85</f>
        <v>25.953899999999997</v>
      </c>
      <c r="P85" s="263">
        <f>+P$3*'PROYECCIÓN GENERACIÓN'!P85</f>
        <v>26.365164</v>
      </c>
      <c r="Q85" s="263">
        <f>+Q$3*'PROYECCIÓN GENERACIÓN'!Q85</f>
        <v>26.776784999999997</v>
      </c>
      <c r="R85" s="263">
        <f>+R$3*'PROYECCIÓN GENERACIÓN'!R85</f>
        <v>27.187691999999998</v>
      </c>
      <c r="S85" s="263">
        <f>+S$3*'PROYECCIÓN GENERACIÓN'!S85</f>
        <v>27.598956000000001</v>
      </c>
      <c r="T85" s="263">
        <f>+T$3*'PROYECCIÓN GENERACIÓN'!T85</f>
        <v>28.010576999999998</v>
      </c>
      <c r="U85" s="263">
        <f>+U$3*'PROYECCIÓN GENERACIÓN'!U85</f>
        <v>28.421840999999997</v>
      </c>
      <c r="V85" s="263">
        <f>+V$3*'PROYECCIÓN GENERACIÓN'!V85</f>
        <v>28.833105</v>
      </c>
      <c r="W85" s="263">
        <f>+W$3*'PROYECCIÓN GENERACIÓN'!W85</f>
        <v>29.244368999999999</v>
      </c>
      <c r="X85" s="263">
        <f>+X$3*'PROYECCIÓN GENERACIÓN'!X85</f>
        <v>29.655633000000002</v>
      </c>
      <c r="Y85" s="263">
        <f>+Y$3*'PROYECCIÓN GENERACIÓN'!Y85</f>
        <v>30.066896999999994</v>
      </c>
      <c r="Z85" s="263">
        <f>+Z$3*'PROYECCIÓN GENERACIÓN'!Z85</f>
        <v>30.478517999999998</v>
      </c>
      <c r="AA85" s="565">
        <f t="shared" si="2"/>
        <v>23.567636009999998</v>
      </c>
    </row>
    <row r="86" spans="1:27" ht="24.95" customHeight="1">
      <c r="A86" s="351" t="str">
        <f>+Pobl_adoptada!A86</f>
        <v>La Plata</v>
      </c>
      <c r="B86" s="70">
        <f>+Pobl_adoptada!B86</f>
        <v>82</v>
      </c>
      <c r="C86" s="353" t="str">
        <f>+Pobl_adoptada!C86</f>
        <v>La Plata</v>
      </c>
      <c r="D86" s="261"/>
      <c r="E86" s="278"/>
      <c r="F86" s="263"/>
      <c r="G86" s="263">
        <f>+G$3*'PROYECCIÓN GENERACIÓN'!G86</f>
        <v>10.841701499999999</v>
      </c>
      <c r="H86" s="263">
        <f>+H$3*'PROYECCIÓN GENERACIÓN'!H86</f>
        <v>87.707414400000005</v>
      </c>
      <c r="I86" s="263">
        <f>+I$3*'PROYECCIÓN GENERACIÓN'!I86</f>
        <v>166.29758549999997</v>
      </c>
      <c r="J86" s="263">
        <f>+J$3*'PROYECCIÓN GENERACIÓN'!J86</f>
        <v>280.27451250000001</v>
      </c>
      <c r="K86" s="263">
        <f>+K$3*'PROYECCIÓN GENERACIÓN'!K86</f>
        <v>396.78929849999997</v>
      </c>
      <c r="L86" s="263">
        <f>+L$3*'PROYECCIÓN GENERACIÓN'!L86</f>
        <v>401.244123</v>
      </c>
      <c r="M86" s="263">
        <f>+M$3*'PROYECCIÓN GENERACIÓN'!M86</f>
        <v>405.74879099999998</v>
      </c>
      <c r="N86" s="263">
        <f>+N$3*'PROYECCIÓN GENERACIÓN'!N86</f>
        <v>410.30428949999998</v>
      </c>
      <c r="O86" s="263">
        <f>+O$3*'PROYECCIÓN GENERACIÓN'!O86</f>
        <v>414.91061849999994</v>
      </c>
      <c r="P86" s="263">
        <f>+P$3*'PROYECCIÓN GENERACIÓN'!P86</f>
        <v>419.56876499999993</v>
      </c>
      <c r="Q86" s="263">
        <f>+Q$3*'PROYECCIÓN GENERACIÓN'!Q86</f>
        <v>424.27922249999995</v>
      </c>
      <c r="R86" s="263">
        <f>+R$3*'PROYECCIÓN GENERACIÓN'!R86</f>
        <v>429.04248449999994</v>
      </c>
      <c r="S86" s="263">
        <f>+S$3*'PROYECCIÓN GENERACIÓN'!S86</f>
        <v>433.85904449999998</v>
      </c>
      <c r="T86" s="263">
        <f>+T$3*'PROYECCIÓN GENERACIÓN'!T86</f>
        <v>438.72988949999996</v>
      </c>
      <c r="U86" s="263">
        <f>+U$3*'PROYECCIÓN GENERACIÓN'!U86</f>
        <v>443.65551299999998</v>
      </c>
      <c r="V86" s="263">
        <f>+V$3*'PROYECCIÓN GENERACIÓN'!V86</f>
        <v>448.6364084999999</v>
      </c>
      <c r="W86" s="263">
        <f>+W$3*'PROYECCIÓN GENERACIÓN'!W86</f>
        <v>453.673563</v>
      </c>
      <c r="X86" s="263">
        <f>+X$3*'PROYECCIÓN GENERACIÓN'!X86</f>
        <v>458.76648299999994</v>
      </c>
      <c r="Y86" s="263">
        <f>+Y$3*'PROYECCIÓN GENERACIÓN'!Y86</f>
        <v>463.9171424999999</v>
      </c>
      <c r="Z86" s="263">
        <f>+Z$3*'PROYECCIÓN GENERACIÓN'!Z86</f>
        <v>469.1255415</v>
      </c>
      <c r="AA86" s="565">
        <f t="shared" si="2"/>
        <v>372.86861959499998</v>
      </c>
    </row>
    <row r="87" spans="1:27" ht="24.95" customHeight="1">
      <c r="A87" s="351" t="str">
        <f>+Pobl_adoptada!A87</f>
        <v>Laprida</v>
      </c>
      <c r="B87" s="70">
        <f>+Pobl_adoptada!B87</f>
        <v>83</v>
      </c>
      <c r="C87" s="353" t="str">
        <f>+Pobl_adoptada!C87</f>
        <v>Laprida</v>
      </c>
      <c r="D87" s="261"/>
      <c r="E87" s="278"/>
      <c r="F87" s="263"/>
      <c r="G87" s="263">
        <f>+G$3*'PROYECCIÓN GENERACIÓN'!G87</f>
        <v>9.3398400000000006E-2</v>
      </c>
      <c r="H87" s="263">
        <f>+H$3*'PROYECCIÓN GENERACIÓN'!H87</f>
        <v>0.75366400000000011</v>
      </c>
      <c r="I87" s="263">
        <f>+I$3*'PROYECCIÓN GENERACIÓN'!I87</f>
        <v>1.4254019999999998</v>
      </c>
      <c r="J87" s="263">
        <f>+J$3*'PROYECCIÓN GENERACIÓN'!J87</f>
        <v>2.3963700000000001</v>
      </c>
      <c r="K87" s="263">
        <f>+K$3*'PROYECCIÓN GENERACIÓN'!K87</f>
        <v>3.3838980000000003</v>
      </c>
      <c r="L87" s="263">
        <f>+L$3*'PROYECCIÓN GENERACIÓN'!L87</f>
        <v>3.4135219999999995</v>
      </c>
      <c r="M87" s="263">
        <f>+M$3*'PROYECCIÓN GENERACIÓN'!M87</f>
        <v>3.4431460000000005</v>
      </c>
      <c r="N87" s="263">
        <f>+N$3*'PROYECCIÓN GENERACIÓN'!N87</f>
        <v>3.4730920000000003</v>
      </c>
      <c r="O87" s="263">
        <f>+O$3*'PROYECCIÓN GENERACIÓN'!O87</f>
        <v>3.5030379999999997</v>
      </c>
      <c r="P87" s="263">
        <f>+P$3*'PROYECCIÓN GENERACIÓN'!P87</f>
        <v>3.5336279999999998</v>
      </c>
      <c r="Q87" s="263">
        <f>+Q$3*'PROYECCIÓN GENERACIÓN'!Q87</f>
        <v>3.5642179999999994</v>
      </c>
      <c r="R87" s="263">
        <f>+R$3*'PROYECCIÓN GENERACIÓN'!R87</f>
        <v>3.5951300000000002</v>
      </c>
      <c r="S87" s="263">
        <f>+S$3*'PROYECCIÓN GENERACIÓN'!S87</f>
        <v>3.6263640000000001</v>
      </c>
      <c r="T87" s="263">
        <f>+T$3*'PROYECCIÓN GENERACIÓN'!T87</f>
        <v>3.6579199999999998</v>
      </c>
      <c r="U87" s="263">
        <f>+U$3*'PROYECCIÓN GENERACIÓN'!U87</f>
        <v>3.6897979999999997</v>
      </c>
      <c r="V87" s="263">
        <f>+V$3*'PROYECCIÓN GENERACIÓN'!V87</f>
        <v>3.7216759999999995</v>
      </c>
      <c r="W87" s="263">
        <f>+W$3*'PROYECCIÓN GENERACIÓN'!W87</f>
        <v>3.7541980000000001</v>
      </c>
      <c r="X87" s="263">
        <f>+X$3*'PROYECCIÓN GENERACIÓN'!X87</f>
        <v>3.7867199999999999</v>
      </c>
      <c r="Y87" s="263">
        <f>+Y$3*'PROYECCIÓN GENERACIÓN'!Y87</f>
        <v>3.8195639999999997</v>
      </c>
      <c r="Z87" s="263">
        <f>+Z$3*'PROYECCIÓN GENERACIÓN'!Z87</f>
        <v>3.8527300000000002</v>
      </c>
      <c r="AA87" s="565">
        <f t="shared" si="2"/>
        <v>3.1243738200000006</v>
      </c>
    </row>
    <row r="88" spans="1:27" ht="24.95" customHeight="1">
      <c r="A88" s="351" t="str">
        <f>+Pobl_adoptada!A88</f>
        <v>Las Flores</v>
      </c>
      <c r="B88" s="70">
        <f>+Pobl_adoptada!B88</f>
        <v>84</v>
      </c>
      <c r="C88" s="353" t="str">
        <f>+Pobl_adoptada!C88</f>
        <v>Las Flores</v>
      </c>
      <c r="D88" s="261"/>
      <c r="E88" s="278"/>
      <c r="F88" s="263"/>
      <c r="G88" s="263">
        <f>+G$3*'PROYECCIÓN GENERACIÓN'!G88</f>
        <v>0.26264680000000001</v>
      </c>
      <c r="H88" s="263">
        <f>+H$3*'PROYECCIÓN GENERACIÓN'!H88</f>
        <v>2.1261904</v>
      </c>
      <c r="I88" s="263">
        <f>+I$3*'PROYECCIÓN GENERACIÓN'!I88</f>
        <v>4.033512</v>
      </c>
      <c r="J88" s="263">
        <f>+J$3*'PROYECCIÓN GENERACIÓN'!J88</f>
        <v>6.8004300000000004</v>
      </c>
      <c r="K88" s="263">
        <f>+K$3*'PROYECCIÓN GENERACIÓN'!K88</f>
        <v>9.6300469999999994</v>
      </c>
      <c r="L88" s="263">
        <f>+L$3*'PROYECCIÓN GENERACIÓN'!L88</f>
        <v>9.774737</v>
      </c>
      <c r="M88" s="263">
        <f>+M$3*'PROYECCIÓN GENERACIÓN'!M88</f>
        <v>9.9197980000000001</v>
      </c>
      <c r="N88" s="263">
        <f>+N$3*'PROYECCIÓN GENERACIÓN'!N88</f>
        <v>10.064488000000001</v>
      </c>
      <c r="O88" s="263">
        <f>+O$3*'PROYECCIÓN GENERACIÓN'!O88</f>
        <v>10.209549000000001</v>
      </c>
      <c r="P88" s="263">
        <f>+P$3*'PROYECCIÓN GENERACIÓN'!P88</f>
        <v>10.354239</v>
      </c>
      <c r="Q88" s="263">
        <f>+Q$3*'PROYECCIÓN GENERACIÓN'!Q88</f>
        <v>10.4993</v>
      </c>
      <c r="R88" s="263">
        <f>+R$3*'PROYECCIÓN GENERACIÓN'!R88</f>
        <v>10.643989999999999</v>
      </c>
      <c r="S88" s="263">
        <f>+S$3*'PROYECCIÓN GENERACIÓN'!S88</f>
        <v>10.789051000000001</v>
      </c>
      <c r="T88" s="263">
        <f>+T$3*'PROYECCIÓN GENERACIÓN'!T88</f>
        <v>10.933740999999999</v>
      </c>
      <c r="U88" s="263">
        <f>+U$3*'PROYECCIÓN GENERACIÓN'!U88</f>
        <v>11.078802</v>
      </c>
      <c r="V88" s="263">
        <f>+V$3*'PROYECCIÓN GENERACIÓN'!V88</f>
        <v>11.223492</v>
      </c>
      <c r="W88" s="263">
        <f>+W$3*'PROYECCIÓN GENERACIÓN'!W88</f>
        <v>11.368553</v>
      </c>
      <c r="X88" s="263">
        <f>+X$3*'PROYECCIÓN GENERACIÓN'!X88</f>
        <v>11.513243000000001</v>
      </c>
      <c r="Y88" s="263">
        <f>+Y$3*'PROYECCIÓN GENERACIÓN'!Y88</f>
        <v>11.658303999999999</v>
      </c>
      <c r="Z88" s="263">
        <f>+Z$3*'PROYECCIÓN GENERACIÓN'!Z88</f>
        <v>11.802994000000002</v>
      </c>
      <c r="AA88" s="565">
        <f t="shared" si="2"/>
        <v>9.2343553599999986</v>
      </c>
    </row>
    <row r="89" spans="1:27" ht="24.95" customHeight="1">
      <c r="A89" s="351" t="str">
        <f>+Pobl_adoptada!A89</f>
        <v>Leandro N. Alem</v>
      </c>
      <c r="B89" s="70">
        <f>+Pobl_adoptada!B89</f>
        <v>85</v>
      </c>
      <c r="C89" s="353" t="str">
        <f>+Pobl_adoptada!C89</f>
        <v>Vedia</v>
      </c>
      <c r="D89" s="261"/>
      <c r="E89" s="278"/>
      <c r="F89" s="263"/>
      <c r="G89" s="263">
        <f>+G$3*'PROYECCIÓN GENERACIÓN'!G89</f>
        <v>9.3536400000000006E-2</v>
      </c>
      <c r="H89" s="263">
        <f>+H$3*'PROYECCIÓN GENERACIÓN'!H89</f>
        <v>0.75439999999999996</v>
      </c>
      <c r="I89" s="263">
        <f>+I$3*'PROYECCIÓN GENERACIÓN'!I89</f>
        <v>1.4259540000000002</v>
      </c>
      <c r="J89" s="263">
        <f>+J$3*'PROYECCIÓN GENERACIÓN'!J89</f>
        <v>2.3959100000000002</v>
      </c>
      <c r="K89" s="263">
        <f>+K$3*'PROYECCIÓN GENERACIÓN'!K89</f>
        <v>3.3809999999999998</v>
      </c>
      <c r="L89" s="263">
        <f>+L$3*'PROYECCIÓN GENERACIÓN'!L89</f>
        <v>3.408048</v>
      </c>
      <c r="M89" s="263">
        <f>+M$3*'PROYECCIÓN GENERACIÓN'!M89</f>
        <v>3.4347740000000004</v>
      </c>
      <c r="N89" s="263">
        <f>+N$3*'PROYECCIÓN GENERACIÓN'!N89</f>
        <v>3.4618219999999997</v>
      </c>
      <c r="O89" s="263">
        <f>+O$3*'PROYECCIÓN GENERACIÓN'!O89</f>
        <v>3.4885480000000002</v>
      </c>
      <c r="P89" s="263">
        <f>+P$3*'PROYECCIÓN GENERACIÓN'!P89</f>
        <v>3.5155959999999999</v>
      </c>
      <c r="Q89" s="263">
        <f>+Q$3*'PROYECCIÓN GENERACIÓN'!Q89</f>
        <v>3.5423219999999995</v>
      </c>
      <c r="R89" s="263">
        <f>+R$3*'PROYECCIÓN GENERACIÓN'!R89</f>
        <v>3.569048</v>
      </c>
      <c r="S89" s="263">
        <f>+S$3*'PROYECCIÓN GENERACIÓN'!S89</f>
        <v>3.5960960000000002</v>
      </c>
      <c r="T89" s="263">
        <f>+T$3*'PROYECCIÓN GENERACIÓN'!T89</f>
        <v>3.6228219999999998</v>
      </c>
      <c r="U89" s="263">
        <f>+U$3*'PROYECCIÓN GENERACIÓN'!U89</f>
        <v>3.6498699999999999</v>
      </c>
      <c r="V89" s="263">
        <f>+V$3*'PROYECCIÓN GENERACIÓN'!V89</f>
        <v>3.6765960000000004</v>
      </c>
      <c r="W89" s="263">
        <f>+W$3*'PROYECCIÓN GENERACIÓN'!W89</f>
        <v>3.7036439999999997</v>
      </c>
      <c r="X89" s="263">
        <f>+X$3*'PROYECCIÓN GENERACIÓN'!X89</f>
        <v>3.7303700000000002</v>
      </c>
      <c r="Y89" s="263">
        <f>+Y$3*'PROYECCIÓN GENERACIÓN'!Y89</f>
        <v>3.7574179999999995</v>
      </c>
      <c r="Z89" s="263">
        <f>+Z$3*'PROYECCIÓN GENERACIÓN'!Z89</f>
        <v>3.784144</v>
      </c>
      <c r="AA89" s="565">
        <f t="shared" si="2"/>
        <v>3.0995959200000001</v>
      </c>
    </row>
    <row r="90" spans="1:27" ht="24.95" customHeight="1">
      <c r="A90" s="351" t="str">
        <f>+Pobl_adoptada!A90</f>
        <v>Lincoln</v>
      </c>
      <c r="B90" s="70">
        <f>+Pobl_adoptada!B90</f>
        <v>86</v>
      </c>
      <c r="C90" s="353" t="str">
        <f>+Pobl_adoptada!C90</f>
        <v>Lincoln</v>
      </c>
      <c r="D90" s="261"/>
      <c r="E90" s="278"/>
      <c r="F90" s="263"/>
      <c r="G90" s="263">
        <f>+G$3*'PROYECCIÓN GENERACIÓN'!G90</f>
        <v>0.31992920000000002</v>
      </c>
      <c r="H90" s="263">
        <f>+H$3*'PROYECCIÓN GENERACIÓN'!H90</f>
        <v>2.5712208000000003</v>
      </c>
      <c r="I90" s="263">
        <f>+I$3*'PROYECCIÓN GENERACIÓN'!I90</f>
        <v>4.8431400000000009</v>
      </c>
      <c r="J90" s="263">
        <f>+J$3*'PROYECCIÓN GENERACIÓN'!J90</f>
        <v>8.109</v>
      </c>
      <c r="K90" s="263">
        <f>+K$3*'PROYECCIÓN GENERACIÓN'!K90</f>
        <v>11.404540000000001</v>
      </c>
      <c r="L90" s="263">
        <f>+L$3*'PROYECCIÓN GENERACIÓN'!L90</f>
        <v>11.456850999999999</v>
      </c>
      <c r="M90" s="263">
        <f>+M$3*'PROYECCIÓN GENERACIÓN'!M90</f>
        <v>11.509533000000001</v>
      </c>
      <c r="N90" s="263">
        <f>+N$3*'PROYECCIÓN GENERACIÓN'!N90</f>
        <v>11.562215</v>
      </c>
      <c r="O90" s="263">
        <f>+O$3*'PROYECCIÓN GENERACIÓN'!O90</f>
        <v>11.615268</v>
      </c>
      <c r="P90" s="263">
        <f>+P$3*'PROYECCIÓN GENERACIÓN'!P90</f>
        <v>11.668321000000001</v>
      </c>
      <c r="Q90" s="263">
        <f>+Q$3*'PROYECCIÓN GENERACIÓN'!Q90</f>
        <v>11.722116</v>
      </c>
      <c r="R90" s="263">
        <f>+R$3*'PROYECCIÓN GENERACIÓN'!R90</f>
        <v>11.775910999999999</v>
      </c>
      <c r="S90" s="263">
        <f>+S$3*'PROYECCIÓN GENERACIÓN'!S90</f>
        <v>11.829706</v>
      </c>
      <c r="T90" s="263">
        <f>+T$3*'PROYECCIÓN GENERACIÓN'!T90</f>
        <v>11.884243000000001</v>
      </c>
      <c r="U90" s="263">
        <f>+U$3*'PROYECCIÓN GENERACIÓN'!U90</f>
        <v>11.938780000000001</v>
      </c>
      <c r="V90" s="263">
        <f>+V$3*'PROYECCIÓN GENERACIÓN'!V90</f>
        <v>11.993317000000001</v>
      </c>
      <c r="W90" s="263">
        <f>+W$3*'PROYECCIÓN GENERACIÓN'!W90</f>
        <v>12.048224999999999</v>
      </c>
      <c r="X90" s="263">
        <f>+X$3*'PROYECCIÓN GENERACIÓN'!X90</f>
        <v>12.103503999999999</v>
      </c>
      <c r="Y90" s="263">
        <f>+Y$3*'PROYECCIÓN GENERACIÓN'!Y90</f>
        <v>12.159153999999999</v>
      </c>
      <c r="Z90" s="263">
        <f>+Z$3*'PROYECCIÓN GENERACIÓN'!Z90</f>
        <v>12.214804000000001</v>
      </c>
      <c r="AA90" s="565">
        <f t="shared" si="2"/>
        <v>10.236488900000001</v>
      </c>
    </row>
    <row r="91" spans="1:27" ht="24.95" customHeight="1">
      <c r="A91" s="351" t="str">
        <f>+Pobl_adoptada!A91</f>
        <v>Lobería</v>
      </c>
      <c r="B91" s="70">
        <f>+Pobl_adoptada!B91</f>
        <v>87</v>
      </c>
      <c r="C91" s="353" t="str">
        <f>+Pobl_adoptada!C91</f>
        <v>Lobería</v>
      </c>
      <c r="D91" s="261"/>
      <c r="E91" s="278"/>
      <c r="F91" s="263"/>
      <c r="G91" s="263">
        <f>+G$3*'PROYECCIÓN GENERACIÓN'!G91</f>
        <v>0.1340624</v>
      </c>
      <c r="H91" s="263">
        <f>+H$3*'PROYECCIÓN GENERACIÓN'!H91</f>
        <v>1.0801536</v>
      </c>
      <c r="I91" s="263">
        <f>+I$3*'PROYECCIÓN GENERACIÓN'!I91</f>
        <v>2.0396399999999999</v>
      </c>
      <c r="J91" s="263">
        <f>+J$3*'PROYECCIÓN GENERACIÓN'!J91</f>
        <v>3.4237800000000003</v>
      </c>
      <c r="K91" s="263">
        <f>+K$3*'PROYECCIÓN GENERACIÓN'!K91</f>
        <v>4.8274239999999997</v>
      </c>
      <c r="L91" s="263">
        <f>+L$3*'PROYECCIÓN GENERACIÓN'!L91</f>
        <v>4.8618779999999999</v>
      </c>
      <c r="M91" s="263">
        <f>+M$3*'PROYECCIÓN GENERACIÓN'!M91</f>
        <v>4.8966539999999998</v>
      </c>
      <c r="N91" s="263">
        <f>+N$3*'PROYECCIÓN GENERACIÓN'!N91</f>
        <v>4.9314299999999998</v>
      </c>
      <c r="O91" s="263">
        <f>+O$3*'PROYECCIÓN GENERACIÓN'!O91</f>
        <v>4.9665279999999994</v>
      </c>
      <c r="P91" s="263">
        <f>+P$3*'PROYECCIÓN GENERACIÓN'!P91</f>
        <v>5.0019479999999996</v>
      </c>
      <c r="Q91" s="263">
        <f>+Q$3*'PROYECCIÓN GENERACIÓN'!Q91</f>
        <v>5.0376900000000004</v>
      </c>
      <c r="R91" s="263">
        <f>+R$3*'PROYECCIÓN GENERACIÓN'!R91</f>
        <v>5.0737539999999992</v>
      </c>
      <c r="S91" s="263">
        <f>+S$3*'PROYECCIÓN GENERACIÓN'!S91</f>
        <v>5.1098180000000006</v>
      </c>
      <c r="T91" s="263">
        <f>+T$3*'PROYECCIÓN GENERACIÓN'!T91</f>
        <v>5.146204</v>
      </c>
      <c r="U91" s="263">
        <f>+U$3*'PROYECCIÓN GENERACIÓN'!U91</f>
        <v>5.182912</v>
      </c>
      <c r="V91" s="263">
        <f>+V$3*'PROYECCIÓN GENERACIÓN'!V91</f>
        <v>5.2199419999999996</v>
      </c>
      <c r="W91" s="263">
        <f>+W$3*'PROYECCIÓN GENERACIÓN'!W91</f>
        <v>5.2572939999999999</v>
      </c>
      <c r="X91" s="263">
        <f>+X$3*'PROYECCIÓN GENERACIÓN'!X91</f>
        <v>5.2946460000000002</v>
      </c>
      <c r="Y91" s="263">
        <f>+Y$3*'PROYECCIÓN GENERACIÓN'!Y91</f>
        <v>5.3326419999999999</v>
      </c>
      <c r="Z91" s="263">
        <f>+Z$3*'PROYECCIÓN GENERACIÓN'!Z91</f>
        <v>5.3706379999999996</v>
      </c>
      <c r="AA91" s="565">
        <f t="shared" si="2"/>
        <v>4.4094518999999996</v>
      </c>
    </row>
    <row r="92" spans="1:27" ht="24.95" customHeight="1">
      <c r="A92" s="351" t="str">
        <f>+Pobl_adoptada!A92</f>
        <v>Lobos</v>
      </c>
      <c r="B92" s="70">
        <f>+Pobl_adoptada!B92</f>
        <v>88</v>
      </c>
      <c r="C92" s="353" t="str">
        <f>+Pobl_adoptada!C92</f>
        <v>Lobos</v>
      </c>
      <c r="D92" s="261"/>
      <c r="E92" s="278"/>
      <c r="F92" s="263"/>
      <c r="G92" s="263">
        <f>+G$3*'PROYECCIÓN GENERACIÓN'!G92</f>
        <v>0.3804128</v>
      </c>
      <c r="H92" s="263">
        <f>+H$3*'PROYECCIÓN GENERACIÓN'!H92</f>
        <v>3.0784096000000001</v>
      </c>
      <c r="I92" s="263">
        <f>+I$3*'PROYECCIÓN GENERACIÓN'!I92</f>
        <v>5.8386390000000006</v>
      </c>
      <c r="J92" s="263">
        <f>+J$3*'PROYECCIÓN GENERACIÓN'!J92</f>
        <v>9.8434250000000016</v>
      </c>
      <c r="K92" s="263">
        <f>+K$3*'PROYECCIÓN GENERACIÓN'!K92</f>
        <v>13.939954</v>
      </c>
      <c r="L92" s="263">
        <f>+L$3*'PROYECCIÓN GENERACIÓN'!L92</f>
        <v>14.100967999999998</v>
      </c>
      <c r="M92" s="263">
        <f>+M$3*'PROYECCIÓN GENERACIÓN'!M92</f>
        <v>14.263465999999999</v>
      </c>
      <c r="N92" s="263">
        <f>+N$3*'PROYECCIÓN GENERACIÓN'!N92</f>
        <v>14.428189999999999</v>
      </c>
      <c r="O92" s="263">
        <f>+O$3*'PROYECCIÓN GENERACIÓN'!O92</f>
        <v>14.594769000000001</v>
      </c>
      <c r="P92" s="263">
        <f>+P$3*'PROYECCIÓN GENERACIÓN'!P92</f>
        <v>14.763202999999999</v>
      </c>
      <c r="Q92" s="263">
        <f>+Q$3*'PROYECCIÓN GENERACIÓN'!Q92</f>
        <v>14.933492000000001</v>
      </c>
      <c r="R92" s="263">
        <f>+R$3*'PROYECCIÓN GENERACIÓN'!R92</f>
        <v>15.106007</v>
      </c>
      <c r="S92" s="263">
        <f>+S$3*'PROYECCIÓN GENERACIÓN'!S92</f>
        <v>15.280377</v>
      </c>
      <c r="T92" s="263">
        <f>+T$3*'PROYECCIÓN GENERACIÓN'!T92</f>
        <v>15.456602</v>
      </c>
      <c r="U92" s="263">
        <f>+U$3*'PROYECCIÓN GENERACIÓN'!U92</f>
        <v>15.635052999999999</v>
      </c>
      <c r="V92" s="263">
        <f>+V$3*'PROYECCIÓN GENERACIÓN'!V92</f>
        <v>15.81573</v>
      </c>
      <c r="W92" s="263">
        <f>+W$3*'PROYECCIÓN GENERACIÓN'!W92</f>
        <v>15.998261999999999</v>
      </c>
      <c r="X92" s="263">
        <f>+X$3*'PROYECCIÓN GENERACIÓN'!X92</f>
        <v>16.183019999999999</v>
      </c>
      <c r="Y92" s="263">
        <f>+Y$3*'PROYECCIÓN GENERACIÓN'!Y92</f>
        <v>16.369633</v>
      </c>
      <c r="Z92" s="263">
        <f>+Z$3*'PROYECCIÓN GENERACIÓN'!Z92</f>
        <v>16.558472000000002</v>
      </c>
      <c r="AA92" s="565">
        <f t="shared" si="2"/>
        <v>13.128404219999998</v>
      </c>
    </row>
    <row r="93" spans="1:27" ht="24.95" customHeight="1">
      <c r="A93" s="351" t="str">
        <f>+Pobl_adoptada!A93</f>
        <v>Luján</v>
      </c>
      <c r="B93" s="70">
        <f>+Pobl_adoptada!B93</f>
        <v>89</v>
      </c>
      <c r="C93" s="353" t="str">
        <f>+Pobl_adoptada!C93</f>
        <v>Luján</v>
      </c>
      <c r="D93" s="261"/>
      <c r="E93" s="278"/>
      <c r="F93" s="263"/>
      <c r="G93" s="263">
        <f>+G$3*'PROYECCIÓN GENERACIÓN'!G93</f>
        <v>1.2837006</v>
      </c>
      <c r="H93" s="263">
        <f>+H$3*'PROYECCIÓN GENERACIÓN'!H93</f>
        <v>10.435579199999999</v>
      </c>
      <c r="I93" s="263">
        <f>+I$3*'PROYECCIÓN GENERACIÓN'!I93</f>
        <v>19.878066</v>
      </c>
      <c r="J93" s="263">
        <f>+J$3*'PROYECCIÓN GENERACIÓN'!J93</f>
        <v>33.649035000000005</v>
      </c>
      <c r="K93" s="263">
        <f>+K$3*'PROYECCIÓN GENERACIÓN'!K93</f>
        <v>47.834787000000006</v>
      </c>
      <c r="L93" s="263">
        <f>+L$3*'PROYECCIÓN GENERACIÓN'!L93</f>
        <v>48.561281999999991</v>
      </c>
      <c r="M93" s="263">
        <f>+M$3*'PROYECCIÓN GENERACIÓN'!M93</f>
        <v>49.287419999999997</v>
      </c>
      <c r="N93" s="263">
        <f>+N$3*'PROYECCIÓN GENERACIÓN'!N93</f>
        <v>50.01391499999999</v>
      </c>
      <c r="O93" s="263">
        <f>+O$3*'PROYECCIÓN GENERACIÓN'!O93</f>
        <v>50.740409999999997</v>
      </c>
      <c r="P93" s="263">
        <f>+P$3*'PROYECCIÓN GENERACIÓN'!P93</f>
        <v>51.466547999999996</v>
      </c>
      <c r="Q93" s="263">
        <f>+Q$3*'PROYECCIÓN GENERACIÓN'!Q93</f>
        <v>52.193043000000003</v>
      </c>
      <c r="R93" s="263">
        <f>+R$3*'PROYECCIÓN GENERACIÓN'!R93</f>
        <v>52.919537999999996</v>
      </c>
      <c r="S93" s="263">
        <f>+S$3*'PROYECCIÓN GENERACIÓN'!S93</f>
        <v>53.645676000000009</v>
      </c>
      <c r="T93" s="263">
        <f>+T$3*'PROYECCIÓN GENERACIÓN'!T93</f>
        <v>54.372171000000002</v>
      </c>
      <c r="U93" s="263">
        <f>+U$3*'PROYECCIÓN GENERACIÓN'!U93</f>
        <v>55.098308999999993</v>
      </c>
      <c r="V93" s="263">
        <f>+V$3*'PROYECCIÓN GENERACIÓN'!V93</f>
        <v>55.824803999999993</v>
      </c>
      <c r="W93" s="263">
        <f>+W$3*'PROYECCIÓN GENERACIÓN'!W93</f>
        <v>56.551299</v>
      </c>
      <c r="X93" s="263">
        <f>+X$3*'PROYECCIÓN GENERACIÓN'!X93</f>
        <v>57.277436999999999</v>
      </c>
      <c r="Y93" s="263">
        <f>+Y$3*'PROYECCIÓN GENERACIÓN'!Y93</f>
        <v>58.003931999999992</v>
      </c>
      <c r="Z93" s="263">
        <f>+Z$3*'PROYECCIÓN GENERACIÓN'!Z93</f>
        <v>58.730070000000005</v>
      </c>
      <c r="AA93" s="565">
        <f t="shared" si="2"/>
        <v>45.888351089999986</v>
      </c>
    </row>
    <row r="94" spans="1:27" ht="24.95" customHeight="1">
      <c r="A94" s="351" t="str">
        <f>+Pobl_adoptada!A94</f>
        <v>Magdalena</v>
      </c>
      <c r="B94" s="70">
        <f>+Pobl_adoptada!B94</f>
        <v>90</v>
      </c>
      <c r="C94" s="353" t="str">
        <f>+Pobl_adoptada!C94</f>
        <v>Magdalena</v>
      </c>
      <c r="D94" s="261"/>
      <c r="E94" s="278"/>
      <c r="F94" s="263"/>
      <c r="G94" s="263">
        <f>+G$3*'PROYECCIÓN GENERACIÓN'!G94</f>
        <v>0.12814680000000001</v>
      </c>
      <c r="H94" s="263">
        <f>+H$3*'PROYECCIÓN GENERACIÓN'!H94</f>
        <v>1.0384960000000001</v>
      </c>
      <c r="I94" s="263">
        <f>+I$3*'PROYECCIÓN GENERACIÓN'!I94</f>
        <v>1.9721580000000001</v>
      </c>
      <c r="J94" s="263">
        <f>+J$3*'PROYECCIÓN GENERACIÓN'!J94</f>
        <v>3.32856</v>
      </c>
      <c r="K94" s="263">
        <f>+K$3*'PROYECCIÓN GENERACIÓN'!K94</f>
        <v>4.7182659999999998</v>
      </c>
      <c r="L94" s="263">
        <f>+L$3*'PROYECCIÓN GENERACIÓN'!L94</f>
        <v>4.776548</v>
      </c>
      <c r="M94" s="263">
        <f>+M$3*'PROYECCIÓN GENERACIÓN'!M94</f>
        <v>4.8348300000000002</v>
      </c>
      <c r="N94" s="263">
        <f>+N$3*'PROYECCIÓN GENERACIÓN'!N94</f>
        <v>4.8931119999999995</v>
      </c>
      <c r="O94" s="263">
        <f>+O$3*'PROYECCIÓN GENERACIÓN'!O94</f>
        <v>4.9513939999999996</v>
      </c>
      <c r="P94" s="263">
        <f>+P$3*'PROYECCIÓN GENERACIÓN'!P94</f>
        <v>5.0096759999999998</v>
      </c>
      <c r="Q94" s="263">
        <f>+Q$3*'PROYECCIÓN GENERACIÓN'!Q94</f>
        <v>5.067958</v>
      </c>
      <c r="R94" s="263">
        <f>+R$3*'PROYECCIÓN GENERACIÓN'!R94</f>
        <v>5.1262400000000001</v>
      </c>
      <c r="S94" s="263">
        <f>+S$3*'PROYECCIÓN GENERACIÓN'!S94</f>
        <v>5.1845219999999994</v>
      </c>
      <c r="T94" s="263">
        <f>+T$3*'PROYECCIÓN GENERACIÓN'!T94</f>
        <v>5.2428039999999996</v>
      </c>
      <c r="U94" s="263">
        <f>+U$3*'PROYECCIÓN GENERACIÓN'!U94</f>
        <v>5.3010859999999997</v>
      </c>
      <c r="V94" s="263">
        <f>+V$3*'PROYECCIÓN GENERACIÓN'!V94</f>
        <v>5.3593679999999999</v>
      </c>
      <c r="W94" s="263">
        <f>+W$3*'PROYECCIÓN GENERACIÓN'!W94</f>
        <v>5.4176499999999992</v>
      </c>
      <c r="X94" s="263">
        <f>+X$3*'PROYECCIÓN GENERACIÓN'!X94</f>
        <v>5.4759320000000002</v>
      </c>
      <c r="Y94" s="263">
        <f>+Y$3*'PROYECCIÓN GENERACIÓN'!Y94</f>
        <v>5.5342140000000004</v>
      </c>
      <c r="Z94" s="263">
        <f>+Z$3*'PROYECCIÓN GENERACIÓN'!Z94</f>
        <v>5.5924960000000006</v>
      </c>
      <c r="AA94" s="565">
        <f t="shared" si="2"/>
        <v>4.4476728400000001</v>
      </c>
    </row>
    <row r="95" spans="1:27" ht="24.95" customHeight="1">
      <c r="A95" s="351" t="str">
        <f>+Pobl_adoptada!A95</f>
        <v>Maipú</v>
      </c>
      <c r="B95" s="70">
        <f>+Pobl_adoptada!B95</f>
        <v>91</v>
      </c>
      <c r="C95" s="353" t="str">
        <f>+Pobl_adoptada!C95</f>
        <v>Maipú</v>
      </c>
      <c r="D95" s="261"/>
      <c r="E95" s="278"/>
      <c r="F95" s="263"/>
      <c r="G95" s="263">
        <f>+G$3*'PROYECCIÓN GENERACIÓN'!G95</f>
        <v>8.9626400000000009E-2</v>
      </c>
      <c r="H95" s="263">
        <f>+H$3*'PROYECCIÓN GENERACIÓN'!H95</f>
        <v>0.72032320000000016</v>
      </c>
      <c r="I95" s="263">
        <f>+I$3*'PROYECCIÓN GENERACIÓN'!I95</f>
        <v>1.356816</v>
      </c>
      <c r="J95" s="263">
        <f>+J$3*'PROYECCIÓN GENERACIÓN'!J95</f>
        <v>2.2719399999999998</v>
      </c>
      <c r="K95" s="263">
        <f>+K$3*'PROYECCIÓN GENERACIÓN'!K95</f>
        <v>3.1952060000000002</v>
      </c>
      <c r="L95" s="263">
        <f>+L$3*'PROYECCIÓN GENERACIÓN'!L95</f>
        <v>3.2096959999999997</v>
      </c>
      <c r="M95" s="263">
        <f>+M$3*'PROYECCIÓN GENERACIÓN'!M95</f>
        <v>3.2245079999999997</v>
      </c>
      <c r="N95" s="263">
        <f>+N$3*'PROYECCIÓN GENERACIÓN'!N95</f>
        <v>3.2389980000000005</v>
      </c>
      <c r="O95" s="263">
        <f>+O$3*'PROYECCIÓN GENERACIÓN'!O95</f>
        <v>3.2534879999999999</v>
      </c>
      <c r="P95" s="263">
        <f>+P$3*'PROYECCIÓN GENERACIÓN'!P95</f>
        <v>3.2679779999999998</v>
      </c>
      <c r="Q95" s="263">
        <f>+Q$3*'PROYECCIÓN GENERACIÓN'!Q95</f>
        <v>3.2827899999999999</v>
      </c>
      <c r="R95" s="263">
        <f>+R$3*'PROYECCIÓN GENERACIÓN'!R95</f>
        <v>3.2972800000000002</v>
      </c>
      <c r="S95" s="263">
        <f>+S$3*'PROYECCIÓN GENERACIÓN'!S95</f>
        <v>3.3117700000000001</v>
      </c>
      <c r="T95" s="263">
        <f>+T$3*'PROYECCIÓN GENERACIÓN'!T95</f>
        <v>3.3265820000000001</v>
      </c>
      <c r="U95" s="263">
        <f>+U$3*'PROYECCIÓN GENERACIÓN'!U95</f>
        <v>3.341072</v>
      </c>
      <c r="V95" s="263">
        <f>+V$3*'PROYECCIÓN GENERACIÓN'!V95</f>
        <v>3.3555619999999999</v>
      </c>
      <c r="W95" s="263">
        <f>+W$3*'PROYECCIÓN GENERACIÓN'!W95</f>
        <v>3.3700520000000003</v>
      </c>
      <c r="X95" s="263">
        <f>+X$3*'PROYECCIÓN GENERACIÓN'!X95</f>
        <v>3.3848640000000003</v>
      </c>
      <c r="Y95" s="263">
        <f>+Y$3*'PROYECCIÓN GENERACIÓN'!Y95</f>
        <v>3.3993540000000002</v>
      </c>
      <c r="Z95" s="263">
        <f>+Z$3*'PROYECCIÓN GENERACIÓN'!Z95</f>
        <v>3.4138440000000001</v>
      </c>
      <c r="AA95" s="565">
        <f t="shared" si="2"/>
        <v>2.8655874799999999</v>
      </c>
    </row>
    <row r="96" spans="1:27" ht="24.95" customHeight="1">
      <c r="A96" s="351" t="str">
        <f>+Pobl_adoptada!A96</f>
        <v>Mar Chiquita</v>
      </c>
      <c r="B96" s="70">
        <f>+Pobl_adoptada!B96</f>
        <v>92</v>
      </c>
      <c r="C96" s="353" t="str">
        <f>+Pobl_adoptada!C96</f>
        <v>Coronel Vidal</v>
      </c>
      <c r="D96" s="261"/>
      <c r="E96" s="278"/>
      <c r="F96" s="263"/>
      <c r="G96" s="263">
        <f>+G$3*'PROYECCIÓN GENERACIÓN'!G96</f>
        <v>7.0904400000000006E-2</v>
      </c>
      <c r="H96" s="263">
        <f>+H$3*'PROYECCIÓN GENERACIÓN'!H96</f>
        <v>0.57415360000000004</v>
      </c>
      <c r="I96" s="263">
        <f>+I$3*'PROYECCIÓN GENERACIÓN'!I96</f>
        <v>1.089372</v>
      </c>
      <c r="J96" s="263">
        <f>+J$3*'PROYECCIÓN GENERACIÓN'!J96</f>
        <v>1.83724</v>
      </c>
      <c r="K96" s="263">
        <f>+K$3*'PROYECCIÓN GENERACIÓN'!K96</f>
        <v>2.6020819999999998</v>
      </c>
      <c r="L96" s="263">
        <f>+L$3*'PROYECCIÓN GENERACIÓN'!L96</f>
        <v>2.6416880000000003</v>
      </c>
      <c r="M96" s="263">
        <f>+M$3*'PROYECCIÓN GENERACIÓN'!M96</f>
        <v>2.6812939999999998</v>
      </c>
      <c r="N96" s="263">
        <f>+N$3*'PROYECCIÓN GENERACIÓN'!N96</f>
        <v>2.7208999999999999</v>
      </c>
      <c r="O96" s="263">
        <f>+O$3*'PROYECCIÓN GENERACIÓN'!O96</f>
        <v>2.7605059999999999</v>
      </c>
      <c r="P96" s="263">
        <f>+P$3*'PROYECCIÓN GENERACIÓN'!P96</f>
        <v>2.7997899999999998</v>
      </c>
      <c r="Q96" s="263">
        <f>+Q$3*'PROYECCIÓN GENERACIÓN'!Q96</f>
        <v>2.8393959999999998</v>
      </c>
      <c r="R96" s="263">
        <f>+R$3*'PROYECCIÓN GENERACIÓN'!R96</f>
        <v>2.8790020000000003</v>
      </c>
      <c r="S96" s="263">
        <f>+S$3*'PROYECCIÓN GENERACIÓN'!S96</f>
        <v>2.9186080000000003</v>
      </c>
      <c r="T96" s="263">
        <f>+T$3*'PROYECCIÓN GENERACIÓN'!T96</f>
        <v>2.9582139999999999</v>
      </c>
      <c r="U96" s="263">
        <f>+U$3*'PROYECCIÓN GENERACIÓN'!U96</f>
        <v>2.9974979999999998</v>
      </c>
      <c r="V96" s="263">
        <f>+V$3*'PROYECCIÓN GENERACIÓN'!V96</f>
        <v>3.0371040000000002</v>
      </c>
      <c r="W96" s="263">
        <f>+W$3*'PROYECCIÓN GENERACIÓN'!W96</f>
        <v>3.0767099999999998</v>
      </c>
      <c r="X96" s="263">
        <f>+X$3*'PROYECCIÓN GENERACIÓN'!X96</f>
        <v>3.1163159999999999</v>
      </c>
      <c r="Y96" s="263">
        <f>+Y$3*'PROYECCIÓN GENERACIÓN'!Y96</f>
        <v>3.1559219999999999</v>
      </c>
      <c r="Z96" s="263">
        <f>+Z$3*'PROYECCIÓN GENERACIÓN'!Z96</f>
        <v>3.1952060000000002</v>
      </c>
      <c r="AA96" s="565">
        <f t="shared" si="2"/>
        <v>2.4975952999999995</v>
      </c>
    </row>
    <row r="97" spans="1:27" ht="24.95" customHeight="1">
      <c r="A97" s="351" t="str">
        <f>+Pobl_adoptada!A97</f>
        <v>Marcos Paz</v>
      </c>
      <c r="B97" s="70">
        <f>+Pobl_adoptada!B97</f>
        <v>93</v>
      </c>
      <c r="C97" s="353" t="str">
        <f>+Pobl_adoptada!C97</f>
        <v>Marcos Paz</v>
      </c>
      <c r="D97" s="261"/>
      <c r="E97" s="278"/>
      <c r="F97" s="263"/>
      <c r="G97" s="263">
        <f>+G$3*'PROYECCIÓN GENERACIÓN'!G97</f>
        <v>0.73476720000000006</v>
      </c>
      <c r="H97" s="263">
        <f>+H$3*'PROYECCIÓN GENERACIÓN'!H97</f>
        <v>5.986991999999999</v>
      </c>
      <c r="I97" s="263">
        <f>+I$3*'PROYECCIÓN GENERACIÓN'!I97</f>
        <v>11.429558999999999</v>
      </c>
      <c r="J97" s="263">
        <f>+J$3*'PROYECCIÓN GENERACIÓN'!J97</f>
        <v>19.389435000000002</v>
      </c>
      <c r="K97" s="263">
        <f>+K$3*'PROYECCIÓN GENERACIÓN'!K97</f>
        <v>27.621089999999999</v>
      </c>
      <c r="L97" s="263">
        <f>+L$3*'PROYECCIÓN GENERACIÓN'!L97</f>
        <v>28.097327999999997</v>
      </c>
      <c r="M97" s="263">
        <f>+M$3*'PROYECCIÓN GENERACIÓN'!M97</f>
        <v>28.573565999999996</v>
      </c>
      <c r="N97" s="263">
        <f>+N$3*'PROYECCIÓN GENERACIÓN'!N97</f>
        <v>29.049446999999997</v>
      </c>
      <c r="O97" s="263">
        <f>+O$3*'PROYECCIÓN GENERACIÓN'!O97</f>
        <v>29.525685000000003</v>
      </c>
      <c r="P97" s="263">
        <f>+P$3*'PROYECCIÓN GENERACIÓN'!P97</f>
        <v>30.001565999999993</v>
      </c>
      <c r="Q97" s="263">
        <f>+Q$3*'PROYECCIÓN GENERACIÓN'!Q97</f>
        <v>30.477803999999999</v>
      </c>
      <c r="R97" s="263">
        <f>+R$3*'PROYECCIÓN GENERACIÓN'!R97</f>
        <v>30.954041999999994</v>
      </c>
      <c r="S97" s="263">
        <f>+S$3*'PROYECCIÓN GENERACIÓN'!S97</f>
        <v>31.429922999999999</v>
      </c>
      <c r="T97" s="263">
        <f>+T$3*'PROYECCIÓN GENERACIÓN'!T97</f>
        <v>31.906160999999997</v>
      </c>
      <c r="U97" s="263">
        <f>+U$3*'PROYECCIÓN GENERACIÓN'!U97</f>
        <v>32.382041999999998</v>
      </c>
      <c r="V97" s="263">
        <f>+V$3*'PROYECCIÓN GENERACIÓN'!V97</f>
        <v>32.858280000000001</v>
      </c>
      <c r="W97" s="263">
        <f>+W$3*'PROYECCIÓN GENERACIÓN'!W97</f>
        <v>33.334161000000002</v>
      </c>
      <c r="X97" s="263">
        <f>+X$3*'PROYECCIÓN GENERACIÓN'!X97</f>
        <v>33.810398999999997</v>
      </c>
      <c r="Y97" s="263">
        <f>+Y$3*'PROYECCIÓN GENERACIÓN'!Y97</f>
        <v>34.286636999999999</v>
      </c>
      <c r="Z97" s="263">
        <f>+Z$3*'PROYECCIÓN GENERACIÓN'!Z97</f>
        <v>34.762517999999993</v>
      </c>
      <c r="AA97" s="565">
        <f t="shared" si="2"/>
        <v>26.830570109999996</v>
      </c>
    </row>
    <row r="98" spans="1:27" ht="24.95" customHeight="1">
      <c r="A98" s="351" t="str">
        <f>+Pobl_adoptada!A98</f>
        <v>Mercedes</v>
      </c>
      <c r="B98" s="70">
        <f>+Pobl_adoptada!B98</f>
        <v>94</v>
      </c>
      <c r="C98" s="353" t="str">
        <f>+Pobl_adoptada!C98</f>
        <v>Mercedes</v>
      </c>
      <c r="D98" s="261"/>
      <c r="E98" s="278"/>
      <c r="F98" s="263"/>
      <c r="G98" s="263">
        <f>+G$3*'PROYECCIÓN GENERACIÓN'!G98</f>
        <v>0.65523779999999998</v>
      </c>
      <c r="H98" s="263">
        <f>+H$3*'PROYECCIÓN GENERACIÓN'!H98</f>
        <v>5.2863744000000006</v>
      </c>
      <c r="I98" s="263">
        <f>+I$3*'PROYECCIÓN GENERACIÓN'!I98</f>
        <v>9.9961020000000005</v>
      </c>
      <c r="J98" s="263">
        <f>+J$3*'PROYECCIÓN GENERACIÓN'!J98</f>
        <v>16.801694999999999</v>
      </c>
      <c r="K98" s="263">
        <f>+K$3*'PROYECCIÓN GENERACIÓN'!K98</f>
        <v>23.721935999999999</v>
      </c>
      <c r="L98" s="263">
        <f>+L$3*'PROYECCIÓN GENERACIÓN'!L98</f>
        <v>23.922926999999998</v>
      </c>
      <c r="M98" s="263">
        <f>+M$3*'PROYECCIÓN GENERACIÓN'!M98</f>
        <v>24.126059999999999</v>
      </c>
      <c r="N98" s="263">
        <f>+N$3*'PROYECCIÓN GENERACIÓN'!N98</f>
        <v>24.330978000000002</v>
      </c>
      <c r="O98" s="263">
        <f>+O$3*'PROYECCIÓN GENERACIÓN'!O98</f>
        <v>24.537323999999998</v>
      </c>
      <c r="P98" s="263">
        <f>+P$3*'PROYECCIÓN GENERACIÓN'!P98</f>
        <v>24.745455</v>
      </c>
      <c r="Q98" s="263">
        <f>+Q$3*'PROYECCIÓN GENERACIÓN'!Q98</f>
        <v>24.955370999999996</v>
      </c>
      <c r="R98" s="263">
        <f>+R$3*'PROYECCIÓN GENERACIÓN'!R98</f>
        <v>25.167071999999997</v>
      </c>
      <c r="S98" s="263">
        <f>+S$3*'PROYECCIÓN GENERACIÓN'!S98</f>
        <v>25.380914999999995</v>
      </c>
      <c r="T98" s="263">
        <f>+T$3*'PROYECCIÓN GENERACIÓN'!T98</f>
        <v>25.596185999999999</v>
      </c>
      <c r="U98" s="263">
        <f>+U$3*'PROYECCIÓN GENERACIÓN'!U98</f>
        <v>25.813241999999995</v>
      </c>
      <c r="V98" s="263">
        <f>+V$3*'PROYECCIÓN GENERACIÓN'!V98</f>
        <v>26.032439999999998</v>
      </c>
      <c r="W98" s="263">
        <f>+W$3*'PROYECCIÓN GENERACIÓN'!W98</f>
        <v>26.253422999999994</v>
      </c>
      <c r="X98" s="263">
        <f>+X$3*'PROYECCIÓN GENERACIÓN'!X98</f>
        <v>26.476190999999996</v>
      </c>
      <c r="Y98" s="263">
        <f>+Y$3*'PROYECCIÓN GENERACIÓN'!Y98</f>
        <v>26.700744</v>
      </c>
      <c r="Z98" s="263">
        <f>+Z$3*'PROYECCIÓN GENERACIÓN'!Z98</f>
        <v>26.927082000000002</v>
      </c>
      <c r="AA98" s="565">
        <f t="shared" si="2"/>
        <v>21.871337759999996</v>
      </c>
    </row>
    <row r="99" spans="1:27" ht="24.95" customHeight="1">
      <c r="A99" s="351" t="str">
        <f>+Pobl_adoptada!A99</f>
        <v>Monte</v>
      </c>
      <c r="B99" s="70">
        <f>+Pobl_adoptada!B99</f>
        <v>95</v>
      </c>
      <c r="C99" s="353" t="str">
        <f>+Pobl_adoptada!C99</f>
        <v>San Miguel del Monte</v>
      </c>
      <c r="D99" s="261"/>
      <c r="E99" s="278"/>
      <c r="F99" s="263"/>
      <c r="G99" s="263">
        <f>+G$3*'PROYECCIÓN GENERACIÓN'!G99</f>
        <v>0.23314700000000002</v>
      </c>
      <c r="H99" s="263">
        <f>+H$3*'PROYECCIÓN GENERACIÓN'!H99</f>
        <v>1.8928208000000002</v>
      </c>
      <c r="I99" s="263">
        <f>+I$3*'PROYECCIÓN GENERACIÓN'!I99</f>
        <v>3.601032</v>
      </c>
      <c r="J99" s="263">
        <f>+J$3*'PROYECCIÓN GENERACIÓN'!J99</f>
        <v>6.0881100000000004</v>
      </c>
      <c r="K99" s="263">
        <f>+K$3*'PROYECCIÓN GENERACIÓN'!K99</f>
        <v>8.6446710000000007</v>
      </c>
      <c r="L99" s="263">
        <f>+L$3*'PROYECCIÓN GENERACIÓN'!L99</f>
        <v>8.7656170000000007</v>
      </c>
      <c r="M99" s="263">
        <f>+M$3*'PROYECCIÓN GENERACIÓN'!M99</f>
        <v>8.8869340000000001</v>
      </c>
      <c r="N99" s="263">
        <f>+N$3*'PROYECCIÓN GENERACIÓN'!N99</f>
        <v>9.0082509999999996</v>
      </c>
      <c r="O99" s="263">
        <f>+O$3*'PROYECCIÓN GENERACIÓN'!O99</f>
        <v>9.1291969999999996</v>
      </c>
      <c r="P99" s="263">
        <f>+P$3*'PROYECCIÓN GENERACIÓN'!P99</f>
        <v>9.2505140000000008</v>
      </c>
      <c r="Q99" s="263">
        <f>+Q$3*'PROYECCIÓN GENERACIÓN'!Q99</f>
        <v>9.371459999999999</v>
      </c>
      <c r="R99" s="263">
        <f>+R$3*'PROYECCIÓN GENERACIÓN'!R99</f>
        <v>9.4927770000000002</v>
      </c>
      <c r="S99" s="263">
        <f>+S$3*'PROYECCIÓN GENERACIÓN'!S99</f>
        <v>9.6137230000000002</v>
      </c>
      <c r="T99" s="263">
        <f>+T$3*'PROYECCIÓN GENERACIÓN'!T99</f>
        <v>9.7350399999999997</v>
      </c>
      <c r="U99" s="263">
        <f>+U$3*'PROYECCIÓN GENERACIÓN'!U99</f>
        <v>9.8559859999999997</v>
      </c>
      <c r="V99" s="263">
        <f>+V$3*'PROYECCIÓN GENERACIÓN'!V99</f>
        <v>9.9773030000000009</v>
      </c>
      <c r="W99" s="263">
        <f>+W$3*'PROYECCIÓN GENERACIÓN'!W99</f>
        <v>10.098249000000001</v>
      </c>
      <c r="X99" s="263">
        <f>+X$3*'PROYECCIÓN GENERACIÓN'!X99</f>
        <v>10.219566</v>
      </c>
      <c r="Y99" s="263">
        <f>+Y$3*'PROYECCIÓN GENERACIÓN'!Y99</f>
        <v>10.340883</v>
      </c>
      <c r="Z99" s="263">
        <f>+Z$3*'PROYECCIÓN GENERACIÓN'!Z99</f>
        <v>10.461829000000002</v>
      </c>
      <c r="AA99" s="565">
        <f t="shared" si="2"/>
        <v>8.2333554899999992</v>
      </c>
    </row>
    <row r="100" spans="1:27" ht="24.95" customHeight="1">
      <c r="A100" s="351" t="str">
        <f>+Pobl_adoptada!A100</f>
        <v>Monte Hermoso</v>
      </c>
      <c r="B100" s="70">
        <f>+Pobl_adoptada!B100</f>
        <v>96</v>
      </c>
      <c r="C100" s="353" t="str">
        <f>+Pobl_adoptada!C100</f>
        <v>Monte Hermoso</v>
      </c>
      <c r="D100" s="261"/>
      <c r="E100" s="278"/>
      <c r="F100" s="263"/>
      <c r="G100" s="263">
        <f>+G$3*'PROYECCIÓN GENERACIÓN'!G100</f>
        <v>0.22523940000000003</v>
      </c>
      <c r="H100" s="263">
        <f>+H$3*'PROYECCIÓN GENERACIÓN'!H100</f>
        <v>1.8427888000000001</v>
      </c>
      <c r="I100" s="263">
        <f>+I$3*'PROYECCIÓN GENERACIÓN'!I100</f>
        <v>3.5329799999999998</v>
      </c>
      <c r="J100" s="263">
        <f>+J$3*'PROYECCIÓN GENERACIÓN'!J100</f>
        <v>6.0197400000000005</v>
      </c>
      <c r="K100" s="263">
        <f>+K$3*'PROYECCIÓN GENERACIÓN'!K100</f>
        <v>8.6149909999999998</v>
      </c>
      <c r="L100" s="263">
        <f>+L$3*'PROYECCIÓN GENERACIÓN'!L100</f>
        <v>8.8053139999999992</v>
      </c>
      <c r="M100" s="263">
        <f>+M$3*'PROYECCIÓN GENERACIÓN'!M100</f>
        <v>8.998975999999999</v>
      </c>
      <c r="N100" s="263">
        <f>+N$3*'PROYECCIÓN GENERACIÓN'!N100</f>
        <v>9.1956059999999997</v>
      </c>
      <c r="O100" s="263">
        <f>+O$3*'PROYECCIÓN GENERACIÓN'!O100</f>
        <v>9.3955749999999991</v>
      </c>
      <c r="P100" s="263">
        <f>+P$3*'PROYECCIÓN GENERACIÓN'!P100</f>
        <v>9.5985119999999995</v>
      </c>
      <c r="Q100" s="263">
        <f>+Q$3*'PROYECCIÓN GENERACIÓN'!Q100</f>
        <v>9.8047880000000003</v>
      </c>
      <c r="R100" s="263">
        <f>+R$3*'PROYECCIÓN GENERACIÓN'!R100</f>
        <v>10.015144999999999</v>
      </c>
      <c r="S100" s="263">
        <f>+S$3*'PROYECCIÓN GENERACIÓN'!S100</f>
        <v>10.228099</v>
      </c>
      <c r="T100" s="263">
        <f>+T$3*'PROYECCIÓN GENERACIÓN'!T100</f>
        <v>10.444762999999998</v>
      </c>
      <c r="U100" s="263">
        <f>+U$3*'PROYECCIÓN GENERACIÓN'!U100</f>
        <v>10.665137000000001</v>
      </c>
      <c r="V100" s="263">
        <f>+V$3*'PROYECCIÓN GENERACIÓN'!V100</f>
        <v>10.88885</v>
      </c>
      <c r="W100" s="263">
        <f>+W$3*'PROYECCIÓN GENERACIÓN'!W100</f>
        <v>11.116273000000001</v>
      </c>
      <c r="X100" s="263">
        <f>+X$3*'PROYECCIÓN GENERACIÓN'!X100</f>
        <v>11.347405999999999</v>
      </c>
      <c r="Y100" s="263">
        <f>+Y$3*'PROYECCIÓN GENERACIÓN'!Y100</f>
        <v>11.582248999999999</v>
      </c>
      <c r="Z100" s="263">
        <f>+Z$3*'PROYECCIÓN GENERACIÓN'!Z100</f>
        <v>11.821173</v>
      </c>
      <c r="AA100" s="565">
        <f t="shared" si="2"/>
        <v>8.7071802599999994</v>
      </c>
    </row>
    <row r="101" spans="1:27" ht="24.95" customHeight="1">
      <c r="A101" s="351" t="str">
        <f>+Pobl_adoptada!A101</f>
        <v>Navarro</v>
      </c>
      <c r="B101" s="70">
        <f>+Pobl_adoptada!B101</f>
        <v>97</v>
      </c>
      <c r="C101" s="353" t="str">
        <f>+Pobl_adoptada!C101</f>
        <v>Navarro</v>
      </c>
      <c r="D101" s="261"/>
      <c r="E101" s="278"/>
      <c r="F101" s="263"/>
      <c r="G101" s="263">
        <f>+G$3*'PROYECCIÓN GENERACIÓN'!G101</f>
        <v>0.17797400000000005</v>
      </c>
      <c r="H101" s="263">
        <f>+H$3*'PROYECCIÓN GENERACIÓN'!H101</f>
        <v>1.4452464</v>
      </c>
      <c r="I101" s="263">
        <f>+I$3*'PROYECCIÓN GENERACIÓN'!I101</f>
        <v>2.7505410000000001</v>
      </c>
      <c r="J101" s="263">
        <f>+J$3*'PROYECCIÓN GENERACIÓN'!J101</f>
        <v>4.6531349999999998</v>
      </c>
      <c r="K101" s="263">
        <f>+K$3*'PROYECCIÓN GENERACIÓN'!K101</f>
        <v>6.6123329999999996</v>
      </c>
      <c r="L101" s="263">
        <f>+L$3*'PROYECCIÓN GENERACIÓN'!L101</f>
        <v>6.7117610000000001</v>
      </c>
      <c r="M101" s="263">
        <f>+M$3*'PROYECCIÓN GENERACIÓN'!M101</f>
        <v>6.8126730000000002</v>
      </c>
      <c r="N101" s="263">
        <f>+N$3*'PROYECCIÓN GENERACIÓN'!N101</f>
        <v>6.915068999999999</v>
      </c>
      <c r="O101" s="263">
        <f>+O$3*'PROYECCIÓN GENERACIÓN'!O101</f>
        <v>7.0189489999999992</v>
      </c>
      <c r="P101" s="263">
        <f>+P$3*'PROYECCIÓN GENERACIÓN'!P101</f>
        <v>7.1246840000000002</v>
      </c>
      <c r="Q101" s="263">
        <f>+Q$3*'PROYECCIÓN GENERACIÓN'!Q101</f>
        <v>7.231903</v>
      </c>
      <c r="R101" s="263">
        <f>+R$3*'PROYECCIÓN GENERACIÓN'!R101</f>
        <v>7.3406059999999993</v>
      </c>
      <c r="S101" s="263">
        <f>+S$3*'PROYECCIÓN GENERACIÓN'!S101</f>
        <v>7.450793</v>
      </c>
      <c r="T101" s="263">
        <f>+T$3*'PROYECCIÓN GENERACIÓN'!T101</f>
        <v>7.5628350000000006</v>
      </c>
      <c r="U101" s="263">
        <f>+U$3*'PROYECCIÓN GENERACIÓN'!U101</f>
        <v>7.6767320000000003</v>
      </c>
      <c r="V101" s="263">
        <f>+V$3*'PROYECCIÓN GENERACIÓN'!V101</f>
        <v>7.7921130000000005</v>
      </c>
      <c r="W101" s="263">
        <f>+W$3*'PROYECCIÓN GENERACIÓN'!W101</f>
        <v>7.9093489999999997</v>
      </c>
      <c r="X101" s="263">
        <f>+X$3*'PROYECCIÓN GENERACIÓN'!X101</f>
        <v>8.0280689999999986</v>
      </c>
      <c r="Y101" s="263">
        <f>+Y$3*'PROYECCIÓN GENERACIÓN'!Y101</f>
        <v>8.1486439999999991</v>
      </c>
      <c r="Z101" s="263">
        <f>+Z$3*'PROYECCIÓN GENERACIÓN'!Z101</f>
        <v>8.2714449999999999</v>
      </c>
      <c r="AA101" s="565">
        <f t="shared" si="2"/>
        <v>6.381742720000001</v>
      </c>
    </row>
    <row r="102" spans="1:27" ht="24.95" customHeight="1">
      <c r="A102" s="351" t="str">
        <f>+Pobl_adoptada!A102</f>
        <v>Necochea</v>
      </c>
      <c r="B102" s="70">
        <f>+Pobl_adoptada!B102</f>
        <v>98</v>
      </c>
      <c r="C102" s="353" t="str">
        <f>+Pobl_adoptada!C102</f>
        <v>Necochea - Quequén</v>
      </c>
      <c r="D102" s="261"/>
      <c r="E102" s="278"/>
      <c r="F102" s="263"/>
      <c r="G102" s="263">
        <f>+G$3*'PROYECCIÓN GENERACIÓN'!G102</f>
        <v>1.1077098000000001</v>
      </c>
      <c r="H102" s="263">
        <f>+H$3*'PROYECCIÓN GENERACIÓN'!H102</f>
        <v>8.9556000000000004</v>
      </c>
      <c r="I102" s="263">
        <f>+I$3*'PROYECCIÓN GENERACIÓN'!I102</f>
        <v>16.970912999999999</v>
      </c>
      <c r="J102" s="263">
        <f>+J$3*'PROYECCIÓN GENERACIÓN'!J102</f>
        <v>28.588049999999999</v>
      </c>
      <c r="K102" s="263">
        <f>+K$3*'PROYECCIÓN GENERACIÓN'!K102</f>
        <v>40.454882999999995</v>
      </c>
      <c r="L102" s="263">
        <f>+L$3*'PROYECCIÓN GENERACIÓN'!L102</f>
        <v>40.893636000000001</v>
      </c>
      <c r="M102" s="263">
        <f>+M$3*'PROYECCIÓN GENERACIÓN'!M102</f>
        <v>41.339171999999998</v>
      </c>
      <c r="N102" s="263">
        <f>+N$3*'PROYECCIÓN GENERACIÓN'!N102</f>
        <v>41.792204999999996</v>
      </c>
      <c r="O102" s="263">
        <f>+O$3*'PROYECCIÓN GENERACIÓN'!O102</f>
        <v>42.252735000000001</v>
      </c>
      <c r="P102" s="263">
        <f>+P$3*'PROYECCIÓN GENERACIÓN'!P102</f>
        <v>42.720405</v>
      </c>
      <c r="Q102" s="263">
        <f>+Q$3*'PROYECCIÓN GENERACIÓN'!Q102</f>
        <v>43.195571999999999</v>
      </c>
      <c r="R102" s="263">
        <f>+R$3*'PROYECCIÓN GENERACIÓN'!R102</f>
        <v>43.678949999999993</v>
      </c>
      <c r="S102" s="263">
        <f>+S$3*'PROYECCIÓN GENERACIÓN'!S102</f>
        <v>44.170181999999997</v>
      </c>
      <c r="T102" s="263">
        <f>+T$3*'PROYECCIÓN GENERACIÓN'!T102</f>
        <v>44.668911000000001</v>
      </c>
      <c r="U102" s="263">
        <f>+U$3*'PROYECCIÓN GENERACIÓN'!U102</f>
        <v>45.176565000000004</v>
      </c>
      <c r="V102" s="263">
        <f>+V$3*'PROYECCIÓN GENERACIÓN'!V102</f>
        <v>45.691716</v>
      </c>
      <c r="W102" s="263">
        <f>+W$3*'PROYECCIÓN GENERACIÓN'!W102</f>
        <v>46.216149000000001</v>
      </c>
      <c r="X102" s="263">
        <f>+X$3*'PROYECCIÓN GENERACIÓN'!X102</f>
        <v>46.748435999999998</v>
      </c>
      <c r="Y102" s="263">
        <f>+Y$3*'PROYECCIÓN GENERACIÓN'!Y102</f>
        <v>47.289291000000006</v>
      </c>
      <c r="Z102" s="263">
        <f>+Z$3*'PROYECCIÓN GENERACIÓN'!Z102</f>
        <v>47.839428000000005</v>
      </c>
      <c r="AA102" s="565">
        <f t="shared" si="2"/>
        <v>37.987525439999999</v>
      </c>
    </row>
    <row r="103" spans="1:27" ht="24.95" customHeight="1">
      <c r="A103" s="351" t="str">
        <f>+Pobl_adoptada!A103</f>
        <v>Olavarría</v>
      </c>
      <c r="B103" s="70">
        <f>+Pobl_adoptada!B103</f>
        <v>99</v>
      </c>
      <c r="C103" s="353" t="str">
        <f>+Pobl_adoptada!C103</f>
        <v>Olavarría</v>
      </c>
      <c r="D103" s="261"/>
      <c r="E103" s="278"/>
      <c r="F103" s="263"/>
      <c r="G103" s="263">
        <f>+G$3*'PROYECCIÓN GENERACIÓN'!G103</f>
        <v>1.0346063999999999</v>
      </c>
      <c r="H103" s="263">
        <f>+H$3*'PROYECCIÓN GENERACIÓN'!H103</f>
        <v>8.3405807999999997</v>
      </c>
      <c r="I103" s="263">
        <f>+I$3*'PROYECCIÓN GENERACIÓN'!I103</f>
        <v>15.759</v>
      </c>
      <c r="J103" s="263">
        <f>+J$3*'PROYECCIÓN GENERACIÓN'!J103</f>
        <v>26.467214999999999</v>
      </c>
      <c r="K103" s="263">
        <f>+K$3*'PROYECCIÓN GENERACIÓN'!K103</f>
        <v>37.339343999999997</v>
      </c>
      <c r="L103" s="263">
        <f>+L$3*'PROYECCIÓN GENERACIÓN'!L103</f>
        <v>37.626728999999997</v>
      </c>
      <c r="M103" s="263">
        <f>+M$3*'PROYECCIÓN GENERACIÓN'!M103</f>
        <v>37.916255999999997</v>
      </c>
      <c r="N103" s="263">
        <f>+N$3*'PROYECCIÓN GENERACIÓN'!N103</f>
        <v>38.208281999999997</v>
      </c>
      <c r="O103" s="263">
        <f>+O$3*'PROYECCIÓN GENERACIÓN'!O103</f>
        <v>38.502449999999996</v>
      </c>
      <c r="P103" s="263">
        <f>+P$3*'PROYECCIÓN GENERACIÓN'!P103</f>
        <v>38.798759999999994</v>
      </c>
      <c r="Q103" s="263">
        <f>+Q$3*'PROYECCIÓN GENERACIÓN'!Q103</f>
        <v>39.097211999999999</v>
      </c>
      <c r="R103" s="263">
        <f>+R$3*'PROYECCIÓN GENERACIÓN'!R103</f>
        <v>39.398162999999997</v>
      </c>
      <c r="S103" s="263">
        <f>+S$3*'PROYECCIÓN GENERACIÓN'!S103</f>
        <v>39.701613000000002</v>
      </c>
      <c r="T103" s="263">
        <f>+T$3*'PROYECCIÓN GENERACIÓN'!T103</f>
        <v>40.007204999999999</v>
      </c>
      <c r="U103" s="263">
        <f>+U$3*'PROYECCIÓN GENERACIÓN'!U103</f>
        <v>40.314938999999995</v>
      </c>
      <c r="V103" s="263">
        <f>+V$3*'PROYECCIÓN GENERACIÓN'!V103</f>
        <v>40.625529</v>
      </c>
      <c r="W103" s="263">
        <f>+W$3*'PROYECCIÓN GENERACIÓN'!W103</f>
        <v>40.938261000000004</v>
      </c>
      <c r="X103" s="263">
        <f>+X$3*'PROYECCIÓN GENERACIÓN'!X103</f>
        <v>41.253135</v>
      </c>
      <c r="Y103" s="263">
        <f>+Y$3*'PROYECCIÓN GENERACIÓN'!Y103</f>
        <v>41.570865000000005</v>
      </c>
      <c r="Z103" s="263">
        <f>+Z$3*'PROYECCIÓN GENERACIÓN'!Z103</f>
        <v>41.890737000000001</v>
      </c>
      <c r="AA103" s="565">
        <f t="shared" si="2"/>
        <v>34.239544110000011</v>
      </c>
    </row>
    <row r="104" spans="1:27" ht="24.95" customHeight="1">
      <c r="A104" s="351" t="str">
        <f>+Pobl_adoptada!A104</f>
        <v>Patagones</v>
      </c>
      <c r="B104" s="70">
        <f>+Pobl_adoptada!B104</f>
        <v>100</v>
      </c>
      <c r="C104" s="353" t="str">
        <f>+Pobl_adoptada!C104</f>
        <v>Carmen de Patagones</v>
      </c>
      <c r="D104" s="261"/>
      <c r="E104" s="278"/>
      <c r="F104" s="263"/>
      <c r="G104" s="263">
        <f>+G$3*'PROYECCIÓN GENERACIÓN'!G104</f>
        <v>0.2940122</v>
      </c>
      <c r="H104" s="263">
        <f>+H$3*'PROYECCIÓN GENERACIÓN'!H104</f>
        <v>2.3958544000000002</v>
      </c>
      <c r="I104" s="263">
        <f>+I$3*'PROYECCIÓN GENERACIÓN'!I104</f>
        <v>4.5753840000000006</v>
      </c>
      <c r="J104" s="263">
        <f>+J$3*'PROYECCIÓN GENERACIÓN'!J104</f>
        <v>7.7666200000000005</v>
      </c>
      <c r="K104" s="263">
        <f>+K$3*'PROYECCIÓN GENERACIÓN'!K104</f>
        <v>11.073979</v>
      </c>
      <c r="L104" s="263">
        <f>+L$3*'PROYECCIÓN GENERACIÓN'!L104</f>
        <v>11.278029</v>
      </c>
      <c r="M104" s="263">
        <f>+M$3*'PROYECCIÓN GENERACIÓN'!M104</f>
        <v>11.485417999999999</v>
      </c>
      <c r="N104" s="263">
        <f>+N$3*'PROYECCIÓN GENERACIÓN'!N104</f>
        <v>11.695774999999999</v>
      </c>
      <c r="O104" s="263">
        <f>+O$3*'PROYECCIÓN GENERACIÓN'!O104</f>
        <v>11.909841999999999</v>
      </c>
      <c r="P104" s="263">
        <f>+P$3*'PROYECCIÓN GENERACIÓN'!P104</f>
        <v>12.127619000000001</v>
      </c>
      <c r="Q104" s="263">
        <f>+Q$3*'PROYECCIÓN GENERACIÓN'!Q104</f>
        <v>12.348735</v>
      </c>
      <c r="R104" s="263">
        <f>+R$3*'PROYECCIÓN GENERACIÓN'!R104</f>
        <v>12.573560999999998</v>
      </c>
      <c r="S104" s="263">
        <f>+S$3*'PROYECCIÓN GENERACIÓN'!S104</f>
        <v>12.801726</v>
      </c>
      <c r="T104" s="263">
        <f>+T$3*'PROYECCIÓN GENERACIÓN'!T104</f>
        <v>13.033971999999999</v>
      </c>
      <c r="U104" s="263">
        <f>+U$3*'PROYECCIÓN GENERACIÓN'!U104</f>
        <v>13.269927999999998</v>
      </c>
      <c r="V104" s="263">
        <f>+V$3*'PROYECCIÓN GENERACIÓN'!V104</f>
        <v>13.509594</v>
      </c>
      <c r="W104" s="263">
        <f>+W$3*'PROYECCIÓN GENERACIÓN'!W104</f>
        <v>13.753340999999999</v>
      </c>
      <c r="X104" s="263">
        <f>+X$3*'PROYECCIÓN GENERACIÓN'!X104</f>
        <v>14.000798</v>
      </c>
      <c r="Y104" s="263">
        <f>+Y$3*'PROYECCIÓN GENERACIÓN'!Y104</f>
        <v>14.252706999999999</v>
      </c>
      <c r="Z104" s="263">
        <f>+Z$3*'PROYECCIÓN GENERACIÓN'!Z104</f>
        <v>14.508325999999999</v>
      </c>
      <c r="AA104" s="565">
        <f t="shared" si="2"/>
        <v>10.932761029999998</v>
      </c>
    </row>
    <row r="105" spans="1:27" ht="24.95" customHeight="1">
      <c r="A105" s="351" t="str">
        <f>+Pobl_adoptada!A105</f>
        <v>Pehuajó</v>
      </c>
      <c r="B105" s="70">
        <f>+Pobl_adoptada!B105</f>
        <v>101</v>
      </c>
      <c r="C105" s="353" t="str">
        <f>+Pobl_adoptada!C105</f>
        <v>Pehuajó</v>
      </c>
      <c r="D105" s="261"/>
      <c r="E105" s="278"/>
      <c r="F105" s="263"/>
      <c r="G105" s="263">
        <f>+G$3*'PROYECCIÓN GENERACIÓN'!G105</f>
        <v>0.36830760000000007</v>
      </c>
      <c r="H105" s="263">
        <f>+H$3*'PROYECCIÓN GENERACIÓN'!H105</f>
        <v>2.9636752000000004</v>
      </c>
      <c r="I105" s="263">
        <f>+I$3*'PROYECCIÓN GENERACIÓN'!I105</f>
        <v>5.5890089999999999</v>
      </c>
      <c r="J105" s="263">
        <f>+J$3*'PROYECCIÓN GENERACIÓN'!J105</f>
        <v>9.3688100000000016</v>
      </c>
      <c r="K105" s="263">
        <f>+K$3*'PROYECCIÓN GENERACIÓN'!K105</f>
        <v>13.191276</v>
      </c>
      <c r="L105" s="263">
        <f>+L$3*'PROYECCIÓN GENERACIÓN'!L105</f>
        <v>13.266218</v>
      </c>
      <c r="M105" s="263">
        <f>+M$3*'PROYECCIÓN GENERACIÓN'!M105</f>
        <v>13.341531000000002</v>
      </c>
      <c r="N105" s="263">
        <f>+N$3*'PROYECCIÓN GENERACIÓN'!N105</f>
        <v>13.416473</v>
      </c>
      <c r="O105" s="263">
        <f>+O$3*'PROYECCIÓN GENERACIÓN'!O105</f>
        <v>13.491415</v>
      </c>
      <c r="P105" s="263">
        <f>+P$3*'PROYECCIÓN GENERACIÓN'!P105</f>
        <v>13.566728000000001</v>
      </c>
      <c r="Q105" s="263">
        <f>+Q$3*'PROYECCIÓN GENERACIÓN'!Q105</f>
        <v>13.641670000000001</v>
      </c>
      <c r="R105" s="263">
        <f>+R$3*'PROYECCIÓN GENERACIÓN'!R105</f>
        <v>13.716983000000001</v>
      </c>
      <c r="S105" s="263">
        <f>+S$3*'PROYECCIÓN GENERACIÓN'!S105</f>
        <v>13.791925000000001</v>
      </c>
      <c r="T105" s="263">
        <f>+T$3*'PROYECCIÓN GENERACIÓN'!T105</f>
        <v>13.866867000000001</v>
      </c>
      <c r="U105" s="263">
        <f>+U$3*'PROYECCIÓN GENERACIÓN'!U105</f>
        <v>13.94218</v>
      </c>
      <c r="V105" s="263">
        <f>+V$3*'PROYECCIÓN GENERACIÓN'!V105</f>
        <v>14.017122000000001</v>
      </c>
      <c r="W105" s="263">
        <f>+W$3*'PROYECCIÓN GENERACIÓN'!W105</f>
        <v>14.092434999999998</v>
      </c>
      <c r="X105" s="263">
        <f>+X$3*'PROYECCIÓN GENERACIÓN'!X105</f>
        <v>14.167376999999998</v>
      </c>
      <c r="Y105" s="263">
        <f>+Y$3*'PROYECCIÓN GENERACIÓN'!Y105</f>
        <v>14.242319</v>
      </c>
      <c r="Z105" s="263">
        <f>+Z$3*'PROYECCIÓN GENERACIÓN'!Z105</f>
        <v>14.317632000000001</v>
      </c>
      <c r="AA105" s="565">
        <f t="shared" si="2"/>
        <v>11.917997640000001</v>
      </c>
    </row>
    <row r="106" spans="1:27" ht="24.95" customHeight="1">
      <c r="A106" s="351" t="str">
        <f>+Pobl_adoptada!A106</f>
        <v>Pellegrini</v>
      </c>
      <c r="B106" s="70">
        <f>+Pobl_adoptada!B106</f>
        <v>102</v>
      </c>
      <c r="C106" s="353" t="str">
        <f>+Pobl_adoptada!C106</f>
        <v>Pellegrini</v>
      </c>
      <c r="D106" s="261"/>
      <c r="E106" s="278"/>
      <c r="F106" s="263"/>
      <c r="G106" s="263">
        <f>+G$3*'PROYECCIÓN GENERACIÓN'!G106</f>
        <v>5.1869600000000002E-2</v>
      </c>
      <c r="H106" s="263">
        <f>+H$3*'PROYECCIÓN GENERACIÓN'!H106</f>
        <v>0.41709120000000005</v>
      </c>
      <c r="I106" s="263">
        <f>+I$3*'PROYECCIÓN GENERACIÓN'!I106</f>
        <v>0.78604800000000008</v>
      </c>
      <c r="J106" s="263">
        <f>+J$3*'PROYECCIÓN GENERACIÓN'!J106</f>
        <v>1.3167500000000001</v>
      </c>
      <c r="K106" s="263">
        <f>+K$3*'PROYECCIÓN GENERACIÓN'!K106</f>
        <v>1.8527879999999999</v>
      </c>
      <c r="L106" s="263">
        <f>+L$3*'PROYECCIÓN GENERACIÓN'!L106</f>
        <v>1.8621260000000002</v>
      </c>
      <c r="M106" s="263">
        <f>+M$3*'PROYECCIÓN GENERACIÓN'!M106</f>
        <v>1.8711419999999999</v>
      </c>
      <c r="N106" s="263">
        <f>+N$3*'PROYECCIÓN GENERACIÓN'!N106</f>
        <v>1.8804799999999997</v>
      </c>
      <c r="O106" s="263">
        <f>+O$3*'PROYECCIÓN GENERACIÓN'!O106</f>
        <v>1.889818</v>
      </c>
      <c r="P106" s="263">
        <f>+P$3*'PROYECCIÓN GENERACIÓN'!P106</f>
        <v>1.8991559999999996</v>
      </c>
      <c r="Q106" s="263">
        <f>+Q$3*'PROYECCIÓN GENERACIÓN'!Q106</f>
        <v>1.9084939999999999</v>
      </c>
      <c r="R106" s="263">
        <f>+R$3*'PROYECCIÓN GENERACIÓN'!R106</f>
        <v>1.9178320000000002</v>
      </c>
      <c r="S106" s="263">
        <f>+S$3*'PROYECCIÓN GENERACIÓN'!S106</f>
        <v>1.9271699999999998</v>
      </c>
      <c r="T106" s="263">
        <f>+T$3*'PROYECCIÓN GENERACIÓN'!T106</f>
        <v>1.9365080000000001</v>
      </c>
      <c r="U106" s="263">
        <f>+U$3*'PROYECCIÓN GENERACIÓN'!U106</f>
        <v>1.945846</v>
      </c>
      <c r="V106" s="263">
        <f>+V$3*'PROYECCIÓN GENERACIÓN'!V106</f>
        <v>1.9551840000000003</v>
      </c>
      <c r="W106" s="263">
        <f>+W$3*'PROYECCIÓN GENERACIÓN'!W106</f>
        <v>1.9641999999999999</v>
      </c>
      <c r="X106" s="263">
        <f>+X$3*'PROYECCIÓN GENERACIÓN'!X106</f>
        <v>1.9735379999999998</v>
      </c>
      <c r="Y106" s="263">
        <f>+Y$3*'PROYECCIÓN GENERACIÓN'!Y106</f>
        <v>1.9828760000000001</v>
      </c>
      <c r="Z106" s="263">
        <f>+Z$3*'PROYECCIÓN GENERACIÓN'!Z106</f>
        <v>1.9922139999999997</v>
      </c>
      <c r="AA106" s="565">
        <f t="shared" si="2"/>
        <v>1.6665565399999998</v>
      </c>
    </row>
    <row r="107" spans="1:27" ht="24.95" customHeight="1">
      <c r="A107" s="351" t="str">
        <f>+Pobl_adoptada!A107</f>
        <v>Pergamino</v>
      </c>
      <c r="B107" s="70">
        <f>+Pobl_adoptada!B107</f>
        <v>103</v>
      </c>
      <c r="C107" s="353" t="str">
        <f>+Pobl_adoptada!C107</f>
        <v>Pergamino</v>
      </c>
      <c r="D107" s="261"/>
      <c r="E107" s="278"/>
      <c r="F107" s="263"/>
      <c r="G107" s="263">
        <f>+G$3*'PROYECCIÓN GENERACIÓN'!G107</f>
        <v>1.036116</v>
      </c>
      <c r="H107" s="263">
        <f>+H$3*'PROYECCIÓN GENERACIÓN'!H107</f>
        <v>8.341152000000001</v>
      </c>
      <c r="I107" s="263">
        <f>+I$3*'PROYECCIÓN GENERACIÓN'!I107</f>
        <v>15.737579999999998</v>
      </c>
      <c r="J107" s="263">
        <f>+J$3*'PROYECCIÓN GENERACIÓN'!J107</f>
        <v>26.392244999999999</v>
      </c>
      <c r="K107" s="263">
        <f>+K$3*'PROYECCIÓN GENERACIÓN'!K107</f>
        <v>37.177622999999997</v>
      </c>
      <c r="L107" s="263">
        <f>+L$3*'PROYECCIÓN GENERACIÓN'!L107</f>
        <v>37.406103000000002</v>
      </c>
      <c r="M107" s="263">
        <f>+M$3*'PROYECCIÓN GENERACIÓN'!M107</f>
        <v>37.634225999999998</v>
      </c>
      <c r="N107" s="263">
        <f>+N$3*'PROYECCIÓN GENERACIÓN'!N107</f>
        <v>37.862706000000003</v>
      </c>
      <c r="O107" s="263">
        <f>+O$3*'PROYECCIÓN GENERACIÓN'!O107</f>
        <v>38.091186</v>
      </c>
      <c r="P107" s="263">
        <f>+P$3*'PROYECCIÓN GENERACIÓN'!P107</f>
        <v>38.319309000000004</v>
      </c>
      <c r="Q107" s="263">
        <f>+Q$3*'PROYECCIÓN GENERACIÓN'!Q107</f>
        <v>38.547789000000002</v>
      </c>
      <c r="R107" s="263">
        <f>+R$3*'PROYECCIÓN GENERACIÓN'!R107</f>
        <v>38.776268999999999</v>
      </c>
      <c r="S107" s="263">
        <f>+S$3*'PROYECCIÓN GENERACIÓN'!S107</f>
        <v>39.004391999999996</v>
      </c>
      <c r="T107" s="263">
        <f>+T$3*'PROYECCIÓN GENERACIÓN'!T107</f>
        <v>39.232871999999993</v>
      </c>
      <c r="U107" s="263">
        <f>+U$3*'PROYECCIÓN GENERACIÓN'!U107</f>
        <v>39.461351999999998</v>
      </c>
      <c r="V107" s="263">
        <f>+V$3*'PROYECCIÓN GENERACIÓN'!V107</f>
        <v>39.689474999999995</v>
      </c>
      <c r="W107" s="263">
        <f>+W$3*'PROYECCIÓN GENERACIÓN'!W107</f>
        <v>39.917954999999999</v>
      </c>
      <c r="X107" s="263">
        <f>+X$3*'PROYECCIÓN GENERACIÓN'!X107</f>
        <v>40.146435000000004</v>
      </c>
      <c r="Y107" s="263">
        <f>+Y$3*'PROYECCIÓN GENERACIÓN'!Y107</f>
        <v>40.374558</v>
      </c>
      <c r="Z107" s="263">
        <f>+Z$3*'PROYECCIÓN GENERACIÓN'!Z107</f>
        <v>40.603038000000005</v>
      </c>
      <c r="AA107" s="565">
        <f t="shared" si="2"/>
        <v>33.687619049999995</v>
      </c>
    </row>
    <row r="108" spans="1:27" ht="24.95" customHeight="1">
      <c r="A108" s="351" t="str">
        <f>+Pobl_adoptada!A108</f>
        <v>Pila</v>
      </c>
      <c r="B108" s="70">
        <f>+Pobl_adoptada!B108</f>
        <v>104</v>
      </c>
      <c r="C108" s="353" t="str">
        <f>+Pobl_adoptada!C108</f>
        <v>Pila</v>
      </c>
      <c r="D108" s="261"/>
      <c r="E108" s="278"/>
      <c r="F108" s="263"/>
      <c r="G108" s="263">
        <f>+G$3*'PROYECCIÓN GENERACIÓN'!G108</f>
        <v>3.1832000000000006E-2</v>
      </c>
      <c r="H108" s="263">
        <f>+H$3*'PROYECCIÓN GENERACIÓN'!H108</f>
        <v>0.25988159999999999</v>
      </c>
      <c r="I108" s="263">
        <f>+I$3*'PROYECCIÓN GENERACIÓN'!I108</f>
        <v>0.49721399999999999</v>
      </c>
      <c r="J108" s="263">
        <f>+J$3*'PROYECCIÓN GENERACIÓN'!J108</f>
        <v>0.84571000000000007</v>
      </c>
      <c r="K108" s="263">
        <f>+K$3*'PROYECCIÓN GENERACIÓN'!K108</f>
        <v>1.2081440000000001</v>
      </c>
      <c r="L108" s="263">
        <f>+L$3*'PROYECCIÓN GENERACIÓN'!L108</f>
        <v>1.2329380000000001</v>
      </c>
      <c r="M108" s="263">
        <f>+M$3*'PROYECCIÓN GENERACIÓN'!M108</f>
        <v>1.258054</v>
      </c>
      <c r="N108" s="263">
        <f>+N$3*'PROYECCIÓN GENERACIÓN'!N108</f>
        <v>1.283814</v>
      </c>
      <c r="O108" s="263">
        <f>+O$3*'PROYECCIÓN GENERACIÓN'!O108</f>
        <v>1.3102179999999999</v>
      </c>
      <c r="P108" s="263">
        <f>+P$3*'PROYECCIÓN GENERACIÓN'!P108</f>
        <v>1.3369439999999999</v>
      </c>
      <c r="Q108" s="263">
        <f>+Q$3*'PROYECCIÓN GENERACIÓN'!Q108</f>
        <v>1.3643139999999998</v>
      </c>
      <c r="R108" s="263">
        <f>+R$3*'PROYECCIÓN GENERACIÓN'!R108</f>
        <v>1.3920060000000001</v>
      </c>
      <c r="S108" s="263">
        <f>+S$3*'PROYECCIÓN GENERACIÓN'!S108</f>
        <v>1.4206639999999997</v>
      </c>
      <c r="T108" s="263">
        <f>+T$3*'PROYECCIÓN GENERACIÓN'!T108</f>
        <v>1.4496439999999999</v>
      </c>
      <c r="U108" s="263">
        <f>+U$3*'PROYECCIÓN GENERACIÓN'!U108</f>
        <v>1.479268</v>
      </c>
      <c r="V108" s="263">
        <f>+V$3*'PROYECCIÓN GENERACIÓN'!V108</f>
        <v>1.509536</v>
      </c>
      <c r="W108" s="263">
        <f>+W$3*'PROYECCIÓN GENERACIÓN'!W108</f>
        <v>1.5404479999999998</v>
      </c>
      <c r="X108" s="263">
        <f>+X$3*'PROYECCIÓN GENERACIÓN'!X108</f>
        <v>1.5720040000000002</v>
      </c>
      <c r="Y108" s="263">
        <f>+Y$3*'PROYECCIÓN GENERACIÓN'!Y108</f>
        <v>1.604204</v>
      </c>
      <c r="Z108" s="263">
        <f>+Z$3*'PROYECCIÓN GENERACIÓN'!Z108</f>
        <v>1.6370480000000001</v>
      </c>
      <c r="AA108" s="565">
        <f t="shared" si="2"/>
        <v>1.2116942800000001</v>
      </c>
    </row>
    <row r="109" spans="1:27" ht="24.95" customHeight="1">
      <c r="A109" s="351" t="str">
        <f>+Pobl_adoptada!A109</f>
        <v>Pilar</v>
      </c>
      <c r="B109" s="70">
        <f>+Pobl_adoptada!B109</f>
        <v>105</v>
      </c>
      <c r="C109" s="353" t="str">
        <f>+Pobl_adoptada!C109</f>
        <v>Pilar</v>
      </c>
      <c r="D109" s="261"/>
      <c r="E109" s="278"/>
      <c r="F109" s="263"/>
      <c r="G109" s="263">
        <f>+G$3*'PROYECCIÓN GENERACIÓN'!G109</f>
        <v>6.1181169000000004</v>
      </c>
      <c r="H109" s="263">
        <f>+H$3*'PROYECCIÓN GENERACIÓN'!H109</f>
        <v>49.897418399999999</v>
      </c>
      <c r="I109" s="263">
        <f>+I$3*'PROYECCIÓN GENERACIÓN'!I109</f>
        <v>95.343776999999974</v>
      </c>
      <c r="J109" s="263">
        <f>+J$3*'PROYECCIÓN GENERACIÓN'!J109</f>
        <v>161.88315750000001</v>
      </c>
      <c r="K109" s="263">
        <f>+K$3*'PROYECCIÓN GENERACIÓN'!K109</f>
        <v>230.80402799999996</v>
      </c>
      <c r="L109" s="263">
        <f>+L$3*'PROYECCIÓN GENERACIÓN'!L109</f>
        <v>234.97163549999993</v>
      </c>
      <c r="M109" s="263">
        <f>+M$3*'PROYECCIÓN GENERACIÓN'!M109</f>
        <v>239.13924299999996</v>
      </c>
      <c r="N109" s="263">
        <f>+N$3*'PROYECCIÓN GENERACIÓN'!N109</f>
        <v>243.30685049999997</v>
      </c>
      <c r="O109" s="263">
        <f>+O$3*'PROYECCIÓN GENERACIÓN'!O109</f>
        <v>247.474458</v>
      </c>
      <c r="P109" s="263">
        <f>+P$3*'PROYECCIÓN GENERACIÓN'!P109</f>
        <v>251.64206549999997</v>
      </c>
      <c r="Q109" s="263">
        <f>+Q$3*'PROYECCIÓN GENERACIÓN'!Q109</f>
        <v>255.80967299999995</v>
      </c>
      <c r="R109" s="263">
        <f>+R$3*'PROYECCIÓN GENERACIÓN'!R109</f>
        <v>259.97728050000001</v>
      </c>
      <c r="S109" s="263">
        <f>+S$3*'PROYECCIÓN GENERACIÓN'!S109</f>
        <v>264.14439449999992</v>
      </c>
      <c r="T109" s="263">
        <f>+T$3*'PROYECCIÓN GENERACIÓN'!T109</f>
        <v>268.31200200000001</v>
      </c>
      <c r="U109" s="263">
        <f>+U$3*'PROYECCIÓN GENERACIÓN'!U109</f>
        <v>272.47960949999998</v>
      </c>
      <c r="V109" s="263">
        <f>+V$3*'PROYECCIÓN GENERACIÓN'!V109</f>
        <v>276.64721699999996</v>
      </c>
      <c r="W109" s="263">
        <f>+W$3*'PROYECCIÓN GENERACIÓN'!W109</f>
        <v>280.81482449999993</v>
      </c>
      <c r="X109" s="263">
        <f>+X$3*'PROYECCIÓN GENERACIÓN'!X109</f>
        <v>284.98243199999996</v>
      </c>
      <c r="Y109" s="263">
        <f>+Y$3*'PROYECCIÓN GENERACIÓN'!Y109</f>
        <v>289.15003949999999</v>
      </c>
      <c r="Z109" s="263">
        <f>+Z$3*'PROYECCIÓN GENERACIÓN'!Z109</f>
        <v>293.31764699999997</v>
      </c>
      <c r="AA109" s="565">
        <f t="shared" si="2"/>
        <v>225.31079348999998</v>
      </c>
    </row>
    <row r="110" spans="1:27" ht="24.95" customHeight="1">
      <c r="A110" s="351" t="str">
        <f>+Pobl_adoptada!A110</f>
        <v>Pinamar</v>
      </c>
      <c r="B110" s="70">
        <f>+Pobl_adoptada!B110</f>
        <v>106</v>
      </c>
      <c r="C110" s="353" t="str">
        <f>+Pobl_adoptada!C110</f>
        <v>Pinamar</v>
      </c>
      <c r="D110" s="261"/>
      <c r="E110" s="278"/>
      <c r="F110" s="263"/>
      <c r="G110" s="263">
        <f>+G$3*'PROYECCIÓN GENERACIÓN'!G110</f>
        <v>0.66162300000000007</v>
      </c>
      <c r="H110" s="263">
        <f>+H$3*'PROYECCIÓN GENERACIÓN'!H110</f>
        <v>5.4322752000000003</v>
      </c>
      <c r="I110" s="263">
        <f>+I$3*'PROYECCIÓN GENERACIÓN'!I110</f>
        <v>10.450665000000001</v>
      </c>
      <c r="J110" s="263">
        <f>+J$3*'PROYECCIÓN GENERACIÓN'!J110</f>
        <v>17.867084999999999</v>
      </c>
      <c r="K110" s="263">
        <f>+K$3*'PROYECCIÓN GENERACIÓN'!K110</f>
        <v>25.653306000000001</v>
      </c>
      <c r="L110" s="263">
        <f>+L$3*'PROYECCIÓN GENERACIÓN'!L110</f>
        <v>26.302689000000001</v>
      </c>
      <c r="M110" s="263">
        <f>+M$3*'PROYECCIÓN GENERACIÓN'!M110</f>
        <v>26.963139000000002</v>
      </c>
      <c r="N110" s="263">
        <f>+N$3*'PROYECCIÓN GENERACIÓN'!N110</f>
        <v>27.633941999999994</v>
      </c>
      <c r="O110" s="263">
        <f>+O$3*'PROYECCIÓN GENERACIÓN'!O110</f>
        <v>28.315811999999998</v>
      </c>
      <c r="P110" s="263">
        <f>+P$3*'PROYECCIÓN GENERACIÓN'!P110</f>
        <v>29.008748999999995</v>
      </c>
      <c r="Q110" s="263">
        <f>+Q$3*'PROYECCIÓN GENERACIÓN'!Q110</f>
        <v>29.713466999999994</v>
      </c>
      <c r="R110" s="263">
        <f>+R$3*'PROYECCIÓN GENERACIÓN'!R110</f>
        <v>30.429251999999998</v>
      </c>
      <c r="S110" s="263">
        <f>+S$3*'PROYECCIÓN GENERACIÓN'!S110</f>
        <v>31.156817999999998</v>
      </c>
      <c r="T110" s="263">
        <f>+T$3*'PROYECCIÓN GENERACIÓN'!T110</f>
        <v>31.896165</v>
      </c>
      <c r="U110" s="263">
        <f>+U$3*'PROYECCIÓN GENERACIÓN'!U110</f>
        <v>32.648007</v>
      </c>
      <c r="V110" s="263">
        <f>+V$3*'PROYECCIÓN GENERACIÓN'!V110</f>
        <v>33.411629999999995</v>
      </c>
      <c r="W110" s="263">
        <f>+W$3*'PROYECCIÓN GENERACIÓN'!W110</f>
        <v>34.187747999999999</v>
      </c>
      <c r="X110" s="263">
        <f>+X$3*'PROYECCIÓN GENERACIÓN'!X110</f>
        <v>34.976717999999998</v>
      </c>
      <c r="Y110" s="263">
        <f>+Y$3*'PROYECCIÓN GENERACIÓN'!Y110</f>
        <v>35.77854</v>
      </c>
      <c r="Z110" s="263">
        <f>+Z$3*'PROYECCIÓN GENERACIÓN'!Z110</f>
        <v>36.593213999999996</v>
      </c>
      <c r="AA110" s="565">
        <f t="shared" si="2"/>
        <v>26.454042210000001</v>
      </c>
    </row>
    <row r="111" spans="1:27" ht="24.95" customHeight="1">
      <c r="A111" s="351" t="str">
        <f>+Pobl_adoptada!A111</f>
        <v>Presidente Perón</v>
      </c>
      <c r="B111" s="70">
        <f>+Pobl_adoptada!B111</f>
        <v>107</v>
      </c>
      <c r="C111" s="353" t="str">
        <f>+Pobl_adoptada!C111</f>
        <v>Presidente Perón</v>
      </c>
      <c r="D111" s="261"/>
      <c r="E111" s="278"/>
      <c r="F111" s="263"/>
      <c r="G111" s="263">
        <f>+G$3*'PROYECCIÓN GENERACIÓN'!G111</f>
        <v>1.1623818000000001</v>
      </c>
      <c r="H111" s="263">
        <f>+H$3*'PROYECCIÓN GENERACIÓN'!H111</f>
        <v>9.4716383999999998</v>
      </c>
      <c r="I111" s="263">
        <f>+I$3*'PROYECCIÓN GENERACIÓN'!I111</f>
        <v>18.082916999999998</v>
      </c>
      <c r="J111" s="263">
        <f>+J$3*'PROYECCIÓN GENERACIÓN'!J111</f>
        <v>30.677520000000001</v>
      </c>
      <c r="K111" s="263">
        <f>+K$3*'PROYECCIÓN GENERACIÓN'!K111</f>
        <v>43.703940000000003</v>
      </c>
      <c r="L111" s="263">
        <f>+L$3*'PROYECCIÓN GENERACIÓN'!L111</f>
        <v>44.458994999999994</v>
      </c>
      <c r="M111" s="263">
        <f>+M$3*'PROYECCIÓN GENERACIÓN'!M111</f>
        <v>45.214049999999993</v>
      </c>
      <c r="N111" s="263">
        <f>+N$3*'PROYECCIÓN GENERACIÓN'!N111</f>
        <v>45.969104999999992</v>
      </c>
      <c r="O111" s="263">
        <f>+O$3*'PROYECCIÓN GENERACIÓN'!O111</f>
        <v>46.724159999999998</v>
      </c>
      <c r="P111" s="263">
        <f>+P$3*'PROYECCIÓN GENERACIÓN'!P111</f>
        <v>47.479214999999996</v>
      </c>
      <c r="Q111" s="263">
        <f>+Q$3*'PROYECCIÓN GENERACIÓN'!Q111</f>
        <v>48.234270000000002</v>
      </c>
      <c r="R111" s="263">
        <f>+R$3*'PROYECCIÓN GENERACIÓN'!R111</f>
        <v>48.989325000000001</v>
      </c>
      <c r="S111" s="263">
        <f>+S$3*'PROYECCIÓN GENERACIÓN'!S111</f>
        <v>49.744737000000001</v>
      </c>
      <c r="T111" s="263">
        <f>+T$3*'PROYECCIÓN GENERACIÓN'!T111</f>
        <v>50.499791999999999</v>
      </c>
      <c r="U111" s="263">
        <f>+U$3*'PROYECCIÓN GENERACIÓN'!U111</f>
        <v>51.254847000000005</v>
      </c>
      <c r="V111" s="263">
        <f>+V$3*'PROYECCIÓN GENERACIÓN'!V111</f>
        <v>52.009901999999997</v>
      </c>
      <c r="W111" s="263">
        <f>+W$3*'PROYECCIÓN GENERACIÓN'!W111</f>
        <v>52.764956999999988</v>
      </c>
      <c r="X111" s="263">
        <f>+X$3*'PROYECCIÓN GENERACIÓN'!X111</f>
        <v>53.520012000000001</v>
      </c>
      <c r="Y111" s="263">
        <f>+Y$3*'PROYECCIÓN GENERACIÓN'!Y111</f>
        <v>54.275066999999993</v>
      </c>
      <c r="Z111" s="263">
        <f>+Z$3*'PROYECCIÓN GENERACIÓN'!Z111</f>
        <v>55.030122000000006</v>
      </c>
      <c r="AA111" s="565">
        <f t="shared" si="2"/>
        <v>42.463347659999997</v>
      </c>
    </row>
    <row r="112" spans="1:27" ht="24.95" customHeight="1">
      <c r="A112" s="351" t="str">
        <f>+Pobl_adoptada!A112</f>
        <v>Puán</v>
      </c>
      <c r="B112" s="70">
        <f>+Pobl_adoptada!B112</f>
        <v>108</v>
      </c>
      <c r="C112" s="353" t="str">
        <f>+Pobl_adoptada!C112</f>
        <v>Puán</v>
      </c>
      <c r="D112" s="261"/>
      <c r="E112" s="278"/>
      <c r="F112" s="263"/>
      <c r="G112" s="263">
        <f>+G$3*'PROYECCIÓN GENERACIÓN'!G112</f>
        <v>4.65888E-2</v>
      </c>
      <c r="H112" s="263">
        <f>+H$3*'PROYECCIÓN GENERACIÓN'!H112</f>
        <v>0.37609599999999999</v>
      </c>
      <c r="I112" s="263">
        <f>+I$3*'PROYECCIÓN GENERACIÓN'!I112</f>
        <v>0.71152800000000005</v>
      </c>
      <c r="J112" s="263">
        <f>+J$3*'PROYECCIÓN GENERACIÓN'!J112</f>
        <v>1.1962300000000001</v>
      </c>
      <c r="K112" s="263">
        <f>+K$3*'PROYECCIÓN GENERACIÓN'!K112</f>
        <v>1.6895339999999999</v>
      </c>
      <c r="L112" s="263">
        <f>+L$3*'PROYECCIÓN GENERACIÓN'!L112</f>
        <v>1.7111080000000001</v>
      </c>
      <c r="M112" s="263">
        <f>+M$3*'PROYECCIÓN GENERACIÓN'!M112</f>
        <v>1.7323599999999999</v>
      </c>
      <c r="N112" s="263">
        <f>+N$3*'PROYECCIÓN GENERACIÓN'!N112</f>
        <v>1.7539339999999999</v>
      </c>
      <c r="O112" s="263">
        <f>+O$3*'PROYECCIÓN GENERACIÓN'!O112</f>
        <v>1.7755080000000001</v>
      </c>
      <c r="P112" s="263">
        <f>+P$3*'PROYECCIÓN GENERACIÓN'!P112</f>
        <v>1.7967599999999999</v>
      </c>
      <c r="Q112" s="263">
        <f>+Q$3*'PROYECCIÓN GENERACIÓN'!Q112</f>
        <v>1.8183339999999999</v>
      </c>
      <c r="R112" s="263">
        <f>+R$3*'PROYECCIÓN GENERACIÓN'!R112</f>
        <v>1.8399079999999999</v>
      </c>
      <c r="S112" s="263">
        <f>+S$3*'PROYECCIÓN GENERACIÓN'!S112</f>
        <v>1.8611600000000001</v>
      </c>
      <c r="T112" s="263">
        <f>+T$3*'PROYECCIÓN GENERACIÓN'!T112</f>
        <v>1.8827339999999997</v>
      </c>
      <c r="U112" s="263">
        <f>+U$3*'PROYECCIÓN GENERACIÓN'!U112</f>
        <v>1.903986</v>
      </c>
      <c r="V112" s="263">
        <f>+V$3*'PROYECCIÓN GENERACIÓN'!V112</f>
        <v>1.9255600000000002</v>
      </c>
      <c r="W112" s="263">
        <f>+W$3*'PROYECCIÓN GENERACIÓN'!W112</f>
        <v>1.9471339999999999</v>
      </c>
      <c r="X112" s="263">
        <f>+X$3*'PROYECCIÓN GENERACIÓN'!X112</f>
        <v>1.968386</v>
      </c>
      <c r="Y112" s="263">
        <f>+Y$3*'PROYECCIÓN GENERACIÓN'!Y112</f>
        <v>1.98996</v>
      </c>
      <c r="Z112" s="263">
        <f>+Z$3*'PROYECCIÓN GENERACIÓN'!Z112</f>
        <v>2.0115340000000002</v>
      </c>
      <c r="AA112" s="565">
        <f t="shared" si="2"/>
        <v>1.59691714</v>
      </c>
    </row>
    <row r="113" spans="1:27" ht="24.95" customHeight="1">
      <c r="A113" s="351" t="str">
        <f>+Pobl_adoptada!A113</f>
        <v>Punta Indio</v>
      </c>
      <c r="B113" s="70">
        <f>+Pobl_adoptada!B113</f>
        <v>109</v>
      </c>
      <c r="C113" s="353" t="str">
        <f>+Pobl_adoptada!C113</f>
        <v>Verónica</v>
      </c>
      <c r="D113" s="261"/>
      <c r="E113" s="278"/>
      <c r="F113" s="263"/>
      <c r="G113" s="263">
        <f>+G$3*'PROYECCIÓN GENERACIÓN'!G113</f>
        <v>8.2110000000000002E-2</v>
      </c>
      <c r="H113" s="263">
        <f>+H$3*'PROYECCIÓN GENERACIÓN'!H113</f>
        <v>0.66939199999999999</v>
      </c>
      <c r="I113" s="263">
        <f>+I$3*'PROYECCIÓN GENERACIÓN'!I113</f>
        <v>1.2789839999999999</v>
      </c>
      <c r="J113" s="263">
        <f>+J$3*'PROYECCIÓN GENERACIÓN'!J113</f>
        <v>2.1721200000000001</v>
      </c>
      <c r="K113" s="263">
        <f>+K$3*'PROYECCIÓN GENERACIÓN'!K113</f>
        <v>3.098284</v>
      </c>
      <c r="L113" s="263">
        <f>+L$3*'PROYECCIÓN GENERACIÓN'!L113</f>
        <v>3.1568880000000004</v>
      </c>
      <c r="M113" s="263">
        <f>+M$3*'PROYECCIÓN GENERACIÓN'!M113</f>
        <v>3.2161360000000005</v>
      </c>
      <c r="N113" s="263">
        <f>+N$3*'PROYECCIÓN GENERACIÓN'!N113</f>
        <v>3.2766719999999996</v>
      </c>
      <c r="O113" s="263">
        <f>+O$3*'PROYECCIÓN GENERACIÓN'!O113</f>
        <v>3.3378520000000003</v>
      </c>
      <c r="P113" s="263">
        <f>+P$3*'PROYECCIÓN GENERACIÓN'!P113</f>
        <v>3.4003200000000002</v>
      </c>
      <c r="Q113" s="263">
        <f>+Q$3*'PROYECCIÓN GENERACIÓN'!Q113</f>
        <v>3.4637539999999998</v>
      </c>
      <c r="R113" s="263">
        <f>+R$3*'PROYECCIÓN GENERACIÓN'!R113</f>
        <v>3.5281540000000002</v>
      </c>
      <c r="S113" s="263">
        <f>+S$3*'PROYECCIÓN GENERACIÓN'!S113</f>
        <v>3.5935199999999998</v>
      </c>
      <c r="T113" s="263">
        <f>+T$3*'PROYECCIÓN GENERACIÓN'!T113</f>
        <v>3.660174</v>
      </c>
      <c r="U113" s="263">
        <f>+U$3*'PROYECCIÓN GENERACIÓN'!U113</f>
        <v>3.7277939999999998</v>
      </c>
      <c r="V113" s="263">
        <f>+V$3*'PROYECCIÓN GENERACIÓN'!V113</f>
        <v>3.7963800000000005</v>
      </c>
      <c r="W113" s="263">
        <f>+W$3*'PROYECCIÓN GENERACIÓN'!W113</f>
        <v>3.8662540000000001</v>
      </c>
      <c r="X113" s="263">
        <f>+X$3*'PROYECCIÓN GENERACIÓN'!X113</f>
        <v>3.9370939999999996</v>
      </c>
      <c r="Y113" s="263">
        <f>+Y$3*'PROYECCIÓN GENERACIÓN'!Y113</f>
        <v>4.0092219999999994</v>
      </c>
      <c r="Z113" s="263">
        <f>+Z$3*'PROYECCIÓN GENERACIÓN'!Z113</f>
        <v>4.0826380000000002</v>
      </c>
      <c r="AA113" s="565">
        <f t="shared" si="2"/>
        <v>3.0676871000000001</v>
      </c>
    </row>
    <row r="114" spans="1:27" ht="24.95" customHeight="1">
      <c r="A114" s="351" t="str">
        <f>+Pobl_adoptada!A114</f>
        <v>Ramallo</v>
      </c>
      <c r="B114" s="70">
        <f>+Pobl_adoptada!B114</f>
        <v>110</v>
      </c>
      <c r="C114" s="353" t="str">
        <f>+Pobl_adoptada!C114</f>
        <v>Ramallo</v>
      </c>
      <c r="D114" s="261"/>
      <c r="E114" s="278"/>
      <c r="F114" s="263"/>
      <c r="G114" s="263">
        <f>+G$3*'PROYECCIÓN GENERACIÓN'!G114</f>
        <v>0.17642640000000001</v>
      </c>
      <c r="H114" s="263">
        <f>+H$3*'PROYECCIÓN GENERACIÓN'!H114</f>
        <v>1.4311696000000003</v>
      </c>
      <c r="I114" s="263">
        <f>+I$3*'PROYECCIÓN GENERACIÓN'!I114</f>
        <v>2.7211259999999999</v>
      </c>
      <c r="J114" s="263">
        <f>+J$3*'PROYECCIÓN GENERACIÓN'!J114</f>
        <v>4.5988100000000003</v>
      </c>
      <c r="K114" s="263">
        <f>+K$3*'PROYECCIÓN GENERACIÓN'!K114</f>
        <v>6.5284869999999993</v>
      </c>
      <c r="L114" s="263">
        <f>+L$3*'PROYECCIÓN GENERACIÓN'!L114</f>
        <v>6.6201239999999988</v>
      </c>
      <c r="M114" s="263">
        <f>+M$3*'PROYECCIÓN GENERACIÓN'!M114</f>
        <v>6.7128739999999993</v>
      </c>
      <c r="N114" s="263">
        <f>+N$3*'PROYECCIÓN GENERACIÓN'!N114</f>
        <v>6.8071080000000004</v>
      </c>
      <c r="O114" s="263">
        <f>+O$3*'PROYECCIÓN GENERACIÓN'!O114</f>
        <v>6.9024549999999998</v>
      </c>
      <c r="P114" s="263">
        <f>+P$3*'PROYECCIÓN GENERACIÓN'!P114</f>
        <v>6.9992860000000006</v>
      </c>
      <c r="Q114" s="263">
        <f>+Q$3*'PROYECCIÓN GENERACIÓN'!Q114</f>
        <v>7.097601</v>
      </c>
      <c r="R114" s="263">
        <f>+R$3*'PROYECCIÓN GENERACIÓN'!R114</f>
        <v>7.1970289999999997</v>
      </c>
      <c r="S114" s="263">
        <f>+S$3*'PROYECCIÓN GENERACIÓN'!S114</f>
        <v>7.2979410000000007</v>
      </c>
      <c r="T114" s="263">
        <f>+T$3*'PROYECCIÓN GENERACIÓN'!T114</f>
        <v>7.4003369999999986</v>
      </c>
      <c r="U114" s="263">
        <f>+U$3*'PROYECCIÓN GENERACIÓN'!U114</f>
        <v>7.5042170000000006</v>
      </c>
      <c r="V114" s="263">
        <f>+V$3*'PROYECCIÓN GENERACIÓN'!V114</f>
        <v>7.60921</v>
      </c>
      <c r="W114" s="263">
        <f>+W$3*'PROYECCIÓN GENERACIÓN'!W114</f>
        <v>7.7160579999999994</v>
      </c>
      <c r="X114" s="263">
        <f>+X$3*'PROYECCIÓN GENERACIÓN'!X114</f>
        <v>7.8243900000000002</v>
      </c>
      <c r="Y114" s="263">
        <f>+Y$3*'PROYECCIÓN GENERACIÓN'!Y114</f>
        <v>7.9338350000000002</v>
      </c>
      <c r="Z114" s="263">
        <f>+Z$3*'PROYECCIÓN GENERACIÓN'!Z114</f>
        <v>8.0451350000000001</v>
      </c>
      <c r="AA114" s="565">
        <f t="shared" si="2"/>
        <v>6.2561809499999992</v>
      </c>
    </row>
    <row r="115" spans="1:27" ht="24.95" customHeight="1">
      <c r="A115" s="351" t="str">
        <f>+Pobl_adoptada!A115</f>
        <v>Rauch</v>
      </c>
      <c r="B115" s="70">
        <f>+Pobl_adoptada!B115</f>
        <v>111</v>
      </c>
      <c r="C115" s="353" t="str">
        <f>+Pobl_adoptada!C115</f>
        <v>Rauch</v>
      </c>
      <c r="D115" s="261"/>
      <c r="E115" s="278"/>
      <c r="F115" s="263"/>
      <c r="G115" s="263">
        <f>+G$3*'PROYECCIÓN GENERACIÓN'!G115</f>
        <v>0.13542400000000002</v>
      </c>
      <c r="H115" s="263">
        <f>+H$3*'PROYECCIÓN GENERACIÓN'!H115</f>
        <v>1.0928127999999999</v>
      </c>
      <c r="I115" s="263">
        <f>+I$3*'PROYECCIÓN GENERACIÓN'!I115</f>
        <v>2.0665499999999999</v>
      </c>
      <c r="J115" s="263">
        <f>+J$3*'PROYECCIÓN GENERACIÓN'!J115</f>
        <v>3.4736899999999999</v>
      </c>
      <c r="K115" s="263">
        <f>+K$3*'PROYECCIÓN GENERACIÓN'!K115</f>
        <v>4.9040599999999994</v>
      </c>
      <c r="L115" s="263">
        <f>+L$3*'PROYECCIÓN GENERACIÓN'!L115</f>
        <v>4.9452759999999998</v>
      </c>
      <c r="M115" s="263">
        <f>+M$3*'PROYECCIÓN GENERACIÓN'!M115</f>
        <v>4.9864920000000001</v>
      </c>
      <c r="N115" s="263">
        <f>+N$3*'PROYECCIÓN GENERACIÓN'!N115</f>
        <v>5.0273859999999999</v>
      </c>
      <c r="O115" s="263">
        <f>+O$3*'PROYECCIÓN GENERACIÓN'!O115</f>
        <v>5.0686020000000003</v>
      </c>
      <c r="P115" s="263">
        <f>+P$3*'PROYECCIÓN GENERACIÓN'!P115</f>
        <v>5.109496</v>
      </c>
      <c r="Q115" s="263">
        <f>+Q$3*'PROYECCIÓN GENERACIÓN'!Q115</f>
        <v>5.1507120000000004</v>
      </c>
      <c r="R115" s="263">
        <f>+R$3*'PROYECCIÓN GENERACIÓN'!R115</f>
        <v>5.1916059999999993</v>
      </c>
      <c r="S115" s="263">
        <f>+S$3*'PROYECCIÓN GENERACIÓN'!S115</f>
        <v>5.2328219999999996</v>
      </c>
      <c r="T115" s="263">
        <f>+T$3*'PROYECCIÓN GENERACIÓN'!T115</f>
        <v>5.2737159999999994</v>
      </c>
      <c r="U115" s="263">
        <f>+U$3*'PROYECCIÓN GENERACIÓN'!U115</f>
        <v>5.3149319999999998</v>
      </c>
      <c r="V115" s="263">
        <f>+V$3*'PROYECCIÓN GENERACIÓN'!V115</f>
        <v>5.3561480000000001</v>
      </c>
      <c r="W115" s="263">
        <f>+W$3*'PROYECCIÓN GENERACIÓN'!W115</f>
        <v>5.3970419999999999</v>
      </c>
      <c r="X115" s="263">
        <f>+X$3*'PROYECCIÓN GENERACIÓN'!X115</f>
        <v>5.4382580000000003</v>
      </c>
      <c r="Y115" s="263">
        <f>+Y$3*'PROYECCIÓN GENERACIÓN'!Y115</f>
        <v>5.479152</v>
      </c>
      <c r="Z115" s="263">
        <f>+Z$3*'PROYECCIÓN GENERACIÓN'!Z115</f>
        <v>5.5203680000000004</v>
      </c>
      <c r="AA115" s="565">
        <f t="shared" si="2"/>
        <v>4.5082272400000001</v>
      </c>
    </row>
    <row r="116" spans="1:27" ht="24.95" customHeight="1">
      <c r="A116" s="351" t="str">
        <f>+Pobl_adoptada!A116</f>
        <v>Rivadavia</v>
      </c>
      <c r="B116" s="70">
        <f>+Pobl_adoptada!B116</f>
        <v>112</v>
      </c>
      <c r="C116" s="353" t="str">
        <f>+Pobl_adoptada!C116</f>
        <v>América</v>
      </c>
      <c r="D116" s="261"/>
      <c r="E116" s="278"/>
      <c r="F116" s="263"/>
      <c r="G116" s="263">
        <f>+G$3*'PROYECCIÓN GENERACIÓN'!G116</f>
        <v>0.12788920000000001</v>
      </c>
      <c r="H116" s="263">
        <f>+H$3*'PROYECCIÓN GENERACIÓN'!H116</f>
        <v>1.0334176000000002</v>
      </c>
      <c r="I116" s="263">
        <f>+I$3*'PROYECCIÓN GENERACIÓN'!I116</f>
        <v>1.9568399999999999</v>
      </c>
      <c r="J116" s="263">
        <f>+J$3*'PROYECCIÓN GENERACIÓN'!J116</f>
        <v>3.2936000000000005</v>
      </c>
      <c r="K116" s="263">
        <f>+K$3*'PROYECCIÓN GENERACIÓN'!K116</f>
        <v>4.6561199999999996</v>
      </c>
      <c r="L116" s="263">
        <f>+L$3*'PROYECCIÓN GENERACIÓN'!L116</f>
        <v>4.7012</v>
      </c>
      <c r="M116" s="263">
        <f>+M$3*'PROYECCIÓN GENERACIÓN'!M116</f>
        <v>4.7462799999999996</v>
      </c>
      <c r="N116" s="263">
        <f>+N$3*'PROYECCIÓN GENERACIÓN'!N116</f>
        <v>4.7913600000000001</v>
      </c>
      <c r="O116" s="263">
        <f>+O$3*'PROYECCIÓN GENERACIÓN'!O116</f>
        <v>4.8364400000000005</v>
      </c>
      <c r="P116" s="263">
        <f>+P$3*'PROYECCIÓN GENERACIÓN'!P116</f>
        <v>4.8815200000000001</v>
      </c>
      <c r="Q116" s="263">
        <f>+Q$3*'PROYECCIÓN GENERACIÓN'!Q116</f>
        <v>4.9262779999999999</v>
      </c>
      <c r="R116" s="263">
        <f>+R$3*'PROYECCIÓN GENERACIÓN'!R116</f>
        <v>4.9713580000000004</v>
      </c>
      <c r="S116" s="263">
        <f>+S$3*'PROYECCIÓN GENERACIÓN'!S116</f>
        <v>5.016438</v>
      </c>
      <c r="T116" s="263">
        <f>+T$3*'PROYECCIÓN GENERACIÓN'!T116</f>
        <v>5.0615180000000004</v>
      </c>
      <c r="U116" s="263">
        <f>+U$3*'PROYECCIÓN GENERACIÓN'!U116</f>
        <v>5.106598</v>
      </c>
      <c r="V116" s="263">
        <f>+V$3*'PROYECCIÓN GENERACIÓN'!V116</f>
        <v>5.1516779999999995</v>
      </c>
      <c r="W116" s="263">
        <f>+W$3*'PROYECCIÓN GENERACIÓN'!W116</f>
        <v>5.196758</v>
      </c>
      <c r="X116" s="263">
        <f>+X$3*'PROYECCIÓN GENERACIÓN'!X116</f>
        <v>5.2418379999999996</v>
      </c>
      <c r="Y116" s="263">
        <f>+Y$3*'PROYECCIÓN GENERACIÓN'!Y116</f>
        <v>5.286918</v>
      </c>
      <c r="Z116" s="263">
        <f>+Z$3*'PROYECCIÓN GENERACIÓN'!Z116</f>
        <v>5.3316759999999999</v>
      </c>
      <c r="AA116" s="565">
        <f t="shared" si="2"/>
        <v>4.3157862400000004</v>
      </c>
    </row>
    <row r="117" spans="1:27" ht="24.95" customHeight="1">
      <c r="A117" s="351" t="str">
        <f>+Pobl_adoptada!A117</f>
        <v>Rojas</v>
      </c>
      <c r="B117" s="70">
        <f>+Pobl_adoptada!B117</f>
        <v>113</v>
      </c>
      <c r="C117" s="353" t="str">
        <f>+Pobl_adoptada!C117</f>
        <v>Rojas</v>
      </c>
      <c r="D117" s="261"/>
      <c r="E117" s="278"/>
      <c r="F117" s="263"/>
      <c r="G117" s="263">
        <f>+G$3*'PROYECCIÓN GENERACIÓN'!G117</f>
        <v>0.23104820000000001</v>
      </c>
      <c r="H117" s="263">
        <f>+H$3*'PROYECCIÓN GENERACIÓN'!H117</f>
        <v>1.8596640000000002</v>
      </c>
      <c r="I117" s="263">
        <f>+I$3*'PROYECCIÓN GENERACIÓN'!I117</f>
        <v>3.5083350000000002</v>
      </c>
      <c r="J117" s="263">
        <f>+J$3*'PROYECCIÓN GENERACIÓN'!J117</f>
        <v>5.883</v>
      </c>
      <c r="K117" s="263">
        <f>+K$3*'PROYECCIÓN GENERACIÓN'!K117</f>
        <v>8.2866559999999989</v>
      </c>
      <c r="L117" s="263">
        <f>+L$3*'PROYECCIÓN GENERACIÓN'!L117</f>
        <v>8.3374830000000006</v>
      </c>
      <c r="M117" s="263">
        <f>+M$3*'PROYECCIÓN GENERACIÓN'!M117</f>
        <v>8.3886809999999983</v>
      </c>
      <c r="N117" s="263">
        <f>+N$3*'PROYECCIÓN GENERACIÓN'!N117</f>
        <v>8.4402499999999989</v>
      </c>
      <c r="O117" s="263">
        <f>+O$3*'PROYECCIÓN GENERACIÓN'!O117</f>
        <v>8.4918189999999996</v>
      </c>
      <c r="P117" s="263">
        <f>+P$3*'PROYECCIÓN GENERACIÓN'!P117</f>
        <v>8.5437589999999997</v>
      </c>
      <c r="Q117" s="263">
        <f>+Q$3*'PROYECCIÓN GENERACIÓN'!Q117</f>
        <v>8.5964410000000004</v>
      </c>
      <c r="R117" s="263">
        <f>+R$3*'PROYECCIÓN GENERACIÓN'!R117</f>
        <v>8.6491229999999995</v>
      </c>
      <c r="S117" s="263">
        <f>+S$3*'PROYECCIÓN GENERACIÓN'!S117</f>
        <v>8.7021759999999997</v>
      </c>
      <c r="T117" s="263">
        <f>+T$3*'PROYECCIÓN GENERACIÓN'!T117</f>
        <v>8.7552289999999999</v>
      </c>
      <c r="U117" s="263">
        <f>+U$3*'PROYECCIÓN GENERACIÓN'!U117</f>
        <v>8.8090240000000009</v>
      </c>
      <c r="V117" s="263">
        <f>+V$3*'PROYECCIÓN GENERACIÓN'!V117</f>
        <v>8.8631900000000012</v>
      </c>
      <c r="W117" s="263">
        <f>+W$3*'PROYECCIÓN GENERACIÓN'!W117</f>
        <v>8.9173559999999998</v>
      </c>
      <c r="X117" s="263">
        <f>+X$3*'PROYECCIÓN GENERACIÓN'!X117</f>
        <v>8.9722639999999991</v>
      </c>
      <c r="Y117" s="263">
        <f>+Y$3*'PROYECCIÓN GENERACIÓN'!Y117</f>
        <v>9.0271720000000002</v>
      </c>
      <c r="Z117" s="263">
        <f>+Z$3*'PROYECCIÓN GENERACIÓN'!Z117</f>
        <v>9.0824509999999989</v>
      </c>
      <c r="AA117" s="565">
        <f t="shared" si="2"/>
        <v>7.5172560599999994</v>
      </c>
    </row>
    <row r="118" spans="1:27" ht="24.95" customHeight="1">
      <c r="A118" s="351" t="str">
        <f>+Pobl_adoptada!A118</f>
        <v>Roque Pérez</v>
      </c>
      <c r="B118" s="70">
        <f>+Pobl_adoptada!B118</f>
        <v>114</v>
      </c>
      <c r="C118" s="353" t="str">
        <f>+Pobl_adoptada!C118</f>
        <v>Roque Pérez</v>
      </c>
      <c r="D118" s="261"/>
      <c r="E118" s="278"/>
      <c r="F118" s="263"/>
      <c r="G118" s="263">
        <f>+G$3*'PROYECCIÓN GENERACIÓN'!G118</f>
        <v>0.12898400000000002</v>
      </c>
      <c r="H118" s="263">
        <f>+H$3*'PROYECCIÓN GENERACIÓN'!H118</f>
        <v>1.0486527999999999</v>
      </c>
      <c r="I118" s="263">
        <f>+I$3*'PROYECCIÓN GENERACIÓN'!I118</f>
        <v>1.9976880000000001</v>
      </c>
      <c r="J118" s="263">
        <f>+J$3*'PROYECCIÓN GENERACIÓN'!J118</f>
        <v>3.38192</v>
      </c>
      <c r="K118" s="263">
        <f>+K$3*'PROYECCIÓN GENERACIÓN'!K118</f>
        <v>4.8081040000000002</v>
      </c>
      <c r="L118" s="263">
        <f>+L$3*'PROYECCIÓN GENERACIÓN'!L118</f>
        <v>4.8815200000000001</v>
      </c>
      <c r="M118" s="263">
        <f>+M$3*'PROYECCIÓN GENERACIÓN'!M118</f>
        <v>4.9546140000000003</v>
      </c>
      <c r="N118" s="263">
        <f>+N$3*'PROYECCIÓN GENERACIÓN'!N118</f>
        <v>5.0280300000000002</v>
      </c>
      <c r="O118" s="263">
        <f>+O$3*'PROYECCIÓN GENERACIÓN'!O118</f>
        <v>5.1014460000000001</v>
      </c>
      <c r="P118" s="263">
        <f>+P$3*'PROYECCIÓN GENERACIÓN'!P118</f>
        <v>5.1748620000000001</v>
      </c>
      <c r="Q118" s="263">
        <f>+Q$3*'PROYECCIÓN GENERACIÓN'!Q118</f>
        <v>5.248278</v>
      </c>
      <c r="R118" s="263">
        <f>+R$3*'PROYECCIÓN GENERACIÓN'!R118</f>
        <v>5.3216939999999999</v>
      </c>
      <c r="S118" s="263">
        <f>+S$3*'PROYECCIÓN GENERACIÓN'!S118</f>
        <v>5.3951099999999999</v>
      </c>
      <c r="T118" s="263">
        <f>+T$3*'PROYECCIÓN GENERACIÓN'!T118</f>
        <v>5.4685259999999998</v>
      </c>
      <c r="U118" s="263">
        <f>+U$3*'PROYECCIÓN GENERACIÓN'!U118</f>
        <v>5.54162</v>
      </c>
      <c r="V118" s="263">
        <f>+V$3*'PROYECCIÓN GENERACIÓN'!V118</f>
        <v>5.6150359999999999</v>
      </c>
      <c r="W118" s="263">
        <f>+W$3*'PROYECCIÓN GENERACIÓN'!W118</f>
        <v>5.6884519999999998</v>
      </c>
      <c r="X118" s="263">
        <f>+X$3*'PROYECCIÓN GENERACIÓN'!X118</f>
        <v>5.7618679999999998</v>
      </c>
      <c r="Y118" s="263">
        <f>+Y$3*'PROYECCIÓN GENERACIÓN'!Y118</f>
        <v>5.8352840000000006</v>
      </c>
      <c r="Z118" s="263">
        <f>+Z$3*'PROYECCIÓN GENERACIÓN'!Z118</f>
        <v>5.9087000000000005</v>
      </c>
      <c r="AA118" s="565">
        <f t="shared" si="2"/>
        <v>4.6145194400000005</v>
      </c>
    </row>
    <row r="119" spans="1:27" ht="24.95" customHeight="1">
      <c r="A119" s="351" t="str">
        <f>+Pobl_adoptada!A119</f>
        <v>Saavedra</v>
      </c>
      <c r="B119" s="70">
        <f>+Pobl_adoptada!B119</f>
        <v>115</v>
      </c>
      <c r="C119" s="353" t="str">
        <f>+Pobl_adoptada!C119</f>
        <v>Pigüé</v>
      </c>
      <c r="D119" s="261"/>
      <c r="E119" s="278"/>
      <c r="F119" s="263"/>
      <c r="G119" s="263">
        <f>+G$3*'PROYECCIÓN GENERACIÓN'!G119</f>
        <v>0.16363220000000003</v>
      </c>
      <c r="H119" s="263">
        <f>+H$3*'PROYECCIÓN GENERACIÓN'!H119</f>
        <v>1.3149088</v>
      </c>
      <c r="I119" s="263">
        <f>+I$3*'PROYECCIÓN GENERACIÓN'!I119</f>
        <v>2.4762660000000003</v>
      </c>
      <c r="J119" s="263">
        <f>+J$3*'PROYECCIÓN GENERACIÓN'!J119</f>
        <v>4.1453950000000006</v>
      </c>
      <c r="K119" s="263">
        <f>+K$3*'PROYECCIÓN GENERACIÓN'!K119</f>
        <v>5.8295230000000009</v>
      </c>
      <c r="L119" s="263">
        <f>+L$3*'PROYECCIÓN GENERACIÓN'!L119</f>
        <v>5.8551220000000006</v>
      </c>
      <c r="M119" s="263">
        <f>+M$3*'PROYECCIÓN GENERACIÓN'!M119</f>
        <v>5.8810920000000007</v>
      </c>
      <c r="N119" s="263">
        <f>+N$3*'PROYECCIÓN GENERACIÓN'!N119</f>
        <v>5.9070619999999998</v>
      </c>
      <c r="O119" s="263">
        <f>+O$3*'PROYECCIÓN GENERACIÓN'!O119</f>
        <v>5.9334030000000002</v>
      </c>
      <c r="P119" s="263">
        <f>+P$3*'PROYECCIÓN GENERACIÓN'!P119</f>
        <v>5.9597439999999997</v>
      </c>
      <c r="Q119" s="263">
        <f>+Q$3*'PROYECCIÓN GENERACIÓN'!Q119</f>
        <v>5.9860850000000001</v>
      </c>
      <c r="R119" s="263">
        <f>+R$3*'PROYECCIÓN GENERACIÓN'!R119</f>
        <v>6.0124260000000005</v>
      </c>
      <c r="S119" s="263">
        <f>+S$3*'PROYECCIÓN GENERACIÓN'!S119</f>
        <v>6.0391379999999995</v>
      </c>
      <c r="T119" s="263">
        <f>+T$3*'PROYECCIÓN GENERACIÓN'!T119</f>
        <v>6.0658499999999993</v>
      </c>
      <c r="U119" s="263">
        <f>+U$3*'PROYECCIÓN GENERACIÓN'!U119</f>
        <v>6.0929330000000004</v>
      </c>
      <c r="V119" s="263">
        <f>+V$3*'PROYECCIÓN GENERACIÓN'!V119</f>
        <v>6.1196449999999993</v>
      </c>
      <c r="W119" s="263">
        <f>+W$3*'PROYECCIÓN GENERACIÓN'!W119</f>
        <v>6.1470989999999999</v>
      </c>
      <c r="X119" s="263">
        <f>+X$3*'PROYECCIÓN GENERACIÓN'!X119</f>
        <v>6.1741820000000001</v>
      </c>
      <c r="Y119" s="263">
        <f>+Y$3*'PROYECCIÓN GENERACIÓN'!Y119</f>
        <v>6.2016359999999997</v>
      </c>
      <c r="Z119" s="263">
        <f>+Z$3*'PROYECCIÓN GENERACIÓN'!Z119</f>
        <v>6.2290900000000011</v>
      </c>
      <c r="AA119" s="565">
        <f t="shared" si="2"/>
        <v>5.2267115999999998</v>
      </c>
    </row>
    <row r="120" spans="1:27" ht="24.95" customHeight="1">
      <c r="A120" s="351" t="str">
        <f>+Pobl_adoptada!A120</f>
        <v>Saladillo</v>
      </c>
      <c r="B120" s="70">
        <f>+Pobl_adoptada!B120</f>
        <v>116</v>
      </c>
      <c r="C120" s="353" t="str">
        <f>+Pobl_adoptada!C120</f>
        <v>Saladillo</v>
      </c>
      <c r="D120" s="261"/>
      <c r="E120" s="278"/>
      <c r="F120" s="263"/>
      <c r="G120" s="263">
        <f>+G$3*'PROYECCIÓN GENERACIÓN'!G120</f>
        <v>0.35288459999999999</v>
      </c>
      <c r="H120" s="263">
        <f>+H$3*'PROYECCIÓN GENERACIÓN'!H120</f>
        <v>2.8573360000000001</v>
      </c>
      <c r="I120" s="263">
        <f>+I$3*'PROYECCIÓN GENERACIÓN'!I120</f>
        <v>5.4215819999999999</v>
      </c>
      <c r="J120" s="263">
        <f>+J$3*'PROYECCIÓN GENERACIÓN'!J120</f>
        <v>9.1430300000000013</v>
      </c>
      <c r="K120" s="263">
        <f>+K$3*'PROYECCIÓN GENERACIÓN'!K120</f>
        <v>12.950125999999999</v>
      </c>
      <c r="L120" s="263">
        <f>+L$3*'PROYECCIÓN GENERACIÓN'!L120</f>
        <v>13.100009999999997</v>
      </c>
      <c r="M120" s="263">
        <f>+M$3*'PROYECCIÓN GENERACIÓN'!M120</f>
        <v>13.249894000000001</v>
      </c>
      <c r="N120" s="263">
        <f>+N$3*'PROYECCIÓN GENERACIÓN'!N120</f>
        <v>13.399778</v>
      </c>
      <c r="O120" s="263">
        <f>+O$3*'PROYECCIÓN GENERACIÓN'!O120</f>
        <v>13.549662</v>
      </c>
      <c r="P120" s="263">
        <f>+P$3*'PROYECCIÓN GENERACIÓN'!P120</f>
        <v>13.699546000000002</v>
      </c>
      <c r="Q120" s="263">
        <f>+Q$3*'PROYECCIÓN GENERACIÓN'!Q120</f>
        <v>13.84943</v>
      </c>
      <c r="R120" s="263">
        <f>+R$3*'PROYECCIÓN GENERACIÓN'!R120</f>
        <v>13.999314</v>
      </c>
      <c r="S120" s="263">
        <f>+S$3*'PROYECCIÓN GENERACIÓN'!S120</f>
        <v>14.149197999999998</v>
      </c>
      <c r="T120" s="263">
        <f>+T$3*'PROYECCIÓN GENERACIÓN'!T120</f>
        <v>14.299081999999999</v>
      </c>
      <c r="U120" s="263">
        <f>+U$3*'PROYECCIÓN GENERACIÓN'!U120</f>
        <v>14.448966</v>
      </c>
      <c r="V120" s="263">
        <f>+V$3*'PROYECCIÓN GENERACIÓN'!V120</f>
        <v>14.598849999999999</v>
      </c>
      <c r="W120" s="263">
        <f>+W$3*'PROYECCIÓN GENERACIÓN'!W120</f>
        <v>14.748734000000002</v>
      </c>
      <c r="X120" s="263">
        <f>+X$3*'PROYECCIÓN GENERACIÓN'!X120</f>
        <v>14.898618000000001</v>
      </c>
      <c r="Y120" s="263">
        <f>+Y$3*'PROYECCIÓN GENERACIÓN'!Y120</f>
        <v>15.048501999999999</v>
      </c>
      <c r="Z120" s="263">
        <f>+Z$3*'PROYECCIÓN GENERACIÓN'!Z120</f>
        <v>15.198385999999999</v>
      </c>
      <c r="AA120" s="565">
        <f t="shared" si="2"/>
        <v>12.148146430000001</v>
      </c>
    </row>
    <row r="121" spans="1:27" ht="24.95" customHeight="1">
      <c r="A121" s="351" t="str">
        <f>+Pobl_adoptada!A121</f>
        <v>Salliqueló</v>
      </c>
      <c r="B121" s="70">
        <f>+Pobl_adoptada!B121</f>
        <v>117</v>
      </c>
      <c r="C121" s="353" t="str">
        <f>+Pobl_adoptada!C121</f>
        <v>Salliqueló</v>
      </c>
      <c r="D121" s="261"/>
      <c r="E121" s="278"/>
      <c r="F121" s="263"/>
      <c r="G121" s="263">
        <f>+G$3*'PROYECCIÓN GENERACIÓN'!G121</f>
        <v>7.5486000000000011E-2</v>
      </c>
      <c r="H121" s="263">
        <f>+H$3*'PROYECCIÓN GENERACIÓN'!H121</f>
        <v>0.60631679999999999</v>
      </c>
      <c r="I121" s="263">
        <f>+I$3*'PROYECCIÓN GENERACIÓN'!I121</f>
        <v>1.1412599999999999</v>
      </c>
      <c r="J121" s="263">
        <f>+J$3*'PROYECCIÓN GENERACIÓN'!J121</f>
        <v>1.9096900000000001</v>
      </c>
      <c r="K121" s="263">
        <f>+K$3*'PROYECCIÓN GENERACIÓN'!K121</f>
        <v>2.6838700000000002</v>
      </c>
      <c r="L121" s="263">
        <f>+L$3*'PROYECCIÓN GENERACIÓN'!L121</f>
        <v>2.694496</v>
      </c>
      <c r="M121" s="263">
        <f>+M$3*'PROYECCIÓN GENERACIÓN'!M121</f>
        <v>2.7051219999999998</v>
      </c>
      <c r="N121" s="263">
        <f>+N$3*'PROYECCIÓN GENERACIÓN'!N121</f>
        <v>2.7154259999999999</v>
      </c>
      <c r="O121" s="263">
        <f>+O$3*'PROYECCIÓN GENERACIÓN'!O121</f>
        <v>2.7260520000000001</v>
      </c>
      <c r="P121" s="263">
        <f>+P$3*'PROYECCIÓN GENERACIÓN'!P121</f>
        <v>2.7363560000000002</v>
      </c>
      <c r="Q121" s="263">
        <f>+Q$3*'PROYECCIÓN GENERACIÓN'!Q121</f>
        <v>2.746982</v>
      </c>
      <c r="R121" s="263">
        <f>+R$3*'PROYECCIÓN GENERACIÓN'!R121</f>
        <v>2.7572859999999997</v>
      </c>
      <c r="S121" s="263">
        <f>+S$3*'PROYECCIÓN GENERACIÓN'!S121</f>
        <v>2.7679119999999999</v>
      </c>
      <c r="T121" s="263">
        <f>+T$3*'PROYECCIÓN GENERACIÓN'!T121</f>
        <v>2.778216</v>
      </c>
      <c r="U121" s="263">
        <f>+U$3*'PROYECCIÓN GENERACIÓN'!U121</f>
        <v>2.7888420000000003</v>
      </c>
      <c r="V121" s="263">
        <f>+V$3*'PROYECCIÓN GENERACIÓN'!V121</f>
        <v>2.7991459999999999</v>
      </c>
      <c r="W121" s="263">
        <f>+W$3*'PROYECCIÓN GENERACIÓN'!W121</f>
        <v>2.8097719999999997</v>
      </c>
      <c r="X121" s="263">
        <f>+X$3*'PROYECCIÓN GENERACIÓN'!X121</f>
        <v>2.8200760000000002</v>
      </c>
      <c r="Y121" s="263">
        <f>+Y$3*'PROYECCIÓN GENERACIÓN'!Y121</f>
        <v>2.8307020000000001</v>
      </c>
      <c r="Z121" s="263">
        <f>+Z$3*'PROYECCIÓN GENERACIÓN'!Z121</f>
        <v>2.8410059999999997</v>
      </c>
      <c r="AA121" s="565">
        <f t="shared" si="2"/>
        <v>2.3967007400000004</v>
      </c>
    </row>
    <row r="122" spans="1:27" ht="24.95" customHeight="1">
      <c r="A122" s="351" t="str">
        <f>+Pobl_adoptada!A122</f>
        <v>Salto</v>
      </c>
      <c r="B122" s="70">
        <f>+Pobl_adoptada!B122</f>
        <v>118</v>
      </c>
      <c r="C122" s="353" t="str">
        <f>+Pobl_adoptada!C122</f>
        <v>Salto</v>
      </c>
      <c r="D122" s="261"/>
      <c r="E122" s="278"/>
      <c r="F122" s="263"/>
      <c r="G122" s="263">
        <f>+G$3*'PROYECCIÓN GENERACIÓN'!G122</f>
        <v>0.36619819999999997</v>
      </c>
      <c r="H122" s="263">
        <f>+H$3*'PROYECCIÓN GENERACIÓN'!H122</f>
        <v>2.9719008000000002</v>
      </c>
      <c r="I122" s="263">
        <f>+I$3*'PROYECCIÓN GENERACIÓN'!I122</f>
        <v>5.6527680000000009</v>
      </c>
      <c r="J122" s="263">
        <f>+J$3*'PROYECCIÓN GENERACIÓN'!J122</f>
        <v>9.5574899999999996</v>
      </c>
      <c r="K122" s="263">
        <f>+K$3*'PROYECCIÓN GENERACIÓN'!K122</f>
        <v>13.573406000000002</v>
      </c>
      <c r="L122" s="263">
        <f>+L$3*'PROYECCIÓN GENERACIÓN'!L122</f>
        <v>13.769665</v>
      </c>
      <c r="M122" s="263">
        <f>+M$3*'PROYECCIÓN GENERACIÓN'!M122</f>
        <v>13.96815</v>
      </c>
      <c r="N122" s="263">
        <f>+N$3*'PROYECCIÓN GENERACIÓN'!N122</f>
        <v>14.169973999999998</v>
      </c>
      <c r="O122" s="263">
        <f>+O$3*'PROYECCIÓN GENERACIÓN'!O122</f>
        <v>14.374765999999999</v>
      </c>
      <c r="P122" s="263">
        <f>+P$3*'PROYECCIÓN GENERACIÓN'!P122</f>
        <v>14.582154999999998</v>
      </c>
      <c r="Q122" s="263">
        <f>+Q$3*'PROYECCIÓN GENERACIÓN'!Q122</f>
        <v>14.792883000000002</v>
      </c>
      <c r="R122" s="263">
        <f>+R$3*'PROYECCIÓN GENERACIÓN'!R122</f>
        <v>15.006208000000001</v>
      </c>
      <c r="S122" s="263">
        <f>+S$3*'PROYECCIÓN GENERACIÓN'!S122</f>
        <v>15.222872000000001</v>
      </c>
      <c r="T122" s="263">
        <f>+T$3*'PROYECCIÓN GENERACIÓN'!T122</f>
        <v>15.442874999999999</v>
      </c>
      <c r="U122" s="263">
        <f>+U$3*'PROYECCIÓN GENERACIÓN'!U122</f>
        <v>15.665846000000002</v>
      </c>
      <c r="V122" s="263">
        <f>+V$3*'PROYECCIÓN GENERACIÓN'!V122</f>
        <v>15.892156000000002</v>
      </c>
      <c r="W122" s="263">
        <f>+W$3*'PROYECCIÓN GENERACIÓN'!W122</f>
        <v>16.121434000000001</v>
      </c>
      <c r="X122" s="263">
        <f>+X$3*'PROYECCIÓN GENERACIÓN'!X122</f>
        <v>16.354422000000003</v>
      </c>
      <c r="Y122" s="263">
        <f>+Y$3*'PROYECCIÓN GENERACIÓN'!Y122</f>
        <v>16.590377999999998</v>
      </c>
      <c r="Z122" s="263">
        <f>+Z$3*'PROYECCIÓN GENERACIÓN'!Z122</f>
        <v>16.830044000000001</v>
      </c>
      <c r="AA122" s="565">
        <f t="shared" si="2"/>
        <v>13.04527955</v>
      </c>
    </row>
    <row r="123" spans="1:27" ht="24.95" customHeight="1">
      <c r="A123" s="351" t="str">
        <f>+Pobl_adoptada!A123</f>
        <v>San Andrés de Giles</v>
      </c>
      <c r="B123" s="70">
        <f>+Pobl_adoptada!B123</f>
        <v>119</v>
      </c>
      <c r="C123" s="353" t="str">
        <f>+Pobl_adoptada!C123</f>
        <v>San Andrés de Giles</v>
      </c>
      <c r="D123" s="261"/>
      <c r="E123" s="278"/>
      <c r="F123" s="263"/>
      <c r="G123" s="263">
        <f>+G$3*'PROYECCIÓN GENERACIÓN'!G123</f>
        <v>0.215975</v>
      </c>
      <c r="H123" s="263">
        <f>+H$3*'PROYECCIÓN GENERACIÓN'!H123</f>
        <v>1.7495936000000001</v>
      </c>
      <c r="I123" s="263">
        <f>+I$3*'PROYECCIÓN GENERACIÓN'!I123</f>
        <v>3.32151</v>
      </c>
      <c r="J123" s="263">
        <f>+J$3*'PROYECCIÓN GENERACIÓN'!J123</f>
        <v>5.6042200000000006</v>
      </c>
      <c r="K123" s="263">
        <f>+K$3*'PROYECCIÓN GENERACIÓN'!K123</f>
        <v>7.9416260000000003</v>
      </c>
      <c r="L123" s="263">
        <f>+L$3*'PROYECCIÓN GENERACIÓN'!L123</f>
        <v>8.0373439999999992</v>
      </c>
      <c r="M123" s="263">
        <f>+M$3*'PROYECCIÓN GENERACIÓN'!M123</f>
        <v>8.1326909999999994</v>
      </c>
      <c r="N123" s="263">
        <f>+N$3*'PROYECCIÓN GENERACIÓN'!N123</f>
        <v>8.2284089999999992</v>
      </c>
      <c r="O123" s="263">
        <f>+O$3*'PROYECCIÓN GENERACIÓN'!O123</f>
        <v>8.3241269999999989</v>
      </c>
      <c r="P123" s="263">
        <f>+P$3*'PROYECCIÓN GENERACIÓN'!P123</f>
        <v>8.4198449999999987</v>
      </c>
      <c r="Q123" s="263">
        <f>+Q$3*'PROYECCIÓN GENERACIÓN'!Q123</f>
        <v>8.5155629999999984</v>
      </c>
      <c r="R123" s="263">
        <f>+R$3*'PROYECCIÓN GENERACIÓN'!R123</f>
        <v>8.611281</v>
      </c>
      <c r="S123" s="263">
        <f>+S$3*'PROYECCIÓN GENERACIÓN'!S123</f>
        <v>8.7066280000000003</v>
      </c>
      <c r="T123" s="263">
        <f>+T$3*'PROYECCIÓN GENERACIÓN'!T123</f>
        <v>8.802346</v>
      </c>
      <c r="U123" s="263">
        <f>+U$3*'PROYECCIÓN GENERACIÓN'!U123</f>
        <v>8.8980639999999998</v>
      </c>
      <c r="V123" s="263">
        <f>+V$3*'PROYECCIÓN GENERACIÓN'!V123</f>
        <v>8.9937819999999995</v>
      </c>
      <c r="W123" s="263">
        <f>+W$3*'PROYECCIÓN GENERACIÓN'!W123</f>
        <v>9.0894999999999992</v>
      </c>
      <c r="X123" s="263">
        <f>+X$3*'PROYECCIÓN GENERACIÓN'!X123</f>
        <v>9.185217999999999</v>
      </c>
      <c r="Y123" s="263">
        <f>+Y$3*'PROYECCIÓN GENERACIÓN'!Y123</f>
        <v>9.2805649999999993</v>
      </c>
      <c r="Z123" s="263">
        <f>+Z$3*'PROYECCIÓN GENERACIÓN'!Z123</f>
        <v>9.376282999999999</v>
      </c>
      <c r="AA123" s="565">
        <f t="shared" si="2"/>
        <v>7.47172853</v>
      </c>
    </row>
    <row r="124" spans="1:27" ht="24.95" customHeight="1">
      <c r="A124" s="351" t="str">
        <f>+Pobl_adoptada!A124</f>
        <v>San Antonio de Areco</v>
      </c>
      <c r="B124" s="70">
        <f>+Pobl_adoptada!B124</f>
        <v>120</v>
      </c>
      <c r="C124" s="353" t="str">
        <f>+Pobl_adoptada!C124</f>
        <v>San Antonio de Areco</v>
      </c>
      <c r="D124" s="261"/>
      <c r="E124" s="278"/>
      <c r="F124" s="263"/>
      <c r="G124" s="263">
        <f>+G$3*'PROYECCIÓN GENERACIÓN'!G124</f>
        <v>0.24883500000000003</v>
      </c>
      <c r="H124" s="263">
        <f>+H$3*'PROYECCIÓN GENERACIÓN'!H124</f>
        <v>2.0101840000000002</v>
      </c>
      <c r="I124" s="263">
        <f>+I$3*'PROYECCIÓN GENERACIÓN'!I124</f>
        <v>3.8058239999999999</v>
      </c>
      <c r="J124" s="263">
        <f>+J$3*'PROYECCIÓN GENERACIÓN'!J124</f>
        <v>6.4039900000000003</v>
      </c>
      <c r="K124" s="263">
        <f>+K$3*'PROYECCIÓN GENERACIÓN'!K124</f>
        <v>9.0509159999999991</v>
      </c>
      <c r="L124" s="263">
        <f>+L$3*'PROYECCIÓN GENERACIÓN'!L124</f>
        <v>9.1362459999999999</v>
      </c>
      <c r="M124" s="263">
        <f>+M$3*'PROYECCIÓN GENERACIÓN'!M124</f>
        <v>9.2219470000000001</v>
      </c>
      <c r="N124" s="263">
        <f>+N$3*'PROYECCIÓN GENERACIÓN'!N124</f>
        <v>9.3072769999999991</v>
      </c>
      <c r="O124" s="263">
        <f>+O$3*'PROYECCIÓN GENERACIÓN'!O124</f>
        <v>9.3926069999999999</v>
      </c>
      <c r="P124" s="263">
        <f>+P$3*'PROYECCIÓN GENERACIÓN'!P124</f>
        <v>9.4779369999999989</v>
      </c>
      <c r="Q124" s="263">
        <f>+Q$3*'PROYECCIÓN GENERACIÓN'!Q124</f>
        <v>9.5632669999999997</v>
      </c>
      <c r="R124" s="263">
        <f>+R$3*'PROYECCIÓN GENERACIÓN'!R124</f>
        <v>9.6489680000000018</v>
      </c>
      <c r="S124" s="263">
        <f>+S$3*'PROYECCIÓN GENERACIÓN'!S124</f>
        <v>9.734297999999999</v>
      </c>
      <c r="T124" s="263">
        <f>+T$3*'PROYECCIÓN GENERACIÓN'!T124</f>
        <v>9.8196279999999998</v>
      </c>
      <c r="U124" s="263">
        <f>+U$3*'PROYECCIÓN GENERACIÓN'!U124</f>
        <v>9.9049580000000006</v>
      </c>
      <c r="V124" s="263">
        <f>+V$3*'PROYECCIÓN GENERACIÓN'!V124</f>
        <v>9.9906589999999991</v>
      </c>
      <c r="W124" s="263">
        <f>+W$3*'PROYECCIÓN GENERACIÓN'!W124</f>
        <v>10.075989</v>
      </c>
      <c r="X124" s="263">
        <f>+X$3*'PROYECCIÓN GENERACIÓN'!X124</f>
        <v>10.161319000000001</v>
      </c>
      <c r="Y124" s="263">
        <f>+Y$3*'PROYECCIÓN GENERACIÓN'!Y124</f>
        <v>10.246649</v>
      </c>
      <c r="Z124" s="263">
        <f>+Z$3*'PROYECCIÓN GENERACIÓN'!Z124</f>
        <v>10.331979</v>
      </c>
      <c r="AA124" s="565">
        <f t="shared" si="2"/>
        <v>8.3766738499999978</v>
      </c>
    </row>
    <row r="125" spans="1:27" ht="24.95" customHeight="1">
      <c r="A125" s="351" t="str">
        <f>+Pobl_adoptada!A125</f>
        <v>San Cayetano</v>
      </c>
      <c r="B125" s="70">
        <f>+Pobl_adoptada!B125</f>
        <v>121</v>
      </c>
      <c r="C125" s="353" t="str">
        <f>+Pobl_adoptada!C125</f>
        <v>San Cayetano</v>
      </c>
      <c r="D125" s="261"/>
      <c r="E125" s="278"/>
      <c r="F125" s="263"/>
      <c r="G125" s="263">
        <f>+G$3*'PROYECCIÓN GENERACIÓN'!G125</f>
        <v>7.8650800000000007E-2</v>
      </c>
      <c r="H125" s="263">
        <f>+H$3*'PROYECCIÓN GENERACIÓN'!H125</f>
        <v>0.63509440000000006</v>
      </c>
      <c r="I125" s="263">
        <f>+I$3*'PROYECCIÓN GENERACIÓN'!I125</f>
        <v>1.202118</v>
      </c>
      <c r="J125" s="263">
        <f>+J$3*'PROYECCIÓN GENERACIÓN'!J125</f>
        <v>2.0223900000000001</v>
      </c>
      <c r="K125" s="263">
        <f>+K$3*'PROYECCIÓN GENERACIÓN'!K125</f>
        <v>2.8580719999999999</v>
      </c>
      <c r="L125" s="263">
        <f>+L$3*'PROYECCIÓN GENERACIÓN'!L125</f>
        <v>2.8851199999999997</v>
      </c>
      <c r="M125" s="263">
        <f>+M$3*'PROYECCIÓN GENERACIÓN'!M125</f>
        <v>2.9124899999999996</v>
      </c>
      <c r="N125" s="263">
        <f>+N$3*'PROYECCIÓN GENERACIÓN'!N125</f>
        <v>2.9398599999999995</v>
      </c>
      <c r="O125" s="263">
        <f>+O$3*'PROYECCIÓN GENERACIÓN'!O125</f>
        <v>2.9678740000000006</v>
      </c>
      <c r="P125" s="263">
        <f>+P$3*'PROYECCIÓN GENERACIÓN'!P125</f>
        <v>2.9958879999999999</v>
      </c>
      <c r="Q125" s="263">
        <f>+Q$3*'PROYECCIÓN GENERACIÓN'!Q125</f>
        <v>3.0242240000000002</v>
      </c>
      <c r="R125" s="263">
        <f>+R$3*'PROYECCIÓN GENERACIÓN'!R125</f>
        <v>3.0528820000000003</v>
      </c>
      <c r="S125" s="263">
        <f>+S$3*'PROYECCIÓN GENERACIÓN'!S125</f>
        <v>3.0815399999999995</v>
      </c>
      <c r="T125" s="263">
        <f>+T$3*'PROYECCIÓN GENERACIÓN'!T125</f>
        <v>3.1108419999999999</v>
      </c>
      <c r="U125" s="263">
        <f>+U$3*'PROYECCIÓN GENERACIÓN'!U125</f>
        <v>3.1401439999999998</v>
      </c>
      <c r="V125" s="263">
        <f>+V$3*'PROYECCIÓN GENERACIÓN'!V125</f>
        <v>3.1697679999999995</v>
      </c>
      <c r="W125" s="263">
        <f>+W$3*'PROYECCIÓN GENERACIÓN'!W125</f>
        <v>3.1997140000000002</v>
      </c>
      <c r="X125" s="263">
        <f>+X$3*'PROYECCIÓN GENERACIÓN'!X125</f>
        <v>3.2299819999999997</v>
      </c>
      <c r="Y125" s="263">
        <f>+Y$3*'PROYECCIÓN GENERACIÓN'!Y125</f>
        <v>3.2605719999999998</v>
      </c>
      <c r="Z125" s="263">
        <f>+Z$3*'PROYECCIÓN GENERACIÓN'!Z125</f>
        <v>3.2914839999999996</v>
      </c>
      <c r="AA125" s="565">
        <f t="shared" si="2"/>
        <v>2.6529354599999997</v>
      </c>
    </row>
    <row r="126" spans="1:27" ht="24.95" customHeight="1">
      <c r="A126" s="351" t="str">
        <f>+Pobl_adoptada!A126</f>
        <v>San Nicolás</v>
      </c>
      <c r="B126" s="70">
        <f>+Pobl_adoptada!B126</f>
        <v>122</v>
      </c>
      <c r="C126" s="353" t="str">
        <f>+Pobl_adoptada!C126</f>
        <v>San Nicolás de los Arroyos</v>
      </c>
      <c r="D126" s="261"/>
      <c r="E126" s="278"/>
      <c r="F126" s="263"/>
      <c r="G126" s="263">
        <f>+G$3*'PROYECCIÓN GENERACIÓN'!G126</f>
        <v>1.6196273999999999</v>
      </c>
      <c r="H126" s="263">
        <f>+H$3*'PROYECCIÓN GENERACIÓN'!H126</f>
        <v>13.103980800000002</v>
      </c>
      <c r="I126" s="263">
        <f>+I$3*'PROYECCIÓN GENERACIÓN'!I126</f>
        <v>24.849954000000004</v>
      </c>
      <c r="J126" s="263">
        <f>+J$3*'PROYECCIÓN GENERACIÓN'!J126</f>
        <v>41.891145000000002</v>
      </c>
      <c r="K126" s="263">
        <f>+K$3*'PROYECCIÓN GENERACIÓN'!K126</f>
        <v>59.322332999999993</v>
      </c>
      <c r="L126" s="263">
        <f>+L$3*'PROYECCIÓN GENERACIÓN'!L126</f>
        <v>60.008486999999995</v>
      </c>
      <c r="M126" s="263">
        <f>+M$3*'PROYECCIÓN GENERACIÓN'!M126</f>
        <v>60.705708000000001</v>
      </c>
      <c r="N126" s="263">
        <f>+N$3*'PROYECCIÓN GENERACIÓN'!N126</f>
        <v>61.414352999999998</v>
      </c>
      <c r="O126" s="263">
        <f>+O$3*'PROYECCIÓN GENERACIÓN'!O126</f>
        <v>62.134422000000001</v>
      </c>
      <c r="P126" s="263">
        <f>+P$3*'PROYECCIÓN GENERACIÓN'!P126</f>
        <v>62.866272000000002</v>
      </c>
      <c r="Q126" s="263">
        <f>+Q$3*'PROYECCIÓN GENERACIÓN'!Q126</f>
        <v>63.609902999999996</v>
      </c>
      <c r="R126" s="263">
        <f>+R$3*'PROYECCIÓN GENERACIÓN'!R126</f>
        <v>64.366028999999997</v>
      </c>
      <c r="S126" s="263">
        <f>+S$3*'PROYECCIÓN GENERACIÓN'!S126</f>
        <v>65.134293</v>
      </c>
      <c r="T126" s="263">
        <f>+T$3*'PROYECCIÓN GENERACIÓN'!T126</f>
        <v>65.915052000000003</v>
      </c>
      <c r="U126" s="263">
        <f>+U$3*'PROYECCIÓN GENERACIÓN'!U126</f>
        <v>66.708305999999993</v>
      </c>
      <c r="V126" s="263">
        <f>+V$3*'PROYECCIÓN GENERACIÓN'!V126</f>
        <v>67.515125999999995</v>
      </c>
      <c r="W126" s="263">
        <f>+W$3*'PROYECCIÓN GENERACIÓN'!W126</f>
        <v>68.334440999999998</v>
      </c>
      <c r="X126" s="263">
        <f>+X$3*'PROYECCIÓN GENERACIÓN'!X126</f>
        <v>69.167678999999993</v>
      </c>
      <c r="Y126" s="263">
        <f>+Y$3*'PROYECCIÓN GENERACIÓN'!Y126</f>
        <v>70.014126000000005</v>
      </c>
      <c r="Z126" s="263">
        <f>+Z$3*'PROYECCIÓN GENERACIÓN'!Z126</f>
        <v>70.874495999999994</v>
      </c>
      <c r="AA126" s="565">
        <f t="shared" si="2"/>
        <v>55.977786659999978</v>
      </c>
    </row>
    <row r="127" spans="1:27" ht="24.95" customHeight="1">
      <c r="A127" s="351" t="str">
        <f>+Pobl_adoptada!A127</f>
        <v>San Pedro</v>
      </c>
      <c r="B127" s="70">
        <f>+Pobl_adoptada!B127</f>
        <v>123</v>
      </c>
      <c r="C127" s="353" t="str">
        <f>+Pobl_adoptada!C127</f>
        <v>San Pedro</v>
      </c>
      <c r="D127" s="261"/>
      <c r="E127" s="278"/>
      <c r="F127" s="263"/>
      <c r="G127" s="263">
        <f>+G$3*'PROYECCIÓN GENERACIÓN'!G127</f>
        <v>0.59746500000000002</v>
      </c>
      <c r="H127" s="263">
        <f>+H$3*'PROYECCIÓN GENERACIÓN'!H127</f>
        <v>4.8430416000000003</v>
      </c>
      <c r="I127" s="263">
        <f>+I$3*'PROYECCIÓN GENERACIÓN'!I127</f>
        <v>9.2011140000000005</v>
      </c>
      <c r="J127" s="263">
        <f>+J$3*'PROYECCIÓN GENERACIÓN'!J127</f>
        <v>15.538425000000002</v>
      </c>
      <c r="K127" s="263">
        <f>+K$3*'PROYECCIÓN GENERACIÓN'!K127</f>
        <v>22.041893999999999</v>
      </c>
      <c r="L127" s="263">
        <f>+L$3*'PROYECCIÓN GENERACIÓN'!L127</f>
        <v>22.333920000000003</v>
      </c>
      <c r="M127" s="263">
        <f>+M$3*'PROYECCIÓN GENERACIÓN'!M127</f>
        <v>22.629872999999996</v>
      </c>
      <c r="N127" s="263">
        <f>+N$3*'PROYECCIÓN GENERACIÓN'!N127</f>
        <v>22.929753000000002</v>
      </c>
      <c r="O127" s="263">
        <f>+O$3*'PROYECCIÓN GENERACIÓN'!O127</f>
        <v>23.233560000000001</v>
      </c>
      <c r="P127" s="263">
        <f>+P$3*'PROYECCIÓN GENERACIÓN'!P127</f>
        <v>23.541294000000001</v>
      </c>
      <c r="Q127" s="263">
        <f>+Q$3*'PROYECCIÓN GENERACIÓN'!Q127</f>
        <v>23.853311999999999</v>
      </c>
      <c r="R127" s="263">
        <f>+R$3*'PROYECCIÓN GENERACIÓN'!R127</f>
        <v>24.169256999999998</v>
      </c>
      <c r="S127" s="263">
        <f>+S$3*'PROYECCIÓN GENERACIÓN'!S127</f>
        <v>24.489485999999999</v>
      </c>
      <c r="T127" s="263">
        <f>+T$3*'PROYECCIÓN GENERACIÓN'!T127</f>
        <v>24.813998999999995</v>
      </c>
      <c r="U127" s="263">
        <f>+U$3*'PROYECCIÓN GENERACIÓN'!U127</f>
        <v>25.142795999999997</v>
      </c>
      <c r="V127" s="263">
        <f>+V$3*'PROYECCIÓN GENERACIÓN'!V127</f>
        <v>25.475876999999997</v>
      </c>
      <c r="W127" s="263">
        <f>+W$3*'PROYECCIÓN GENERACIÓN'!W127</f>
        <v>25.813241999999995</v>
      </c>
      <c r="X127" s="263">
        <f>+X$3*'PROYECCIÓN GENERACIÓN'!X127</f>
        <v>26.155248</v>
      </c>
      <c r="Y127" s="263">
        <f>+Y$3*'PROYECCIÓN GENERACIÓN'!Y127</f>
        <v>26.501895000000001</v>
      </c>
      <c r="Z127" s="263">
        <f>+Z$3*'PROYECCIÓN GENERACIÓN'!Z127</f>
        <v>26.853183000000001</v>
      </c>
      <c r="AA127" s="565">
        <f t="shared" si="2"/>
        <v>21.007931729999992</v>
      </c>
    </row>
    <row r="128" spans="1:27" ht="24.95" customHeight="1">
      <c r="A128" s="351" t="str">
        <f>+Pobl_adoptada!A128</f>
        <v>San Vicente</v>
      </c>
      <c r="B128" s="70">
        <f>+Pobl_adoptada!B128</f>
        <v>124</v>
      </c>
      <c r="C128" s="353" t="str">
        <f>+Pobl_adoptada!C128</f>
        <v>San Vicente</v>
      </c>
      <c r="D128" s="261"/>
      <c r="E128" s="278"/>
      <c r="F128" s="263"/>
      <c r="G128" s="263">
        <f>+G$3*'PROYECCIÓN GENERACIÓN'!G128</f>
        <v>1.131537</v>
      </c>
      <c r="H128" s="263">
        <f>+H$3*'PROYECCIÓN GENERACIÓN'!H128</f>
        <v>9.3602544000000005</v>
      </c>
      <c r="I128" s="263">
        <f>+I$3*'PROYECCIÓN GENERACIÓN'!I128</f>
        <v>18.137232000000001</v>
      </c>
      <c r="J128" s="263">
        <f>+J$3*'PROYECCIÓN GENERACIÓN'!J128</f>
        <v>31.222709999999999</v>
      </c>
      <c r="K128" s="263">
        <f>+K$3*'PROYECCIÓN GENERACIÓN'!K128</f>
        <v>45.126228000000005</v>
      </c>
      <c r="L128" s="263">
        <f>+L$3*'PROYECCIÓN GENERACIÓN'!L128</f>
        <v>46.563510000000001</v>
      </c>
      <c r="M128" s="263">
        <f>+M$3*'PROYECCIÓN GENERACIÓN'!M128</f>
        <v>48.024354000000002</v>
      </c>
      <c r="N128" s="263">
        <f>+N$3*'PROYECCIÓN GENERACIÓN'!N128</f>
        <v>49.509116999999996</v>
      </c>
      <c r="O128" s="263">
        <f>+O$3*'PROYECCIÓN GENERACIÓN'!O128</f>
        <v>51.017798999999997</v>
      </c>
      <c r="P128" s="263">
        <f>+P$3*'PROYECCIÓN GENERACIÓN'!P128</f>
        <v>52.551470999999999</v>
      </c>
      <c r="Q128" s="263">
        <f>+Q$3*'PROYECCIÓN GENERACIÓN'!Q128</f>
        <v>54.109776000000004</v>
      </c>
      <c r="R128" s="263">
        <f>+R$3*'PROYECCIÓN GENERACIÓN'!R128</f>
        <v>55.693784999999998</v>
      </c>
      <c r="S128" s="263">
        <f>+S$3*'PROYECCIÓN GENERACIÓN'!S128</f>
        <v>57.30349799999999</v>
      </c>
      <c r="T128" s="263">
        <f>+T$3*'PROYECCIÓN GENERACIÓN'!T128</f>
        <v>58.939628999999996</v>
      </c>
      <c r="U128" s="263">
        <f>+U$3*'PROYECCIÓN GENERACIÓN'!U128</f>
        <v>60.602178000000002</v>
      </c>
      <c r="V128" s="263">
        <f>+V$3*'PROYECCIÓN GENERACIÓN'!V128</f>
        <v>62.291858999999988</v>
      </c>
      <c r="W128" s="263">
        <f>+W$3*'PROYECCIÓN GENERACIÓN'!W128</f>
        <v>64.009385999999992</v>
      </c>
      <c r="X128" s="263">
        <f>+X$3*'PROYECCIÓN GENERACIÓN'!X128</f>
        <v>65.754758999999993</v>
      </c>
      <c r="Y128" s="263">
        <f>+Y$3*'PROYECCIÓN GENERACIÓN'!Y128</f>
        <v>67.528691999999992</v>
      </c>
      <c r="Z128" s="263">
        <f>+Z$3*'PROYECCIÓN GENERACIÓN'!Z128</f>
        <v>69.331541999999985</v>
      </c>
      <c r="AA128" s="565">
        <f t="shared" si="2"/>
        <v>48.410465819999999</v>
      </c>
    </row>
    <row r="129" spans="1:27" ht="24.95" customHeight="1">
      <c r="A129" s="351" t="str">
        <f>+Pobl_adoptada!A129</f>
        <v>Suipacha</v>
      </c>
      <c r="B129" s="70">
        <f>+Pobl_adoptada!B129</f>
        <v>125</v>
      </c>
      <c r="C129" s="353" t="str">
        <f>+Pobl_adoptada!C129</f>
        <v>Suipacha</v>
      </c>
      <c r="D129" s="261"/>
      <c r="E129" s="278"/>
      <c r="F129" s="263"/>
      <c r="G129" s="263">
        <f>+G$3*'PROYECCIÓN GENERACIÓN'!G129</f>
        <v>9.6379199999999998E-2</v>
      </c>
      <c r="H129" s="263">
        <f>+H$3*'PROYECCIÓN GENERACIÓN'!H129</f>
        <v>0.78067520000000001</v>
      </c>
      <c r="I129" s="263">
        <f>+I$3*'PROYECCIÓN GENERACIÓN'!I129</f>
        <v>1.4818440000000002</v>
      </c>
      <c r="J129" s="263">
        <f>+J$3*'PROYECCIÓN GENERACIÓN'!J129</f>
        <v>2.49987</v>
      </c>
      <c r="K129" s="263">
        <f>+K$3*'PROYECCIÓN GENERACIÓN'!K129</f>
        <v>3.5419999999999994</v>
      </c>
      <c r="L129" s="263">
        <f>+L$3*'PROYECCIÓN GENERACIÓN'!L129</f>
        <v>3.5841819999999998</v>
      </c>
      <c r="M129" s="263">
        <f>+M$3*'PROYECCIÓN GENERACIÓN'!M129</f>
        <v>3.6263640000000001</v>
      </c>
      <c r="N129" s="263">
        <f>+N$3*'PROYECCIÓN GENERACIÓN'!N129</f>
        <v>3.6688679999999994</v>
      </c>
      <c r="O129" s="263">
        <f>+O$3*'PROYECCIÓN GENERACIÓN'!O129</f>
        <v>3.7110499999999997</v>
      </c>
      <c r="P129" s="263">
        <f>+P$3*'PROYECCIÓN GENERACIÓN'!P129</f>
        <v>3.7532320000000001</v>
      </c>
      <c r="Q129" s="263">
        <f>+Q$3*'PROYECCIÓN GENERACIÓN'!Q129</f>
        <v>3.7954140000000001</v>
      </c>
      <c r="R129" s="263">
        <f>+R$3*'PROYECCIÓN GENERACIÓN'!R129</f>
        <v>3.837596</v>
      </c>
      <c r="S129" s="263">
        <f>+S$3*'PROYECCIÓN GENERACIÓN'!S129</f>
        <v>3.8797779999999995</v>
      </c>
      <c r="T129" s="263">
        <f>+T$3*'PROYECCIÓN GENERACIÓN'!T129</f>
        <v>3.9219599999999999</v>
      </c>
      <c r="U129" s="263">
        <f>+U$3*'PROYECCIÓN GENERACIÓN'!U129</f>
        <v>3.9641420000000003</v>
      </c>
      <c r="V129" s="263">
        <f>+V$3*'PROYECCIÓN GENERACIÓN'!V129</f>
        <v>4.0066459999999999</v>
      </c>
      <c r="W129" s="263">
        <f>+W$3*'PROYECCIÓN GENERACIÓN'!W129</f>
        <v>4.0488279999999994</v>
      </c>
      <c r="X129" s="263">
        <f>+X$3*'PROYECCIÓN GENERACIÓN'!X129</f>
        <v>4.0910099999999998</v>
      </c>
      <c r="Y129" s="263">
        <f>+Y$3*'PROYECCIÓN GENERACIÓN'!Y129</f>
        <v>4.1331920000000002</v>
      </c>
      <c r="Z129" s="263">
        <f>+Z$3*'PROYECCIÓN GENERACIÓN'!Z129</f>
        <v>4.1753739999999997</v>
      </c>
      <c r="AA129" s="565">
        <f t="shared" si="2"/>
        <v>3.3299202200000004</v>
      </c>
    </row>
    <row r="130" spans="1:27" ht="24.95" customHeight="1">
      <c r="A130" s="351" t="str">
        <f>+Pobl_adoptada!A130</f>
        <v>Tandil</v>
      </c>
      <c r="B130" s="70">
        <f>+Pobl_adoptada!B130</f>
        <v>126</v>
      </c>
      <c r="C130" s="353" t="str">
        <f>+Pobl_adoptada!C130</f>
        <v>Tandil</v>
      </c>
      <c r="D130" s="261"/>
      <c r="E130" s="278"/>
      <c r="F130" s="263"/>
      <c r="G130" s="263">
        <f>+G$3*'PROYECCIÓN GENERACIÓN'!G130</f>
        <v>1.4751342000000003</v>
      </c>
      <c r="H130" s="263">
        <f>+H$3*'PROYECCIÓN GENERACIÓN'!H130</f>
        <v>11.958969600000001</v>
      </c>
      <c r="I130" s="263">
        <f>+I$3*'PROYECCIÓN GENERACIÓN'!I130</f>
        <v>22.723100999999996</v>
      </c>
      <c r="J130" s="263">
        <f>+J$3*'PROYECCIÓN GENERACIÓN'!J130</f>
        <v>38.378520000000002</v>
      </c>
      <c r="K130" s="263">
        <f>+K$3*'PROYECCIÓN GENERACIÓN'!K130</f>
        <v>54.448568999999999</v>
      </c>
      <c r="L130" s="263">
        <f>+L$3*'PROYECCIÓN GENERACIÓN'!L130</f>
        <v>55.177205999999998</v>
      </c>
      <c r="M130" s="263">
        <f>+M$3*'PROYECCIÓN GENERACIÓN'!M130</f>
        <v>55.91548199999999</v>
      </c>
      <c r="N130" s="263">
        <f>+N$3*'PROYECCIÓN GENERACIÓN'!N130</f>
        <v>56.663753999999997</v>
      </c>
      <c r="O130" s="263">
        <f>+O$3*'PROYECCIÓN GENERACIÓN'!O130</f>
        <v>57.42166499999999</v>
      </c>
      <c r="P130" s="263">
        <f>+P$3*'PROYECCIÓN GENERACIÓN'!P130</f>
        <v>58.189928999999999</v>
      </c>
      <c r="Q130" s="263">
        <f>+Q$3*'PROYECCIÓN GENERACIÓN'!Q130</f>
        <v>58.968545999999996</v>
      </c>
      <c r="R130" s="263">
        <f>+R$3*'PROYECCIÓN GENERACIÓN'!R130</f>
        <v>59.757515999999995</v>
      </c>
      <c r="S130" s="263">
        <f>+S$3*'PROYECCIÓN GENERACIÓN'!S130</f>
        <v>60.55719599999999</v>
      </c>
      <c r="T130" s="263">
        <f>+T$3*'PROYECCIÓN GENERACIÓN'!T130</f>
        <v>61.367585999999996</v>
      </c>
      <c r="U130" s="263">
        <f>+U$3*'PROYECCIÓN GENERACIÓN'!U130</f>
        <v>62.188685999999997</v>
      </c>
      <c r="V130" s="263">
        <f>+V$3*'PROYECCIÓN GENERACIÓN'!V130</f>
        <v>63.020495999999994</v>
      </c>
      <c r="W130" s="263">
        <f>+W$3*'PROYECCIÓN GENERACIÓN'!W130</f>
        <v>63.863729999999997</v>
      </c>
      <c r="X130" s="263">
        <f>+X$3*'PROYECCIÓN GENERACIÓN'!X130</f>
        <v>64.71838799999999</v>
      </c>
      <c r="Y130" s="263">
        <f>+Y$3*'PROYECCIÓN GENERACIÓN'!Y130</f>
        <v>65.584112999999988</v>
      </c>
      <c r="Z130" s="263">
        <f>+Z$3*'PROYECCIÓN GENERACIÓN'!Z130</f>
        <v>66.461618999999999</v>
      </c>
      <c r="AA130" s="565">
        <f t="shared" si="2"/>
        <v>51.942010289999999</v>
      </c>
    </row>
    <row r="131" spans="1:27" ht="24.95" customHeight="1">
      <c r="A131" s="351" t="str">
        <f>+Pobl_adoptada!A131</f>
        <v>Tapalqué</v>
      </c>
      <c r="B131" s="70">
        <f>+Pobl_adoptada!B131</f>
        <v>127</v>
      </c>
      <c r="C131" s="353" t="str">
        <f>+Pobl_adoptada!C131</f>
        <v>Tapalqué</v>
      </c>
      <c r="D131" s="261"/>
      <c r="E131" s="278"/>
      <c r="F131" s="263"/>
      <c r="G131" s="263">
        <f>+G$3*'PROYECCIÓN GENERACIÓN'!G131</f>
        <v>8.4704399999999999E-2</v>
      </c>
      <c r="H131" s="263">
        <f>+H$3*'PROYECCIÓN GENERACIÓN'!H131</f>
        <v>0.68668800000000008</v>
      </c>
      <c r="I131" s="263">
        <f>+I$3*'PROYECCIÓN GENERACIÓN'!I131</f>
        <v>1.3047900000000001</v>
      </c>
      <c r="J131" s="263">
        <f>+J$3*'PROYECCIÓN GENERACIÓN'!J131</f>
        <v>2.2038600000000002</v>
      </c>
      <c r="K131" s="263">
        <f>+K$3*'PROYECCIÓN GENERACIÓN'!K131</f>
        <v>3.1266200000000004</v>
      </c>
      <c r="L131" s="263">
        <f>+L$3*'PROYECCIÓN GENERACIÓN'!L131</f>
        <v>3.1684800000000002</v>
      </c>
      <c r="M131" s="263">
        <f>+M$3*'PROYECCIÓN GENERACIÓN'!M131</f>
        <v>3.2106620000000001</v>
      </c>
      <c r="N131" s="263">
        <f>+N$3*'PROYECCIÓN GENERACIÓN'!N131</f>
        <v>3.2538099999999996</v>
      </c>
      <c r="O131" s="263">
        <f>+O$3*'PROYECCIÓN GENERACIÓN'!O131</f>
        <v>3.2972800000000002</v>
      </c>
      <c r="P131" s="263">
        <f>+P$3*'PROYECCIÓN GENERACIÓN'!P131</f>
        <v>3.3413939999999998</v>
      </c>
      <c r="Q131" s="263">
        <f>+Q$3*'PROYECCIÓN GENERACIÓN'!Q131</f>
        <v>3.3861520000000001</v>
      </c>
      <c r="R131" s="263">
        <f>+R$3*'PROYECCIÓN GENERACIÓN'!R131</f>
        <v>3.4312320000000001</v>
      </c>
      <c r="S131" s="263">
        <f>+S$3*'PROYECCIÓN GENERACIÓN'!S131</f>
        <v>3.4772779999999996</v>
      </c>
      <c r="T131" s="263">
        <f>+T$3*'PROYECCIÓN GENERACIÓN'!T131</f>
        <v>3.5236460000000003</v>
      </c>
      <c r="U131" s="263">
        <f>+U$3*'PROYECCIÓN GENERACIÓN'!U131</f>
        <v>3.5709800000000005</v>
      </c>
      <c r="V131" s="263">
        <f>+V$3*'PROYECCIÓN GENERACIÓN'!V131</f>
        <v>3.618636</v>
      </c>
      <c r="W131" s="263">
        <f>+W$3*'PROYECCIÓN GENERACIÓN'!W131</f>
        <v>3.6669360000000002</v>
      </c>
      <c r="X131" s="263">
        <f>+X$3*'PROYECCIÓN GENERACIÓN'!X131</f>
        <v>3.7162020000000004</v>
      </c>
      <c r="Y131" s="263">
        <f>+Y$3*'PROYECCIÓN GENERACIÓN'!Y131</f>
        <v>3.7657899999999995</v>
      </c>
      <c r="Z131" s="263">
        <f>+Z$3*'PROYECCIÓN GENERACIÓN'!Z131</f>
        <v>3.8160219999999998</v>
      </c>
      <c r="AA131" s="565">
        <f t="shared" si="2"/>
        <v>2.9825581200000006</v>
      </c>
    </row>
    <row r="132" spans="1:27" ht="24.95" customHeight="1">
      <c r="A132" s="351" t="str">
        <f>+Pobl_adoptada!A132</f>
        <v>Tordillo</v>
      </c>
      <c r="B132" s="70">
        <f>+Pobl_adoptada!B132</f>
        <v>128</v>
      </c>
      <c r="C132" s="353" t="str">
        <f>+Pobl_adoptada!C132</f>
        <v>General Conesa</v>
      </c>
      <c r="D132" s="261"/>
      <c r="E132" s="278"/>
      <c r="F132" s="263"/>
      <c r="G132" s="263">
        <f>+G$3*'PROYECCIÓN GENERACIÓN'!G132</f>
        <v>1.9991600000000002E-2</v>
      </c>
      <c r="H132" s="263">
        <f>+H$3*'PROYECCIÓN GENERACIÓN'!H132</f>
        <v>0.1642016</v>
      </c>
      <c r="I132" s="263">
        <f>+I$3*'PROYECCIÓN GENERACIÓN'!I132</f>
        <v>0.315882</v>
      </c>
      <c r="J132" s="263">
        <f>+J$3*'PROYECCIÓN GENERACIÓN'!J132</f>
        <v>0.53981000000000001</v>
      </c>
      <c r="K132" s="263">
        <f>+K$3*'PROYECCIÓN GENERACIÓN'!K132</f>
        <v>0.77408800000000011</v>
      </c>
      <c r="L132" s="263">
        <f>+L$3*'PROYECCIÓN GENERACIÓN'!L132</f>
        <v>0.79727199999999998</v>
      </c>
      <c r="M132" s="263">
        <f>+M$3*'PROYECCIÓN GENERACIÓN'!M132</f>
        <v>0.82013400000000003</v>
      </c>
      <c r="N132" s="263">
        <f>+N$3*'PROYECCIÓN GENERACIÓN'!N132</f>
        <v>0.8433179999999999</v>
      </c>
      <c r="O132" s="263">
        <f>+O$3*'PROYECCIÓN GENERACIÓN'!O132</f>
        <v>0.86617999999999995</v>
      </c>
      <c r="P132" s="263">
        <f>+P$3*'PROYECCIÓN GENERACIÓN'!P132</f>
        <v>0.88904199999999989</v>
      </c>
      <c r="Q132" s="263">
        <f>+Q$3*'PROYECCIÓN GENERACIÓN'!Q132</f>
        <v>0.91222599999999998</v>
      </c>
      <c r="R132" s="263">
        <f>+R$3*'PROYECCIÓN GENERACIÓN'!R132</f>
        <v>0.93508800000000003</v>
      </c>
      <c r="S132" s="263">
        <f>+S$3*'PROYECCIÓN GENERACIÓN'!S132</f>
        <v>0.95794999999999997</v>
      </c>
      <c r="T132" s="263">
        <f>+T$3*'PROYECCIÓN GENERACIÓN'!T132</f>
        <v>0.98113399999999995</v>
      </c>
      <c r="U132" s="263">
        <f>+U$3*'PROYECCIÓN GENERACIÓN'!U132</f>
        <v>1.0039959999999999</v>
      </c>
      <c r="V132" s="263">
        <f>+V$3*'PROYECCIÓN GENERACIÓN'!V132</f>
        <v>1.02718</v>
      </c>
      <c r="W132" s="263">
        <f>+W$3*'PROYECCIÓN GENERACIÓN'!W132</f>
        <v>1.0500420000000001</v>
      </c>
      <c r="X132" s="263">
        <f>+X$3*'PROYECCIÓN GENERACIÓN'!X132</f>
        <v>1.0729040000000001</v>
      </c>
      <c r="Y132" s="263">
        <f>+Y$3*'PROYECCIÓN GENERACIÓN'!Y132</f>
        <v>1.096088</v>
      </c>
      <c r="Z132" s="263">
        <f>+Z$3*'PROYECCIÓN GENERACIÓN'!Z132</f>
        <v>1.1189499999999999</v>
      </c>
      <c r="AA132" s="565">
        <f t="shared" si="2"/>
        <v>0.80927386000000001</v>
      </c>
    </row>
    <row r="133" spans="1:27" ht="24.95" customHeight="1">
      <c r="A133" s="351" t="str">
        <f>+Pobl_adoptada!A133</f>
        <v>Tornquist</v>
      </c>
      <c r="B133" s="70">
        <f>+Pobl_adoptada!B133</f>
        <v>129</v>
      </c>
      <c r="C133" s="353" t="str">
        <f>+Pobl_adoptada!C133</f>
        <v>Tornquist</v>
      </c>
      <c r="D133" s="261"/>
      <c r="E133" s="278"/>
      <c r="F133" s="263"/>
      <c r="G133" s="263">
        <f>+G$3*'PROYECCIÓN GENERACIÓN'!G133</f>
        <v>7.0610000000000006E-2</v>
      </c>
      <c r="H133" s="263">
        <f>+H$3*'PROYECCIÓN GENERACIÓN'!H133</f>
        <v>0.57201920000000006</v>
      </c>
      <c r="I133" s="263">
        <f>+I$3*'PROYECCIÓN GENERACIÓN'!I133</f>
        <v>1.0857840000000001</v>
      </c>
      <c r="J133" s="263">
        <f>+J$3*'PROYECCIÓN GENERACIÓN'!J133</f>
        <v>1.83172</v>
      </c>
      <c r="K133" s="263">
        <f>+K$3*'PROYECCIÓN GENERACIÓN'!K133</f>
        <v>2.5953200000000001</v>
      </c>
      <c r="L133" s="263">
        <f>+L$3*'PROYECCIÓN GENERACIÓN'!L133</f>
        <v>2.63557</v>
      </c>
      <c r="M133" s="263">
        <f>+M$3*'PROYECCIÓN GENERACIÓN'!M133</f>
        <v>2.6754980000000002</v>
      </c>
      <c r="N133" s="263">
        <f>+N$3*'PROYECCIÓN GENERACIÓN'!N133</f>
        <v>2.7157480000000001</v>
      </c>
      <c r="O133" s="263">
        <f>+O$3*'PROYECCIÓN GENERACIÓN'!O133</f>
        <v>2.7556760000000002</v>
      </c>
      <c r="P133" s="263">
        <f>+P$3*'PROYECCIÓN GENERACIÓN'!P133</f>
        <v>2.7959260000000001</v>
      </c>
      <c r="Q133" s="263">
        <f>+Q$3*'PROYECCIÓN GENERACIÓN'!Q133</f>
        <v>2.8358539999999999</v>
      </c>
      <c r="R133" s="263">
        <f>+R$3*'PROYECCIÓN GENERACIÓN'!R133</f>
        <v>2.8757820000000001</v>
      </c>
      <c r="S133" s="263">
        <f>+S$3*'PROYECCIÓN GENERACIÓN'!S133</f>
        <v>2.9160320000000004</v>
      </c>
      <c r="T133" s="263">
        <f>+T$3*'PROYECCIÓN GENERACIÓN'!T133</f>
        <v>2.9559600000000001</v>
      </c>
      <c r="U133" s="263">
        <f>+U$3*'PROYECCIÓN GENERACIÓN'!U133</f>
        <v>2.99621</v>
      </c>
      <c r="V133" s="263">
        <f>+V$3*'PROYECCIÓN GENERACIÓN'!V133</f>
        <v>3.0361379999999998</v>
      </c>
      <c r="W133" s="263">
        <f>+W$3*'PROYECCIÓN GENERACIÓN'!W133</f>
        <v>3.0763880000000001</v>
      </c>
      <c r="X133" s="263">
        <f>+X$3*'PROYECCIÓN GENERACIÓN'!X133</f>
        <v>3.1163159999999999</v>
      </c>
      <c r="Y133" s="263">
        <f>+Y$3*'PROYECCIÓN GENERACIÓN'!Y133</f>
        <v>3.1562439999999996</v>
      </c>
      <c r="Z133" s="263">
        <f>+Z$3*'PROYECCIÓN GENERACIÓN'!Z133</f>
        <v>3.1964939999999999</v>
      </c>
      <c r="AA133" s="565">
        <f t="shared" si="2"/>
        <v>2.4947644600000003</v>
      </c>
    </row>
    <row r="134" spans="1:27" ht="24.95" customHeight="1">
      <c r="A134" s="351" t="str">
        <f>+Pobl_adoptada!A134</f>
        <v>Trenque Lauquen</v>
      </c>
      <c r="B134" s="70">
        <f>+Pobl_adoptada!B134</f>
        <v>130</v>
      </c>
      <c r="C134" s="353" t="str">
        <f>+Pobl_adoptada!C134</f>
        <v>Trenque Lauquen</v>
      </c>
      <c r="D134" s="261"/>
      <c r="E134" s="278"/>
      <c r="F134" s="263"/>
      <c r="G134" s="263">
        <f>+G$3*'PROYECCIÓN GENERACIÓN'!G134</f>
        <v>0.41118460000000001</v>
      </c>
      <c r="H134" s="263">
        <f>+H$3*'PROYECCIÓN GENERACIÓN'!H134</f>
        <v>3.3201744000000004</v>
      </c>
      <c r="I134" s="263">
        <f>+I$3*'PROYECCIÓN GENERACIÓN'!I134</f>
        <v>6.2833619999999994</v>
      </c>
      <c r="J134" s="263">
        <f>+J$3*'PROYECCIÓN GENERACIÓN'!J134</f>
        <v>10.569790000000001</v>
      </c>
      <c r="K134" s="263">
        <f>+K$3*'PROYECCIÓN GENERACIÓN'!K134</f>
        <v>14.935347</v>
      </c>
      <c r="L134" s="263">
        <f>+L$3*'PROYECCIÓN GENERACIÓN'!L134</f>
        <v>15.074843000000001</v>
      </c>
      <c r="M134" s="263">
        <f>+M$3*'PROYECCIÓN GENERACIÓN'!M134</f>
        <v>15.215081</v>
      </c>
      <c r="N134" s="263">
        <f>+N$3*'PROYECCIÓN GENERACIÓN'!N134</f>
        <v>15.356803000000001</v>
      </c>
      <c r="O134" s="263">
        <f>+O$3*'PROYECCIÓN GENERACIÓN'!O134</f>
        <v>15.500009</v>
      </c>
      <c r="P134" s="263">
        <f>+P$3*'PROYECCIÓN GENERACIÓN'!P134</f>
        <v>15.644328</v>
      </c>
      <c r="Q134" s="263">
        <f>+Q$3*'PROYECCIÓN GENERACIÓN'!Q134</f>
        <v>15.790130999999999</v>
      </c>
      <c r="R134" s="263">
        <f>+R$3*'PROYECCIÓN GENERACIÓN'!R134</f>
        <v>15.937417999999999</v>
      </c>
      <c r="S134" s="263">
        <f>+S$3*'PROYECCIÓN GENERACIÓN'!S134</f>
        <v>16.085818</v>
      </c>
      <c r="T134" s="263">
        <f>+T$3*'PROYECCIÓN GENERACIÓN'!T134</f>
        <v>16.235702</v>
      </c>
      <c r="U134" s="263">
        <f>+U$3*'PROYECCIÓN GENERACIÓN'!U134</f>
        <v>16.387070000000001</v>
      </c>
      <c r="V134" s="263">
        <f>+V$3*'PROYECCIÓN GENERACIÓN'!V134</f>
        <v>16.539550999999999</v>
      </c>
      <c r="W134" s="263">
        <f>+W$3*'PROYECCIÓN GENERACIÓN'!W134</f>
        <v>16.693887</v>
      </c>
      <c r="X134" s="263">
        <f>+X$3*'PROYECCIÓN GENERACIÓN'!X134</f>
        <v>16.849335999999997</v>
      </c>
      <c r="Y134" s="263">
        <f>+Y$3*'PROYECCIÓN GENERACIÓN'!Y134</f>
        <v>17.006269</v>
      </c>
      <c r="Z134" s="263">
        <f>+Z$3*'PROYECCIÓN GENERACIÓN'!Z134</f>
        <v>17.164685999999996</v>
      </c>
      <c r="AA134" s="565">
        <f t="shared" ref="AA134:AA158" si="3">AVERAGE(G134:Z134)</f>
        <v>13.850039499999999</v>
      </c>
    </row>
    <row r="135" spans="1:27" ht="24.95" customHeight="1">
      <c r="A135" s="351" t="str">
        <f>+Pobl_adoptada!A135</f>
        <v>Tres Arroyos</v>
      </c>
      <c r="B135" s="70">
        <f>+Pobl_adoptada!B135</f>
        <v>131</v>
      </c>
      <c r="C135" s="353" t="str">
        <f>+Pobl_adoptada!C135</f>
        <v>Tres Arroyos</v>
      </c>
      <c r="D135" s="261"/>
      <c r="E135" s="278"/>
      <c r="F135" s="263"/>
      <c r="G135" s="263">
        <f>+G$3*'PROYECCIÓN GENERACIÓN'!G135</f>
        <v>0.52549500000000005</v>
      </c>
      <c r="H135" s="263">
        <f>+H$3*'PROYECCIÓN GENERACIÓN'!H135</f>
        <v>4.2203264000000003</v>
      </c>
      <c r="I135" s="263">
        <f>+I$3*'PROYECCIÓN GENERACIÓN'!I135</f>
        <v>7.9444350000000004</v>
      </c>
      <c r="J135" s="263">
        <f>+J$3*'PROYECCIÓN GENERACIÓN'!J135</f>
        <v>13.293725</v>
      </c>
      <c r="K135" s="263">
        <f>+K$3*'PROYECCIÓN GENERACIÓN'!K135</f>
        <v>18.686899</v>
      </c>
      <c r="L135" s="263">
        <f>+L$3*'PROYECCIÓN GENERACIÓN'!L135</f>
        <v>18.763324999999998</v>
      </c>
      <c r="M135" s="263">
        <f>+M$3*'PROYECCIÓN GENERACIÓN'!M135</f>
        <v>18.841235000000001</v>
      </c>
      <c r="N135" s="263">
        <f>+N$3*'PROYECCIÓN GENERACIÓN'!N135</f>
        <v>18.920628999999998</v>
      </c>
      <c r="O135" s="263">
        <f>+O$3*'PROYECCIÓN GENERACIÓN'!O135</f>
        <v>19.000764999999998</v>
      </c>
      <c r="P135" s="263">
        <f>+P$3*'PROYECCIÓN GENERACIÓN'!P135</f>
        <v>19.082756</v>
      </c>
      <c r="Q135" s="263">
        <f>+Q$3*'PROYECCIÓN GENERACIÓN'!Q135</f>
        <v>19.165860000000002</v>
      </c>
      <c r="R135" s="263">
        <f>+R$3*'PROYECCIÓN GENERACIÓN'!R135</f>
        <v>19.250076999999997</v>
      </c>
      <c r="S135" s="263">
        <f>+S$3*'PROYECCIÓN GENERACIÓN'!S135</f>
        <v>19.336148999999999</v>
      </c>
      <c r="T135" s="263">
        <f>+T$3*'PROYECCIÓN GENERACIÓN'!T135</f>
        <v>19.423334000000001</v>
      </c>
      <c r="U135" s="263">
        <f>+U$3*'PROYECCIÓN GENERACIÓN'!U135</f>
        <v>19.512003</v>
      </c>
      <c r="V135" s="263">
        <f>+V$3*'PROYECCIÓN GENERACIÓN'!V135</f>
        <v>19.602156000000001</v>
      </c>
      <c r="W135" s="263">
        <f>+W$3*'PROYECCIÓN GENERACIÓN'!W135</f>
        <v>19.693792999999999</v>
      </c>
      <c r="X135" s="263">
        <f>+X$3*'PROYECCIÓN GENERACIÓN'!X135</f>
        <v>19.786913999999999</v>
      </c>
      <c r="Y135" s="263">
        <f>+Y$3*'PROYECCIÓN GENERACIÓN'!Y135</f>
        <v>19.881519000000001</v>
      </c>
      <c r="Z135" s="263">
        <f>+Z$3*'PROYECCIÓN GENERACIÓN'!Z135</f>
        <v>19.977608</v>
      </c>
      <c r="AA135" s="565">
        <f t="shared" si="3"/>
        <v>16.745450170000002</v>
      </c>
    </row>
    <row r="136" spans="1:27" ht="24.95" customHeight="1">
      <c r="A136" s="351" t="str">
        <f>+Pobl_adoptada!A136</f>
        <v>Tres Lomas</v>
      </c>
      <c r="B136" s="70">
        <f>+Pobl_adoptada!B136</f>
        <v>132</v>
      </c>
      <c r="C136" s="353" t="str">
        <f>+Pobl_adoptada!C136</f>
        <v>Tres Lomas</v>
      </c>
      <c r="D136" s="261"/>
      <c r="E136" s="278"/>
      <c r="F136" s="263"/>
      <c r="G136" s="263">
        <f>+G$3*'PROYECCIÓN GENERACIÓN'!G136</f>
        <v>8.4814799999999996E-2</v>
      </c>
      <c r="H136" s="263">
        <f>+H$3*'PROYECCIÓN GENERACIÓN'!H136</f>
        <v>0.68484800000000012</v>
      </c>
      <c r="I136" s="263">
        <f>+I$3*'PROYECCIÓN GENERACIÓN'!I136</f>
        <v>1.2958200000000002</v>
      </c>
      <c r="J136" s="263">
        <f>+J$3*'PROYECCIÓN GENERACIÓN'!J136</f>
        <v>2.1794799999999999</v>
      </c>
      <c r="K136" s="263">
        <f>+K$3*'PROYECCIÓN GENERACIÓN'!K136</f>
        <v>3.0786419999999999</v>
      </c>
      <c r="L136" s="263">
        <f>+L$3*'PROYECCIÓN GENERACIÓN'!L136</f>
        <v>3.1063339999999999</v>
      </c>
      <c r="M136" s="263">
        <f>+M$3*'PROYECCIÓN GENERACIÓN'!M136</f>
        <v>3.1337039999999998</v>
      </c>
      <c r="N136" s="263">
        <f>+N$3*'PROYECCIÓN GENERACIÓN'!N136</f>
        <v>3.1613959999999999</v>
      </c>
      <c r="O136" s="263">
        <f>+O$3*'PROYECCIÓN GENERACIÓN'!O136</f>
        <v>3.1887660000000002</v>
      </c>
      <c r="P136" s="263">
        <f>+P$3*'PROYECCIÓN GENERACIÓN'!P136</f>
        <v>3.2164579999999998</v>
      </c>
      <c r="Q136" s="263">
        <f>+Q$3*'PROYECCIÓN GENERACIÓN'!Q136</f>
        <v>3.2438279999999997</v>
      </c>
      <c r="R136" s="263">
        <f>+R$3*'PROYECCIÓN GENERACIÓN'!R136</f>
        <v>3.2715200000000002</v>
      </c>
      <c r="S136" s="263">
        <f>+S$3*'PROYECCIÓN GENERACIÓN'!S136</f>
        <v>3.2988899999999997</v>
      </c>
      <c r="T136" s="263">
        <f>+T$3*'PROYECCIÓN GENERACIÓN'!T136</f>
        <v>3.3265820000000001</v>
      </c>
      <c r="U136" s="263">
        <f>+U$3*'PROYECCIÓN GENERACIÓN'!U136</f>
        <v>3.3539520000000005</v>
      </c>
      <c r="V136" s="263">
        <f>+V$3*'PROYECCIÓN GENERACIÓN'!V136</f>
        <v>3.3816439999999997</v>
      </c>
      <c r="W136" s="263">
        <f>+W$3*'PROYECCIÓN GENERACIÓN'!W136</f>
        <v>3.409014</v>
      </c>
      <c r="X136" s="263">
        <f>+X$3*'PROYECCIÓN GENERACIÓN'!X136</f>
        <v>3.436706</v>
      </c>
      <c r="Y136" s="263">
        <f>+Y$3*'PROYECCIÓN GENERACIÓN'!Y136</f>
        <v>3.4640759999999999</v>
      </c>
      <c r="Z136" s="263">
        <f>+Z$3*'PROYECCIÓN GENERACIÓN'!Z136</f>
        <v>3.4917679999999995</v>
      </c>
      <c r="AA136" s="565">
        <f t="shared" si="3"/>
        <v>2.8404121400000002</v>
      </c>
    </row>
    <row r="137" spans="1:27" ht="24.95" customHeight="1">
      <c r="A137" s="351" t="str">
        <f>+Pobl_adoptada!A137</f>
        <v>Villa Gesell</v>
      </c>
      <c r="B137" s="70">
        <f>+Pobl_adoptada!B137</f>
        <v>133</v>
      </c>
      <c r="C137" s="353" t="str">
        <f>+Pobl_adoptada!C137</f>
        <v>Villa Gesell</v>
      </c>
      <c r="D137" s="261"/>
      <c r="E137" s="278"/>
      <c r="F137" s="263"/>
      <c r="G137" s="263">
        <f>+G$3*'PROYECCIÓN GENERACIÓN'!G137</f>
        <v>0.69156000000000006</v>
      </c>
      <c r="H137" s="263">
        <f>+H$3*'PROYECCIÓN GENERACIÓN'!H137</f>
        <v>5.6309712000000003</v>
      </c>
      <c r="I137" s="263">
        <f>+I$3*'PROYECCIÓN GENERACIÓN'!I137</f>
        <v>10.742742</v>
      </c>
      <c r="J137" s="263">
        <f>+J$3*'PROYECCIÓN GENERACIÓN'!J137</f>
        <v>18.212354999999999</v>
      </c>
      <c r="K137" s="263">
        <f>+K$3*'PROYECCIÓN GENERACIÓN'!K137</f>
        <v>25.928195999999996</v>
      </c>
      <c r="L137" s="263">
        <f>+L$3*'PROYECCIÓN GENERACIÓN'!L137</f>
        <v>26.359095</v>
      </c>
      <c r="M137" s="263">
        <f>+M$3*'PROYECCIÓN GENERACIÓN'!M137</f>
        <v>26.789993999999997</v>
      </c>
      <c r="N137" s="263">
        <f>+N$3*'PROYECCIÓN GENERACIÓN'!N137</f>
        <v>27.221250000000001</v>
      </c>
      <c r="O137" s="263">
        <f>+O$3*'PROYECCIÓN GENERACIÓN'!O137</f>
        <v>27.651791999999997</v>
      </c>
      <c r="P137" s="263">
        <f>+P$3*'PROYECCIÓN GENERACIÓN'!P137</f>
        <v>28.082690999999997</v>
      </c>
      <c r="Q137" s="263">
        <f>+Q$3*'PROYECCIÓN GENERACIÓN'!Q137</f>
        <v>28.513946999999995</v>
      </c>
      <c r="R137" s="263">
        <f>+R$3*'PROYECCIÓN GENERACIÓN'!R137</f>
        <v>28.944489000000001</v>
      </c>
      <c r="S137" s="263">
        <f>+S$3*'PROYECCIÓN GENERACIÓN'!S137</f>
        <v>29.375744999999998</v>
      </c>
      <c r="T137" s="263">
        <f>+T$3*'PROYECCIÓN GENERACIÓN'!T137</f>
        <v>29.806286999999998</v>
      </c>
      <c r="U137" s="263">
        <f>+U$3*'PROYECCIÓN GENERACIÓN'!U137</f>
        <v>30.237542999999995</v>
      </c>
      <c r="V137" s="263">
        <f>+V$3*'PROYECCIÓN GENERACIÓN'!V137</f>
        <v>30.668441999999995</v>
      </c>
      <c r="W137" s="263">
        <f>+W$3*'PROYECCIÓN GENERACIÓN'!W137</f>
        <v>31.098983999999998</v>
      </c>
      <c r="X137" s="263">
        <f>+X$3*'PROYECCIÓN GENERACIÓN'!X137</f>
        <v>31.530240000000003</v>
      </c>
      <c r="Y137" s="263">
        <f>+Y$3*'PROYECCIÓN GENERACIÓN'!Y137</f>
        <v>31.960781999999998</v>
      </c>
      <c r="Z137" s="263">
        <f>+Z$3*'PROYECCIÓN GENERACIÓN'!Z137</f>
        <v>32.392037999999999</v>
      </c>
      <c r="AA137" s="565">
        <f t="shared" si="3"/>
        <v>25.09195716</v>
      </c>
    </row>
    <row r="138" spans="1:27" ht="24.95" customHeight="1">
      <c r="A138" s="351" t="str">
        <f>+Pobl_adoptada!A138</f>
        <v>Villarino</v>
      </c>
      <c r="B138" s="70">
        <f>+Pobl_adoptada!B138</f>
        <v>134</v>
      </c>
      <c r="C138" s="353" t="str">
        <f>+Pobl_adoptada!C138</f>
        <v>Médanos</v>
      </c>
      <c r="D138" s="261"/>
      <c r="E138" s="278"/>
      <c r="F138" s="263"/>
      <c r="G138" s="263">
        <f>+G$3*'PROYECCIÓN GENERACIÓN'!G138</f>
        <v>5.3571599999999997E-2</v>
      </c>
      <c r="H138" s="263">
        <f>+H$3*'PROYECCIÓN GENERACIÓN'!H138</f>
        <v>0.43048639999999999</v>
      </c>
      <c r="I138" s="263">
        <f>+I$3*'PROYECCIÓN GENERACIÓN'!I138</f>
        <v>0.81088799999999994</v>
      </c>
      <c r="J138" s="263">
        <f>+J$3*'PROYECCIÓN GENERACIÓN'!J138</f>
        <v>1.3574600000000001</v>
      </c>
      <c r="K138" s="263">
        <f>+K$3*'PROYECCIÓN GENERACIÓN'!K138</f>
        <v>1.909138</v>
      </c>
      <c r="L138" s="263">
        <f>+L$3*'PROYECCIÓN GENERACIÓN'!L138</f>
        <v>1.9178320000000002</v>
      </c>
      <c r="M138" s="263">
        <f>+M$3*'PROYECCIÓN GENERACIÓN'!M138</f>
        <v>1.926204</v>
      </c>
      <c r="N138" s="263">
        <f>+N$3*'PROYECCIÓN GENERACIÓN'!N138</f>
        <v>1.934898</v>
      </c>
      <c r="O138" s="263">
        <f>+O$3*'PROYECCIÓN GENERACIÓN'!O138</f>
        <v>1.9432699999999998</v>
      </c>
      <c r="P138" s="263">
        <f>+P$3*'PROYECCIÓN GENERACIÓN'!P138</f>
        <v>1.951964</v>
      </c>
      <c r="Q138" s="263">
        <f>+Q$3*'PROYECCIÓN GENERACIÓN'!Q138</f>
        <v>1.960658</v>
      </c>
      <c r="R138" s="263">
        <f>+R$3*'PROYECCIÓN GENERACIÓN'!R138</f>
        <v>1.9690299999999998</v>
      </c>
      <c r="S138" s="263">
        <f>+S$3*'PROYECCIÓN GENERACIÓN'!S138</f>
        <v>1.9777239999999998</v>
      </c>
      <c r="T138" s="263">
        <f>+T$3*'PROYECCIÓN GENERACIÓN'!T138</f>
        <v>1.9860960000000001</v>
      </c>
      <c r="U138" s="263">
        <f>+U$3*'PROYECCIÓN GENERACIÓN'!U138</f>
        <v>1.9947900000000001</v>
      </c>
      <c r="V138" s="263">
        <f>+V$3*'PROYECCIÓN GENERACIÓN'!V138</f>
        <v>2.0031620000000001</v>
      </c>
      <c r="W138" s="263">
        <f>+W$3*'PROYECCIÓN GENERACIÓN'!W138</f>
        <v>2.0118559999999999</v>
      </c>
      <c r="X138" s="263">
        <f>+X$3*'PROYECCIÓN GENERACIÓN'!X138</f>
        <v>2.0205499999999996</v>
      </c>
      <c r="Y138" s="263">
        <f>+Y$3*'PROYECCIÓN GENERACIÓN'!Y138</f>
        <v>2.0289220000000001</v>
      </c>
      <c r="Z138" s="263">
        <f>+Z$3*'PROYECCIÓN GENERACIÓN'!Z138</f>
        <v>2.0376159999999999</v>
      </c>
      <c r="AA138" s="565">
        <f t="shared" si="3"/>
        <v>1.7113057999999999</v>
      </c>
    </row>
    <row r="139" spans="1:27" ht="24.95" customHeight="1">
      <c r="A139" s="351" t="str">
        <f>+Pobl_adoptada!A139</f>
        <v>Zárate</v>
      </c>
      <c r="B139" s="70">
        <f>+Pobl_adoptada!B139</f>
        <v>135</v>
      </c>
      <c r="C139" s="353" t="str">
        <f>+Pobl_adoptada!C139</f>
        <v>Zárate</v>
      </c>
      <c r="D139" s="261"/>
      <c r="E139" s="278"/>
      <c r="F139" s="263"/>
      <c r="G139" s="263">
        <f>+G$3*'PROYECCIÓN GENERACIÓN'!G139</f>
        <v>1.2126168000000002</v>
      </c>
      <c r="H139" s="263">
        <f>+H$3*'PROYECCIÓN GENERACIÓN'!H139</f>
        <v>9.8155008000000006</v>
      </c>
      <c r="I139" s="263">
        <f>+I$3*'PROYECCIÓN GENERACIÓN'!I139</f>
        <v>18.621476999999999</v>
      </c>
      <c r="J139" s="263">
        <f>+J$3*'PROYECCIÓN GENERACIÓN'!J139</f>
        <v>31.402229999999999</v>
      </c>
      <c r="K139" s="263">
        <f>+K$3*'PROYECCIÓN GENERACIÓN'!K139</f>
        <v>44.482557</v>
      </c>
      <c r="L139" s="263">
        <f>+L$3*'PROYECCIÓN GENERACIÓN'!L139</f>
        <v>45.008060999999998</v>
      </c>
      <c r="M139" s="263">
        <f>+M$3*'PROYECCIÓN GENERACIÓN'!M139</f>
        <v>45.539634000000007</v>
      </c>
      <c r="N139" s="263">
        <f>+N$3*'PROYECCIÓN GENERACIÓN'!N139</f>
        <v>46.077275999999998</v>
      </c>
      <c r="O139" s="263">
        <f>+O$3*'PROYECCIÓN GENERACIÓN'!O139</f>
        <v>46.621701000000009</v>
      </c>
      <c r="P139" s="263">
        <f>+P$3*'PROYECCIÓN GENERACIÓN'!P139</f>
        <v>47.172195000000002</v>
      </c>
      <c r="Q139" s="263">
        <f>+Q$3*'PROYECCIÓN GENERACIÓN'!Q139</f>
        <v>47.729472000000001</v>
      </c>
      <c r="R139" s="263">
        <f>+R$3*'PROYECCIÓN GENERACIÓN'!R139</f>
        <v>48.293174999999998</v>
      </c>
      <c r="S139" s="263">
        <f>+S$3*'PROYECCIÓN GENERACIÓN'!S139</f>
        <v>48.863660999999993</v>
      </c>
      <c r="T139" s="263">
        <f>+T$3*'PROYECCIÓN GENERACIÓN'!T139</f>
        <v>49.440573000000001</v>
      </c>
      <c r="U139" s="263">
        <f>+U$3*'PROYECCIÓN GENERACIÓN'!U139</f>
        <v>50.024625</v>
      </c>
      <c r="V139" s="263">
        <f>+V$3*'PROYECCIÓN GENERACIÓN'!V139</f>
        <v>50.615459999999999</v>
      </c>
      <c r="W139" s="263">
        <f>+W$3*'PROYECCIÓN GENERACIÓN'!W139</f>
        <v>51.213077999999996</v>
      </c>
      <c r="X139" s="263">
        <f>+X$3*'PROYECCIÓN GENERACIÓN'!X139</f>
        <v>51.818193000000001</v>
      </c>
      <c r="Y139" s="263">
        <f>+Y$3*'PROYECCIÓN GENERACIÓN'!Y139</f>
        <v>52.430090999999997</v>
      </c>
      <c r="Z139" s="263">
        <f>+Z$3*'PROYECCIÓN GENERACIÓN'!Z139</f>
        <v>53.049485999999987</v>
      </c>
      <c r="AA139" s="565">
        <f t="shared" si="3"/>
        <v>41.971553129999997</v>
      </c>
    </row>
    <row r="140" spans="1:27" ht="24.95" customHeight="1">
      <c r="A140" s="351" t="str">
        <f>+Pobl_adoptada!A140</f>
        <v>CABA</v>
      </c>
      <c r="B140" s="70">
        <f>+Pobl_adoptada!B140</f>
        <v>136</v>
      </c>
      <c r="C140" s="353" t="str">
        <f>+Pobl_adoptada!C140</f>
        <v>CABA</v>
      </c>
      <c r="D140" s="261"/>
      <c r="E140" s="278"/>
      <c r="F140" s="263"/>
      <c r="G140" s="263">
        <f>+G$3*'PROYECCIÓN GENERACIÓN'!G140</f>
        <v>79.611208499999989</v>
      </c>
      <c r="H140" s="263">
        <f>+H$3*'PROYECCIÓN GENERACIÓN'!H140</f>
        <v>641.81508000000008</v>
      </c>
      <c r="I140" s="263">
        <f>+I$3*'PROYECCIÓN GENERACIÓN'!I140</f>
        <v>1212.7890104999999</v>
      </c>
      <c r="J140" s="263">
        <f>+J$3*'PROYECCIÓN GENERACIÓN'!J140</f>
        <v>2037.2134724999999</v>
      </c>
      <c r="K140" s="263">
        <f>+K$3*'PROYECCIÓN GENERACIÓN'!K140</f>
        <v>2874.7194209999993</v>
      </c>
      <c r="L140" s="263">
        <f>+L$3*'PROYECCIÓN GENERACIÓN'!L140</f>
        <v>2897.7086249999998</v>
      </c>
      <c r="M140" s="263">
        <f>+M$3*'PROYECCIÓN GENERACIÓN'!M140</f>
        <v>2921.0733824999993</v>
      </c>
      <c r="N140" s="263">
        <f>+N$3*'PROYECCIÓN GENERACIÓN'!N140</f>
        <v>2944.8191219999999</v>
      </c>
      <c r="O140" s="263">
        <f>+O$3*'PROYECCIÓN GENERACIÓN'!O140</f>
        <v>2968.9522590000001</v>
      </c>
      <c r="P140" s="263">
        <f>+P$3*'PROYECCIÓN GENERACIÓN'!P140</f>
        <v>2993.4782219999997</v>
      </c>
      <c r="Q140" s="263">
        <f>+Q$3*'PROYECCIÓN GENERACIÓN'!Q140</f>
        <v>3018.4049069999992</v>
      </c>
      <c r="R140" s="263">
        <f>+R$3*'PROYECCIÓN GENERACIÓN'!R140</f>
        <v>3043.7387294999994</v>
      </c>
      <c r="S140" s="263">
        <f>+S$3*'PROYECCIÓN GENERACIÓN'!S140</f>
        <v>3069.4851179999996</v>
      </c>
      <c r="T140" s="263">
        <f>+T$3*'PROYECCIÓN GENERACIÓN'!T140</f>
        <v>3095.6514750000001</v>
      </c>
      <c r="U140" s="263">
        <f>+U$3*'PROYECCIÓN GENERACIÓN'!U140</f>
        <v>3122.2452029999999</v>
      </c>
      <c r="V140" s="263">
        <f>+V$3*'PROYECCIÓN GENERACIÓN'!V140</f>
        <v>3149.2727174999995</v>
      </c>
      <c r="W140" s="263">
        <f>+W$3*'PROYECCIÓN GENERACIÓN'!W140</f>
        <v>3176.7409275</v>
      </c>
      <c r="X140" s="263">
        <f>+X$3*'PROYECCIÓN GENERACIÓN'!X140</f>
        <v>3204.6567419999997</v>
      </c>
      <c r="Y140" s="263">
        <f>+Y$3*'PROYECCIÓN GENERACIÓN'!Y140</f>
        <v>3233.0285504999997</v>
      </c>
      <c r="Z140" s="263">
        <f>+Z$3*'PROYECCIÓN GENERACIÓN'!Z140</f>
        <v>3261.8632619999998</v>
      </c>
      <c r="AA140" s="565">
        <f t="shared" si="3"/>
        <v>2647.3633717499997</v>
      </c>
    </row>
    <row r="141" spans="1:27" ht="24.95" customHeight="1">
      <c r="A141" s="351" t="str">
        <f>+Pobl_adoptada!A141</f>
        <v>Adolfo Alsina</v>
      </c>
      <c r="B141" s="70">
        <f>+Pobl_adoptada!B141</f>
        <v>137</v>
      </c>
      <c r="C141" s="353" t="str">
        <f>+Pobl_adoptada!C141</f>
        <v>Rivera</v>
      </c>
      <c r="D141" s="279"/>
      <c r="E141" s="278"/>
      <c r="F141" s="263"/>
      <c r="G141" s="263">
        <f>+G$3*'PROYECCIÓN GENERACIÓN'!G141</f>
        <v>3.05992E-2</v>
      </c>
      <c r="H141" s="263">
        <f>+H$3*'PROYECCIÓN GENERACIÓN'!H141</f>
        <v>0.24545600000000004</v>
      </c>
      <c r="I141" s="263">
        <f>+I$3*'PROYECCIÓN GENERACIÓN'!I141</f>
        <v>0.46147199999999999</v>
      </c>
      <c r="J141" s="263">
        <f>+J$3*'PROYECCIÓN GENERACIÓN'!J141</f>
        <v>0.77142000000000011</v>
      </c>
      <c r="K141" s="263">
        <f>+K$3*'PROYECCIÓN GENERACIÓN'!K141</f>
        <v>1.082886</v>
      </c>
      <c r="L141" s="263">
        <f>+L$3*'PROYECCIÓN GENERACIÓN'!L141</f>
        <v>1.0857839999999999</v>
      </c>
      <c r="M141" s="263">
        <f>+M$3*'PROYECCIÓN GENERACIÓN'!M141</f>
        <v>1.0886819999999999</v>
      </c>
      <c r="N141" s="263">
        <f>+N$3*'PROYECCIÓN GENERACIÓN'!N141</f>
        <v>1.0919019999999999</v>
      </c>
      <c r="O141" s="263">
        <f>+O$3*'PROYECCIÓN GENERACIÓN'!O141</f>
        <v>1.0948</v>
      </c>
      <c r="P141" s="263">
        <f>+P$3*'PROYECCIÓN GENERACIÓN'!P141</f>
        <v>1.0976980000000001</v>
      </c>
      <c r="Q141" s="263">
        <f>+Q$3*'PROYECCIÓN GENERACIÓN'!Q141</f>
        <v>1.1009179999999998</v>
      </c>
      <c r="R141" s="263">
        <f>+R$3*'PROYECCIÓN GENERACIÓN'!R141</f>
        <v>1.1038159999999999</v>
      </c>
      <c r="S141" s="263">
        <f>+S$3*'PROYECCIÓN GENERACIÓN'!S141</f>
        <v>1.106714</v>
      </c>
      <c r="T141" s="263">
        <f>+T$3*'PROYECCIÓN GENERACIÓN'!T141</f>
        <v>1.109934</v>
      </c>
      <c r="U141" s="263">
        <f>+U$3*'PROYECCIÓN GENERACIÓN'!U141</f>
        <v>1.112832</v>
      </c>
      <c r="V141" s="263">
        <f>+V$3*'PROYECCIÓN GENERACIÓN'!V141</f>
        <v>1.1157299999999999</v>
      </c>
      <c r="W141" s="263">
        <f>+W$3*'PROYECCIÓN GENERACIÓN'!W141</f>
        <v>1.1189499999999999</v>
      </c>
      <c r="X141" s="263">
        <f>+X$3*'PROYECCIÓN GENERACIÓN'!X141</f>
        <v>1.121848</v>
      </c>
      <c r="Y141" s="263">
        <f>+Y$3*'PROYECCIÓN GENERACIÓN'!Y141</f>
        <v>1.1247459999999998</v>
      </c>
      <c r="Z141" s="263">
        <f>+Z$3*'PROYECCIÓN GENERACIÓN'!Z141</f>
        <v>1.127966</v>
      </c>
      <c r="AA141" s="565">
        <f t="shared" si="3"/>
        <v>0.95970765999999996</v>
      </c>
    </row>
    <row r="142" spans="1:27" ht="24.95" customHeight="1">
      <c r="A142" s="351" t="str">
        <f>+Pobl_adoptada!A142</f>
        <v>Carlos Tejedor</v>
      </c>
      <c r="B142" s="70">
        <f>+Pobl_adoptada!B142</f>
        <v>138</v>
      </c>
      <c r="C142" s="353" t="str">
        <f>+Pobl_adoptada!C142</f>
        <v>Tres Algarrobos</v>
      </c>
      <c r="D142" s="279"/>
      <c r="E142" s="278"/>
      <c r="F142" s="263"/>
      <c r="G142" s="263">
        <f>+G$3*'PROYECCIÓN GENERACIÓN'!G142</f>
        <v>3.2310400000000003E-2</v>
      </c>
      <c r="H142" s="263">
        <f>+H$3*'PROYECCIÓN GENERACIÓN'!H142</f>
        <v>0.2599552</v>
      </c>
      <c r="I142" s="263">
        <f>+I$3*'PROYECCIÓN GENERACIÓN'!I142</f>
        <v>0.490176</v>
      </c>
      <c r="J142" s="263">
        <f>+J$3*'PROYECCIÓN GENERACIÓN'!J142</f>
        <v>0.82156000000000007</v>
      </c>
      <c r="K142" s="263">
        <f>+K$3*'PROYECCIÓN GENERACIÓN'!K142</f>
        <v>1.1566240000000001</v>
      </c>
      <c r="L142" s="263">
        <f>+L$3*'PROYECCIÓN GENERACIÓN'!L142</f>
        <v>1.1630639999999999</v>
      </c>
      <c r="M142" s="263">
        <f>+M$3*'PROYECCIÓN GENERACIÓN'!M142</f>
        <v>1.1695039999999999</v>
      </c>
      <c r="N142" s="263">
        <f>+N$3*'PROYECCIÓN GENERACIÓN'!N142</f>
        <v>1.1759439999999999</v>
      </c>
      <c r="O142" s="263">
        <f>+O$3*'PROYECCIÓN GENERACIÓN'!O142</f>
        <v>1.1823840000000001</v>
      </c>
      <c r="P142" s="263">
        <f>+P$3*'PROYECCIÓN GENERACIÓN'!P142</f>
        <v>1.1888240000000001</v>
      </c>
      <c r="Q142" s="263">
        <f>+Q$3*'PROYECCIÓN GENERACIÓN'!Q142</f>
        <v>1.1952639999999999</v>
      </c>
      <c r="R142" s="263">
        <f>+R$3*'PROYECCIÓN GENERACIÓN'!R142</f>
        <v>1.2017039999999999</v>
      </c>
      <c r="S142" s="263">
        <f>+S$3*'PROYECCIÓN GENERACIÓN'!S142</f>
        <v>1.2081440000000001</v>
      </c>
      <c r="T142" s="263">
        <f>+T$3*'PROYECCIÓN GENERACIÓN'!T142</f>
        <v>1.2145840000000001</v>
      </c>
      <c r="U142" s="263">
        <f>+U$3*'PROYECCIÓN GENERACIÓN'!U142</f>
        <v>1.2210239999999999</v>
      </c>
      <c r="V142" s="263">
        <f>+V$3*'PROYECCIÓN GENERACIÓN'!V142</f>
        <v>1.2274639999999999</v>
      </c>
      <c r="W142" s="263">
        <f>+W$3*'PROYECCIÓN GENERACIÓN'!W142</f>
        <v>1.2339039999999999</v>
      </c>
      <c r="X142" s="263">
        <f>+X$3*'PROYECCIÓN GENERACIÓN'!X142</f>
        <v>1.2403440000000001</v>
      </c>
      <c r="Y142" s="263">
        <f>+Y$3*'PROYECCIÓN GENERACIÓN'!Y142</f>
        <v>1.2467839999999999</v>
      </c>
      <c r="Z142" s="263">
        <f>+Z$3*'PROYECCIÓN GENERACIÓN'!Z142</f>
        <v>1.2532240000000001</v>
      </c>
      <c r="AA142" s="565">
        <f t="shared" si="3"/>
        <v>1.0441392799999998</v>
      </c>
    </row>
    <row r="143" spans="1:27" ht="24.95" customHeight="1">
      <c r="A143" s="351" t="str">
        <f>+Pobl_adoptada!A143</f>
        <v>Exaltación de la Cruz</v>
      </c>
      <c r="B143" s="70">
        <f>+Pobl_adoptada!B143</f>
        <v>139</v>
      </c>
      <c r="C143" s="353" t="str">
        <f>+Pobl_adoptada!C143</f>
        <v>Los Cardales</v>
      </c>
      <c r="D143" s="279"/>
      <c r="E143" s="278"/>
      <c r="F143" s="263"/>
      <c r="G143" s="263">
        <f>+G$3*'PROYECCIÓN GENERACIÓN'!G143</f>
        <v>0.11780599999999999</v>
      </c>
      <c r="H143" s="263">
        <f>+H$3*'PROYECCIÓN GENERACIÓN'!H143</f>
        <v>0.97203519999999999</v>
      </c>
      <c r="I143" s="263">
        <f>+I$3*'PROYECCIÓN GENERACIÓN'!I143</f>
        <v>1.8791460000000002</v>
      </c>
      <c r="J143" s="263">
        <f>+J$3*'PROYECCIÓN GENERACIÓN'!J143</f>
        <v>3.2275900000000002</v>
      </c>
      <c r="K143" s="263">
        <f>+K$3*'PROYECCIÓN GENERACIÓN'!K143</f>
        <v>4.6545100000000001</v>
      </c>
      <c r="L143" s="263">
        <f>+L$3*'PROYECCIÓN GENERACIÓN'!L143</f>
        <v>4.7929699999999995</v>
      </c>
      <c r="M143" s="263">
        <f>+M$3*'PROYECCIÓN GENERACIÓN'!M143</f>
        <v>4.9336839999999995</v>
      </c>
      <c r="N143" s="263">
        <f>+N$3*'PROYECCIÓN GENERACIÓN'!N143</f>
        <v>5.0763300000000005</v>
      </c>
      <c r="O143" s="263">
        <f>+O$3*'PROYECCIÓN GENERACIÓN'!O143</f>
        <v>5.221552</v>
      </c>
      <c r="P143" s="263">
        <f>+P$3*'PROYECCIÓN GENERACIÓN'!P143</f>
        <v>5.3693499999999998</v>
      </c>
      <c r="Q143" s="263">
        <f>+Q$3*'PROYECCIÓN GENERACIÓN'!Q143</f>
        <v>5.5190799999999998</v>
      </c>
      <c r="R143" s="263">
        <f>+R$3*'PROYECCIÓN GENERACIÓN'!R143</f>
        <v>5.6717079999999997</v>
      </c>
      <c r="S143" s="263">
        <f>+S$3*'PROYECCIÓN GENERACIÓN'!S143</f>
        <v>5.8265900000000004</v>
      </c>
      <c r="T143" s="263">
        <f>+T$3*'PROYECCIÓN GENERACIÓN'!T143</f>
        <v>5.9840480000000005</v>
      </c>
      <c r="U143" s="263">
        <f>+U$3*'PROYECCIÓN GENERACIÓN'!U143</f>
        <v>6.144082</v>
      </c>
      <c r="V143" s="263">
        <f>+V$3*'PROYECCIÓN GENERACIÓN'!V143</f>
        <v>6.3066919999999991</v>
      </c>
      <c r="W143" s="263">
        <f>+W$3*'PROYECCIÓN GENERACIÓN'!W143</f>
        <v>6.4718779999999994</v>
      </c>
      <c r="X143" s="263">
        <f>+X$3*'PROYECCIÓN GENERACIÓN'!X143</f>
        <v>6.6399619999999988</v>
      </c>
      <c r="Y143" s="263">
        <f>+Y$3*'PROYECCIÓN GENERACIÓN'!Y143</f>
        <v>6.8106220000000004</v>
      </c>
      <c r="Z143" s="263">
        <f>+Z$3*'PROYECCIÓN GENERACIÓN'!Z143</f>
        <v>6.9841799999999994</v>
      </c>
      <c r="AA143" s="565">
        <f t="shared" si="3"/>
        <v>4.9301907600000003</v>
      </c>
    </row>
    <row r="144" spans="1:27" ht="24.95" customHeight="1">
      <c r="A144" s="351" t="str">
        <f>+Pobl_adoptada!A144</f>
        <v>Exaltación de la Cruz</v>
      </c>
      <c r="B144" s="70">
        <f>+Pobl_adoptada!B144</f>
        <v>140</v>
      </c>
      <c r="C144" s="353" t="str">
        <f>+Pobl_adoptada!C144</f>
        <v>Parada Robles - Pavón</v>
      </c>
      <c r="D144" s="279"/>
      <c r="E144" s="278"/>
      <c r="F144" s="263"/>
      <c r="G144" s="263">
        <f>+G$3*'PROYECCIÓN GENERACIÓN'!G144</f>
        <v>0.19067280000000003</v>
      </c>
      <c r="H144" s="263">
        <f>+H$3*'PROYECCIÓN GENERACIÓN'!H144</f>
        <v>1.5859296000000003</v>
      </c>
      <c r="I144" s="263">
        <f>+I$3*'PROYECCIÓN GENERACIÓN'!I144</f>
        <v>3.0888930000000006</v>
      </c>
      <c r="J144" s="263">
        <f>+J$3*'PROYECCIÓN GENERACIÓN'!J144</f>
        <v>5.3434600000000003</v>
      </c>
      <c r="K144" s="263">
        <f>+K$3*'PROYECCIÓN GENERACIÓN'!K144</f>
        <v>7.7587230000000007</v>
      </c>
      <c r="L144" s="263">
        <f>+L$3*'PROYECCIÓN GENERACIÓN'!L144</f>
        <v>8.0414250000000003</v>
      </c>
      <c r="M144" s="263">
        <f>+M$3*'PROYECCIÓN GENERACIÓN'!M144</f>
        <v>8.3285789999999995</v>
      </c>
      <c r="N144" s="263">
        <f>+N$3*'PROYECCIÓN GENERACIÓN'!N144</f>
        <v>8.6201849999999993</v>
      </c>
      <c r="O144" s="263">
        <f>+O$3*'PROYECCIÓN GENERACIÓN'!O144</f>
        <v>8.9166139999999992</v>
      </c>
      <c r="P144" s="263">
        <f>+P$3*'PROYECCIÓN GENERACIÓN'!P144</f>
        <v>9.2182370000000002</v>
      </c>
      <c r="Q144" s="263">
        <f>+Q$3*'PROYECCIÓN GENERACIÓN'!Q144</f>
        <v>9.5243119999999983</v>
      </c>
      <c r="R144" s="263">
        <f>+R$3*'PROYECCIÓN GENERACIÓN'!R144</f>
        <v>9.8355809999999995</v>
      </c>
      <c r="S144" s="263">
        <f>+S$3*'PROYECCIÓN GENERACIÓN'!S144</f>
        <v>10.152043999999998</v>
      </c>
      <c r="T144" s="263">
        <f>+T$3*'PROYECCIÓN GENERACIÓN'!T144</f>
        <v>10.473700999999998</v>
      </c>
      <c r="U144" s="263">
        <f>+U$3*'PROYECCIÓN GENERACIÓN'!U144</f>
        <v>10.800552</v>
      </c>
      <c r="V144" s="263">
        <f>+V$3*'PROYECCIÓN GENERACIÓN'!V144</f>
        <v>11.132596999999999</v>
      </c>
      <c r="W144" s="263">
        <f>+W$3*'PROYECCIÓN GENERACIÓN'!W144</f>
        <v>11.470207</v>
      </c>
      <c r="X144" s="263">
        <f>+X$3*'PROYECCIÓN GENERACIÓN'!X144</f>
        <v>11.813010999999999</v>
      </c>
      <c r="Y144" s="263">
        <f>+Y$3*'PROYECCIÓN GENERACIÓN'!Y144</f>
        <v>12.161751000000001</v>
      </c>
      <c r="Z144" s="263">
        <f>+Z$3*'PROYECCIÓN GENERACIÓN'!Z144</f>
        <v>12.516056000000001</v>
      </c>
      <c r="AA144" s="565">
        <f t="shared" si="3"/>
        <v>8.5486265199999991</v>
      </c>
    </row>
    <row r="145" spans="1:27" ht="24.95" customHeight="1">
      <c r="A145" s="351" t="str">
        <f>+Pobl_adoptada!A145</f>
        <v>General Alvarado</v>
      </c>
      <c r="B145" s="70">
        <f>+Pobl_adoptada!B145</f>
        <v>141</v>
      </c>
      <c r="C145" s="353" t="str">
        <f>+Pobl_adoptada!C145</f>
        <v>Comandante Nicanor Otamendi</v>
      </c>
      <c r="D145" s="279"/>
      <c r="E145" s="278"/>
      <c r="F145" s="263"/>
      <c r="G145" s="263">
        <f>+G$3*'PROYECCIÓN GENERACIÓN'!G145</f>
        <v>6.8144400000000008E-2</v>
      </c>
      <c r="H145" s="263">
        <f>+H$3*'PROYECCIÓN GENERACIÓN'!H145</f>
        <v>0.54898240000000009</v>
      </c>
      <c r="I145" s="263">
        <f>+I$3*'PROYECCIÓN GENERACIÓN'!I145</f>
        <v>1.036656</v>
      </c>
      <c r="J145" s="263">
        <f>+J$3*'PROYECCIÓN GENERACIÓN'!J145</f>
        <v>1.7399500000000001</v>
      </c>
      <c r="K145" s="263">
        <f>+K$3*'PROYECCIÓN GENERACIÓN'!K145</f>
        <v>2.4529959999999997</v>
      </c>
      <c r="L145" s="263">
        <f>+L$3*'PROYECCIÓN GENERACIÓN'!L145</f>
        <v>2.4697400000000003</v>
      </c>
      <c r="M145" s="263">
        <f>+M$3*'PROYECCIÓN GENERACIÓN'!M145</f>
        <v>2.4868059999999996</v>
      </c>
      <c r="N145" s="263">
        <f>+N$3*'PROYECCIÓN GENERACIÓN'!N145</f>
        <v>2.5038719999999999</v>
      </c>
      <c r="O145" s="263">
        <f>+O$3*'PROYECCIÓN GENERACIÓN'!O145</f>
        <v>2.520616</v>
      </c>
      <c r="P145" s="263">
        <f>+P$3*'PROYECCIÓN GENERACIÓN'!P145</f>
        <v>2.5376820000000002</v>
      </c>
      <c r="Q145" s="263">
        <f>+Q$3*'PROYECCIÓN GENERACIÓN'!Q145</f>
        <v>2.554748</v>
      </c>
      <c r="R145" s="263">
        <f>+R$3*'PROYECCIÓN GENERACIÓN'!R145</f>
        <v>2.5714920000000001</v>
      </c>
      <c r="S145" s="263">
        <f>+S$3*'PROYECCIÓN GENERACIÓN'!S145</f>
        <v>2.5885579999999999</v>
      </c>
      <c r="T145" s="263">
        <f>+T$3*'PROYECCIÓN GENERACIÓN'!T145</f>
        <v>2.6056240000000002</v>
      </c>
      <c r="U145" s="263">
        <f>+U$3*'PROYECCIÓN GENERACIÓN'!U145</f>
        <v>2.6223679999999998</v>
      </c>
      <c r="V145" s="263">
        <f>+V$3*'PROYECCIÓN GENERACIÓN'!V145</f>
        <v>2.6394340000000001</v>
      </c>
      <c r="W145" s="263">
        <f>+W$3*'PROYECCIÓN GENERACIÓN'!W145</f>
        <v>2.6564999999999999</v>
      </c>
      <c r="X145" s="263">
        <f>+X$3*'PROYECCIÓN GENERACIÓN'!X145</f>
        <v>2.673244</v>
      </c>
      <c r="Y145" s="263">
        <f>+Y$3*'PROYECCIÓN GENERACIÓN'!Y145</f>
        <v>2.6903099999999998</v>
      </c>
      <c r="Z145" s="263">
        <f>+Z$3*'PROYECCIÓN GENERACIÓN'!Z145</f>
        <v>2.707376</v>
      </c>
      <c r="AA145" s="565">
        <f t="shared" si="3"/>
        <v>2.2337549399999994</v>
      </c>
    </row>
    <row r="146" spans="1:27" ht="24.95" customHeight="1">
      <c r="A146" s="351" t="str">
        <f>+Pobl_adoptada!A146</f>
        <v>General Arenales</v>
      </c>
      <c r="B146" s="70">
        <f>+Pobl_adoptada!B146</f>
        <v>142</v>
      </c>
      <c r="C146" s="353" t="str">
        <f>+Pobl_adoptada!C146</f>
        <v>Arribeños</v>
      </c>
      <c r="D146" s="279"/>
      <c r="E146" s="278"/>
      <c r="F146" s="263"/>
      <c r="G146" s="263">
        <f>+G$3*'PROYECCIÓN GENERACIÓN'!G146</f>
        <v>2.7554000000000002E-2</v>
      </c>
      <c r="H146" s="263">
        <f>+H$3*'PROYECCIÓN GENERACIÓN'!H146</f>
        <v>0.2208736</v>
      </c>
      <c r="I146" s="263">
        <f>+I$3*'PROYECCIÓN GENERACIÓN'!I146</f>
        <v>0.41510399999999997</v>
      </c>
      <c r="J146" s="263">
        <f>+J$3*'PROYECCIÓN GENERACIÓN'!J146</f>
        <v>0.69322000000000006</v>
      </c>
      <c r="K146" s="263">
        <f>+K$3*'PROYECCIÓN GENERACIÓN'!K146</f>
        <v>0.97276200000000002</v>
      </c>
      <c r="L146" s="263">
        <f>+L$3*'PROYECCIÓN GENERACIÓN'!L146</f>
        <v>0.97469399999999995</v>
      </c>
      <c r="M146" s="263">
        <f>+M$3*'PROYECCIÓN GENERACIÓN'!M146</f>
        <v>0.97694799999999993</v>
      </c>
      <c r="N146" s="263">
        <f>+N$3*'PROYECCIÓN GENERACIÓN'!N146</f>
        <v>0.97887999999999997</v>
      </c>
      <c r="O146" s="263">
        <f>+O$3*'PROYECCIÓN GENERACIÓN'!O146</f>
        <v>0.98113399999999995</v>
      </c>
      <c r="P146" s="263">
        <f>+P$3*'PROYECCIÓN GENERACIÓN'!P146</f>
        <v>0.98306600000000011</v>
      </c>
      <c r="Q146" s="263">
        <f>+Q$3*'PROYECCIÓN GENERACIÓN'!Q146</f>
        <v>0.98532000000000008</v>
      </c>
      <c r="R146" s="263">
        <f>+R$3*'PROYECCIÓN GENERACIÓN'!R146</f>
        <v>0.98757400000000006</v>
      </c>
      <c r="S146" s="263">
        <f>+S$3*'PROYECCIÓN GENERACIÓN'!S146</f>
        <v>0.989506</v>
      </c>
      <c r="T146" s="263">
        <f>+T$3*'PROYECCIÓN GENERACIÓN'!T146</f>
        <v>0.99175999999999997</v>
      </c>
      <c r="U146" s="263">
        <f>+U$3*'PROYECCIÓN GENERACIÓN'!U146</f>
        <v>0.99369200000000002</v>
      </c>
      <c r="V146" s="263">
        <f>+V$3*'PROYECCIÓN GENERACIÓN'!V146</f>
        <v>0.99594599999999989</v>
      </c>
      <c r="W146" s="263">
        <f>+W$3*'PROYECCIÓN GENERACIÓN'!W146</f>
        <v>0.99787799999999993</v>
      </c>
      <c r="X146" s="263">
        <f>+X$3*'PROYECCIÓN GENERACIÓN'!X146</f>
        <v>1.000132</v>
      </c>
      <c r="Y146" s="263">
        <f>+Y$3*'PROYECCIÓN GENERACIÓN'!Y146</f>
        <v>1.0020639999999998</v>
      </c>
      <c r="Z146" s="263">
        <f>+Z$3*'PROYECCIÓN GENERACIÓN'!Z146</f>
        <v>1.0043179999999998</v>
      </c>
      <c r="AA146" s="565">
        <f t="shared" si="3"/>
        <v>0.85862128000000004</v>
      </c>
    </row>
    <row r="147" spans="1:27" ht="24.95" customHeight="1">
      <c r="A147" s="351" t="str">
        <f>+Pobl_adoptada!A147</f>
        <v>General Arenales</v>
      </c>
      <c r="B147" s="70">
        <f>+Pobl_adoptada!B147</f>
        <v>143</v>
      </c>
      <c r="C147" s="353" t="str">
        <f>+Pobl_adoptada!C147</f>
        <v>Ascensión</v>
      </c>
      <c r="D147" s="279"/>
      <c r="E147" s="278"/>
      <c r="F147" s="263"/>
      <c r="G147" s="263">
        <f>+G$3*'PROYECCIÓN GENERACIÓN'!G147</f>
        <v>4.0480000000000002E-2</v>
      </c>
      <c r="H147" s="263">
        <f>+H$3*'PROYECCIÓN GENERACIÓN'!H147</f>
        <v>0.32479680000000005</v>
      </c>
      <c r="I147" s="263">
        <f>+I$3*'PROYECCIÓN GENERACIÓN'!I147</f>
        <v>0.61064999999999992</v>
      </c>
      <c r="J147" s="263">
        <f>+J$3*'PROYECCIÓN GENERACIÓN'!J147</f>
        <v>1.02074</v>
      </c>
      <c r="K147" s="263">
        <f>+K$3*'PROYECCIÓN GENERACIÓN'!K147</f>
        <v>1.433222</v>
      </c>
      <c r="L147" s="263">
        <f>+L$3*'PROYECCIÓN GENERACIÓN'!L147</f>
        <v>1.437408</v>
      </c>
      <c r="M147" s="263">
        <f>+M$3*'PROYECCIÓN GENERACIÓN'!M147</f>
        <v>1.441594</v>
      </c>
      <c r="N147" s="263">
        <f>+N$3*'PROYECCIÓN GENERACIÓN'!N147</f>
        <v>1.4454579999999999</v>
      </c>
      <c r="O147" s="263">
        <f>+O$3*'PROYECCIÓN GENERACIÓN'!O147</f>
        <v>1.4496439999999999</v>
      </c>
      <c r="P147" s="263">
        <f>+P$3*'PROYECCIÓN GENERACIÓN'!P147</f>
        <v>1.45383</v>
      </c>
      <c r="Q147" s="263">
        <f>+Q$3*'PROYECCIÓN GENERACIÓN'!Q147</f>
        <v>1.4580160000000002</v>
      </c>
      <c r="R147" s="263">
        <f>+R$3*'PROYECCIÓN GENERACIÓN'!R147</f>
        <v>1.4622019999999998</v>
      </c>
      <c r="S147" s="263">
        <f>+S$3*'PROYECCIÓN GENERACIÓN'!S147</f>
        <v>1.466388</v>
      </c>
      <c r="T147" s="263">
        <f>+T$3*'PROYECCIÓN GENERACIÓN'!T147</f>
        <v>1.4702520000000001</v>
      </c>
      <c r="U147" s="263">
        <f>+U$3*'PROYECCIÓN GENERACIÓN'!U147</f>
        <v>1.4744380000000001</v>
      </c>
      <c r="V147" s="263">
        <f>+V$3*'PROYECCIÓN GENERACIÓN'!V147</f>
        <v>1.4786239999999999</v>
      </c>
      <c r="W147" s="263">
        <f>+W$3*'PROYECCIÓN GENERACIÓN'!W147</f>
        <v>1.48281</v>
      </c>
      <c r="X147" s="263">
        <f>+X$3*'PROYECCIÓN GENERACIÓN'!X147</f>
        <v>1.486996</v>
      </c>
      <c r="Y147" s="263">
        <f>+Y$3*'PROYECCIÓN GENERACIÓN'!Y147</f>
        <v>1.4908600000000001</v>
      </c>
      <c r="Z147" s="263">
        <f>+Z$3*'PROYECCIÓN GENERACIÓN'!Z147</f>
        <v>1.4950459999999999</v>
      </c>
      <c r="AA147" s="565">
        <f t="shared" si="3"/>
        <v>1.2711727400000001</v>
      </c>
    </row>
    <row r="148" spans="1:27" ht="24.95" customHeight="1">
      <c r="A148" s="351" t="str">
        <f>+Pobl_adoptada!A148</f>
        <v>General Guido</v>
      </c>
      <c r="B148" s="70">
        <f>+Pobl_adoptada!B148</f>
        <v>144</v>
      </c>
      <c r="C148" s="353" t="str">
        <f>+Pobl_adoptada!C148</f>
        <v>Labarden</v>
      </c>
      <c r="D148" s="279"/>
      <c r="E148" s="278"/>
      <c r="F148" s="263"/>
      <c r="G148" s="263">
        <f>+G$3*'PROYECCIÓN GENERACIÓN'!G148</f>
        <v>7.0380000000000009E-3</v>
      </c>
      <c r="H148" s="263">
        <f>+H$3*'PROYECCIÓN GENERACIÓN'!H148</f>
        <v>5.6156800000000007E-2</v>
      </c>
      <c r="I148" s="263">
        <f>+I$3*'PROYECCIÓN GENERACIÓN'!I148</f>
        <v>0.10488</v>
      </c>
      <c r="J148" s="263">
        <f>+J$3*'PROYECCIÓN GENERACIÓN'!J148</f>
        <v>0.17433999999999999</v>
      </c>
      <c r="K148" s="263">
        <f>+K$3*'PROYECCIÓN GENERACIÓN'!K148</f>
        <v>0.24343199999999998</v>
      </c>
      <c r="L148" s="263">
        <f>+L$3*'PROYECCIÓN GENERACIÓN'!L148</f>
        <v>0.242788</v>
      </c>
      <c r="M148" s="263">
        <f>+M$3*'PROYECCIÓN GENERACIÓN'!M148</f>
        <v>0.242144</v>
      </c>
      <c r="N148" s="263">
        <f>+N$3*'PROYECCIÓN GENERACIÓN'!N148</f>
        <v>0.24149999999999996</v>
      </c>
      <c r="O148" s="263">
        <f>+O$3*'PROYECCIÓN GENERACIÓN'!O148</f>
        <v>0.24085600000000001</v>
      </c>
      <c r="P148" s="263">
        <f>+P$3*'PROYECCIÓN GENERACIÓN'!P148</f>
        <v>0.24021200000000001</v>
      </c>
      <c r="Q148" s="263">
        <f>+Q$3*'PROYECCIÓN GENERACIÓN'!Q148</f>
        <v>0.23956799999999998</v>
      </c>
      <c r="R148" s="263">
        <f>+R$3*'PROYECCIÓN GENERACIÓN'!R148</f>
        <v>0.238924</v>
      </c>
      <c r="S148" s="263">
        <f>+S$3*'PROYECCIÓN GENERACIÓN'!S148</f>
        <v>0.23828000000000002</v>
      </c>
      <c r="T148" s="263">
        <f>+T$3*'PROYECCIÓN GENERACIÓN'!T148</f>
        <v>0.23763599999999999</v>
      </c>
      <c r="U148" s="263">
        <f>+U$3*'PROYECCIÓN GENERACIÓN'!U148</f>
        <v>0.23699200000000001</v>
      </c>
      <c r="V148" s="263">
        <f>+V$3*'PROYECCIÓN GENERACIÓN'!V148</f>
        <v>0.23634799999999997</v>
      </c>
      <c r="W148" s="263">
        <f>+W$3*'PROYECCIÓN GENERACIÓN'!W148</f>
        <v>0.235704</v>
      </c>
      <c r="X148" s="263">
        <f>+X$3*'PROYECCIÓN GENERACIÓN'!X148</f>
        <v>0.23505999999999996</v>
      </c>
      <c r="Y148" s="263">
        <f>+Y$3*'PROYECCIÓN GENERACIÓN'!Y148</f>
        <v>0.23441599999999999</v>
      </c>
      <c r="Z148" s="263">
        <f>+Z$3*'PROYECCIÓN GENERACIÓN'!Z148</f>
        <v>0.23377200000000001</v>
      </c>
      <c r="AA148" s="565">
        <f t="shared" si="3"/>
        <v>0.20800234000000001</v>
      </c>
    </row>
    <row r="149" spans="1:27" ht="24.95" customHeight="1">
      <c r="A149" s="351" t="str">
        <f>+Pobl_adoptada!A149</f>
        <v>General Lavalle</v>
      </c>
      <c r="B149" s="70">
        <f>+Pobl_adoptada!B149</f>
        <v>145</v>
      </c>
      <c r="C149" s="353" t="str">
        <f>+Pobl_adoptada!C149</f>
        <v>Pavón</v>
      </c>
      <c r="D149" s="279"/>
      <c r="E149" s="278"/>
      <c r="F149" s="263"/>
      <c r="G149" s="263">
        <f>+G$3*'PROYECCIÓN GENERACIÓN'!G149</f>
        <v>1.2631600000000002E-2</v>
      </c>
      <c r="H149" s="263">
        <f>+H$3*'PROYECCIÓN GENERACIÓN'!H149</f>
        <v>0.10348160000000001</v>
      </c>
      <c r="I149" s="263">
        <f>+I$3*'PROYECCIÓN GENERACIÓN'!I149</f>
        <v>0.19871999999999998</v>
      </c>
      <c r="J149" s="263">
        <f>+J$3*'PROYECCIÓN GENERACIÓN'!J149</f>
        <v>0.33902000000000004</v>
      </c>
      <c r="K149" s="263">
        <f>+K$3*'PROYECCIÓN GENERACIÓN'!K149</f>
        <v>0.48589799999999994</v>
      </c>
      <c r="L149" s="263">
        <f>+L$3*'PROYECCIÓN GENERACIÓN'!L149</f>
        <v>0.49748999999999999</v>
      </c>
      <c r="M149" s="263">
        <f>+M$3*'PROYECCIÓN GENERACIÓN'!M149</f>
        <v>0.50940399999999997</v>
      </c>
      <c r="N149" s="263">
        <f>+N$3*'PROYECCIÓN GENERACIÓN'!N149</f>
        <v>0.52163999999999999</v>
      </c>
      <c r="O149" s="263">
        <f>+O$3*'PROYECCIÓN GENERACIÓN'!O149</f>
        <v>0.53387600000000002</v>
      </c>
      <c r="P149" s="263">
        <f>+P$3*'PROYECCIÓN GENERACIÓN'!P149</f>
        <v>0.54675599999999991</v>
      </c>
      <c r="Q149" s="263">
        <f>+Q$3*'PROYECCIÓN GENERACIÓN'!Q149</f>
        <v>0.55963599999999991</v>
      </c>
      <c r="R149" s="263">
        <f>+R$3*'PROYECCIÓN GENERACIÓN'!R149</f>
        <v>0.57316</v>
      </c>
      <c r="S149" s="263">
        <f>+S$3*'PROYECCIÓN GENERACIÓN'!S149</f>
        <v>0.58668399999999998</v>
      </c>
      <c r="T149" s="263">
        <f>+T$3*'PROYECCIÓN GENERACIÓN'!T149</f>
        <v>0.60085199999999994</v>
      </c>
      <c r="U149" s="263">
        <f>+U$3*'PROYECCIÓN GENERACIÓN'!U149</f>
        <v>0.61502000000000001</v>
      </c>
      <c r="V149" s="263">
        <f>+V$3*'PROYECCIÓN GENERACIÓN'!V149</f>
        <v>0.62983199999999995</v>
      </c>
      <c r="W149" s="263">
        <f>+W$3*'PROYECCIÓN GENERACIÓN'!W149</f>
        <v>0.64464399999999999</v>
      </c>
      <c r="X149" s="263">
        <f>+X$3*'PROYECCIÓN GENERACIÓN'!X149</f>
        <v>0.66009999999999991</v>
      </c>
      <c r="Y149" s="263">
        <f>+Y$3*'PROYECCIÓN GENERACIÓN'!Y149</f>
        <v>0.67587799999999998</v>
      </c>
      <c r="Z149" s="263">
        <f>+Z$3*'PROYECCIÓN GENERACIÓN'!Z149</f>
        <v>0.69197799999999998</v>
      </c>
      <c r="AA149" s="565">
        <f t="shared" si="3"/>
        <v>0.49933506000000005</v>
      </c>
    </row>
    <row r="150" spans="1:27" ht="24.95" customHeight="1">
      <c r="A150" s="351" t="str">
        <f>+Pobl_adoptada!A150</f>
        <v>Guaminí</v>
      </c>
      <c r="B150" s="70">
        <f>+Pobl_adoptada!B150</f>
        <v>146</v>
      </c>
      <c r="C150" s="353" t="str">
        <f>+Pobl_adoptada!C150</f>
        <v>Casbas</v>
      </c>
      <c r="D150" s="279"/>
      <c r="E150" s="278"/>
      <c r="F150" s="263"/>
      <c r="G150" s="263">
        <f>+G$3*'PROYECCIÓN GENERACIÓN'!G150</f>
        <v>4.4675200000000005E-2</v>
      </c>
      <c r="H150" s="263">
        <f>+H$3*'PROYECCIÓN GENERACIÓN'!H150</f>
        <v>0.35938880000000006</v>
      </c>
      <c r="I150" s="263">
        <f>+I$3*'PROYECCIÓN GENERACIÓN'!I150</f>
        <v>0.67757999999999996</v>
      </c>
      <c r="J150" s="263">
        <f>+J$3*'PROYECCIÓN GENERACIÓN'!J150</f>
        <v>1.13574</v>
      </c>
      <c r="K150" s="263">
        <f>+K$3*'PROYECCIÓN GENERACIÓN'!K150</f>
        <v>1.59873</v>
      </c>
      <c r="L150" s="263">
        <f>+L$3*'PROYECCIÓN GENERACIÓN'!L150</f>
        <v>1.6077459999999999</v>
      </c>
      <c r="M150" s="263">
        <f>+M$3*'PROYECCIÓN GENERACIÓN'!M150</f>
        <v>1.6164400000000001</v>
      </c>
      <c r="N150" s="263">
        <f>+N$3*'PROYECCIÓN GENERACIÓN'!N150</f>
        <v>1.6251339999999999</v>
      </c>
      <c r="O150" s="263">
        <f>+O$3*'PROYECCIÓN GENERACIÓN'!O150</f>
        <v>1.6341499999999998</v>
      </c>
      <c r="P150" s="263">
        <f>+P$3*'PROYECCIÓN GENERACIÓN'!P150</f>
        <v>1.6428439999999997</v>
      </c>
      <c r="Q150" s="263">
        <f>+Q$3*'PROYECCIÓN GENERACIÓN'!Q150</f>
        <v>1.6518600000000001</v>
      </c>
      <c r="R150" s="263">
        <f>+R$3*'PROYECCIÓN GENERACIÓN'!R150</f>
        <v>1.6605540000000003</v>
      </c>
      <c r="S150" s="263">
        <f>+S$3*'PROYECCIÓN GENERACIÓN'!S150</f>
        <v>1.6692480000000003</v>
      </c>
      <c r="T150" s="263">
        <f>+T$3*'PROYECCIÓN GENERACIÓN'!T150</f>
        <v>1.678264</v>
      </c>
      <c r="U150" s="263">
        <f>+U$3*'PROYECCIÓN GENERACIÓN'!U150</f>
        <v>1.686958</v>
      </c>
      <c r="V150" s="263">
        <f>+V$3*'PROYECCIÓN GENERACIÓN'!V150</f>
        <v>1.6959740000000001</v>
      </c>
      <c r="W150" s="263">
        <f>+W$3*'PROYECCIÓN GENERACIÓN'!W150</f>
        <v>1.7046680000000001</v>
      </c>
      <c r="X150" s="263">
        <f>+X$3*'PROYECCIÓN GENERACIÓN'!X150</f>
        <v>1.7136839999999998</v>
      </c>
      <c r="Y150" s="263">
        <f>+Y$3*'PROYECCIÓN GENERACIÓN'!Y150</f>
        <v>1.722378</v>
      </c>
      <c r="Z150" s="263">
        <f>+Z$3*'PROYECCIÓN GENERACIÓN'!Z150</f>
        <v>1.7310719999999999</v>
      </c>
      <c r="AA150" s="565">
        <f t="shared" si="3"/>
        <v>1.4428544000000001</v>
      </c>
    </row>
    <row r="151" spans="1:27" ht="24.95" customHeight="1">
      <c r="A151" s="351" t="str">
        <f>+Pobl_adoptada!A151</f>
        <v>La Costa</v>
      </c>
      <c r="B151" s="70">
        <f>+Pobl_adoptada!B151</f>
        <v>147</v>
      </c>
      <c r="C151" s="353" t="str">
        <f>+Pobl_adoptada!C151</f>
        <v>San Clemente del Tuyú</v>
      </c>
      <c r="D151" s="279"/>
      <c r="E151" s="278"/>
      <c r="F151" s="263"/>
      <c r="G151" s="263">
        <f>+G$3*'PROYECCIÓN GENERACIÓN'!G151</f>
        <v>0.35394460000000005</v>
      </c>
      <c r="H151" s="263">
        <f>+H$3*'PROYECCIÓN GENERACIÓN'!H151</f>
        <v>2.8982943999999997</v>
      </c>
      <c r="I151" s="263">
        <f>+I$3*'PROYECCIÓN GENERACIÓN'!I151</f>
        <v>5.5594349999999997</v>
      </c>
      <c r="J151" s="263">
        <f>+J$3*'PROYECCIÓN GENERACIÓN'!J151</f>
        <v>9.4742800000000003</v>
      </c>
      <c r="K151" s="263">
        <f>+K$3*'PROYECCIÓN GENERACIÓN'!K151</f>
        <v>13.556339999999999</v>
      </c>
      <c r="L151" s="263">
        <f>+L$3*'PROYECCIÓN GENERACIÓN'!L151</f>
        <v>13.911758000000001</v>
      </c>
      <c r="M151" s="263">
        <f>+M$3*'PROYECCIÓN GENERACIÓN'!M151</f>
        <v>14.267547000000002</v>
      </c>
      <c r="N151" s="263">
        <f>+N$3*'PROYECCIÓN GENERACIÓN'!N151</f>
        <v>14.623335999999998</v>
      </c>
      <c r="O151" s="263">
        <f>+O$3*'PROYECCIÓN GENERACIÓN'!O151</f>
        <v>14.978754</v>
      </c>
      <c r="P151" s="263">
        <f>+P$3*'PROYECCIÓN GENERACIÓN'!P151</f>
        <v>15.334543</v>
      </c>
      <c r="Q151" s="263">
        <f>+Q$3*'PROYECCIÓN GENERACIÓN'!Q151</f>
        <v>15.689960999999998</v>
      </c>
      <c r="R151" s="263">
        <f>+R$3*'PROYECCIÓN GENERACIÓN'!R151</f>
        <v>16.045749999999998</v>
      </c>
      <c r="S151" s="263">
        <f>+S$3*'PROYECCIÓN GENERACIÓN'!S151</f>
        <v>16.401167999999998</v>
      </c>
      <c r="T151" s="263">
        <f>+T$3*'PROYECCIÓN GENERACIÓN'!T151</f>
        <v>16.757328000000001</v>
      </c>
      <c r="U151" s="263">
        <f>+U$3*'PROYECCIÓN GENERACIÓN'!U151</f>
        <v>17.112746000000001</v>
      </c>
      <c r="V151" s="263">
        <f>+V$3*'PROYECCIÓN GENERACIÓN'!V151</f>
        <v>17.468535000000003</v>
      </c>
      <c r="W151" s="263">
        <f>+W$3*'PROYECCIÓN GENERACIÓN'!W151</f>
        <v>17.823952999999999</v>
      </c>
      <c r="X151" s="263">
        <f>+X$3*'PROYECCIÓN GENERACIÓN'!X151</f>
        <v>18.179742000000001</v>
      </c>
      <c r="Y151" s="263">
        <f>+Y$3*'PROYECCIÓN GENERACIÓN'!Y151</f>
        <v>18.535160000000001</v>
      </c>
      <c r="Z151" s="263">
        <f>+Z$3*'PROYECCIÓN GENERACIÓN'!Z151</f>
        <v>18.89132</v>
      </c>
      <c r="AA151" s="565">
        <f t="shared" si="3"/>
        <v>13.893194749999997</v>
      </c>
    </row>
    <row r="152" spans="1:27" ht="24.95" customHeight="1">
      <c r="A152" s="351" t="str">
        <f>+Pobl_adoptada!A152</f>
        <v>Leandro N. Alem</v>
      </c>
      <c r="B152" s="70">
        <f>+Pobl_adoptada!B152</f>
        <v>148</v>
      </c>
      <c r="C152" s="353" t="str">
        <f>+Pobl_adoptada!C152</f>
        <v>Juan Bautista Alberdi</v>
      </c>
      <c r="D152" s="279"/>
      <c r="E152" s="278"/>
      <c r="F152" s="263"/>
      <c r="G152" s="263">
        <f>+G$3*'PROYECCIÓN GENERACIÓN'!G152</f>
        <v>3.1326E-2</v>
      </c>
      <c r="H152" s="263">
        <f>+H$3*'PROYECCIÓN GENERACIÓN'!H152</f>
        <v>0.25053440000000005</v>
      </c>
      <c r="I152" s="263">
        <f>+I$3*'PROYECCIÓN GENERACIÓN'!I152</f>
        <v>0.469752</v>
      </c>
      <c r="J152" s="263">
        <f>+J$3*'PROYECCIÓN GENERACIÓN'!J152</f>
        <v>0.78269000000000011</v>
      </c>
      <c r="K152" s="263">
        <f>+K$3*'PROYECCIÓN GENERACIÓN'!K152</f>
        <v>1.095766</v>
      </c>
      <c r="L152" s="263">
        <f>+L$3*'PROYECCIÓN GENERACIÓN'!L152</f>
        <v>1.095766</v>
      </c>
      <c r="M152" s="263">
        <f>+M$3*'PROYECCIÓN GENERACIÓN'!M152</f>
        <v>1.0954440000000001</v>
      </c>
      <c r="N152" s="263">
        <f>+N$3*'PROYECCIÓN GENERACIÓN'!N152</f>
        <v>1.0954440000000001</v>
      </c>
      <c r="O152" s="263">
        <f>+O$3*'PROYECCIÓN GENERACIÓN'!O152</f>
        <v>1.0951219999999999</v>
      </c>
      <c r="P152" s="263">
        <f>+P$3*'PROYECCIÓN GENERACIÓN'!P152</f>
        <v>1.0951219999999999</v>
      </c>
      <c r="Q152" s="263">
        <f>+Q$3*'PROYECCIÓN GENERACIÓN'!Q152</f>
        <v>1.0948</v>
      </c>
      <c r="R152" s="263">
        <f>+R$3*'PROYECCIÓN GENERACIÓN'!R152</f>
        <v>1.0948</v>
      </c>
      <c r="S152" s="263">
        <f>+S$3*'PROYECCIÓN GENERACIÓN'!S152</f>
        <v>1.0944779999999998</v>
      </c>
      <c r="T152" s="263">
        <f>+T$3*'PROYECCIÓN GENERACIÓN'!T152</f>
        <v>1.0944779999999998</v>
      </c>
      <c r="U152" s="263">
        <f>+U$3*'PROYECCIÓN GENERACIÓN'!U152</f>
        <v>1.0944779999999998</v>
      </c>
      <c r="V152" s="263">
        <f>+V$3*'PROYECCIÓN GENERACIÓN'!V152</f>
        <v>1.0941560000000001</v>
      </c>
      <c r="W152" s="263">
        <f>+W$3*'PROYECCIÓN GENERACIÓN'!W152</f>
        <v>1.0941560000000001</v>
      </c>
      <c r="X152" s="263">
        <f>+X$3*'PROYECCIÓN GENERACIÓN'!X152</f>
        <v>1.093834</v>
      </c>
      <c r="Y152" s="263">
        <f>+Y$3*'PROYECCIÓN GENERACIÓN'!Y152</f>
        <v>1.093834</v>
      </c>
      <c r="Z152" s="263">
        <f>+Z$3*'PROYECCIÓN GENERACIÓN'!Z152</f>
        <v>1.0935119999999998</v>
      </c>
      <c r="AA152" s="565">
        <f t="shared" si="3"/>
        <v>0.95247462000000005</v>
      </c>
    </row>
    <row r="153" spans="1:27" ht="24.95" customHeight="1">
      <c r="A153" s="351" t="str">
        <f>+Pobl_adoptada!A153</f>
        <v>Mar Chiquita</v>
      </c>
      <c r="B153" s="70">
        <f>+Pobl_adoptada!B153</f>
        <v>149</v>
      </c>
      <c r="C153" s="353" t="str">
        <f>+Pobl_adoptada!C153</f>
        <v>Santa Clara del Mar</v>
      </c>
      <c r="D153" s="279"/>
      <c r="E153" s="278"/>
      <c r="F153" s="263"/>
      <c r="G153" s="263">
        <f>+G$3*'PROYECCIÓN GENERACIÓN'!G153</f>
        <v>0.25130479999999999</v>
      </c>
      <c r="H153" s="263">
        <f>+H$3*'PROYECCIÓN GENERACIÓN'!H153</f>
        <v>2.1001568000000002</v>
      </c>
      <c r="I153" s="263">
        <f>+I$3*'PROYECCIÓN GENERACIÓN'!I153</f>
        <v>4.1138069999999995</v>
      </c>
      <c r="J153" s="263">
        <f>+J$3*'PROYECCIÓN GENERACIÓN'!J153</f>
        <v>7.1626850000000006</v>
      </c>
      <c r="K153" s="263">
        <f>+K$3*'PROYECCIÓN GENERACIÓN'!K153</f>
        <v>10.475926999999999</v>
      </c>
      <c r="L153" s="263">
        <f>+L$3*'PROYECCIÓN GENERACIÓN'!L153</f>
        <v>10.9445</v>
      </c>
      <c r="M153" s="263">
        <f>+M$3*'PROYECCIÓN GENERACIÓN'!M153</f>
        <v>11.433477999999999</v>
      </c>
      <c r="N153" s="263">
        <f>+N$3*'PROYECCIÓN GENERACIÓN'!N153</f>
        <v>11.944345000000002</v>
      </c>
      <c r="O153" s="263">
        <f>+O$3*'PROYECCIÓN GENERACIÓN'!O153</f>
        <v>12.477843</v>
      </c>
      <c r="P153" s="263">
        <f>+P$3*'PROYECCIÓN GENERACIÓN'!P153</f>
        <v>13.035456</v>
      </c>
      <c r="Q153" s="263">
        <f>+Q$3*'PROYECCIÓN GENERACIÓN'!Q153</f>
        <v>13.618668</v>
      </c>
      <c r="R153" s="263">
        <f>+R$3*'PROYECCIÓN GENERACIÓN'!R153</f>
        <v>14.227108000000001</v>
      </c>
      <c r="S153" s="263">
        <f>+S$3*'PROYECCIÓN GENERACIÓN'!S153</f>
        <v>14.862631</v>
      </c>
      <c r="T153" s="263">
        <f>+T$3*'PROYECCIÓN GENERACIÓN'!T153</f>
        <v>15.527092</v>
      </c>
      <c r="U153" s="263">
        <f>+U$3*'PROYECCIÓN GENERACIÓN'!U153</f>
        <v>16.220862</v>
      </c>
      <c r="V153" s="263">
        <f>+V$3*'PROYECCIÓN GENERACIÓN'!V153</f>
        <v>16.945796000000001</v>
      </c>
      <c r="W153" s="263">
        <f>+W$3*'PROYECCIÓN GENERACIÓN'!W153</f>
        <v>17.703377999999997</v>
      </c>
      <c r="X153" s="263">
        <f>+X$3*'PROYECCIÓN GENERACIÓN'!X153</f>
        <v>18.493979</v>
      </c>
      <c r="Y153" s="263">
        <f>+Y$3*'PROYECCIÓN GENERACIÓN'!Y153</f>
        <v>19.320567</v>
      </c>
      <c r="Z153" s="263">
        <f>+Z$3*'PROYECCIÓN GENERACIÓN'!Z153</f>
        <v>20.184255</v>
      </c>
      <c r="AA153" s="565">
        <f t="shared" si="3"/>
        <v>12.552191930000003</v>
      </c>
    </row>
    <row r="154" spans="1:27" ht="24.95" customHeight="1">
      <c r="A154" s="351" t="str">
        <f>+Pobl_adoptada!A154</f>
        <v>Puán</v>
      </c>
      <c r="B154" s="70">
        <f>+Pobl_adoptada!B154</f>
        <v>150</v>
      </c>
      <c r="C154" s="353" t="str">
        <f>+Pobl_adoptada!C154</f>
        <v>Darregueira</v>
      </c>
      <c r="D154" s="279"/>
      <c r="E154" s="278"/>
      <c r="F154" s="263"/>
      <c r="G154" s="263">
        <f>+G$3*'PROYECCIÓN GENERACIÓN'!G154</f>
        <v>5.2366400000000007E-2</v>
      </c>
      <c r="H154" s="263">
        <f>+H$3*'PROYECCIÓN GENERACIÓN'!H154</f>
        <v>0.41959360000000007</v>
      </c>
      <c r="I154" s="263">
        <f>+I$3*'PROYECCIÓN GENERACIÓN'!I154</f>
        <v>0.78811799999999987</v>
      </c>
      <c r="J154" s="263">
        <f>+J$3*'PROYECCIÓN GENERACIÓN'!J154</f>
        <v>1.3156000000000001</v>
      </c>
      <c r="K154" s="263">
        <f>+K$3*'PROYECCIÓN GENERACIÓN'!K154</f>
        <v>1.844738</v>
      </c>
      <c r="L154" s="263">
        <f>+L$3*'PROYECCIÓN GENERACIÓN'!L154</f>
        <v>1.8476359999999998</v>
      </c>
      <c r="M154" s="263">
        <f>+M$3*'PROYECCIÓN GENERACIÓN'!M154</f>
        <v>1.8508559999999996</v>
      </c>
      <c r="N154" s="263">
        <f>+N$3*'PROYECCIÓN GENERACIÓN'!N154</f>
        <v>1.8537540000000001</v>
      </c>
      <c r="O154" s="263">
        <f>+O$3*'PROYECCIÓN GENERACIÓN'!O154</f>
        <v>1.856652</v>
      </c>
      <c r="P154" s="263">
        <f>+P$3*'PROYECCIÓN GENERACIÓN'!P154</f>
        <v>1.859872</v>
      </c>
      <c r="Q154" s="263">
        <f>+Q$3*'PROYECCIÓN GENERACIÓN'!Q154</f>
        <v>1.8627699999999998</v>
      </c>
      <c r="R154" s="263">
        <f>+R$3*'PROYECCIÓN GENERACIÓN'!R154</f>
        <v>1.8656680000000001</v>
      </c>
      <c r="S154" s="263">
        <f>+S$3*'PROYECCIÓN GENERACIÓN'!S154</f>
        <v>1.8688880000000001</v>
      </c>
      <c r="T154" s="263">
        <f>+T$3*'PROYECCIÓN GENERACIÓN'!T154</f>
        <v>1.8717859999999997</v>
      </c>
      <c r="U154" s="263">
        <f>+U$3*'PROYECCIÓN GENERACIÓN'!U154</f>
        <v>1.8750059999999997</v>
      </c>
      <c r="V154" s="263">
        <f>+V$3*'PROYECCIÓN GENERACIÓN'!V154</f>
        <v>1.877904</v>
      </c>
      <c r="W154" s="263">
        <f>+W$3*'PROYECCIÓN GENERACIÓN'!W154</f>
        <v>1.8808020000000001</v>
      </c>
      <c r="X154" s="263">
        <f>+X$3*'PROYECCIÓN GENERACIÓN'!X154</f>
        <v>1.8840220000000001</v>
      </c>
      <c r="Y154" s="263">
        <f>+Y$3*'PROYECCIÓN GENERACIÓN'!Y154</f>
        <v>1.8869199999999997</v>
      </c>
      <c r="Z154" s="263">
        <f>+Z$3*'PROYECCIÓN GENERACIÓN'!Z154</f>
        <v>1.8901399999999999</v>
      </c>
      <c r="AA154" s="565">
        <f t="shared" si="3"/>
        <v>1.6226546000000002</v>
      </c>
    </row>
    <row r="155" spans="1:27" ht="24.95" customHeight="1">
      <c r="A155" s="351" t="str">
        <f>+Pobl_adoptada!A155</f>
        <v>Ramallo</v>
      </c>
      <c r="B155" s="70">
        <f>+Pobl_adoptada!B155</f>
        <v>151</v>
      </c>
      <c r="C155" s="353" t="str">
        <f>+Pobl_adoptada!C155</f>
        <v>Villa Ramallo</v>
      </c>
      <c r="D155" s="279"/>
      <c r="E155" s="278"/>
      <c r="F155" s="263"/>
      <c r="G155" s="263">
        <f>+G$3*'PROYECCIÓN GENERACIÓN'!G155</f>
        <v>0.11697800000000001</v>
      </c>
      <c r="H155" s="263">
        <f>+H$3*'PROYECCIÓN GENERACIÓN'!H155</f>
        <v>0.9428160000000001</v>
      </c>
      <c r="I155" s="263">
        <f>+I$3*'PROYECCIÓN GENERACIÓN'!I155</f>
        <v>1.781166</v>
      </c>
      <c r="J155" s="263">
        <f>+J$3*'PROYECCIÓN GENERACIÓN'!J155</f>
        <v>2.9906899999999998</v>
      </c>
      <c r="K155" s="263">
        <f>+K$3*'PROYECCIÓN GENERACIÓN'!K155</f>
        <v>4.2185220000000001</v>
      </c>
      <c r="L155" s="263">
        <f>+L$3*'PROYECCIÓN GENERACIÓN'!L155</f>
        <v>4.2504</v>
      </c>
      <c r="M155" s="263">
        <f>+M$3*'PROYECCIÓN GENERACIÓN'!M155</f>
        <v>4.2822779999999998</v>
      </c>
      <c r="N155" s="263">
        <f>+N$3*'PROYECCIÓN GENERACIÓN'!N155</f>
        <v>4.3144780000000003</v>
      </c>
      <c r="O155" s="263">
        <f>+O$3*'PROYECCIÓN GENERACIÓN'!O155</f>
        <v>4.3466779999999998</v>
      </c>
      <c r="P155" s="263">
        <f>+P$3*'PROYECCIÓN GENERACIÓN'!P155</f>
        <v>4.3795219999999997</v>
      </c>
      <c r="Q155" s="263">
        <f>+Q$3*'PROYECCIÓN GENERACIÓN'!Q155</f>
        <v>4.4123659999999996</v>
      </c>
      <c r="R155" s="263">
        <f>+R$3*'PROYECCIÓN GENERACIÓN'!R155</f>
        <v>4.445532</v>
      </c>
      <c r="S155" s="263">
        <f>+S$3*'PROYECCIÓN GENERACIÓN'!S155</f>
        <v>4.4786980000000005</v>
      </c>
      <c r="T155" s="263">
        <f>+T$3*'PROYECCIÓN GENERACIÓN'!T155</f>
        <v>4.5125080000000004</v>
      </c>
      <c r="U155" s="263">
        <f>+U$3*'PROYECCIÓN GENERACIÓN'!U155</f>
        <v>4.5463180000000003</v>
      </c>
      <c r="V155" s="263">
        <f>+V$3*'PROYECCIÓN GENERACIÓN'!V155</f>
        <v>4.5804499999999999</v>
      </c>
      <c r="W155" s="263">
        <f>+W$3*'PROYECCIÓN GENERACIÓN'!W155</f>
        <v>4.6149039999999992</v>
      </c>
      <c r="X155" s="263">
        <f>+X$3*'PROYECCIÓN GENERACIÓN'!X155</f>
        <v>4.64968</v>
      </c>
      <c r="Y155" s="263">
        <f>+Y$3*'PROYECCIÓN GENERACIÓN'!Y155</f>
        <v>4.684456</v>
      </c>
      <c r="Z155" s="263">
        <f>+Z$3*'PROYECCIÓN GENERACIÓN'!Z155</f>
        <v>4.7195540000000005</v>
      </c>
      <c r="AA155" s="565">
        <f t="shared" si="3"/>
        <v>3.8633997</v>
      </c>
    </row>
    <row r="156" spans="1:27" ht="24.95" customHeight="1">
      <c r="A156" s="351" t="str">
        <f>+Pobl_adoptada!A156</f>
        <v>Tornquist</v>
      </c>
      <c r="B156" s="70">
        <f>+Pobl_adoptada!B156</f>
        <v>152</v>
      </c>
      <c r="C156" s="353" t="str">
        <f>+Pobl_adoptada!C156</f>
        <v>Sierra de la Ventana</v>
      </c>
      <c r="D156" s="279"/>
      <c r="E156" s="278"/>
      <c r="F156" s="263"/>
      <c r="G156" s="263">
        <f>+G$3*'PROYECCIÓN GENERACIÓN'!G156</f>
        <v>3.7618800000000001E-2</v>
      </c>
      <c r="H156" s="263">
        <f>+H$3*'PROYECCIÓN GENERACIÓN'!H156</f>
        <v>0.31316800000000006</v>
      </c>
      <c r="I156" s="263">
        <f>+I$3*'PROYECCIÓN GENERACIÓN'!I156</f>
        <v>0.61092599999999997</v>
      </c>
      <c r="J156" s="263">
        <f>+J$3*'PROYECCIÓN GENERACIÓN'!J156</f>
        <v>1.0596100000000002</v>
      </c>
      <c r="K156" s="263">
        <f>+K$3*'PROYECCIÓN GENERACIÓN'!K156</f>
        <v>1.5433460000000001</v>
      </c>
      <c r="L156" s="263">
        <f>+L$3*'PROYECCIÓN GENERACIÓN'!L156</f>
        <v>1.606136</v>
      </c>
      <c r="M156" s="263">
        <f>+M$3*'PROYECCIÓN GENERACIÓN'!M156</f>
        <v>1.6711799999999999</v>
      </c>
      <c r="N156" s="263">
        <f>+N$3*'PROYECCIÓN GENERACIÓN'!N156</f>
        <v>1.7387999999999999</v>
      </c>
      <c r="O156" s="263">
        <f>+O$3*'PROYECCIÓN GENERACIÓN'!O156</f>
        <v>1.809318</v>
      </c>
      <c r="P156" s="263">
        <f>+P$3*'PROYECCIÓN GENERACIÓN'!P156</f>
        <v>1.8827339999999997</v>
      </c>
      <c r="Q156" s="263">
        <f>+Q$3*'PROYECCIÓN GENERACIÓN'!Q156</f>
        <v>1.9590480000000001</v>
      </c>
      <c r="R156" s="263">
        <f>+R$3*'PROYECCIÓN GENERACIÓN'!R156</f>
        <v>2.0385819999999999</v>
      </c>
      <c r="S156" s="263">
        <f>+S$3*'PROYECCIÓN GENERACIÓN'!S156</f>
        <v>2.1210139999999997</v>
      </c>
      <c r="T156" s="263">
        <f>+T$3*'PROYECCIÓN GENERACIÓN'!T156</f>
        <v>2.2069879999999999</v>
      </c>
      <c r="U156" s="263">
        <f>+U$3*'PROYECCIÓN GENERACIÓN'!U156</f>
        <v>2.2965040000000001</v>
      </c>
      <c r="V156" s="263">
        <f>+V$3*'PROYECCIÓN GENERACIÓN'!V156</f>
        <v>2.3895619999999997</v>
      </c>
      <c r="W156" s="263">
        <f>+W$3*'PROYECCIÓN GENERACIÓN'!W156</f>
        <v>2.4864839999999999</v>
      </c>
      <c r="X156" s="263">
        <f>+X$3*'PROYECCIÓN GENERACIÓN'!X156</f>
        <v>2.5872700000000002</v>
      </c>
      <c r="Y156" s="263">
        <f>+Y$3*'PROYECCIÓN GENERACIÓN'!Y156</f>
        <v>2.6922419999999998</v>
      </c>
      <c r="Z156" s="263">
        <f>+Z$3*'PROYECCIÓN GENERACIÓN'!Z156</f>
        <v>2.8013999999999997</v>
      </c>
      <c r="AA156" s="565">
        <f t="shared" si="3"/>
        <v>1.7925965399999999</v>
      </c>
    </row>
    <row r="157" spans="1:27" ht="24.95" customHeight="1">
      <c r="A157" s="351" t="str">
        <f>+Pobl_adoptada!A157</f>
        <v>Villarino</v>
      </c>
      <c r="B157" s="70">
        <f>+Pobl_adoptada!B157</f>
        <v>153</v>
      </c>
      <c r="C157" s="353" t="str">
        <f>+Pobl_adoptada!C157</f>
        <v>Mayor Buratovich</v>
      </c>
      <c r="D157" s="279"/>
      <c r="E157" s="278"/>
      <c r="F157" s="263"/>
      <c r="G157" s="263">
        <f>+G$3*'PROYECCIÓN GENERACIÓN'!G157</f>
        <v>6.8540000000000004E-2</v>
      </c>
      <c r="H157" s="263">
        <f>+H$3*'PROYECCIÓN GENERACIÓN'!H157</f>
        <v>0.5596544</v>
      </c>
      <c r="I157" s="263">
        <f>+I$3*'PROYECCIÓN GENERACIÓN'!I157</f>
        <v>1.0710179999999998</v>
      </c>
      <c r="J157" s="263">
        <f>+J$3*'PROYECCIÓN GENERACIÓN'!J157</f>
        <v>1.8218300000000001</v>
      </c>
      <c r="K157" s="263">
        <f>+K$3*'PROYECCIÓN GENERACIÓN'!K157</f>
        <v>2.6030479999999998</v>
      </c>
      <c r="L157" s="263">
        <f>+L$3*'PROYECCIÓN GENERACIÓN'!L157</f>
        <v>2.6568219999999996</v>
      </c>
      <c r="M157" s="263">
        <f>+M$3*'PROYECCIÓN GENERACIÓN'!M157</f>
        <v>2.711884</v>
      </c>
      <c r="N157" s="263">
        <f>+N$3*'PROYECCIÓN GENERACIÓN'!N157</f>
        <v>2.7679119999999999</v>
      </c>
      <c r="O157" s="263">
        <f>+O$3*'PROYECCIÓN GENERACIÓN'!O157</f>
        <v>2.8249059999999999</v>
      </c>
      <c r="P157" s="263">
        <f>+P$3*'PROYECCIÓN GENERACIÓN'!P157</f>
        <v>2.8831880000000001</v>
      </c>
      <c r="Q157" s="263">
        <f>+Q$3*'PROYECCIÓN GENERACIÓN'!Q157</f>
        <v>2.942758</v>
      </c>
      <c r="R157" s="263">
        <f>+R$3*'PROYECCIÓN GENERACIÓN'!R157</f>
        <v>3.0036160000000001</v>
      </c>
      <c r="S157" s="263">
        <f>+S$3*'PROYECCIÓN GENERACIÓN'!S157</f>
        <v>3.0654399999999997</v>
      </c>
      <c r="T157" s="263">
        <f>+T$3*'PROYECCIÓN GENERACIÓN'!T157</f>
        <v>3.1288740000000002</v>
      </c>
      <c r="U157" s="263">
        <f>+U$3*'PROYECCIÓN GENERACIÓN'!U157</f>
        <v>3.1935959999999994</v>
      </c>
      <c r="V157" s="263">
        <f>+V$3*'PROYECCIÓN GENERACIÓN'!V157</f>
        <v>3.2592839999999996</v>
      </c>
      <c r="W157" s="263">
        <f>+W$3*'PROYECCIÓN GENERACIÓN'!W157</f>
        <v>3.3265820000000001</v>
      </c>
      <c r="X157" s="263">
        <f>+X$3*'PROYECCIÓN GENERACIÓN'!X157</f>
        <v>3.3954899999999997</v>
      </c>
      <c r="Y157" s="263">
        <f>+Y$3*'PROYECCIÓN GENERACIÓN'!Y157</f>
        <v>3.4653639999999997</v>
      </c>
      <c r="Z157" s="263">
        <f>+Z$3*'PROYECCIÓN GENERACIÓN'!Z157</f>
        <v>3.5371700000000001</v>
      </c>
      <c r="AA157" s="565">
        <f t="shared" si="3"/>
        <v>2.6143488200000005</v>
      </c>
    </row>
    <row r="158" spans="1:27" ht="24.95" customHeight="1">
      <c r="A158" s="351" t="str">
        <f>+Pobl_adoptada!A158</f>
        <v>Villarino</v>
      </c>
      <c r="B158" s="70">
        <f>+Pobl_adoptada!B158</f>
        <v>154</v>
      </c>
      <c r="C158" s="353" t="str">
        <f>+Pobl_adoptada!C158</f>
        <v>Pedro Luro</v>
      </c>
      <c r="D158" s="279"/>
      <c r="E158" s="278"/>
      <c r="F158" s="263"/>
      <c r="G158" s="263">
        <f>+G$3*'PROYECCIÓN GENERACIÓN'!G158</f>
        <v>0.19073640000000003</v>
      </c>
      <c r="H158" s="263">
        <f>+H$3*'PROYECCIÓN GENERACIÓN'!H158</f>
        <v>1.5881344000000002</v>
      </c>
      <c r="I158" s="263">
        <f>+I$3*'PROYECCIÓN GENERACIÓN'!I158</f>
        <v>3.0990690000000005</v>
      </c>
      <c r="J158" s="263">
        <f>+J$3*'PROYECCIÓN GENERACIÓN'!J158</f>
        <v>5.3757900000000003</v>
      </c>
      <c r="K158" s="263">
        <f>+K$3*'PROYECCIÓN GENERACIÓN'!K158</f>
        <v>7.832923000000001</v>
      </c>
      <c r="L158" s="263">
        <f>+L$3*'PROYECCIÓN GENERACIÓN'!L158</f>
        <v>8.1523540000000008</v>
      </c>
      <c r="M158" s="263">
        <f>+M$3*'PROYECCIÓN GENERACIÓN'!M158</f>
        <v>8.4847699999999993</v>
      </c>
      <c r="N158" s="263">
        <f>+N$3*'PROYECCIÓN GENERACIÓN'!N158</f>
        <v>8.8305420000000012</v>
      </c>
      <c r="O158" s="263">
        <f>+O$3*'PROYECCIÓN GENERACIÓN'!O158</f>
        <v>9.1907829999999997</v>
      </c>
      <c r="P158" s="263">
        <f>+P$3*'PROYECCIÓN GENERACIÓN'!P158</f>
        <v>9.5654929999999982</v>
      </c>
      <c r="Q158" s="263">
        <f>+Q$3*'PROYECCIÓN GENERACIÓN'!Q158</f>
        <v>9.9554139999999993</v>
      </c>
      <c r="R158" s="263">
        <f>+R$3*'PROYECCIÓN GENERACIÓN'!R158</f>
        <v>10.361288</v>
      </c>
      <c r="S158" s="263">
        <f>+S$3*'PROYECCIÓN GENERACIÓN'!S158</f>
        <v>10.783856999999999</v>
      </c>
      <c r="T158" s="263">
        <f>+T$3*'PROYECCIÓN GENERACIÓN'!T158</f>
        <v>11.223492</v>
      </c>
      <c r="U158" s="263">
        <f>+U$3*'PROYECCIÓN GENERACIÓN'!U158</f>
        <v>11.680934999999998</v>
      </c>
      <c r="V158" s="263">
        <f>+V$3*'PROYECCIÓN GENERACIÓN'!V158</f>
        <v>12.157299</v>
      </c>
      <c r="W158" s="263">
        <f>+W$3*'PROYECCIÓN GENERACIÓN'!W158</f>
        <v>12.652955000000002</v>
      </c>
      <c r="X158" s="263">
        <f>+X$3*'PROYECCIÓN GENERACIÓN'!X158</f>
        <v>13.169015999999999</v>
      </c>
      <c r="Y158" s="263">
        <f>+Y$3*'PROYECCIÓN GENERACIÓN'!Y158</f>
        <v>13.705852999999999</v>
      </c>
      <c r="Z158" s="263">
        <f>+Z$3*'PROYECCIÓN GENERACIÓN'!Z158</f>
        <v>14.264578999999999</v>
      </c>
      <c r="AA158" s="565">
        <f t="shared" si="3"/>
        <v>9.1132641399999983</v>
      </c>
    </row>
    <row r="159" spans="1:27">
      <c r="C159" s="108"/>
      <c r="E159" s="111"/>
      <c r="G159" s="280"/>
      <c r="H159" s="280"/>
      <c r="I159" s="280"/>
      <c r="J159" s="280"/>
      <c r="K159" s="280"/>
      <c r="L159" s="280"/>
      <c r="M159" s="280"/>
      <c r="N159" s="280"/>
      <c r="O159" s="280"/>
      <c r="P159" s="280"/>
      <c r="Q159" s="280"/>
      <c r="R159" s="280"/>
      <c r="S159" s="280"/>
      <c r="T159" s="280"/>
      <c r="U159" s="280"/>
      <c r="V159" s="280"/>
      <c r="W159" s="280"/>
      <c r="X159" s="280"/>
      <c r="Y159" s="280"/>
      <c r="Z159" s="280"/>
    </row>
    <row r="160" spans="1:27">
      <c r="C160" s="108"/>
      <c r="E160" s="112"/>
      <c r="F160" s="270"/>
      <c r="G160" s="270"/>
      <c r="H160" s="270"/>
      <c r="I160" s="270"/>
      <c r="J160" s="270"/>
      <c r="K160" s="270"/>
      <c r="L160" s="270"/>
      <c r="M160" s="270"/>
      <c r="N160" s="270"/>
      <c r="O160" s="270"/>
      <c r="P160" s="270"/>
      <c r="Q160" s="270"/>
      <c r="R160" s="270"/>
      <c r="S160" s="270"/>
      <c r="T160" s="270"/>
      <c r="U160" s="270"/>
      <c r="V160" s="270"/>
      <c r="W160" s="270"/>
      <c r="X160" s="270"/>
      <c r="Y160" s="270"/>
      <c r="Z160" s="270"/>
    </row>
    <row r="161" spans="1:26">
      <c r="A161" s="271"/>
      <c r="C161" s="272"/>
      <c r="D161" s="272"/>
      <c r="E161" s="269"/>
      <c r="F161" s="113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281"/>
      <c r="T161" s="281"/>
      <c r="U161" s="281"/>
      <c r="V161" s="281"/>
      <c r="W161" s="281"/>
      <c r="X161" s="281"/>
      <c r="Y161" s="281"/>
      <c r="Z161" s="281"/>
    </row>
    <row r="162" spans="1:26">
      <c r="E162" s="270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</row>
    <row r="163" spans="1:26"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</row>
  </sheetData>
  <mergeCells count="3">
    <mergeCell ref="F1:Y1"/>
    <mergeCell ref="F2:Z2"/>
    <mergeCell ref="B4:C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6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>
    <tabColor theme="9" tint="0.39997558519241921"/>
  </sheetPr>
  <dimension ref="A1:Z165"/>
  <sheetViews>
    <sheetView view="pageBreakPreview" zoomScale="85" zoomScaleSheetLayoutView="85" workbookViewId="0">
      <pane xSplit="3" ySplit="4" topLeftCell="D47" activePane="bottomRight" state="frozen"/>
      <selection activeCell="F10" sqref="F10"/>
      <selection pane="topRight" activeCell="F10" sqref="F10"/>
      <selection pane="bottomLeft" activeCell="F10" sqref="F10"/>
      <selection pane="bottomRight" activeCell="H5" sqref="H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273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19.5" thickBot="1">
      <c r="A2" s="41"/>
      <c r="E2" s="273"/>
      <c r="F2" s="964" t="s">
        <v>274</v>
      </c>
      <c r="G2" s="965"/>
      <c r="H2" s="965"/>
      <c r="I2" s="965"/>
      <c r="J2" s="965"/>
      <c r="K2" s="965"/>
      <c r="L2" s="965"/>
      <c r="M2" s="965"/>
      <c r="N2" s="965"/>
      <c r="O2" s="965"/>
      <c r="P2" s="965"/>
      <c r="Q2" s="965"/>
      <c r="R2" s="965"/>
      <c r="S2" s="965"/>
      <c r="T2" s="965"/>
      <c r="U2" s="965"/>
      <c r="V2" s="965"/>
      <c r="W2" s="965"/>
      <c r="X2" s="965"/>
      <c r="Y2" s="965"/>
      <c r="Z2" s="966"/>
    </row>
    <row r="3" spans="1:26" ht="62.25" customHeight="1" thickBot="1">
      <c r="A3" s="45"/>
      <c r="B3" s="44"/>
      <c r="C3" s="45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27" customHeight="1" thickBot="1">
      <c r="A4" s="253" t="s">
        <v>28</v>
      </c>
      <c r="B4" s="967" t="s">
        <v>22</v>
      </c>
      <c r="C4" s="967"/>
      <c r="D4" s="254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350" t="str">
        <f>+Pobl_adoptada!A5</f>
        <v>Almirante Brown</v>
      </c>
      <c r="B5" s="63">
        <f>+Pobl_adoptada!B5</f>
        <v>1</v>
      </c>
      <c r="C5" s="352" t="str">
        <f>+Pobl_adoptada!C5</f>
        <v>Almirante Brown</v>
      </c>
      <c r="D5" s="257"/>
      <c r="E5" s="277"/>
      <c r="F5" s="259"/>
      <c r="G5" s="259">
        <f>+'PROYECCIÓN GENERACIÓN'!G5-'SEP ORIGEN'!G5</f>
        <v>877.19053949999989</v>
      </c>
      <c r="H5" s="259">
        <f>+'PROYECCIÓN GENERACIÓN'!H5-'SEP ORIGEN'!H5</f>
        <v>821.71523159999992</v>
      </c>
      <c r="I5" s="259">
        <f>+'PROYECCIÓN GENERACIÓN'!I5-'SEP ORIGEN'!I5</f>
        <v>765.29138850000004</v>
      </c>
      <c r="J5" s="259">
        <f>+'PROYECCIÓN GENERACIÓN'!J5-'SEP ORIGEN'!J5</f>
        <v>680.68102499999998</v>
      </c>
      <c r="K5" s="259">
        <f>+'PROYECCIÓN GENERACIÓN'!K5-'SEP ORIGEN'!K5</f>
        <v>594.66185999999993</v>
      </c>
      <c r="L5" s="259">
        <f>+'PROYECCIÓN GENERACIÓN'!L5-'SEP ORIGEN'!L5</f>
        <v>599.43865800000003</v>
      </c>
      <c r="M5" s="259">
        <f>+'PROYECCIÓN GENERACIÓN'!M5-'SEP ORIGEN'!M5</f>
        <v>604.25394899999992</v>
      </c>
      <c r="N5" s="259">
        <f>+'PROYECCIÓN GENERACIÓN'!N5-'SEP ORIGEN'!N5</f>
        <v>609.10773300000005</v>
      </c>
      <c r="O5" s="259">
        <f>+'PROYECCIÓN GENERACIÓN'!O5-'SEP ORIGEN'!O5</f>
        <v>614.00000999999997</v>
      </c>
      <c r="P5" s="259">
        <f>+'PROYECCIÓN GENERACIÓN'!P5-'SEP ORIGEN'!P5</f>
        <v>618.93169650000004</v>
      </c>
      <c r="Q5" s="259">
        <f>+'PROYECCIÓN GENERACIÓN'!Q5-'SEP ORIGEN'!Q5</f>
        <v>623.90370899999994</v>
      </c>
      <c r="R5" s="259">
        <f>+'PROYECCIÓN GENERACIÓN'!R5-'SEP ORIGEN'!R5</f>
        <v>628.91513099999997</v>
      </c>
      <c r="S5" s="259">
        <f>+'PROYECCIÓN GENERACIÓN'!S5-'SEP ORIGEN'!S5</f>
        <v>633.96596250000005</v>
      </c>
      <c r="T5" s="259">
        <f>+'PROYECCIÓN GENERACIÓN'!T5-'SEP ORIGEN'!T5</f>
        <v>639.05895299999997</v>
      </c>
      <c r="U5" s="259">
        <f>+'PROYECCIÓN GENERACIÓN'!U5-'SEP ORIGEN'!U5</f>
        <v>644.19226949999995</v>
      </c>
      <c r="V5" s="259">
        <f>+'PROYECCIÓN GENERACIÓN'!V5-'SEP ORIGEN'!V5</f>
        <v>649.36591199999998</v>
      </c>
      <c r="W5" s="259">
        <f>+'PROYECCIÓN GENERACIÓN'!W5-'SEP ORIGEN'!W5</f>
        <v>654.58262999999988</v>
      </c>
      <c r="X5" s="259">
        <f>+'PROYECCIÓN GENERACIÓN'!X5-'SEP ORIGEN'!X5</f>
        <v>659.83967399999995</v>
      </c>
      <c r="Y5" s="259">
        <f>+'PROYECCIÓN GENERACIÓN'!Y5-'SEP ORIGEN'!Y5</f>
        <v>665.1397935</v>
      </c>
      <c r="Z5" s="259">
        <f>+'PROYECCIÓN GENERACIÓN'!Z5-'SEP ORIGEN'!Z5</f>
        <v>670.48298849999992</v>
      </c>
    </row>
    <row r="6" spans="1:26" ht="24.95" customHeight="1">
      <c r="A6" s="351" t="str">
        <f>+Pobl_adoptada!A6</f>
        <v>Avellaneda</v>
      </c>
      <c r="B6" s="70">
        <f>+Pobl_adoptada!B6</f>
        <v>2</v>
      </c>
      <c r="C6" s="353" t="str">
        <f>+Pobl_adoptada!C6</f>
        <v>Avellaneda</v>
      </c>
      <c r="D6" s="261"/>
      <c r="E6" s="278"/>
      <c r="F6" s="263"/>
      <c r="G6" s="263">
        <f>+'PROYECCIÓN GENERACIÓN'!G6-'SEP ORIGEN'!G6</f>
        <v>537.10742249999998</v>
      </c>
      <c r="H6" s="263">
        <f>+'PROYECCIÓN GENERACIÓN'!H6-'SEP ORIGEN'!H6</f>
        <v>503.03599920000005</v>
      </c>
      <c r="I6" s="263">
        <f>+'PROYECCIÓN GENERACIÓN'!I6-'SEP ORIGEN'!I6</f>
        <v>468.42893099999998</v>
      </c>
      <c r="J6" s="263">
        <f>+'PROYECCIÓN GENERACIÓN'!J6-'SEP ORIGEN'!J6</f>
        <v>416.60846999999995</v>
      </c>
      <c r="K6" s="263">
        <f>+'PROYECCIÓN GENERACIÓN'!K6-'SEP ORIGEN'!K6</f>
        <v>363.95681400000001</v>
      </c>
      <c r="L6" s="263">
        <f>+'PROYECCIÓN GENERACIÓN'!L6-'SEP ORIGEN'!L6</f>
        <v>366.90061200000002</v>
      </c>
      <c r="M6" s="263">
        <f>+'PROYECCIÓN GENERACIÓN'!M6-'SEP ORIGEN'!M6</f>
        <v>369.89298450000001</v>
      </c>
      <c r="N6" s="263">
        <f>+'PROYECCIÓN GENERACIÓN'!N6-'SEP ORIGEN'!N6</f>
        <v>372.93301500000007</v>
      </c>
      <c r="O6" s="263">
        <f>+'PROYECCIÓN GENERACIÓN'!O6-'SEP ORIGEN'!O6</f>
        <v>376.02345300000002</v>
      </c>
      <c r="P6" s="263">
        <f>+'PROYECCIÓN GENERACIÓN'!P6-'SEP ORIGEN'!P6</f>
        <v>379.16429849999997</v>
      </c>
      <c r="Q6" s="263">
        <f>+'PROYECCIÓN GENERACIÓN'!Q6-'SEP ORIGEN'!Q6</f>
        <v>382.35646800000001</v>
      </c>
      <c r="R6" s="263">
        <f>+'PROYECCIÓN GENERACIÓN'!R6-'SEP ORIGEN'!R6</f>
        <v>385.59996149999995</v>
      </c>
      <c r="S6" s="263">
        <f>+'PROYECCIÓN GENERACIÓN'!S6-'SEP ORIGEN'!S6</f>
        <v>388.896612</v>
      </c>
      <c r="T6" s="263">
        <f>+'PROYECCIÓN GENERACIÓN'!T6-'SEP ORIGEN'!T6</f>
        <v>392.24733599999996</v>
      </c>
      <c r="U6" s="263">
        <f>+'PROYECCIÓN GENERACIÓN'!U6-'SEP ORIGEN'!U6</f>
        <v>395.65305000000001</v>
      </c>
      <c r="V6" s="263">
        <f>+'PROYECCIÓN GENERACIÓN'!V6-'SEP ORIGEN'!V6</f>
        <v>399.11375399999997</v>
      </c>
      <c r="W6" s="263">
        <f>+'PROYECCIÓN GENERACIÓN'!W6-'SEP ORIGEN'!W6</f>
        <v>402.631281</v>
      </c>
      <c r="X6" s="263">
        <f>+'PROYECCIÓN GENERACIÓN'!X6-'SEP ORIGEN'!X6</f>
        <v>406.20563100000004</v>
      </c>
      <c r="Y6" s="263">
        <f>+'PROYECCIÓN GENERACIÓN'!Y6-'SEP ORIGEN'!Y6</f>
        <v>409.83863700000001</v>
      </c>
      <c r="Z6" s="263">
        <f>+'PROYECCIÓN GENERACIÓN'!Z6-'SEP ORIGEN'!Z6</f>
        <v>413.53121550000003</v>
      </c>
    </row>
    <row r="7" spans="1:26" ht="24.95" customHeight="1">
      <c r="A7" s="351" t="str">
        <f>+Pobl_adoptada!A7</f>
        <v>Berazategui</v>
      </c>
      <c r="B7" s="70">
        <f>+Pobl_adoptada!B7</f>
        <v>3</v>
      </c>
      <c r="C7" s="353" t="str">
        <f>+Pobl_adoptada!C7</f>
        <v>Berazategui</v>
      </c>
      <c r="D7" s="261"/>
      <c r="E7" s="278"/>
      <c r="F7" s="263"/>
      <c r="G7" s="263">
        <f>+'PROYECCIÓN GENERACIÓN'!G7-'SEP ORIGEN'!G7</f>
        <v>547.08671160000006</v>
      </c>
      <c r="H7" s="263">
        <f>+'PROYECCIÓN GENERACIÓN'!H7-'SEP ORIGEN'!H7</f>
        <v>513.87669960000005</v>
      </c>
      <c r="I7" s="263">
        <f>+'PROYECCIÓN GENERACIÓN'!I7-'SEP ORIGEN'!I7</f>
        <v>479.83505549999995</v>
      </c>
      <c r="J7" s="263">
        <f>+'PROYECCIÓN GENERACIÓN'!J7-'SEP ORIGEN'!J7</f>
        <v>427.84652249999994</v>
      </c>
      <c r="K7" s="263">
        <f>+'PROYECCIÓN GENERACIÓN'!K7-'SEP ORIGEN'!K7</f>
        <v>374.66794950000002</v>
      </c>
      <c r="L7" s="263">
        <f>+'PROYECCIÓN GENERACIÓN'!L7-'SEP ORIGEN'!L7</f>
        <v>378.53557949999993</v>
      </c>
      <c r="M7" s="263">
        <f>+'PROYECCIÓN GENERACIÓN'!M7-'SEP ORIGEN'!M7</f>
        <v>382.4032095</v>
      </c>
      <c r="N7" s="263">
        <f>+'PROYECCIÓN GENERACIÓN'!N7-'SEP ORIGEN'!N7</f>
        <v>386.27083950000002</v>
      </c>
      <c r="O7" s="263">
        <f>+'PROYECCIÓN GENERACIÓN'!O7-'SEP ORIGEN'!O7</f>
        <v>390.13755300000003</v>
      </c>
      <c r="P7" s="263">
        <f>+'PROYECCIÓN GENERACIÓN'!P7-'SEP ORIGEN'!P7</f>
        <v>394.00518299999999</v>
      </c>
      <c r="Q7" s="263">
        <f>+'PROYECCIÓN GENERACIÓN'!Q7-'SEP ORIGEN'!Q7</f>
        <v>397.87281300000006</v>
      </c>
      <c r="R7" s="263">
        <f>+'PROYECCIÓN GENERACIÓN'!R7-'SEP ORIGEN'!R7</f>
        <v>401.74044300000003</v>
      </c>
      <c r="S7" s="263">
        <f>+'PROYECCIÓN GENERACIÓN'!S7-'SEP ORIGEN'!S7</f>
        <v>405.60807299999999</v>
      </c>
      <c r="T7" s="263">
        <f>+'PROYECCIÓN GENERACIÓN'!T7-'SEP ORIGEN'!T7</f>
        <v>409.47570300000001</v>
      </c>
      <c r="U7" s="263">
        <f>+'PROYECCIÓN GENERACIÓN'!U7-'SEP ORIGEN'!U7</f>
        <v>413.34333299999992</v>
      </c>
      <c r="V7" s="263">
        <f>+'PROYECCIÓN GENERACIÓN'!V7-'SEP ORIGEN'!V7</f>
        <v>417.21004650000003</v>
      </c>
      <c r="W7" s="263">
        <f>+'PROYECCIÓN GENERACIÓN'!W7-'SEP ORIGEN'!W7</f>
        <v>421.07767649999994</v>
      </c>
      <c r="X7" s="263">
        <f>+'PROYECCIÓN GENERACIÓN'!X7-'SEP ORIGEN'!X7</f>
        <v>424.94530650000002</v>
      </c>
      <c r="Y7" s="263">
        <f>+'PROYECCIÓN GENERACIÓN'!Y7-'SEP ORIGEN'!Y7</f>
        <v>428.81293649999998</v>
      </c>
      <c r="Z7" s="263">
        <f>+'PROYECCIÓN GENERACIÓN'!Z7-'SEP ORIGEN'!Z7</f>
        <v>432.68056649999994</v>
      </c>
    </row>
    <row r="8" spans="1:26" ht="24.95" customHeight="1">
      <c r="A8" s="351" t="str">
        <f>+Pobl_adoptada!A8</f>
        <v>Esteban Echeverría</v>
      </c>
      <c r="B8" s="70">
        <f>+Pobl_adoptada!B8</f>
        <v>4</v>
      </c>
      <c r="C8" s="353" t="str">
        <f>+Pobl_adoptada!C8</f>
        <v>Esteban Echeverría</v>
      </c>
      <c r="D8" s="261"/>
      <c r="E8" s="278"/>
      <c r="F8" s="263"/>
      <c r="G8" s="263">
        <f>+'PROYECCIÓN GENERACIÓN'!G8-'SEP ORIGEN'!G8</f>
        <v>537.47454419999997</v>
      </c>
      <c r="H8" s="263">
        <f>+'PROYECCIÓN GENERACIÓN'!H8-'SEP ORIGEN'!H8</f>
        <v>506.54233079999995</v>
      </c>
      <c r="I8" s="263">
        <f>+'PROYECCIÓN GENERACIÓN'!I8-'SEP ORIGEN'!I8</f>
        <v>474.53528849999998</v>
      </c>
      <c r="J8" s="263">
        <f>+'PROYECCIÓN GENERACIÓN'!J8-'SEP ORIGEN'!J8</f>
        <v>424.47203999999999</v>
      </c>
      <c r="K8" s="263">
        <f>+'PROYECCIÓN GENERACIÓN'!K8-'SEP ORIGEN'!K8</f>
        <v>372.87252599999994</v>
      </c>
      <c r="L8" s="263">
        <f>+'PROYECCIÓN GENERACIÓN'!L8-'SEP ORIGEN'!L8</f>
        <v>377.86836749999998</v>
      </c>
      <c r="M8" s="263">
        <f>+'PROYECCIÓN GENERACIÓN'!M8-'SEP ORIGEN'!M8</f>
        <v>382.86512550000003</v>
      </c>
      <c r="N8" s="263">
        <f>+'PROYECCIÓN GENERACIÓN'!N8-'SEP ORIGEN'!N8</f>
        <v>387.86096699999996</v>
      </c>
      <c r="O8" s="263">
        <f>+'PROYECCIÓN GENERACIÓN'!O8-'SEP ORIGEN'!O8</f>
        <v>392.8568085</v>
      </c>
      <c r="P8" s="263">
        <f>+'PROYECCIÓN GENERACIÓN'!P8-'SEP ORIGEN'!P8</f>
        <v>397.85356649999994</v>
      </c>
      <c r="Q8" s="263">
        <f>+'PROYECCIÓN GENERACIÓN'!Q8-'SEP ORIGEN'!Q8</f>
        <v>402.84940799999993</v>
      </c>
      <c r="R8" s="263">
        <f>+'PROYECCIÓN GENERACIÓN'!R8-'SEP ORIGEN'!R8</f>
        <v>407.84616600000004</v>
      </c>
      <c r="S8" s="263">
        <f>+'PROYECCIÓN GENERACIÓN'!S8-'SEP ORIGEN'!S8</f>
        <v>412.84200749999997</v>
      </c>
      <c r="T8" s="263">
        <f>+'PROYECCIÓN GENERACIÓN'!T8-'SEP ORIGEN'!T8</f>
        <v>417.83876550000002</v>
      </c>
      <c r="U8" s="263">
        <f>+'PROYECCIÓN GENERACIÓN'!U8-'SEP ORIGEN'!U8</f>
        <v>422.83460699999989</v>
      </c>
      <c r="V8" s="263">
        <f>+'PROYECCIÓN GENERACIÓN'!V8-'SEP ORIGEN'!V8</f>
        <v>427.83044849999999</v>
      </c>
      <c r="W8" s="263">
        <f>+'PROYECCIÓN GENERACIÓN'!W8-'SEP ORIGEN'!W8</f>
        <v>432.82720649999999</v>
      </c>
      <c r="X8" s="263">
        <f>+'PROYECCIÓN GENERACIÓN'!X8-'SEP ORIGEN'!X8</f>
        <v>437.82304799999997</v>
      </c>
      <c r="Y8" s="263">
        <f>+'PROYECCIÓN GENERACIÓN'!Y8-'SEP ORIGEN'!Y8</f>
        <v>442.81980600000009</v>
      </c>
      <c r="Z8" s="263">
        <f>+'PROYECCIÓN GENERACIÓN'!Z8-'SEP ORIGEN'!Z8</f>
        <v>447.81564749999995</v>
      </c>
    </row>
    <row r="9" spans="1:26" ht="24.95" customHeight="1">
      <c r="A9" s="351" t="str">
        <f>+Pobl_adoptada!A9</f>
        <v>Ezeiza</v>
      </c>
      <c r="B9" s="70">
        <f>+Pobl_adoptada!B9</f>
        <v>5</v>
      </c>
      <c r="C9" s="353" t="str">
        <f>+Pobl_adoptada!C9</f>
        <v>Ezeiza</v>
      </c>
      <c r="D9" s="261"/>
      <c r="E9" s="278"/>
      <c r="F9" s="263"/>
      <c r="G9" s="263">
        <f>+'PROYECCIÓN GENERACIÓN'!G9-'SEP ORIGEN'!G9</f>
        <v>240.26474340000001</v>
      </c>
      <c r="H9" s="263">
        <f>+'PROYECCIÓN GENERACIÓN'!H9-'SEP ORIGEN'!H9</f>
        <v>227.69525280000002</v>
      </c>
      <c r="I9" s="263">
        <f>+'PROYECCIÓN GENERACIÓN'!I9-'SEP ORIGEN'!I9</f>
        <v>214.45245</v>
      </c>
      <c r="J9" s="263">
        <f>+'PROYECCIÓN GENERACIÓN'!J9-'SEP ORIGEN'!J9</f>
        <v>192.82513499999999</v>
      </c>
      <c r="K9" s="263">
        <f>+'PROYECCIÓN GENERACIÓN'!K9-'SEP ORIGEN'!K9</f>
        <v>170.23718400000001</v>
      </c>
      <c r="L9" s="263">
        <f>+'PROYECCIÓN GENERACIÓN'!L9-'SEP ORIGEN'!L9</f>
        <v>173.35858800000003</v>
      </c>
      <c r="M9" s="263">
        <f>+'PROYECCIÓN GENERACIÓN'!M9-'SEP ORIGEN'!M9</f>
        <v>176.48065500000001</v>
      </c>
      <c r="N9" s="263">
        <f>+'PROYECCIÓN GENERACIÓN'!N9-'SEP ORIGEN'!N9</f>
        <v>179.60272200000003</v>
      </c>
      <c r="O9" s="263">
        <f>+'PROYECCIÓN GENERACIÓN'!O9-'SEP ORIGEN'!O9</f>
        <v>182.72412600000001</v>
      </c>
      <c r="P9" s="263">
        <f>+'PROYECCIÓN GENERACIÓN'!P9-'SEP ORIGEN'!P9</f>
        <v>185.84619300000003</v>
      </c>
      <c r="Q9" s="263">
        <f>+'PROYECCIÓN GENERACIÓN'!Q9-'SEP ORIGEN'!Q9</f>
        <v>188.96826000000004</v>
      </c>
      <c r="R9" s="263">
        <f>+'PROYECCIÓN GENERACIÓN'!R9-'SEP ORIGEN'!R9</f>
        <v>192.09032700000003</v>
      </c>
      <c r="S9" s="263">
        <f>+'PROYECCIÓN GENERACIÓN'!S9-'SEP ORIGEN'!S9</f>
        <v>195.21173099999999</v>
      </c>
      <c r="T9" s="263">
        <f>+'PROYECCIÓN GENERACIÓN'!T9-'SEP ORIGEN'!T9</f>
        <v>198.333798</v>
      </c>
      <c r="U9" s="263">
        <f>+'PROYECCIÓN GENERACIÓN'!U9-'SEP ORIGEN'!U9</f>
        <v>201.45586500000002</v>
      </c>
      <c r="V9" s="263">
        <f>+'PROYECCIÓN GENERACIÓN'!V9-'SEP ORIGEN'!V9</f>
        <v>204.577269</v>
      </c>
      <c r="W9" s="263">
        <f>+'PROYECCIÓN GENERACIÓN'!W9-'SEP ORIGEN'!W9</f>
        <v>207.69933600000002</v>
      </c>
      <c r="X9" s="263">
        <f>+'PROYECCIÓN GENERACIÓN'!X9-'SEP ORIGEN'!X9</f>
        <v>210.821403</v>
      </c>
      <c r="Y9" s="263">
        <f>+'PROYECCIÓN GENERACIÓN'!Y9-'SEP ORIGEN'!Y9</f>
        <v>213.94280700000002</v>
      </c>
      <c r="Z9" s="263">
        <f>+'PROYECCIÓN GENERACIÓN'!Z9-'SEP ORIGEN'!Z9</f>
        <v>217.06487400000003</v>
      </c>
    </row>
    <row r="10" spans="1:26" ht="24.95" customHeight="1">
      <c r="A10" s="351" t="str">
        <f>+Pobl_adoptada!A10</f>
        <v>Florencio Varela</v>
      </c>
      <c r="B10" s="70">
        <f>+Pobl_adoptada!B10</f>
        <v>6</v>
      </c>
      <c r="C10" s="353" t="str">
        <f>+Pobl_adoptada!C10</f>
        <v>Florencio Varela</v>
      </c>
      <c r="D10" s="261"/>
      <c r="E10" s="278"/>
      <c r="F10" s="263"/>
      <c r="G10" s="263">
        <f>+'PROYECCIÓN GENERACIÓN'!G10-'SEP ORIGEN'!G10</f>
        <v>801.4908825</v>
      </c>
      <c r="H10" s="263">
        <f>+'PROYECCIÓN GENERACIÓN'!H10-'SEP ORIGEN'!H10</f>
        <v>756.8591232</v>
      </c>
      <c r="I10" s="263">
        <f>+'PROYECCIÓN GENERACIÓN'!I10-'SEP ORIGEN'!I10</f>
        <v>710.39529449999998</v>
      </c>
      <c r="J10" s="263">
        <f>+'PROYECCIÓN GENERACIÓN'!J10-'SEP ORIGEN'!J10</f>
        <v>636.63509249999993</v>
      </c>
      <c r="K10" s="263">
        <f>+'PROYECCIÓN GENERACIÓN'!K10-'SEP ORIGEN'!K10</f>
        <v>560.25645000000009</v>
      </c>
      <c r="L10" s="263">
        <f>+'PROYECCIÓN GENERACIÓN'!L10-'SEP ORIGEN'!L10</f>
        <v>568.76340300000004</v>
      </c>
      <c r="M10" s="263">
        <f>+'PROYECCIÓN GENERACIÓN'!M10-'SEP ORIGEN'!M10</f>
        <v>577.26943949999998</v>
      </c>
      <c r="N10" s="263">
        <f>+'PROYECCIÓN GENERACIÓN'!N10-'SEP ORIGEN'!N10</f>
        <v>585.77547600000003</v>
      </c>
      <c r="O10" s="263">
        <f>+'PROYECCIÓN GENERACIÓN'!O10-'SEP ORIGEN'!O10</f>
        <v>594.28242899999998</v>
      </c>
      <c r="P10" s="263">
        <f>+'PROYECCIÓN GENERACIÓN'!P10-'SEP ORIGEN'!P10</f>
        <v>602.78846550000003</v>
      </c>
      <c r="Q10" s="263">
        <f>+'PROYECCIÓN GENERACIÓN'!Q10-'SEP ORIGEN'!Q10</f>
        <v>611.29541849999998</v>
      </c>
      <c r="R10" s="263">
        <f>+'PROYECCIÓN GENERACIÓN'!R10-'SEP ORIGEN'!R10</f>
        <v>619.80145500000003</v>
      </c>
      <c r="S10" s="263">
        <f>+'PROYECCIÓN GENERACIÓN'!S10-'SEP ORIGEN'!S10</f>
        <v>628.30749149999997</v>
      </c>
      <c r="T10" s="263">
        <f>+'PROYECCIÓN GENERACIÓN'!T10-'SEP ORIGEN'!T10</f>
        <v>636.81444450000004</v>
      </c>
      <c r="U10" s="263">
        <f>+'PROYECCIÓN GENERACIÓN'!U10-'SEP ORIGEN'!U10</f>
        <v>645.32048099999997</v>
      </c>
      <c r="V10" s="263">
        <f>+'PROYECCIÓN GENERACIÓN'!V10-'SEP ORIGEN'!V10</f>
        <v>653.82743400000004</v>
      </c>
      <c r="W10" s="263">
        <f>+'PROYECCIÓN GENERACIÓN'!W10-'SEP ORIGEN'!W10</f>
        <v>662.33347049999998</v>
      </c>
      <c r="X10" s="263">
        <f>+'PROYECCIÓN GENERACIÓN'!X10-'SEP ORIGEN'!X10</f>
        <v>670.84042349999993</v>
      </c>
      <c r="Y10" s="263">
        <f>+'PROYECCIÓN GENERACIÓN'!Y10-'SEP ORIGEN'!Y10</f>
        <v>679.34645999999998</v>
      </c>
      <c r="Z10" s="263">
        <f>+'PROYECCIÓN GENERACIÓN'!Z10-'SEP ORIGEN'!Z10</f>
        <v>687.85249650000003</v>
      </c>
    </row>
    <row r="11" spans="1:26" ht="24.95" customHeight="1">
      <c r="A11" s="351" t="str">
        <f>+Pobl_adoptada!A11</f>
        <v>General San Martín</v>
      </c>
      <c r="B11" s="70">
        <f>+Pobl_adoptada!B11</f>
        <v>7</v>
      </c>
      <c r="C11" s="353" t="str">
        <f>+Pobl_adoptada!C11</f>
        <v>General San Martín</v>
      </c>
      <c r="D11" s="261"/>
      <c r="E11" s="278"/>
      <c r="F11" s="263"/>
      <c r="G11" s="263">
        <f>+'PROYECCIÓN GENERACIÓN'!G11-'SEP ORIGEN'!G11</f>
        <v>625.75265609999997</v>
      </c>
      <c r="H11" s="263">
        <f>+'PROYECCIÓN GENERACIÓN'!H11-'SEP ORIGEN'!H11</f>
        <v>584.66879519999998</v>
      </c>
      <c r="I11" s="263">
        <f>+'PROYECCIÓN GENERACIÓN'!I11-'SEP ORIGEN'!I11</f>
        <v>543.15181050000001</v>
      </c>
      <c r="J11" s="263">
        <f>+'PROYECCIÓN GENERACIÓN'!J11-'SEP ORIGEN'!J11</f>
        <v>481.91438249999999</v>
      </c>
      <c r="K11" s="263">
        <f>+'PROYECCIÓN GENERACIÓN'!K11-'SEP ORIGEN'!K11</f>
        <v>420.00445499999995</v>
      </c>
      <c r="L11" s="263">
        <f>+'PROYECCIÓN GENERACIÓN'!L11-'SEP ORIGEN'!L11</f>
        <v>422.38735499999996</v>
      </c>
      <c r="M11" s="263">
        <f>+'PROYECCIÓN GENERACIÓN'!M11-'SEP ORIGEN'!M11</f>
        <v>424.8096645</v>
      </c>
      <c r="N11" s="263">
        <f>+'PROYECCIÓN GENERACIÓN'!N11-'SEP ORIGEN'!N11</f>
        <v>427.27138350000007</v>
      </c>
      <c r="O11" s="263">
        <f>+'PROYECCIÓN GENERACIÓN'!O11-'SEP ORIGEN'!O11</f>
        <v>429.77342850000002</v>
      </c>
      <c r="P11" s="263">
        <f>+'PROYECCIÓN GENERACIÓN'!P11-'SEP ORIGEN'!P11</f>
        <v>432.31579950000003</v>
      </c>
      <c r="Q11" s="263">
        <f>+'PROYECCIÓN GENERACIÓN'!Q11-'SEP ORIGEN'!Q11</f>
        <v>434.9003295</v>
      </c>
      <c r="R11" s="263">
        <f>+'PROYECCIÓN GENERACIÓN'!R11-'SEP ORIGEN'!R11</f>
        <v>437.52610200000004</v>
      </c>
      <c r="S11" s="263">
        <f>+'PROYECCIÓN GENERACIÓN'!S11-'SEP ORIGEN'!S11</f>
        <v>440.19494999999995</v>
      </c>
      <c r="T11" s="263">
        <f>+'PROYECCIÓN GENERACIÓN'!T11-'SEP ORIGEN'!T11</f>
        <v>442.90778999999998</v>
      </c>
      <c r="U11" s="263">
        <f>+'PROYECCIÓN GENERACIÓN'!U11-'SEP ORIGEN'!U11</f>
        <v>445.66462200000001</v>
      </c>
      <c r="V11" s="263">
        <f>+'PROYECCIÓN GENERACIÓN'!V11-'SEP ORIGEN'!V11</f>
        <v>448.46727899999996</v>
      </c>
      <c r="W11" s="263">
        <f>+'PROYECCIÓN GENERACIÓN'!W11-'SEP ORIGEN'!W11</f>
        <v>451.31484449999999</v>
      </c>
      <c r="X11" s="263">
        <f>+'PROYECCIÓN GENERACIÓN'!X11-'SEP ORIGEN'!X11</f>
        <v>454.20823499999995</v>
      </c>
      <c r="Y11" s="263">
        <f>+'PROYECCIÓN GENERACIÓN'!Y11-'SEP ORIGEN'!Y11</f>
        <v>457.15020000000004</v>
      </c>
      <c r="Z11" s="263">
        <f>+'PROYECCIÓN GENERACIÓN'!Z11-'SEP ORIGEN'!Z11</f>
        <v>460.13890650000008</v>
      </c>
    </row>
    <row r="12" spans="1:26" ht="24.95" customHeight="1">
      <c r="A12" s="351" t="str">
        <f>+Pobl_adoptada!A12</f>
        <v>Hurlingham</v>
      </c>
      <c r="B12" s="70">
        <f>+Pobl_adoptada!B12</f>
        <v>8</v>
      </c>
      <c r="C12" s="353" t="str">
        <f>+Pobl_adoptada!C12</f>
        <v>Hurlingham</v>
      </c>
      <c r="D12" s="261"/>
      <c r="E12" s="278"/>
      <c r="F12" s="263"/>
      <c r="G12" s="263">
        <f>+'PROYECCIÓN GENERACIÓN'!G12-'SEP ORIGEN'!G12</f>
        <v>194.330961</v>
      </c>
      <c r="H12" s="263">
        <f>+'PROYECCIÓN GENERACIÓN'!H12-'SEP ORIGEN'!H12</f>
        <v>181.29231120000003</v>
      </c>
      <c r="I12" s="263">
        <f>+'PROYECCIÓN GENERACIÓN'!I12-'SEP ORIGEN'!I12</f>
        <v>168.14771400000001</v>
      </c>
      <c r="J12" s="263">
        <f>+'PROYECCIÓN GENERACIÓN'!J12-'SEP ORIGEN'!J12</f>
        <v>148.938615</v>
      </c>
      <c r="K12" s="263">
        <f>+'PROYECCIÓN GENERACIÓN'!K12-'SEP ORIGEN'!K12</f>
        <v>129.57672000000002</v>
      </c>
      <c r="L12" s="263">
        <f>+'PROYECCIÓN GENERACIÓN'!L12-'SEP ORIGEN'!L12</f>
        <v>130.073307</v>
      </c>
      <c r="M12" s="263">
        <f>+'PROYECCIÓN GENERACIÓN'!M12-'SEP ORIGEN'!M12</f>
        <v>130.56989400000003</v>
      </c>
      <c r="N12" s="263">
        <f>+'PROYECCIÓN GENERACIÓN'!N12-'SEP ORIGEN'!N12</f>
        <v>131.06648100000001</v>
      </c>
      <c r="O12" s="263">
        <f>+'PROYECCIÓN GENERACIÓN'!O12-'SEP ORIGEN'!O12</f>
        <v>131.56240500000001</v>
      </c>
      <c r="P12" s="263">
        <f>+'PROYECCIÓN GENERACIÓN'!P12-'SEP ORIGEN'!P12</f>
        <v>132.05899199999999</v>
      </c>
      <c r="Q12" s="263">
        <f>+'PROYECCIÓN GENERACIÓN'!Q12-'SEP ORIGEN'!Q12</f>
        <v>132.55557899999999</v>
      </c>
      <c r="R12" s="263">
        <f>+'PROYECCIÓN GENERACIÓN'!R12-'SEP ORIGEN'!R12</f>
        <v>133.05216600000003</v>
      </c>
      <c r="S12" s="263">
        <f>+'PROYECCIÓN GENERACIÓN'!S12-'SEP ORIGEN'!S12</f>
        <v>133.548753</v>
      </c>
      <c r="T12" s="263">
        <f>+'PROYECCIÓN GENERACIÓN'!T12-'SEP ORIGEN'!T12</f>
        <v>134.04534000000001</v>
      </c>
      <c r="U12" s="263">
        <f>+'PROYECCIÓN GENERACIÓN'!U12-'SEP ORIGEN'!U12</f>
        <v>134.54192700000002</v>
      </c>
      <c r="V12" s="263">
        <f>+'PROYECCIÓN GENERACIÓN'!V12-'SEP ORIGEN'!V12</f>
        <v>135.03785099999999</v>
      </c>
      <c r="W12" s="263">
        <f>+'PROYECCIÓN GENERACIÓN'!W12-'SEP ORIGEN'!W12</f>
        <v>135.53443799999999</v>
      </c>
      <c r="X12" s="263">
        <f>+'PROYECCIÓN GENERACIÓN'!X12-'SEP ORIGEN'!X12</f>
        <v>136.031025</v>
      </c>
      <c r="Y12" s="263">
        <f>+'PROYECCIÓN GENERACIÓN'!Y12-'SEP ORIGEN'!Y12</f>
        <v>136.52761200000003</v>
      </c>
      <c r="Z12" s="263">
        <f>+'PROYECCIÓN GENERACIÓN'!Z12-'SEP ORIGEN'!Z12</f>
        <v>137.02419900000001</v>
      </c>
    </row>
    <row r="13" spans="1:26" ht="24.95" customHeight="1">
      <c r="A13" s="351" t="str">
        <f>+Pobl_adoptada!A13</f>
        <v>Ituzaingó</v>
      </c>
      <c r="B13" s="70">
        <f>+Pobl_adoptada!B13</f>
        <v>9</v>
      </c>
      <c r="C13" s="353" t="str">
        <f>+Pobl_adoptada!C13</f>
        <v>Ituzaingó</v>
      </c>
      <c r="D13" s="261"/>
      <c r="E13" s="278"/>
      <c r="F13" s="263"/>
      <c r="G13" s="263">
        <f>+'PROYECCIÓN GENERACIÓN'!G13-'SEP ORIGEN'!G13</f>
        <v>188.39535659999999</v>
      </c>
      <c r="H13" s="263">
        <f>+'PROYECCIÓN GENERACIÓN'!H13-'SEP ORIGEN'!H13</f>
        <v>176.23715039999999</v>
      </c>
      <c r="I13" s="263">
        <f>+'PROYECCIÓN GENERACIÓN'!I13-'SEP ORIGEN'!I13</f>
        <v>163.908951</v>
      </c>
      <c r="J13" s="263">
        <f>+'PROYECCIÓN GENERACIÓN'!J13-'SEP ORIGEN'!J13</f>
        <v>145.58562000000001</v>
      </c>
      <c r="K13" s="263">
        <f>+'PROYECCIÓN GENERACIÓN'!K13-'SEP ORIGEN'!K13</f>
        <v>127.01157300000001</v>
      </c>
      <c r="L13" s="263">
        <f>+'PROYECCIÓN GENERACIÓN'!L13-'SEP ORIGEN'!L13</f>
        <v>127.85490900000001</v>
      </c>
      <c r="M13" s="263">
        <f>+'PROYECCIÓN GENERACIÓN'!M13-'SEP ORIGEN'!M13</f>
        <v>128.70421200000001</v>
      </c>
      <c r="N13" s="263">
        <f>+'PROYECCIÓN GENERACIÓN'!N13-'SEP ORIGEN'!N13</f>
        <v>129.558156</v>
      </c>
      <c r="O13" s="263">
        <f>+'PROYECCIÓN GENERACIÓN'!O13-'SEP ORIGEN'!O13</f>
        <v>130.41873000000001</v>
      </c>
      <c r="P13" s="263">
        <f>+'PROYECCIÓN GENERACIÓN'!P13-'SEP ORIGEN'!P13</f>
        <v>131.28460800000002</v>
      </c>
      <c r="Q13" s="263">
        <f>+'PROYECCIÓN GENERACIÓN'!Q13-'SEP ORIGEN'!Q13</f>
        <v>132.156453</v>
      </c>
      <c r="R13" s="263">
        <f>+'PROYECCIÓN GENERACIÓN'!R13-'SEP ORIGEN'!R13</f>
        <v>133.03360200000003</v>
      </c>
      <c r="S13" s="263">
        <f>+'PROYECCIÓN GENERACIÓN'!S13-'SEP ORIGEN'!S13</f>
        <v>133.916718</v>
      </c>
      <c r="T13" s="263">
        <f>+'PROYECCIÓN GENERACIÓN'!T13-'SEP ORIGEN'!T13</f>
        <v>134.805801</v>
      </c>
      <c r="U13" s="263">
        <f>+'PROYECCIÓN GENERACIÓN'!U13-'SEP ORIGEN'!U13</f>
        <v>135.700851</v>
      </c>
      <c r="V13" s="263">
        <f>+'PROYECCIÓN GENERACIÓN'!V13-'SEP ORIGEN'!V13</f>
        <v>136.60186800000002</v>
      </c>
      <c r="W13" s="263">
        <f>+'PROYECCIÓN GENERACIÓN'!W13-'SEP ORIGEN'!W13</f>
        <v>137.50885200000002</v>
      </c>
      <c r="X13" s="263">
        <f>+'PROYECCIÓN GENERACIÓN'!X13-'SEP ORIGEN'!X13</f>
        <v>138.42180300000001</v>
      </c>
      <c r="Y13" s="263">
        <f>+'PROYECCIÓN GENERACIÓN'!Y13-'SEP ORIGEN'!Y13</f>
        <v>139.340721</v>
      </c>
      <c r="Z13" s="263">
        <f>+'PROYECCIÓN GENERACIÓN'!Z13-'SEP ORIGEN'!Z13</f>
        <v>140.26560599999999</v>
      </c>
    </row>
    <row r="14" spans="1:26" ht="24.95" customHeight="1">
      <c r="A14" s="351" t="str">
        <f>+Pobl_adoptada!A14</f>
        <v>José C. Paz</v>
      </c>
      <c r="B14" s="70">
        <f>+Pobl_adoptada!B14</f>
        <v>10</v>
      </c>
      <c r="C14" s="353" t="str">
        <f>+Pobl_adoptada!C14</f>
        <v>José C. Paz</v>
      </c>
      <c r="D14" s="261"/>
      <c r="E14" s="278"/>
      <c r="F14" s="263"/>
      <c r="G14" s="263">
        <f>+'PROYECCIÓN GENERACIÓN'!G14-'SEP ORIGEN'!G14</f>
        <v>479.98300679999994</v>
      </c>
      <c r="H14" s="263">
        <f>+'PROYECCIÓN GENERACIÓN'!H14-'SEP ORIGEN'!H14</f>
        <v>453.26113799999996</v>
      </c>
      <c r="I14" s="263">
        <f>+'PROYECCIÓN GENERACIÓN'!I14-'SEP ORIGEN'!I14</f>
        <v>425.54899799999993</v>
      </c>
      <c r="J14" s="263">
        <f>+'PROYECCIÓN GENERACIÓN'!J14-'SEP ORIGEN'!J14</f>
        <v>381.55868999999996</v>
      </c>
      <c r="K14" s="263">
        <f>+'PROYECCIÓN GENERACIÓN'!K14-'SEP ORIGEN'!K14</f>
        <v>336.03380850000002</v>
      </c>
      <c r="L14" s="263">
        <f>+'PROYECCIÓN GENERACIÓN'!L14-'SEP ORIGEN'!L14</f>
        <v>341.47048649999999</v>
      </c>
      <c r="M14" s="263">
        <f>+'PROYECCIÓN GENERACIÓN'!M14-'SEP ORIGEN'!M14</f>
        <v>346.99514849999997</v>
      </c>
      <c r="N14" s="263">
        <f>+'PROYECCIÓN GENERACIÓN'!N14-'SEP ORIGEN'!N14</f>
        <v>352.60962749999999</v>
      </c>
      <c r="O14" s="263">
        <f>+'PROYECCIÓN GENERACIÓN'!O14-'SEP ORIGEN'!O14</f>
        <v>358.31392349999999</v>
      </c>
      <c r="P14" s="263">
        <f>+'PROYECCIÓN GENERACIÓN'!P14-'SEP ORIGEN'!P14</f>
        <v>364.11078599999996</v>
      </c>
      <c r="Q14" s="263">
        <f>+'PROYECCIÓN GENERACIÓN'!Q14-'SEP ORIGEN'!Q14</f>
        <v>370.00204799999995</v>
      </c>
      <c r="R14" s="263">
        <f>+'PROYECCIÓN GENERACIÓN'!R14-'SEP ORIGEN'!R14</f>
        <v>375.98770950000005</v>
      </c>
      <c r="S14" s="263">
        <f>+'PROYECCIÓN GENERACIÓN'!S14-'SEP ORIGEN'!S14</f>
        <v>382.07051999999999</v>
      </c>
      <c r="T14" s="263">
        <f>+'PROYECCIÓN GENERACIÓN'!T14-'SEP ORIGEN'!T14</f>
        <v>388.25231250000002</v>
      </c>
      <c r="U14" s="263">
        <f>+'PROYECCIÓN GENERACIÓN'!U14-'SEP ORIGEN'!U14</f>
        <v>394.53308700000002</v>
      </c>
      <c r="V14" s="263">
        <f>+'PROYECCIÓN GENERACIÓN'!V14-'SEP ORIGEN'!V14</f>
        <v>400.91650949999996</v>
      </c>
      <c r="W14" s="263">
        <f>+'PROYECCIÓN GENERACIÓN'!W14-'SEP ORIGEN'!W14</f>
        <v>407.40258</v>
      </c>
      <c r="X14" s="263">
        <f>+'PROYECCIÓN GENERACIÓN'!X14-'SEP ORIGEN'!X14</f>
        <v>413.99404800000002</v>
      </c>
      <c r="Y14" s="263">
        <f>+'PROYECCIÓN GENERACIÓN'!Y14-'SEP ORIGEN'!Y14</f>
        <v>420.69182999999998</v>
      </c>
      <c r="Z14" s="263">
        <f>+'PROYECCIÓN GENERACIÓN'!Z14-'SEP ORIGEN'!Z14</f>
        <v>427.49775899999997</v>
      </c>
    </row>
    <row r="15" spans="1:26" ht="24.95" customHeight="1">
      <c r="A15" s="351" t="str">
        <f>+Pobl_adoptada!A15</f>
        <v>La Matanza</v>
      </c>
      <c r="B15" s="70">
        <f>+Pobl_adoptada!B15</f>
        <v>11</v>
      </c>
      <c r="C15" s="353" t="str">
        <f>+Pobl_adoptada!C15</f>
        <v>La Matanza</v>
      </c>
      <c r="D15" s="261"/>
      <c r="E15" s="278"/>
      <c r="F15" s="263"/>
      <c r="G15" s="263">
        <f>+'PROYECCIÓN GENERACIÓN'!G15-'SEP ORIGEN'!G15</f>
        <v>3137.5686177000002</v>
      </c>
      <c r="H15" s="263">
        <f>+'PROYECCIÓN GENERACIÓN'!H15-'SEP ORIGEN'!H15</f>
        <v>2959.9846871999994</v>
      </c>
      <c r="I15" s="263">
        <f>+'PROYECCIÓN GENERACIÓN'!I15-'SEP ORIGEN'!I15</f>
        <v>2775.6636779999994</v>
      </c>
      <c r="J15" s="263">
        <f>+'PROYECCIÓN GENERACIÓN'!J15-'SEP ORIGEN'!J15</f>
        <v>2485.1990249999999</v>
      </c>
      <c r="K15" s="263">
        <f>+'PROYECCIÓN GENERACIÓN'!K15-'SEP ORIGEN'!K15</f>
        <v>2185.1119679999997</v>
      </c>
      <c r="L15" s="263">
        <f>+'PROYECCIÓN GENERACIÓN'!L15-'SEP ORIGEN'!L15</f>
        <v>2216.3847809999997</v>
      </c>
      <c r="M15" s="263">
        <f>+'PROYECCIÓN GENERACIÓN'!M15-'SEP ORIGEN'!M15</f>
        <v>2247.6575939999998</v>
      </c>
      <c r="N15" s="263">
        <f>+'PROYECCIÓN GENERACIÓN'!N15-'SEP ORIGEN'!N15</f>
        <v>2278.9313235</v>
      </c>
      <c r="O15" s="263">
        <f>+'PROYECCIÓN GENERACIÓN'!O15-'SEP ORIGEN'!O15</f>
        <v>2310.2041365</v>
      </c>
      <c r="P15" s="263">
        <f>+'PROYECCIÓN GENERACIÓN'!P15-'SEP ORIGEN'!P15</f>
        <v>2341.4769495</v>
      </c>
      <c r="Q15" s="263">
        <f>+'PROYECCIÓN GENERACIÓN'!Q15-'SEP ORIGEN'!Q15</f>
        <v>2372.7497625000001</v>
      </c>
      <c r="R15" s="263">
        <f>+'PROYECCIÓN GENERACIÓN'!R15-'SEP ORIGEN'!R15</f>
        <v>2404.0225755000001</v>
      </c>
      <c r="S15" s="263">
        <f>+'PROYECCIÓN GENERACIÓN'!S15-'SEP ORIGEN'!S15</f>
        <v>2435.2953884999997</v>
      </c>
      <c r="T15" s="263">
        <f>+'PROYECCIÓN GENERACIÓN'!T15-'SEP ORIGEN'!T15</f>
        <v>2466.5691179999999</v>
      </c>
      <c r="U15" s="263">
        <f>+'PROYECCIÓN GENERACIÓN'!U15-'SEP ORIGEN'!U15</f>
        <v>2497.8419309999999</v>
      </c>
      <c r="V15" s="263">
        <f>+'PROYECCIÓN GENERACIÓN'!V15-'SEP ORIGEN'!V15</f>
        <v>2529.1147439999995</v>
      </c>
      <c r="W15" s="263">
        <f>+'PROYECCIÓN GENERACIÓN'!W15-'SEP ORIGEN'!W15</f>
        <v>2560.387557</v>
      </c>
      <c r="X15" s="263">
        <f>+'PROYECCIÓN GENERACIÓN'!X15-'SEP ORIGEN'!X15</f>
        <v>2591.6603699999996</v>
      </c>
      <c r="Y15" s="263">
        <f>+'PROYECCIÓN GENERACIÓN'!Y15-'SEP ORIGEN'!Y15</f>
        <v>2622.9331830000001</v>
      </c>
      <c r="Z15" s="263">
        <f>+'PROYECCIÓN GENERACIÓN'!Z15-'SEP ORIGEN'!Z15</f>
        <v>2654.2069124999998</v>
      </c>
    </row>
    <row r="16" spans="1:26" ht="24.95" customHeight="1">
      <c r="A16" s="351" t="str">
        <f>+Pobl_adoptada!A16</f>
        <v>Lanús</v>
      </c>
      <c r="B16" s="70">
        <f>+Pobl_adoptada!B16</f>
        <v>12</v>
      </c>
      <c r="C16" s="353" t="str">
        <f>+Pobl_adoptada!C16</f>
        <v>Lanús</v>
      </c>
      <c r="D16" s="261"/>
      <c r="E16" s="278"/>
      <c r="F16" s="263"/>
      <c r="G16" s="263">
        <f>+'PROYECCIÓN GENERACIÓN'!G16-'SEP ORIGEN'!G16</f>
        <v>631.67825159999995</v>
      </c>
      <c r="H16" s="263">
        <f>+'PROYECCIÓN GENERACIÓN'!H16-'SEP ORIGEN'!H16</f>
        <v>586.47190319999993</v>
      </c>
      <c r="I16" s="263">
        <f>+'PROYECCIÓN GENERACIÓN'!I16-'SEP ORIGEN'!I16</f>
        <v>541.3480679999999</v>
      </c>
      <c r="J16" s="263">
        <f>+'PROYECCIÓN GENERACIÓN'!J16-'SEP ORIGEN'!J16</f>
        <v>477.21908250000001</v>
      </c>
      <c r="K16" s="263">
        <f>+'PROYECCIÓN GENERACIÓN'!K16-'SEP ORIGEN'!K16</f>
        <v>413.20769100000007</v>
      </c>
      <c r="L16" s="263">
        <f>+'PROYECCIÓN GENERACIÓN'!L16-'SEP ORIGEN'!L16</f>
        <v>412.82642699999997</v>
      </c>
      <c r="M16" s="263">
        <f>+'PROYECCIÓN GENERACIÓN'!M16-'SEP ORIGEN'!M16</f>
        <v>412.44516299999998</v>
      </c>
      <c r="N16" s="263">
        <f>+'PROYECCIÓN GENERACIÓN'!N16-'SEP ORIGEN'!N16</f>
        <v>412.06389899999999</v>
      </c>
      <c r="O16" s="263">
        <f>+'PROYECCIÓN GENERACIÓN'!O16-'SEP ORIGEN'!O16</f>
        <v>411.68355149999996</v>
      </c>
      <c r="P16" s="263">
        <f>+'PROYECCIÓN GENERACIÓN'!P16-'SEP ORIGEN'!P16</f>
        <v>411.30320399999994</v>
      </c>
      <c r="Q16" s="263">
        <f>+'PROYECCIÓN GENERACIÓN'!Q16-'SEP ORIGEN'!Q16</f>
        <v>410.92377299999998</v>
      </c>
      <c r="R16" s="263">
        <f>+'PROYECCIÓN GENERACIÓN'!R16-'SEP ORIGEN'!R16</f>
        <v>410.54434200000003</v>
      </c>
      <c r="S16" s="263">
        <f>+'PROYECCIÓN GENERACIÓN'!S16-'SEP ORIGEN'!S16</f>
        <v>410.16491099999996</v>
      </c>
      <c r="T16" s="263">
        <f>+'PROYECCIÓN GENERACIÓN'!T16-'SEP ORIGEN'!T16</f>
        <v>409.78639650000002</v>
      </c>
      <c r="U16" s="263">
        <f>+'PROYECCIÓN GENERACIÓN'!U16-'SEP ORIGEN'!U16</f>
        <v>409.40788199999997</v>
      </c>
      <c r="V16" s="263">
        <f>+'PROYECCIÓN GENERACIÓN'!V16-'SEP ORIGEN'!V16</f>
        <v>409.02936749999998</v>
      </c>
      <c r="W16" s="263">
        <f>+'PROYECCIÓN GENERACIÓN'!W16-'SEP ORIGEN'!W16</f>
        <v>408.65176949999989</v>
      </c>
      <c r="X16" s="263">
        <f>+'PROYECCIÓN GENERACIÓN'!X16-'SEP ORIGEN'!X16</f>
        <v>408.27508800000004</v>
      </c>
      <c r="Y16" s="263">
        <f>+'PROYECCIÓN GENERACIÓN'!Y16-'SEP ORIGEN'!Y16</f>
        <v>407.89748999999995</v>
      </c>
      <c r="Z16" s="263">
        <f>+'PROYECCIÓN GENERACIÓN'!Z16-'SEP ORIGEN'!Z16</f>
        <v>407.52080849999993</v>
      </c>
    </row>
    <row r="17" spans="1:26" ht="24.95" customHeight="1">
      <c r="A17" s="351" t="str">
        <f>+Pobl_adoptada!A17</f>
        <v>Lomas de Zamora</v>
      </c>
      <c r="B17" s="70">
        <f>+Pobl_adoptada!B17</f>
        <v>13</v>
      </c>
      <c r="C17" s="353" t="str">
        <f>+Pobl_adoptada!C17</f>
        <v>Lomas de Zamora</v>
      </c>
      <c r="D17" s="261"/>
      <c r="E17" s="278"/>
      <c r="F17" s="263"/>
      <c r="G17" s="263">
        <f>+'PROYECCIÓN GENERACIÓN'!G17-'SEP ORIGEN'!G17</f>
        <v>967.24004849999994</v>
      </c>
      <c r="H17" s="263">
        <f>+'PROYECCIÓN GENERACIÓN'!H17-'SEP ORIGEN'!H17</f>
        <v>905.95929119999994</v>
      </c>
      <c r="I17" s="263">
        <f>+'PROYECCIÓN GENERACIÓN'!I17-'SEP ORIGEN'!I17</f>
        <v>843.70325099999991</v>
      </c>
      <c r="J17" s="263">
        <f>+'PROYECCIÓN GENERACIÓN'!J17-'SEP ORIGEN'!J17</f>
        <v>750.43055249999998</v>
      </c>
      <c r="K17" s="263">
        <f>+'PROYECCIÓN GENERACIÓN'!K17-'SEP ORIGEN'!K17</f>
        <v>655.64577000000008</v>
      </c>
      <c r="L17" s="263">
        <f>+'PROYECCIÓN GENERACIÓN'!L17-'SEP ORIGEN'!L17</f>
        <v>661.00454549999995</v>
      </c>
      <c r="M17" s="263">
        <f>+'PROYECCIÓN GENERACIÓN'!M17-'SEP ORIGEN'!M17</f>
        <v>666.45130500000005</v>
      </c>
      <c r="N17" s="263">
        <f>+'PROYECCIÓN GENERACIÓN'!N17-'SEP ORIGEN'!N17</f>
        <v>671.98604849999992</v>
      </c>
      <c r="O17" s="263">
        <f>+'PROYECCIÓN GENERACIÓN'!O17-'SEP ORIGEN'!O17</f>
        <v>677.61152549999997</v>
      </c>
      <c r="P17" s="263">
        <f>+'PROYECCIÓN GENERACIÓN'!P17-'SEP ORIGEN'!P17</f>
        <v>683.32865249999986</v>
      </c>
      <c r="Q17" s="263">
        <f>+'PROYECCIÓN GENERACIÓN'!Q17-'SEP ORIGEN'!Q17</f>
        <v>689.13926250000009</v>
      </c>
      <c r="R17" s="263">
        <f>+'PROYECCIÓN GENERACIÓN'!R17-'SEP ORIGEN'!R17</f>
        <v>695.04518850000011</v>
      </c>
      <c r="S17" s="263">
        <f>+'PROYECCIÓN GENERACIÓN'!S17-'SEP ORIGEN'!S17</f>
        <v>701.04643050000004</v>
      </c>
      <c r="T17" s="263">
        <f>+'PROYECCIÓN GENERACIÓN'!T17-'SEP ORIGEN'!T17</f>
        <v>707.14573799999994</v>
      </c>
      <c r="U17" s="263">
        <f>+'PROYECCIÓN GENERACIÓN'!U17-'SEP ORIGEN'!U17</f>
        <v>713.34494400000017</v>
      </c>
      <c r="V17" s="263">
        <f>+'PROYECCIÓN GENERACIÓN'!V17-'SEP ORIGEN'!V17</f>
        <v>719.64496499999996</v>
      </c>
      <c r="W17" s="263">
        <f>+'PROYECCIÓN GENERACIÓN'!W17-'SEP ORIGEN'!W17</f>
        <v>726.04855049999992</v>
      </c>
      <c r="X17" s="263">
        <f>+'PROYECCIÓN GENERACIÓN'!X17-'SEP ORIGEN'!X17</f>
        <v>732.55570049999994</v>
      </c>
      <c r="Y17" s="263">
        <f>+'PROYECCIÓN GENERACIÓN'!Y17-'SEP ORIGEN'!Y17</f>
        <v>739.16916449999985</v>
      </c>
      <c r="Z17" s="263">
        <f>+'PROYECCIÓN GENERACIÓN'!Z17-'SEP ORIGEN'!Z17</f>
        <v>745.89077550000002</v>
      </c>
    </row>
    <row r="18" spans="1:26" ht="24.95" customHeight="1">
      <c r="A18" s="351" t="str">
        <f>+Pobl_adoptada!A18</f>
        <v>Malvinas Argentinas</v>
      </c>
      <c r="B18" s="70">
        <f>+Pobl_adoptada!B18</f>
        <v>14</v>
      </c>
      <c r="C18" s="353" t="str">
        <f>+Pobl_adoptada!C18</f>
        <v>Malvinas Argentinas</v>
      </c>
      <c r="D18" s="261"/>
      <c r="E18" s="278"/>
      <c r="F18" s="263"/>
      <c r="G18" s="263">
        <f>+'PROYECCIÓN GENERACIÓN'!G18-'SEP ORIGEN'!G18</f>
        <v>540.86797709999996</v>
      </c>
      <c r="H18" s="263">
        <f>+'PROYECCIÓN GENERACIÓN'!H18-'SEP ORIGEN'!H18</f>
        <v>508.43494559999993</v>
      </c>
      <c r="I18" s="263">
        <f>+'PROYECCIÓN GENERACIÓN'!I18-'SEP ORIGEN'!I18</f>
        <v>475.18127999999996</v>
      </c>
      <c r="J18" s="263">
        <f>+'PROYECCIÓN GENERACIÓN'!J18-'SEP ORIGEN'!J18</f>
        <v>424.1241225</v>
      </c>
      <c r="K18" s="263">
        <f>+'PROYECCIÓN GENERACIÓN'!K18-'SEP ORIGEN'!K18</f>
        <v>371.82405000000006</v>
      </c>
      <c r="L18" s="263">
        <f>+'PROYECCIÓN GENERACIÓN'!L18-'SEP ORIGEN'!L18</f>
        <v>376.12335150000001</v>
      </c>
      <c r="M18" s="263">
        <f>+'PROYECCIÓN GENERACIÓN'!M18-'SEP ORIGEN'!M18</f>
        <v>380.47122749999994</v>
      </c>
      <c r="N18" s="263">
        <f>+'PROYECCIÓN GENERACIÓN'!N18-'SEP ORIGEN'!N18</f>
        <v>384.87042750000001</v>
      </c>
      <c r="O18" s="263">
        <f>+'PROYECCIÓN GENERACIÓN'!O18-'SEP ORIGEN'!O18</f>
        <v>389.32003499999996</v>
      </c>
      <c r="P18" s="263">
        <f>+'PROYECCIÓN GENERACIÓN'!P18-'SEP ORIGEN'!P18</f>
        <v>393.82096649999994</v>
      </c>
      <c r="Q18" s="263">
        <f>+'PROYECCIÓN GENERACIÓN'!Q18-'SEP ORIGEN'!Q18</f>
        <v>398.37413849999996</v>
      </c>
      <c r="R18" s="263">
        <f>+'PROYECCIÓN GENERACIÓN'!R18-'SEP ORIGEN'!R18</f>
        <v>402.97955100000001</v>
      </c>
      <c r="S18" s="263">
        <f>+'PROYECCIÓN GENERACIÓN'!S18-'SEP ORIGEN'!S18</f>
        <v>407.63903700000003</v>
      </c>
      <c r="T18" s="263">
        <f>+'PROYECCIÓN GENERACIÓN'!T18-'SEP ORIGEN'!T18</f>
        <v>412.35167999999999</v>
      </c>
      <c r="U18" s="263">
        <f>+'PROYECCIÓN GENERACIÓN'!U18-'SEP ORIGEN'!U18</f>
        <v>417.11839650000002</v>
      </c>
      <c r="V18" s="263">
        <f>+'PROYECCIÓN GENERACIÓN'!V18-'SEP ORIGEN'!V18</f>
        <v>421.94101949999992</v>
      </c>
      <c r="W18" s="263">
        <f>+'PROYECCIÓN GENERACIÓN'!W18-'SEP ORIGEN'!W18</f>
        <v>426.81954899999999</v>
      </c>
      <c r="X18" s="263">
        <f>+'PROYECCIÓN GENERACIÓN'!X18-'SEP ORIGEN'!X18</f>
        <v>431.75398499999994</v>
      </c>
      <c r="Y18" s="263">
        <f>+'PROYECCIÓN GENERACIÓN'!Y18-'SEP ORIGEN'!Y18</f>
        <v>436.74524400000001</v>
      </c>
      <c r="Z18" s="263">
        <f>+'PROYECCIÓN GENERACIÓN'!Z18-'SEP ORIGEN'!Z18</f>
        <v>441.79515900000001</v>
      </c>
    </row>
    <row r="19" spans="1:26" ht="24.95" customHeight="1">
      <c r="A19" s="351" t="str">
        <f>+Pobl_adoptada!A19</f>
        <v>Merlo</v>
      </c>
      <c r="B19" s="70">
        <f>+Pobl_adoptada!B19</f>
        <v>15</v>
      </c>
      <c r="C19" s="353" t="str">
        <f>+Pobl_adoptada!C19</f>
        <v>Merlo</v>
      </c>
      <c r="D19" s="261"/>
      <c r="E19" s="278"/>
      <c r="F19" s="263"/>
      <c r="G19" s="263">
        <f>+'PROYECCIÓN GENERACIÓN'!G19-'SEP ORIGEN'!G19</f>
        <v>903.56886179999992</v>
      </c>
      <c r="H19" s="263">
        <f>+'PROYECCIÓN GENERACIÓN'!H19-'SEP ORIGEN'!H19</f>
        <v>849.14711999999997</v>
      </c>
      <c r="I19" s="263">
        <f>+'PROYECCIÓN GENERACIÓN'!I19-'SEP ORIGEN'!I19</f>
        <v>793.28475299999991</v>
      </c>
      <c r="J19" s="263">
        <f>+'PROYECCIÓN GENERACIÓN'!J19-'SEP ORIGEN'!J19</f>
        <v>707.67371249999997</v>
      </c>
      <c r="K19" s="263">
        <f>+'PROYECCIÓN GENERACIÓN'!K19-'SEP ORIGEN'!K19</f>
        <v>620.00583449999999</v>
      </c>
      <c r="L19" s="263">
        <f>+'PROYECCIÓN GENERACIÓN'!L19-'SEP ORIGEN'!L19</f>
        <v>626.69445150000001</v>
      </c>
      <c r="M19" s="263">
        <f>+'PROYECCIÓN GENERACIÓN'!M19-'SEP ORIGEN'!M19</f>
        <v>633.38306850000004</v>
      </c>
      <c r="N19" s="263">
        <f>+'PROYECCIÓN GENERACIÓN'!N19-'SEP ORIGEN'!N19</f>
        <v>640.07076899999993</v>
      </c>
      <c r="O19" s="263">
        <f>+'PROYECCIÓN GENERACIÓN'!O19-'SEP ORIGEN'!O19</f>
        <v>646.75938599999995</v>
      </c>
      <c r="P19" s="263">
        <f>+'PROYECCIÓN GENERACIÓN'!P19-'SEP ORIGEN'!P19</f>
        <v>653.44800299999997</v>
      </c>
      <c r="Q19" s="263">
        <f>+'PROYECCIÓN GENERACIÓN'!Q19-'SEP ORIGEN'!Q19</f>
        <v>660.13570349999986</v>
      </c>
      <c r="R19" s="263">
        <f>+'PROYECCIÓN GENERACIÓN'!R19-'SEP ORIGEN'!R19</f>
        <v>666.8243205</v>
      </c>
      <c r="S19" s="263">
        <f>+'PROYECCIÓN GENERACIÓN'!S19-'SEP ORIGEN'!S19</f>
        <v>673.51293749999991</v>
      </c>
      <c r="T19" s="263">
        <f>+'PROYECCIÓN GENERACIÓN'!T19-'SEP ORIGEN'!T19</f>
        <v>680.20155449999993</v>
      </c>
      <c r="U19" s="263">
        <f>+'PROYECCIÓN GENERACIÓN'!U19-'SEP ORIGEN'!U19</f>
        <v>686.88925500000005</v>
      </c>
      <c r="V19" s="263">
        <f>+'PROYECCIÓN GENERACIÓN'!V19-'SEP ORIGEN'!V19</f>
        <v>693.57787200000007</v>
      </c>
      <c r="W19" s="263">
        <f>+'PROYECCIÓN GENERACIÓN'!W19-'SEP ORIGEN'!W19</f>
        <v>700.26648899999998</v>
      </c>
      <c r="X19" s="263">
        <f>+'PROYECCIÓN GENERACIÓN'!X19-'SEP ORIGEN'!X19</f>
        <v>706.95418949999998</v>
      </c>
      <c r="Y19" s="263">
        <f>+'PROYECCIÓN GENERACIÓN'!Y19-'SEP ORIGEN'!Y19</f>
        <v>713.64280650000001</v>
      </c>
      <c r="Z19" s="263">
        <f>+'PROYECCIÓN GENERACIÓN'!Z19-'SEP ORIGEN'!Z19</f>
        <v>720.33142350000003</v>
      </c>
    </row>
    <row r="20" spans="1:26" ht="24.95" customHeight="1">
      <c r="A20" s="351" t="str">
        <f>+Pobl_adoptada!A20</f>
        <v>Moreno</v>
      </c>
      <c r="B20" s="70">
        <f>+Pobl_adoptada!B20</f>
        <v>16</v>
      </c>
      <c r="C20" s="353" t="str">
        <f>+Pobl_adoptada!C20</f>
        <v>Moreno</v>
      </c>
      <c r="D20" s="261"/>
      <c r="E20" s="278"/>
      <c r="F20" s="263"/>
      <c r="G20" s="263">
        <f>+'PROYECCIÓN GENERACIÓN'!G20-'SEP ORIGEN'!G20</f>
        <v>864.42503399999998</v>
      </c>
      <c r="H20" s="263">
        <f>+'PROYECCIÓN GENERACIÓN'!H20-'SEP ORIGEN'!H20</f>
        <v>819.21163559999991</v>
      </c>
      <c r="I20" s="263">
        <f>+'PROYECCIÓN GENERACIÓN'!I20-'SEP ORIGEN'!I20</f>
        <v>771.86755800000003</v>
      </c>
      <c r="J20" s="263">
        <f>+'PROYECCIÓN GENERACIÓN'!J20-'SEP ORIGEN'!J20</f>
        <v>694.54484999999988</v>
      </c>
      <c r="K20" s="263">
        <f>+'PROYECCIÓN GENERACIÓN'!K20-'SEP ORIGEN'!K20</f>
        <v>613.85795250000001</v>
      </c>
      <c r="L20" s="263">
        <f>+'PROYECCIÓN GENERACIÓN'!L20-'SEP ORIGEN'!L20</f>
        <v>626.01349200000004</v>
      </c>
      <c r="M20" s="263">
        <f>+'PROYECCIÓN GENERACIÓN'!M20-'SEP ORIGEN'!M20</f>
        <v>638.4091545</v>
      </c>
      <c r="N20" s="263">
        <f>+'PROYECCIÓN GENERACIÓN'!N20-'SEP ORIGEN'!N20</f>
        <v>651.0513555</v>
      </c>
      <c r="O20" s="263">
        <f>+'PROYECCIÓN GENERACIÓN'!O20-'SEP ORIGEN'!O20</f>
        <v>663.94284449999998</v>
      </c>
      <c r="P20" s="263">
        <f>+'PROYECCIÓN GENERACIÓN'!P20-'SEP ORIGEN'!P20</f>
        <v>677.09003699999994</v>
      </c>
      <c r="Q20" s="263">
        <f>+'PROYECCIÓN GENERACIÓN'!Q20-'SEP ORIGEN'!Q20</f>
        <v>690.49751549999996</v>
      </c>
      <c r="R20" s="263">
        <f>+'PROYECCIÓN GENERACIÓN'!R20-'SEP ORIGEN'!R20</f>
        <v>704.16986250000002</v>
      </c>
      <c r="S20" s="263">
        <f>+'PROYECCIÓN GENERACIÓN'!S20-'SEP ORIGEN'!S20</f>
        <v>718.1134935</v>
      </c>
      <c r="T20" s="263">
        <f>+'PROYECCIÓN GENERACIÓN'!T20-'SEP ORIGEN'!T20</f>
        <v>732.33299099999988</v>
      </c>
      <c r="U20" s="263">
        <f>+'PROYECCIÓN GENERACIÓN'!U20-'SEP ORIGEN'!U20</f>
        <v>746.83477049999988</v>
      </c>
      <c r="V20" s="263">
        <f>+'PROYECCIÓN GENERACIÓN'!V20-'SEP ORIGEN'!V20</f>
        <v>761.62249799999995</v>
      </c>
      <c r="W20" s="263">
        <f>+'PROYECCIÓN GENERACIÓN'!W20-'SEP ORIGEN'!W20</f>
        <v>776.70442200000002</v>
      </c>
      <c r="X20" s="263">
        <f>+'PROYECCIÓN GENERACIÓN'!X20-'SEP ORIGEN'!X20</f>
        <v>792.08420849999993</v>
      </c>
      <c r="Y20" s="263">
        <f>+'PROYECCIÓN GENERACIÓN'!Y20-'SEP ORIGEN'!Y20</f>
        <v>807.76827299999991</v>
      </c>
      <c r="Z20" s="263">
        <f>+'PROYECCIÓN GENERACIÓN'!Z20-'SEP ORIGEN'!Z20</f>
        <v>823.76303099999996</v>
      </c>
    </row>
    <row r="21" spans="1:26" ht="24.95" customHeight="1">
      <c r="A21" s="351" t="str">
        <f>+Pobl_adoptada!A21</f>
        <v>Morón</v>
      </c>
      <c r="B21" s="70">
        <f>+Pobl_adoptada!B21</f>
        <v>17</v>
      </c>
      <c r="C21" s="353" t="str">
        <f>+Pobl_adoptada!C21</f>
        <v>Morón</v>
      </c>
      <c r="D21" s="261"/>
      <c r="E21" s="278"/>
      <c r="F21" s="263"/>
      <c r="G21" s="263">
        <f>+'PROYECCIÓN GENERACIÓN'!G21-'SEP ORIGEN'!G21</f>
        <v>498.55824809999996</v>
      </c>
      <c r="H21" s="263">
        <f>+'PROYECCIÓN GENERACIÓN'!H21-'SEP ORIGEN'!H21</f>
        <v>466.6508364</v>
      </c>
      <c r="I21" s="263">
        <f>+'PROYECCIÓN GENERACIÓN'!I21-'SEP ORIGEN'!I21</f>
        <v>434.28486449999997</v>
      </c>
      <c r="J21" s="263">
        <f>+'PROYECCIÓN GENERACIÓN'!J21-'SEP ORIGEN'!J21</f>
        <v>386.00864999999999</v>
      </c>
      <c r="K21" s="263">
        <f>+'PROYECCIÓN GENERACIÓN'!K21-'SEP ORIGEN'!K21</f>
        <v>337.02087900000004</v>
      </c>
      <c r="L21" s="263">
        <f>+'PROYECCIÓN GENERACIÓN'!L21-'SEP ORIGEN'!L21</f>
        <v>339.5421705</v>
      </c>
      <c r="M21" s="263">
        <f>+'PROYECCIÓN GENERACIÓN'!M21-'SEP ORIGEN'!M21</f>
        <v>342.10378800000001</v>
      </c>
      <c r="N21" s="263">
        <f>+'PROYECCIÓN GENERACIÓN'!N21-'SEP ORIGEN'!N21</f>
        <v>344.70756449999999</v>
      </c>
      <c r="O21" s="263">
        <f>+'PROYECCIÓN GENERACIÓN'!O21-'SEP ORIGEN'!O21</f>
        <v>347.35441649999996</v>
      </c>
      <c r="P21" s="263">
        <f>+'PROYECCIÓN GENERACIÓN'!P21-'SEP ORIGEN'!P21</f>
        <v>350.04342750000001</v>
      </c>
      <c r="Q21" s="263">
        <f>+'PROYECCIÓN GENERACIÓN'!Q21-'SEP ORIGEN'!Q21</f>
        <v>352.77643050000006</v>
      </c>
      <c r="R21" s="263">
        <f>+'PROYECCIÓN GENERACIÓN'!R21-'SEP ORIGEN'!R21</f>
        <v>355.55434200000002</v>
      </c>
      <c r="S21" s="263">
        <f>+'PROYECCIÓN GENERACIÓN'!S21-'SEP ORIGEN'!S21</f>
        <v>358.37807850000002</v>
      </c>
      <c r="T21" s="263">
        <f>+'PROYECCIÓN GENERACIÓN'!T21-'SEP ORIGEN'!T21</f>
        <v>361.24672350000003</v>
      </c>
      <c r="U21" s="263">
        <f>+'PROYECCIÓN GENERACIÓN'!U21-'SEP ORIGEN'!U21</f>
        <v>364.16302649999994</v>
      </c>
      <c r="V21" s="263">
        <f>+'PROYECCIÓN GENERACIÓN'!V21-'SEP ORIGEN'!V21</f>
        <v>367.12698750000004</v>
      </c>
      <c r="W21" s="263">
        <f>+'PROYECCIÓN GENERACIÓN'!W21-'SEP ORIGEN'!W21</f>
        <v>370.13860650000004</v>
      </c>
      <c r="X21" s="263">
        <f>+'PROYECCIÓN GENERACIÓN'!X21-'SEP ORIGEN'!X21</f>
        <v>373.19971649999991</v>
      </c>
      <c r="Y21" s="263">
        <f>+'PROYECCIÓN GENERACIÓN'!Y21-'SEP ORIGEN'!Y21</f>
        <v>376.3103175</v>
      </c>
      <c r="Z21" s="263">
        <f>+'PROYECCIÓN GENERACIÓN'!Z21-'SEP ORIGEN'!Z21</f>
        <v>379.47224249999999</v>
      </c>
    </row>
    <row r="22" spans="1:26" ht="24.95" customHeight="1">
      <c r="A22" s="351" t="str">
        <f>+Pobl_adoptada!A22</f>
        <v>Quilmes</v>
      </c>
      <c r="B22" s="70">
        <f>+Pobl_adoptada!B22</f>
        <v>18</v>
      </c>
      <c r="C22" s="353" t="str">
        <f>+Pobl_adoptada!C22</f>
        <v>Quilmes</v>
      </c>
      <c r="D22" s="261"/>
      <c r="E22" s="278"/>
      <c r="F22" s="263"/>
      <c r="G22" s="263">
        <f>+'PROYECCIÓN GENERACIÓN'!G22-'SEP ORIGEN'!G22</f>
        <v>913.48393949999991</v>
      </c>
      <c r="H22" s="263">
        <f>+'PROYECCIÓN GENERACIÓN'!H22-'SEP ORIGEN'!H22</f>
        <v>855.05197439999995</v>
      </c>
      <c r="I22" s="263">
        <f>+'PROYECCIÓN GENERACIÓN'!I22-'SEP ORIGEN'!I22</f>
        <v>795.72370049999995</v>
      </c>
      <c r="J22" s="263">
        <f>+'PROYECCIÓN GENERACIÓN'!J22-'SEP ORIGEN'!J22</f>
        <v>707.20206749999988</v>
      </c>
      <c r="K22" s="263">
        <f>+'PROYECCIÓN GENERACIÓN'!K22-'SEP ORIGEN'!K22</f>
        <v>617.35439999999994</v>
      </c>
      <c r="L22" s="263">
        <f>+'PROYECCIÓN GENERACIÓN'!L22-'SEP ORIGEN'!L22</f>
        <v>621.83241899999996</v>
      </c>
      <c r="M22" s="263">
        <f>+'PROYECCIÓN GENERACIÓN'!M22-'SEP ORIGEN'!M22</f>
        <v>626.34251549999999</v>
      </c>
      <c r="N22" s="263">
        <f>+'PROYECCIÓN GENERACIÓN'!N22-'SEP ORIGEN'!N22</f>
        <v>630.88560600000005</v>
      </c>
      <c r="O22" s="263">
        <f>+'PROYECCIÓN GENERACIÓN'!O22-'SEP ORIGEN'!O22</f>
        <v>635.46169050000003</v>
      </c>
      <c r="P22" s="263">
        <f>+'PROYECCIÓN GENERACIÓN'!P22-'SEP ORIGEN'!P22</f>
        <v>640.07168549999994</v>
      </c>
      <c r="Q22" s="263">
        <f>+'PROYECCIÓN GENERACIÓN'!Q22-'SEP ORIGEN'!Q22</f>
        <v>644.71375799999998</v>
      </c>
      <c r="R22" s="263">
        <f>+'PROYECCIÓN GENERACIÓN'!R22-'SEP ORIGEN'!R22</f>
        <v>649.39065749999986</v>
      </c>
      <c r="S22" s="263">
        <f>+'PROYECCIÓN GENERACIÓN'!S22-'SEP ORIGEN'!S22</f>
        <v>654.100551</v>
      </c>
      <c r="T22" s="263">
        <f>+'PROYECCIÓN GENERACIÓN'!T22-'SEP ORIGEN'!T22</f>
        <v>658.84527150000008</v>
      </c>
      <c r="U22" s="263">
        <f>+'PROYECCIÓN GENERACIÓN'!U22-'SEP ORIGEN'!U22</f>
        <v>663.62481899999989</v>
      </c>
      <c r="V22" s="263">
        <f>+'PROYECCIÓN GENERACIÓN'!V22-'SEP ORIGEN'!V22</f>
        <v>668.43827699999997</v>
      </c>
      <c r="W22" s="263">
        <f>+'PROYECCIÓN GENERACIÓN'!W22-'SEP ORIGEN'!W22</f>
        <v>673.286562</v>
      </c>
      <c r="X22" s="263">
        <f>+'PROYECCIÓN GENERACIÓN'!X22-'SEP ORIGEN'!X22</f>
        <v>678.17059049999989</v>
      </c>
      <c r="Y22" s="263">
        <f>+'PROYECCIÓN GENERACIÓN'!Y22-'SEP ORIGEN'!Y22</f>
        <v>683.08944599999995</v>
      </c>
      <c r="Z22" s="263">
        <f>+'PROYECCIÓN GENERACIÓN'!Z22-'SEP ORIGEN'!Z22</f>
        <v>688.0440450000001</v>
      </c>
    </row>
    <row r="23" spans="1:26" ht="24.95" customHeight="1">
      <c r="A23" s="351" t="str">
        <f>+Pobl_adoptada!A23</f>
        <v>San Fernando</v>
      </c>
      <c r="B23" s="70">
        <f>+Pobl_adoptada!B23</f>
        <v>19</v>
      </c>
      <c r="C23" s="353" t="str">
        <f>+Pobl_adoptada!C23</f>
        <v>San Fernando</v>
      </c>
      <c r="D23" s="261"/>
      <c r="E23" s="278"/>
      <c r="F23" s="263"/>
      <c r="G23" s="263">
        <f>+'PROYECCIÓN GENERACIÓN'!G23-'SEP ORIGEN'!G23</f>
        <v>177.00380279999999</v>
      </c>
      <c r="H23" s="263">
        <f>+'PROYECCIÓN GENERACIÓN'!H23-'SEP ORIGEN'!H23</f>
        <v>165.43241279999998</v>
      </c>
      <c r="I23" s="263">
        <f>+'PROYECCIÓN GENERACIÓN'!I23-'SEP ORIGEN'!I23</f>
        <v>153.71736599999997</v>
      </c>
      <c r="J23" s="263">
        <f>+'PROYECCIÓN GENERACIÓN'!J23-'SEP ORIGEN'!J23</f>
        <v>136.40256000000002</v>
      </c>
      <c r="K23" s="263">
        <f>+'PROYECCIÓN GENERACIÓN'!K23-'SEP ORIGEN'!K23</f>
        <v>118.88253000000002</v>
      </c>
      <c r="L23" s="263">
        <f>+'PROYECCIÓN GENERACIÓN'!L23-'SEP ORIGEN'!L23</f>
        <v>119.54884500000003</v>
      </c>
      <c r="M23" s="263">
        <f>+'PROYECCIÓN GENERACIÓN'!M23-'SEP ORIGEN'!M23</f>
        <v>120.21582300000001</v>
      </c>
      <c r="N23" s="263">
        <f>+'PROYECCIÓN GENERACIÓN'!N23-'SEP ORIGEN'!N23</f>
        <v>120.88280100000001</v>
      </c>
      <c r="O23" s="263">
        <f>+'PROYECCIÓN GENERACIÓN'!O23-'SEP ORIGEN'!O23</f>
        <v>121.549779</v>
      </c>
      <c r="P23" s="263">
        <f>+'PROYECCIÓN GENERACIÓN'!P23-'SEP ORIGEN'!P23</f>
        <v>122.216757</v>
      </c>
      <c r="Q23" s="263">
        <f>+'PROYECCIÓN GENERACIÓN'!Q23-'SEP ORIGEN'!Q23</f>
        <v>122.883735</v>
      </c>
      <c r="R23" s="263">
        <f>+'PROYECCIÓN GENERACIÓN'!R23-'SEP ORIGEN'!R23</f>
        <v>123.55071299999999</v>
      </c>
      <c r="S23" s="263">
        <f>+'PROYECCIÓN GENERACIÓN'!S23-'SEP ORIGEN'!S23</f>
        <v>124.217691</v>
      </c>
      <c r="T23" s="263">
        <f>+'PROYECCIÓN GENERACIÓN'!T23-'SEP ORIGEN'!T23</f>
        <v>124.88466900000002</v>
      </c>
      <c r="U23" s="263">
        <f>+'PROYECCIÓN GENERACIÓN'!U23-'SEP ORIGEN'!U23</f>
        <v>125.550984</v>
      </c>
      <c r="V23" s="263">
        <f>+'PROYECCIÓN GENERACIÓN'!V23-'SEP ORIGEN'!V23</f>
        <v>126.21796200000001</v>
      </c>
      <c r="W23" s="263">
        <f>+'PROYECCIÓN GENERACIÓN'!W23-'SEP ORIGEN'!W23</f>
        <v>126.88494000000001</v>
      </c>
      <c r="X23" s="263">
        <f>+'PROYECCIÓN GENERACIÓN'!X23-'SEP ORIGEN'!X23</f>
        <v>127.55191800000001</v>
      </c>
      <c r="Y23" s="263">
        <f>+'PROYECCIÓN GENERACIÓN'!Y23-'SEP ORIGEN'!Y23</f>
        <v>128.218896</v>
      </c>
      <c r="Z23" s="263">
        <f>+'PROYECCIÓN GENERACIÓN'!Z23-'SEP ORIGEN'!Z23</f>
        <v>128.885874</v>
      </c>
    </row>
    <row r="24" spans="1:26" ht="24.95" customHeight="1">
      <c r="A24" s="351" t="str">
        <f>+Pobl_adoptada!A24</f>
        <v>San Isidro</v>
      </c>
      <c r="B24" s="70">
        <f>+Pobl_adoptada!B24</f>
        <v>20</v>
      </c>
      <c r="C24" s="353" t="str">
        <f>+Pobl_adoptada!C24</f>
        <v>San Isidro</v>
      </c>
      <c r="D24" s="261"/>
      <c r="E24" s="278"/>
      <c r="F24" s="263"/>
      <c r="G24" s="263">
        <f>+'PROYECCIÓN GENERACIÓN'!G24-'SEP ORIGEN'!G24</f>
        <v>300.0095604</v>
      </c>
      <c r="H24" s="263">
        <f>+'PROYECCIÓN GENERACIÓN'!H24-'SEP ORIGEN'!H24</f>
        <v>279.08016000000003</v>
      </c>
      <c r="I24" s="263">
        <f>+'PROYECCIÓN GENERACIÓN'!I24-'SEP ORIGEN'!I24</f>
        <v>258.11110200000002</v>
      </c>
      <c r="J24" s="263">
        <f>+'PROYECCIÓN GENERACIÓN'!J24-'SEP ORIGEN'!J24</f>
        <v>227.98376999999999</v>
      </c>
      <c r="K24" s="263">
        <f>+'PROYECCIÓN GENERACIÓN'!K24-'SEP ORIGEN'!K24</f>
        <v>197.79610500000001</v>
      </c>
      <c r="L24" s="263">
        <f>+'PROYECCIÓN GENERACIÓN'!L24-'SEP ORIGEN'!L24</f>
        <v>198.00959100000003</v>
      </c>
      <c r="M24" s="263">
        <f>+'PROYECCIÓN GENERACIÓN'!M24-'SEP ORIGEN'!M24</f>
        <v>198.22639200000003</v>
      </c>
      <c r="N24" s="263">
        <f>+'PROYECCIÓN GENERACIÓN'!N24-'SEP ORIGEN'!N24</f>
        <v>198.44717100000003</v>
      </c>
      <c r="O24" s="263">
        <f>+'PROYECCIÓN GENERACIÓN'!O24-'SEP ORIGEN'!O24</f>
        <v>198.67126500000001</v>
      </c>
      <c r="P24" s="263">
        <f>+'PROYECCIÓN GENERACIÓN'!P24-'SEP ORIGEN'!P24</f>
        <v>198.89867400000003</v>
      </c>
      <c r="Q24" s="263">
        <f>+'PROYECCIÓN GENERACIÓN'!Q24-'SEP ORIGEN'!Q24</f>
        <v>199.13006100000001</v>
      </c>
      <c r="R24" s="263">
        <f>+'PROYECCIÓN GENERACIÓN'!R24-'SEP ORIGEN'!R24</f>
        <v>199.36542599999999</v>
      </c>
      <c r="S24" s="263">
        <f>+'PROYECCIÓN GENERACIÓN'!S24-'SEP ORIGEN'!S24</f>
        <v>199.60476900000003</v>
      </c>
      <c r="T24" s="263">
        <f>+'PROYECCIÓN GENERACIÓN'!T24-'SEP ORIGEN'!T24</f>
        <v>199.84742700000001</v>
      </c>
      <c r="U24" s="263">
        <f>+'PROYECCIÓN GENERACIÓN'!U24-'SEP ORIGEN'!U24</f>
        <v>200.09472599999998</v>
      </c>
      <c r="V24" s="263">
        <f>+'PROYECCIÓN GENERACIÓN'!V24-'SEP ORIGEN'!V24</f>
        <v>200.34533999999999</v>
      </c>
      <c r="W24" s="263">
        <f>+'PROYECCIÓN GENERACIÓN'!W24-'SEP ORIGEN'!W24</f>
        <v>200.600595</v>
      </c>
      <c r="X24" s="263">
        <f>+'PROYECCIÓN GENERACIÓN'!X24-'SEP ORIGEN'!X24</f>
        <v>200.85982799999999</v>
      </c>
      <c r="Y24" s="263">
        <f>+'PROYECCIÓN GENERACIÓN'!Y24-'SEP ORIGEN'!Y24</f>
        <v>201.12303900000001</v>
      </c>
      <c r="Z24" s="263">
        <f>+'PROYECCIÓN GENERACIÓN'!Z24-'SEP ORIGEN'!Z24</f>
        <v>201.39089100000001</v>
      </c>
    </row>
    <row r="25" spans="1:26" ht="24.95" customHeight="1">
      <c r="A25" s="351" t="str">
        <f>+Pobl_adoptada!A25</f>
        <v>San Miguel</v>
      </c>
      <c r="B25" s="70">
        <f>+Pobl_adoptada!B25</f>
        <v>21</v>
      </c>
      <c r="C25" s="353" t="str">
        <f>+Pobl_adoptada!C25</f>
        <v>San Miguel</v>
      </c>
      <c r="D25" s="261"/>
      <c r="E25" s="278"/>
      <c r="F25" s="263"/>
      <c r="G25" s="263">
        <f>+'PROYECCIÓN GENERACIÓN'!G25-'SEP ORIGEN'!G25</f>
        <v>484.65787589999996</v>
      </c>
      <c r="H25" s="263">
        <f>+'PROYECCIÓN GENERACIÓN'!H25-'SEP ORIGEN'!H25</f>
        <v>456.97761599999995</v>
      </c>
      <c r="I25" s="263">
        <f>+'PROYECCIÓN GENERACIÓN'!I25-'SEP ORIGEN'!I25</f>
        <v>428.39303849999999</v>
      </c>
      <c r="J25" s="263">
        <f>+'PROYECCIÓN GENERACIÓN'!J25-'SEP ORIGEN'!J25</f>
        <v>383.54150249999998</v>
      </c>
      <c r="K25" s="263">
        <f>+'PROYECCIÓN GENERACIÓN'!K25-'SEP ORIGEN'!K25</f>
        <v>337.28849699999995</v>
      </c>
      <c r="L25" s="263">
        <f>+'PROYECCIÓN GENERACIÓN'!L25-'SEP ORIGEN'!L25</f>
        <v>342.25409400000001</v>
      </c>
      <c r="M25" s="263">
        <f>+'PROYECCIÓN GENERACIÓN'!M25-'SEP ORIGEN'!M25</f>
        <v>347.300343</v>
      </c>
      <c r="N25" s="263">
        <f>+'PROYECCIÓN GENERACIÓN'!N25-'SEP ORIGEN'!N25</f>
        <v>352.42907700000001</v>
      </c>
      <c r="O25" s="263">
        <f>+'PROYECCIÓN GENERACIÓN'!O25-'SEP ORIGEN'!O25</f>
        <v>357.64212899999995</v>
      </c>
      <c r="P25" s="263">
        <f>+'PROYECCIÓN GENERACIÓN'!P25-'SEP ORIGEN'!P25</f>
        <v>362.93949899999996</v>
      </c>
      <c r="Q25" s="263">
        <f>+'PROYECCIÓN GENERACIÓN'!Q25-'SEP ORIGEN'!Q25</f>
        <v>368.3239365</v>
      </c>
      <c r="R25" s="263">
        <f>+'PROYECCIÓN GENERACIÓN'!R25-'SEP ORIGEN'!R25</f>
        <v>373.79544149999998</v>
      </c>
      <c r="S25" s="263">
        <f>+'PROYECCIÓN GENERACIÓN'!S25-'SEP ORIGEN'!S25</f>
        <v>379.35676349999994</v>
      </c>
      <c r="T25" s="263">
        <f>+'PROYECCIÓN GENERACIÓN'!T25-'SEP ORIGEN'!T25</f>
        <v>385.00881900000002</v>
      </c>
      <c r="U25" s="263">
        <f>+'PROYECCIÓN GENERACIÓN'!U25-'SEP ORIGEN'!U25</f>
        <v>390.75252450000005</v>
      </c>
      <c r="V25" s="263">
        <f>+'PROYECCIÓN GENERACIÓN'!V25-'SEP ORIGEN'!V25</f>
        <v>396.59062949999998</v>
      </c>
      <c r="W25" s="263">
        <f>+'PROYECCIÓN GENERACIÓN'!W25-'SEP ORIGEN'!W25</f>
        <v>402.52313400000003</v>
      </c>
      <c r="X25" s="263">
        <f>+'PROYECCIÓN GENERACIÓN'!X25-'SEP ORIGEN'!X25</f>
        <v>408.55370399999993</v>
      </c>
      <c r="Y25" s="263">
        <f>+'PROYECCIÓN GENERACIÓN'!Y25-'SEP ORIGEN'!Y25</f>
        <v>414.681423</v>
      </c>
      <c r="Z25" s="263">
        <f>+'PROYECCIÓN GENERACIÓN'!Z25-'SEP ORIGEN'!Z25</f>
        <v>420.90995699999996</v>
      </c>
    </row>
    <row r="26" spans="1:26" ht="24.95" customHeight="1">
      <c r="A26" s="351" t="str">
        <f>+Pobl_adoptada!A26</f>
        <v>Tigre</v>
      </c>
      <c r="B26" s="70">
        <f>+Pobl_adoptada!B26</f>
        <v>22</v>
      </c>
      <c r="C26" s="353" t="str">
        <f>+Pobl_adoptada!C26</f>
        <v>Tigre</v>
      </c>
      <c r="D26" s="261"/>
      <c r="E26" s="278"/>
      <c r="F26" s="263"/>
      <c r="G26" s="263">
        <f>+'PROYECCIÓN GENERACIÓN'!G26-'SEP ORIGEN'!G26</f>
        <v>643.89377249999995</v>
      </c>
      <c r="H26" s="263">
        <f>+'PROYECCIÓN GENERACIÓN'!H26-'SEP ORIGEN'!H26</f>
        <v>606.25160879999999</v>
      </c>
      <c r="I26" s="263">
        <f>+'PROYECCIÓN GENERACIÓN'!I26-'SEP ORIGEN'!I26</f>
        <v>567.40945049999993</v>
      </c>
      <c r="J26" s="263">
        <f>+'PROYECCIÓN GENERACIÓN'!J26-'SEP ORIGEN'!J26</f>
        <v>507.08393999999998</v>
      </c>
      <c r="K26" s="263">
        <f>+'PROYECCIÓN GENERACIÓN'!K26-'SEP ORIGEN'!K26</f>
        <v>445.04415149999994</v>
      </c>
      <c r="L26" s="263">
        <f>+'PROYECCIÓN GENERACIÓN'!L26-'SEP ORIGEN'!L26</f>
        <v>450.61555499999997</v>
      </c>
      <c r="M26" s="263">
        <f>+'PROYECCIÓN GENERACIÓN'!M26-'SEP ORIGEN'!M26</f>
        <v>456.18604199999999</v>
      </c>
      <c r="N26" s="263">
        <f>+'PROYECCIÓN GENERACIÓN'!N26-'SEP ORIGEN'!N26</f>
        <v>461.75744549999996</v>
      </c>
      <c r="O26" s="263">
        <f>+'PROYECCIÓN GENERACIÓN'!O26-'SEP ORIGEN'!O26</f>
        <v>467.32884899999999</v>
      </c>
      <c r="P26" s="263">
        <f>+'PROYECCIÓN GENERACIÓN'!P26-'SEP ORIGEN'!P26</f>
        <v>472.90025250000002</v>
      </c>
      <c r="Q26" s="263">
        <f>+'PROYECCIÓN GENERACIÓN'!Q26-'SEP ORIGEN'!Q26</f>
        <v>478.471656</v>
      </c>
      <c r="R26" s="263">
        <f>+'PROYECCIÓN GENERACIÓN'!R26-'SEP ORIGEN'!R26</f>
        <v>484.04305950000003</v>
      </c>
      <c r="S26" s="263">
        <f>+'PROYECCIÓN GENERACIÓN'!S26-'SEP ORIGEN'!S26</f>
        <v>489.61446299999994</v>
      </c>
      <c r="T26" s="263">
        <f>+'PROYECCIÓN GENERACIÓN'!T26-'SEP ORIGEN'!T26</f>
        <v>495.18586649999997</v>
      </c>
      <c r="U26" s="263">
        <f>+'PROYECCIÓN GENERACIÓN'!U26-'SEP ORIGEN'!U26</f>
        <v>500.75726999999995</v>
      </c>
      <c r="V26" s="263">
        <f>+'PROYECCIÓN GENERACIÓN'!V26-'SEP ORIGEN'!V26</f>
        <v>506.32867349999998</v>
      </c>
      <c r="W26" s="263">
        <f>+'PROYECCIÓN GENERACIÓN'!W26-'SEP ORIGEN'!W26</f>
        <v>511.90007699999995</v>
      </c>
      <c r="X26" s="263">
        <f>+'PROYECCIÓN GENERACIÓN'!X26-'SEP ORIGEN'!X26</f>
        <v>517.47148049999998</v>
      </c>
      <c r="Y26" s="263">
        <f>+'PROYECCIÓN GENERACIÓN'!Y26-'SEP ORIGEN'!Y26</f>
        <v>523.04288400000007</v>
      </c>
      <c r="Z26" s="263">
        <f>+'PROYECCIÓN GENERACIÓN'!Z26-'SEP ORIGEN'!Z26</f>
        <v>528.61428750000005</v>
      </c>
    </row>
    <row r="27" spans="1:26" ht="24.95" customHeight="1">
      <c r="A27" s="351" t="str">
        <f>+Pobl_adoptada!A27</f>
        <v>Tres de Febrero</v>
      </c>
      <c r="B27" s="70">
        <f>+Pobl_adoptada!B27</f>
        <v>23</v>
      </c>
      <c r="C27" s="353" t="str">
        <f>+Pobl_adoptada!C27</f>
        <v>Tres de Febrero</v>
      </c>
      <c r="D27" s="261"/>
      <c r="E27" s="278"/>
      <c r="F27" s="263"/>
      <c r="G27" s="263">
        <f>+'PROYECCIÓN GENERACIÓN'!G27-'SEP ORIGEN'!G27</f>
        <v>490.16749319999997</v>
      </c>
      <c r="H27" s="263">
        <f>+'PROYECCIÓN GENERACIÓN'!H27-'SEP ORIGEN'!H27</f>
        <v>456.53656799999999</v>
      </c>
      <c r="I27" s="263">
        <f>+'PROYECCIÓN GENERACIÓN'!I27-'SEP ORIGEN'!I27</f>
        <v>422.76488249999994</v>
      </c>
      <c r="J27" s="263">
        <f>+'PROYECCIÓN GENERACIÓN'!J27-'SEP ORIGEN'!J27</f>
        <v>373.89393000000001</v>
      </c>
      <c r="K27" s="263">
        <f>+'PROYECCIÓN GENERACIÓN'!K27-'SEP ORIGEN'!K27</f>
        <v>324.80301750000001</v>
      </c>
      <c r="L27" s="263">
        <f>+'PROYECCIÓN GENERACIÓN'!L27-'SEP ORIGEN'!L27</f>
        <v>325.57745999999997</v>
      </c>
      <c r="M27" s="263">
        <f>+'PROYECCIÓN GENERACIÓN'!M27-'SEP ORIGEN'!M27</f>
        <v>326.3647335</v>
      </c>
      <c r="N27" s="263">
        <f>+'PROYECCIÓN GENERACIÓN'!N27-'SEP ORIGEN'!N27</f>
        <v>327.16483800000003</v>
      </c>
      <c r="O27" s="263">
        <f>+'PROYECCIÓN GENERACIÓN'!O27-'SEP ORIGEN'!O27</f>
        <v>327.97777349999996</v>
      </c>
      <c r="P27" s="263">
        <f>+'PROYECCIÓN GENERACIÓN'!P27-'SEP ORIGEN'!P27</f>
        <v>328.80445649999996</v>
      </c>
      <c r="Q27" s="263">
        <f>+'PROYECCIÓN GENERACIÓN'!Q27-'SEP ORIGEN'!Q27</f>
        <v>329.64488700000004</v>
      </c>
      <c r="R27" s="263">
        <f>+'PROYECCIÓN GENERACIÓN'!R27-'SEP ORIGEN'!R27</f>
        <v>330.49814849999996</v>
      </c>
      <c r="S27" s="263">
        <f>+'PROYECCIÓN GENERACIÓN'!S27-'SEP ORIGEN'!S27</f>
        <v>331.36515750000001</v>
      </c>
      <c r="T27" s="263">
        <f>+'PROYECCIÓN GENERACIÓN'!T27-'SEP ORIGEN'!T27</f>
        <v>332.24683049999999</v>
      </c>
      <c r="U27" s="263">
        <f>+'PROYECCIÓN GENERACIÓN'!U27-'SEP ORIGEN'!U27</f>
        <v>333.14316749999995</v>
      </c>
      <c r="V27" s="263">
        <f>+'PROYECCIÓN GENERACIÓN'!V27-'SEP ORIGEN'!V27</f>
        <v>334.0541685</v>
      </c>
      <c r="W27" s="263">
        <f>+'PROYECCIÓN GENERACIÓN'!W27-'SEP ORIGEN'!W27</f>
        <v>334.97891700000002</v>
      </c>
      <c r="X27" s="263">
        <f>+'PROYECCIÓN GENERACIÓN'!X27-'SEP ORIGEN'!X27</f>
        <v>335.92016249999995</v>
      </c>
      <c r="Y27" s="263">
        <f>+'PROYECCIÓN GENERACIÓN'!Y27-'SEP ORIGEN'!Y27</f>
        <v>336.87607199999997</v>
      </c>
      <c r="Z27" s="263">
        <f>+'PROYECCIÓN GENERACIÓN'!Z27-'SEP ORIGEN'!Z27</f>
        <v>337.84756200000004</v>
      </c>
    </row>
    <row r="28" spans="1:26" ht="24.95" customHeight="1">
      <c r="A28" s="351" t="str">
        <f>+Pobl_adoptada!A28</f>
        <v>Vicente López</v>
      </c>
      <c r="B28" s="70">
        <f>+Pobl_adoptada!B28</f>
        <v>24</v>
      </c>
      <c r="C28" s="353" t="str">
        <f>+Pobl_adoptada!C28</f>
        <v>Vicente López</v>
      </c>
      <c r="D28" s="261"/>
      <c r="E28" s="278"/>
      <c r="F28" s="263"/>
      <c r="G28" s="263">
        <f>+'PROYECCIÓN GENERACIÓN'!G28-'SEP ORIGEN'!G28</f>
        <v>257.59089180000001</v>
      </c>
      <c r="H28" s="263">
        <f>+'PROYECCIÓN GENERACIÓN'!H28-'SEP ORIGEN'!H28</f>
        <v>238.41553439999998</v>
      </c>
      <c r="I28" s="263">
        <f>+'PROYECCIÓN GENERACIÓN'!I28-'SEP ORIGEN'!I28</f>
        <v>219.37267500000002</v>
      </c>
      <c r="J28" s="263">
        <f>+'PROYECCIÓN GENERACIÓN'!J28-'SEP ORIGEN'!J28</f>
        <v>192.75398999999999</v>
      </c>
      <c r="K28" s="263">
        <f>+'PROYECCIÓN GENERACIÓN'!K28-'SEP ORIGEN'!K28</f>
        <v>166.340733</v>
      </c>
      <c r="L28" s="263">
        <f>+'PROYECCIÓN GENERACIÓN'!L28-'SEP ORIGEN'!L28</f>
        <v>165.61541099999999</v>
      </c>
      <c r="M28" s="263">
        <f>+'PROYECCIÓN GENERACIÓN'!M28-'SEP ORIGEN'!M28</f>
        <v>164.878818</v>
      </c>
      <c r="N28" s="263">
        <f>+'PROYECCIÓN GENERACIÓN'!N28-'SEP ORIGEN'!N28</f>
        <v>164.13029100000003</v>
      </c>
      <c r="O28" s="263">
        <f>+'PROYECCIÓN GENERACIÓN'!O28-'SEP ORIGEN'!O28</f>
        <v>163.369167</v>
      </c>
      <c r="P28" s="263">
        <f>+'PROYECCIÓN GENERACIÓN'!P28-'SEP ORIGEN'!P28</f>
        <v>162.59610900000001</v>
      </c>
      <c r="Q28" s="263">
        <f>+'PROYECCIÓN GENERACIÓN'!Q28-'SEP ORIGEN'!Q28</f>
        <v>161.81045400000002</v>
      </c>
      <c r="R28" s="263">
        <f>+'PROYECCIÓN GENERACIÓN'!R28-'SEP ORIGEN'!R28</f>
        <v>161.011539</v>
      </c>
      <c r="S28" s="263">
        <f>+'PROYECCIÓN GENERACIÓN'!S28-'SEP ORIGEN'!S28</f>
        <v>160.20002700000003</v>
      </c>
      <c r="T28" s="263">
        <f>+'PROYECCIÓN GENERACIÓN'!T28-'SEP ORIGEN'!T28</f>
        <v>159.37459200000001</v>
      </c>
      <c r="U28" s="263">
        <f>+'PROYECCIÓN GENERACIÓN'!U28-'SEP ORIGEN'!U28</f>
        <v>158.53656000000001</v>
      </c>
      <c r="V28" s="263">
        <f>+'PROYECCIÓN GENERACIÓN'!V28-'SEP ORIGEN'!V28</f>
        <v>157.683942</v>
      </c>
      <c r="W28" s="263">
        <f>+'PROYECCIÓN GENERACIÓN'!W28-'SEP ORIGEN'!W28</f>
        <v>156.81806399999999</v>
      </c>
      <c r="X28" s="263">
        <f>+'PROYECCIÓN GENERACIÓN'!X28-'SEP ORIGEN'!X28</f>
        <v>155.9376</v>
      </c>
      <c r="Y28" s="263">
        <f>+'PROYECCIÓN GENERACIÓN'!Y28-'SEP ORIGEN'!Y28</f>
        <v>155.04321300000004</v>
      </c>
      <c r="Z28" s="263">
        <f>+'PROYECCIÓN GENERACIÓN'!Z28-'SEP ORIGEN'!Z28</f>
        <v>154.13424000000001</v>
      </c>
    </row>
    <row r="29" spans="1:26" ht="24.95" customHeight="1">
      <c r="A29" s="351" t="str">
        <f>+Pobl_adoptada!A29</f>
        <v>25 de Mayo</v>
      </c>
      <c r="B29" s="70">
        <f>+Pobl_adoptada!B29</f>
        <v>25</v>
      </c>
      <c r="C29" s="353" t="str">
        <f>+Pobl_adoptada!C29</f>
        <v>25 de Mayo</v>
      </c>
      <c r="D29" s="261"/>
      <c r="E29" s="278"/>
      <c r="F29" s="263"/>
      <c r="G29" s="263">
        <f>+'PROYECCIÓN GENERACIÓN'!G29-'SEP ORIGEN'!G29</f>
        <v>26.186727600000001</v>
      </c>
      <c r="H29" s="263">
        <f>+'PROYECCIÓN GENERACIÓN'!H29-'SEP ORIGEN'!H29</f>
        <v>24.432660800000001</v>
      </c>
      <c r="I29" s="263">
        <f>+'PROYECCIÓN GENERACIÓN'!I29-'SEP ORIGEN'!I29</f>
        <v>22.663754000000001</v>
      </c>
      <c r="J29" s="263">
        <f>+'PROYECCIÓN GENERACIÓN'!J29-'SEP ORIGEN'!J29</f>
        <v>20.077725000000001</v>
      </c>
      <c r="K29" s="263">
        <f>+'PROYECCIÓN GENERACIÓN'!K29-'SEP ORIGEN'!K29</f>
        <v>17.470283999999999</v>
      </c>
      <c r="L29" s="263">
        <f>+'PROYECCIÓN GENERACIÓN'!L29-'SEP ORIGEN'!L29</f>
        <v>17.539873000000004</v>
      </c>
      <c r="M29" s="263">
        <f>+'PROYECCIÓN GENERACIÓN'!M29-'SEP ORIGEN'!M29</f>
        <v>17.610151000000002</v>
      </c>
      <c r="N29" s="263">
        <f>+'PROYECCIÓN GENERACIÓN'!N29-'SEP ORIGEN'!N29</f>
        <v>17.681118000000001</v>
      </c>
      <c r="O29" s="263">
        <f>+'PROYECCIÓN GENERACIÓN'!O29-'SEP ORIGEN'!O29</f>
        <v>17.751396</v>
      </c>
      <c r="P29" s="263">
        <f>+'PROYECCIÓN GENERACIÓN'!P29-'SEP ORIGEN'!P29</f>
        <v>17.823052000000004</v>
      </c>
      <c r="Q29" s="263">
        <f>+'PROYECCIÓN GENERACIÓN'!Q29-'SEP ORIGEN'!Q29</f>
        <v>17.894019</v>
      </c>
      <c r="R29" s="263">
        <f>+'PROYECCIÓN GENERACIÓN'!R29-'SEP ORIGEN'!R29</f>
        <v>17.965675000000001</v>
      </c>
      <c r="S29" s="263">
        <f>+'PROYECCIÓN GENERACIÓN'!S29-'SEP ORIGEN'!S29</f>
        <v>18.038020000000003</v>
      </c>
      <c r="T29" s="263">
        <f>+'PROYECCIÓN GENERACIÓN'!T29-'SEP ORIGEN'!T29</f>
        <v>18.109676</v>
      </c>
      <c r="U29" s="263">
        <f>+'PROYECCIÓN GENERACIÓN'!U29-'SEP ORIGEN'!U29</f>
        <v>18.18271</v>
      </c>
      <c r="V29" s="263">
        <f>+'PROYECCIÓN GENERACIÓN'!V29-'SEP ORIGEN'!V29</f>
        <v>18.255055000000002</v>
      </c>
      <c r="W29" s="263">
        <f>+'PROYECCIÓN GENERACIÓN'!W29-'SEP ORIGEN'!W29</f>
        <v>18.328778000000003</v>
      </c>
      <c r="X29" s="263">
        <f>+'PROYECCIÓN GENERACIÓN'!X29-'SEP ORIGEN'!X29</f>
        <v>18.401812</v>
      </c>
      <c r="Y29" s="263">
        <f>+'PROYECCIÓN GENERACIÓN'!Y29-'SEP ORIGEN'!Y29</f>
        <v>18.475535000000001</v>
      </c>
      <c r="Z29" s="263">
        <f>+'PROYECCIÓN GENERACIÓN'!Z29-'SEP ORIGEN'!Z29</f>
        <v>18.549258000000002</v>
      </c>
    </row>
    <row r="30" spans="1:26" ht="24.95" customHeight="1">
      <c r="A30" s="351" t="str">
        <f>+Pobl_adoptada!A30</f>
        <v>9 de Julio</v>
      </c>
      <c r="B30" s="70">
        <f>+Pobl_adoptada!B30</f>
        <v>26</v>
      </c>
      <c r="C30" s="353" t="str">
        <f>+Pobl_adoptada!C30</f>
        <v>9 de Julio</v>
      </c>
      <c r="D30" s="261"/>
      <c r="E30" s="278"/>
      <c r="F30" s="263"/>
      <c r="G30" s="263">
        <f>+'PROYECCIÓN GENERACIÓN'!G30-'SEP ORIGEN'!G30</f>
        <v>44.025478200000002</v>
      </c>
      <c r="H30" s="263">
        <f>+'PROYECCIÓN GENERACIÓN'!H30-'SEP ORIGEN'!H30</f>
        <v>41.228530399999997</v>
      </c>
      <c r="I30" s="263">
        <f>+'PROYECCIÓN GENERACIÓN'!I30-'SEP ORIGEN'!I30</f>
        <v>38.384402000000001</v>
      </c>
      <c r="J30" s="263">
        <f>+'PROYECCIÓN GENERACIÓN'!J30-'SEP ORIGEN'!J30</f>
        <v>34.126170000000002</v>
      </c>
      <c r="K30" s="263">
        <f>+'PROYECCIÓN GENERACIÓN'!K30-'SEP ORIGEN'!K30</f>
        <v>29.799939000000006</v>
      </c>
      <c r="L30" s="263">
        <f>+'PROYECCIÓN GENERACIÓN'!L30-'SEP ORIGEN'!L30</f>
        <v>30.023175000000002</v>
      </c>
      <c r="M30" s="263">
        <f>+'PROYECCIÓN GENERACIÓN'!M30-'SEP ORIGEN'!M30</f>
        <v>30.2471</v>
      </c>
      <c r="N30" s="263">
        <f>+'PROYECCIÓN GENERACIÓN'!N30-'SEP ORIGEN'!N30</f>
        <v>30.470336</v>
      </c>
      <c r="O30" s="263">
        <f>+'PROYECCIÓN GENERACIÓN'!O30-'SEP ORIGEN'!O30</f>
        <v>30.694261000000004</v>
      </c>
      <c r="P30" s="263">
        <f>+'PROYECCIÓN GENERACIÓN'!P30-'SEP ORIGEN'!P30</f>
        <v>30.917497000000004</v>
      </c>
      <c r="Q30" s="263">
        <f>+'PROYECCIÓN GENERACIÓN'!Q30-'SEP ORIGEN'!Q30</f>
        <v>31.141422000000002</v>
      </c>
      <c r="R30" s="263">
        <f>+'PROYECCIÓN GENERACIÓN'!R30-'SEP ORIGEN'!R30</f>
        <v>31.364658000000002</v>
      </c>
      <c r="S30" s="263">
        <f>+'PROYECCIÓN GENERACIÓN'!S30-'SEP ORIGEN'!S30</f>
        <v>31.588583</v>
      </c>
      <c r="T30" s="263">
        <f>+'PROYECCIÓN GENERACIÓN'!T30-'SEP ORIGEN'!T30</f>
        <v>31.811819</v>
      </c>
      <c r="U30" s="263">
        <f>+'PROYECCIÓN GENERACIÓN'!U30-'SEP ORIGEN'!U30</f>
        <v>32.035055</v>
      </c>
      <c r="V30" s="263">
        <f>+'PROYECCIÓN GENERACIÓN'!V30-'SEP ORIGEN'!V30</f>
        <v>32.258980000000008</v>
      </c>
      <c r="W30" s="263">
        <f>+'PROYECCIÓN GENERACIÓN'!W30-'SEP ORIGEN'!W30</f>
        <v>32.482216000000001</v>
      </c>
      <c r="X30" s="263">
        <f>+'PROYECCIÓN GENERACIÓN'!X30-'SEP ORIGEN'!X30</f>
        <v>32.706141000000002</v>
      </c>
      <c r="Y30" s="263">
        <f>+'PROYECCIÓN GENERACIÓN'!Y30-'SEP ORIGEN'!Y30</f>
        <v>32.929377000000002</v>
      </c>
      <c r="Z30" s="263">
        <f>+'PROYECCIÓN GENERACIÓN'!Z30-'SEP ORIGEN'!Z30</f>
        <v>33.153301999999996</v>
      </c>
    </row>
    <row r="31" spans="1:26" ht="24.95" customHeight="1">
      <c r="A31" s="351" t="str">
        <f>+Pobl_adoptada!A31</f>
        <v>Adolfo Alsina</v>
      </c>
      <c r="B31" s="70">
        <f>+Pobl_adoptada!B31</f>
        <v>27</v>
      </c>
      <c r="C31" s="353" t="str">
        <f>+Pobl_adoptada!C31</f>
        <v>Carhué</v>
      </c>
      <c r="D31" s="261"/>
      <c r="E31" s="278"/>
      <c r="F31" s="263"/>
      <c r="G31" s="263">
        <f>+'PROYECCIÓN GENERACIÓN'!G31-'SEP ORIGEN'!G31</f>
        <v>9.4641228000000002</v>
      </c>
      <c r="H31" s="263">
        <f>+'PROYECCIÓN GENERACIÓN'!H31-'SEP ORIGEN'!H31</f>
        <v>8.8431871999999991</v>
      </c>
      <c r="I31" s="263">
        <f>+'PROYECCIÓN GENERACIÓN'!I31-'SEP ORIGEN'!I31</f>
        <v>8.2156920000000007</v>
      </c>
      <c r="J31" s="263">
        <f>+'PROYECCIÓN GENERACIÓN'!J31-'SEP ORIGEN'!J31</f>
        <v>7.2891600000000007</v>
      </c>
      <c r="K31" s="263">
        <f>+'PROYECCIÓN GENERACIÓN'!K31-'SEP ORIGEN'!K31</f>
        <v>6.3513579999999994</v>
      </c>
      <c r="L31" s="263">
        <f>+'PROYECCIÓN GENERACIÓN'!L31-'SEP ORIGEN'!L31</f>
        <v>6.3860420000000007</v>
      </c>
      <c r="M31" s="263">
        <f>+'PROYECCIÓN GENERACIÓN'!M31-'SEP ORIGEN'!M31</f>
        <v>6.4207260000000002</v>
      </c>
      <c r="N31" s="263">
        <f>+'PROYECCIÓN GENERACIÓN'!N31-'SEP ORIGEN'!N31</f>
        <v>6.4548119999999995</v>
      </c>
      <c r="O31" s="263">
        <f>+'PROYECCIÓN GENERACIÓN'!O31-'SEP ORIGEN'!O31</f>
        <v>6.4894960000000008</v>
      </c>
      <c r="P31" s="263">
        <f>+'PROYECCIÓN GENERACIÓN'!P31-'SEP ORIGEN'!P31</f>
        <v>6.5241800000000003</v>
      </c>
      <c r="Q31" s="263">
        <f>+'PROYECCIÓN GENERACIÓN'!Q31-'SEP ORIGEN'!Q31</f>
        <v>6.5582660000000015</v>
      </c>
      <c r="R31" s="263">
        <f>+'PROYECCIÓN GENERACIÓN'!R31-'SEP ORIGEN'!R31</f>
        <v>6.5929500000000001</v>
      </c>
      <c r="S31" s="263">
        <f>+'PROYECCIÓN GENERACIÓN'!S31-'SEP ORIGEN'!S31</f>
        <v>6.6276340000000005</v>
      </c>
      <c r="T31" s="263">
        <f>+'PROYECCIÓN GENERACIÓN'!T31-'SEP ORIGEN'!T31</f>
        <v>6.6617200000000008</v>
      </c>
      <c r="U31" s="263">
        <f>+'PROYECCIÓN GENERACIÓN'!U31-'SEP ORIGEN'!U31</f>
        <v>6.6964040000000011</v>
      </c>
      <c r="V31" s="263">
        <f>+'PROYECCIÓN GENERACIÓN'!V31-'SEP ORIGEN'!V31</f>
        <v>6.7310880000000006</v>
      </c>
      <c r="W31" s="263">
        <f>+'PROYECCIÓN GENERACIÓN'!W31-'SEP ORIGEN'!W31</f>
        <v>6.7657720000000019</v>
      </c>
      <c r="X31" s="263">
        <f>+'PROYECCIÓN GENERACIÓN'!X31-'SEP ORIGEN'!X31</f>
        <v>6.7998579999999995</v>
      </c>
      <c r="Y31" s="263">
        <f>+'PROYECCIÓN GENERACIÓN'!Y31-'SEP ORIGEN'!Y31</f>
        <v>6.8345420000000008</v>
      </c>
      <c r="Z31" s="263">
        <f>+'PROYECCIÓN GENERACIÓN'!Z31-'SEP ORIGEN'!Z31</f>
        <v>6.8692260000000012</v>
      </c>
    </row>
    <row r="32" spans="1:26" ht="24.95" customHeight="1">
      <c r="A32" s="351" t="str">
        <f>+Pobl_adoptada!A32</f>
        <v>Adolfo Gonzáles Chaves</v>
      </c>
      <c r="B32" s="70">
        <f>+Pobl_adoptada!B32</f>
        <v>28</v>
      </c>
      <c r="C32" s="353" t="str">
        <f>+Pobl_adoptada!C32</f>
        <v>Adolfo Gonzáles Chaves</v>
      </c>
      <c r="D32" s="261"/>
      <c r="E32" s="278"/>
      <c r="F32" s="263"/>
      <c r="G32" s="263">
        <f>+'PROYECCIÓN GENERACIÓN'!G32-'SEP ORIGEN'!G32</f>
        <v>8.8192763999999997</v>
      </c>
      <c r="H32" s="263">
        <f>+'PROYECCIÓN GENERACIÓN'!H32-'SEP ORIGEN'!H32</f>
        <v>8.2634032000000008</v>
      </c>
      <c r="I32" s="263">
        <f>+'PROYECCIÓN GENERACIÓN'!I32-'SEP ORIGEN'!I32</f>
        <v>7.6972259999999997</v>
      </c>
      <c r="J32" s="263">
        <f>+'PROYECCIÓN GENERACIÓN'!J32-'SEP ORIGEN'!J32</f>
        <v>6.8468700000000009</v>
      </c>
      <c r="K32" s="263">
        <f>+'PROYECCIÓN GENERACIÓN'!K32-'SEP ORIGEN'!K32</f>
        <v>5.9817939999999998</v>
      </c>
      <c r="L32" s="263">
        <f>+'PROYECCIÓN GENERACIÓN'!L32-'SEP ORIGEN'!L32</f>
        <v>6.0517599999999998</v>
      </c>
      <c r="M32" s="263">
        <f>+'PROYECCIÓN GENERACIÓN'!M32-'SEP ORIGEN'!M32</f>
        <v>6.1217260000000007</v>
      </c>
      <c r="N32" s="263">
        <f>+'PROYECCIÓN GENERACIÓN'!N32-'SEP ORIGEN'!N32</f>
        <v>6.1916919999999998</v>
      </c>
      <c r="O32" s="263">
        <f>+'PROYECCIÓN GENERACIÓN'!O32-'SEP ORIGEN'!O32</f>
        <v>6.2616579999999997</v>
      </c>
      <c r="P32" s="263">
        <f>+'PROYECCIÓN GENERACIÓN'!P32-'SEP ORIGEN'!P32</f>
        <v>6.3316240000000015</v>
      </c>
      <c r="Q32" s="263">
        <f>+'PROYECCIÓN GENERACIÓN'!Q32-'SEP ORIGEN'!Q32</f>
        <v>6.4015900000000006</v>
      </c>
      <c r="R32" s="263">
        <f>+'PROYECCIÓN GENERACIÓN'!R32-'SEP ORIGEN'!R32</f>
        <v>6.4715559999999996</v>
      </c>
      <c r="S32" s="263">
        <f>+'PROYECCIÓN GENERACIÓN'!S32-'SEP ORIGEN'!S32</f>
        <v>6.5415220000000005</v>
      </c>
      <c r="T32" s="263">
        <f>+'PROYECCIÓN GENERACIÓN'!T32-'SEP ORIGEN'!T32</f>
        <v>6.6114880000000014</v>
      </c>
      <c r="U32" s="263">
        <f>+'PROYECCIÓN GENERACIÓN'!U32-'SEP ORIGEN'!U32</f>
        <v>6.6814539999999996</v>
      </c>
      <c r="V32" s="263">
        <f>+'PROYECCIÓN GENERACIÓN'!V32-'SEP ORIGEN'!V32</f>
        <v>6.7514200000000013</v>
      </c>
      <c r="W32" s="263">
        <f>+'PROYECCIÓN GENERACIÓN'!W32-'SEP ORIGEN'!W32</f>
        <v>6.8213860000000004</v>
      </c>
      <c r="X32" s="263">
        <f>+'PROYECCIÓN GENERACIÓN'!X32-'SEP ORIGEN'!X32</f>
        <v>6.8913519999999995</v>
      </c>
      <c r="Y32" s="263">
        <f>+'PROYECCIÓN GENERACIÓN'!Y32-'SEP ORIGEN'!Y32</f>
        <v>6.9613180000000003</v>
      </c>
      <c r="Z32" s="263">
        <f>+'PROYECCIÓN GENERACIÓN'!Z32-'SEP ORIGEN'!Z32</f>
        <v>7.0312840000000012</v>
      </c>
    </row>
    <row r="33" spans="1:26" ht="24.95" customHeight="1">
      <c r="A33" s="351" t="str">
        <f>+Pobl_adoptada!A33</f>
        <v>Alberti</v>
      </c>
      <c r="B33" s="70">
        <f>+Pobl_adoptada!B33</f>
        <v>29</v>
      </c>
      <c r="C33" s="353" t="str">
        <f>+Pobl_adoptada!C33</f>
        <v>Alberti</v>
      </c>
      <c r="D33" s="261"/>
      <c r="E33" s="278"/>
      <c r="F33" s="263"/>
      <c r="G33" s="263">
        <f>+'PROYECCIÓN GENERACIÓN'!G33-'SEP ORIGEN'!G33</f>
        <v>9.3748644000000017</v>
      </c>
      <c r="H33" s="263">
        <f>+'PROYECCIÓN GENERACIÓN'!H33-'SEP ORIGEN'!H33</f>
        <v>8.8355695999999995</v>
      </c>
      <c r="I33" s="263">
        <f>+'PROYECCIÓN GENERACIÓN'!I33-'SEP ORIGEN'!I33</f>
        <v>8.277470000000001</v>
      </c>
      <c r="J33" s="263">
        <f>+'PROYECCIÓN GENERACIÓN'!J33-'SEP ORIGEN'!J33</f>
        <v>7.4037000000000006</v>
      </c>
      <c r="K33" s="263">
        <f>+'PROYECCIÓN GENERACIÓN'!K33-'SEP ORIGEN'!K33</f>
        <v>6.5038479999999996</v>
      </c>
      <c r="L33" s="263">
        <f>+'PROYECCIÓN GENERACIÓN'!L33-'SEP ORIGEN'!L33</f>
        <v>6.6126840000000007</v>
      </c>
      <c r="M33" s="263">
        <f>+'PROYECCIÓN GENERACIÓN'!M33-'SEP ORIGEN'!M33</f>
        <v>6.7209220000000007</v>
      </c>
      <c r="N33" s="263">
        <f>+'PROYECCIÓN GENERACIÓN'!N33-'SEP ORIGEN'!N33</f>
        <v>6.829758</v>
      </c>
      <c r="O33" s="263">
        <f>+'PROYECCIÓN GENERACIÓN'!O33-'SEP ORIGEN'!O33</f>
        <v>6.938594000000001</v>
      </c>
      <c r="P33" s="263">
        <f>+'PROYECCIÓN GENERACIÓN'!P33-'SEP ORIGEN'!P33</f>
        <v>7.0474300000000003</v>
      </c>
      <c r="Q33" s="263">
        <f>+'PROYECCIÓN GENERACIÓN'!Q33-'SEP ORIGEN'!Q33</f>
        <v>7.1556680000000004</v>
      </c>
      <c r="R33" s="263">
        <f>+'PROYECCIÓN GENERACIÓN'!R33-'SEP ORIGEN'!R33</f>
        <v>7.2645040000000005</v>
      </c>
      <c r="S33" s="263">
        <f>+'PROYECCIÓN GENERACIÓN'!S33-'SEP ORIGEN'!S33</f>
        <v>7.3733400000000007</v>
      </c>
      <c r="T33" s="263">
        <f>+'PROYECCIÓN GENERACIÓN'!T33-'SEP ORIGEN'!T33</f>
        <v>7.4815780000000007</v>
      </c>
      <c r="U33" s="263">
        <f>+'PROYECCIÓN GENERACIÓN'!U33-'SEP ORIGEN'!U33</f>
        <v>7.5904140000000009</v>
      </c>
      <c r="V33" s="263">
        <f>+'PROYECCIÓN GENERACIÓN'!V33-'SEP ORIGEN'!V33</f>
        <v>7.699250000000001</v>
      </c>
      <c r="W33" s="263">
        <f>+'PROYECCIÓN GENERACIÓN'!W33-'SEP ORIGEN'!W33</f>
        <v>7.8074880000000011</v>
      </c>
      <c r="X33" s="263">
        <f>+'PROYECCIÓN GENERACIÓN'!X33-'SEP ORIGEN'!X33</f>
        <v>7.9163240000000012</v>
      </c>
      <c r="Y33" s="263">
        <f>+'PROYECCIÓN GENERACIÓN'!Y33-'SEP ORIGEN'!Y33</f>
        <v>8.0251599999999996</v>
      </c>
      <c r="Z33" s="263">
        <f>+'PROYECCIÓN GENERACIÓN'!Z33-'SEP ORIGEN'!Z33</f>
        <v>8.1339959999999998</v>
      </c>
    </row>
    <row r="34" spans="1:26" ht="24.95" customHeight="1">
      <c r="A34" s="351" t="str">
        <f>+Pobl_adoptada!A34</f>
        <v>Arrecifes</v>
      </c>
      <c r="B34" s="70">
        <f>+Pobl_adoptada!B34</f>
        <v>30</v>
      </c>
      <c r="C34" s="353" t="str">
        <f>+Pobl_adoptada!C34</f>
        <v>Arrecifes</v>
      </c>
      <c r="D34" s="261"/>
      <c r="E34" s="278"/>
      <c r="F34" s="263"/>
      <c r="G34" s="263">
        <f>+'PROYECCIÓN GENERACIÓN'!G34-'SEP ORIGEN'!G34</f>
        <v>32.018243399999996</v>
      </c>
      <c r="H34" s="263">
        <f>+'PROYECCIÓN GENERACIÓN'!H34-'SEP ORIGEN'!H34</f>
        <v>30.024457600000002</v>
      </c>
      <c r="I34" s="263">
        <f>+'PROYECCIÓN GENERACIÓN'!I34-'SEP ORIGEN'!I34</f>
        <v>27.992267999999999</v>
      </c>
      <c r="J34" s="263">
        <f>+'PROYECCIÓN GENERACIÓN'!J34-'SEP ORIGEN'!J34</f>
        <v>24.923250000000003</v>
      </c>
      <c r="K34" s="263">
        <f>+'PROYECCIÓN GENERACIÓN'!K34-'SEP ORIGEN'!K34</f>
        <v>21.796514999999999</v>
      </c>
      <c r="L34" s="263">
        <f>+'PROYECCIÓN GENERACIÓN'!L34-'SEP ORIGEN'!L34</f>
        <v>21.994947000000003</v>
      </c>
      <c r="M34" s="263">
        <f>+'PROYECCIÓN GENERACIÓN'!M34-'SEP ORIGEN'!M34</f>
        <v>22.194757000000003</v>
      </c>
      <c r="N34" s="263">
        <f>+'PROYECCIÓN GENERACIÓN'!N34-'SEP ORIGEN'!N34</f>
        <v>22.395945000000001</v>
      </c>
      <c r="O34" s="263">
        <f>+'PROYECCIÓN GENERACIÓN'!O34-'SEP ORIGEN'!O34</f>
        <v>22.599889000000005</v>
      </c>
      <c r="P34" s="263">
        <f>+'PROYECCIÓN GENERACIÓN'!P34-'SEP ORIGEN'!P34</f>
        <v>22.805211000000003</v>
      </c>
      <c r="Q34" s="263">
        <f>+'PROYECCIÓN GENERACIÓN'!Q34-'SEP ORIGEN'!Q34</f>
        <v>23.011911000000001</v>
      </c>
      <c r="R34" s="263">
        <f>+'PROYECCIÓN GENERACIÓN'!R34-'SEP ORIGEN'!R34</f>
        <v>23.221367000000001</v>
      </c>
      <c r="S34" s="263">
        <f>+'PROYECCIÓN GENERACIÓN'!S34-'SEP ORIGEN'!S34</f>
        <v>23.432200999999999</v>
      </c>
      <c r="T34" s="263">
        <f>+'PROYECCIÓN GENERACIÓN'!T34-'SEP ORIGEN'!T34</f>
        <v>23.645102000000001</v>
      </c>
      <c r="U34" s="263">
        <f>+'PROYECCIÓN GENERACIÓN'!U34-'SEP ORIGEN'!U34</f>
        <v>23.860070000000004</v>
      </c>
      <c r="V34" s="263">
        <f>+'PROYECCIÓN GENERACIÓN'!V34-'SEP ORIGEN'!V34</f>
        <v>24.077105000000003</v>
      </c>
      <c r="W34" s="263">
        <f>+'PROYECCIÓN GENERACIÓN'!W34-'SEP ORIGEN'!W34</f>
        <v>24.295518000000001</v>
      </c>
      <c r="X34" s="263">
        <f>+'PROYECCIÓN GENERACIÓN'!X34-'SEP ORIGEN'!X34</f>
        <v>24.516687000000005</v>
      </c>
      <c r="Y34" s="263">
        <f>+'PROYECCIÓN GENERACIÓN'!Y34-'SEP ORIGEN'!Y34</f>
        <v>24.739234000000003</v>
      </c>
      <c r="Z34" s="263">
        <f>+'PROYECCIÓN GENERACIÓN'!Z34-'SEP ORIGEN'!Z34</f>
        <v>24.963848000000006</v>
      </c>
    </row>
    <row r="35" spans="1:26" ht="24.95" customHeight="1">
      <c r="A35" s="351" t="str">
        <f>+Pobl_adoptada!A35</f>
        <v>Ayacucho</v>
      </c>
      <c r="B35" s="70">
        <f>+Pobl_adoptada!B35</f>
        <v>31</v>
      </c>
      <c r="C35" s="353" t="str">
        <f>+Pobl_adoptada!C35</f>
        <v>Ayacucho</v>
      </c>
      <c r="D35" s="261"/>
      <c r="E35" s="278"/>
      <c r="F35" s="263"/>
      <c r="G35" s="263">
        <f>+'PROYECCIÓN GENERACIÓN'!G35-'SEP ORIGEN'!G35</f>
        <v>20.072923200000002</v>
      </c>
      <c r="H35" s="263">
        <f>+'PROYECCIÓN GENERACIÓN'!H35-'SEP ORIGEN'!H35</f>
        <v>18.767724000000001</v>
      </c>
      <c r="I35" s="263">
        <f>+'PROYECCIÓN GENERACIÓN'!I35-'SEP ORIGEN'!I35</f>
        <v>17.444260999999997</v>
      </c>
      <c r="J35" s="263">
        <f>+'PROYECCIÓN GENERACIÓN'!J35-'SEP ORIGEN'!J35</f>
        <v>15.485805000000003</v>
      </c>
      <c r="K35" s="263">
        <f>+'PROYECCIÓN GENERACIÓN'!K35-'SEP ORIGEN'!K35</f>
        <v>13.502333</v>
      </c>
      <c r="L35" s="263">
        <f>+'PROYECCIÓN GENERACIÓN'!L35-'SEP ORIGEN'!L35</f>
        <v>13.584324000000002</v>
      </c>
      <c r="M35" s="263">
        <f>+'PROYECCIÓN GENERACIÓN'!M35-'SEP ORIGEN'!M35</f>
        <v>13.666315000000001</v>
      </c>
      <c r="N35" s="263">
        <f>+'PROYECCIÓN GENERACIÓN'!N35-'SEP ORIGEN'!N35</f>
        <v>13.749684</v>
      </c>
      <c r="O35" s="263">
        <f>+'PROYECCIÓN GENERACIÓN'!O35-'SEP ORIGEN'!O35</f>
        <v>13.833053000000003</v>
      </c>
      <c r="P35" s="263">
        <f>+'PROYECCIÓN GENERACIÓN'!P35-'SEP ORIGEN'!P35</f>
        <v>13.917111000000002</v>
      </c>
      <c r="Q35" s="263">
        <f>+'PROYECCIÓN GENERACIÓN'!Q35-'SEP ORIGEN'!Q35</f>
        <v>14.001169000000003</v>
      </c>
      <c r="R35" s="263">
        <f>+'PROYECCIÓN GENERACIÓN'!R35-'SEP ORIGEN'!R35</f>
        <v>14.086605000000002</v>
      </c>
      <c r="S35" s="263">
        <f>+'PROYECCIÓN GENERACIÓN'!S35-'SEP ORIGEN'!S35</f>
        <v>14.172041</v>
      </c>
      <c r="T35" s="263">
        <f>+'PROYECCIÓN GENERACIÓN'!T35-'SEP ORIGEN'!T35</f>
        <v>14.257477000000002</v>
      </c>
      <c r="U35" s="263">
        <f>+'PROYECCIÓN GENERACIÓN'!U35-'SEP ORIGEN'!U35</f>
        <v>14.344291</v>
      </c>
      <c r="V35" s="263">
        <f>+'PROYECCIÓN GENERACIÓN'!V35-'SEP ORIGEN'!V35</f>
        <v>14.431105000000002</v>
      </c>
      <c r="W35" s="263">
        <f>+'PROYECCIÓN GENERACIÓN'!W35-'SEP ORIGEN'!W35</f>
        <v>14.518608</v>
      </c>
      <c r="X35" s="263">
        <f>+'PROYECCIÓN GENERACIÓN'!X35-'SEP ORIGEN'!X35</f>
        <v>14.606800000000002</v>
      </c>
      <c r="Y35" s="263">
        <f>+'PROYECCIÓN GENERACIÓN'!Y35-'SEP ORIGEN'!Y35</f>
        <v>14.695681</v>
      </c>
      <c r="Z35" s="263">
        <f>+'PROYECCIÓN GENERACIÓN'!Z35-'SEP ORIGEN'!Z35</f>
        <v>14.784562000000001</v>
      </c>
    </row>
    <row r="36" spans="1:26" ht="24.95" customHeight="1">
      <c r="A36" s="351" t="str">
        <f>+Pobl_adoptada!A36</f>
        <v>Azul</v>
      </c>
      <c r="B36" s="70">
        <f>+Pobl_adoptada!B36</f>
        <v>32</v>
      </c>
      <c r="C36" s="353" t="str">
        <f>+Pobl_adoptada!C36</f>
        <v>Azul</v>
      </c>
      <c r="D36" s="261"/>
      <c r="E36" s="278"/>
      <c r="F36" s="263"/>
      <c r="G36" s="263">
        <f>+'PROYECCIÓN GENERACIÓN'!G36-'SEP ORIGEN'!G36</f>
        <v>65.531980799999985</v>
      </c>
      <c r="H36" s="263">
        <f>+'PROYECCIÓN GENERACIÓN'!H36-'SEP ORIGEN'!H36</f>
        <v>61.631296800000008</v>
      </c>
      <c r="I36" s="263">
        <f>+'PROYECCIÓN GENERACIÓN'!I36-'SEP ORIGEN'!I36</f>
        <v>57.618219000000003</v>
      </c>
      <c r="J36" s="263">
        <f>+'PROYECCIÓN GENERACIÓN'!J36-'SEP ORIGEN'!J36</f>
        <v>51.436305000000004</v>
      </c>
      <c r="K36" s="263">
        <f>+'PROYECCIÓN GENERACIÓN'!K36-'SEP ORIGEN'!K36</f>
        <v>45.095270999999997</v>
      </c>
      <c r="L36" s="263">
        <f>+'PROYECCIÓN GENERACIÓN'!L36-'SEP ORIGEN'!L36</f>
        <v>45.774845999999997</v>
      </c>
      <c r="M36" s="263">
        <f>+'PROYECCIÓN GENERACIÓN'!M36-'SEP ORIGEN'!M36</f>
        <v>46.453758000000001</v>
      </c>
      <c r="N36" s="263">
        <f>+'PROYECCIÓN GENERACIÓN'!N36-'SEP ORIGEN'!N36</f>
        <v>47.133333000000007</v>
      </c>
      <c r="O36" s="263">
        <f>+'PROYECCIÓN GENERACIÓN'!O36-'SEP ORIGEN'!O36</f>
        <v>47.812245000000004</v>
      </c>
      <c r="P36" s="263">
        <f>+'PROYECCIÓN GENERACIÓN'!P36-'SEP ORIGEN'!P36</f>
        <v>48.491820000000004</v>
      </c>
      <c r="Q36" s="263">
        <f>+'PROYECCIÓN GENERACIÓN'!Q36-'SEP ORIGEN'!Q36</f>
        <v>49.170732000000001</v>
      </c>
      <c r="R36" s="263">
        <f>+'PROYECCIÓN GENERACIÓN'!R36-'SEP ORIGEN'!R36</f>
        <v>49.850307000000001</v>
      </c>
      <c r="S36" s="263">
        <f>+'PROYECCIÓN GENERACIÓN'!S36-'SEP ORIGEN'!S36</f>
        <v>50.529882000000001</v>
      </c>
      <c r="T36" s="263">
        <f>+'PROYECCIÓN GENERACIÓN'!T36-'SEP ORIGEN'!T36</f>
        <v>51.208793999999997</v>
      </c>
      <c r="U36" s="263">
        <f>+'PROYECCIÓN GENERACIÓN'!U36-'SEP ORIGEN'!U36</f>
        <v>51.888368999999997</v>
      </c>
      <c r="V36" s="263">
        <f>+'PROYECCIÓN GENERACIÓN'!V36-'SEP ORIGEN'!V36</f>
        <v>52.567281000000008</v>
      </c>
      <c r="W36" s="263">
        <f>+'PROYECCIÓN GENERACIÓN'!W36-'SEP ORIGEN'!W36</f>
        <v>53.246856000000008</v>
      </c>
      <c r="X36" s="263">
        <f>+'PROYECCIÓN GENERACIÓN'!X36-'SEP ORIGEN'!X36</f>
        <v>53.925768000000005</v>
      </c>
      <c r="Y36" s="263">
        <f>+'PROYECCIÓN GENERACIÓN'!Y36-'SEP ORIGEN'!Y36</f>
        <v>54.605342999999998</v>
      </c>
      <c r="Z36" s="263">
        <f>+'PROYECCIÓN GENERACIÓN'!Z36-'SEP ORIGEN'!Z36</f>
        <v>55.284918000000005</v>
      </c>
    </row>
    <row r="37" spans="1:26" ht="24.95" customHeight="1">
      <c r="A37" s="351" t="str">
        <f>+Pobl_adoptada!A37</f>
        <v>Bahía Blanca</v>
      </c>
      <c r="B37" s="70">
        <f>+Pobl_adoptada!B37</f>
        <v>33</v>
      </c>
      <c r="C37" s="353" t="str">
        <f>+Pobl_adoptada!C37</f>
        <v>Bahía Blanca</v>
      </c>
      <c r="D37" s="261"/>
      <c r="E37" s="278"/>
      <c r="F37" s="263"/>
      <c r="G37" s="263">
        <f>+'PROYECCIÓN GENERACIÓN'!G37-'SEP ORIGEN'!G37</f>
        <v>469.16617769999993</v>
      </c>
      <c r="H37" s="263">
        <f>+'PROYECCIÓN GENERACIÓN'!H37-'SEP ORIGEN'!H37</f>
        <v>440.98832879999998</v>
      </c>
      <c r="I37" s="263">
        <f>+'PROYECCIÓN GENERACIÓN'!I37-'SEP ORIGEN'!I37</f>
        <v>412.04909399999997</v>
      </c>
      <c r="J37" s="263">
        <f>+'PROYECCIÓN GENERACIÓN'!J37-'SEP ORIGEN'!J37</f>
        <v>367.64410499999997</v>
      </c>
      <c r="K37" s="263">
        <f>+'PROYECCIÓN GENERACIÓN'!K37-'SEP ORIGEN'!K37</f>
        <v>322.15433250000001</v>
      </c>
      <c r="L37" s="263">
        <f>+'PROYECCIÓN GENERACIÓN'!L37-'SEP ORIGEN'!L37</f>
        <v>326.81931749999995</v>
      </c>
      <c r="M37" s="263">
        <f>+'PROYECCIÓN GENERACIÓN'!M37-'SEP ORIGEN'!M37</f>
        <v>331.48521899999997</v>
      </c>
      <c r="N37" s="263">
        <f>+'PROYECCIÓN GENERACIÓN'!N37-'SEP ORIGEN'!N37</f>
        <v>336.15020399999997</v>
      </c>
      <c r="O37" s="263">
        <f>+'PROYECCIÓN GENERACIÓN'!O37-'SEP ORIGEN'!O37</f>
        <v>340.81610549999994</v>
      </c>
      <c r="P37" s="263">
        <f>+'PROYECCIÓN GENERACIÓN'!P37-'SEP ORIGEN'!P37</f>
        <v>345.48109049999999</v>
      </c>
      <c r="Q37" s="263">
        <f>+'PROYECCIÓN GENERACIÓN'!Q37-'SEP ORIGEN'!Q37</f>
        <v>350.14699199999995</v>
      </c>
      <c r="R37" s="263">
        <f>+'PROYECCIÓN GENERACIÓN'!R37-'SEP ORIGEN'!R37</f>
        <v>354.81197699999996</v>
      </c>
      <c r="S37" s="263">
        <f>+'PROYECCIÓN GENERACIÓN'!S37-'SEP ORIGEN'!S37</f>
        <v>359.47696199999996</v>
      </c>
      <c r="T37" s="263">
        <f>+'PROYECCIÓN GENERACIÓN'!T37-'SEP ORIGEN'!T37</f>
        <v>364.14286349999992</v>
      </c>
      <c r="U37" s="263">
        <f>+'PROYECCIÓN GENERACIÓN'!U37-'SEP ORIGEN'!U37</f>
        <v>368.80784849999998</v>
      </c>
      <c r="V37" s="263">
        <f>+'PROYECCIÓN GENERACIÓN'!V37-'SEP ORIGEN'!V37</f>
        <v>373.47375000000005</v>
      </c>
      <c r="W37" s="263">
        <f>+'PROYECCIÓN GENERACIÓN'!W37-'SEP ORIGEN'!W37</f>
        <v>378.138735</v>
      </c>
      <c r="X37" s="263">
        <f>+'PROYECCIÓN GENERACIÓN'!X37-'SEP ORIGEN'!X37</f>
        <v>382.80463650000002</v>
      </c>
      <c r="Y37" s="263">
        <f>+'PROYECCIÓN GENERACIÓN'!Y37-'SEP ORIGEN'!Y37</f>
        <v>387.46962150000002</v>
      </c>
      <c r="Z37" s="263">
        <f>+'PROYECCIÓN GENERACIÓN'!Z37-'SEP ORIGEN'!Z37</f>
        <v>392.13552299999998</v>
      </c>
    </row>
    <row r="38" spans="1:26" ht="24.95" customHeight="1">
      <c r="A38" s="351" t="str">
        <f>+Pobl_adoptada!A38</f>
        <v>Balcarce</v>
      </c>
      <c r="B38" s="70">
        <f>+Pobl_adoptada!B38</f>
        <v>34</v>
      </c>
      <c r="C38" s="353" t="str">
        <f>+Pobl_adoptada!C38</f>
        <v>Balcarce</v>
      </c>
      <c r="D38" s="261"/>
      <c r="E38" s="278"/>
      <c r="F38" s="263"/>
      <c r="G38" s="263">
        <f>+'PROYECCIÓN GENERACIÓN'!G38-'SEP ORIGEN'!G38</f>
        <v>50.676575399999997</v>
      </c>
      <c r="H38" s="263">
        <f>+'PROYECCIÓN GENERACIÓN'!H38-'SEP ORIGEN'!H38</f>
        <v>47.784799999999997</v>
      </c>
      <c r="I38" s="263">
        <f>+'PROYECCIÓN GENERACIÓN'!I38-'SEP ORIGEN'!I38</f>
        <v>44.798621000000004</v>
      </c>
      <c r="J38" s="263">
        <f>+'PROYECCIÓN GENERACIÓN'!J38-'SEP ORIGEN'!J38</f>
        <v>40.110135</v>
      </c>
      <c r="K38" s="263">
        <f>+'PROYECCIÓN GENERACIÓN'!K38-'SEP ORIGEN'!K38</f>
        <v>35.275422000000006</v>
      </c>
      <c r="L38" s="263">
        <f>+'PROYECCIÓN GENERACIÓN'!L38-'SEP ORIGEN'!L38</f>
        <v>35.796306000000001</v>
      </c>
      <c r="M38" s="263">
        <f>+'PROYECCIÓN GENERACIÓN'!M38-'SEP ORIGEN'!M38</f>
        <v>36.326147000000006</v>
      </c>
      <c r="N38" s="263">
        <f>+'PROYECCIÓN GENERACIÓN'!N38-'SEP ORIGEN'!N38</f>
        <v>36.864945000000006</v>
      </c>
      <c r="O38" s="263">
        <f>+'PROYECCIÓN GENERACIÓN'!O38-'SEP ORIGEN'!O38</f>
        <v>37.412011000000007</v>
      </c>
      <c r="P38" s="263">
        <f>+'PROYECCIÓN GENERACIÓN'!P38-'SEP ORIGEN'!P38</f>
        <v>37.968034000000003</v>
      </c>
      <c r="Q38" s="263">
        <f>+'PROYECCIÓN GENERACIÓN'!Q38-'SEP ORIGEN'!Q38</f>
        <v>38.533014000000009</v>
      </c>
      <c r="R38" s="263">
        <f>+'PROYECCIÓN GENERACIÓN'!R38-'SEP ORIGEN'!R38</f>
        <v>39.107640000000004</v>
      </c>
      <c r="S38" s="263">
        <f>+'PROYECCIÓN GENERACIÓN'!S38-'SEP ORIGEN'!S38</f>
        <v>39.691223000000008</v>
      </c>
      <c r="T38" s="263">
        <f>+'PROYECCIÓN GENERACIÓN'!T38-'SEP ORIGEN'!T38</f>
        <v>40.284452000000002</v>
      </c>
      <c r="U38" s="263">
        <f>+'PROYECCIÓN GENERACIÓN'!U38-'SEP ORIGEN'!U38</f>
        <v>40.887327000000006</v>
      </c>
      <c r="V38" s="263">
        <f>+'PROYECCIÓN GENERACIÓN'!V38-'SEP ORIGEN'!V38</f>
        <v>41.500537000000001</v>
      </c>
      <c r="W38" s="263">
        <f>+'PROYECCIÓN GENERACIÓN'!W38-'SEP ORIGEN'!W38</f>
        <v>42.123393000000007</v>
      </c>
      <c r="X38" s="263">
        <f>+'PROYECCIÓN GENERACIÓN'!X38-'SEP ORIGEN'!X38</f>
        <v>42.755895000000002</v>
      </c>
      <c r="Y38" s="263">
        <f>+'PROYECCIÓN GENERACIÓN'!Y38-'SEP ORIGEN'!Y38</f>
        <v>43.399420999999997</v>
      </c>
      <c r="Z38" s="263">
        <f>+'PROYECCIÓN GENERACIÓN'!Z38-'SEP ORIGEN'!Z38</f>
        <v>44.053282000000003</v>
      </c>
    </row>
    <row r="39" spans="1:26" ht="24.95" customHeight="1">
      <c r="A39" s="351" t="str">
        <f>+Pobl_adoptada!A39</f>
        <v>Baradero</v>
      </c>
      <c r="B39" s="70">
        <f>+Pobl_adoptada!B39</f>
        <v>35</v>
      </c>
      <c r="C39" s="353" t="str">
        <f>+Pobl_adoptada!C39</f>
        <v>Baradero</v>
      </c>
      <c r="D39" s="261"/>
      <c r="E39" s="278"/>
      <c r="F39" s="263"/>
      <c r="G39" s="263">
        <f>+'PROYECCIÓN GENERACIÓN'!G39-'SEP ORIGEN'!G39</f>
        <v>35.186382000000002</v>
      </c>
      <c r="H39" s="263">
        <f>+'PROYECCIÓN GENERACIÓN'!H39-'SEP ORIGEN'!H39</f>
        <v>33.030024000000004</v>
      </c>
      <c r="I39" s="263">
        <f>+'PROYECCIÓN GENERACIÓN'!I39-'SEP ORIGEN'!I39</f>
        <v>30.825913</v>
      </c>
      <c r="J39" s="263">
        <f>+'PROYECCIÓN GENERACIÓN'!J39-'SEP ORIGEN'!J39</f>
        <v>27.474404999999997</v>
      </c>
      <c r="K39" s="263">
        <f>+'PROYECCIÓN GENERACIÓN'!K39-'SEP ORIGEN'!K39</f>
        <v>24.052301</v>
      </c>
      <c r="L39" s="263">
        <f>+'PROYECCIÓN GENERACIÓN'!L39-'SEP ORIGEN'!L39</f>
        <v>24.296207000000003</v>
      </c>
      <c r="M39" s="263">
        <f>+'PROYECCIÓN GENERACIÓN'!M39-'SEP ORIGEN'!M39</f>
        <v>24.542180000000002</v>
      </c>
      <c r="N39" s="263">
        <f>+'PROYECCIÓN GENERACIÓN'!N39-'SEP ORIGEN'!N39</f>
        <v>24.790908999999999</v>
      </c>
      <c r="O39" s="263">
        <f>+'PROYECCIÓN GENERACIÓN'!O39-'SEP ORIGEN'!O39</f>
        <v>25.041705000000007</v>
      </c>
      <c r="P39" s="263">
        <f>+'PROYECCIÓN GENERACIÓN'!P39-'SEP ORIGEN'!P39</f>
        <v>25.295256999999999</v>
      </c>
      <c r="Q39" s="263">
        <f>+'PROYECCIÓN GENERACIÓN'!Q39-'SEP ORIGEN'!Q39</f>
        <v>25.551565</v>
      </c>
      <c r="R39" s="263">
        <f>+'PROYECCIÓN GENERACIÓN'!R39-'SEP ORIGEN'!R39</f>
        <v>25.810629000000002</v>
      </c>
      <c r="S39" s="263">
        <f>+'PROYECCIÓN GENERACIÓN'!S39-'SEP ORIGEN'!S39</f>
        <v>26.071759999999998</v>
      </c>
      <c r="T39" s="263">
        <f>+'PROYECCIÓN GENERACIÓN'!T39-'SEP ORIGEN'!T39</f>
        <v>26.335647000000005</v>
      </c>
      <c r="U39" s="263">
        <f>+'PROYECCIÓN GENERACIÓN'!U39-'SEP ORIGEN'!U39</f>
        <v>26.602979000000005</v>
      </c>
      <c r="V39" s="263">
        <f>+'PROYECCIÓN GENERACIÓN'!V39-'SEP ORIGEN'!V39</f>
        <v>26.872378000000001</v>
      </c>
      <c r="W39" s="263">
        <f>+'PROYECCIÓN GENERACIÓN'!W39-'SEP ORIGEN'!W39</f>
        <v>27.144533000000003</v>
      </c>
      <c r="X39" s="263">
        <f>+'PROYECCIÓN GENERACIÓN'!X39-'SEP ORIGEN'!X39</f>
        <v>27.419443999999999</v>
      </c>
      <c r="Y39" s="263">
        <f>+'PROYECCIÓN GENERACIÓN'!Y39-'SEP ORIGEN'!Y39</f>
        <v>27.697111</v>
      </c>
      <c r="Z39" s="263">
        <f>+'PROYECCIÓN GENERACIÓN'!Z39-'SEP ORIGEN'!Z39</f>
        <v>27.977534000000002</v>
      </c>
    </row>
    <row r="40" spans="1:26" ht="24.95" customHeight="1">
      <c r="A40" s="351" t="str">
        <f>+Pobl_adoptada!A40</f>
        <v>Benito Juárez</v>
      </c>
      <c r="B40" s="70">
        <f>+Pobl_adoptada!B40</f>
        <v>36</v>
      </c>
      <c r="C40" s="353" t="str">
        <f>+Pobl_adoptada!C40</f>
        <v>Benito Juárez</v>
      </c>
      <c r="D40" s="261"/>
      <c r="E40" s="278"/>
      <c r="F40" s="263"/>
      <c r="G40" s="263">
        <f>+'PROYECCIÓN GENERACIÓN'!G40-'SEP ORIGEN'!G40</f>
        <v>16.309774800000003</v>
      </c>
      <c r="H40" s="263">
        <f>+'PROYECCIÓN GENERACIÓN'!H40-'SEP ORIGEN'!H40</f>
        <v>15.245301599999999</v>
      </c>
      <c r="I40" s="263">
        <f>+'PROYECCIÓN GENERACIÓN'!I40-'SEP ORIGEN'!I40</f>
        <v>14.167324000000002</v>
      </c>
      <c r="J40" s="263">
        <f>+'PROYECCIÓN GENERACIÓN'!J40-'SEP ORIGEN'!J40</f>
        <v>12.57531</v>
      </c>
      <c r="K40" s="263">
        <f>+'PROYECCIÓN GENERACIÓN'!K40-'SEP ORIGEN'!K40</f>
        <v>10.964057000000002</v>
      </c>
      <c r="L40" s="263">
        <f>+'PROYECCIÓN GENERACIÓN'!L40-'SEP ORIGEN'!L40</f>
        <v>11.030201000000002</v>
      </c>
      <c r="M40" s="263">
        <f>+'PROYECCIÓN GENERACIÓN'!M40-'SEP ORIGEN'!M40</f>
        <v>11.097723000000002</v>
      </c>
      <c r="N40" s="263">
        <f>+'PROYECCIÓN GENERACIÓN'!N40-'SEP ORIGEN'!N40</f>
        <v>11.165934</v>
      </c>
      <c r="O40" s="263">
        <f>+'PROYECCIÓN GENERACIÓN'!O40-'SEP ORIGEN'!O40</f>
        <v>11.236212000000002</v>
      </c>
      <c r="P40" s="263">
        <f>+'PROYECCIÓN GENERACIÓN'!P40-'SEP ORIGEN'!P40</f>
        <v>11.30649</v>
      </c>
      <c r="Q40" s="263">
        <f>+'PROYECCIÓN GENERACIÓN'!Q40-'SEP ORIGEN'!Q40</f>
        <v>11.378835</v>
      </c>
      <c r="R40" s="263">
        <f>+'PROYECCIÓN GENERACIÓN'!R40-'SEP ORIGEN'!R40</f>
        <v>11.451869000000002</v>
      </c>
      <c r="S40" s="263">
        <f>+'PROYECCIÓN GENERACIÓN'!S40-'SEP ORIGEN'!S40</f>
        <v>11.526281000000003</v>
      </c>
      <c r="T40" s="263">
        <f>+'PROYECCIÓN GENERACIÓN'!T40-'SEP ORIGEN'!T40</f>
        <v>11.602071000000002</v>
      </c>
      <c r="U40" s="263">
        <f>+'PROYECCIÓN GENERACIÓN'!U40-'SEP ORIGEN'!U40</f>
        <v>11.67855</v>
      </c>
      <c r="V40" s="263">
        <f>+'PROYECCIÓN GENERACIÓN'!V40-'SEP ORIGEN'!V40</f>
        <v>11.757096000000001</v>
      </c>
      <c r="W40" s="263">
        <f>+'PROYECCIÓN GENERACIÓN'!W40-'SEP ORIGEN'!W40</f>
        <v>11.836331000000001</v>
      </c>
      <c r="X40" s="263">
        <f>+'PROYECCIÓN GENERACIÓN'!X40-'SEP ORIGEN'!X40</f>
        <v>11.916944000000001</v>
      </c>
      <c r="Y40" s="263">
        <f>+'PROYECCIÓN GENERACIÓN'!Y40-'SEP ORIGEN'!Y40</f>
        <v>11.998935000000001</v>
      </c>
      <c r="Z40" s="263">
        <f>+'PROYECCIÓN GENERACIÓN'!Z40-'SEP ORIGEN'!Z40</f>
        <v>12.082304000000001</v>
      </c>
    </row>
    <row r="41" spans="1:26" ht="24.95" customHeight="1">
      <c r="A41" s="351" t="str">
        <f>+Pobl_adoptada!A41</f>
        <v>Berisso</v>
      </c>
      <c r="B41" s="70">
        <f>+Pobl_adoptada!B41</f>
        <v>37</v>
      </c>
      <c r="C41" s="353" t="str">
        <f>+Pobl_adoptada!C41</f>
        <v>Berisso</v>
      </c>
      <c r="D41" s="261"/>
      <c r="E41" s="278"/>
      <c r="F41" s="263"/>
      <c r="G41" s="263">
        <f>+'PROYECCIÓN GENERACIÓN'!G41-'SEP ORIGEN'!G41</f>
        <v>103.47925500000001</v>
      </c>
      <c r="H41" s="263">
        <f>+'PROYECCIÓN GENERACIÓN'!H41-'SEP ORIGEN'!H41</f>
        <v>97.102816799999999</v>
      </c>
      <c r="I41" s="263">
        <f>+'PROYECCIÓN GENERACIÓN'!I41-'SEP ORIGEN'!I41</f>
        <v>90.591962999999993</v>
      </c>
      <c r="J41" s="263">
        <f>+'PROYECCIÓN GENERACIÓN'!J41-'SEP ORIGEN'!J41</f>
        <v>80.71591500000001</v>
      </c>
      <c r="K41" s="263">
        <f>+'PROYECCIÓN GENERACIÓN'!K41-'SEP ORIGEN'!K41</f>
        <v>70.638009000000011</v>
      </c>
      <c r="L41" s="263">
        <f>+'PROYECCIÓN GENERACIÓN'!L41-'SEP ORIGEN'!L41</f>
        <v>71.328855000000004</v>
      </c>
      <c r="M41" s="263">
        <f>+'PROYECCIÓN GENERACIÓN'!M41-'SEP ORIGEN'!M41</f>
        <v>72.026330999999999</v>
      </c>
      <c r="N41" s="263">
        <f>+'PROYECCIÓN GENERACIÓN'!N41-'SEP ORIGEN'!N41</f>
        <v>72.730436999999995</v>
      </c>
      <c r="O41" s="263">
        <f>+'PROYECCIÓN GENERACIÓN'!O41-'SEP ORIGEN'!O41</f>
        <v>73.441836000000009</v>
      </c>
      <c r="P41" s="263">
        <f>+'PROYECCIÓN GENERACIÓN'!P41-'SEP ORIGEN'!P41</f>
        <v>74.159864999999996</v>
      </c>
      <c r="Q41" s="263">
        <f>+'PROYECCIÓN GENERACIÓN'!Q41-'SEP ORIGEN'!Q41</f>
        <v>74.885187000000002</v>
      </c>
      <c r="R41" s="263">
        <f>+'PROYECCIÓN GENERACIÓN'!R41-'SEP ORIGEN'!R41</f>
        <v>75.617802000000012</v>
      </c>
      <c r="S41" s="263">
        <f>+'PROYECCIÓN GENERACIÓN'!S41-'SEP ORIGEN'!S41</f>
        <v>76.357046999999994</v>
      </c>
      <c r="T41" s="263">
        <f>+'PROYECCIÓN GENERACIÓN'!T41-'SEP ORIGEN'!T41</f>
        <v>77.104248000000013</v>
      </c>
      <c r="U41" s="263">
        <f>+'PROYECCIÓN GENERACIÓN'!U41-'SEP ORIGEN'!U41</f>
        <v>77.858079000000004</v>
      </c>
      <c r="V41" s="263">
        <f>+'PROYECCIÓN GENERACIÓN'!V41-'SEP ORIGEN'!V41</f>
        <v>78.619866000000002</v>
      </c>
      <c r="W41" s="263">
        <f>+'PROYECCIÓN GENERACIÓN'!W41-'SEP ORIGEN'!W41</f>
        <v>79.388283000000001</v>
      </c>
      <c r="X41" s="263">
        <f>+'PROYECCIÓN GENERACIÓN'!X41-'SEP ORIGEN'!X41</f>
        <v>80.164656000000008</v>
      </c>
      <c r="Y41" s="263">
        <f>+'PROYECCIÓN GENERACIÓN'!Y41-'SEP ORIGEN'!Y41</f>
        <v>80.948985000000008</v>
      </c>
      <c r="Z41" s="263">
        <f>+'PROYECCIÓN GENERACIÓN'!Z41-'SEP ORIGEN'!Z41</f>
        <v>81.740606999999997</v>
      </c>
    </row>
    <row r="42" spans="1:26" ht="24.95" customHeight="1">
      <c r="A42" s="351" t="str">
        <f>+Pobl_adoptada!A42</f>
        <v>Bolívar</v>
      </c>
      <c r="B42" s="70">
        <f>+Pobl_adoptada!B42</f>
        <v>38</v>
      </c>
      <c r="C42" s="353" t="str">
        <f>+Pobl_adoptada!C42</f>
        <v>San Carlos de Bolívar</v>
      </c>
      <c r="D42" s="261"/>
      <c r="E42" s="278"/>
      <c r="F42" s="263"/>
      <c r="G42" s="263">
        <f>+'PROYECCIÓN GENERACIÓN'!G42-'SEP ORIGEN'!G42</f>
        <v>30.716987400000001</v>
      </c>
      <c r="H42" s="263">
        <f>+'PROYECCIÓN GENERACIÓN'!H42-'SEP ORIGEN'!H42</f>
        <v>28.740119200000002</v>
      </c>
      <c r="I42" s="263">
        <f>+'PROYECCIÓN GENERACIÓN'!I42-'SEP ORIGEN'!I42</f>
        <v>26.735373000000003</v>
      </c>
      <c r="J42" s="263">
        <f>+'PROYECCIÓN GENERACIÓN'!J42-'SEP ORIGEN'!J42</f>
        <v>23.751420000000003</v>
      </c>
      <c r="K42" s="263">
        <f>+'PROYECCIÓN GENERACIÓN'!K42-'SEP ORIGEN'!K42</f>
        <v>20.725809000000002</v>
      </c>
      <c r="L42" s="263">
        <f>+'PROYECCIÓN GENERACIÓN'!L42-'SEP ORIGEN'!L42</f>
        <v>20.867742999999997</v>
      </c>
      <c r="M42" s="263">
        <f>+'PROYECCIÓN GENERACIÓN'!M42-'SEP ORIGEN'!M42</f>
        <v>21.010366000000005</v>
      </c>
      <c r="N42" s="263">
        <f>+'PROYECCIÓN GENERACIÓN'!N42-'SEP ORIGEN'!N42</f>
        <v>21.154367000000001</v>
      </c>
      <c r="O42" s="263">
        <f>+'PROYECCIÓN GENERACIÓN'!O42-'SEP ORIGEN'!O42</f>
        <v>21.299057000000001</v>
      </c>
      <c r="P42" s="263">
        <f>+'PROYECCIÓN GENERACIÓN'!P42-'SEP ORIGEN'!P42</f>
        <v>21.445125000000001</v>
      </c>
      <c r="Q42" s="263">
        <f>+'PROYECCIÓN GENERACIÓN'!Q42-'SEP ORIGEN'!Q42</f>
        <v>21.591881999999998</v>
      </c>
      <c r="R42" s="263">
        <f>+'PROYECCIÓN GENERACIÓN'!R42-'SEP ORIGEN'!R42</f>
        <v>21.740017000000002</v>
      </c>
      <c r="S42" s="263">
        <f>+'PROYECCIÓN GENERACIÓN'!S42-'SEP ORIGEN'!S42</f>
        <v>21.888840999999999</v>
      </c>
      <c r="T42" s="263">
        <f>+'PROYECCIÓN GENERACIÓN'!T42-'SEP ORIGEN'!T42</f>
        <v>22.039043000000003</v>
      </c>
      <c r="U42" s="263">
        <f>+'PROYECCIÓN GENERACIÓN'!U42-'SEP ORIGEN'!U42</f>
        <v>22.189934000000001</v>
      </c>
      <c r="V42" s="263">
        <f>+'PROYECCIÓN GENERACIÓN'!V42-'SEP ORIGEN'!V42</f>
        <v>22.342203000000005</v>
      </c>
      <c r="W42" s="263">
        <f>+'PROYECCIÓN GENERACIÓN'!W42-'SEP ORIGEN'!W42</f>
        <v>22.495161</v>
      </c>
      <c r="X42" s="263">
        <f>+'PROYECCIÓN GENERACIÓN'!X42-'SEP ORIGEN'!X42</f>
        <v>22.648807999999999</v>
      </c>
      <c r="Y42" s="263">
        <f>+'PROYECCIÓN GENERACIÓN'!Y42-'SEP ORIGEN'!Y42</f>
        <v>22.803832999999997</v>
      </c>
      <c r="Z42" s="263">
        <f>+'PROYECCIÓN GENERACIÓN'!Z42-'SEP ORIGEN'!Z42</f>
        <v>22.960236000000002</v>
      </c>
    </row>
    <row r="43" spans="1:26" ht="24.95" customHeight="1">
      <c r="A43" s="351" t="str">
        <f>+Pobl_adoptada!A43</f>
        <v>Bragado</v>
      </c>
      <c r="B43" s="70">
        <f>+Pobl_adoptada!B43</f>
        <v>39</v>
      </c>
      <c r="C43" s="353" t="str">
        <f>+Pobl_adoptada!C43</f>
        <v>Bragado</v>
      </c>
      <c r="D43" s="261"/>
      <c r="E43" s="278"/>
      <c r="F43" s="263"/>
      <c r="G43" s="263">
        <f>+'PROYECCIÓN GENERACIÓN'!G43-'SEP ORIGEN'!G43</f>
        <v>36.849680999999997</v>
      </c>
      <c r="H43" s="263">
        <f>+'PROYECCIÓN GENERACIÓN'!H43-'SEP ORIGEN'!H43</f>
        <v>34.347519200000001</v>
      </c>
      <c r="I43" s="263">
        <f>+'PROYECCIÓN GENERACIÓN'!I43-'SEP ORIGEN'!I43</f>
        <v>31.830527999999997</v>
      </c>
      <c r="J43" s="263">
        <f>+'PROYECCIÓN GENERACIÓN'!J43-'SEP ORIGEN'!J43</f>
        <v>28.170030000000001</v>
      </c>
      <c r="K43" s="263">
        <f>+'PROYECCIÓN GENERACIÓN'!K43-'SEP ORIGEN'!K43</f>
        <v>24.487060000000003</v>
      </c>
      <c r="L43" s="263">
        <f>+'PROYECCIÓN GENERACIÓN'!L43-'SEP ORIGEN'!L43</f>
        <v>24.560093999999999</v>
      </c>
      <c r="M43" s="263">
        <f>+'PROYECCIÓN GENERACIÓN'!M43-'SEP ORIGEN'!M43</f>
        <v>24.633127999999999</v>
      </c>
      <c r="N43" s="263">
        <f>+'PROYECCIÓN GENERACIÓN'!N43-'SEP ORIGEN'!N43</f>
        <v>24.706851</v>
      </c>
      <c r="O43" s="263">
        <f>+'PROYECCIÓN GENERACIÓN'!O43-'SEP ORIGEN'!O43</f>
        <v>24.779885</v>
      </c>
      <c r="P43" s="263">
        <f>+'PROYECCIÓN GENERACIÓN'!P43-'SEP ORIGEN'!P43</f>
        <v>24.852919000000004</v>
      </c>
      <c r="Q43" s="263">
        <f>+'PROYECCIÓN GENERACIÓN'!Q43-'SEP ORIGEN'!Q43</f>
        <v>24.925953</v>
      </c>
      <c r="R43" s="263">
        <f>+'PROYECCIÓN GENERACIÓN'!R43-'SEP ORIGEN'!R43</f>
        <v>24.998987</v>
      </c>
      <c r="S43" s="263">
        <f>+'PROYECCIÓN GENERACIÓN'!S43-'SEP ORIGEN'!S43</f>
        <v>25.072021000000003</v>
      </c>
      <c r="T43" s="263">
        <f>+'PROYECCIÓN GENERACIÓN'!T43-'SEP ORIGEN'!T43</f>
        <v>25.145744000000001</v>
      </c>
      <c r="U43" s="263">
        <f>+'PROYECCIÓN GENERACIÓN'!U43-'SEP ORIGEN'!U43</f>
        <v>25.218778000000004</v>
      </c>
      <c r="V43" s="263">
        <f>+'PROYECCIÓN GENERACIÓN'!V43-'SEP ORIGEN'!V43</f>
        <v>25.291812</v>
      </c>
      <c r="W43" s="263">
        <f>+'PROYECCIÓN GENERACIÓN'!W43-'SEP ORIGEN'!W43</f>
        <v>25.364846</v>
      </c>
      <c r="X43" s="263">
        <f>+'PROYECCIÓN GENERACIÓN'!X43-'SEP ORIGEN'!X43</f>
        <v>25.437880000000003</v>
      </c>
      <c r="Y43" s="263">
        <f>+'PROYECCIÓN GENERACIÓN'!Y43-'SEP ORIGEN'!Y43</f>
        <v>25.511603000000001</v>
      </c>
      <c r="Z43" s="263">
        <f>+'PROYECCIÓN GENERACIÓN'!Z43-'SEP ORIGEN'!Z43</f>
        <v>25.584637000000004</v>
      </c>
    </row>
    <row r="44" spans="1:26" ht="24.95" customHeight="1">
      <c r="A44" s="351" t="str">
        <f>+Pobl_adoptada!A44</f>
        <v>Brandsen</v>
      </c>
      <c r="B44" s="70">
        <f>+Pobl_adoptada!B44</f>
        <v>40</v>
      </c>
      <c r="C44" s="353" t="str">
        <f>+Pobl_adoptada!C44</f>
        <v>Coronel Brandsen</v>
      </c>
      <c r="D44" s="261"/>
      <c r="E44" s="278"/>
      <c r="F44" s="263"/>
      <c r="G44" s="263">
        <f>+'PROYECCIÓN GENERACIÓN'!G44-'SEP ORIGEN'!G44</f>
        <v>28.331701200000001</v>
      </c>
      <c r="H44" s="263">
        <f>+'PROYECCIÓN GENERACIÓN'!H44-'SEP ORIGEN'!H44</f>
        <v>26.837504000000003</v>
      </c>
      <c r="I44" s="263">
        <f>+'PROYECCIÓN GENERACIÓN'!I44-'SEP ORIGEN'!I44</f>
        <v>25.274852000000003</v>
      </c>
      <c r="J44" s="263">
        <f>+'PROYECCIÓN GENERACIÓN'!J44-'SEP ORIGEN'!J44</f>
        <v>22.732230000000001</v>
      </c>
      <c r="K44" s="263">
        <f>+'PROYECCIÓN GENERACIÓN'!K44-'SEP ORIGEN'!K44</f>
        <v>20.081594000000003</v>
      </c>
      <c r="L44" s="263">
        <f>+'PROYECCIÓN GENERACIÓN'!L44-'SEP ORIGEN'!L44</f>
        <v>20.469501000000001</v>
      </c>
      <c r="M44" s="263">
        <f>+'PROYECCIÓN GENERACIÓN'!M44-'SEP ORIGEN'!M44</f>
        <v>20.864987000000003</v>
      </c>
      <c r="N44" s="263">
        <f>+'PROYECCIÓN GENERACIÓN'!N44-'SEP ORIGEN'!N44</f>
        <v>21.268052000000004</v>
      </c>
      <c r="O44" s="263">
        <f>+'PROYECCIÓN GENERACIÓN'!O44-'SEP ORIGEN'!O44</f>
        <v>21.679385</v>
      </c>
      <c r="P44" s="263">
        <f>+'PROYECCIÓN GENERACIÓN'!P44-'SEP ORIGEN'!P44</f>
        <v>22.098297000000006</v>
      </c>
      <c r="Q44" s="263">
        <f>+'PROYECCIÓN GENERACIÓN'!Q44-'SEP ORIGEN'!Q44</f>
        <v>22.525477000000002</v>
      </c>
      <c r="R44" s="263">
        <f>+'PROYECCIÓN GENERACIÓN'!R44-'SEP ORIGEN'!R44</f>
        <v>22.960236000000002</v>
      </c>
      <c r="S44" s="263">
        <f>+'PROYECCIÓN GENERACIÓN'!S44-'SEP ORIGEN'!S44</f>
        <v>23.403952000000004</v>
      </c>
      <c r="T44" s="263">
        <f>+'PROYECCIÓN GENERACIÓN'!T44-'SEP ORIGEN'!T44</f>
        <v>23.855936000000003</v>
      </c>
      <c r="U44" s="263">
        <f>+'PROYECCIÓN GENERACIÓN'!U44-'SEP ORIGEN'!U44</f>
        <v>24.316877000000005</v>
      </c>
      <c r="V44" s="263">
        <f>+'PROYECCIÓN GENERACIÓN'!V44-'SEP ORIGEN'!V44</f>
        <v>24.786774999999999</v>
      </c>
      <c r="W44" s="263">
        <f>+'PROYECCIÓN GENERACIÓN'!W44-'SEP ORIGEN'!W44</f>
        <v>25.266319000000003</v>
      </c>
      <c r="X44" s="263">
        <f>+'PROYECCIÓN GENERACIÓN'!X44-'SEP ORIGEN'!X44</f>
        <v>25.754131000000001</v>
      </c>
      <c r="Y44" s="263">
        <f>+'PROYECCIÓN GENERACIÓN'!Y44-'SEP ORIGEN'!Y44</f>
        <v>26.251589000000003</v>
      </c>
      <c r="Z44" s="263">
        <f>+'PROYECCIÓN GENERACIÓN'!Z44-'SEP ORIGEN'!Z44</f>
        <v>26.759381999999999</v>
      </c>
    </row>
    <row r="45" spans="1:26" ht="24.95" customHeight="1">
      <c r="A45" s="351" t="str">
        <f>+Pobl_adoptada!A45</f>
        <v>Campana</v>
      </c>
      <c r="B45" s="70">
        <f>+Pobl_adoptada!B45</f>
        <v>41</v>
      </c>
      <c r="C45" s="353" t="str">
        <f>+Pobl_adoptada!C45</f>
        <v>Campana</v>
      </c>
      <c r="D45" s="261"/>
      <c r="E45" s="278"/>
      <c r="F45" s="263"/>
      <c r="G45" s="263">
        <f>+'PROYECCIÓN GENERACIÓN'!G45-'SEP ORIGEN'!G45</f>
        <v>103.938714</v>
      </c>
      <c r="H45" s="263">
        <f>+'PROYECCIÓN GENERACIÓN'!H45-'SEP ORIGEN'!H45</f>
        <v>97.531665599999997</v>
      </c>
      <c r="I45" s="263">
        <f>+'PROYECCIÓN GENERACIÓN'!I45-'SEP ORIGEN'!I45</f>
        <v>90.982112999999998</v>
      </c>
      <c r="J45" s="263">
        <f>+'PROYECCIÓN GENERACIÓN'!J45-'SEP ORIGEN'!J45</f>
        <v>81.04639499999999</v>
      </c>
      <c r="K45" s="263">
        <f>+'PROYECCIÓN GENERACIÓN'!K45-'SEP ORIGEN'!K45</f>
        <v>70.905861000000016</v>
      </c>
      <c r="L45" s="263">
        <f>+'PROYECCIÓN GENERACIÓN'!L45-'SEP ORIGEN'!L45</f>
        <v>71.57151300000001</v>
      </c>
      <c r="M45" s="263">
        <f>+'PROYECCIÓN GENERACIÓN'!M45-'SEP ORIGEN'!M45</f>
        <v>72.237165000000005</v>
      </c>
      <c r="N45" s="263">
        <f>+'PROYECCIÓN GENERACIÓN'!N45-'SEP ORIGEN'!N45</f>
        <v>72.902816999999999</v>
      </c>
      <c r="O45" s="263">
        <f>+'PROYECCIÓN GENERACIÓN'!O45-'SEP ORIGEN'!O45</f>
        <v>73.568468999999993</v>
      </c>
      <c r="P45" s="263">
        <f>+'PROYECCIÓN GENERACIÓN'!P45-'SEP ORIGEN'!P45</f>
        <v>74.234121000000002</v>
      </c>
      <c r="Q45" s="263">
        <f>+'PROYECCIÓN GENERACIÓN'!Q45-'SEP ORIGEN'!Q45</f>
        <v>74.899772999999996</v>
      </c>
      <c r="R45" s="263">
        <f>+'PROYECCIÓN GENERACIÓN'!R45-'SEP ORIGEN'!R45</f>
        <v>75.565425000000005</v>
      </c>
      <c r="S45" s="263">
        <f>+'PROYECCIÓN GENERACIÓN'!S45-'SEP ORIGEN'!S45</f>
        <v>76.231076999999999</v>
      </c>
      <c r="T45" s="263">
        <f>+'PROYECCIÓN GENERACIÓN'!T45-'SEP ORIGEN'!T45</f>
        <v>76.896729000000008</v>
      </c>
      <c r="U45" s="263">
        <f>+'PROYECCIÓN GENERACIÓN'!U45-'SEP ORIGEN'!U45</f>
        <v>77.562381000000002</v>
      </c>
      <c r="V45" s="263">
        <f>+'PROYECCIÓN GENERACIÓN'!V45-'SEP ORIGEN'!V45</f>
        <v>78.228695999999999</v>
      </c>
      <c r="W45" s="263">
        <f>+'PROYECCIÓN GENERACIÓN'!W45-'SEP ORIGEN'!W45</f>
        <v>78.894348000000008</v>
      </c>
      <c r="X45" s="263">
        <f>+'PROYECCIÓN GENERACIÓN'!X45-'SEP ORIGEN'!X45</f>
        <v>79.56</v>
      </c>
      <c r="Y45" s="263">
        <f>+'PROYECCIÓN GENERACIÓN'!Y45-'SEP ORIGEN'!Y45</f>
        <v>80.225651999999997</v>
      </c>
      <c r="Z45" s="263">
        <f>+'PROYECCIÓN GENERACIÓN'!Z45-'SEP ORIGEN'!Z45</f>
        <v>80.891304000000005</v>
      </c>
    </row>
    <row r="46" spans="1:26" ht="24.95" customHeight="1">
      <c r="A46" s="351" t="str">
        <f>+Pobl_adoptada!A46</f>
        <v>Cañuelas</v>
      </c>
      <c r="B46" s="70">
        <f>+Pobl_adoptada!B46</f>
        <v>42</v>
      </c>
      <c r="C46" s="353" t="str">
        <f>+Pobl_adoptada!C46</f>
        <v>Cañuelas</v>
      </c>
      <c r="D46" s="261"/>
      <c r="E46" s="278"/>
      <c r="F46" s="263"/>
      <c r="G46" s="263">
        <f>+'PROYECCIÓN GENERACIÓN'!G46-'SEP ORIGEN'!G46</f>
        <v>49.497049800000006</v>
      </c>
      <c r="H46" s="263">
        <f>+'PROYECCIÓN GENERACIÓN'!H46-'SEP ORIGEN'!H46</f>
        <v>47.196754400000003</v>
      </c>
      <c r="I46" s="263">
        <f>+'PROYECCIÓN GENERACIÓN'!I46-'SEP ORIGEN'!I46</f>
        <v>44.731946999999998</v>
      </c>
      <c r="J46" s="263">
        <f>+'PROYECCIÓN GENERACIÓN'!J46-'SEP ORIGEN'!J46</f>
        <v>40.479015000000004</v>
      </c>
      <c r="K46" s="263">
        <f>+'PROYECCIÓN GENERACIÓN'!K46-'SEP ORIGEN'!K46</f>
        <v>35.971312000000005</v>
      </c>
      <c r="L46" s="263">
        <f>+'PROYECCIÓN GENERACIÓN'!L46-'SEP ORIGEN'!L46</f>
        <v>36.874590999999995</v>
      </c>
      <c r="M46" s="263">
        <f>+'PROYECCIÓN GENERACIÓN'!M46-'SEP ORIGEN'!M46</f>
        <v>37.793717000000001</v>
      </c>
      <c r="N46" s="263">
        <f>+'PROYECCIÓN GENERACIÓN'!N46-'SEP ORIGEN'!N46</f>
        <v>38.727311999999998</v>
      </c>
      <c r="O46" s="263">
        <f>+'PROYECCIÓN GENERACIÓN'!O46-'SEP ORIGEN'!O46</f>
        <v>39.676065000000001</v>
      </c>
      <c r="P46" s="263">
        <f>+'PROYECCIÓN GENERACIÓN'!P46-'SEP ORIGEN'!P46</f>
        <v>40.639976000000004</v>
      </c>
      <c r="Q46" s="263">
        <f>+'PROYECCIÓN GENERACIÓN'!Q46-'SEP ORIGEN'!Q46</f>
        <v>41.620423000000009</v>
      </c>
      <c r="R46" s="263">
        <f>+'PROYECCIÓN GENERACIÓN'!R46-'SEP ORIGEN'!R46</f>
        <v>42.616028000000014</v>
      </c>
      <c r="S46" s="263">
        <f>+'PROYECCIÓN GENERACIÓN'!S46-'SEP ORIGEN'!S46</f>
        <v>43.628169000000014</v>
      </c>
      <c r="T46" s="263">
        <f>+'PROYECCIÓN GENERACIÓN'!T46-'SEP ORIGEN'!T46</f>
        <v>44.656846000000002</v>
      </c>
      <c r="U46" s="263">
        <f>+'PROYECCIÓN GENERACIÓN'!U46-'SEP ORIGEN'!U46</f>
        <v>45.702748</v>
      </c>
      <c r="V46" s="263">
        <f>+'PROYECCIÓN GENERACIÓN'!V46-'SEP ORIGEN'!V46</f>
        <v>46.765186</v>
      </c>
      <c r="W46" s="263">
        <f>+'PROYECCIÓN GENERACIÓN'!W46-'SEP ORIGEN'!W46</f>
        <v>47.845538000000005</v>
      </c>
      <c r="X46" s="263">
        <f>+'PROYECCIÓN GENERACIÓN'!X46-'SEP ORIGEN'!X46</f>
        <v>48.942426000000005</v>
      </c>
      <c r="Y46" s="263">
        <f>+'PROYECCIÓN GENERACIÓN'!Y46-'SEP ORIGEN'!Y46</f>
        <v>50.057917000000003</v>
      </c>
      <c r="Z46" s="263">
        <f>+'PROYECCIÓN GENERACIÓN'!Z46-'SEP ORIGEN'!Z46</f>
        <v>51.192011000000001</v>
      </c>
    </row>
    <row r="47" spans="1:26" ht="24.95" customHeight="1">
      <c r="A47" s="351" t="str">
        <f>+Pobl_adoptada!A47</f>
        <v>Capitán Sarmiento</v>
      </c>
      <c r="B47" s="70">
        <f>+Pobl_adoptada!B47</f>
        <v>43</v>
      </c>
      <c r="C47" s="353" t="str">
        <f>+Pobl_adoptada!C47</f>
        <v>Capitán Sarmiento</v>
      </c>
      <c r="D47" s="261"/>
      <c r="E47" s="278"/>
      <c r="F47" s="263"/>
      <c r="G47" s="263">
        <f>+'PROYECCIÓN GENERACIÓN'!G47-'SEP ORIGEN'!G47</f>
        <v>16.724287799999999</v>
      </c>
      <c r="H47" s="263">
        <f>+'PROYECCIÓN GENERACIÓN'!H47-'SEP ORIGEN'!H47</f>
        <v>15.718273600000002</v>
      </c>
      <c r="I47" s="263">
        <f>+'PROYECCIÓN GENERACIÓN'!I47-'SEP ORIGEN'!I47</f>
        <v>14.685399000000004</v>
      </c>
      <c r="J47" s="263">
        <f>+'PROYECCIÓN GENERACIÓN'!J47-'SEP ORIGEN'!J47</f>
        <v>13.101599999999998</v>
      </c>
      <c r="K47" s="263">
        <f>+'PROYECCIÓN GENERACIÓN'!K47-'SEP ORIGEN'!K47</f>
        <v>11.479429</v>
      </c>
      <c r="L47" s="263">
        <f>+'PROYECCIÓN GENERACIÓN'!L47-'SEP ORIGEN'!L47</f>
        <v>11.604138000000003</v>
      </c>
      <c r="M47" s="263">
        <f>+'PROYECCIÓN GENERACIÓN'!M47-'SEP ORIGEN'!M47</f>
        <v>11.728847000000002</v>
      </c>
      <c r="N47" s="263">
        <f>+'PROYECCIÓN GENERACIÓN'!N47-'SEP ORIGEN'!N47</f>
        <v>11.854244999999999</v>
      </c>
      <c r="O47" s="263">
        <f>+'PROYECCIÓN GENERACIÓN'!O47-'SEP ORIGEN'!O47</f>
        <v>11.978954</v>
      </c>
      <c r="P47" s="263">
        <f>+'PROYECCIÓN GENERACIÓN'!P47-'SEP ORIGEN'!P47</f>
        <v>12.103663000000001</v>
      </c>
      <c r="Q47" s="263">
        <f>+'PROYECCIÓN GENERACIÓN'!Q47-'SEP ORIGEN'!Q47</f>
        <v>12.228372</v>
      </c>
      <c r="R47" s="263">
        <f>+'PROYECCIÓN GENERACIÓN'!R47-'SEP ORIGEN'!R47</f>
        <v>12.353081000000001</v>
      </c>
      <c r="S47" s="263">
        <f>+'PROYECCIÓN GENERACIÓN'!S47-'SEP ORIGEN'!S47</f>
        <v>12.477790000000002</v>
      </c>
      <c r="T47" s="263">
        <f>+'PROYECCIÓN GENERACIÓN'!T47-'SEP ORIGEN'!T47</f>
        <v>12.602499000000002</v>
      </c>
      <c r="U47" s="263">
        <f>+'PROYECCIÓN GENERACIÓN'!U47-'SEP ORIGEN'!U47</f>
        <v>12.727208000000001</v>
      </c>
      <c r="V47" s="263">
        <f>+'PROYECCIÓN GENERACIÓN'!V47-'SEP ORIGEN'!V47</f>
        <v>12.851917</v>
      </c>
      <c r="W47" s="263">
        <f>+'PROYECCIÓN GENERACIÓN'!W47-'SEP ORIGEN'!W47</f>
        <v>12.977315000000003</v>
      </c>
      <c r="X47" s="263">
        <f>+'PROYECCIÓN GENERACIÓN'!X47-'SEP ORIGEN'!X47</f>
        <v>13.102024000000002</v>
      </c>
      <c r="Y47" s="263">
        <f>+'PROYECCIÓN GENERACIÓN'!Y47-'SEP ORIGEN'!Y47</f>
        <v>13.226732999999999</v>
      </c>
      <c r="Z47" s="263">
        <f>+'PROYECCIÓN GENERACIÓN'!Z47-'SEP ORIGEN'!Z47</f>
        <v>13.351442000000002</v>
      </c>
    </row>
    <row r="48" spans="1:26" ht="24.95" customHeight="1">
      <c r="A48" s="351" t="str">
        <f>+Pobl_adoptada!A48</f>
        <v>Carlos Casares</v>
      </c>
      <c r="B48" s="70">
        <f>+Pobl_adoptada!B48</f>
        <v>44</v>
      </c>
      <c r="C48" s="353" t="str">
        <f>+Pobl_adoptada!C48</f>
        <v>Carlos Casares</v>
      </c>
      <c r="D48" s="261"/>
      <c r="E48" s="278"/>
      <c r="F48" s="263"/>
      <c r="G48" s="263">
        <f>+'PROYECCIÓN GENERACIÓN'!G48-'SEP ORIGEN'!G48</f>
        <v>21.695295600000001</v>
      </c>
      <c r="H48" s="263">
        <f>+'PROYECCIÓN GENERACIÓN'!H48-'SEP ORIGEN'!H48</f>
        <v>20.312440800000005</v>
      </c>
      <c r="I48" s="263">
        <f>+'PROYECCIÓN GENERACIÓN'!I48-'SEP ORIGEN'!I48</f>
        <v>18.907485000000001</v>
      </c>
      <c r="J48" s="263">
        <f>+'PROYECCIÓN GENERACIÓN'!J48-'SEP ORIGEN'!J48</f>
        <v>16.80789</v>
      </c>
      <c r="K48" s="263">
        <f>+'PROYECCIÓN GENERACIÓN'!K48-'SEP ORIGEN'!K48</f>
        <v>14.676389000000002</v>
      </c>
      <c r="L48" s="263">
        <f>+'PROYECCIÓN GENERACIÓN'!L48-'SEP ORIGEN'!L48</f>
        <v>14.785940000000002</v>
      </c>
      <c r="M48" s="263">
        <f>+'PROYECCIÓN GENERACIÓN'!M48-'SEP ORIGEN'!M48</f>
        <v>14.896869000000002</v>
      </c>
      <c r="N48" s="263">
        <f>+'PROYECCIÓN GENERACIÓN'!N48-'SEP ORIGEN'!N48</f>
        <v>15.008487000000001</v>
      </c>
      <c r="O48" s="263">
        <f>+'PROYECCIÓN GENERACIÓN'!O48-'SEP ORIGEN'!O48</f>
        <v>15.120794000000004</v>
      </c>
      <c r="P48" s="263">
        <f>+'PROYECCIÓN GENERACIÓN'!P48-'SEP ORIGEN'!P48</f>
        <v>15.234479</v>
      </c>
      <c r="Q48" s="263">
        <f>+'PROYECCIÓN GENERACIÓN'!Q48-'SEP ORIGEN'!Q48</f>
        <v>15.348164000000002</v>
      </c>
      <c r="R48" s="263">
        <f>+'PROYECCIÓN GENERACIÓN'!R48-'SEP ORIGEN'!R48</f>
        <v>15.463227000000002</v>
      </c>
      <c r="S48" s="263">
        <f>+'PROYECCIÓN GENERACIÓN'!S48-'SEP ORIGEN'!S48</f>
        <v>15.579668000000002</v>
      </c>
      <c r="T48" s="263">
        <f>+'PROYECCIÓN GENERACIÓN'!T48-'SEP ORIGEN'!T48</f>
        <v>15.696109000000002</v>
      </c>
      <c r="U48" s="263">
        <f>+'PROYECCIÓN GENERACIÓN'!U48-'SEP ORIGEN'!U48</f>
        <v>15.813928000000002</v>
      </c>
      <c r="V48" s="263">
        <f>+'PROYECCIÓN GENERACIÓN'!V48-'SEP ORIGEN'!V48</f>
        <v>15.932436000000003</v>
      </c>
      <c r="W48" s="263">
        <f>+'PROYECCIÓN GENERACIÓN'!W48-'SEP ORIGEN'!W48</f>
        <v>16.051633000000002</v>
      </c>
      <c r="X48" s="263">
        <f>+'PROYECCIÓN GENERACIÓN'!X48-'SEP ORIGEN'!X48</f>
        <v>16.171519000000004</v>
      </c>
      <c r="Y48" s="263">
        <f>+'PROYECCIÓN GENERACIÓN'!Y48-'SEP ORIGEN'!Y48</f>
        <v>16.292783</v>
      </c>
      <c r="Z48" s="263">
        <f>+'PROYECCIÓN GENERACIÓN'!Z48-'SEP ORIGEN'!Z48</f>
        <v>16.414736000000001</v>
      </c>
    </row>
    <row r="49" spans="1:26" ht="24.95" customHeight="1">
      <c r="A49" s="351" t="str">
        <f>+Pobl_adoptada!A49</f>
        <v>Carlos Tejedor</v>
      </c>
      <c r="B49" s="70">
        <f>+Pobl_adoptada!B49</f>
        <v>45</v>
      </c>
      <c r="C49" s="353" t="str">
        <f>+Pobl_adoptada!C49</f>
        <v>Carlos Tejedor</v>
      </c>
      <c r="D49" s="261"/>
      <c r="E49" s="278"/>
      <c r="F49" s="263"/>
      <c r="G49" s="263">
        <f>+'PROYECCIÓN GENERACIÓN'!G49-'SEP ORIGEN'!G49</f>
        <v>5.0522075999999991</v>
      </c>
      <c r="H49" s="263">
        <f>+'PROYECCIÓN GENERACIÓN'!H49-'SEP ORIGEN'!H49</f>
        <v>4.7119087999999998</v>
      </c>
      <c r="I49" s="263">
        <f>+'PROYECCIÓN GENERACIÓN'!I49-'SEP ORIGEN'!I49</f>
        <v>4.3698160000000001</v>
      </c>
      <c r="J49" s="263">
        <f>+'PROYECCIÓN GENERACIÓN'!J49-'SEP ORIGEN'!J49</f>
        <v>3.8695200000000005</v>
      </c>
      <c r="K49" s="263">
        <f>+'PROYECCIÓN GENERACIÓN'!K49-'SEP ORIGEN'!K49</f>
        <v>3.3655440000000003</v>
      </c>
      <c r="L49" s="263">
        <f>+'PROYECCIÓN GENERACIÓN'!L49-'SEP ORIGEN'!L49</f>
        <v>3.3775040000000001</v>
      </c>
      <c r="M49" s="263">
        <f>+'PROYECCIÓN GENERACIÓN'!M49-'SEP ORIGEN'!M49</f>
        <v>3.3894640000000003</v>
      </c>
      <c r="N49" s="263">
        <f>+'PROYECCIÓN GENERACIÓN'!N49-'SEP ORIGEN'!N49</f>
        <v>3.4020220000000001</v>
      </c>
      <c r="O49" s="263">
        <f>+'PROYECCIÓN GENERACIÓN'!O49-'SEP ORIGEN'!O49</f>
        <v>3.4139820000000007</v>
      </c>
      <c r="P49" s="263">
        <f>+'PROYECCIÓN GENERACIÓN'!P49-'SEP ORIGEN'!P49</f>
        <v>3.4259420000000005</v>
      </c>
      <c r="Q49" s="263">
        <f>+'PROYECCIÓN GENERACIÓN'!Q49-'SEP ORIGEN'!Q49</f>
        <v>3.4379020000000002</v>
      </c>
      <c r="R49" s="263">
        <f>+'PROYECCIÓN GENERACIÓN'!R49-'SEP ORIGEN'!R49</f>
        <v>3.4504600000000005</v>
      </c>
      <c r="S49" s="263">
        <f>+'PROYECCIÓN GENERACIÓN'!S49-'SEP ORIGEN'!S49</f>
        <v>3.4624200000000007</v>
      </c>
      <c r="T49" s="263">
        <f>+'PROYECCIÓN GENERACIÓN'!T49-'SEP ORIGEN'!T49</f>
        <v>3.47438</v>
      </c>
      <c r="U49" s="263">
        <f>+'PROYECCIÓN GENERACIÓN'!U49-'SEP ORIGEN'!U49</f>
        <v>3.4863400000000002</v>
      </c>
      <c r="V49" s="263">
        <f>+'PROYECCIÓN GENERACIÓN'!V49-'SEP ORIGEN'!V49</f>
        <v>3.4988980000000005</v>
      </c>
      <c r="W49" s="263">
        <f>+'PROYECCIÓN GENERACIÓN'!W49-'SEP ORIGEN'!W49</f>
        <v>3.5108580000000007</v>
      </c>
      <c r="X49" s="263">
        <f>+'PROYECCIÓN GENERACIÓN'!X49-'SEP ORIGEN'!X49</f>
        <v>3.522818</v>
      </c>
      <c r="Y49" s="263">
        <f>+'PROYECCIÓN GENERACIÓN'!Y49-'SEP ORIGEN'!Y49</f>
        <v>3.5347780000000002</v>
      </c>
      <c r="Z49" s="263">
        <f>+'PROYECCIÓN GENERACIÓN'!Z49-'SEP ORIGEN'!Z49</f>
        <v>3.5473360000000005</v>
      </c>
    </row>
    <row r="50" spans="1:26" ht="24.95" customHeight="1">
      <c r="A50" s="351" t="str">
        <f>+Pobl_adoptada!A50</f>
        <v>Carmen de Areco</v>
      </c>
      <c r="B50" s="70">
        <f>+Pobl_adoptada!B50</f>
        <v>46</v>
      </c>
      <c r="C50" s="353" t="str">
        <f>+Pobl_adoptada!C50</f>
        <v>Carmen de Areco</v>
      </c>
      <c r="D50" s="261"/>
      <c r="E50" s="278"/>
      <c r="F50" s="263"/>
      <c r="G50" s="263">
        <f>+'PROYECCIÓN GENERACIÓN'!G50-'SEP ORIGEN'!G50</f>
        <v>16.513358400000001</v>
      </c>
      <c r="H50" s="263">
        <f>+'PROYECCIÓN GENERACIÓN'!H50-'SEP ORIGEN'!H50</f>
        <v>15.510555999999998</v>
      </c>
      <c r="I50" s="263">
        <f>+'PROYECCIÓN GENERACIÓN'!I50-'SEP ORIGEN'!I50</f>
        <v>14.482674000000001</v>
      </c>
      <c r="J50" s="263">
        <f>+'PROYECCIÓN GENERACIÓN'!J50-'SEP ORIGEN'!J50</f>
        <v>12.912389999999998</v>
      </c>
      <c r="K50" s="263">
        <f>+'PROYECCIÓN GENERACIÓN'!K50-'SEP ORIGEN'!K50</f>
        <v>11.307179</v>
      </c>
      <c r="L50" s="263">
        <f>+'PROYECCIÓN GENERACIÓN'!L50-'SEP ORIGEN'!L50</f>
        <v>11.42362</v>
      </c>
      <c r="M50" s="263">
        <f>+'PROYECCIÓN GENERACIÓN'!M50-'SEP ORIGEN'!M50</f>
        <v>11.540061000000001</v>
      </c>
      <c r="N50" s="263">
        <f>+'PROYECCIÓN GENERACIÓN'!N50-'SEP ORIGEN'!N50</f>
        <v>11.656502</v>
      </c>
      <c r="O50" s="263">
        <f>+'PROYECCIÓN GENERACIÓN'!O50-'SEP ORIGEN'!O50</f>
        <v>11.772943000000001</v>
      </c>
      <c r="P50" s="263">
        <f>+'PROYECCIÓN GENERACIÓN'!P50-'SEP ORIGEN'!P50</f>
        <v>11.888694999999998</v>
      </c>
      <c r="Q50" s="263">
        <f>+'PROYECCIÓN GENERACIÓN'!Q50-'SEP ORIGEN'!Q50</f>
        <v>12.005136000000002</v>
      </c>
      <c r="R50" s="263">
        <f>+'PROYECCIÓN GENERACIÓN'!R50-'SEP ORIGEN'!R50</f>
        <v>12.121577000000002</v>
      </c>
      <c r="S50" s="263">
        <f>+'PROYECCIÓN GENERACIÓN'!S50-'SEP ORIGEN'!S50</f>
        <v>12.238018000000002</v>
      </c>
      <c r="T50" s="263">
        <f>+'PROYECCIÓN GENERACIÓN'!T50-'SEP ORIGEN'!T50</f>
        <v>12.354459</v>
      </c>
      <c r="U50" s="263">
        <f>+'PROYECCIÓN GENERACIÓN'!U50-'SEP ORIGEN'!U50</f>
        <v>12.4709</v>
      </c>
      <c r="V50" s="263">
        <f>+'PROYECCIÓN GENERACIÓN'!V50-'SEP ORIGEN'!V50</f>
        <v>12.587341</v>
      </c>
      <c r="W50" s="263">
        <f>+'PROYECCIÓN GENERACIÓN'!W50-'SEP ORIGEN'!W50</f>
        <v>12.703093000000003</v>
      </c>
      <c r="X50" s="263">
        <f>+'PROYECCIÓN GENERACIÓN'!X50-'SEP ORIGEN'!X50</f>
        <v>12.819534000000001</v>
      </c>
      <c r="Y50" s="263">
        <f>+'PROYECCIÓN GENERACIÓN'!Y50-'SEP ORIGEN'!Y50</f>
        <v>12.935974999999999</v>
      </c>
      <c r="Z50" s="263">
        <f>+'PROYECCIÓN GENERACIÓN'!Z50-'SEP ORIGEN'!Z50</f>
        <v>13.052416000000001</v>
      </c>
    </row>
    <row r="51" spans="1:26" ht="24.95" customHeight="1">
      <c r="A51" s="351" t="str">
        <f>+Pobl_adoptada!A51</f>
        <v>Castelli</v>
      </c>
      <c r="B51" s="70">
        <f>+Pobl_adoptada!B51</f>
        <v>47</v>
      </c>
      <c r="C51" s="353" t="str">
        <f>+Pobl_adoptada!C51</f>
        <v>Castelli</v>
      </c>
      <c r="D51" s="261"/>
      <c r="E51" s="278"/>
      <c r="F51" s="263"/>
      <c r="G51" s="263">
        <f>+'PROYECCIÓN GENERACIÓN'!G51-'SEP ORIGEN'!G51</f>
        <v>8.4604212000000008</v>
      </c>
      <c r="H51" s="263">
        <f>+'PROYECCIÓN GENERACIÓN'!H51-'SEP ORIGEN'!H51</f>
        <v>8.0044047999999997</v>
      </c>
      <c r="I51" s="263">
        <f>+'PROYECCIÓN GENERACIÓN'!I51-'SEP ORIGEN'!I51</f>
        <v>7.527531999999999</v>
      </c>
      <c r="J51" s="263">
        <f>+'PROYECCIÓN GENERACIÓN'!J51-'SEP ORIGEN'!J51</f>
        <v>6.7578599999999991</v>
      </c>
      <c r="K51" s="263">
        <f>+'PROYECCIÓN GENERACIÓN'!K51-'SEP ORIGEN'!K51</f>
        <v>5.9572760000000011</v>
      </c>
      <c r="L51" s="263">
        <f>+'PROYECCIÓN GENERACIÓN'!L51-'SEP ORIGEN'!L51</f>
        <v>6.0810620000000002</v>
      </c>
      <c r="M51" s="263">
        <f>+'PROYECCIÓN GENERACIÓN'!M51-'SEP ORIGEN'!M51</f>
        <v>6.20425</v>
      </c>
      <c r="N51" s="263">
        <f>+'PROYECCIÓN GENERACIÓN'!N51-'SEP ORIGEN'!N51</f>
        <v>6.3280360000000009</v>
      </c>
      <c r="O51" s="263">
        <f>+'PROYECCIÓN GENERACIÓN'!O51-'SEP ORIGEN'!O51</f>
        <v>6.4512239999999998</v>
      </c>
      <c r="P51" s="263">
        <f>+'PROYECCIÓN GENERACIÓN'!P51-'SEP ORIGEN'!P51</f>
        <v>6.5750099999999998</v>
      </c>
      <c r="Q51" s="263">
        <f>+'PROYECCIÓN GENERACIÓN'!Q51-'SEP ORIGEN'!Q51</f>
        <v>6.6981979999999997</v>
      </c>
      <c r="R51" s="263">
        <f>+'PROYECCIÓN GENERACIÓN'!R51-'SEP ORIGEN'!R51</f>
        <v>6.8219840000000005</v>
      </c>
      <c r="S51" s="263">
        <f>+'PROYECCIÓN GENERACIÓN'!S51-'SEP ORIGEN'!S51</f>
        <v>6.9451720000000012</v>
      </c>
      <c r="T51" s="263">
        <f>+'PROYECCIÓN GENERACIÓN'!T51-'SEP ORIGEN'!T51</f>
        <v>7.0683600000000002</v>
      </c>
      <c r="U51" s="263">
        <f>+'PROYECCIÓN GENERACIÓN'!U51-'SEP ORIGEN'!U51</f>
        <v>7.192146000000001</v>
      </c>
      <c r="V51" s="263">
        <f>+'PROYECCIÓN GENERACIÓN'!V51-'SEP ORIGEN'!V51</f>
        <v>7.315334</v>
      </c>
      <c r="W51" s="263">
        <f>+'PROYECCIÓN GENERACIÓN'!W51-'SEP ORIGEN'!W51</f>
        <v>7.4391200000000008</v>
      </c>
      <c r="X51" s="263">
        <f>+'PROYECCIÓN GENERACIÓN'!X51-'SEP ORIGEN'!X51</f>
        <v>7.5623079999999998</v>
      </c>
      <c r="Y51" s="263">
        <f>+'PROYECCIÓN GENERACIÓN'!Y51-'SEP ORIGEN'!Y51</f>
        <v>7.6860939999999998</v>
      </c>
      <c r="Z51" s="263">
        <f>+'PROYECCIÓN GENERACIÓN'!Z51-'SEP ORIGEN'!Z51</f>
        <v>7.8092820000000014</v>
      </c>
    </row>
    <row r="52" spans="1:26" ht="24.95" customHeight="1">
      <c r="A52" s="351" t="str">
        <f>+Pobl_adoptada!A52</f>
        <v>Chacabuco</v>
      </c>
      <c r="B52" s="70">
        <f>+Pobl_adoptada!B52</f>
        <v>48</v>
      </c>
      <c r="C52" s="353" t="str">
        <f>+Pobl_adoptada!C52</f>
        <v>Chacabuco</v>
      </c>
      <c r="D52" s="261"/>
      <c r="E52" s="278"/>
      <c r="F52" s="263"/>
      <c r="G52" s="263">
        <f>+'PROYECCIÓN GENERACIÓN'!G52-'SEP ORIGEN'!G52</f>
        <v>47.390904000000006</v>
      </c>
      <c r="H52" s="263">
        <f>+'PROYECCIÓN GENERACIÓN'!H52-'SEP ORIGEN'!H52</f>
        <v>44.445715200000002</v>
      </c>
      <c r="I52" s="263">
        <f>+'PROYECCIÓN GENERACIÓN'!I52-'SEP ORIGEN'!I52</f>
        <v>41.437891</v>
      </c>
      <c r="J52" s="263">
        <f>+'PROYECCIÓN GENERACIÓN'!J52-'SEP ORIGEN'!J52</f>
        <v>36.893565000000009</v>
      </c>
      <c r="K52" s="263">
        <f>+'PROYECCIÓN GENERACIÓN'!K52-'SEP ORIGEN'!K52</f>
        <v>32.260358000000004</v>
      </c>
      <c r="L52" s="263">
        <f>+'PROYECCIÓN GENERACIÓN'!L52-'SEP ORIGEN'!L52</f>
        <v>32.546293000000006</v>
      </c>
      <c r="M52" s="263">
        <f>+'PROYECCIÓN GENERACIÓN'!M52-'SEP ORIGEN'!M52</f>
        <v>32.832917000000002</v>
      </c>
      <c r="N52" s="263">
        <f>+'PROYECCIÓN GENERACIÓN'!N52-'SEP ORIGEN'!N52</f>
        <v>33.118852000000004</v>
      </c>
      <c r="O52" s="263">
        <f>+'PROYECCIÓN GENERACIÓN'!O52-'SEP ORIGEN'!O52</f>
        <v>33.405476</v>
      </c>
      <c r="P52" s="263">
        <f>+'PROYECCIÓN GENERACIÓN'!P52-'SEP ORIGEN'!P52</f>
        <v>33.691411000000002</v>
      </c>
      <c r="Q52" s="263">
        <f>+'PROYECCIÓN GENERACIÓN'!Q52-'SEP ORIGEN'!Q52</f>
        <v>33.977346000000004</v>
      </c>
      <c r="R52" s="263">
        <f>+'PROYECCIÓN GENERACIÓN'!R52-'SEP ORIGEN'!R52</f>
        <v>34.26397</v>
      </c>
      <c r="S52" s="263">
        <f>+'PROYECCIÓN GENERACIÓN'!S52-'SEP ORIGEN'!S52</f>
        <v>34.54990500000001</v>
      </c>
      <c r="T52" s="263">
        <f>+'PROYECCIÓN GENERACIÓN'!T52-'SEP ORIGEN'!T52</f>
        <v>34.836529000000006</v>
      </c>
      <c r="U52" s="263">
        <f>+'PROYECCIÓN GENERACIÓN'!U52-'SEP ORIGEN'!U52</f>
        <v>35.122464000000008</v>
      </c>
      <c r="V52" s="263">
        <f>+'PROYECCIÓN GENERACIÓN'!V52-'SEP ORIGEN'!V52</f>
        <v>35.408399000000003</v>
      </c>
      <c r="W52" s="263">
        <f>+'PROYECCIÓN GENERACIÓN'!W52-'SEP ORIGEN'!W52</f>
        <v>35.695023000000006</v>
      </c>
      <c r="X52" s="263">
        <f>+'PROYECCIÓN GENERACIÓN'!X52-'SEP ORIGEN'!X52</f>
        <v>35.980958000000001</v>
      </c>
      <c r="Y52" s="263">
        <f>+'PROYECCIÓN GENERACIÓN'!Y52-'SEP ORIGEN'!Y52</f>
        <v>36.267582000000004</v>
      </c>
      <c r="Z52" s="263">
        <f>+'PROYECCIÓN GENERACIÓN'!Z52-'SEP ORIGEN'!Z52</f>
        <v>36.553516999999999</v>
      </c>
    </row>
    <row r="53" spans="1:26" ht="24.95" customHeight="1">
      <c r="A53" s="351" t="str">
        <f>+Pobl_adoptada!A53</f>
        <v>Chascomús</v>
      </c>
      <c r="B53" s="70">
        <f>+Pobl_adoptada!B53</f>
        <v>49</v>
      </c>
      <c r="C53" s="353" t="str">
        <f>+Pobl_adoptada!C53</f>
        <v>Chascomús</v>
      </c>
      <c r="D53" s="261"/>
      <c r="E53" s="278"/>
      <c r="F53" s="263"/>
      <c r="G53" s="263">
        <f>+'PROYECCIÓN GENERACIÓN'!G53-'SEP ORIGEN'!G53</f>
        <v>41.493276000000002</v>
      </c>
      <c r="H53" s="263">
        <f>+'PROYECCIÓN GENERACIÓN'!H53-'SEP ORIGEN'!H53</f>
        <v>38.953388799999999</v>
      </c>
      <c r="I53" s="263">
        <f>+'PROYECCIÓN GENERACIÓN'!I53-'SEP ORIGEN'!I53</f>
        <v>36.357152000000006</v>
      </c>
      <c r="J53" s="263">
        <f>+'PROYECCIÓN GENERACIÓN'!J53-'SEP ORIGEN'!J53</f>
        <v>32.407380000000003</v>
      </c>
      <c r="K53" s="263">
        <f>+'PROYECCIÓN GENERACIÓN'!K53-'SEP ORIGEN'!K53</f>
        <v>28.373020000000004</v>
      </c>
      <c r="L53" s="263">
        <f>+'PROYECCIÓN GENERACIÓN'!L53-'SEP ORIGEN'!L53</f>
        <v>28.663089000000006</v>
      </c>
      <c r="M53" s="263">
        <f>+'PROYECCIÓN GENERACIÓN'!M53-'SEP ORIGEN'!M53</f>
        <v>28.955914000000003</v>
      </c>
      <c r="N53" s="263">
        <f>+'PROYECCIÓN GENERACIÓN'!N53-'SEP ORIGEN'!N53</f>
        <v>29.251495000000006</v>
      </c>
      <c r="O53" s="263">
        <f>+'PROYECCIÓN GENERACIÓN'!O53-'SEP ORIGEN'!O53</f>
        <v>29.549832000000002</v>
      </c>
      <c r="P53" s="263">
        <f>+'PROYECCIÓN GENERACIÓN'!P53-'SEP ORIGEN'!P53</f>
        <v>29.851614000000005</v>
      </c>
      <c r="Q53" s="263">
        <f>+'PROYECCIÓN GENERACIÓN'!Q53-'SEP ORIGEN'!Q53</f>
        <v>30.156841</v>
      </c>
      <c r="R53" s="263">
        <f>+'PROYECCIÓN GENERACIÓN'!R53-'SEP ORIGEN'!R53</f>
        <v>30.464824</v>
      </c>
      <c r="S53" s="263">
        <f>+'PROYECCIÓN GENERACIÓN'!S53-'SEP ORIGEN'!S53</f>
        <v>30.775563000000002</v>
      </c>
      <c r="T53" s="263">
        <f>+'PROYECCIÓN GENERACIÓN'!T53-'SEP ORIGEN'!T53</f>
        <v>31.090436</v>
      </c>
      <c r="U53" s="263">
        <f>+'PROYECCIÓN GENERACIÓN'!U53-'SEP ORIGEN'!U53</f>
        <v>31.407376000000003</v>
      </c>
      <c r="V53" s="263">
        <f>+'PROYECCIÓN GENERACIÓN'!V53-'SEP ORIGEN'!V53</f>
        <v>31.728450000000002</v>
      </c>
      <c r="W53" s="263">
        <f>+'PROYECCIÓN GENERACIÓN'!W53-'SEP ORIGEN'!W53</f>
        <v>32.05228000000001</v>
      </c>
      <c r="X53" s="263">
        <f>+'PROYECCIÓN GENERACIÓN'!X53-'SEP ORIGEN'!X53</f>
        <v>32.379555000000003</v>
      </c>
      <c r="Y53" s="263">
        <f>+'PROYECCIÓN GENERACIÓN'!Y53-'SEP ORIGEN'!Y53</f>
        <v>32.710275000000003</v>
      </c>
      <c r="Z53" s="263">
        <f>+'PROYECCIÓN GENERACIÓN'!Z53-'SEP ORIGEN'!Z53</f>
        <v>33.044440000000009</v>
      </c>
    </row>
    <row r="54" spans="1:26" ht="24.95" customHeight="1">
      <c r="A54" s="351" t="str">
        <f>+Pobl_adoptada!A54</f>
        <v>Chivilcoy</v>
      </c>
      <c r="B54" s="70">
        <f>+Pobl_adoptada!B54</f>
        <v>50</v>
      </c>
      <c r="C54" s="353" t="str">
        <f>+Pobl_adoptada!C54</f>
        <v>Chivilcoy</v>
      </c>
      <c r="D54" s="261"/>
      <c r="E54" s="278"/>
      <c r="F54" s="263"/>
      <c r="G54" s="263">
        <f>+'PROYECCIÓN GENERACIÓN'!G54-'SEP ORIGEN'!G54</f>
        <v>67.538453400000009</v>
      </c>
      <c r="H54" s="263">
        <f>+'PROYECCIÓN GENERACIÓN'!H54-'SEP ORIGEN'!H54</f>
        <v>63.281003999999996</v>
      </c>
      <c r="I54" s="263">
        <f>+'PROYECCIÓN GENERACIÓN'!I54-'SEP ORIGEN'!I54</f>
        <v>58.943862000000003</v>
      </c>
      <c r="J54" s="263">
        <f>+'PROYECCIÓN GENERACIÓN'!J54-'SEP ORIGEN'!J54</f>
        <v>52.430805000000007</v>
      </c>
      <c r="K54" s="263">
        <f>+'PROYECCIÓN GENERACIÓN'!K54-'SEP ORIGEN'!K54</f>
        <v>45.805343999999998</v>
      </c>
      <c r="L54" s="263">
        <f>+'PROYECCIÓN GENERACIÓN'!L54-'SEP ORIGEN'!L54</f>
        <v>46.170656999999999</v>
      </c>
      <c r="M54" s="263">
        <f>+'PROYECCIÓN GENERACIÓN'!M54-'SEP ORIGEN'!M54</f>
        <v>46.535970000000006</v>
      </c>
      <c r="N54" s="263">
        <f>+'PROYECCIÓN GENERACIÓN'!N54-'SEP ORIGEN'!N54</f>
        <v>46.901946000000002</v>
      </c>
      <c r="O54" s="263">
        <f>+'PROYECCIÓN GENERACIÓN'!O54-'SEP ORIGEN'!O54</f>
        <v>47.26725900000001</v>
      </c>
      <c r="P54" s="263">
        <f>+'PROYECCIÓN GENERACIÓN'!P54-'SEP ORIGEN'!P54</f>
        <v>47.63257200000001</v>
      </c>
      <c r="Q54" s="263">
        <f>+'PROYECCIÓN GENERACIÓN'!Q54-'SEP ORIGEN'!Q54</f>
        <v>47.997884999999997</v>
      </c>
      <c r="R54" s="263">
        <f>+'PROYECCIÓN GENERACIÓN'!R54-'SEP ORIGEN'!R54</f>
        <v>48.363198000000004</v>
      </c>
      <c r="S54" s="263">
        <f>+'PROYECCIÓN GENERACIÓN'!S54-'SEP ORIGEN'!S54</f>
        <v>48.728511000000012</v>
      </c>
      <c r="T54" s="263">
        <f>+'PROYECCIÓN GENERACIÓN'!T54-'SEP ORIGEN'!T54</f>
        <v>49.094487000000001</v>
      </c>
      <c r="U54" s="263">
        <f>+'PROYECCIÓN GENERACIÓN'!U54-'SEP ORIGEN'!U54</f>
        <v>49.459800000000001</v>
      </c>
      <c r="V54" s="263">
        <f>+'PROYECCIÓN GENERACIÓN'!V54-'SEP ORIGEN'!V54</f>
        <v>49.825113000000002</v>
      </c>
      <c r="W54" s="263">
        <f>+'PROYECCIÓN GENERACIÓN'!W54-'SEP ORIGEN'!W54</f>
        <v>50.190426000000002</v>
      </c>
      <c r="X54" s="263">
        <f>+'PROYECCIÓN GENERACIÓN'!X54-'SEP ORIGEN'!X54</f>
        <v>50.555739000000003</v>
      </c>
      <c r="Y54" s="263">
        <f>+'PROYECCIÓN GENERACIÓN'!Y54-'SEP ORIGEN'!Y54</f>
        <v>50.921052000000003</v>
      </c>
      <c r="Z54" s="263">
        <f>+'PROYECCIÓN GENERACIÓN'!Z54-'SEP ORIGEN'!Z54</f>
        <v>51.287028000000007</v>
      </c>
    </row>
    <row r="55" spans="1:26" ht="24.95" customHeight="1">
      <c r="A55" s="351" t="str">
        <f>+Pobl_adoptada!A55</f>
        <v>Colón</v>
      </c>
      <c r="B55" s="70">
        <f>+Pobl_adoptada!B55</f>
        <v>51</v>
      </c>
      <c r="C55" s="353" t="str">
        <f>+Pobl_adoptada!C55</f>
        <v>Colón</v>
      </c>
      <c r="D55" s="261"/>
      <c r="E55" s="278"/>
      <c r="F55" s="263"/>
      <c r="G55" s="263">
        <f>+'PROYECCIÓN GENERACIÓN'!G55-'SEP ORIGEN'!G55</f>
        <v>28.134414000000003</v>
      </c>
      <c r="H55" s="263">
        <f>+'PROYECCIÓN GENERACIÓN'!H55-'SEP ORIGEN'!H55</f>
        <v>26.3820856</v>
      </c>
      <c r="I55" s="263">
        <f>+'PROYECCIÓN GENERACIÓN'!I55-'SEP ORIGEN'!I55</f>
        <v>24.595497999999999</v>
      </c>
      <c r="J55" s="263">
        <f>+'PROYECCIÓN GENERACIÓN'!J55-'SEP ORIGEN'!J55</f>
        <v>21.899070000000002</v>
      </c>
      <c r="K55" s="263">
        <f>+'PROYECCIÓN GENERACIÓN'!K55-'SEP ORIGEN'!K55</f>
        <v>19.150755000000004</v>
      </c>
      <c r="L55" s="263">
        <f>+'PROYECCIÓN GENERACIÓN'!L55-'SEP ORIGEN'!L55</f>
        <v>19.324383000000001</v>
      </c>
      <c r="M55" s="263">
        <f>+'PROYECCIÓN GENERACIÓN'!M55-'SEP ORIGEN'!M55</f>
        <v>19.500078000000002</v>
      </c>
      <c r="N55" s="263">
        <f>+'PROYECCIÓN GENERACIÓN'!N55-'SEP ORIGEN'!N55</f>
        <v>19.676462000000001</v>
      </c>
      <c r="O55" s="263">
        <f>+'PROYECCIÓN GENERACIÓN'!O55-'SEP ORIGEN'!O55</f>
        <v>19.854913000000003</v>
      </c>
      <c r="P55" s="263">
        <f>+'PROYECCIÓN GENERACIÓN'!P55-'SEP ORIGEN'!P55</f>
        <v>20.034742000000001</v>
      </c>
      <c r="Q55" s="263">
        <f>+'PROYECCIÓN GENERACIÓN'!Q55-'SEP ORIGEN'!Q55</f>
        <v>20.216638000000003</v>
      </c>
      <c r="R55" s="263">
        <f>+'PROYECCIÓN GENERACIÓN'!R55-'SEP ORIGEN'!R55</f>
        <v>20.399912</v>
      </c>
      <c r="S55" s="263">
        <f>+'PROYECCIÓN GENERACIÓN'!S55-'SEP ORIGEN'!S55</f>
        <v>20.584564</v>
      </c>
      <c r="T55" s="263">
        <f>+'PROYECCIÓN GENERACIÓN'!T55-'SEP ORIGEN'!T55</f>
        <v>20.771283000000004</v>
      </c>
      <c r="U55" s="263">
        <f>+'PROYECCIÓN GENERACIÓN'!U55-'SEP ORIGEN'!U55</f>
        <v>20.959380000000003</v>
      </c>
      <c r="V55" s="263">
        <f>+'PROYECCIÓN GENERACIÓN'!V55-'SEP ORIGEN'!V55</f>
        <v>21.149543999999999</v>
      </c>
      <c r="W55" s="263">
        <f>+'PROYECCIÓN GENERACIÓN'!W55-'SEP ORIGEN'!W55</f>
        <v>21.341086000000004</v>
      </c>
      <c r="X55" s="263">
        <f>+'PROYECCIÓN GENERACIÓN'!X55-'SEP ORIGEN'!X55</f>
        <v>21.534695000000006</v>
      </c>
      <c r="Y55" s="263">
        <f>+'PROYECCIÓN GENERACIÓN'!Y55-'SEP ORIGEN'!Y55</f>
        <v>21.729681999999997</v>
      </c>
      <c r="Z55" s="263">
        <f>+'PROYECCIÓN GENERACIÓN'!Z55-'SEP ORIGEN'!Z55</f>
        <v>21.926736000000002</v>
      </c>
    </row>
    <row r="56" spans="1:26" ht="24.95" customHeight="1">
      <c r="A56" s="351" t="str">
        <f>+Pobl_adoptada!A56</f>
        <v>Coronel de Marina L. Rosales</v>
      </c>
      <c r="B56" s="70">
        <f>+Pobl_adoptada!B56</f>
        <v>52</v>
      </c>
      <c r="C56" s="353" t="str">
        <f>+Pobl_adoptada!C56</f>
        <v>Punta Alta</v>
      </c>
      <c r="D56" s="261"/>
      <c r="E56" s="278"/>
      <c r="F56" s="263"/>
      <c r="G56" s="263">
        <f>+'PROYECCIÓN GENERACIÓN'!G56-'SEP ORIGEN'!G56</f>
        <v>62.049180600000007</v>
      </c>
      <c r="H56" s="263">
        <f>+'PROYECCIÓN GENERACIÓN'!H56-'SEP ORIGEN'!H56</f>
        <v>57.872066400000001</v>
      </c>
      <c r="I56" s="263">
        <f>+'PROYECCIÓN GENERACIÓN'!I56-'SEP ORIGEN'!I56</f>
        <v>53.666432999999998</v>
      </c>
      <c r="J56" s="263">
        <f>+'PROYECCIÓN GENERACIÓN'!J56-'SEP ORIGEN'!J56</f>
        <v>47.529449999999997</v>
      </c>
      <c r="K56" s="263">
        <f>+'PROYECCIÓN GENERACIÓN'!K56-'SEP ORIGEN'!K56</f>
        <v>41.347995000000004</v>
      </c>
      <c r="L56" s="263">
        <f>+'PROYECCIÓN GENERACIÓN'!L56-'SEP ORIGEN'!L56</f>
        <v>41.506451999999996</v>
      </c>
      <c r="M56" s="263">
        <f>+'PROYECCIÓN GENERACIÓN'!M56-'SEP ORIGEN'!M56</f>
        <v>41.667561000000006</v>
      </c>
      <c r="N56" s="263">
        <f>+'PROYECCIÓN GENERACIÓN'!N56-'SEP ORIGEN'!N56</f>
        <v>41.831322</v>
      </c>
      <c r="O56" s="263">
        <f>+'PROYECCIÓN GENERACIÓN'!O56-'SEP ORIGEN'!O56</f>
        <v>41.997735000000006</v>
      </c>
      <c r="P56" s="263">
        <f>+'PROYECCIÓN GENERACIÓN'!P56-'SEP ORIGEN'!P56</f>
        <v>42.166137000000006</v>
      </c>
      <c r="Q56" s="263">
        <f>+'PROYECCIÓN GENERACIÓN'!Q56-'SEP ORIGEN'!Q56</f>
        <v>42.338516999999996</v>
      </c>
      <c r="R56" s="263">
        <f>+'PROYECCIÓN GENERACIÓN'!R56-'SEP ORIGEN'!R56</f>
        <v>42.512886000000009</v>
      </c>
      <c r="S56" s="263">
        <f>+'PROYECCIÓN GENERACIÓN'!S56-'SEP ORIGEN'!S56</f>
        <v>42.690570000000008</v>
      </c>
      <c r="T56" s="263">
        <f>+'PROYECCIÓN GENERACIÓN'!T56-'SEP ORIGEN'!T56</f>
        <v>42.870906000000005</v>
      </c>
      <c r="U56" s="263">
        <f>+'PROYECCIÓN GENERACIÓN'!U56-'SEP ORIGEN'!U56</f>
        <v>43.053894</v>
      </c>
      <c r="V56" s="263">
        <f>+'PROYECCIÓN GENERACIÓN'!V56-'SEP ORIGEN'!V56</f>
        <v>43.240197000000002</v>
      </c>
      <c r="W56" s="263">
        <f>+'PROYECCIÓN GENERACIÓN'!W56-'SEP ORIGEN'!W56</f>
        <v>43.429152000000002</v>
      </c>
      <c r="X56" s="263">
        <f>+'PROYECCIÓN GENERACIÓN'!X56-'SEP ORIGEN'!X56</f>
        <v>43.622084999999998</v>
      </c>
      <c r="Y56" s="263">
        <f>+'PROYECCIÓN GENERACIÓN'!Y56-'SEP ORIGEN'!Y56</f>
        <v>43.817007000000004</v>
      </c>
      <c r="Z56" s="263">
        <f>+'PROYECCIÓN GENERACIÓN'!Z56-'SEP ORIGEN'!Z56</f>
        <v>44.015906999999999</v>
      </c>
    </row>
    <row r="57" spans="1:26" ht="24.95" customHeight="1">
      <c r="A57" s="351" t="str">
        <f>+Pobl_adoptada!A57</f>
        <v>Coronel Dorrego</v>
      </c>
      <c r="B57" s="70">
        <f>+Pobl_adoptada!B57</f>
        <v>53</v>
      </c>
      <c r="C57" s="353" t="str">
        <f>+Pobl_adoptada!C57</f>
        <v>Coronel Dorrego</v>
      </c>
      <c r="D57" s="261"/>
      <c r="E57" s="278"/>
      <c r="F57" s="263"/>
      <c r="G57" s="263">
        <f>+'PROYECCIÓN GENERACIÓN'!G57-'SEP ORIGEN'!G57</f>
        <v>10.615373999999999</v>
      </c>
      <c r="H57" s="263">
        <f>+'PROYECCIÓN GENERACIÓN'!H57-'SEP ORIGEN'!H57</f>
        <v>9.8690239999999996</v>
      </c>
      <c r="I57" s="263">
        <f>+'PROYECCIÓN GENERACIÓN'!I57-'SEP ORIGEN'!I57</f>
        <v>9.1220300000000023</v>
      </c>
      <c r="J57" s="263">
        <f>+'PROYECCIÓN GENERACIÓN'!J57-'SEP ORIGEN'!J57</f>
        <v>8.0522999999999989</v>
      </c>
      <c r="K57" s="263">
        <f>+'PROYECCIÓN GENERACIÓN'!K57-'SEP ORIGEN'!K57</f>
        <v>6.9822480000000002</v>
      </c>
      <c r="L57" s="263">
        <f>+'PROYECCIÓN GENERACIÓN'!L57-'SEP ORIGEN'!L57</f>
        <v>6.9852380000000007</v>
      </c>
      <c r="M57" s="263">
        <f>+'PROYECCIÓN GENERACIÓN'!M57-'SEP ORIGEN'!M57</f>
        <v>6.9882280000000003</v>
      </c>
      <c r="N57" s="263">
        <f>+'PROYECCIÓN GENERACIÓN'!N57-'SEP ORIGEN'!N57</f>
        <v>6.9912180000000017</v>
      </c>
      <c r="O57" s="263">
        <f>+'PROYECCIÓN GENERACIÓN'!O57-'SEP ORIGEN'!O57</f>
        <v>6.9942080000000004</v>
      </c>
      <c r="P57" s="263">
        <f>+'PROYECCIÓN GENERACIÓN'!P57-'SEP ORIGEN'!P57</f>
        <v>6.9971980000000009</v>
      </c>
      <c r="Q57" s="263">
        <f>+'PROYECCIÓN GENERACIÓN'!Q57-'SEP ORIGEN'!Q57</f>
        <v>7.0007860000000006</v>
      </c>
      <c r="R57" s="263">
        <f>+'PROYECCIÓN GENERACIÓN'!R57-'SEP ORIGEN'!R57</f>
        <v>7.0037760000000002</v>
      </c>
      <c r="S57" s="263">
        <f>+'PROYECCIÓN GENERACIÓN'!S57-'SEP ORIGEN'!S57</f>
        <v>7.0067660000000007</v>
      </c>
      <c r="T57" s="263">
        <f>+'PROYECCIÓN GENERACIÓN'!T57-'SEP ORIGEN'!T57</f>
        <v>7.0097560000000012</v>
      </c>
      <c r="U57" s="263">
        <f>+'PROYECCIÓN GENERACIÓN'!U57-'SEP ORIGEN'!U57</f>
        <v>7.0127459999999999</v>
      </c>
      <c r="V57" s="263">
        <f>+'PROYECCIÓN GENERACIÓN'!V57-'SEP ORIGEN'!V57</f>
        <v>7.0163340000000005</v>
      </c>
      <c r="W57" s="263">
        <f>+'PROYECCIÓN GENERACIÓN'!W57-'SEP ORIGEN'!W57</f>
        <v>7.019324000000001</v>
      </c>
      <c r="X57" s="263">
        <f>+'PROYECCIÓN GENERACIÓN'!X57-'SEP ORIGEN'!X57</f>
        <v>7.0223140000000015</v>
      </c>
      <c r="Y57" s="263">
        <f>+'PROYECCIÓN GENERACIÓN'!Y57-'SEP ORIGEN'!Y57</f>
        <v>7.0253040000000002</v>
      </c>
      <c r="Z57" s="263">
        <f>+'PROYECCIÓN GENERACIÓN'!Z57-'SEP ORIGEN'!Z57</f>
        <v>7.0282940000000007</v>
      </c>
    </row>
    <row r="58" spans="1:26" ht="24.95" customHeight="1">
      <c r="A58" s="351" t="str">
        <f>+Pobl_adoptada!A58</f>
        <v>Coronel Pringles</v>
      </c>
      <c r="B58" s="70">
        <f>+Pobl_adoptada!B58</f>
        <v>54</v>
      </c>
      <c r="C58" s="353" t="str">
        <f>+Pobl_adoptada!C58</f>
        <v>Coronel Pringles</v>
      </c>
      <c r="D58" s="261"/>
      <c r="E58" s="278"/>
      <c r="F58" s="263"/>
      <c r="G58" s="263">
        <f>+'PROYECCIÓN GENERACIÓN'!G58-'SEP ORIGEN'!G58</f>
        <v>22.820252400000001</v>
      </c>
      <c r="H58" s="263">
        <f>+'PROYECCIÓN GENERACIÓN'!H58-'SEP ORIGEN'!H58</f>
        <v>21.409540800000002</v>
      </c>
      <c r="I58" s="263">
        <f>+'PROYECCIÓN GENERACIÓN'!I58-'SEP ORIGEN'!I58</f>
        <v>19.967060999999998</v>
      </c>
      <c r="J58" s="263">
        <f>+'PROYECCIÓN GENERACIÓN'!J58-'SEP ORIGEN'!J58</f>
        <v>17.783355</v>
      </c>
      <c r="K58" s="263">
        <f>+'PROYECCIÓN GENERACIÓN'!K58-'SEP ORIGEN'!K58</f>
        <v>15.554864</v>
      </c>
      <c r="L58" s="263">
        <f>+'PROYECCIÓN GENERACIÓN'!L58-'SEP ORIGEN'!L58</f>
        <v>15.761564000000002</v>
      </c>
      <c r="M58" s="263">
        <f>+'PROYECCIÓN GENERACIÓN'!M58-'SEP ORIGEN'!M58</f>
        <v>15.968264000000003</v>
      </c>
      <c r="N58" s="263">
        <f>+'PROYECCIÓN GENERACIÓN'!N58-'SEP ORIGEN'!N58</f>
        <v>16.174964000000003</v>
      </c>
      <c r="O58" s="263">
        <f>+'PROYECCIÓN GENERACIÓN'!O58-'SEP ORIGEN'!O58</f>
        <v>16.380974999999999</v>
      </c>
      <c r="P58" s="263">
        <f>+'PROYECCIÓN GENERACIÓN'!P58-'SEP ORIGEN'!P58</f>
        <v>16.587675000000001</v>
      </c>
      <c r="Q58" s="263">
        <f>+'PROYECCIÓN GENERACIÓN'!Q58-'SEP ORIGEN'!Q58</f>
        <v>16.794375000000002</v>
      </c>
      <c r="R58" s="263">
        <f>+'PROYECCIÓN GENERACIÓN'!R58-'SEP ORIGEN'!R58</f>
        <v>17.001075</v>
      </c>
      <c r="S58" s="263">
        <f>+'PROYECCIÓN GENERACIÓN'!S58-'SEP ORIGEN'!S58</f>
        <v>17.207775000000002</v>
      </c>
      <c r="T58" s="263">
        <f>+'PROYECCIÓN GENERACIÓN'!T58-'SEP ORIGEN'!T58</f>
        <v>17.413786000000002</v>
      </c>
      <c r="U58" s="263">
        <f>+'PROYECCIÓN GENERACIÓN'!U58-'SEP ORIGEN'!U58</f>
        <v>17.620486</v>
      </c>
      <c r="V58" s="263">
        <f>+'PROYECCIÓN GENERACIÓN'!V58-'SEP ORIGEN'!V58</f>
        <v>17.827186000000005</v>
      </c>
      <c r="W58" s="263">
        <f>+'PROYECCIÓN GENERACIÓN'!W58-'SEP ORIGEN'!W58</f>
        <v>18.033886000000003</v>
      </c>
      <c r="X58" s="263">
        <f>+'PROYECCIÓN GENERACIÓN'!X58-'SEP ORIGEN'!X58</f>
        <v>18.240586</v>
      </c>
      <c r="Y58" s="263">
        <f>+'PROYECCIÓN GENERACIÓN'!Y58-'SEP ORIGEN'!Y58</f>
        <v>18.446597000000001</v>
      </c>
      <c r="Z58" s="263">
        <f>+'PROYECCIÓN GENERACIÓN'!Z58-'SEP ORIGEN'!Z58</f>
        <v>18.653297000000002</v>
      </c>
    </row>
    <row r="59" spans="1:26" ht="24.95" customHeight="1">
      <c r="A59" s="351" t="str">
        <f>+Pobl_adoptada!A59</f>
        <v>Coronel Suárez</v>
      </c>
      <c r="B59" s="70">
        <f>+Pobl_adoptada!B59</f>
        <v>55</v>
      </c>
      <c r="C59" s="353" t="str">
        <f>+Pobl_adoptada!C59</f>
        <v>Coronel Suárez</v>
      </c>
      <c r="D59" s="261"/>
      <c r="E59" s="278"/>
      <c r="F59" s="263"/>
      <c r="G59" s="263">
        <f>+'PROYECCIÓN GENERACIÓN'!G59-'SEP ORIGEN'!G59</f>
        <v>28.669608</v>
      </c>
      <c r="H59" s="263">
        <f>+'PROYECCIÓN GENERACIÓN'!H59-'SEP ORIGEN'!H59</f>
        <v>26.957453600000001</v>
      </c>
      <c r="I59" s="263">
        <f>+'PROYECCIÓN GENERACIÓN'!I59-'SEP ORIGEN'!I59</f>
        <v>25.197366000000002</v>
      </c>
      <c r="J59" s="263">
        <f>+'PROYECCIÓN GENERACIÓN'!J59-'SEP ORIGEN'!J59</f>
        <v>22.489754999999999</v>
      </c>
      <c r="K59" s="263">
        <f>+'PROYECCIÓN GENERACIÓN'!K59-'SEP ORIGEN'!K59</f>
        <v>19.713667999999998</v>
      </c>
      <c r="L59" s="263">
        <f>+'PROYECCIÓN GENERACIÓN'!L59-'SEP ORIGEN'!L59</f>
        <v>20.007871000000002</v>
      </c>
      <c r="M59" s="263">
        <f>+'PROYECCIÓN GENERACIÓN'!M59-'SEP ORIGEN'!M59</f>
        <v>20.302074000000005</v>
      </c>
      <c r="N59" s="263">
        <f>+'PROYECCIÓN GENERACIÓN'!N59-'SEP ORIGEN'!N59</f>
        <v>20.596277000000001</v>
      </c>
      <c r="O59" s="263">
        <f>+'PROYECCIÓN GENERACIÓN'!O59-'SEP ORIGEN'!O59</f>
        <v>20.890480000000004</v>
      </c>
      <c r="P59" s="263">
        <f>+'PROYECCIÓN GENERACIÓN'!P59-'SEP ORIGEN'!P59</f>
        <v>21.184683000000007</v>
      </c>
      <c r="Q59" s="263">
        <f>+'PROYECCIÓN GENERACIÓN'!Q59-'SEP ORIGEN'!Q59</f>
        <v>21.478886000000003</v>
      </c>
      <c r="R59" s="263">
        <f>+'PROYECCIÓN GENERACIÓN'!R59-'SEP ORIGEN'!R59</f>
        <v>21.773778</v>
      </c>
      <c r="S59" s="263">
        <f>+'PROYECCIÓN GENERACIÓN'!S59-'SEP ORIGEN'!S59</f>
        <v>22.067981000000003</v>
      </c>
      <c r="T59" s="263">
        <f>+'PROYECCIÓN GENERACIÓN'!T59-'SEP ORIGEN'!T59</f>
        <v>22.362183999999999</v>
      </c>
      <c r="U59" s="263">
        <f>+'PROYECCIÓN GENERACIÓN'!U59-'SEP ORIGEN'!U59</f>
        <v>22.656387000000002</v>
      </c>
      <c r="V59" s="263">
        <f>+'PROYECCIÓN GENERACIÓN'!V59-'SEP ORIGEN'!V59</f>
        <v>22.950589999999998</v>
      </c>
      <c r="W59" s="263">
        <f>+'PROYECCIÓN GENERACIÓN'!W59-'SEP ORIGEN'!W59</f>
        <v>23.244793000000001</v>
      </c>
      <c r="X59" s="263">
        <f>+'PROYECCIÓN GENERACIÓN'!X59-'SEP ORIGEN'!X59</f>
        <v>23.538996000000004</v>
      </c>
      <c r="Y59" s="263">
        <f>+'PROYECCIÓN GENERACIÓN'!Y59-'SEP ORIGEN'!Y59</f>
        <v>23.833199</v>
      </c>
      <c r="Z59" s="263">
        <f>+'PROYECCIÓN GENERACIÓN'!Z59-'SEP ORIGEN'!Z59</f>
        <v>24.127402000000004</v>
      </c>
    </row>
    <row r="60" spans="1:26" ht="24.95" customHeight="1">
      <c r="A60" s="351" t="str">
        <f>+Pobl_adoptada!A60</f>
        <v>Daireaux</v>
      </c>
      <c r="B60" s="70">
        <f>+Pobl_adoptada!B60</f>
        <v>56</v>
      </c>
      <c r="C60" s="353" t="str">
        <f>+Pobl_adoptada!C60</f>
        <v>Daireaux</v>
      </c>
      <c r="D60" s="261"/>
      <c r="E60" s="278"/>
      <c r="F60" s="263"/>
      <c r="G60" s="263">
        <f>+'PROYECCIÓN GENERACIÓN'!G60-'SEP ORIGEN'!G60</f>
        <v>12.7621296</v>
      </c>
      <c r="H60" s="263">
        <f>+'PROYECCIÓN GENERACIÓN'!H60-'SEP ORIGEN'!H60</f>
        <v>11.9621712</v>
      </c>
      <c r="I60" s="263">
        <f>+'PROYECCIÓN GENERACIÓN'!I60-'SEP ORIGEN'!I60</f>
        <v>11.145846000000001</v>
      </c>
      <c r="J60" s="263">
        <f>+'PROYECCIÓN GENERACIÓN'!J60-'SEP ORIGEN'!J60</f>
        <v>9.9180600000000005</v>
      </c>
      <c r="K60" s="263">
        <f>+'PROYECCIÓN GENERACIÓN'!K60-'SEP ORIGEN'!K60</f>
        <v>8.6674120000000006</v>
      </c>
      <c r="L60" s="263">
        <f>+'PROYECCIÓN GENERACIÓN'!L60-'SEP ORIGEN'!L60</f>
        <v>8.7397700000000018</v>
      </c>
      <c r="M60" s="263">
        <f>+'PROYECCIÓN GENERACIÓN'!M60-'SEP ORIGEN'!M60</f>
        <v>8.8115300000000012</v>
      </c>
      <c r="N60" s="263">
        <f>+'PROYECCIÓN GENERACIÓN'!N60-'SEP ORIGEN'!N60</f>
        <v>8.8838879999999989</v>
      </c>
      <c r="O60" s="263">
        <f>+'PROYECCIÓN GENERACIÓN'!O60-'SEP ORIGEN'!O60</f>
        <v>8.9556480000000001</v>
      </c>
      <c r="P60" s="263">
        <f>+'PROYECCIÓN GENERACIÓN'!P60-'SEP ORIGEN'!P60</f>
        <v>9.0274080000000012</v>
      </c>
      <c r="Q60" s="263">
        <f>+'PROYECCIÓN GENERACIÓN'!Q60-'SEP ORIGEN'!Q60</f>
        <v>9.0997660000000007</v>
      </c>
      <c r="R60" s="263">
        <f>+'PROYECCIÓN GENERACIÓN'!R60-'SEP ORIGEN'!R60</f>
        <v>9.1715260000000001</v>
      </c>
      <c r="S60" s="263">
        <f>+'PROYECCIÓN GENERACIÓN'!S60-'SEP ORIGEN'!S60</f>
        <v>9.2438840000000013</v>
      </c>
      <c r="T60" s="263">
        <f>+'PROYECCIÓN GENERACIÓN'!T60-'SEP ORIGEN'!T60</f>
        <v>9.3156440000000007</v>
      </c>
      <c r="U60" s="263">
        <f>+'PROYECCIÓN GENERACIÓN'!U60-'SEP ORIGEN'!U60</f>
        <v>9.3880020000000002</v>
      </c>
      <c r="V60" s="263">
        <f>+'PROYECCIÓN GENERACIÓN'!V60-'SEP ORIGEN'!V60</f>
        <v>9.4597620000000013</v>
      </c>
      <c r="W60" s="263">
        <f>+'PROYECCIÓN GENERACIÓN'!W60-'SEP ORIGEN'!W60</f>
        <v>9.5315220000000007</v>
      </c>
      <c r="X60" s="263">
        <f>+'PROYECCIÓN GENERACIÓN'!X60-'SEP ORIGEN'!X60</f>
        <v>9.6038800000000002</v>
      </c>
      <c r="Y60" s="263">
        <f>+'PROYECCIÓN GENERACIÓN'!Y60-'SEP ORIGEN'!Y60</f>
        <v>9.6756400000000014</v>
      </c>
      <c r="Z60" s="263">
        <f>+'PROYECCIÓN GENERACIÓN'!Z60-'SEP ORIGEN'!Z60</f>
        <v>9.7479979999999991</v>
      </c>
    </row>
    <row r="61" spans="1:26" ht="24.95" customHeight="1">
      <c r="A61" s="351" t="str">
        <f>+Pobl_adoptada!A61</f>
        <v>Dolores</v>
      </c>
      <c r="B61" s="70">
        <f>+Pobl_adoptada!B61</f>
        <v>57</v>
      </c>
      <c r="C61" s="353" t="str">
        <f>+Pobl_adoptada!C61</f>
        <v>Dolores</v>
      </c>
      <c r="D61" s="261"/>
      <c r="E61" s="278"/>
      <c r="F61" s="263"/>
      <c r="G61" s="263">
        <f>+'PROYECCIÓN GENERACIÓN'!G61-'SEP ORIGEN'!G61</f>
        <v>33.180978600000003</v>
      </c>
      <c r="H61" s="263">
        <f>+'PROYECCIÓN GENERACIÓN'!H61-'SEP ORIGEN'!H61</f>
        <v>31.254184800000004</v>
      </c>
      <c r="I61" s="263">
        <f>+'PROYECCIÓN GENERACIÓN'!I61-'SEP ORIGEN'!I61</f>
        <v>29.263579000000007</v>
      </c>
      <c r="J61" s="263">
        <f>+'PROYECCIÓN GENERACIÓN'!J61-'SEP ORIGEN'!J61</f>
        <v>26.163449999999997</v>
      </c>
      <c r="K61" s="263">
        <f>+'PROYECCIÓN GENERACIÓN'!K61-'SEP ORIGEN'!K61</f>
        <v>22.971260000000001</v>
      </c>
      <c r="L61" s="263">
        <f>+'PROYECCIÓN GENERACIÓN'!L61-'SEP ORIGEN'!L61</f>
        <v>23.346764999999998</v>
      </c>
      <c r="M61" s="263">
        <f>+'PROYECCIÓN GENERACIÓN'!M61-'SEP ORIGEN'!M61</f>
        <v>23.722958999999999</v>
      </c>
      <c r="N61" s="263">
        <f>+'PROYECCIÓN GENERACIÓN'!N61-'SEP ORIGEN'!N61</f>
        <v>24.098464000000003</v>
      </c>
      <c r="O61" s="263">
        <f>+'PROYECCIÓN GENERACIÓN'!O61-'SEP ORIGEN'!O61</f>
        <v>24.474658000000002</v>
      </c>
      <c r="P61" s="263">
        <f>+'PROYECCIÓN GENERACIÓN'!P61-'SEP ORIGEN'!P61</f>
        <v>24.850163000000002</v>
      </c>
      <c r="Q61" s="263">
        <f>+'PROYECCIÓN GENERACIÓN'!Q61-'SEP ORIGEN'!Q61</f>
        <v>25.226357</v>
      </c>
      <c r="R61" s="263">
        <f>+'PROYECCIÓN GENERACIÓN'!R61-'SEP ORIGEN'!R61</f>
        <v>25.601862000000004</v>
      </c>
      <c r="S61" s="263">
        <f>+'PROYECCIÓN GENERACIÓN'!S61-'SEP ORIGEN'!S61</f>
        <v>25.977367000000001</v>
      </c>
      <c r="T61" s="263">
        <f>+'PROYECCIÓN GENERACIÓN'!T61-'SEP ORIGEN'!T61</f>
        <v>26.353560999999999</v>
      </c>
      <c r="U61" s="263">
        <f>+'PROYECCIÓN GENERACIÓN'!U61-'SEP ORIGEN'!U61</f>
        <v>26.729066000000003</v>
      </c>
      <c r="V61" s="263">
        <f>+'PROYECCIÓN GENERACIÓN'!V61-'SEP ORIGEN'!V61</f>
        <v>27.105260000000001</v>
      </c>
      <c r="W61" s="263">
        <f>+'PROYECCIÓN GENERACIÓN'!W61-'SEP ORIGEN'!W61</f>
        <v>27.480765000000002</v>
      </c>
      <c r="X61" s="263">
        <f>+'PROYECCIÓN GENERACIÓN'!X61-'SEP ORIGEN'!X61</f>
        <v>27.856959</v>
      </c>
      <c r="Y61" s="263">
        <f>+'PROYECCIÓN GENERACIÓN'!Y61-'SEP ORIGEN'!Y61</f>
        <v>28.232464000000004</v>
      </c>
      <c r="Z61" s="263">
        <f>+'PROYECCIÓN GENERACIÓN'!Z61-'SEP ORIGEN'!Z61</f>
        <v>28.608658000000002</v>
      </c>
    </row>
    <row r="62" spans="1:26" ht="24.95" customHeight="1">
      <c r="A62" s="351" t="str">
        <f>+Pobl_adoptada!A62</f>
        <v>Ensenada</v>
      </c>
      <c r="B62" s="70">
        <f>+Pobl_adoptada!B62</f>
        <v>58</v>
      </c>
      <c r="C62" s="353" t="str">
        <f>+Pobl_adoptada!C62</f>
        <v>Ensenada</v>
      </c>
      <c r="D62" s="261"/>
      <c r="E62" s="278"/>
      <c r="F62" s="263"/>
      <c r="G62" s="263">
        <f>+'PROYECCIÓN GENERACIÓN'!G62-'SEP ORIGEN'!G62</f>
        <v>65.470382999999998</v>
      </c>
      <c r="H62" s="263">
        <f>+'PROYECCIÓN GENERACIÓN'!H62-'SEP ORIGEN'!H62</f>
        <v>61.369483200000005</v>
      </c>
      <c r="I62" s="263">
        <f>+'PROYECCIÓN GENERACIÓN'!I62-'SEP ORIGEN'!I62</f>
        <v>57.191655000000004</v>
      </c>
      <c r="J62" s="263">
        <f>+'PROYECCIÓN GENERACIÓN'!J62-'SEP ORIGEN'!J62</f>
        <v>50.901569999999992</v>
      </c>
      <c r="K62" s="263">
        <f>+'PROYECCIÓN GENERACIÓN'!K62-'SEP ORIGEN'!K62</f>
        <v>44.497245000000007</v>
      </c>
      <c r="L62" s="263">
        <f>+'PROYECCIÓN GENERACIÓN'!L62-'SEP ORIGEN'!L62</f>
        <v>44.883111</v>
      </c>
      <c r="M62" s="263">
        <f>+'PROYECCIÓN GENERACIÓN'!M62-'SEP ORIGEN'!M62</f>
        <v>45.272955000000003</v>
      </c>
      <c r="N62" s="263">
        <f>+'PROYECCIÓN GENERACIÓN'!N62-'SEP ORIGEN'!N62</f>
        <v>45.666114000000007</v>
      </c>
      <c r="O62" s="263">
        <f>+'PROYECCIÓN GENERACIÓN'!O62-'SEP ORIGEN'!O62</f>
        <v>46.061925000000002</v>
      </c>
      <c r="P62" s="263">
        <f>+'PROYECCIÓN GENERACIÓN'!P62-'SEP ORIGEN'!P62</f>
        <v>46.461714000000001</v>
      </c>
      <c r="Q62" s="263">
        <f>+'PROYECCIÓN GENERACIÓN'!Q62-'SEP ORIGEN'!Q62</f>
        <v>46.864818</v>
      </c>
      <c r="R62" s="263">
        <f>+'PROYECCIÓN GENERACIÓN'!R62-'SEP ORIGEN'!R62</f>
        <v>47.271900000000002</v>
      </c>
      <c r="S62" s="263">
        <f>+'PROYECCIÓN GENERACIÓN'!S62-'SEP ORIGEN'!S62</f>
        <v>47.682297000000005</v>
      </c>
      <c r="T62" s="263">
        <f>+'PROYECCIÓN GENERACIÓN'!T62-'SEP ORIGEN'!T62</f>
        <v>48.096008999999995</v>
      </c>
      <c r="U62" s="263">
        <f>+'PROYECCIÓN GENERACIÓN'!U62-'SEP ORIGEN'!U62</f>
        <v>48.513036</v>
      </c>
      <c r="V62" s="263">
        <f>+'PROYECCIÓN GENERACIÓN'!V62-'SEP ORIGEN'!V62</f>
        <v>48.934041000000008</v>
      </c>
      <c r="W62" s="263">
        <f>+'PROYECCIÓN GENERACIÓN'!W62-'SEP ORIGEN'!W62</f>
        <v>49.359024000000005</v>
      </c>
      <c r="X62" s="263">
        <f>+'PROYECCIÓN GENERACIÓN'!X62-'SEP ORIGEN'!X62</f>
        <v>49.787322000000003</v>
      </c>
      <c r="Y62" s="263">
        <f>+'PROYECCIÓN GENERACIÓN'!Y62-'SEP ORIGEN'!Y62</f>
        <v>50.219598000000005</v>
      </c>
      <c r="Z62" s="263">
        <f>+'PROYECCIÓN GENERACIÓN'!Z62-'SEP ORIGEN'!Z62</f>
        <v>50.655189000000007</v>
      </c>
    </row>
    <row r="63" spans="1:26" ht="24.95" customHeight="1">
      <c r="A63" s="351" t="str">
        <f>+Pobl_adoptada!A63</f>
        <v>Escobar</v>
      </c>
      <c r="B63" s="70">
        <f>+Pobl_adoptada!B63</f>
        <v>59</v>
      </c>
      <c r="C63" s="353" t="str">
        <f>+Pobl_adoptada!C63</f>
        <v>Escobar</v>
      </c>
      <c r="D63" s="261"/>
      <c r="E63" s="278"/>
      <c r="F63" s="263"/>
      <c r="G63" s="263">
        <f>+'PROYECCIÓN GENERACIÓN'!G63-'SEP ORIGEN'!G63</f>
        <v>292.58046180000002</v>
      </c>
      <c r="H63" s="263">
        <f>+'PROYECCIÓN GENERACIÓN'!H63-'SEP ORIGEN'!H63</f>
        <v>276.36255360000001</v>
      </c>
      <c r="I63" s="263">
        <f>+'PROYECCIÓN GENERACIÓN'!I63-'SEP ORIGEN'!I63</f>
        <v>259.46535599999999</v>
      </c>
      <c r="J63" s="263">
        <f>+'PROYECCIÓN GENERACIÓN'!J63-'SEP ORIGEN'!J63</f>
        <v>232.58371500000001</v>
      </c>
      <c r="K63" s="263">
        <f>+'PROYECCIÓN GENERACIÓN'!K63-'SEP ORIGEN'!K63</f>
        <v>204.73108500000001</v>
      </c>
      <c r="L63" s="263">
        <f>+'PROYECCIÓN GENERACIÓN'!L63-'SEP ORIGEN'!L63</f>
        <v>207.88895400000004</v>
      </c>
      <c r="M63" s="263">
        <f>+'PROYECCIÓN GENERACIÓN'!M63-'SEP ORIGEN'!M63</f>
        <v>211.04748600000002</v>
      </c>
      <c r="N63" s="263">
        <f>+'PROYECCIÓN GENERACIÓN'!N63-'SEP ORIGEN'!N63</f>
        <v>214.205355</v>
      </c>
      <c r="O63" s="263">
        <f>+'PROYECCIÓN GENERACIÓN'!O63-'SEP ORIGEN'!O63</f>
        <v>217.36388700000001</v>
      </c>
      <c r="P63" s="263">
        <f>+'PROYECCIÓN GENERACIÓN'!P63-'SEP ORIGEN'!P63</f>
        <v>220.52175599999998</v>
      </c>
      <c r="Q63" s="263">
        <f>+'PROYECCIÓN GENERACIÓN'!Q63-'SEP ORIGEN'!Q63</f>
        <v>223.68028800000002</v>
      </c>
      <c r="R63" s="263">
        <f>+'PROYECCIÓN GENERACIÓN'!R63-'SEP ORIGEN'!R63</f>
        <v>226.83882</v>
      </c>
      <c r="S63" s="263">
        <f>+'PROYECCIÓN GENERACIÓN'!S63-'SEP ORIGEN'!S63</f>
        <v>229.996689</v>
      </c>
      <c r="T63" s="263">
        <f>+'PROYECCIÓN GENERACIÓN'!T63-'SEP ORIGEN'!T63</f>
        <v>233.15522100000004</v>
      </c>
      <c r="U63" s="263">
        <f>+'PROYECCIÓN GENERACIÓN'!U63-'SEP ORIGEN'!U63</f>
        <v>236.31309000000002</v>
      </c>
      <c r="V63" s="263">
        <f>+'PROYECCIÓN GENERACIÓN'!V63-'SEP ORIGEN'!V63</f>
        <v>239.47162200000002</v>
      </c>
      <c r="W63" s="263">
        <f>+'PROYECCIÓN GENERACIÓN'!W63-'SEP ORIGEN'!W63</f>
        <v>242.629491</v>
      </c>
      <c r="X63" s="263">
        <f>+'PROYECCIÓN GENERACIÓN'!X63-'SEP ORIGEN'!X63</f>
        <v>245.78802300000001</v>
      </c>
      <c r="Y63" s="263">
        <f>+'PROYECCIÓN GENERACIÓN'!Y63-'SEP ORIGEN'!Y63</f>
        <v>248.94589199999999</v>
      </c>
      <c r="Z63" s="263">
        <f>+'PROYECCIÓN GENERACIÓN'!Z63-'SEP ORIGEN'!Z63</f>
        <v>252.10442399999999</v>
      </c>
    </row>
    <row r="64" spans="1:26" ht="24.95" customHeight="1">
      <c r="A64" s="351" t="str">
        <f>+Pobl_adoptada!A64</f>
        <v>Exaltación de la Cruz</v>
      </c>
      <c r="B64" s="70">
        <f>+Pobl_adoptada!B64</f>
        <v>60</v>
      </c>
      <c r="C64" s="353" t="str">
        <f>+Pobl_adoptada!C64</f>
        <v>Capilla del Señor</v>
      </c>
      <c r="D64" s="261"/>
      <c r="E64" s="278"/>
      <c r="F64" s="263"/>
      <c r="G64" s="263">
        <f>+'PROYECCIÓN GENERACIÓN'!G64-'SEP ORIGEN'!G64</f>
        <v>11.778465600000001</v>
      </c>
      <c r="H64" s="263">
        <f>+'PROYECCIÓN GENERACIÓN'!H64-'SEP ORIGEN'!H64</f>
        <v>11.169094399999999</v>
      </c>
      <c r="I64" s="263">
        <f>+'PROYECCIÓN GENERACIÓN'!I64-'SEP ORIGEN'!I64</f>
        <v>10.528848000000002</v>
      </c>
      <c r="J64" s="263">
        <f>+'PROYECCIÓN GENERACIÓN'!J64-'SEP ORIGEN'!J64</f>
        <v>9.4785299999999992</v>
      </c>
      <c r="K64" s="263">
        <f>+'PROYECCIÓN GENERACIÓN'!K64-'SEP ORIGEN'!K64</f>
        <v>8.3797740000000012</v>
      </c>
      <c r="L64" s="263">
        <f>+'PROYECCIÓN GENERACIÓN'!L64-'SEP ORIGEN'!L64</f>
        <v>8.5484100000000005</v>
      </c>
      <c r="M64" s="263">
        <f>+'PROYECCIÓN GENERACIÓN'!M64-'SEP ORIGEN'!M64</f>
        <v>8.7194380000000002</v>
      </c>
      <c r="N64" s="263">
        <f>+'PROYECCIÓN GENERACIÓN'!N64-'SEP ORIGEN'!N64</f>
        <v>8.8934560000000005</v>
      </c>
      <c r="O64" s="263">
        <f>+'PROYECCIÓN GENERACIÓN'!O64-'SEP ORIGEN'!O64</f>
        <v>9.0698660000000011</v>
      </c>
      <c r="P64" s="263">
        <f>+'PROYECCIÓN GENERACIÓN'!P64-'SEP ORIGEN'!P64</f>
        <v>9.2492660000000022</v>
      </c>
      <c r="Q64" s="263">
        <f>+'PROYECCIÓN GENERACIÓN'!Q64-'SEP ORIGEN'!Q64</f>
        <v>9.4316560000000003</v>
      </c>
      <c r="R64" s="263">
        <f>+'PROYECCIÓN GENERACIÓN'!R64-'SEP ORIGEN'!R64</f>
        <v>9.6170360000000006</v>
      </c>
      <c r="S64" s="263">
        <f>+'PROYECCIÓN GENERACIÓN'!S64-'SEP ORIGEN'!S64</f>
        <v>9.8060039999999997</v>
      </c>
      <c r="T64" s="263">
        <f>+'PROYECCIÓN GENERACIÓN'!T64-'SEP ORIGEN'!T64</f>
        <v>9.997364000000001</v>
      </c>
      <c r="U64" s="263">
        <f>+'PROYECCIÓN GENERACIÓN'!U64-'SEP ORIGEN'!U64</f>
        <v>10.191714000000001</v>
      </c>
      <c r="V64" s="263">
        <f>+'PROYECCIÓN GENERACIÓN'!V64-'SEP ORIGEN'!V64</f>
        <v>10.389652000000002</v>
      </c>
      <c r="W64" s="263">
        <f>+'PROYECCIÓN GENERACIÓN'!W64-'SEP ORIGEN'!W64</f>
        <v>10.590580000000003</v>
      </c>
      <c r="X64" s="263">
        <f>+'PROYECCIÓN GENERACIÓN'!X64-'SEP ORIGEN'!X64</f>
        <v>10.795096000000001</v>
      </c>
      <c r="Y64" s="263">
        <f>+'PROYECCIÓN GENERACIÓN'!Y64-'SEP ORIGEN'!Y64</f>
        <v>11.002602</v>
      </c>
      <c r="Z64" s="263">
        <f>+'PROYECCIÓN GENERACIÓN'!Z64-'SEP ORIGEN'!Z64</f>
        <v>11.213696000000002</v>
      </c>
    </row>
    <row r="65" spans="1:26" ht="24.95" customHeight="1">
      <c r="A65" s="351" t="str">
        <f>+Pobl_adoptada!A65</f>
        <v>Florentino Ameghino</v>
      </c>
      <c r="B65" s="70">
        <f>+Pobl_adoptada!B65</f>
        <v>61</v>
      </c>
      <c r="C65" s="353" t="str">
        <f>+Pobl_adoptada!C65</f>
        <v>Florentino Ameghino</v>
      </c>
      <c r="D65" s="261"/>
      <c r="E65" s="278"/>
      <c r="F65" s="263"/>
      <c r="G65" s="263">
        <f>+'PROYECCIÓN GENERACIÓN'!G65-'SEP ORIGEN'!G65</f>
        <v>8.1197820000000007</v>
      </c>
      <c r="H65" s="263">
        <f>+'PROYECCIÓN GENERACIÓN'!H65-'SEP ORIGEN'!H65</f>
        <v>7.6353743999999999</v>
      </c>
      <c r="I65" s="263">
        <f>+'PROYECCIÓN GENERACIÓN'!I65-'SEP ORIGEN'!I65</f>
        <v>7.138096</v>
      </c>
      <c r="J65" s="263">
        <f>+'PROYECCIÓN GENERACIÓN'!J65-'SEP ORIGEN'!J65</f>
        <v>6.3721499999999995</v>
      </c>
      <c r="K65" s="263">
        <f>+'PROYECCIÓN GENERACIÓN'!K65-'SEP ORIGEN'!K65</f>
        <v>5.5859180000000013</v>
      </c>
      <c r="L65" s="263">
        <f>+'PROYECCIÓN GENERACIÓN'!L65-'SEP ORIGEN'!L65</f>
        <v>5.6499039999999994</v>
      </c>
      <c r="M65" s="263">
        <f>+'PROYECCIÓN GENERACIÓN'!M65-'SEP ORIGEN'!M65</f>
        <v>5.7138899999999992</v>
      </c>
      <c r="N65" s="263">
        <f>+'PROYECCIÓN GENERACIÓN'!N65-'SEP ORIGEN'!N65</f>
        <v>5.7772780000000008</v>
      </c>
      <c r="O65" s="263">
        <f>+'PROYECCIÓN GENERACIÓN'!O65-'SEP ORIGEN'!O65</f>
        <v>5.8412639999999989</v>
      </c>
      <c r="P65" s="263">
        <f>+'PROYECCIÓN GENERACIÓN'!P65-'SEP ORIGEN'!P65</f>
        <v>5.9052500000000006</v>
      </c>
      <c r="Q65" s="263">
        <f>+'PROYECCIÓN GENERACIÓN'!Q65-'SEP ORIGEN'!Q65</f>
        <v>5.9686380000000003</v>
      </c>
      <c r="R65" s="263">
        <f>+'PROYECCIÓN GENERACIÓN'!R65-'SEP ORIGEN'!R65</f>
        <v>6.0326240000000002</v>
      </c>
      <c r="S65" s="263">
        <f>+'PROYECCIÓN GENERACIÓN'!S65-'SEP ORIGEN'!S65</f>
        <v>6.0966100000000001</v>
      </c>
      <c r="T65" s="263">
        <f>+'PROYECCIÓN GENERACIÓN'!T65-'SEP ORIGEN'!T65</f>
        <v>6.1599979999999999</v>
      </c>
      <c r="U65" s="263">
        <f>+'PROYECCIÓN GENERACIÓN'!U65-'SEP ORIGEN'!U65</f>
        <v>6.2239839999999997</v>
      </c>
      <c r="V65" s="263">
        <f>+'PROYECCIÓN GENERACIÓN'!V65-'SEP ORIGEN'!V65</f>
        <v>6.2879700000000014</v>
      </c>
      <c r="W65" s="263">
        <f>+'PROYECCIÓN GENERACIÓN'!W65-'SEP ORIGEN'!W65</f>
        <v>6.3513579999999994</v>
      </c>
      <c r="X65" s="263">
        <f>+'PROYECCIÓN GENERACIÓN'!X65-'SEP ORIGEN'!X65</f>
        <v>6.4153439999999993</v>
      </c>
      <c r="Y65" s="263">
        <f>+'PROYECCIÓN GENERACIÓN'!Y65-'SEP ORIGEN'!Y65</f>
        <v>6.4787320000000008</v>
      </c>
      <c r="Z65" s="263">
        <f>+'PROYECCIÓN GENERACIÓN'!Z65-'SEP ORIGEN'!Z65</f>
        <v>6.5427180000000007</v>
      </c>
    </row>
    <row r="66" spans="1:26" ht="24.95" customHeight="1">
      <c r="A66" s="351" t="str">
        <f>+Pobl_adoptada!A66</f>
        <v>General Alvarado</v>
      </c>
      <c r="B66" s="70">
        <f>+Pobl_adoptada!B66</f>
        <v>62</v>
      </c>
      <c r="C66" s="353" t="str">
        <f>+Pobl_adoptada!C66</f>
        <v>Miramar</v>
      </c>
      <c r="D66" s="261"/>
      <c r="E66" s="278"/>
      <c r="F66" s="263"/>
      <c r="G66" s="263">
        <f>+'PROYECCIÓN GENERACIÓN'!G66-'SEP ORIGEN'!G66</f>
        <v>54.198361800000001</v>
      </c>
      <c r="H66" s="263">
        <f>+'PROYECCIÓN GENERACIÓN'!H66-'SEP ORIGEN'!H66</f>
        <v>51.060496800000003</v>
      </c>
      <c r="I66" s="263">
        <f>+'PROYECCIÓN GENERACIÓN'!I66-'SEP ORIGEN'!I66</f>
        <v>47.818773000000007</v>
      </c>
      <c r="J66" s="263">
        <f>+'PROYECCIÓN GENERACIÓN'!J66-'SEP ORIGEN'!J66</f>
        <v>42.759075000000003</v>
      </c>
      <c r="K66" s="263">
        <f>+'PROYECCIÓN GENERACIÓN'!K66-'SEP ORIGEN'!K66</f>
        <v>37.548433000000003</v>
      </c>
      <c r="L66" s="263">
        <f>+'PROYECCIÓN GENERACIÓN'!L66-'SEP ORIGEN'!L66</f>
        <v>38.039690000000007</v>
      </c>
      <c r="M66" s="263">
        <f>+'PROYECCIÓN GENERACIÓN'!M66-'SEP ORIGEN'!M66</f>
        <v>38.530258000000003</v>
      </c>
      <c r="N66" s="263">
        <f>+'PROYECCIÓN GENERACIÓN'!N66-'SEP ORIGEN'!N66</f>
        <v>39.021515000000008</v>
      </c>
      <c r="O66" s="263">
        <f>+'PROYECCIÓN GENERACIÓN'!O66-'SEP ORIGEN'!O66</f>
        <v>39.512772000000005</v>
      </c>
      <c r="P66" s="263">
        <f>+'PROYECCIÓN GENERACIÓN'!P66-'SEP ORIGEN'!P66</f>
        <v>40.003340000000009</v>
      </c>
      <c r="Q66" s="263">
        <f>+'PROYECCIÓN GENERACIÓN'!Q66-'SEP ORIGEN'!Q66</f>
        <v>40.493907999999998</v>
      </c>
      <c r="R66" s="263">
        <f>+'PROYECCIÓN GENERACIÓN'!R66-'SEP ORIGEN'!R66</f>
        <v>40.985165000000009</v>
      </c>
      <c r="S66" s="263">
        <f>+'PROYECCIÓN GENERACIÓN'!S66-'SEP ORIGEN'!S66</f>
        <v>41.475732999999998</v>
      </c>
      <c r="T66" s="263">
        <f>+'PROYECCIÓN GENERACIÓN'!T66-'SEP ORIGEN'!T66</f>
        <v>41.96699000000001</v>
      </c>
      <c r="U66" s="263">
        <f>+'PROYECCIÓN GENERACIÓN'!U66-'SEP ORIGEN'!U66</f>
        <v>42.458247</v>
      </c>
      <c r="V66" s="263">
        <f>+'PROYECCIÓN GENERACIÓN'!V66-'SEP ORIGEN'!V66</f>
        <v>42.94881500000001</v>
      </c>
      <c r="W66" s="263">
        <f>+'PROYECCIÓN GENERACIÓN'!W66-'SEP ORIGEN'!W66</f>
        <v>43.439383000000007</v>
      </c>
      <c r="X66" s="263">
        <f>+'PROYECCIÓN GENERACIÓN'!X66-'SEP ORIGEN'!X66</f>
        <v>43.930639999999997</v>
      </c>
      <c r="Y66" s="263">
        <f>+'PROYECCIÓN GENERACIÓN'!Y66-'SEP ORIGEN'!Y66</f>
        <v>44.421897000000001</v>
      </c>
      <c r="Z66" s="263">
        <f>+'PROYECCIÓN GENERACIÓN'!Z66-'SEP ORIGEN'!Z66</f>
        <v>44.912465000000005</v>
      </c>
    </row>
    <row r="67" spans="1:26" ht="24.95" customHeight="1">
      <c r="A67" s="351" t="str">
        <f>+Pobl_adoptada!A67</f>
        <v>General Alvear</v>
      </c>
      <c r="B67" s="70">
        <f>+Pobl_adoptada!B67</f>
        <v>63</v>
      </c>
      <c r="C67" s="353" t="str">
        <f>+Pobl_adoptada!C67</f>
        <v>General Alvear</v>
      </c>
      <c r="D67" s="261"/>
      <c r="E67" s="278"/>
      <c r="F67" s="263"/>
      <c r="G67" s="263">
        <f>+'PROYECCIÓN GENERACIÓN'!G67-'SEP ORIGEN'!G67</f>
        <v>9.3803292000000003</v>
      </c>
      <c r="H67" s="263">
        <f>+'PROYECCIÓN GENERACIÓN'!H67-'SEP ORIGEN'!H67</f>
        <v>8.7441584000000017</v>
      </c>
      <c r="I67" s="263">
        <f>+'PROYECCIÓN GENERACIÓN'!I67-'SEP ORIGEN'!I67</f>
        <v>8.1030840000000008</v>
      </c>
      <c r="J67" s="263">
        <f>+'PROYECCIÓN GENERACIÓN'!J67-'SEP ORIGEN'!J67</f>
        <v>7.1718599999999988</v>
      </c>
      <c r="K67" s="263">
        <f>+'PROYECCIÓN GENERACIÓN'!K67-'SEP ORIGEN'!K67</f>
        <v>6.2341499999999996</v>
      </c>
      <c r="L67" s="263">
        <f>+'PROYECCIÓN GENERACIÓN'!L67-'SEP ORIGEN'!L67</f>
        <v>6.253286000000001</v>
      </c>
      <c r="M67" s="263">
        <f>+'PROYECCIÓN GENERACIÓN'!M67-'SEP ORIGEN'!M67</f>
        <v>6.2718240000000005</v>
      </c>
      <c r="N67" s="263">
        <f>+'PROYECCIÓN GENERACIÓN'!N67-'SEP ORIGEN'!N67</f>
        <v>6.2909600000000001</v>
      </c>
      <c r="O67" s="263">
        <f>+'PROYECCIÓN GENERACIÓN'!O67-'SEP ORIGEN'!O67</f>
        <v>6.3100960000000006</v>
      </c>
      <c r="P67" s="263">
        <f>+'PROYECCIÓN GENERACIÓN'!P67-'SEP ORIGEN'!P67</f>
        <v>6.3292320000000002</v>
      </c>
      <c r="Q67" s="263">
        <f>+'PROYECCIÓN GENERACIÓN'!Q67-'SEP ORIGEN'!Q67</f>
        <v>6.3483680000000007</v>
      </c>
      <c r="R67" s="263">
        <f>+'PROYECCIÓN GENERACIÓN'!R67-'SEP ORIGEN'!R67</f>
        <v>6.3681020000000004</v>
      </c>
      <c r="S67" s="263">
        <f>+'PROYECCIÓN GENERACIÓN'!S67-'SEP ORIGEN'!S67</f>
        <v>6.387238</v>
      </c>
      <c r="T67" s="263">
        <f>+'PROYECCIÓN GENERACIÓN'!T67-'SEP ORIGEN'!T67</f>
        <v>6.4063740000000013</v>
      </c>
      <c r="U67" s="263">
        <f>+'PROYECCIÓN GENERACIÓN'!U67-'SEP ORIGEN'!U67</f>
        <v>6.4261079999999993</v>
      </c>
      <c r="V67" s="263">
        <f>+'PROYECCIÓN GENERACIÓN'!V67-'SEP ORIGEN'!V67</f>
        <v>6.4452440000000006</v>
      </c>
      <c r="W67" s="263">
        <f>+'PROYECCIÓN GENERACIÓN'!W67-'SEP ORIGEN'!W67</f>
        <v>6.4649780000000003</v>
      </c>
      <c r="X67" s="263">
        <f>+'PROYECCIÓN GENERACIÓN'!X67-'SEP ORIGEN'!X67</f>
        <v>6.4847119999999991</v>
      </c>
      <c r="Y67" s="263">
        <f>+'PROYECCIÓN GENERACIÓN'!Y67-'SEP ORIGEN'!Y67</f>
        <v>6.5044460000000006</v>
      </c>
      <c r="Z67" s="263">
        <f>+'PROYECCIÓN GENERACIÓN'!Z67-'SEP ORIGEN'!Z67</f>
        <v>6.5241800000000003</v>
      </c>
    </row>
    <row r="68" spans="1:26" ht="24.95" customHeight="1">
      <c r="A68" s="351" t="str">
        <f>+Pobl_adoptada!A68</f>
        <v>General Arenales</v>
      </c>
      <c r="B68" s="70">
        <f>+Pobl_adoptada!B68</f>
        <v>64</v>
      </c>
      <c r="C68" s="353" t="str">
        <f>+Pobl_adoptada!C68</f>
        <v>General Arenales</v>
      </c>
      <c r="D68" s="261"/>
      <c r="E68" s="278"/>
      <c r="F68" s="263"/>
      <c r="G68" s="263">
        <f>+'PROYECCIÓN GENERACIÓN'!G68-'SEP ORIGEN'!G68</f>
        <v>4.5430704000000004</v>
      </c>
      <c r="H68" s="263">
        <f>+'PROYECCIÓN GENERACIÓN'!H68-'SEP ORIGEN'!H68</f>
        <v>4.2565455999999999</v>
      </c>
      <c r="I68" s="263">
        <f>+'PROYECCIÓN GENERACIÓN'!I68-'SEP ORIGEN'!I68</f>
        <v>3.9647400000000004</v>
      </c>
      <c r="J68" s="263">
        <f>+'PROYECCIÓN GENERACIÓN'!J68-'SEP ORIGEN'!J68</f>
        <v>3.5272799999999997</v>
      </c>
      <c r="K68" s="263">
        <f>+'PROYECCIÓN GENERACIÓN'!K68-'SEP ORIGEN'!K68</f>
        <v>3.0814940000000002</v>
      </c>
      <c r="L68" s="263">
        <f>+'PROYECCIÓN GENERACIÓN'!L68-'SEP ORIGEN'!L68</f>
        <v>3.1060120000000002</v>
      </c>
      <c r="M68" s="263">
        <f>+'PROYECCIÓN GENERACIÓN'!M68-'SEP ORIGEN'!M68</f>
        <v>3.1305300000000003</v>
      </c>
      <c r="N68" s="263">
        <f>+'PROYECCIÓN GENERACIÓN'!N68-'SEP ORIGEN'!N68</f>
        <v>3.1550480000000003</v>
      </c>
      <c r="O68" s="263">
        <f>+'PROYECCIÓN GENERACIÓN'!O68-'SEP ORIGEN'!O68</f>
        <v>3.1801640000000004</v>
      </c>
      <c r="P68" s="263">
        <f>+'PROYECCIÓN GENERACIÓN'!P68-'SEP ORIGEN'!P68</f>
        <v>3.2046820000000005</v>
      </c>
      <c r="Q68" s="263">
        <f>+'PROYECCIÓN GENERACIÓN'!Q68-'SEP ORIGEN'!Q68</f>
        <v>3.2292000000000001</v>
      </c>
      <c r="R68" s="263">
        <f>+'PROYECCIÓN GENERACIÓN'!R68-'SEP ORIGEN'!R68</f>
        <v>3.2537180000000001</v>
      </c>
      <c r="S68" s="263">
        <f>+'PROYECCIÓN GENERACIÓN'!S68-'SEP ORIGEN'!S68</f>
        <v>3.2782360000000006</v>
      </c>
      <c r="T68" s="263">
        <f>+'PROYECCIÓN GENERACIÓN'!T68-'SEP ORIGEN'!T68</f>
        <v>3.3033519999999998</v>
      </c>
      <c r="U68" s="263">
        <f>+'PROYECCIÓN GENERACIÓN'!U68-'SEP ORIGEN'!U68</f>
        <v>3.3278700000000008</v>
      </c>
      <c r="V68" s="263">
        <f>+'PROYECCIÓN GENERACIÓN'!V68-'SEP ORIGEN'!V68</f>
        <v>3.3523880000000004</v>
      </c>
      <c r="W68" s="263">
        <f>+'PROYECCIÓN GENERACIÓN'!W68-'SEP ORIGEN'!W68</f>
        <v>3.376906</v>
      </c>
      <c r="X68" s="263">
        <f>+'PROYECCIÓN GENERACIÓN'!X68-'SEP ORIGEN'!X68</f>
        <v>3.4014240000000004</v>
      </c>
      <c r="Y68" s="263">
        <f>+'PROYECCIÓN GENERACIÓN'!Y68-'SEP ORIGEN'!Y68</f>
        <v>3.4265400000000001</v>
      </c>
      <c r="Z68" s="263">
        <f>+'PROYECCIÓN GENERACIÓN'!Z68-'SEP ORIGEN'!Z68</f>
        <v>3.4510580000000006</v>
      </c>
    </row>
    <row r="69" spans="1:26" ht="24.95" customHeight="1">
      <c r="A69" s="351" t="str">
        <f>+Pobl_adoptada!A69</f>
        <v>General Belgrano</v>
      </c>
      <c r="B69" s="70">
        <f>+Pobl_adoptada!B69</f>
        <v>65</v>
      </c>
      <c r="C69" s="353" t="str">
        <f>+Pobl_adoptada!C69</f>
        <v>General Belgrano</v>
      </c>
      <c r="D69" s="261"/>
      <c r="E69" s="278"/>
      <c r="F69" s="263"/>
      <c r="G69" s="263">
        <f>+'PROYECCIÓN GENERACIÓN'!G69-'SEP ORIGEN'!G69</f>
        <v>20.358360000000001</v>
      </c>
      <c r="H69" s="263">
        <f>+'PROYECCIÓN GENERACIÓN'!H69-'SEP ORIGEN'!H69</f>
        <v>19.193886400000004</v>
      </c>
      <c r="I69" s="263">
        <f>+'PROYECCIÓN GENERACIÓN'!I69-'SEP ORIGEN'!I69</f>
        <v>17.992069000000001</v>
      </c>
      <c r="J69" s="263">
        <f>+'PROYECCIÓN GENERACIÓN'!J69-'SEP ORIGEN'!J69</f>
        <v>16.106700000000004</v>
      </c>
      <c r="K69" s="263">
        <f>+'PROYECCIÓN GENERACIÓN'!K69-'SEP ORIGEN'!K69</f>
        <v>14.162395000000004</v>
      </c>
      <c r="L69" s="263">
        <f>+'PROYECCIÓN GENERACIÓN'!L69-'SEP ORIGEN'!L69</f>
        <v>14.368406000000002</v>
      </c>
      <c r="M69" s="263">
        <f>+'PROYECCIÓN GENERACIÓN'!M69-'SEP ORIGEN'!M69</f>
        <v>14.577862</v>
      </c>
      <c r="N69" s="263">
        <f>+'PROYECCIÓN GENERACIÓN'!N69-'SEP ORIGEN'!N69</f>
        <v>14.790074000000002</v>
      </c>
      <c r="O69" s="263">
        <f>+'PROYECCIÓN GENERACIÓN'!O69-'SEP ORIGEN'!O69</f>
        <v>15.005042</v>
      </c>
      <c r="P69" s="263">
        <f>+'PROYECCIÓN GENERACIÓN'!P69-'SEP ORIGEN'!P69</f>
        <v>15.224144000000003</v>
      </c>
      <c r="Q69" s="263">
        <f>+'PROYECCIÓN GENERACIÓN'!Q69-'SEP ORIGEN'!Q69</f>
        <v>15.445313000000001</v>
      </c>
      <c r="R69" s="263">
        <f>+'PROYECCIÓN GENERACIÓN'!R69-'SEP ORIGEN'!R69</f>
        <v>15.670616000000001</v>
      </c>
      <c r="S69" s="263">
        <f>+'PROYECCIÓN GENERACIÓN'!S69-'SEP ORIGEN'!S69</f>
        <v>15.898674999999999</v>
      </c>
      <c r="T69" s="263">
        <f>+'PROYECCIÓN GENERACIÓN'!T69-'SEP ORIGEN'!T69</f>
        <v>16.130179000000002</v>
      </c>
      <c r="U69" s="263">
        <f>+'PROYECCIÓN GENERACIÓN'!U69-'SEP ORIGEN'!U69</f>
        <v>16.365128000000002</v>
      </c>
      <c r="V69" s="263">
        <f>+'PROYECCIÓN GENERACIÓN'!V69-'SEP ORIGEN'!V69</f>
        <v>16.603522000000002</v>
      </c>
      <c r="W69" s="263">
        <f>+'PROYECCIÓN GENERACIÓN'!W69-'SEP ORIGEN'!W69</f>
        <v>16.844672000000003</v>
      </c>
      <c r="X69" s="263">
        <f>+'PROYECCIÓN GENERACIÓN'!X69-'SEP ORIGEN'!X69</f>
        <v>17.089956000000001</v>
      </c>
      <c r="Y69" s="263">
        <f>+'PROYECCIÓN GENERACIÓN'!Y69-'SEP ORIGEN'!Y69</f>
        <v>17.339374000000003</v>
      </c>
      <c r="Z69" s="263">
        <f>+'PROYECCIÓN GENERACIÓN'!Z69-'SEP ORIGEN'!Z69</f>
        <v>17.591548000000003</v>
      </c>
    </row>
    <row r="70" spans="1:26" ht="24.95" customHeight="1">
      <c r="A70" s="351" t="str">
        <f>+Pobl_adoptada!A70</f>
        <v>General Guido</v>
      </c>
      <c r="B70" s="70">
        <f>+Pobl_adoptada!B70</f>
        <v>66</v>
      </c>
      <c r="C70" s="353" t="str">
        <f>+Pobl_adoptada!C70</f>
        <v>General Guido</v>
      </c>
      <c r="D70" s="261"/>
      <c r="E70" s="278"/>
      <c r="F70" s="263"/>
      <c r="G70" s="263">
        <f>+'PROYECCIÓN GENERACIÓN'!G70-'SEP ORIGEN'!G70</f>
        <v>1.4080968000000003</v>
      </c>
      <c r="H70" s="263">
        <f>+'PROYECCIÓN GENERACIÓN'!H70-'SEP ORIGEN'!H70</f>
        <v>1.3237696000000001</v>
      </c>
      <c r="I70" s="263">
        <f>+'PROYECCIÓN GENERACIÓN'!I70-'SEP ORIGEN'!I70</f>
        <v>1.2363420000000001</v>
      </c>
      <c r="J70" s="263">
        <f>+'PROYECCIÓN GENERACIÓN'!J70-'SEP ORIGEN'!J70</f>
        <v>1.10331</v>
      </c>
      <c r="K70" s="263">
        <f>+'PROYECCIÓN GENERACIÓN'!K70-'SEP ORIGEN'!K70</f>
        <v>0.9669660000000001</v>
      </c>
      <c r="L70" s="263">
        <f>+'PROYECCIÓN GENERACIÓN'!L70-'SEP ORIGEN'!L70</f>
        <v>0.97832800000000009</v>
      </c>
      <c r="M70" s="263">
        <f>+'PROYECCIÓN GENERACIÓN'!M70-'SEP ORIGEN'!M70</f>
        <v>0.98909200000000008</v>
      </c>
      <c r="N70" s="263">
        <f>+'PROYECCIÓN GENERACIÓN'!N70-'SEP ORIGEN'!N70</f>
        <v>1.000454</v>
      </c>
      <c r="O70" s="263">
        <f>+'PROYECCIÓN GENERACIÓN'!O70-'SEP ORIGEN'!O70</f>
        <v>1.011816</v>
      </c>
      <c r="P70" s="263">
        <f>+'PROYECCIÓN GENERACIÓN'!P70-'SEP ORIGEN'!P70</f>
        <v>1.0231780000000001</v>
      </c>
      <c r="Q70" s="263">
        <f>+'PROYECCIÓN GENERACIÓN'!Q70-'SEP ORIGEN'!Q70</f>
        <v>1.0345400000000002</v>
      </c>
      <c r="R70" s="263">
        <f>+'PROYECCIÓN GENERACIÓN'!R70-'SEP ORIGEN'!R70</f>
        <v>1.0465</v>
      </c>
      <c r="S70" s="263">
        <f>+'PROYECCIÓN GENERACIÓN'!S70-'SEP ORIGEN'!S70</f>
        <v>1.0584600000000002</v>
      </c>
      <c r="T70" s="263">
        <f>+'PROYECCIÓN GENERACIÓN'!T70-'SEP ORIGEN'!T70</f>
        <v>1.0704200000000004</v>
      </c>
      <c r="U70" s="263">
        <f>+'PROYECCIÓN GENERACIÓN'!U70-'SEP ORIGEN'!U70</f>
        <v>1.0823800000000001</v>
      </c>
      <c r="V70" s="263">
        <f>+'PROYECCIÓN GENERACIÓN'!V70-'SEP ORIGEN'!V70</f>
        <v>1.094938</v>
      </c>
      <c r="W70" s="263">
        <f>+'PROYECCIÓN GENERACIÓN'!W70-'SEP ORIGEN'!W70</f>
        <v>1.1068980000000002</v>
      </c>
      <c r="X70" s="263">
        <f>+'PROYECCIÓN GENERACIÓN'!X70-'SEP ORIGEN'!X70</f>
        <v>1.119456</v>
      </c>
      <c r="Y70" s="263">
        <f>+'PROYECCIÓN GENERACIÓN'!Y70-'SEP ORIGEN'!Y70</f>
        <v>1.132612</v>
      </c>
      <c r="Z70" s="263">
        <f>+'PROYECCIÓN GENERACIÓN'!Z70-'SEP ORIGEN'!Z70</f>
        <v>1.1451700000000002</v>
      </c>
    </row>
    <row r="71" spans="1:26" ht="24.95" customHeight="1">
      <c r="A71" s="351" t="str">
        <f>+Pobl_adoptada!A71</f>
        <v>General Juan Madariaga</v>
      </c>
      <c r="B71" s="70">
        <f>+Pobl_adoptada!B71</f>
        <v>67</v>
      </c>
      <c r="C71" s="353" t="str">
        <f>+Pobl_adoptada!C71</f>
        <v>General Juan Madariaga</v>
      </c>
      <c r="D71" s="261"/>
      <c r="E71" s="278"/>
      <c r="F71" s="263"/>
      <c r="G71" s="263">
        <f>+'PROYECCIÓN GENERACIÓN'!G71-'SEP ORIGEN'!G71</f>
        <v>23.259951000000001</v>
      </c>
      <c r="H71" s="263">
        <f>+'PROYECCIÓN GENERACIÓN'!H71-'SEP ORIGEN'!H71</f>
        <v>21.899091200000001</v>
      </c>
      <c r="I71" s="263">
        <f>+'PROYECCIÓN GENERACIÓN'!I71-'SEP ORIGEN'!I71</f>
        <v>20.499552000000001</v>
      </c>
      <c r="J71" s="263">
        <f>+'PROYECCIÓN GENERACIÓN'!J71-'SEP ORIGEN'!J71</f>
        <v>18.327134999999998</v>
      </c>
      <c r="K71" s="263">
        <f>+'PROYECCIÓN GENERACIÓN'!K71-'SEP ORIGEN'!K71</f>
        <v>16.094351000000003</v>
      </c>
      <c r="L71" s="263">
        <f>+'PROYECCIÓN GENERACIÓN'!L71-'SEP ORIGEN'!L71</f>
        <v>16.308630000000001</v>
      </c>
      <c r="M71" s="263">
        <f>+'PROYECCIÓN GENERACIÓN'!M71-'SEP ORIGEN'!M71</f>
        <v>16.526353999999998</v>
      </c>
      <c r="N71" s="263">
        <f>+'PROYECCIÓN GENERACIÓN'!N71-'SEP ORIGEN'!N71</f>
        <v>16.747523000000001</v>
      </c>
      <c r="O71" s="263">
        <f>+'PROYECCIÓN GENERACIÓN'!O71-'SEP ORIGEN'!O71</f>
        <v>16.972826000000001</v>
      </c>
      <c r="P71" s="263">
        <f>+'PROYECCIÓN GENERACIÓN'!P71-'SEP ORIGEN'!P71</f>
        <v>17.201574000000001</v>
      </c>
      <c r="Q71" s="263">
        <f>+'PROYECCIÓN GENERACIÓN'!Q71-'SEP ORIGEN'!Q71</f>
        <v>17.433767000000003</v>
      </c>
      <c r="R71" s="263">
        <f>+'PROYECCIÓN GENERACIÓN'!R71-'SEP ORIGEN'!R71</f>
        <v>17.669405000000001</v>
      </c>
      <c r="S71" s="263">
        <f>+'PROYECCIÓN GENERACIÓN'!S71-'SEP ORIGEN'!S71</f>
        <v>17.909866000000001</v>
      </c>
      <c r="T71" s="263">
        <f>+'PROYECCIÓN GENERACIÓN'!T71-'SEP ORIGEN'!T71</f>
        <v>18.153772</v>
      </c>
      <c r="U71" s="263">
        <f>+'PROYECCIÓN GENERACIÓN'!U71-'SEP ORIGEN'!U71</f>
        <v>18.401123000000002</v>
      </c>
      <c r="V71" s="263">
        <f>+'PROYECCIÓN GENERACIÓN'!V71-'SEP ORIGEN'!V71</f>
        <v>18.653297000000002</v>
      </c>
      <c r="W71" s="263">
        <f>+'PROYECCIÓN GENERACIÓN'!W71-'SEP ORIGEN'!W71</f>
        <v>18.908916000000005</v>
      </c>
      <c r="X71" s="263">
        <f>+'PROYECCIÓN GENERACIÓN'!X71-'SEP ORIGEN'!X71</f>
        <v>19.169357999999999</v>
      </c>
      <c r="Y71" s="263">
        <f>+'PROYECCIÓN GENERACIÓN'!Y71-'SEP ORIGEN'!Y71</f>
        <v>19.433934000000001</v>
      </c>
      <c r="Z71" s="263">
        <f>+'PROYECCIÓN GENERACIÓN'!Z71-'SEP ORIGEN'!Z71</f>
        <v>19.702644000000003</v>
      </c>
    </row>
    <row r="72" spans="1:26" ht="24.95" customHeight="1">
      <c r="A72" s="351" t="str">
        <f>+Pobl_adoptada!A72</f>
        <v>General La Madrid</v>
      </c>
      <c r="B72" s="70">
        <f>+Pobl_adoptada!B72</f>
        <v>68</v>
      </c>
      <c r="C72" s="353" t="str">
        <f>+Pobl_adoptada!C72</f>
        <v>General La Madrid</v>
      </c>
      <c r="D72" s="261"/>
      <c r="E72" s="278"/>
      <c r="F72" s="263"/>
      <c r="G72" s="263">
        <f>+'PROYECCIÓN GENERACIÓN'!G72-'SEP ORIGEN'!G72</f>
        <v>8.4904776000000002</v>
      </c>
      <c r="H72" s="263">
        <f>+'PROYECCIÓN GENERACIÓN'!H72-'SEP ORIGEN'!H72</f>
        <v>7.9857840000000007</v>
      </c>
      <c r="I72" s="263">
        <f>+'PROYECCIÓN GENERACIÓN'!I72-'SEP ORIGEN'!I72</f>
        <v>7.4665359999999996</v>
      </c>
      <c r="J72" s="263">
        <f>+'PROYECCIÓN GENERACIÓN'!J72-'SEP ORIGEN'!J72</f>
        <v>6.6660900000000005</v>
      </c>
      <c r="K72" s="263">
        <f>+'PROYECCIÓN GENERACIÓN'!K72-'SEP ORIGEN'!K72</f>
        <v>5.8448519999999995</v>
      </c>
      <c r="L72" s="263">
        <f>+'PROYECCIÓN GENERACIÓN'!L72-'SEP ORIGEN'!L72</f>
        <v>5.934552</v>
      </c>
      <c r="M72" s="263">
        <f>+'PROYECCIÓN GENERACIÓN'!M72-'SEP ORIGEN'!M72</f>
        <v>6.0248500000000007</v>
      </c>
      <c r="N72" s="263">
        <f>+'PROYECCIÓN GENERACIÓN'!N72-'SEP ORIGEN'!N72</f>
        <v>6.1145500000000004</v>
      </c>
      <c r="O72" s="263">
        <f>+'PROYECCIÓN GENERACIÓN'!O72-'SEP ORIGEN'!O72</f>
        <v>6.20425</v>
      </c>
      <c r="P72" s="263">
        <f>+'PROYECCIÓN GENERACIÓN'!P72-'SEP ORIGEN'!P72</f>
        <v>6.2945480000000007</v>
      </c>
      <c r="Q72" s="263">
        <f>+'PROYECCIÓN GENERACIÓN'!Q72-'SEP ORIGEN'!Q72</f>
        <v>6.3842480000000004</v>
      </c>
      <c r="R72" s="263">
        <f>+'PROYECCIÓN GENERACIÓN'!R72-'SEP ORIGEN'!R72</f>
        <v>6.473948</v>
      </c>
      <c r="S72" s="263">
        <f>+'PROYECCIÓN GENERACIÓN'!S72-'SEP ORIGEN'!S72</f>
        <v>6.5636480000000006</v>
      </c>
      <c r="T72" s="263">
        <f>+'PROYECCIÓN GENERACIÓN'!T72-'SEP ORIGEN'!T72</f>
        <v>6.6539460000000012</v>
      </c>
      <c r="U72" s="263">
        <f>+'PROYECCIÓN GENERACIÓN'!U72-'SEP ORIGEN'!U72</f>
        <v>6.7436460000000009</v>
      </c>
      <c r="V72" s="263">
        <f>+'PROYECCIÓN GENERACIÓN'!V72-'SEP ORIGEN'!V72</f>
        <v>6.8333460000000006</v>
      </c>
      <c r="W72" s="263">
        <f>+'PROYECCIÓN GENERACIÓN'!W72-'SEP ORIGEN'!W72</f>
        <v>6.9236439999999995</v>
      </c>
      <c r="X72" s="263">
        <f>+'PROYECCIÓN GENERACIÓN'!X72-'SEP ORIGEN'!X72</f>
        <v>7.013344</v>
      </c>
      <c r="Y72" s="263">
        <f>+'PROYECCIÓN GENERACIÓN'!Y72-'SEP ORIGEN'!Y72</f>
        <v>7.1030440000000006</v>
      </c>
      <c r="Z72" s="263">
        <f>+'PROYECCIÓN GENERACIÓN'!Z72-'SEP ORIGEN'!Z72</f>
        <v>7.1933420000000003</v>
      </c>
    </row>
    <row r="73" spans="1:26" ht="24.95" customHeight="1">
      <c r="A73" s="351" t="str">
        <f>+Pobl_adoptada!A73</f>
        <v>General Las Heras</v>
      </c>
      <c r="B73" s="70">
        <f>+Pobl_adoptada!B73</f>
        <v>69</v>
      </c>
      <c r="C73" s="353" t="str">
        <f>+Pobl_adoptada!C73</f>
        <v>General Las Heras</v>
      </c>
      <c r="D73" s="261"/>
      <c r="E73" s="278"/>
      <c r="F73" s="263"/>
      <c r="G73" s="263">
        <f>+'PROYECCIÓN GENERACIÓN'!G73-'SEP ORIGEN'!G73</f>
        <v>13.039923600000002</v>
      </c>
      <c r="H73" s="263">
        <f>+'PROYECCIÓN GENERACIÓN'!H73-'SEP ORIGEN'!H73</f>
        <v>12.274492799999999</v>
      </c>
      <c r="I73" s="263">
        <f>+'PROYECCIÓN GENERACIÓN'!I73-'SEP ORIGEN'!I73</f>
        <v>11.485234</v>
      </c>
      <c r="J73" s="263">
        <f>+'PROYECCIÓN GENERACIÓN'!J73-'SEP ORIGEN'!J73</f>
        <v>10.262369999999999</v>
      </c>
      <c r="K73" s="263">
        <f>+'PROYECCIÓN GENERACIÓN'!K73-'SEP ORIGEN'!K73</f>
        <v>9.004684000000001</v>
      </c>
      <c r="L73" s="263">
        <f>+'PROYECCIÓN GENERACIÓN'!L73-'SEP ORIGEN'!L73</f>
        <v>9.1153140000000015</v>
      </c>
      <c r="M73" s="263">
        <f>+'PROYECCIÓN GENERACIÓN'!M73-'SEP ORIGEN'!M73</f>
        <v>9.2259440000000019</v>
      </c>
      <c r="N73" s="263">
        <f>+'PROYECCIÓN GENERACIÓN'!N73-'SEP ORIGEN'!N73</f>
        <v>9.3365740000000006</v>
      </c>
      <c r="O73" s="263">
        <f>+'PROYECCIÓN GENERACIÓN'!O73-'SEP ORIGEN'!O73</f>
        <v>9.4472039999999993</v>
      </c>
      <c r="P73" s="263">
        <f>+'PROYECCIÓN GENERACIÓN'!P73-'SEP ORIGEN'!P73</f>
        <v>9.5578340000000015</v>
      </c>
      <c r="Q73" s="263">
        <f>+'PROYECCIÓN GENERACIÓN'!Q73-'SEP ORIGEN'!Q73</f>
        <v>9.6684640000000002</v>
      </c>
      <c r="R73" s="263">
        <f>+'PROYECCIÓN GENERACIÓN'!R73-'SEP ORIGEN'!R73</f>
        <v>9.7796920000000007</v>
      </c>
      <c r="S73" s="263">
        <f>+'PROYECCIÓN GENERACIÓN'!S73-'SEP ORIGEN'!S73</f>
        <v>9.8903220000000012</v>
      </c>
      <c r="T73" s="263">
        <f>+'PROYECCIÓN GENERACIÓN'!T73-'SEP ORIGEN'!T73</f>
        <v>10.000952</v>
      </c>
      <c r="U73" s="263">
        <f>+'PROYECCIÓN GENERACIÓN'!U73-'SEP ORIGEN'!U73</f>
        <v>10.111582000000002</v>
      </c>
      <c r="V73" s="263">
        <f>+'PROYECCIÓN GENERACIÓN'!V73-'SEP ORIGEN'!V73</f>
        <v>10.222212000000003</v>
      </c>
      <c r="W73" s="263">
        <f>+'PROYECCIÓN GENERACIÓN'!W73-'SEP ORIGEN'!W73</f>
        <v>10.332841999999999</v>
      </c>
      <c r="X73" s="263">
        <f>+'PROYECCIÓN GENERACIÓN'!X73-'SEP ORIGEN'!X73</f>
        <v>10.443472</v>
      </c>
      <c r="Y73" s="263">
        <f>+'PROYECCIÓN GENERACIÓN'!Y73-'SEP ORIGEN'!Y73</f>
        <v>10.5547</v>
      </c>
      <c r="Z73" s="263">
        <f>+'PROYECCIÓN GENERACIÓN'!Z73-'SEP ORIGEN'!Z73</f>
        <v>10.665330000000001</v>
      </c>
    </row>
    <row r="74" spans="1:26" ht="24.95" customHeight="1">
      <c r="A74" s="351" t="str">
        <f>+Pobl_adoptada!A74</f>
        <v>General Lavalle</v>
      </c>
      <c r="B74" s="70">
        <f>+Pobl_adoptada!B74</f>
        <v>70</v>
      </c>
      <c r="C74" s="353" t="str">
        <f>+Pobl_adoptada!C74</f>
        <v>General Lavalle</v>
      </c>
      <c r="D74" s="261"/>
      <c r="E74" s="278"/>
      <c r="F74" s="263"/>
      <c r="G74" s="263">
        <f>+'PROYECCIÓN GENERACIÓN'!G74-'SEP ORIGEN'!G74</f>
        <v>2.4436764000000002</v>
      </c>
      <c r="H74" s="263">
        <f>+'PROYECCIÓN GENERACIÓN'!H74-'SEP ORIGEN'!H74</f>
        <v>2.3259072000000001</v>
      </c>
      <c r="I74" s="263">
        <f>+'PROYECCIÓN GENERACIÓN'!I74-'SEP ORIGEN'!I74</f>
        <v>2.2005479999999999</v>
      </c>
      <c r="J74" s="263">
        <f>+'PROYECCIÓN GENERACIÓN'!J74-'SEP ORIGEN'!J74</f>
        <v>1.9892700000000003</v>
      </c>
      <c r="K74" s="263">
        <f>+'PROYECCIÓN GENERACIÓN'!K74-'SEP ORIGEN'!K74</f>
        <v>1.7658940000000003</v>
      </c>
      <c r="L74" s="263">
        <f>+'PROYECCIÓN GENERACIÓN'!L74-'SEP ORIGEN'!L74</f>
        <v>1.8089500000000001</v>
      </c>
      <c r="M74" s="263">
        <f>+'PROYECCIÓN GENERACIÓN'!M74-'SEP ORIGEN'!M74</f>
        <v>1.8526040000000004</v>
      </c>
      <c r="N74" s="263">
        <f>+'PROYECCIÓN GENERACIÓN'!N74-'SEP ORIGEN'!N74</f>
        <v>1.8974540000000002</v>
      </c>
      <c r="O74" s="263">
        <f>+'PROYECCIÓN GENERACIÓN'!O74-'SEP ORIGEN'!O74</f>
        <v>1.9440980000000001</v>
      </c>
      <c r="P74" s="263">
        <f>+'PROYECCIÓN GENERACIÓN'!P74-'SEP ORIGEN'!P74</f>
        <v>1.9913400000000001</v>
      </c>
      <c r="Q74" s="263">
        <f>+'PROYECCIÓN GENERACIÓN'!Q74-'SEP ORIGEN'!Q74</f>
        <v>2.0391800000000004</v>
      </c>
      <c r="R74" s="263">
        <f>+'PROYECCIÓN GENERACIÓN'!R74-'SEP ORIGEN'!R74</f>
        <v>2.0888140000000002</v>
      </c>
      <c r="S74" s="263">
        <f>+'PROYECCIÓN GENERACIÓN'!S74-'SEP ORIGEN'!S74</f>
        <v>2.1396440000000001</v>
      </c>
      <c r="T74" s="263">
        <f>+'PROYECCIÓN GENERACIÓN'!T74-'SEP ORIGEN'!T74</f>
        <v>2.1916700000000002</v>
      </c>
      <c r="U74" s="263">
        <f>+'PROYECCIÓN GENERACIÓN'!U74-'SEP ORIGEN'!U74</f>
        <v>2.2448920000000001</v>
      </c>
      <c r="V74" s="263">
        <f>+'PROYECCIÓN GENERACIÓN'!V74-'SEP ORIGEN'!V74</f>
        <v>2.2993100000000002</v>
      </c>
      <c r="W74" s="263">
        <f>+'PROYECCIÓN GENERACIÓN'!W74-'SEP ORIGEN'!W74</f>
        <v>2.3555220000000001</v>
      </c>
      <c r="X74" s="263">
        <f>+'PROYECCIÓN GENERACIÓN'!X74-'SEP ORIGEN'!X74</f>
        <v>2.4123320000000001</v>
      </c>
      <c r="Y74" s="263">
        <f>+'PROYECCIÓN GENERACIÓN'!Y74-'SEP ORIGEN'!Y74</f>
        <v>2.470936</v>
      </c>
      <c r="Z74" s="263">
        <f>+'PROYECCIÓN GENERACIÓN'!Z74-'SEP ORIGEN'!Z74</f>
        <v>2.5313340000000002</v>
      </c>
    </row>
    <row r="75" spans="1:26" ht="24.95" customHeight="1">
      <c r="A75" s="351" t="str">
        <f>+Pobl_adoptada!A75</f>
        <v>General Paz</v>
      </c>
      <c r="B75" s="70">
        <f>+Pobl_adoptada!B75</f>
        <v>71</v>
      </c>
      <c r="C75" s="353" t="str">
        <f>+Pobl_adoptada!C75</f>
        <v>Ranchos</v>
      </c>
      <c r="D75" s="261"/>
      <c r="E75" s="278"/>
      <c r="F75" s="263"/>
      <c r="G75" s="263">
        <f>+'PROYECCIÓN GENERACIÓN'!G75-'SEP ORIGEN'!G75</f>
        <v>9.5160383999999993</v>
      </c>
      <c r="H75" s="263">
        <f>+'PROYECCIÓN GENERACIÓN'!H75-'SEP ORIGEN'!H75</f>
        <v>8.9930000000000003</v>
      </c>
      <c r="I75" s="263">
        <f>+'PROYECCIÓN GENERACIÓN'!I75-'SEP ORIGEN'!I75</f>
        <v>8.447163999999999</v>
      </c>
      <c r="J75" s="263">
        <f>+'PROYECCIÓN GENERACIÓN'!J75-'SEP ORIGEN'!J75</f>
        <v>7.5755100000000004</v>
      </c>
      <c r="K75" s="263">
        <f>+'PROYECCIÓN GENERACIÓN'!K75-'SEP ORIGEN'!K75</f>
        <v>6.6712880000000006</v>
      </c>
      <c r="L75" s="263">
        <f>+'PROYECCIÓN GENERACIÓN'!L75-'SEP ORIGEN'!L75</f>
        <v>6.8016519999999998</v>
      </c>
      <c r="M75" s="263">
        <f>+'PROYECCIÓN GENERACIÓN'!M75-'SEP ORIGEN'!M75</f>
        <v>6.9314180000000007</v>
      </c>
      <c r="N75" s="263">
        <f>+'PROYECCIÓN GENERACIÓN'!N75-'SEP ORIGEN'!N75</f>
        <v>7.0611840000000008</v>
      </c>
      <c r="O75" s="263">
        <f>+'PROYECCIÓN GENERACIÓN'!O75-'SEP ORIGEN'!O75</f>
        <v>7.1915480000000001</v>
      </c>
      <c r="P75" s="263">
        <f>+'PROYECCIÓN GENERACIÓN'!P75-'SEP ORIGEN'!P75</f>
        <v>7.321314000000001</v>
      </c>
      <c r="Q75" s="263">
        <f>+'PROYECCIÓN GENERACIÓN'!Q75-'SEP ORIGEN'!Q75</f>
        <v>7.4516780000000011</v>
      </c>
      <c r="R75" s="263">
        <f>+'PROYECCIÓN GENERACIÓN'!R75-'SEP ORIGEN'!R75</f>
        <v>7.5814440000000003</v>
      </c>
      <c r="S75" s="263">
        <f>+'PROYECCIÓN GENERACIÓN'!S75-'SEP ORIGEN'!S75</f>
        <v>7.7118079999999996</v>
      </c>
      <c r="T75" s="263">
        <f>+'PROYECCIÓN GENERACIÓN'!T75-'SEP ORIGEN'!T75</f>
        <v>7.8415740000000014</v>
      </c>
      <c r="U75" s="263">
        <f>+'PROYECCIÓN GENERACIÓN'!U75-'SEP ORIGEN'!U75</f>
        <v>7.9719380000000006</v>
      </c>
      <c r="V75" s="263">
        <f>+'PROYECCIÓN GENERACIÓN'!V75-'SEP ORIGEN'!V75</f>
        <v>8.1017039999999998</v>
      </c>
      <c r="W75" s="263">
        <f>+'PROYECCIÓN GENERACIÓN'!W75-'SEP ORIGEN'!W75</f>
        <v>8.2320680000000017</v>
      </c>
      <c r="X75" s="263">
        <f>+'PROYECCIÓN GENERACIÓN'!X75-'SEP ORIGEN'!X75</f>
        <v>8.3618340000000018</v>
      </c>
      <c r="Y75" s="263">
        <f>+'PROYECCIÓN GENERACIÓN'!Y75-'SEP ORIGEN'!Y75</f>
        <v>8.4916</v>
      </c>
      <c r="Z75" s="263">
        <f>+'PROYECCIÓN GENERACIÓN'!Z75-'SEP ORIGEN'!Z75</f>
        <v>8.621964000000002</v>
      </c>
    </row>
    <row r="76" spans="1:26" ht="24.95" customHeight="1">
      <c r="A76" s="351" t="str">
        <f>+Pobl_adoptada!A76</f>
        <v>General Pinto</v>
      </c>
      <c r="B76" s="70">
        <f>+Pobl_adoptada!B76</f>
        <v>72</v>
      </c>
      <c r="C76" s="353" t="str">
        <f>+Pobl_adoptada!C76</f>
        <v>General Pinto</v>
      </c>
      <c r="D76" s="261"/>
      <c r="E76" s="278"/>
      <c r="F76" s="263"/>
      <c r="G76" s="263">
        <f>+'PROYECCIÓN GENERACIÓN'!G76-'SEP ORIGEN'!G76</f>
        <v>6.6187836000000004</v>
      </c>
      <c r="H76" s="263">
        <f>+'PROYECCIÓN GENERACIÓN'!H76-'SEP ORIGEN'!H76</f>
        <v>6.1880303999999997</v>
      </c>
      <c r="I76" s="263">
        <f>+'PROYECCIÓN GENERACIÓN'!I76-'SEP ORIGEN'!I76</f>
        <v>5.7516100000000003</v>
      </c>
      <c r="J76" s="263">
        <f>+'PROYECCIÓN GENERACIÓN'!J76-'SEP ORIGEN'!J76</f>
        <v>5.1059999999999999</v>
      </c>
      <c r="K76" s="263">
        <f>+'PROYECCIÓN GENERACIÓN'!K76-'SEP ORIGEN'!K76</f>
        <v>4.451512000000001</v>
      </c>
      <c r="L76" s="263">
        <f>+'PROYECCIÓN GENERACIÓN'!L76-'SEP ORIGEN'!L76</f>
        <v>4.4784220000000001</v>
      </c>
      <c r="M76" s="263">
        <f>+'PROYECCIÓN GENERACIÓN'!M76-'SEP ORIGEN'!M76</f>
        <v>4.5047340000000009</v>
      </c>
      <c r="N76" s="263">
        <f>+'PROYECCIÓN GENERACIÓN'!N76-'SEP ORIGEN'!N76</f>
        <v>4.5310459999999999</v>
      </c>
      <c r="O76" s="263">
        <f>+'PROYECCIÓN GENERACIÓN'!O76-'SEP ORIGEN'!O76</f>
        <v>4.5579560000000008</v>
      </c>
      <c r="P76" s="263">
        <f>+'PROYECCIÓN GENERACIÓN'!P76-'SEP ORIGEN'!P76</f>
        <v>4.5842679999999998</v>
      </c>
      <c r="Q76" s="263">
        <f>+'PROYECCIÓN GENERACIÓN'!Q76-'SEP ORIGEN'!Q76</f>
        <v>4.6111780000000007</v>
      </c>
      <c r="R76" s="263">
        <f>+'PROYECCIÓN GENERACIÓN'!R76-'SEP ORIGEN'!R76</f>
        <v>4.6374900000000006</v>
      </c>
      <c r="S76" s="263">
        <f>+'PROYECCIÓN GENERACIÓN'!S76-'SEP ORIGEN'!S76</f>
        <v>4.6638020000000004</v>
      </c>
      <c r="T76" s="263">
        <f>+'PROYECCIÓN GENERACIÓN'!T76-'SEP ORIGEN'!T76</f>
        <v>4.6907120000000004</v>
      </c>
      <c r="U76" s="263">
        <f>+'PROYECCIÓN GENERACIÓN'!U76-'SEP ORIGEN'!U76</f>
        <v>4.7170240000000003</v>
      </c>
      <c r="V76" s="263">
        <f>+'PROYECCIÓN GENERACIÓN'!V76-'SEP ORIGEN'!V76</f>
        <v>4.7439340000000012</v>
      </c>
      <c r="W76" s="263">
        <f>+'PROYECCIÓN GENERACIÓN'!W76-'SEP ORIGEN'!W76</f>
        <v>4.7702460000000002</v>
      </c>
      <c r="X76" s="263">
        <f>+'PROYECCIÓN GENERACIÓN'!X76-'SEP ORIGEN'!X76</f>
        <v>4.7971560000000011</v>
      </c>
      <c r="Y76" s="263">
        <f>+'PROYECCIÓN GENERACIÓN'!Y76-'SEP ORIGEN'!Y76</f>
        <v>4.8234680000000001</v>
      </c>
      <c r="Z76" s="263">
        <f>+'PROYECCIÓN GENERACIÓN'!Z76-'SEP ORIGEN'!Z76</f>
        <v>4.8497800000000009</v>
      </c>
    </row>
    <row r="77" spans="1:26" ht="24.95" customHeight="1">
      <c r="A77" s="351" t="str">
        <f>+Pobl_adoptada!A77</f>
        <v>General Pueyrredón</v>
      </c>
      <c r="B77" s="70">
        <f>+Pobl_adoptada!B77</f>
        <v>73</v>
      </c>
      <c r="C77" s="353" t="str">
        <f>+Pobl_adoptada!C77</f>
        <v>Mar del Plata</v>
      </c>
      <c r="D77" s="261"/>
      <c r="E77" s="278"/>
      <c r="F77" s="263"/>
      <c r="G77" s="263">
        <f>+'PROYECCIÓN GENERACIÓN'!G77-'SEP ORIGEN'!G77</f>
        <v>1062.4153023000001</v>
      </c>
      <c r="H77" s="263">
        <f>+'PROYECCIÓN GENERACIÓN'!H77-'SEP ORIGEN'!H77</f>
        <v>995.0250431999998</v>
      </c>
      <c r="I77" s="263">
        <f>+'PROYECCIÓN GENERACIÓN'!I77-'SEP ORIGEN'!I77</f>
        <v>926.51720399999999</v>
      </c>
      <c r="J77" s="263">
        <f>+'PROYECCIÓN GENERACIÓN'!J77-'SEP ORIGEN'!J77</f>
        <v>823.91728499999999</v>
      </c>
      <c r="K77" s="263">
        <f>+'PROYECCIÓN GENERACIÓN'!K77-'SEP ORIGEN'!K77</f>
        <v>719.65413000000012</v>
      </c>
      <c r="L77" s="263">
        <f>+'PROYECCIÓN GENERACIÓN'!L77-'SEP ORIGEN'!L77</f>
        <v>725.29060499999991</v>
      </c>
      <c r="M77" s="263">
        <f>+'PROYECCIÓN GENERACIÓN'!M77-'SEP ORIGEN'!M77</f>
        <v>730.97015549999992</v>
      </c>
      <c r="N77" s="263">
        <f>+'PROYECCIÓN GENERACIÓN'!N77-'SEP ORIGEN'!N77</f>
        <v>736.69553099999996</v>
      </c>
      <c r="O77" s="263">
        <f>+'PROYECCIÓN GENERACIÓN'!O77-'SEP ORIGEN'!O77</f>
        <v>742.4648985</v>
      </c>
      <c r="P77" s="263">
        <f>+'PROYECCIÓN GENERACIÓN'!P77-'SEP ORIGEN'!P77</f>
        <v>748.27917450000007</v>
      </c>
      <c r="Q77" s="263">
        <f>+'PROYECCIÓN GENERACIÓN'!Q77-'SEP ORIGEN'!Q77</f>
        <v>754.13927549999994</v>
      </c>
      <c r="R77" s="263">
        <f>+'PROYECCIÓN GENERACIÓN'!R77-'SEP ORIGEN'!R77</f>
        <v>760.04520149999985</v>
      </c>
      <c r="S77" s="263">
        <f>+'PROYECCIÓN GENERACIÓN'!S77-'SEP ORIGEN'!S77</f>
        <v>765.99786900000004</v>
      </c>
      <c r="T77" s="263">
        <f>+'PROYECCIÓN GENERACIÓN'!T77-'SEP ORIGEN'!T77</f>
        <v>771.99636149999992</v>
      </c>
      <c r="U77" s="263">
        <f>+'PROYECCIÓN GENERACIÓN'!U77-'SEP ORIGEN'!U77</f>
        <v>778.04251199999999</v>
      </c>
      <c r="V77" s="263">
        <f>+'PROYECCIÓN GENERACIÓN'!V77-'SEP ORIGEN'!V77</f>
        <v>784.13540399999988</v>
      </c>
      <c r="W77" s="263">
        <f>+'PROYECCIÓN GENERACIÓN'!W77-'SEP ORIGEN'!W77</f>
        <v>790.27687049999986</v>
      </c>
      <c r="X77" s="263">
        <f>+'PROYECCIÓN GENERACIÓN'!X77-'SEP ORIGEN'!X77</f>
        <v>796.46691149999992</v>
      </c>
      <c r="Y77" s="263">
        <f>+'PROYECCIÓN GENERACIÓN'!Y77-'SEP ORIGEN'!Y77</f>
        <v>802.70369400000004</v>
      </c>
      <c r="Z77" s="263">
        <f>+'PROYECCIÓN GENERACIÓN'!Z77-'SEP ORIGEN'!Z77</f>
        <v>808.98996750000003</v>
      </c>
    </row>
    <row r="78" spans="1:26" ht="24.95" customHeight="1">
      <c r="A78" s="351" t="str">
        <f>+Pobl_adoptada!A78</f>
        <v>General Rodríguez</v>
      </c>
      <c r="B78" s="70">
        <f>+Pobl_adoptada!B78</f>
        <v>74</v>
      </c>
      <c r="C78" s="353" t="str">
        <f>+Pobl_adoptada!C78</f>
        <v>General Rodríguez</v>
      </c>
      <c r="D78" s="261"/>
      <c r="E78" s="278"/>
      <c r="F78" s="263"/>
      <c r="G78" s="263">
        <f>+'PROYECCIÓN GENERACIÓN'!G78-'SEP ORIGEN'!G78</f>
        <v>154.42568460000001</v>
      </c>
      <c r="H78" s="263">
        <f>+'PROYECCIÓN GENERACIÓN'!H78-'SEP ORIGEN'!H78</f>
        <v>148.0438608</v>
      </c>
      <c r="I78" s="263">
        <f>+'PROYECCIÓN GENERACIÓN'!I78-'SEP ORIGEN'!I78</f>
        <v>141.04009199999999</v>
      </c>
      <c r="J78" s="263">
        <f>+'PROYECCIÓN GENERACIÓN'!J78-'SEP ORIGEN'!J78</f>
        <v>128.26831500000003</v>
      </c>
      <c r="K78" s="263">
        <f>+'PROYECCIÓN GENERACIÓN'!K78-'SEP ORIGEN'!K78</f>
        <v>114.531261</v>
      </c>
      <c r="L78" s="263">
        <f>+'PROYECCIÓN GENERACIÓN'!L78-'SEP ORIGEN'!L78</f>
        <v>117.95101500000001</v>
      </c>
      <c r="M78" s="263">
        <f>+'PROYECCIÓN GENERACIÓN'!M78-'SEP ORIGEN'!M78</f>
        <v>121.42712400000001</v>
      </c>
      <c r="N78" s="263">
        <f>+'PROYECCIÓN GENERACIÓN'!N78-'SEP ORIGEN'!N78</f>
        <v>124.96025100000001</v>
      </c>
      <c r="O78" s="263">
        <f>+'PROYECCIÓN GENERACIÓN'!O78-'SEP ORIGEN'!O78</f>
        <v>128.55039599999998</v>
      </c>
      <c r="P78" s="263">
        <f>+'PROYECCIÓN GENERACIÓN'!P78-'SEP ORIGEN'!P78</f>
        <v>132.19888500000002</v>
      </c>
      <c r="Q78" s="263">
        <f>+'PROYECCIÓN GENERACIÓN'!Q78-'SEP ORIGEN'!Q78</f>
        <v>135.90770700000002</v>
      </c>
      <c r="R78" s="263">
        <f>+'PROYECCIÓN GENERACIÓN'!R78-'SEP ORIGEN'!R78</f>
        <v>139.676199</v>
      </c>
      <c r="S78" s="263">
        <f>+'PROYECCIÓN GENERACIÓN'!S78-'SEP ORIGEN'!S78</f>
        <v>143.50701299999997</v>
      </c>
      <c r="T78" s="263">
        <f>+'PROYECCIÓN GENERACIÓN'!T78-'SEP ORIGEN'!T78</f>
        <v>147.39948600000002</v>
      </c>
      <c r="U78" s="263">
        <f>+'PROYECCIÓN GENERACIÓN'!U78-'SEP ORIGEN'!U78</f>
        <v>151.35626999999999</v>
      </c>
      <c r="V78" s="263">
        <f>+'PROYECCIÓN GENERACIÓN'!V78-'SEP ORIGEN'!V78</f>
        <v>155.377365</v>
      </c>
      <c r="W78" s="263">
        <f>+'PROYECCIÓN GENERACIÓN'!W78-'SEP ORIGEN'!W78</f>
        <v>159.46343400000001</v>
      </c>
      <c r="X78" s="263">
        <f>+'PROYECCIÓN GENERACIÓN'!X78-'SEP ORIGEN'!X78</f>
        <v>163.616466</v>
      </c>
      <c r="Y78" s="263">
        <f>+'PROYECCIÓN GENERACIÓN'!Y78-'SEP ORIGEN'!Y78</f>
        <v>167.83778699999999</v>
      </c>
      <c r="Z78" s="263">
        <f>+'PROYECCIÓN GENERACIÓN'!Z78-'SEP ORIGEN'!Z78</f>
        <v>172.127397</v>
      </c>
    </row>
    <row r="79" spans="1:26" ht="24.95" customHeight="1">
      <c r="A79" s="351" t="str">
        <f>+Pobl_adoptada!A79</f>
        <v>General Viamonte</v>
      </c>
      <c r="B79" s="70">
        <f>+Pobl_adoptada!B79</f>
        <v>75</v>
      </c>
      <c r="C79" s="353" t="str">
        <f>+Pobl_adoptada!C79</f>
        <v>Los Toldos</v>
      </c>
      <c r="D79" s="261"/>
      <c r="E79" s="278"/>
      <c r="F79" s="263"/>
      <c r="G79" s="263">
        <f>+'PROYECCIÓN GENERACIÓN'!G79-'SEP ORIGEN'!G79</f>
        <v>17.272074600000003</v>
      </c>
      <c r="H79" s="263">
        <f>+'PROYECCIÓN GENERACIÓN'!H79-'SEP ORIGEN'!H79</f>
        <v>16.168816</v>
      </c>
      <c r="I79" s="263">
        <f>+'PROYECCIÓN GENERACIÓN'!I79-'SEP ORIGEN'!I79</f>
        <v>15.048502000000003</v>
      </c>
      <c r="J79" s="263">
        <f>+'PROYECCIÓN GENERACIÓN'!J79-'SEP ORIGEN'!J79</f>
        <v>13.374285</v>
      </c>
      <c r="K79" s="263">
        <f>+'PROYECCIÓN GENERACIÓN'!K79-'SEP ORIGEN'!K79</f>
        <v>11.675105</v>
      </c>
      <c r="L79" s="263">
        <f>+'PROYECCIÓN GENERACIÓN'!L79-'SEP ORIGEN'!L79</f>
        <v>11.758474</v>
      </c>
      <c r="M79" s="263">
        <f>+'PROYECCIÓN GENERACIÓN'!M79-'SEP ORIGEN'!M79</f>
        <v>11.842532000000002</v>
      </c>
      <c r="N79" s="263">
        <f>+'PROYECCIÓN GENERACIÓN'!N79-'SEP ORIGEN'!N79</f>
        <v>11.925901000000001</v>
      </c>
      <c r="O79" s="263">
        <f>+'PROYECCIÓN GENERACIÓN'!O79-'SEP ORIGEN'!O79</f>
        <v>12.009270000000001</v>
      </c>
      <c r="P79" s="263">
        <f>+'PROYECCIÓN GENERACIÓN'!P79-'SEP ORIGEN'!P79</f>
        <v>12.093328000000003</v>
      </c>
      <c r="Q79" s="263">
        <f>+'PROYECCIÓN GENERACIÓN'!Q79-'SEP ORIGEN'!Q79</f>
        <v>12.176697000000001</v>
      </c>
      <c r="R79" s="263">
        <f>+'PROYECCIÓN GENERACIÓN'!R79-'SEP ORIGEN'!R79</f>
        <v>12.260755</v>
      </c>
      <c r="S79" s="263">
        <f>+'PROYECCIÓN GENERACIÓN'!S79-'SEP ORIGEN'!S79</f>
        <v>12.344124000000001</v>
      </c>
      <c r="T79" s="263">
        <f>+'PROYECCIÓN GENERACIÓN'!T79-'SEP ORIGEN'!T79</f>
        <v>12.428182000000001</v>
      </c>
      <c r="U79" s="263">
        <f>+'PROYECCIÓN GENERACIÓN'!U79-'SEP ORIGEN'!U79</f>
        <v>12.511551000000001</v>
      </c>
      <c r="V79" s="263">
        <f>+'PROYECCIÓN GENERACIÓN'!V79-'SEP ORIGEN'!V79</f>
        <v>12.59492</v>
      </c>
      <c r="W79" s="263">
        <f>+'PROYECCIÓN GENERACIÓN'!W79-'SEP ORIGEN'!W79</f>
        <v>12.678978000000003</v>
      </c>
      <c r="X79" s="263">
        <f>+'PROYECCIÓN GENERACIÓN'!X79-'SEP ORIGEN'!X79</f>
        <v>12.762347</v>
      </c>
      <c r="Y79" s="263">
        <f>+'PROYECCIÓN GENERACIÓN'!Y79-'SEP ORIGEN'!Y79</f>
        <v>12.846405000000001</v>
      </c>
      <c r="Z79" s="263">
        <f>+'PROYECCIÓN GENERACIÓN'!Z79-'SEP ORIGEN'!Z79</f>
        <v>12.929774000000004</v>
      </c>
    </row>
    <row r="80" spans="1:26" ht="24.95" customHeight="1">
      <c r="A80" s="351" t="str">
        <f>+Pobl_adoptada!A80</f>
        <v>General Villegas</v>
      </c>
      <c r="B80" s="70">
        <f>+Pobl_adoptada!B80</f>
        <v>76</v>
      </c>
      <c r="C80" s="353" t="str">
        <f>+Pobl_adoptada!C80</f>
        <v>General Villegas</v>
      </c>
      <c r="D80" s="261"/>
      <c r="E80" s="278"/>
      <c r="F80" s="263"/>
      <c r="G80" s="263">
        <f>+'PROYECCIÓN GENERACIÓN'!G80-'SEP ORIGEN'!G80</f>
        <v>23.5789686</v>
      </c>
      <c r="H80" s="263">
        <f>+'PROYECCIÓN GENERACIÓN'!H80-'SEP ORIGEN'!H80</f>
        <v>22.196527200000002</v>
      </c>
      <c r="I80" s="263">
        <f>+'PROYECCIÓN GENERACIÓN'!I80-'SEP ORIGEN'!I80</f>
        <v>20.774357000000002</v>
      </c>
      <c r="J80" s="263">
        <f>+'PROYECCIÓN GENERACIÓN'!J80-'SEP ORIGEN'!J80</f>
        <v>18.568020000000001</v>
      </c>
      <c r="K80" s="263">
        <f>+'PROYECCIÓN GENERACIÓN'!K80-'SEP ORIGEN'!K80</f>
        <v>16.301740000000002</v>
      </c>
      <c r="L80" s="263">
        <f>+'PROYECCIÓN GENERACIÓN'!L80-'SEP ORIGEN'!L80</f>
        <v>16.513263000000002</v>
      </c>
      <c r="M80" s="263">
        <f>+'PROYECCIÓN GENERACIÓN'!M80-'SEP ORIGEN'!M80</f>
        <v>16.728231000000001</v>
      </c>
      <c r="N80" s="263">
        <f>+'PROYECCIÓN GENERACIÓN'!N80-'SEP ORIGEN'!N80</f>
        <v>16.945266000000004</v>
      </c>
      <c r="O80" s="263">
        <f>+'PROYECCIÓN GENERACIÓN'!O80-'SEP ORIGEN'!O80</f>
        <v>17.165746000000002</v>
      </c>
      <c r="P80" s="263">
        <f>+'PROYECCIÓN GENERACIÓN'!P80-'SEP ORIGEN'!P80</f>
        <v>17.388982000000002</v>
      </c>
      <c r="Q80" s="263">
        <f>+'PROYECCIÓN GENERACIÓN'!Q80-'SEP ORIGEN'!Q80</f>
        <v>17.614974000000004</v>
      </c>
      <c r="R80" s="263">
        <f>+'PROYECCIÓN GENERACIÓN'!R80-'SEP ORIGEN'!R80</f>
        <v>17.843722000000003</v>
      </c>
      <c r="S80" s="263">
        <f>+'PROYECCIÓN GENERACIÓN'!S80-'SEP ORIGEN'!S80</f>
        <v>18.075915000000002</v>
      </c>
      <c r="T80" s="263">
        <f>+'PROYECCIÓN GENERACIÓN'!T80-'SEP ORIGEN'!T80</f>
        <v>18.310864000000002</v>
      </c>
      <c r="U80" s="263">
        <f>+'PROYECCIÓN GENERACIÓN'!U80-'SEP ORIGEN'!U80</f>
        <v>18.548569000000001</v>
      </c>
      <c r="V80" s="263">
        <f>+'PROYECCIÓN GENERACIÓN'!V80-'SEP ORIGEN'!V80</f>
        <v>18.789719000000002</v>
      </c>
      <c r="W80" s="263">
        <f>+'PROYECCIÓN GENERACIÓN'!W80-'SEP ORIGEN'!W80</f>
        <v>19.033625000000001</v>
      </c>
      <c r="X80" s="263">
        <f>+'PROYECCIÓN GENERACIÓN'!X80-'SEP ORIGEN'!X80</f>
        <v>19.280976000000003</v>
      </c>
      <c r="Y80" s="263">
        <f>+'PROYECCIÓN GENERACIÓN'!Y80-'SEP ORIGEN'!Y80</f>
        <v>19.531772</v>
      </c>
      <c r="Z80" s="263">
        <f>+'PROYECCIÓN GENERACIÓN'!Z80-'SEP ORIGEN'!Z80</f>
        <v>19.785324000000003</v>
      </c>
    </row>
    <row r="81" spans="1:26" ht="24.95" customHeight="1">
      <c r="A81" s="351" t="str">
        <f>+Pobl_adoptada!A81</f>
        <v>Guaminí</v>
      </c>
      <c r="B81" s="70">
        <f>+Pobl_adoptada!B81</f>
        <v>77</v>
      </c>
      <c r="C81" s="353" t="str">
        <f>+Pobl_adoptada!C81</f>
        <v>Guaminí</v>
      </c>
      <c r="D81" s="261"/>
      <c r="E81" s="278"/>
      <c r="F81" s="263"/>
      <c r="G81" s="263">
        <f>+'PROYECCIÓN GENERACIÓN'!G81-'SEP ORIGEN'!G81</f>
        <v>2.6467847999999998</v>
      </c>
      <c r="H81" s="263">
        <f>+'PROYECCIÓN GENERACIÓN'!H81-'SEP ORIGEN'!H81</f>
        <v>2.4647168000000002</v>
      </c>
      <c r="I81" s="263">
        <f>+'PROYECCIÓN GENERACIÓN'!I81-'SEP ORIGEN'!I81</f>
        <v>2.2810940000000004</v>
      </c>
      <c r="J81" s="263">
        <f>+'PROYECCIÓN GENERACIÓN'!J81-'SEP ORIGEN'!J81</f>
        <v>2.0168699999999999</v>
      </c>
      <c r="K81" s="263">
        <f>+'PROYECCIÓN GENERACIÓN'!K81-'SEP ORIGEN'!K81</f>
        <v>1.7515420000000004</v>
      </c>
      <c r="L81" s="263">
        <f>+'PROYECCIÓN GENERACIÓN'!L81-'SEP ORIGEN'!L81</f>
        <v>1.7551300000000003</v>
      </c>
      <c r="M81" s="263">
        <f>+'PROYECCIÓN GENERACIÓN'!M81-'SEP ORIGEN'!M81</f>
        <v>1.7581200000000001</v>
      </c>
      <c r="N81" s="263">
        <f>+'PROYECCIÓN GENERACIÓN'!N81-'SEP ORIGEN'!N81</f>
        <v>1.7617080000000003</v>
      </c>
      <c r="O81" s="263">
        <f>+'PROYECCIÓN GENERACIÓN'!O81-'SEP ORIGEN'!O81</f>
        <v>1.7652960000000002</v>
      </c>
      <c r="P81" s="263">
        <f>+'PROYECCIÓN GENERACIÓN'!P81-'SEP ORIGEN'!P81</f>
        <v>1.768286</v>
      </c>
      <c r="Q81" s="263">
        <f>+'PROYECCIÓN GENERACIÓN'!Q81-'SEP ORIGEN'!Q81</f>
        <v>1.7718740000000002</v>
      </c>
      <c r="R81" s="263">
        <f>+'PROYECCIÓN GENERACIÓN'!R81-'SEP ORIGEN'!R81</f>
        <v>1.7754620000000001</v>
      </c>
      <c r="S81" s="263">
        <f>+'PROYECCIÓN GENERACIÓN'!S81-'SEP ORIGEN'!S81</f>
        <v>1.7790500000000002</v>
      </c>
      <c r="T81" s="263">
        <f>+'PROYECCIÓN GENERACIÓN'!T81-'SEP ORIGEN'!T81</f>
        <v>1.7820400000000001</v>
      </c>
      <c r="U81" s="263">
        <f>+'PROYECCIÓN GENERACIÓN'!U81-'SEP ORIGEN'!U81</f>
        <v>1.7856280000000002</v>
      </c>
      <c r="V81" s="263">
        <f>+'PROYECCIÓN GENERACIÓN'!V81-'SEP ORIGEN'!V81</f>
        <v>1.7892160000000004</v>
      </c>
      <c r="W81" s="263">
        <f>+'PROYECCIÓN GENERACIÓN'!W81-'SEP ORIGEN'!W81</f>
        <v>1.7928040000000003</v>
      </c>
      <c r="X81" s="263">
        <f>+'PROYECCIÓN GENERACIÓN'!X81-'SEP ORIGEN'!X81</f>
        <v>1.7957940000000001</v>
      </c>
      <c r="Y81" s="263">
        <f>+'PROYECCIÓN GENERACIÓN'!Y81-'SEP ORIGEN'!Y81</f>
        <v>1.7993820000000003</v>
      </c>
      <c r="Z81" s="263">
        <f>+'PROYECCIÓN GENERACIÓN'!Z81-'SEP ORIGEN'!Z81</f>
        <v>1.8029700000000002</v>
      </c>
    </row>
    <row r="82" spans="1:26" ht="24.95" customHeight="1">
      <c r="A82" s="351" t="str">
        <f>+Pobl_adoptada!A82</f>
        <v>Hipólito Yrigoyen</v>
      </c>
      <c r="B82" s="70">
        <f>+Pobl_adoptada!B82</f>
        <v>78</v>
      </c>
      <c r="C82" s="353" t="str">
        <f>+Pobl_adoptada!C82</f>
        <v>Henderson</v>
      </c>
      <c r="D82" s="261"/>
      <c r="E82" s="278"/>
      <c r="F82" s="263"/>
      <c r="G82" s="263">
        <f>+'PROYECCIÓN GENERACIÓN'!G82-'SEP ORIGEN'!G82</f>
        <v>8.6334731999999992</v>
      </c>
      <c r="H82" s="263">
        <f>+'PROYECCIÓN GENERACIÓN'!H82-'SEP ORIGEN'!H82</f>
        <v>8.0695776000000006</v>
      </c>
      <c r="I82" s="263">
        <f>+'PROYECCIÓN GENERACIÓN'!I82-'SEP ORIGEN'!I82</f>
        <v>7.4985980000000003</v>
      </c>
      <c r="J82" s="263">
        <f>+'PROYECCIÓN GENERACIÓN'!J82-'SEP ORIGEN'!J82</f>
        <v>6.6543599999999996</v>
      </c>
      <c r="K82" s="263">
        <f>+'PROYECCIÓN GENERACIÓN'!K82-'SEP ORIGEN'!K82</f>
        <v>5.8005999999999993</v>
      </c>
      <c r="L82" s="263">
        <f>+'PROYECCIÓN GENERACIÓN'!L82-'SEP ORIGEN'!L82</f>
        <v>5.8340880000000013</v>
      </c>
      <c r="M82" s="263">
        <f>+'PROYECCIÓN GENERACIÓN'!M82-'SEP ORIGEN'!M82</f>
        <v>5.8675760000000015</v>
      </c>
      <c r="N82" s="263">
        <f>+'PROYECCIÓN GENERACIÓN'!N82-'SEP ORIGEN'!N82</f>
        <v>5.901662</v>
      </c>
      <c r="O82" s="263">
        <f>+'PROYECCIÓN GENERACIÓN'!O82-'SEP ORIGEN'!O82</f>
        <v>5.9357480000000002</v>
      </c>
      <c r="P82" s="263">
        <f>+'PROYECCIÓN GENERACIÓN'!P82-'SEP ORIGEN'!P82</f>
        <v>5.9698340000000005</v>
      </c>
      <c r="Q82" s="263">
        <f>+'PROYECCIÓN GENERACIÓN'!Q82-'SEP ORIGEN'!Q82</f>
        <v>6.0045180000000009</v>
      </c>
      <c r="R82" s="263">
        <f>+'PROYECCIÓN GENERACIÓN'!R82-'SEP ORIGEN'!R82</f>
        <v>6.0392019999999995</v>
      </c>
      <c r="S82" s="263">
        <f>+'PROYECCIÓN GENERACIÓN'!S82-'SEP ORIGEN'!S82</f>
        <v>6.0738859999999999</v>
      </c>
      <c r="T82" s="263">
        <f>+'PROYECCIÓN GENERACIÓN'!T82-'SEP ORIGEN'!T82</f>
        <v>6.1091680000000004</v>
      </c>
      <c r="U82" s="263">
        <f>+'PROYECCIÓN GENERACIÓN'!U82-'SEP ORIGEN'!U82</f>
        <v>6.14445</v>
      </c>
      <c r="V82" s="263">
        <f>+'PROYECCIÓN GENERACIÓN'!V82-'SEP ORIGEN'!V82</f>
        <v>6.1797320000000013</v>
      </c>
      <c r="W82" s="263">
        <f>+'PROYECCIÓN GENERACIÓN'!W82-'SEP ORIGEN'!W82</f>
        <v>6.2156120000000001</v>
      </c>
      <c r="X82" s="263">
        <f>+'PROYECCIÓN GENERACIÓN'!X82-'SEP ORIGEN'!X82</f>
        <v>6.2514920000000007</v>
      </c>
      <c r="Y82" s="263">
        <f>+'PROYECCIÓN GENERACIÓN'!Y82-'SEP ORIGEN'!Y82</f>
        <v>6.2873720000000013</v>
      </c>
      <c r="Z82" s="263">
        <f>+'PROYECCIÓN GENERACIÓN'!Z82-'SEP ORIGEN'!Z82</f>
        <v>6.3238500000000002</v>
      </c>
    </row>
    <row r="83" spans="1:26" ht="24.95" customHeight="1">
      <c r="A83" s="351" t="str">
        <f>+Pobl_adoptada!A83</f>
        <v>Junín</v>
      </c>
      <c r="B83" s="70">
        <f>+Pobl_adoptada!B83</f>
        <v>79</v>
      </c>
      <c r="C83" s="353" t="str">
        <f>+Pobl_adoptada!C83</f>
        <v>Junín</v>
      </c>
      <c r="D83" s="261"/>
      <c r="E83" s="278"/>
      <c r="F83" s="263"/>
      <c r="G83" s="263">
        <f>+'PROYECCIÓN GENERACIÓN'!G83-'SEP ORIGEN'!G83</f>
        <v>99.3299868</v>
      </c>
      <c r="H83" s="263">
        <f>+'PROYECCIÓN GENERACIÓN'!H83-'SEP ORIGEN'!H83</f>
        <v>92.926936800000007</v>
      </c>
      <c r="I83" s="263">
        <f>+'PROYECCIÓN GENERACIÓN'!I83-'SEP ORIGEN'!I83</f>
        <v>86.428629000000001</v>
      </c>
      <c r="J83" s="263">
        <f>+'PROYECCIÓN GENERACIÓN'!J83-'SEP ORIGEN'!J83</f>
        <v>76.765455000000003</v>
      </c>
      <c r="K83" s="263">
        <f>+'PROYECCIÓN GENERACIÓN'!K83-'SEP ORIGEN'!K83</f>
        <v>66.967641000000015</v>
      </c>
      <c r="L83" s="263">
        <f>+'PROYECCIÓN GENERACIÓN'!L83-'SEP ORIGEN'!L83</f>
        <v>67.405220999999997</v>
      </c>
      <c r="M83" s="263">
        <f>+'PROYECCIÓN GENERACIÓN'!M83-'SEP ORIGEN'!M83</f>
        <v>67.842801000000009</v>
      </c>
      <c r="N83" s="263">
        <f>+'PROYECCIÓN GENERACIÓN'!N83-'SEP ORIGEN'!N83</f>
        <v>68.280381000000006</v>
      </c>
      <c r="O83" s="263">
        <f>+'PROYECCIÓN GENERACIÓN'!O83-'SEP ORIGEN'!O83</f>
        <v>68.717961000000003</v>
      </c>
      <c r="P83" s="263">
        <f>+'PROYECCIÓN GENERACIÓN'!P83-'SEP ORIGEN'!P83</f>
        <v>69.155540999999999</v>
      </c>
      <c r="Q83" s="263">
        <f>+'PROYECCIÓN GENERACIÓN'!Q83-'SEP ORIGEN'!Q83</f>
        <v>69.593120999999996</v>
      </c>
      <c r="R83" s="263">
        <f>+'PROYECCIÓN GENERACIÓN'!R83-'SEP ORIGEN'!R83</f>
        <v>70.030701000000008</v>
      </c>
      <c r="S83" s="263">
        <f>+'PROYECCIÓN GENERACIÓN'!S83-'SEP ORIGEN'!S83</f>
        <v>70.468943999999993</v>
      </c>
      <c r="T83" s="263">
        <f>+'PROYECCIÓN GENERACIÓN'!T83-'SEP ORIGEN'!T83</f>
        <v>70.906524000000005</v>
      </c>
      <c r="U83" s="263">
        <f>+'PROYECCIÓN GENERACIÓN'!U83-'SEP ORIGEN'!U83</f>
        <v>71.344104000000002</v>
      </c>
      <c r="V83" s="263">
        <f>+'PROYECCIÓN GENERACIÓN'!V83-'SEP ORIGEN'!V83</f>
        <v>71.781684000000013</v>
      </c>
      <c r="W83" s="263">
        <f>+'PROYECCIÓN GENERACIÓN'!W83-'SEP ORIGEN'!W83</f>
        <v>72.21926400000001</v>
      </c>
      <c r="X83" s="263">
        <f>+'PROYECCIÓN GENERACIÓN'!X83-'SEP ORIGEN'!X83</f>
        <v>72.656844000000007</v>
      </c>
      <c r="Y83" s="263">
        <f>+'PROYECCIÓN GENERACIÓN'!Y83-'SEP ORIGEN'!Y83</f>
        <v>73.094424000000004</v>
      </c>
      <c r="Z83" s="263">
        <f>+'PROYECCIÓN GENERACIÓN'!Z83-'SEP ORIGEN'!Z83</f>
        <v>73.532004000000001</v>
      </c>
    </row>
    <row r="84" spans="1:26" ht="24.95" customHeight="1">
      <c r="A84" s="351" t="str">
        <f>+Pobl_adoptada!A84</f>
        <v>La Costa</v>
      </c>
      <c r="B84" s="70">
        <f>+Pobl_adoptada!B84</f>
        <v>80</v>
      </c>
      <c r="C84" s="353" t="str">
        <f>+Pobl_adoptada!C84</f>
        <v>Mar de Ajó - San Bernardo</v>
      </c>
      <c r="D84" s="261"/>
      <c r="E84" s="278"/>
      <c r="F84" s="263"/>
      <c r="G84" s="263">
        <f>+'PROYECCIÓN GENERACIÓN'!G84-'SEP ORIGEN'!G84</f>
        <v>100.69321680000002</v>
      </c>
      <c r="H84" s="263">
        <f>+'PROYECCIÓN GENERACIÓN'!H84-'SEP ORIGEN'!H84</f>
        <v>96.170985600000009</v>
      </c>
      <c r="I84" s="263">
        <f>+'PROYECCIÓN GENERACIÓN'!I84-'SEP ORIGEN'!I84</f>
        <v>91.251750000000001</v>
      </c>
      <c r="J84" s="263">
        <f>+'PROYECCIÓN GENERACIÓN'!J84-'SEP ORIGEN'!J84</f>
        <v>82.633769999999998</v>
      </c>
      <c r="K84" s="263">
        <f>+'PROYECCIÓN GENERACIÓN'!K84-'SEP ORIGEN'!K84</f>
        <v>73.450455000000005</v>
      </c>
      <c r="L84" s="263">
        <f>+'PROYECCIÓN GENERACIÓN'!L84-'SEP ORIGEN'!L84</f>
        <v>75.698688000000004</v>
      </c>
      <c r="M84" s="263">
        <f>+'PROYECCIÓN GENERACIÓN'!M84-'SEP ORIGEN'!M84</f>
        <v>77.947584000000006</v>
      </c>
      <c r="N84" s="263">
        <f>+'PROYECCIÓN GENERACIÓN'!N84-'SEP ORIGEN'!N84</f>
        <v>80.195817000000005</v>
      </c>
      <c r="O84" s="263">
        <f>+'PROYECCIÓN GENERACIÓN'!O84-'SEP ORIGEN'!O84</f>
        <v>82.444050000000004</v>
      </c>
      <c r="P84" s="263">
        <f>+'PROYECCIÓN GENERACIÓN'!P84-'SEP ORIGEN'!P84</f>
        <v>84.692946000000006</v>
      </c>
      <c r="Q84" s="263">
        <f>+'PROYECCIÓN GENERACIÓN'!Q84-'SEP ORIGEN'!Q84</f>
        <v>86.941179000000005</v>
      </c>
      <c r="R84" s="263">
        <f>+'PROYECCIÓN GENERACIÓN'!R84-'SEP ORIGEN'!R84</f>
        <v>89.190075000000007</v>
      </c>
      <c r="S84" s="263">
        <f>+'PROYECCIÓN GENERACIÓN'!S84-'SEP ORIGEN'!S84</f>
        <v>91.438308000000006</v>
      </c>
      <c r="T84" s="263">
        <f>+'PROYECCIÓN GENERACIÓN'!T84-'SEP ORIGEN'!T84</f>
        <v>93.68654100000002</v>
      </c>
      <c r="U84" s="263">
        <f>+'PROYECCIÓN GENERACIÓN'!U84-'SEP ORIGEN'!U84</f>
        <v>95.935437000000007</v>
      </c>
      <c r="V84" s="263">
        <f>+'PROYECCIÓN GENERACIÓN'!V84-'SEP ORIGEN'!V84</f>
        <v>98.183669999999992</v>
      </c>
      <c r="W84" s="263">
        <f>+'PROYECCIÓN GENERACIÓN'!W84-'SEP ORIGEN'!W84</f>
        <v>100.43256600000001</v>
      </c>
      <c r="X84" s="263">
        <f>+'PROYECCIÓN GENERACIÓN'!X84-'SEP ORIGEN'!X84</f>
        <v>102.68079900000001</v>
      </c>
      <c r="Y84" s="263">
        <f>+'PROYECCIÓN GENERACIÓN'!Y84-'SEP ORIGEN'!Y84</f>
        <v>104.929695</v>
      </c>
      <c r="Z84" s="263">
        <f>+'PROYECCIÓN GENERACIÓN'!Z84-'SEP ORIGEN'!Z84</f>
        <v>107.17792800000001</v>
      </c>
    </row>
    <row r="85" spans="1:26" ht="24.95" customHeight="1">
      <c r="A85" s="351" t="str">
        <f>+Pobl_adoptada!A85</f>
        <v>La Costa</v>
      </c>
      <c r="B85" s="70">
        <f>+Pobl_adoptada!B85</f>
        <v>81</v>
      </c>
      <c r="C85" s="353" t="str">
        <f>+Pobl_adoptada!C85</f>
        <v>Santa Teresita - Mar del Tuyú</v>
      </c>
      <c r="D85" s="261"/>
      <c r="E85" s="278"/>
      <c r="F85" s="263"/>
      <c r="G85" s="263">
        <f>+'PROYECCIÓN GENERACIÓN'!G85-'SEP ORIGEN'!G85</f>
        <v>64.1051334</v>
      </c>
      <c r="H85" s="263">
        <f>+'PROYECCIÓN GENERACIÓN'!H85-'SEP ORIGEN'!H85</f>
        <v>60.654422400000001</v>
      </c>
      <c r="I85" s="263">
        <f>+'PROYECCIÓN GENERACIÓN'!I85-'SEP ORIGEN'!I85</f>
        <v>57.037329000000014</v>
      </c>
      <c r="J85" s="263">
        <f>+'PROYECCIÓN GENERACIÓN'!J85-'SEP ORIGEN'!J85</f>
        <v>51.208334999999991</v>
      </c>
      <c r="K85" s="263">
        <f>+'PROYECCIÓN GENERACIÓN'!K85-'SEP ORIGEN'!K85</f>
        <v>45.144996000000006</v>
      </c>
      <c r="L85" s="263">
        <f>+'PROYECCIÓN GENERACIÓN'!L85-'SEP ORIGEN'!L85</f>
        <v>45.908772000000006</v>
      </c>
      <c r="M85" s="263">
        <f>+'PROYECCIÓN GENERACIÓN'!M85-'SEP ORIGEN'!M85</f>
        <v>46.671884999999996</v>
      </c>
      <c r="N85" s="263">
        <f>+'PROYECCIÓN GENERACIÓN'!N85-'SEP ORIGEN'!N85</f>
        <v>47.436323999999999</v>
      </c>
      <c r="O85" s="263">
        <f>+'PROYECCIÓN GENERACIÓN'!O85-'SEP ORIGEN'!O85</f>
        <v>48.200099999999999</v>
      </c>
      <c r="P85" s="263">
        <f>+'PROYECCIÓN GENERACIÓN'!P85-'SEP ORIGEN'!P85</f>
        <v>48.963876000000006</v>
      </c>
      <c r="Q85" s="263">
        <f>+'PROYECCIÓN GENERACIÓN'!Q85-'SEP ORIGEN'!Q85</f>
        <v>49.728315000000002</v>
      </c>
      <c r="R85" s="263">
        <f>+'PROYECCIÓN GENERACIÓN'!R85-'SEP ORIGEN'!R85</f>
        <v>50.491427999999999</v>
      </c>
      <c r="S85" s="263">
        <f>+'PROYECCIÓN GENERACIÓN'!S85-'SEP ORIGEN'!S85</f>
        <v>51.255204000000006</v>
      </c>
      <c r="T85" s="263">
        <f>+'PROYECCIÓN GENERACIÓN'!T85-'SEP ORIGEN'!T85</f>
        <v>52.019643000000002</v>
      </c>
      <c r="U85" s="263">
        <f>+'PROYECCIÓN GENERACIÓN'!U85-'SEP ORIGEN'!U85</f>
        <v>52.783418999999995</v>
      </c>
      <c r="V85" s="263">
        <f>+'PROYECCIÓN GENERACIÓN'!V85-'SEP ORIGEN'!V85</f>
        <v>53.547195000000002</v>
      </c>
      <c r="W85" s="263">
        <f>+'PROYECCIÓN GENERACIÓN'!W85-'SEP ORIGEN'!W85</f>
        <v>54.310971000000002</v>
      </c>
      <c r="X85" s="263">
        <f>+'PROYECCIÓN GENERACIÓN'!X85-'SEP ORIGEN'!X85</f>
        <v>55.074747000000009</v>
      </c>
      <c r="Y85" s="263">
        <f>+'PROYECCIÓN GENERACIÓN'!Y85-'SEP ORIGEN'!Y85</f>
        <v>55.838522999999995</v>
      </c>
      <c r="Z85" s="263">
        <f>+'PROYECCIÓN GENERACIÓN'!Z85-'SEP ORIGEN'!Z85</f>
        <v>56.602962000000005</v>
      </c>
    </row>
    <row r="86" spans="1:26" ht="24.95" customHeight="1">
      <c r="A86" s="351" t="str">
        <f>+Pobl_adoptada!A86</f>
        <v>La Plata</v>
      </c>
      <c r="B86" s="70">
        <f>+Pobl_adoptada!B86</f>
        <v>82</v>
      </c>
      <c r="C86" s="353" t="str">
        <f>+Pobl_adoptada!C86</f>
        <v>La Plata</v>
      </c>
      <c r="D86" s="261"/>
      <c r="E86" s="278"/>
      <c r="F86" s="263"/>
      <c r="G86" s="263">
        <f>+'PROYECCIÓN GENERACIÓN'!G86-'SEP ORIGEN'!G86</f>
        <v>1073.3284484999999</v>
      </c>
      <c r="H86" s="263">
        <f>+'PROYECCIÓN GENERACIÓN'!H86-'SEP ORIGEN'!H86</f>
        <v>1008.6352655999999</v>
      </c>
      <c r="I86" s="263">
        <f>+'PROYECCIÓN GENERACIÓN'!I86-'SEP ORIGEN'!I86</f>
        <v>942.35298449999982</v>
      </c>
      <c r="J86" s="263">
        <f>+'PROYECCIÓN GENERACIÓN'!J86-'SEP ORIGEN'!J86</f>
        <v>840.82353750000004</v>
      </c>
      <c r="K86" s="263">
        <f>+'PROYECCIÓN GENERACIÓN'!K86-'SEP ORIGEN'!K86</f>
        <v>736.89441150000005</v>
      </c>
      <c r="L86" s="263">
        <f>+'PROYECCIÓN GENERACIÓN'!L86-'SEP ORIGEN'!L86</f>
        <v>745.16765700000019</v>
      </c>
      <c r="M86" s="263">
        <f>+'PROYECCIÓN GENERACIÓN'!M86-'SEP ORIGEN'!M86</f>
        <v>753.53346899999997</v>
      </c>
      <c r="N86" s="263">
        <f>+'PROYECCIÓN GENERACIÓN'!N86-'SEP ORIGEN'!N86</f>
        <v>761.9936805000001</v>
      </c>
      <c r="O86" s="263">
        <f>+'PROYECCIÓN GENERACIÓN'!O86-'SEP ORIGEN'!O86</f>
        <v>770.54829149999989</v>
      </c>
      <c r="P86" s="263">
        <f>+'PROYECCIÓN GENERACIÓN'!P86-'SEP ORIGEN'!P86</f>
        <v>779.19913499999984</v>
      </c>
      <c r="Q86" s="263">
        <f>+'PROYECCIÓN GENERACIÓN'!Q86-'SEP ORIGEN'!Q86</f>
        <v>787.94712749999997</v>
      </c>
      <c r="R86" s="263">
        <f>+'PROYECCIÓN GENERACIÓN'!R86-'SEP ORIGEN'!R86</f>
        <v>796.79318549999994</v>
      </c>
      <c r="S86" s="263">
        <f>+'PROYECCIÓN GENERACIÓN'!S86-'SEP ORIGEN'!S86</f>
        <v>805.7382255</v>
      </c>
      <c r="T86" s="263">
        <f>+'PROYECCIÓN GENERACIÓN'!T86-'SEP ORIGEN'!T86</f>
        <v>814.78408050000007</v>
      </c>
      <c r="U86" s="263">
        <f>+'PROYECCIÓN GENERACIÓN'!U86-'SEP ORIGEN'!U86</f>
        <v>823.93166700000006</v>
      </c>
      <c r="V86" s="263">
        <f>+'PROYECCIÓN GENERACIÓN'!V86-'SEP ORIGEN'!V86</f>
        <v>833.18190149999998</v>
      </c>
      <c r="W86" s="263">
        <f>+'PROYECCIÓN GENERACIÓN'!W86-'SEP ORIGEN'!W86</f>
        <v>842.53661699999998</v>
      </c>
      <c r="X86" s="263">
        <f>+'PROYECCIÓN GENERACIÓN'!X86-'SEP ORIGEN'!X86</f>
        <v>851.99489700000004</v>
      </c>
      <c r="Y86" s="263">
        <f>+'PROYECCIÓN GENERACIÓN'!Y86-'SEP ORIGEN'!Y86</f>
        <v>861.56040749999988</v>
      </c>
      <c r="Z86" s="263">
        <f>+'PROYECCIÓN GENERACIÓN'!Z86-'SEP ORIGEN'!Z86</f>
        <v>871.23314849999997</v>
      </c>
    </row>
    <row r="87" spans="1:26" ht="24.95" customHeight="1">
      <c r="A87" s="351" t="str">
        <f>+Pobl_adoptada!A87</f>
        <v>Laprida</v>
      </c>
      <c r="B87" s="70">
        <f>+Pobl_adoptada!B87</f>
        <v>83</v>
      </c>
      <c r="C87" s="353" t="str">
        <f>+Pobl_adoptada!C87</f>
        <v>Laprida</v>
      </c>
      <c r="D87" s="261"/>
      <c r="E87" s="278"/>
      <c r="F87" s="263"/>
      <c r="G87" s="263">
        <f>+'PROYECCIÓN GENERACIÓN'!G87-'SEP ORIGEN'!G87</f>
        <v>9.2464416000000007</v>
      </c>
      <c r="H87" s="263">
        <f>+'PROYECCIÓN GENERACIÓN'!H87-'SEP ORIGEN'!H87</f>
        <v>8.6671360000000011</v>
      </c>
      <c r="I87" s="263">
        <f>+'PROYECCIÓN GENERACIÓN'!I87-'SEP ORIGEN'!I87</f>
        <v>8.0772779999999997</v>
      </c>
      <c r="J87" s="263">
        <f>+'PROYECCIÓN GENERACIÓN'!J87-'SEP ORIGEN'!J87</f>
        <v>7.1891100000000003</v>
      </c>
      <c r="K87" s="263">
        <f>+'PROYECCIÓN GENERACIÓN'!K87-'SEP ORIGEN'!K87</f>
        <v>6.2843820000000008</v>
      </c>
      <c r="L87" s="263">
        <f>+'PROYECCIÓN GENERACIÓN'!L87-'SEP ORIGEN'!L87</f>
        <v>6.3393980000000001</v>
      </c>
      <c r="M87" s="263">
        <f>+'PROYECCIÓN GENERACIÓN'!M87-'SEP ORIGEN'!M87</f>
        <v>6.3944140000000012</v>
      </c>
      <c r="N87" s="263">
        <f>+'PROYECCIÓN GENERACIÓN'!N87-'SEP ORIGEN'!N87</f>
        <v>6.4500280000000005</v>
      </c>
      <c r="O87" s="263">
        <f>+'PROYECCIÓN GENERACIÓN'!O87-'SEP ORIGEN'!O87</f>
        <v>6.5056419999999999</v>
      </c>
      <c r="P87" s="263">
        <f>+'PROYECCIÓN GENERACIÓN'!P87-'SEP ORIGEN'!P87</f>
        <v>6.5624520000000004</v>
      </c>
      <c r="Q87" s="263">
        <f>+'PROYECCIÓN GENERACIÓN'!Q87-'SEP ORIGEN'!Q87</f>
        <v>6.619262</v>
      </c>
      <c r="R87" s="263">
        <f>+'PROYECCIÓN GENERACIÓN'!R87-'SEP ORIGEN'!R87</f>
        <v>6.6766700000000005</v>
      </c>
      <c r="S87" s="263">
        <f>+'PROYECCIÓN GENERACIÓN'!S87-'SEP ORIGEN'!S87</f>
        <v>6.7346760000000003</v>
      </c>
      <c r="T87" s="263">
        <f>+'PROYECCIÓN GENERACIÓN'!T87-'SEP ORIGEN'!T87</f>
        <v>6.7932800000000002</v>
      </c>
      <c r="U87" s="263">
        <f>+'PROYECCIÓN GENERACIÓN'!U87-'SEP ORIGEN'!U87</f>
        <v>6.8524820000000002</v>
      </c>
      <c r="V87" s="263">
        <f>+'PROYECCIÓN GENERACIÓN'!V87-'SEP ORIGEN'!V87</f>
        <v>6.9116840000000002</v>
      </c>
      <c r="W87" s="263">
        <f>+'PROYECCIÓN GENERACIÓN'!W87-'SEP ORIGEN'!W87</f>
        <v>6.9720820000000003</v>
      </c>
      <c r="X87" s="263">
        <f>+'PROYECCIÓN GENERACIÓN'!X87-'SEP ORIGEN'!X87</f>
        <v>7.0324800000000005</v>
      </c>
      <c r="Y87" s="263">
        <f>+'PROYECCIÓN GENERACIÓN'!Y87-'SEP ORIGEN'!Y87</f>
        <v>7.0934760000000008</v>
      </c>
      <c r="Z87" s="263">
        <f>+'PROYECCIÓN GENERACIÓN'!Z87-'SEP ORIGEN'!Z87</f>
        <v>7.1550700000000012</v>
      </c>
    </row>
    <row r="88" spans="1:26" ht="24.95" customHeight="1">
      <c r="A88" s="351" t="str">
        <f>+Pobl_adoptada!A88</f>
        <v>Las Flores</v>
      </c>
      <c r="B88" s="70">
        <f>+Pobl_adoptada!B88</f>
        <v>84</v>
      </c>
      <c r="C88" s="353" t="str">
        <f>+Pobl_adoptada!C88</f>
        <v>Las Flores</v>
      </c>
      <c r="D88" s="261"/>
      <c r="E88" s="278"/>
      <c r="F88" s="263"/>
      <c r="G88" s="263">
        <f>+'PROYECCIÓN GENERACIÓN'!G88-'SEP ORIGEN'!G88</f>
        <v>26.002033200000003</v>
      </c>
      <c r="H88" s="263">
        <f>+'PROYECCIÓN GENERACIÓN'!H88-'SEP ORIGEN'!H88</f>
        <v>24.451189600000003</v>
      </c>
      <c r="I88" s="263">
        <f>+'PROYECCIÓN GENERACIÓN'!I88-'SEP ORIGEN'!I88</f>
        <v>22.856568000000003</v>
      </c>
      <c r="J88" s="263">
        <f>+'PROYECCIÓN GENERACIÓN'!J88-'SEP ORIGEN'!J88</f>
        <v>20.401290000000003</v>
      </c>
      <c r="K88" s="263">
        <f>+'PROYECCIÓN GENERACIÓN'!K88-'SEP ORIGEN'!K88</f>
        <v>17.884373000000004</v>
      </c>
      <c r="L88" s="263">
        <f>+'PROYECCIÓN GENERACIÓN'!L88-'SEP ORIGEN'!L88</f>
        <v>18.153083000000002</v>
      </c>
      <c r="M88" s="263">
        <f>+'PROYECCIÓN GENERACIÓN'!M88-'SEP ORIGEN'!M88</f>
        <v>18.422482000000002</v>
      </c>
      <c r="N88" s="263">
        <f>+'PROYECCIÓN GENERACIÓN'!N88-'SEP ORIGEN'!N88</f>
        <v>18.691192000000001</v>
      </c>
      <c r="O88" s="263">
        <f>+'PROYECCIÓN GENERACIÓN'!O88-'SEP ORIGEN'!O88</f>
        <v>18.960591000000001</v>
      </c>
      <c r="P88" s="263">
        <f>+'PROYECCIÓN GENERACIÓN'!P88-'SEP ORIGEN'!P88</f>
        <v>19.229301</v>
      </c>
      <c r="Q88" s="263">
        <f>+'PROYECCIÓN GENERACIÓN'!Q88-'SEP ORIGEN'!Q88</f>
        <v>19.498699999999999</v>
      </c>
      <c r="R88" s="263">
        <f>+'PROYECCIÓN GENERACIÓN'!R88-'SEP ORIGEN'!R88</f>
        <v>19.767410000000002</v>
      </c>
      <c r="S88" s="263">
        <f>+'PROYECCIÓN GENERACIÓN'!S88-'SEP ORIGEN'!S88</f>
        <v>20.036809000000002</v>
      </c>
      <c r="T88" s="263">
        <f>+'PROYECCIÓN GENERACIÓN'!T88-'SEP ORIGEN'!T88</f>
        <v>20.305519000000004</v>
      </c>
      <c r="U88" s="263">
        <f>+'PROYECCIÓN GENERACIÓN'!U88-'SEP ORIGEN'!U88</f>
        <v>20.574918</v>
      </c>
      <c r="V88" s="263">
        <f>+'PROYECCIÓN GENERACIÓN'!V88-'SEP ORIGEN'!V88</f>
        <v>20.843628000000002</v>
      </c>
      <c r="W88" s="263">
        <f>+'PROYECCIÓN GENERACIÓN'!W88-'SEP ORIGEN'!W88</f>
        <v>21.113027000000002</v>
      </c>
      <c r="X88" s="263">
        <f>+'PROYECCIÓN GENERACIÓN'!X88-'SEP ORIGEN'!X88</f>
        <v>21.381737000000001</v>
      </c>
      <c r="Y88" s="263">
        <f>+'PROYECCIÓN GENERACIÓN'!Y88-'SEP ORIGEN'!Y88</f>
        <v>21.651136000000001</v>
      </c>
      <c r="Z88" s="263">
        <f>+'PROYECCIÓN GENERACIÓN'!Z88-'SEP ORIGEN'!Z88</f>
        <v>21.919846000000003</v>
      </c>
    </row>
    <row r="89" spans="1:26" ht="24.95" customHeight="1">
      <c r="A89" s="351" t="str">
        <f>+Pobl_adoptada!A89</f>
        <v>Leandro N. Alem</v>
      </c>
      <c r="B89" s="70">
        <f>+Pobl_adoptada!B89</f>
        <v>85</v>
      </c>
      <c r="C89" s="353" t="str">
        <f>+Pobl_adoptada!C89</f>
        <v>Vedia</v>
      </c>
      <c r="D89" s="261"/>
      <c r="E89" s="278"/>
      <c r="F89" s="263"/>
      <c r="G89" s="263">
        <f>+'PROYECCIÓN GENERACIÓN'!G89-'SEP ORIGEN'!G89</f>
        <v>9.2601036000000008</v>
      </c>
      <c r="H89" s="263">
        <f>+'PROYECCIÓN GENERACIÓN'!H89-'SEP ORIGEN'!H89</f>
        <v>8.6755999999999993</v>
      </c>
      <c r="I89" s="263">
        <f>+'PROYECCIÓN GENERACIÓN'!I89-'SEP ORIGEN'!I89</f>
        <v>8.080406</v>
      </c>
      <c r="J89" s="263">
        <f>+'PROYECCIÓN GENERACIÓN'!J89-'SEP ORIGEN'!J89</f>
        <v>7.1877300000000002</v>
      </c>
      <c r="K89" s="263">
        <f>+'PROYECCIÓN GENERACIÓN'!K89-'SEP ORIGEN'!K89</f>
        <v>6.2789999999999999</v>
      </c>
      <c r="L89" s="263">
        <f>+'PROYECCIÓN GENERACIÓN'!L89-'SEP ORIGEN'!L89</f>
        <v>6.3292320000000002</v>
      </c>
      <c r="M89" s="263">
        <f>+'PROYECCIÓN GENERACIÓN'!M89-'SEP ORIGEN'!M89</f>
        <v>6.3788660000000004</v>
      </c>
      <c r="N89" s="263">
        <f>+'PROYECCIÓN GENERACIÓN'!N89-'SEP ORIGEN'!N89</f>
        <v>6.4290979999999998</v>
      </c>
      <c r="O89" s="263">
        <f>+'PROYECCIÓN GENERACIÓN'!O89-'SEP ORIGEN'!O89</f>
        <v>6.4787320000000008</v>
      </c>
      <c r="P89" s="263">
        <f>+'PROYECCIÓN GENERACIÓN'!P89-'SEP ORIGEN'!P89</f>
        <v>6.5289640000000002</v>
      </c>
      <c r="Q89" s="263">
        <f>+'PROYECCIÓN GENERACIÓN'!Q89-'SEP ORIGEN'!Q89</f>
        <v>6.5785980000000004</v>
      </c>
      <c r="R89" s="263">
        <f>+'PROYECCIÓN GENERACIÓN'!R89-'SEP ORIGEN'!R89</f>
        <v>6.6282320000000006</v>
      </c>
      <c r="S89" s="263">
        <f>+'PROYECCIÓN GENERACIÓN'!S89-'SEP ORIGEN'!S89</f>
        <v>6.6784640000000008</v>
      </c>
      <c r="T89" s="263">
        <f>+'PROYECCIÓN GENERACIÓN'!T89-'SEP ORIGEN'!T89</f>
        <v>6.728098000000001</v>
      </c>
      <c r="U89" s="263">
        <f>+'PROYECCIÓN GENERACIÓN'!U89-'SEP ORIGEN'!U89</f>
        <v>6.7783300000000004</v>
      </c>
      <c r="V89" s="263">
        <f>+'PROYECCIÓN GENERACIÓN'!V89-'SEP ORIGEN'!V89</f>
        <v>6.8279640000000015</v>
      </c>
      <c r="W89" s="263">
        <f>+'PROYECCIÓN GENERACIÓN'!W89-'SEP ORIGEN'!W89</f>
        <v>6.878196</v>
      </c>
      <c r="X89" s="263">
        <f>+'PROYECCIÓN GENERACIÓN'!X89-'SEP ORIGEN'!X89</f>
        <v>6.9278300000000002</v>
      </c>
      <c r="Y89" s="263">
        <f>+'PROYECCIÓN GENERACIÓN'!Y89-'SEP ORIGEN'!Y89</f>
        <v>6.9780619999999995</v>
      </c>
      <c r="Z89" s="263">
        <f>+'PROYECCIÓN GENERACIÓN'!Z89-'SEP ORIGEN'!Z89</f>
        <v>7.0276960000000006</v>
      </c>
    </row>
    <row r="90" spans="1:26" ht="24.95" customHeight="1">
      <c r="A90" s="351" t="str">
        <f>+Pobl_adoptada!A90</f>
        <v>Lincoln</v>
      </c>
      <c r="B90" s="70">
        <f>+Pobl_adoptada!B90</f>
        <v>86</v>
      </c>
      <c r="C90" s="353" t="str">
        <f>+Pobl_adoptada!C90</f>
        <v>Lincoln</v>
      </c>
      <c r="D90" s="261"/>
      <c r="E90" s="278"/>
      <c r="F90" s="263"/>
      <c r="G90" s="263">
        <f>+'PROYECCIÓN GENERACIÓN'!G90-'SEP ORIGEN'!G90</f>
        <v>31.672990800000001</v>
      </c>
      <c r="H90" s="263">
        <f>+'PROYECCIÓN GENERACIÓN'!H90-'SEP ORIGEN'!H90</f>
        <v>29.569039200000006</v>
      </c>
      <c r="I90" s="263">
        <f>+'PROYECCIÓN GENERACIÓN'!I90-'SEP ORIGEN'!I90</f>
        <v>27.444460000000003</v>
      </c>
      <c r="J90" s="263">
        <f>+'PROYECCIÓN GENERACIÓN'!J90-'SEP ORIGEN'!J90</f>
        <v>24.326999999999998</v>
      </c>
      <c r="K90" s="263">
        <f>+'PROYECCIÓN GENERACIÓN'!K90-'SEP ORIGEN'!K90</f>
        <v>21.179860000000001</v>
      </c>
      <c r="L90" s="263">
        <f>+'PROYECCIÓN GENERACIÓN'!L90-'SEP ORIGEN'!L90</f>
        <v>21.277009</v>
      </c>
      <c r="M90" s="263">
        <f>+'PROYECCIÓN GENERACIÓN'!M90-'SEP ORIGEN'!M90</f>
        <v>21.374847000000006</v>
      </c>
      <c r="N90" s="263">
        <f>+'PROYECCIÓN GENERACIÓN'!N90-'SEP ORIGEN'!N90</f>
        <v>21.472684999999998</v>
      </c>
      <c r="O90" s="263">
        <f>+'PROYECCIÓN GENERACIÓN'!O90-'SEP ORIGEN'!O90</f>
        <v>21.571212000000003</v>
      </c>
      <c r="P90" s="263">
        <f>+'PROYECCIÓN GENERACIÓN'!P90-'SEP ORIGEN'!P90</f>
        <v>21.669739000000007</v>
      </c>
      <c r="Q90" s="263">
        <f>+'PROYECCIÓN GENERACIÓN'!Q90-'SEP ORIGEN'!Q90</f>
        <v>21.769644</v>
      </c>
      <c r="R90" s="263">
        <f>+'PROYECCIÓN GENERACIÓN'!R90-'SEP ORIGEN'!R90</f>
        <v>21.869548999999999</v>
      </c>
      <c r="S90" s="263">
        <f>+'PROYECCIÓN GENERACIÓN'!S90-'SEP ORIGEN'!S90</f>
        <v>21.969453999999999</v>
      </c>
      <c r="T90" s="263">
        <f>+'PROYECCIÓN GENERACIÓN'!T90-'SEP ORIGEN'!T90</f>
        <v>22.070737000000005</v>
      </c>
      <c r="U90" s="263">
        <f>+'PROYECCIÓN GENERACIÓN'!U90-'SEP ORIGEN'!U90</f>
        <v>22.172020000000003</v>
      </c>
      <c r="V90" s="263">
        <f>+'PROYECCIÓN GENERACIÓN'!V90-'SEP ORIGEN'!V90</f>
        <v>22.273303000000002</v>
      </c>
      <c r="W90" s="263">
        <f>+'PROYECCIÓN GENERACIÓN'!W90-'SEP ORIGEN'!W90</f>
        <v>22.375274999999998</v>
      </c>
      <c r="X90" s="263">
        <f>+'PROYECCIÓN GENERACIÓN'!X90-'SEP ORIGEN'!X90</f>
        <v>22.477936</v>
      </c>
      <c r="Y90" s="263">
        <f>+'PROYECCIÓN GENERACIÓN'!Y90-'SEP ORIGEN'!Y90</f>
        <v>22.581285999999999</v>
      </c>
      <c r="Z90" s="263">
        <f>+'PROYECCIÓN GENERACIÓN'!Z90-'SEP ORIGEN'!Z90</f>
        <v>22.684636000000005</v>
      </c>
    </row>
    <row r="91" spans="1:26" ht="24.95" customHeight="1">
      <c r="A91" s="351" t="str">
        <f>+Pobl_adoptada!A91</f>
        <v>Lobería</v>
      </c>
      <c r="B91" s="70">
        <f>+Pobl_adoptada!B91</f>
        <v>87</v>
      </c>
      <c r="C91" s="353" t="str">
        <f>+Pobl_adoptada!C91</f>
        <v>Lobería</v>
      </c>
      <c r="D91" s="261"/>
      <c r="E91" s="278"/>
      <c r="F91" s="263"/>
      <c r="G91" s="263">
        <f>+'PROYECCIÓN GENERACIÓN'!G91-'SEP ORIGEN'!G91</f>
        <v>13.272177600000001</v>
      </c>
      <c r="H91" s="263">
        <f>+'PROYECCIÓN GENERACIÓN'!H91-'SEP ORIGEN'!H91</f>
        <v>12.421766399999999</v>
      </c>
      <c r="I91" s="263">
        <f>+'PROYECCIÓN GENERACIÓN'!I91-'SEP ORIGEN'!I91</f>
        <v>11.55796</v>
      </c>
      <c r="J91" s="263">
        <f>+'PROYECCIÓN GENERACIÓN'!J91-'SEP ORIGEN'!J91</f>
        <v>10.27134</v>
      </c>
      <c r="K91" s="263">
        <f>+'PROYECCIÓN GENERACIÓN'!K91-'SEP ORIGEN'!K91</f>
        <v>8.9652160000000016</v>
      </c>
      <c r="L91" s="263">
        <f>+'PROYECCIÓN GENERACIÓN'!L91-'SEP ORIGEN'!L91</f>
        <v>9.0292020000000015</v>
      </c>
      <c r="M91" s="263">
        <f>+'PROYECCIÓN GENERACIÓN'!M91-'SEP ORIGEN'!M91</f>
        <v>9.0937860000000015</v>
      </c>
      <c r="N91" s="263">
        <f>+'PROYECCIÓN GENERACIÓN'!N91-'SEP ORIGEN'!N91</f>
        <v>9.1583700000000015</v>
      </c>
      <c r="O91" s="263">
        <f>+'PROYECCIÓN GENERACIÓN'!O91-'SEP ORIGEN'!O91</f>
        <v>9.2235520000000015</v>
      </c>
      <c r="P91" s="263">
        <f>+'PROYECCIÓN GENERACIÓN'!P91-'SEP ORIGEN'!P91</f>
        <v>9.2893320000000017</v>
      </c>
      <c r="Q91" s="263">
        <f>+'PROYECCIÓN GENERACIÓN'!Q91-'SEP ORIGEN'!Q91</f>
        <v>9.355710000000002</v>
      </c>
      <c r="R91" s="263">
        <f>+'PROYECCIÓN GENERACIÓN'!R91-'SEP ORIGEN'!R91</f>
        <v>9.4226860000000006</v>
      </c>
      <c r="S91" s="263">
        <f>+'PROYECCIÓN GENERACIÓN'!S91-'SEP ORIGEN'!S91</f>
        <v>9.4896620000000009</v>
      </c>
      <c r="T91" s="263">
        <f>+'PROYECCIÓN GENERACIÓN'!T91-'SEP ORIGEN'!T91</f>
        <v>9.5572359999999996</v>
      </c>
      <c r="U91" s="263">
        <f>+'PROYECCIÓN GENERACIÓN'!U91-'SEP ORIGEN'!U91</f>
        <v>9.625408000000002</v>
      </c>
      <c r="V91" s="263">
        <f>+'PROYECCIÓN GENERACIÓN'!V91-'SEP ORIGEN'!V91</f>
        <v>9.6941780000000008</v>
      </c>
      <c r="W91" s="263">
        <f>+'PROYECCIÓN GENERACIÓN'!W91-'SEP ORIGEN'!W91</f>
        <v>9.7635459999999998</v>
      </c>
      <c r="X91" s="263">
        <f>+'PROYECCIÓN GENERACIÓN'!X91-'SEP ORIGEN'!X91</f>
        <v>9.8329140000000006</v>
      </c>
      <c r="Y91" s="263">
        <f>+'PROYECCIÓN GENERACIÓN'!Y91-'SEP ORIGEN'!Y91</f>
        <v>9.9034780000000016</v>
      </c>
      <c r="Z91" s="263">
        <f>+'PROYECCIÓN GENERACIÓN'!Z91-'SEP ORIGEN'!Z91</f>
        <v>9.9740420000000007</v>
      </c>
    </row>
    <row r="92" spans="1:26" ht="24.95" customHeight="1">
      <c r="A92" s="351" t="str">
        <f>+Pobl_adoptada!A92</f>
        <v>Lobos</v>
      </c>
      <c r="B92" s="70">
        <f>+Pobl_adoptada!B92</f>
        <v>88</v>
      </c>
      <c r="C92" s="353" t="str">
        <f>+Pobl_adoptada!C92</f>
        <v>Lobos</v>
      </c>
      <c r="D92" s="261"/>
      <c r="E92" s="278"/>
      <c r="F92" s="263"/>
      <c r="G92" s="263">
        <f>+'PROYECCIÓN GENERACIÓN'!G92-'SEP ORIGEN'!G92</f>
        <v>37.660867199999998</v>
      </c>
      <c r="H92" s="263">
        <f>+'PROYECCIÓN GENERACIÓN'!H92-'SEP ORIGEN'!H92</f>
        <v>35.401710399999999</v>
      </c>
      <c r="I92" s="263">
        <f>+'PROYECCIÓN GENERACIÓN'!I92-'SEP ORIGEN'!I92</f>
        <v>33.085621000000003</v>
      </c>
      <c r="J92" s="263">
        <f>+'PROYECCIÓN GENERACIÓN'!J92-'SEP ORIGEN'!J92</f>
        <v>29.530275000000003</v>
      </c>
      <c r="K92" s="263">
        <f>+'PROYECCIÓN GENERACIÓN'!K92-'SEP ORIGEN'!K92</f>
        <v>25.888486</v>
      </c>
      <c r="L92" s="263">
        <f>+'PROYECCIÓN GENERACIÓN'!L92-'SEP ORIGEN'!L92</f>
        <v>26.187512000000002</v>
      </c>
      <c r="M92" s="263">
        <f>+'PROYECCIÓN GENERACIÓN'!M92-'SEP ORIGEN'!M92</f>
        <v>26.489294000000001</v>
      </c>
      <c r="N92" s="263">
        <f>+'PROYECCIÓN GENERACIÓN'!N92-'SEP ORIGEN'!N92</f>
        <v>26.795209999999997</v>
      </c>
      <c r="O92" s="263">
        <f>+'PROYECCIÓN GENERACIÓN'!O92-'SEP ORIGEN'!O92</f>
        <v>27.104571000000007</v>
      </c>
      <c r="P92" s="263">
        <f>+'PROYECCIÓN GENERACIÓN'!P92-'SEP ORIGEN'!P92</f>
        <v>27.417377000000002</v>
      </c>
      <c r="Q92" s="263">
        <f>+'PROYECCIÓN GENERACIÓN'!Q92-'SEP ORIGEN'!Q92</f>
        <v>27.733628000000003</v>
      </c>
      <c r="R92" s="263">
        <f>+'PROYECCIÓN GENERACIÓN'!R92-'SEP ORIGEN'!R92</f>
        <v>28.054013000000005</v>
      </c>
      <c r="S92" s="263">
        <f>+'PROYECCIÓN GENERACIÓN'!S92-'SEP ORIGEN'!S92</f>
        <v>28.377842999999999</v>
      </c>
      <c r="T92" s="263">
        <f>+'PROYECCIÓN GENERACIÓN'!T92-'SEP ORIGEN'!T92</f>
        <v>28.705118000000002</v>
      </c>
      <c r="U92" s="263">
        <f>+'PROYECCIÓN GENERACIÓN'!U92-'SEP ORIGEN'!U92</f>
        <v>29.036527</v>
      </c>
      <c r="V92" s="263">
        <f>+'PROYECCIÓN GENERACIÓN'!V92-'SEP ORIGEN'!V92</f>
        <v>29.372070000000001</v>
      </c>
      <c r="W92" s="263">
        <f>+'PROYECCIÓN GENERACIÓN'!W92-'SEP ORIGEN'!W92</f>
        <v>29.711058000000001</v>
      </c>
      <c r="X92" s="263">
        <f>+'PROYECCIÓN GENERACIÓN'!X92-'SEP ORIGEN'!X92</f>
        <v>30.054180000000002</v>
      </c>
      <c r="Y92" s="263">
        <f>+'PROYECCIÓN GENERACIÓN'!Y92-'SEP ORIGEN'!Y92</f>
        <v>30.400747000000003</v>
      </c>
      <c r="Z92" s="263">
        <f>+'PROYECCIÓN GENERACIÓN'!Z92-'SEP ORIGEN'!Z92</f>
        <v>30.751448000000003</v>
      </c>
    </row>
    <row r="93" spans="1:26" ht="24.95" customHeight="1">
      <c r="A93" s="351" t="str">
        <f>+Pobl_adoptada!A93</f>
        <v>Luján</v>
      </c>
      <c r="B93" s="70">
        <f>+Pobl_adoptada!B93</f>
        <v>89</v>
      </c>
      <c r="C93" s="353" t="str">
        <f>+Pobl_adoptada!C93</f>
        <v>Luján</v>
      </c>
      <c r="D93" s="261"/>
      <c r="E93" s="278"/>
      <c r="F93" s="263"/>
      <c r="G93" s="263">
        <f>+'PROYECCIÓN GENERACIÓN'!G93-'SEP ORIGEN'!G93</f>
        <v>127.08635939999999</v>
      </c>
      <c r="H93" s="263">
        <f>+'PROYECCIÓN GENERACIÓN'!H93-'SEP ORIGEN'!H93</f>
        <v>120.00916079999999</v>
      </c>
      <c r="I93" s="263">
        <f>+'PROYECCIÓN GENERACIÓN'!I93-'SEP ORIGEN'!I93</f>
        <v>112.642374</v>
      </c>
      <c r="J93" s="263">
        <f>+'PROYECCIÓN GENERACIÓN'!J93-'SEP ORIGEN'!J93</f>
        <v>100.94710500000002</v>
      </c>
      <c r="K93" s="263">
        <f>+'PROYECCIÓN GENERACIÓN'!K93-'SEP ORIGEN'!K93</f>
        <v>88.836033000000015</v>
      </c>
      <c r="L93" s="263">
        <f>+'PROYECCIÓN GENERACIÓN'!L93-'SEP ORIGEN'!L93</f>
        <v>90.185237999999984</v>
      </c>
      <c r="M93" s="263">
        <f>+'PROYECCIÓN GENERACIÓN'!M93-'SEP ORIGEN'!M93</f>
        <v>91.533780000000007</v>
      </c>
      <c r="N93" s="263">
        <f>+'PROYECCIÓN GENERACIÓN'!N93-'SEP ORIGEN'!N93</f>
        <v>92.882984999999991</v>
      </c>
      <c r="O93" s="263">
        <f>+'PROYECCIÓN GENERACIÓN'!O93-'SEP ORIGEN'!O93</f>
        <v>94.232190000000003</v>
      </c>
      <c r="P93" s="263">
        <f>+'PROYECCIÓN GENERACIÓN'!P93-'SEP ORIGEN'!P93</f>
        <v>95.580732000000012</v>
      </c>
      <c r="Q93" s="263">
        <f>+'PROYECCIÓN GENERACIÓN'!Q93-'SEP ORIGEN'!Q93</f>
        <v>96.92993700000001</v>
      </c>
      <c r="R93" s="263">
        <f>+'PROYECCIÓN GENERACIÓN'!R93-'SEP ORIGEN'!R93</f>
        <v>98.279142000000007</v>
      </c>
      <c r="S93" s="263">
        <f>+'PROYECCIÓN GENERACIÓN'!S93-'SEP ORIGEN'!S93</f>
        <v>99.627684000000016</v>
      </c>
      <c r="T93" s="263">
        <f>+'PROYECCIÓN GENERACIÓN'!T93-'SEP ORIGEN'!T93</f>
        <v>100.976889</v>
      </c>
      <c r="U93" s="263">
        <f>+'PROYECCIÓN GENERACIÓN'!U93-'SEP ORIGEN'!U93</f>
        <v>102.32543099999998</v>
      </c>
      <c r="V93" s="263">
        <f>+'PROYECCIÓN GENERACIÓN'!V93-'SEP ORIGEN'!V93</f>
        <v>103.67463599999999</v>
      </c>
      <c r="W93" s="263">
        <f>+'PROYECCIÓN GENERACIÓN'!W93-'SEP ORIGEN'!W93</f>
        <v>105.023841</v>
      </c>
      <c r="X93" s="263">
        <f>+'PROYECCIÓN GENERACIÓN'!X93-'SEP ORIGEN'!X93</f>
        <v>106.37238300000001</v>
      </c>
      <c r="Y93" s="263">
        <f>+'PROYECCIÓN GENERACIÓN'!Y93-'SEP ORIGEN'!Y93</f>
        <v>107.721588</v>
      </c>
      <c r="Z93" s="263">
        <f>+'PROYECCIÓN GENERACIÓN'!Z93-'SEP ORIGEN'!Z93</f>
        <v>109.07013000000001</v>
      </c>
    </row>
    <row r="94" spans="1:26" ht="24.95" customHeight="1">
      <c r="A94" s="351" t="str">
        <f>+Pobl_adoptada!A94</f>
        <v>Magdalena</v>
      </c>
      <c r="B94" s="70">
        <f>+Pobl_adoptada!B94</f>
        <v>90</v>
      </c>
      <c r="C94" s="353" t="str">
        <f>+Pobl_adoptada!C94</f>
        <v>Magdalena</v>
      </c>
      <c r="D94" s="261"/>
      <c r="E94" s="278"/>
      <c r="F94" s="263"/>
      <c r="G94" s="263">
        <f>+'PROYECCIÓN GENERACIÓN'!G94-'SEP ORIGEN'!G94</f>
        <v>12.686533200000001</v>
      </c>
      <c r="H94" s="263">
        <f>+'PROYECCIÓN GENERACIÓN'!H94-'SEP ORIGEN'!H94</f>
        <v>11.942704000000001</v>
      </c>
      <c r="I94" s="263">
        <f>+'PROYECCIÓN GENERACIÓN'!I94-'SEP ORIGEN'!I94</f>
        <v>11.175562000000001</v>
      </c>
      <c r="J94" s="263">
        <f>+'PROYECCIÓN GENERACIÓN'!J94-'SEP ORIGEN'!J94</f>
        <v>9.9856800000000003</v>
      </c>
      <c r="K94" s="263">
        <f>+'PROYECCIÓN GENERACIÓN'!K94-'SEP ORIGEN'!K94</f>
        <v>8.7624940000000002</v>
      </c>
      <c r="L94" s="263">
        <f>+'PROYECCIÓN GENERACIÓN'!L94-'SEP ORIGEN'!L94</f>
        <v>8.8707320000000003</v>
      </c>
      <c r="M94" s="263">
        <f>+'PROYECCIÓN GENERACIÓN'!M94-'SEP ORIGEN'!M94</f>
        <v>8.9789700000000003</v>
      </c>
      <c r="N94" s="263">
        <f>+'PROYECCIÓN GENERACIÓN'!N94-'SEP ORIGEN'!N94</f>
        <v>9.0872080000000004</v>
      </c>
      <c r="O94" s="263">
        <f>+'PROYECCIÓN GENERACIÓN'!O94-'SEP ORIGEN'!O94</f>
        <v>9.1954460000000005</v>
      </c>
      <c r="P94" s="263">
        <f>+'PROYECCIÓN GENERACIÓN'!P94-'SEP ORIGEN'!P94</f>
        <v>9.3036840000000005</v>
      </c>
      <c r="Q94" s="263">
        <f>+'PROYECCIÓN GENERACIÓN'!Q94-'SEP ORIGEN'!Q94</f>
        <v>9.4119220000000006</v>
      </c>
      <c r="R94" s="263">
        <f>+'PROYECCIÓN GENERACIÓN'!R94-'SEP ORIGEN'!R94</f>
        <v>9.5201600000000006</v>
      </c>
      <c r="S94" s="263">
        <f>+'PROYECCIÓN GENERACIÓN'!S94-'SEP ORIGEN'!S94</f>
        <v>9.6283980000000007</v>
      </c>
      <c r="T94" s="263">
        <f>+'PROYECCIÓN GENERACIÓN'!T94-'SEP ORIGEN'!T94</f>
        <v>9.7366360000000007</v>
      </c>
      <c r="U94" s="263">
        <f>+'PROYECCIÓN GENERACIÓN'!U94-'SEP ORIGEN'!U94</f>
        <v>9.8448740000000008</v>
      </c>
      <c r="V94" s="263">
        <f>+'PROYECCIÓN GENERACIÓN'!V94-'SEP ORIGEN'!V94</f>
        <v>9.9531120000000008</v>
      </c>
      <c r="W94" s="263">
        <f>+'PROYECCIÓN GENERACIÓN'!W94-'SEP ORIGEN'!W94</f>
        <v>10.061350000000001</v>
      </c>
      <c r="X94" s="263">
        <f>+'PROYECCIÓN GENERACIÓN'!X94-'SEP ORIGEN'!X94</f>
        <v>10.169588000000001</v>
      </c>
      <c r="Y94" s="263">
        <f>+'PROYECCIÓN GENERACIÓN'!Y94-'SEP ORIGEN'!Y94</f>
        <v>10.277826000000001</v>
      </c>
      <c r="Z94" s="263">
        <f>+'PROYECCIÓN GENERACIÓN'!Z94-'SEP ORIGEN'!Z94</f>
        <v>10.386064000000001</v>
      </c>
    </row>
    <row r="95" spans="1:26" ht="24.95" customHeight="1">
      <c r="A95" s="351" t="str">
        <f>+Pobl_adoptada!A95</f>
        <v>Maipú</v>
      </c>
      <c r="B95" s="70">
        <f>+Pobl_adoptada!B95</f>
        <v>91</v>
      </c>
      <c r="C95" s="353" t="str">
        <f>+Pobl_adoptada!C95</f>
        <v>Maipú</v>
      </c>
      <c r="D95" s="261"/>
      <c r="E95" s="278"/>
      <c r="F95" s="263"/>
      <c r="G95" s="263">
        <f>+'PROYECCIÓN GENERACIÓN'!G95-'SEP ORIGEN'!G95</f>
        <v>8.8730136000000002</v>
      </c>
      <c r="H95" s="263">
        <f>+'PROYECCIÓN GENERACIÓN'!H95-'SEP ORIGEN'!H95</f>
        <v>8.2837168000000005</v>
      </c>
      <c r="I95" s="263">
        <f>+'PROYECCIÓN GENERACIÓN'!I95-'SEP ORIGEN'!I95</f>
        <v>7.6886240000000008</v>
      </c>
      <c r="J95" s="263">
        <f>+'PROYECCIÓN GENERACIÓN'!J95-'SEP ORIGEN'!J95</f>
        <v>6.8158199999999995</v>
      </c>
      <c r="K95" s="263">
        <f>+'PROYECCIÓN GENERACIÓN'!K95-'SEP ORIGEN'!K95</f>
        <v>5.933954</v>
      </c>
      <c r="L95" s="263">
        <f>+'PROYECCIÓN GENERACIÓN'!L95-'SEP ORIGEN'!L95</f>
        <v>5.9608640000000008</v>
      </c>
      <c r="M95" s="263">
        <f>+'PROYECCIÓN GENERACIÓN'!M95-'SEP ORIGEN'!M95</f>
        <v>5.988372</v>
      </c>
      <c r="N95" s="263">
        <f>+'PROYECCIÓN GENERACIÓN'!N95-'SEP ORIGEN'!N95</f>
        <v>6.0152820000000009</v>
      </c>
      <c r="O95" s="263">
        <f>+'PROYECCIÓN GENERACIÓN'!O95-'SEP ORIGEN'!O95</f>
        <v>6.0421920000000009</v>
      </c>
      <c r="P95" s="263">
        <f>+'PROYECCIÓN GENERACIÓN'!P95-'SEP ORIGEN'!P95</f>
        <v>6.0691020000000009</v>
      </c>
      <c r="Q95" s="263">
        <f>+'PROYECCIÓN GENERACIÓN'!Q95-'SEP ORIGEN'!Q95</f>
        <v>6.0966100000000001</v>
      </c>
      <c r="R95" s="263">
        <f>+'PROYECCIÓN GENERACIÓN'!R95-'SEP ORIGEN'!R95</f>
        <v>6.123520000000001</v>
      </c>
      <c r="S95" s="263">
        <f>+'PROYECCIÓN GENERACIÓN'!S95-'SEP ORIGEN'!S95</f>
        <v>6.150430000000001</v>
      </c>
      <c r="T95" s="263">
        <f>+'PROYECCIÓN GENERACIÓN'!T95-'SEP ORIGEN'!T95</f>
        <v>6.177938000000001</v>
      </c>
      <c r="U95" s="263">
        <f>+'PROYECCIÓN GENERACIÓN'!U95-'SEP ORIGEN'!U95</f>
        <v>6.2048480000000001</v>
      </c>
      <c r="V95" s="263">
        <f>+'PROYECCIÓN GENERACIÓN'!V95-'SEP ORIGEN'!V95</f>
        <v>6.2317580000000001</v>
      </c>
      <c r="W95" s="263">
        <f>+'PROYECCIÓN GENERACIÓN'!W95-'SEP ORIGEN'!W95</f>
        <v>6.258668000000001</v>
      </c>
      <c r="X95" s="263">
        <f>+'PROYECCIÓN GENERACIÓN'!X95-'SEP ORIGEN'!X95</f>
        <v>6.2861760000000011</v>
      </c>
      <c r="Y95" s="263">
        <f>+'PROYECCIÓN GENERACIÓN'!Y95-'SEP ORIGEN'!Y95</f>
        <v>6.3130860000000002</v>
      </c>
      <c r="Z95" s="263">
        <f>+'PROYECCIÓN GENERACIÓN'!Z95-'SEP ORIGEN'!Z95</f>
        <v>6.3399960000000002</v>
      </c>
    </row>
    <row r="96" spans="1:26" ht="24.95" customHeight="1">
      <c r="A96" s="351" t="str">
        <f>+Pobl_adoptada!A96</f>
        <v>Mar Chiquita</v>
      </c>
      <c r="B96" s="70">
        <f>+Pobl_adoptada!B96</f>
        <v>92</v>
      </c>
      <c r="C96" s="353" t="str">
        <f>+Pobl_adoptada!C96</f>
        <v>Coronel Vidal</v>
      </c>
      <c r="D96" s="261"/>
      <c r="E96" s="278"/>
      <c r="F96" s="263"/>
      <c r="G96" s="263">
        <f>+'PROYECCIÓN GENERACIÓN'!G96-'SEP ORIGEN'!G96</f>
        <v>7.0195356000000002</v>
      </c>
      <c r="H96" s="263">
        <f>+'PROYECCIÓN GENERACIÓN'!H96-'SEP ORIGEN'!H96</f>
        <v>6.6027664000000001</v>
      </c>
      <c r="I96" s="263">
        <f>+'PROYECCIÓN GENERACIÓN'!I96-'SEP ORIGEN'!I96</f>
        <v>6.173108</v>
      </c>
      <c r="J96" s="263">
        <f>+'PROYECCIÓN GENERACIÓN'!J96-'SEP ORIGEN'!J96</f>
        <v>5.5117200000000004</v>
      </c>
      <c r="K96" s="263">
        <f>+'PROYECCIÓN GENERACIÓN'!K96-'SEP ORIGEN'!K96</f>
        <v>4.8324379999999998</v>
      </c>
      <c r="L96" s="263">
        <f>+'PROYECCIÓN GENERACIÓN'!L96-'SEP ORIGEN'!L96</f>
        <v>4.9059920000000004</v>
      </c>
      <c r="M96" s="263">
        <f>+'PROYECCIÓN GENERACIÓN'!M96-'SEP ORIGEN'!M96</f>
        <v>4.9795460000000009</v>
      </c>
      <c r="N96" s="263">
        <f>+'PROYECCIÓN GENERACIÓN'!N96-'SEP ORIGEN'!N96</f>
        <v>5.0531000000000006</v>
      </c>
      <c r="O96" s="263">
        <f>+'PROYECCIÓN GENERACIÓN'!O96-'SEP ORIGEN'!O96</f>
        <v>5.1266540000000003</v>
      </c>
      <c r="P96" s="263">
        <f>+'PROYECCIÓN GENERACIÓN'!P96-'SEP ORIGEN'!P96</f>
        <v>5.1996100000000007</v>
      </c>
      <c r="Q96" s="263">
        <f>+'PROYECCIÓN GENERACIÓN'!Q96-'SEP ORIGEN'!Q96</f>
        <v>5.2731640000000004</v>
      </c>
      <c r="R96" s="263">
        <f>+'PROYECCIÓN GENERACIÓN'!R96-'SEP ORIGEN'!R96</f>
        <v>5.346718000000001</v>
      </c>
      <c r="S96" s="263">
        <f>+'PROYECCIÓN GENERACIÓN'!S96-'SEP ORIGEN'!S96</f>
        <v>5.4202720000000006</v>
      </c>
      <c r="T96" s="263">
        <f>+'PROYECCIÓN GENERACIÓN'!T96-'SEP ORIGEN'!T96</f>
        <v>5.4938260000000003</v>
      </c>
      <c r="U96" s="263">
        <f>+'PROYECCIÓN GENERACIÓN'!U96-'SEP ORIGEN'!U96</f>
        <v>5.5667819999999999</v>
      </c>
      <c r="V96" s="263">
        <f>+'PROYECCIÓN GENERACIÓN'!V96-'SEP ORIGEN'!V96</f>
        <v>5.6403360000000005</v>
      </c>
      <c r="W96" s="263">
        <f>+'PROYECCIÓN GENERACIÓN'!W96-'SEP ORIGEN'!W96</f>
        <v>5.7138899999999992</v>
      </c>
      <c r="X96" s="263">
        <f>+'PROYECCIÓN GENERACIÓN'!X96-'SEP ORIGEN'!X96</f>
        <v>5.7874440000000007</v>
      </c>
      <c r="Y96" s="263">
        <f>+'PROYECCIÓN GENERACIÓN'!Y96-'SEP ORIGEN'!Y96</f>
        <v>5.8609980000000004</v>
      </c>
      <c r="Z96" s="263">
        <f>+'PROYECCIÓN GENERACIÓN'!Z96-'SEP ORIGEN'!Z96</f>
        <v>5.933954</v>
      </c>
    </row>
    <row r="97" spans="1:26" ht="24.95" customHeight="1">
      <c r="A97" s="351" t="str">
        <f>+Pobl_adoptada!A97</f>
        <v>Marcos Paz</v>
      </c>
      <c r="B97" s="70">
        <f>+Pobl_adoptada!B97</f>
        <v>93</v>
      </c>
      <c r="C97" s="353" t="str">
        <f>+Pobl_adoptada!C97</f>
        <v>Marcos Paz</v>
      </c>
      <c r="D97" s="261"/>
      <c r="E97" s="278"/>
      <c r="F97" s="263"/>
      <c r="G97" s="263">
        <f>+'PROYECCIÓN GENERACIÓN'!G97-'SEP ORIGEN'!G97</f>
        <v>72.741952800000007</v>
      </c>
      <c r="H97" s="263">
        <f>+'PROYECCIÓN GENERACIÓN'!H97-'SEP ORIGEN'!H97</f>
        <v>68.850407999999987</v>
      </c>
      <c r="I97" s="263">
        <f>+'PROYECCIÓN GENERACIÓN'!I97-'SEP ORIGEN'!I97</f>
        <v>64.767500999999996</v>
      </c>
      <c r="J97" s="263">
        <f>+'PROYECCIÓN GENERACIÓN'!J97-'SEP ORIGEN'!J97</f>
        <v>58.168305000000004</v>
      </c>
      <c r="K97" s="263">
        <f>+'PROYECCIÓN GENERACIÓN'!K97-'SEP ORIGEN'!K97</f>
        <v>51.296310000000005</v>
      </c>
      <c r="L97" s="263">
        <f>+'PROYECCIÓN GENERACIÓN'!L97-'SEP ORIGEN'!L97</f>
        <v>52.180752000000005</v>
      </c>
      <c r="M97" s="263">
        <f>+'PROYECCIÓN GENERACIÓN'!M97-'SEP ORIGEN'!M97</f>
        <v>53.065193999999991</v>
      </c>
      <c r="N97" s="263">
        <f>+'PROYECCIÓN GENERACIÓN'!N97-'SEP ORIGEN'!N97</f>
        <v>53.948972999999995</v>
      </c>
      <c r="O97" s="263">
        <f>+'PROYECCIÓN GENERACIÓN'!O97-'SEP ORIGEN'!O97</f>
        <v>54.833415000000009</v>
      </c>
      <c r="P97" s="263">
        <f>+'PROYECCIÓN GENERACIÓN'!P97-'SEP ORIGEN'!P97</f>
        <v>55.717193999999992</v>
      </c>
      <c r="Q97" s="263">
        <f>+'PROYECCIÓN GENERACIÓN'!Q97-'SEP ORIGEN'!Q97</f>
        <v>56.601636000000006</v>
      </c>
      <c r="R97" s="263">
        <f>+'PROYECCIÓN GENERACIÓN'!R97-'SEP ORIGEN'!R97</f>
        <v>57.486077999999999</v>
      </c>
      <c r="S97" s="263">
        <f>+'PROYECCIÓN GENERACIÓN'!S97-'SEP ORIGEN'!S97</f>
        <v>58.369856999999996</v>
      </c>
      <c r="T97" s="263">
        <f>+'PROYECCIÓN GENERACIÓN'!T97-'SEP ORIGEN'!T97</f>
        <v>59.254299000000003</v>
      </c>
      <c r="U97" s="263">
        <f>+'PROYECCIÓN GENERACIÓN'!U97-'SEP ORIGEN'!U97</f>
        <v>60.138077999999993</v>
      </c>
      <c r="V97" s="263">
        <f>+'PROYECCIÓN GENERACIÓN'!V97-'SEP ORIGEN'!V97</f>
        <v>61.022520000000007</v>
      </c>
      <c r="W97" s="263">
        <f>+'PROYECCIÓN GENERACIÓN'!W97-'SEP ORIGEN'!W97</f>
        <v>61.906299000000011</v>
      </c>
      <c r="X97" s="263">
        <f>+'PROYECCIÓN GENERACIÓN'!X97-'SEP ORIGEN'!X97</f>
        <v>62.790741000000004</v>
      </c>
      <c r="Y97" s="263">
        <f>+'PROYECCIÓN GENERACIÓN'!Y97-'SEP ORIGEN'!Y97</f>
        <v>63.675183000000004</v>
      </c>
      <c r="Z97" s="263">
        <f>+'PROYECCIÓN GENERACIÓN'!Z97-'SEP ORIGEN'!Z97</f>
        <v>64.558962000000008</v>
      </c>
    </row>
    <row r="98" spans="1:26" ht="24.95" customHeight="1">
      <c r="A98" s="351" t="str">
        <f>+Pobl_adoptada!A98</f>
        <v>Mercedes</v>
      </c>
      <c r="B98" s="70">
        <f>+Pobl_adoptada!B98</f>
        <v>94</v>
      </c>
      <c r="C98" s="353" t="str">
        <f>+Pobl_adoptada!C98</f>
        <v>Mercedes</v>
      </c>
      <c r="D98" s="261"/>
      <c r="E98" s="278"/>
      <c r="F98" s="263"/>
      <c r="G98" s="263">
        <f>+'PROYECCIÓN GENERACIÓN'!G98-'SEP ORIGEN'!G98</f>
        <v>64.868542200000007</v>
      </c>
      <c r="H98" s="263">
        <f>+'PROYECCIÓN GENERACIÓN'!H98-'SEP ORIGEN'!H98</f>
        <v>60.793305600000011</v>
      </c>
      <c r="I98" s="263">
        <f>+'PROYECCIÓN GENERACIÓN'!I98-'SEP ORIGEN'!I98</f>
        <v>56.644578000000003</v>
      </c>
      <c r="J98" s="263">
        <f>+'PROYECCIÓN GENERACIÓN'!J98-'SEP ORIGEN'!J98</f>
        <v>50.405085</v>
      </c>
      <c r="K98" s="263">
        <f>+'PROYECCIÓN GENERACIÓN'!K98-'SEP ORIGEN'!K98</f>
        <v>44.055024000000003</v>
      </c>
      <c r="L98" s="263">
        <f>+'PROYECCIÓN GENERACIÓN'!L98-'SEP ORIGEN'!L98</f>
        <v>44.428292999999996</v>
      </c>
      <c r="M98" s="263">
        <f>+'PROYECCIÓN GENERACIÓN'!M98-'SEP ORIGEN'!M98</f>
        <v>44.805540000000008</v>
      </c>
      <c r="N98" s="263">
        <f>+'PROYECCIÓN GENERACIÓN'!N98-'SEP ORIGEN'!N98</f>
        <v>45.186102000000005</v>
      </c>
      <c r="O98" s="263">
        <f>+'PROYECCIÓN GENERACIÓN'!O98-'SEP ORIGEN'!O98</f>
        <v>45.569316000000001</v>
      </c>
      <c r="P98" s="263">
        <f>+'PROYECCIÓN GENERACIÓN'!P98-'SEP ORIGEN'!P98</f>
        <v>45.955845000000004</v>
      </c>
      <c r="Q98" s="263">
        <f>+'PROYECCIÓN GENERACIÓN'!Q98-'SEP ORIGEN'!Q98</f>
        <v>46.345688999999993</v>
      </c>
      <c r="R98" s="263">
        <f>+'PROYECCIÓN GENERACIÓN'!R98-'SEP ORIGEN'!R98</f>
        <v>46.738847999999997</v>
      </c>
      <c r="S98" s="263">
        <f>+'PROYECCIÓN GENERACIÓN'!S98-'SEP ORIGEN'!S98</f>
        <v>47.135984999999998</v>
      </c>
      <c r="T98" s="263">
        <f>+'PROYECCIÓN GENERACIÓN'!T98-'SEP ORIGEN'!T98</f>
        <v>47.535774000000004</v>
      </c>
      <c r="U98" s="263">
        <f>+'PROYECCIÓN GENERACIÓN'!U98-'SEP ORIGEN'!U98</f>
        <v>47.938877999999995</v>
      </c>
      <c r="V98" s="263">
        <f>+'PROYECCIÓN GENERACIÓN'!V98-'SEP ORIGEN'!V98</f>
        <v>48.345960000000005</v>
      </c>
      <c r="W98" s="263">
        <f>+'PROYECCIÓN GENERACIÓN'!W98-'SEP ORIGEN'!W98</f>
        <v>48.756356999999994</v>
      </c>
      <c r="X98" s="263">
        <f>+'PROYECCIÓN GENERACIÓN'!X98-'SEP ORIGEN'!X98</f>
        <v>49.170068999999998</v>
      </c>
      <c r="Y98" s="263">
        <f>+'PROYECCIÓN GENERACIÓN'!Y98-'SEP ORIGEN'!Y98</f>
        <v>49.587096000000003</v>
      </c>
      <c r="Z98" s="263">
        <f>+'PROYECCIÓN GENERACIÓN'!Z98-'SEP ORIGEN'!Z98</f>
        <v>50.007438000000008</v>
      </c>
    </row>
    <row r="99" spans="1:26" ht="24.95" customHeight="1">
      <c r="A99" s="351" t="str">
        <f>+Pobl_adoptada!A99</f>
        <v>Monte</v>
      </c>
      <c r="B99" s="70">
        <f>+Pobl_adoptada!B99</f>
        <v>95</v>
      </c>
      <c r="C99" s="353" t="str">
        <f>+Pobl_adoptada!C99</f>
        <v>San Miguel del Monte</v>
      </c>
      <c r="D99" s="261"/>
      <c r="E99" s="278"/>
      <c r="F99" s="263"/>
      <c r="G99" s="263">
        <f>+'PROYECCIÓN GENERACIÓN'!G99-'SEP ORIGEN'!G99</f>
        <v>23.081553000000003</v>
      </c>
      <c r="H99" s="263">
        <f>+'PROYECCIÓN GENERACIÓN'!H99-'SEP ORIGEN'!H99</f>
        <v>21.767439200000002</v>
      </c>
      <c r="I99" s="263">
        <f>+'PROYECCIÓN GENERACIÓN'!I99-'SEP ORIGEN'!I99</f>
        <v>20.405848000000002</v>
      </c>
      <c r="J99" s="263">
        <f>+'PROYECCIÓN GENERACIÓN'!J99-'SEP ORIGEN'!J99</f>
        <v>18.264330000000001</v>
      </c>
      <c r="K99" s="263">
        <f>+'PROYECCIÓN GENERACIÓN'!K99-'SEP ORIGEN'!K99</f>
        <v>16.054389</v>
      </c>
      <c r="L99" s="263">
        <f>+'PROYECCIÓN GENERACIÓN'!L99-'SEP ORIGEN'!L99</f>
        <v>16.279003000000003</v>
      </c>
      <c r="M99" s="263">
        <f>+'PROYECCIÓN GENERACIÓN'!M99-'SEP ORIGEN'!M99</f>
        <v>16.504306000000003</v>
      </c>
      <c r="N99" s="263">
        <f>+'PROYECCIÓN GENERACIÓN'!N99-'SEP ORIGEN'!N99</f>
        <v>16.729609000000004</v>
      </c>
      <c r="O99" s="263">
        <f>+'PROYECCIÓN GENERACIÓN'!O99-'SEP ORIGEN'!O99</f>
        <v>16.954222999999999</v>
      </c>
      <c r="P99" s="263">
        <f>+'PROYECCIÓN GENERACIÓN'!P99-'SEP ORIGEN'!P99</f>
        <v>17.179526000000003</v>
      </c>
      <c r="Q99" s="263">
        <f>+'PROYECCIÓN GENERACIÓN'!Q99-'SEP ORIGEN'!Q99</f>
        <v>17.404140000000002</v>
      </c>
      <c r="R99" s="263">
        <f>+'PROYECCIÓN GENERACIÓN'!R99-'SEP ORIGEN'!R99</f>
        <v>17.629443000000002</v>
      </c>
      <c r="S99" s="263">
        <f>+'PROYECCIÓN GENERACIÓN'!S99-'SEP ORIGEN'!S99</f>
        <v>17.854057000000001</v>
      </c>
      <c r="T99" s="263">
        <f>+'PROYECCIÓN GENERACIÓN'!T99-'SEP ORIGEN'!T99</f>
        <v>18.079360000000001</v>
      </c>
      <c r="U99" s="263">
        <f>+'PROYECCIÓN GENERACIÓN'!U99-'SEP ORIGEN'!U99</f>
        <v>18.303974000000004</v>
      </c>
      <c r="V99" s="263">
        <f>+'PROYECCIÓN GENERACIÓN'!V99-'SEP ORIGEN'!V99</f>
        <v>18.529277</v>
      </c>
      <c r="W99" s="263">
        <f>+'PROYECCIÓN GENERACIÓN'!W99-'SEP ORIGEN'!W99</f>
        <v>18.753891000000003</v>
      </c>
      <c r="X99" s="263">
        <f>+'PROYECCIÓN GENERACIÓN'!X99-'SEP ORIGEN'!X99</f>
        <v>18.979194000000003</v>
      </c>
      <c r="Y99" s="263">
        <f>+'PROYECCIÓN GENERACIÓN'!Y99-'SEP ORIGEN'!Y99</f>
        <v>19.204497000000003</v>
      </c>
      <c r="Z99" s="263">
        <f>+'PROYECCIÓN GENERACIÓN'!Z99-'SEP ORIGEN'!Z99</f>
        <v>19.429111000000002</v>
      </c>
    </row>
    <row r="100" spans="1:26" ht="24.95" customHeight="1">
      <c r="A100" s="351" t="str">
        <f>+Pobl_adoptada!A100</f>
        <v>Monte Hermoso</v>
      </c>
      <c r="B100" s="70">
        <f>+Pobl_adoptada!B100</f>
        <v>96</v>
      </c>
      <c r="C100" s="353" t="str">
        <f>+Pobl_adoptada!C100</f>
        <v>Monte Hermoso</v>
      </c>
      <c r="D100" s="261"/>
      <c r="E100" s="278"/>
      <c r="F100" s="263"/>
      <c r="G100" s="263">
        <f>+'PROYECCIÓN GENERACIÓN'!G100-'SEP ORIGEN'!G100</f>
        <v>22.298700600000004</v>
      </c>
      <c r="H100" s="263">
        <f>+'PROYECCIÓN GENERACIÓN'!H100-'SEP ORIGEN'!H100</f>
        <v>21.192071200000001</v>
      </c>
      <c r="I100" s="263">
        <f>+'PROYECCIÓN GENERACIÓN'!I100-'SEP ORIGEN'!I100</f>
        <v>20.020220000000002</v>
      </c>
      <c r="J100" s="263">
        <f>+'PROYECCIÓN GENERACIÓN'!J100-'SEP ORIGEN'!J100</f>
        <v>18.059220000000003</v>
      </c>
      <c r="K100" s="263">
        <f>+'PROYECCIÓN GENERACIÓN'!K100-'SEP ORIGEN'!K100</f>
        <v>15.999269000000002</v>
      </c>
      <c r="L100" s="263">
        <f>+'PROYECCIÓN GENERACIÓN'!L100-'SEP ORIGEN'!L100</f>
        <v>16.352726000000001</v>
      </c>
      <c r="M100" s="263">
        <f>+'PROYECCIÓN GENERACIÓN'!M100-'SEP ORIGEN'!M100</f>
        <v>16.712384</v>
      </c>
      <c r="N100" s="263">
        <f>+'PROYECCIÓN GENERACIÓN'!N100-'SEP ORIGEN'!N100</f>
        <v>17.077553999999999</v>
      </c>
      <c r="O100" s="263">
        <f>+'PROYECCIÓN GENERACIÓN'!O100-'SEP ORIGEN'!O100</f>
        <v>17.448925000000003</v>
      </c>
      <c r="P100" s="263">
        <f>+'PROYECCIÓN GENERACIÓN'!P100-'SEP ORIGEN'!P100</f>
        <v>17.825807999999999</v>
      </c>
      <c r="Q100" s="263">
        <f>+'PROYECCIÓN GENERACIÓN'!Q100-'SEP ORIGEN'!Q100</f>
        <v>18.208891999999999</v>
      </c>
      <c r="R100" s="263">
        <f>+'PROYECCIÓN GENERACIÓN'!R100-'SEP ORIGEN'!R100</f>
        <v>18.599555000000002</v>
      </c>
      <c r="S100" s="263">
        <f>+'PROYECCIÓN GENERACIÓN'!S100-'SEP ORIGEN'!S100</f>
        <v>18.995041000000004</v>
      </c>
      <c r="T100" s="263">
        <f>+'PROYECCIÓN GENERACIÓN'!T100-'SEP ORIGEN'!T100</f>
        <v>19.397417000000001</v>
      </c>
      <c r="U100" s="263">
        <f>+'PROYECCIÓN GENERACIÓN'!U100-'SEP ORIGEN'!U100</f>
        <v>19.806683000000003</v>
      </c>
      <c r="V100" s="263">
        <f>+'PROYECCIÓN GENERACIÓN'!V100-'SEP ORIGEN'!V100</f>
        <v>20.222149999999999</v>
      </c>
      <c r="W100" s="263">
        <f>+'PROYECCIÓN GENERACIÓN'!W100-'SEP ORIGEN'!W100</f>
        <v>20.644507000000004</v>
      </c>
      <c r="X100" s="263">
        <f>+'PROYECCIÓN GENERACIÓN'!X100-'SEP ORIGEN'!X100</f>
        <v>21.073754000000001</v>
      </c>
      <c r="Y100" s="263">
        <f>+'PROYECCIÓN GENERACIÓN'!Y100-'SEP ORIGEN'!Y100</f>
        <v>21.509891000000003</v>
      </c>
      <c r="Z100" s="263">
        <f>+'PROYECCIÓN GENERACIÓN'!Z100-'SEP ORIGEN'!Z100</f>
        <v>21.953606999999998</v>
      </c>
    </row>
    <row r="101" spans="1:26" ht="24.95" customHeight="1">
      <c r="A101" s="351" t="str">
        <f>+Pobl_adoptada!A101</f>
        <v>Navarro</v>
      </c>
      <c r="B101" s="70">
        <f>+Pobl_adoptada!B101</f>
        <v>97</v>
      </c>
      <c r="C101" s="353" t="str">
        <f>+Pobl_adoptada!C101</f>
        <v>Navarro</v>
      </c>
      <c r="D101" s="261"/>
      <c r="E101" s="278"/>
      <c r="F101" s="263"/>
      <c r="G101" s="263">
        <f>+'PROYECCIÓN GENERACIÓN'!G101-'SEP ORIGEN'!G101</f>
        <v>17.619426000000004</v>
      </c>
      <c r="H101" s="263">
        <f>+'PROYECCIÓN GENERACIÓN'!H101-'SEP ORIGEN'!H101</f>
        <v>16.620333600000002</v>
      </c>
      <c r="I101" s="263">
        <f>+'PROYECCIÓN GENERACIÓN'!I101-'SEP ORIGEN'!I101</f>
        <v>15.586399000000002</v>
      </c>
      <c r="J101" s="263">
        <f>+'PROYECCIÓN GENERACIÓN'!J101-'SEP ORIGEN'!J101</f>
        <v>13.959405</v>
      </c>
      <c r="K101" s="263">
        <f>+'PROYECCIÓN GENERACIÓN'!K101-'SEP ORIGEN'!K101</f>
        <v>12.280047</v>
      </c>
      <c r="L101" s="263">
        <f>+'PROYECCIÓN GENERACIÓN'!L101-'SEP ORIGEN'!L101</f>
        <v>12.464699000000003</v>
      </c>
      <c r="M101" s="263">
        <f>+'PROYECCIÓN GENERACIÓN'!M101-'SEP ORIGEN'!M101</f>
        <v>12.652107000000001</v>
      </c>
      <c r="N101" s="263">
        <f>+'PROYECCIÓN GENERACIÓN'!N101-'SEP ORIGEN'!N101</f>
        <v>12.842271</v>
      </c>
      <c r="O101" s="263">
        <f>+'PROYECCIÓN GENERACIÓN'!O101-'SEP ORIGEN'!O101</f>
        <v>13.035191000000001</v>
      </c>
      <c r="P101" s="263">
        <f>+'PROYECCIÓN GENERACIÓN'!P101-'SEP ORIGEN'!P101</f>
        <v>13.231556000000003</v>
      </c>
      <c r="Q101" s="263">
        <f>+'PROYECCIÓN GENERACIÓN'!Q101-'SEP ORIGEN'!Q101</f>
        <v>13.430677000000003</v>
      </c>
      <c r="R101" s="263">
        <f>+'PROYECCIÓN GENERACIÓN'!R101-'SEP ORIGEN'!R101</f>
        <v>13.632554000000001</v>
      </c>
      <c r="S101" s="263">
        <f>+'PROYECCIÓN GENERACIÓN'!S101-'SEP ORIGEN'!S101</f>
        <v>13.837187</v>
      </c>
      <c r="T101" s="263">
        <f>+'PROYECCIÓN GENERACIÓN'!T101-'SEP ORIGEN'!T101</f>
        <v>14.045265000000004</v>
      </c>
      <c r="U101" s="263">
        <f>+'PROYECCIÓN GENERACIÓN'!U101-'SEP ORIGEN'!U101</f>
        <v>14.256788</v>
      </c>
      <c r="V101" s="263">
        <f>+'PROYECCIÓN GENERACIÓN'!V101-'SEP ORIGEN'!V101</f>
        <v>14.471067000000001</v>
      </c>
      <c r="W101" s="263">
        <f>+'PROYECCIÓN GENERACIÓN'!W101-'SEP ORIGEN'!W101</f>
        <v>14.688791000000002</v>
      </c>
      <c r="X101" s="263">
        <f>+'PROYECCIÓN GENERACIÓN'!X101-'SEP ORIGEN'!X101</f>
        <v>14.909271</v>
      </c>
      <c r="Y101" s="263">
        <f>+'PROYECCIÓN GENERACIÓN'!Y101-'SEP ORIGEN'!Y101</f>
        <v>15.133196</v>
      </c>
      <c r="Z101" s="263">
        <f>+'PROYECCIÓN GENERACIÓN'!Z101-'SEP ORIGEN'!Z101</f>
        <v>15.361255</v>
      </c>
    </row>
    <row r="102" spans="1:26" ht="24.95" customHeight="1">
      <c r="A102" s="351" t="str">
        <f>+Pobl_adoptada!A102</f>
        <v>Necochea</v>
      </c>
      <c r="B102" s="70">
        <f>+Pobl_adoptada!B102</f>
        <v>98</v>
      </c>
      <c r="C102" s="353" t="str">
        <f>+Pobl_adoptada!C102</f>
        <v>Necochea - Quequén</v>
      </c>
      <c r="D102" s="261"/>
      <c r="E102" s="278"/>
      <c r="F102" s="263"/>
      <c r="G102" s="263">
        <f>+'PROYECCIÓN GENERACIÓN'!G102-'SEP ORIGEN'!G102</f>
        <v>109.6632702</v>
      </c>
      <c r="H102" s="263">
        <f>+'PROYECCIÓN GENERACIÓN'!H102-'SEP ORIGEN'!H102</f>
        <v>102.98939999999999</v>
      </c>
      <c r="I102" s="263">
        <f>+'PROYECCIÓN GENERACIÓN'!I102-'SEP ORIGEN'!I102</f>
        <v>96.168507000000005</v>
      </c>
      <c r="J102" s="263">
        <f>+'PROYECCIÓN GENERACIÓN'!J102-'SEP ORIGEN'!J102</f>
        <v>85.764150000000001</v>
      </c>
      <c r="K102" s="263">
        <f>+'PROYECCIÓN GENERACIÓN'!K102-'SEP ORIGEN'!K102</f>
        <v>75.130497000000005</v>
      </c>
      <c r="L102" s="263">
        <f>+'PROYECCIÓN GENERACIÓN'!L102-'SEP ORIGEN'!L102</f>
        <v>75.945323999999999</v>
      </c>
      <c r="M102" s="263">
        <f>+'PROYECCIÓN GENERACIÓN'!M102-'SEP ORIGEN'!M102</f>
        <v>76.772748000000007</v>
      </c>
      <c r="N102" s="263">
        <f>+'PROYECCIÓN GENERACIÓN'!N102-'SEP ORIGEN'!N102</f>
        <v>77.614095000000006</v>
      </c>
      <c r="O102" s="263">
        <f>+'PROYECCIÓN GENERACIÓN'!O102-'SEP ORIGEN'!O102</f>
        <v>78.46936500000001</v>
      </c>
      <c r="P102" s="263">
        <f>+'PROYECCIÓN GENERACIÓN'!P102-'SEP ORIGEN'!P102</f>
        <v>79.337895000000003</v>
      </c>
      <c r="Q102" s="263">
        <f>+'PROYECCIÓN GENERACIÓN'!Q102-'SEP ORIGEN'!Q102</f>
        <v>80.220348000000001</v>
      </c>
      <c r="R102" s="263">
        <f>+'PROYECCIÓN GENERACIÓN'!R102-'SEP ORIGEN'!R102</f>
        <v>81.118050000000011</v>
      </c>
      <c r="S102" s="263">
        <f>+'PROYECCIÓN GENERACIÓN'!S102-'SEP ORIGEN'!S102</f>
        <v>82.030338</v>
      </c>
      <c r="T102" s="263">
        <f>+'PROYECCIÓN GENERACIÓN'!T102-'SEP ORIGEN'!T102</f>
        <v>82.956548999999995</v>
      </c>
      <c r="U102" s="263">
        <f>+'PROYECCIÓN GENERACIÓN'!U102-'SEP ORIGEN'!U102</f>
        <v>83.899335000000008</v>
      </c>
      <c r="V102" s="263">
        <f>+'PROYECCIÓN GENERACIÓN'!V102-'SEP ORIGEN'!V102</f>
        <v>84.856044000000011</v>
      </c>
      <c r="W102" s="263">
        <f>+'PROYECCIÓN GENERACIÓN'!W102-'SEP ORIGEN'!W102</f>
        <v>85.829991000000007</v>
      </c>
      <c r="X102" s="263">
        <f>+'PROYECCIÓN GENERACIÓN'!X102-'SEP ORIGEN'!X102</f>
        <v>86.818523999999996</v>
      </c>
      <c r="Y102" s="263">
        <f>+'PROYECCIÓN GENERACIÓN'!Y102-'SEP ORIGEN'!Y102</f>
        <v>87.822969000000015</v>
      </c>
      <c r="Z102" s="263">
        <f>+'PROYECCIÓN GENERACIÓN'!Z102-'SEP ORIGEN'!Z102</f>
        <v>88.844652000000025</v>
      </c>
    </row>
    <row r="103" spans="1:26" ht="24.95" customHeight="1">
      <c r="A103" s="351" t="str">
        <f>+Pobl_adoptada!A103</f>
        <v>Olavarría</v>
      </c>
      <c r="B103" s="70">
        <f>+Pobl_adoptada!B103</f>
        <v>99</v>
      </c>
      <c r="C103" s="353" t="str">
        <f>+Pobl_adoptada!C103</f>
        <v>Olavarría</v>
      </c>
      <c r="D103" s="261"/>
      <c r="E103" s="278"/>
      <c r="F103" s="263"/>
      <c r="G103" s="263">
        <f>+'PROYECCIÓN GENERACIÓN'!G103-'SEP ORIGEN'!G103</f>
        <v>102.4260336</v>
      </c>
      <c r="H103" s="263">
        <f>+'PROYECCIÓN GENERACIÓN'!H103-'SEP ORIGEN'!H103</f>
        <v>95.91667919999999</v>
      </c>
      <c r="I103" s="263">
        <f>+'PROYECCIÓN GENERACIÓN'!I103-'SEP ORIGEN'!I103</f>
        <v>89.301000000000002</v>
      </c>
      <c r="J103" s="263">
        <f>+'PROYECCIÓN GENERACIÓN'!J103-'SEP ORIGEN'!J103</f>
        <v>79.401645000000002</v>
      </c>
      <c r="K103" s="263">
        <f>+'PROYECCIÓN GENERACIÓN'!K103-'SEP ORIGEN'!K103</f>
        <v>69.344496000000007</v>
      </c>
      <c r="L103" s="263">
        <f>+'PROYECCIÓN GENERACIÓN'!L103-'SEP ORIGEN'!L103</f>
        <v>69.878211000000007</v>
      </c>
      <c r="M103" s="263">
        <f>+'PROYECCIÓN GENERACIÓN'!M103-'SEP ORIGEN'!M103</f>
        <v>70.415904000000012</v>
      </c>
      <c r="N103" s="263">
        <f>+'PROYECCIÓN GENERACIÓN'!N103-'SEP ORIGEN'!N103</f>
        <v>70.958238000000009</v>
      </c>
      <c r="O103" s="263">
        <f>+'PROYECCIÓN GENERACIÓN'!O103-'SEP ORIGEN'!O103</f>
        <v>71.504550000000009</v>
      </c>
      <c r="P103" s="263">
        <f>+'PROYECCIÓN GENERACIÓN'!P103-'SEP ORIGEN'!P103</f>
        <v>72.054840000000013</v>
      </c>
      <c r="Q103" s="263">
        <f>+'PROYECCIÓN GENERACIÓN'!Q103-'SEP ORIGEN'!Q103</f>
        <v>72.609108000000006</v>
      </c>
      <c r="R103" s="263">
        <f>+'PROYECCIÓN GENERACIÓN'!R103-'SEP ORIGEN'!R103</f>
        <v>73.168017000000006</v>
      </c>
      <c r="S103" s="263">
        <f>+'PROYECCIÓN GENERACIÓN'!S103-'SEP ORIGEN'!S103</f>
        <v>73.731567000000013</v>
      </c>
      <c r="T103" s="263">
        <f>+'PROYECCIÓN GENERACIÓN'!T103-'SEP ORIGEN'!T103</f>
        <v>74.299095000000008</v>
      </c>
      <c r="U103" s="263">
        <f>+'PROYECCIÓN GENERACIÓN'!U103-'SEP ORIGEN'!U103</f>
        <v>74.870601000000008</v>
      </c>
      <c r="V103" s="263">
        <f>+'PROYECCIÓN GENERACIÓN'!V103-'SEP ORIGEN'!V103</f>
        <v>75.447411000000002</v>
      </c>
      <c r="W103" s="263">
        <f>+'PROYECCIÓN GENERACIÓN'!W103-'SEP ORIGEN'!W103</f>
        <v>76.028199000000001</v>
      </c>
      <c r="X103" s="263">
        <f>+'PROYECCIÓN GENERACIÓN'!X103-'SEP ORIGEN'!X103</f>
        <v>76.612965000000003</v>
      </c>
      <c r="Y103" s="263">
        <f>+'PROYECCIÓN GENERACIÓN'!Y103-'SEP ORIGEN'!Y103</f>
        <v>77.203035</v>
      </c>
      <c r="Z103" s="263">
        <f>+'PROYECCIÓN GENERACIÓN'!Z103-'SEP ORIGEN'!Z103</f>
        <v>77.797083000000001</v>
      </c>
    </row>
    <row r="104" spans="1:26" ht="24.95" customHeight="1">
      <c r="A104" s="351" t="str">
        <f>+Pobl_adoptada!A104</f>
        <v>Patagones</v>
      </c>
      <c r="B104" s="70">
        <f>+Pobl_adoptada!B104</f>
        <v>100</v>
      </c>
      <c r="C104" s="353" t="str">
        <f>+Pobl_adoptada!C104</f>
        <v>Carmen de Patagones</v>
      </c>
      <c r="D104" s="261"/>
      <c r="E104" s="278"/>
      <c r="F104" s="263"/>
      <c r="G104" s="263">
        <f>+'PROYECCIÓN GENERACIÓN'!G104-'SEP ORIGEN'!G104</f>
        <v>29.107207800000001</v>
      </c>
      <c r="H104" s="263">
        <f>+'PROYECCIÓN GENERACIÓN'!H104-'SEP ORIGEN'!H104</f>
        <v>27.5523256</v>
      </c>
      <c r="I104" s="263">
        <f>+'PROYECCIÓN GENERACIÓN'!I104-'SEP ORIGEN'!I104</f>
        <v>25.927176000000003</v>
      </c>
      <c r="J104" s="263">
        <f>+'PROYECCIÓN GENERACIÓN'!J104-'SEP ORIGEN'!J104</f>
        <v>23.299860000000002</v>
      </c>
      <c r="K104" s="263">
        <f>+'PROYECCIÓN GENERACIÓN'!K104-'SEP ORIGEN'!K104</f>
        <v>20.565961000000001</v>
      </c>
      <c r="L104" s="263">
        <f>+'PROYECCIÓN GENERACIÓN'!L104-'SEP ORIGEN'!L104</f>
        <v>20.944911000000001</v>
      </c>
      <c r="M104" s="263">
        <f>+'PROYECCIÓN GENERACIÓN'!M104-'SEP ORIGEN'!M104</f>
        <v>21.330062000000002</v>
      </c>
      <c r="N104" s="263">
        <f>+'PROYECCIÓN GENERACIÓN'!N104-'SEP ORIGEN'!N104</f>
        <v>21.720725000000002</v>
      </c>
      <c r="O104" s="263">
        <f>+'PROYECCIÓN GENERACIÓN'!O104-'SEP ORIGEN'!O104</f>
        <v>22.118278000000004</v>
      </c>
      <c r="P104" s="263">
        <f>+'PROYECCIÓN GENERACIÓN'!P104-'SEP ORIGEN'!P104</f>
        <v>22.522721000000004</v>
      </c>
      <c r="Q104" s="263">
        <f>+'PROYECCIÓN GENERACIÓN'!Q104-'SEP ORIGEN'!Q104</f>
        <v>22.933365000000002</v>
      </c>
      <c r="R104" s="263">
        <f>+'PROYECCIÓN GENERACIÓN'!R104-'SEP ORIGEN'!R104</f>
        <v>23.350898999999998</v>
      </c>
      <c r="S104" s="263">
        <f>+'PROYECCIÓN GENERACIÓN'!S104-'SEP ORIGEN'!S104</f>
        <v>23.774633999999999</v>
      </c>
      <c r="T104" s="263">
        <f>+'PROYECCIÓN GENERACIÓN'!T104-'SEP ORIGEN'!T104</f>
        <v>24.205947999999999</v>
      </c>
      <c r="U104" s="263">
        <f>+'PROYECCIÓN GENERACIÓN'!U104-'SEP ORIGEN'!U104</f>
        <v>24.644151999999998</v>
      </c>
      <c r="V104" s="263">
        <f>+'PROYECCIÓN GENERACIÓN'!V104-'SEP ORIGEN'!V104</f>
        <v>25.089246000000003</v>
      </c>
      <c r="W104" s="263">
        <f>+'PROYECCIÓN GENERACIÓN'!W104-'SEP ORIGEN'!W104</f>
        <v>25.541919</v>
      </c>
      <c r="X104" s="263">
        <f>+'PROYECCIÓN GENERACIÓN'!X104-'SEP ORIGEN'!X104</f>
        <v>26.001481999999999</v>
      </c>
      <c r="Y104" s="263">
        <f>+'PROYECCIÓN GENERACIÓN'!Y104-'SEP ORIGEN'!Y104</f>
        <v>26.469313</v>
      </c>
      <c r="Z104" s="263">
        <f>+'PROYECCIÓN GENERACIÓN'!Z104-'SEP ORIGEN'!Z104</f>
        <v>26.944034000000002</v>
      </c>
    </row>
    <row r="105" spans="1:26" ht="24.95" customHeight="1">
      <c r="A105" s="351" t="str">
        <f>+Pobl_adoptada!A105</f>
        <v>Pehuajó</v>
      </c>
      <c r="B105" s="70">
        <f>+Pobl_adoptada!B105</f>
        <v>101</v>
      </c>
      <c r="C105" s="353" t="str">
        <f>+Pobl_adoptada!C105</f>
        <v>Pehuajó</v>
      </c>
      <c r="D105" s="261"/>
      <c r="E105" s="278"/>
      <c r="F105" s="263"/>
      <c r="G105" s="263">
        <f>+'PROYECCIÓN GENERACIÓN'!G105-'SEP ORIGEN'!G105</f>
        <v>36.462452400000004</v>
      </c>
      <c r="H105" s="263">
        <f>+'PROYECCIÓN GENERACIÓN'!H105-'SEP ORIGEN'!H105</f>
        <v>34.082264800000004</v>
      </c>
      <c r="I105" s="263">
        <f>+'PROYECCIÓN GENERACIÓN'!I105-'SEP ORIGEN'!I105</f>
        <v>31.671051000000002</v>
      </c>
      <c r="J105" s="263">
        <f>+'PROYECCIÓN GENERACIÓN'!J105-'SEP ORIGEN'!J105</f>
        <v>28.106430000000003</v>
      </c>
      <c r="K105" s="263">
        <f>+'PROYECCIÓN GENERACIÓN'!K105-'SEP ORIGEN'!K105</f>
        <v>24.498083999999999</v>
      </c>
      <c r="L105" s="263">
        <f>+'PROYECCIÓN GENERACIÓN'!L105-'SEP ORIGEN'!L105</f>
        <v>24.637262</v>
      </c>
      <c r="M105" s="263">
        <f>+'PROYECCIÓN GENERACIÓN'!M105-'SEP ORIGEN'!M105</f>
        <v>24.777129000000002</v>
      </c>
      <c r="N105" s="263">
        <f>+'PROYECCIÓN GENERACIÓN'!N105-'SEP ORIGEN'!N105</f>
        <v>24.916307</v>
      </c>
      <c r="O105" s="263">
        <f>+'PROYECCIÓN GENERACIÓN'!O105-'SEP ORIGEN'!O105</f>
        <v>25.055485000000001</v>
      </c>
      <c r="P105" s="263">
        <f>+'PROYECCIÓN GENERACIÓN'!P105-'SEP ORIGEN'!P105</f>
        <v>25.195352000000003</v>
      </c>
      <c r="Q105" s="263">
        <f>+'PROYECCIÓN GENERACIÓN'!Q105-'SEP ORIGEN'!Q105</f>
        <v>25.334530000000004</v>
      </c>
      <c r="R105" s="263">
        <f>+'PROYECCIÓN GENERACIÓN'!R105-'SEP ORIGEN'!R105</f>
        <v>25.474397000000003</v>
      </c>
      <c r="S105" s="263">
        <f>+'PROYECCIÓN GENERACIÓN'!S105-'SEP ORIGEN'!S105</f>
        <v>25.613575000000004</v>
      </c>
      <c r="T105" s="263">
        <f>+'PROYECCIÓN GENERACIÓN'!T105-'SEP ORIGEN'!T105</f>
        <v>25.752753000000006</v>
      </c>
      <c r="U105" s="263">
        <f>+'PROYECCIÓN GENERACIÓN'!U105-'SEP ORIGEN'!U105</f>
        <v>25.892620000000001</v>
      </c>
      <c r="V105" s="263">
        <f>+'PROYECCIÓN GENERACIÓN'!V105-'SEP ORIGEN'!V105</f>
        <v>26.031798000000002</v>
      </c>
      <c r="W105" s="263">
        <f>+'PROYECCIÓN GENERACIÓN'!W105-'SEP ORIGEN'!W105</f>
        <v>26.171665000000001</v>
      </c>
      <c r="X105" s="263">
        <f>+'PROYECCIÓN GENERACIÓN'!X105-'SEP ORIGEN'!X105</f>
        <v>26.310843000000002</v>
      </c>
      <c r="Y105" s="263">
        <f>+'PROYECCIÓN GENERACIÓN'!Y105-'SEP ORIGEN'!Y105</f>
        <v>26.450021</v>
      </c>
      <c r="Z105" s="263">
        <f>+'PROYECCIÓN GENERACIÓN'!Z105-'SEP ORIGEN'!Z105</f>
        <v>26.589888000000002</v>
      </c>
    </row>
    <row r="106" spans="1:26" ht="24.95" customHeight="1">
      <c r="A106" s="351" t="str">
        <f>+Pobl_adoptada!A106</f>
        <v>Pellegrini</v>
      </c>
      <c r="B106" s="70">
        <f>+Pobl_adoptada!B106</f>
        <v>102</v>
      </c>
      <c r="C106" s="353" t="str">
        <f>+Pobl_adoptada!C106</f>
        <v>Pellegrini</v>
      </c>
      <c r="D106" s="261"/>
      <c r="E106" s="278"/>
      <c r="F106" s="263"/>
      <c r="G106" s="263">
        <f>+'PROYECCIÓN GENERACIÓN'!G106-'SEP ORIGEN'!G106</f>
        <v>5.1350904000000002</v>
      </c>
      <c r="H106" s="263">
        <f>+'PROYECCIÓN GENERACIÓN'!H106-'SEP ORIGEN'!H106</f>
        <v>4.7965488000000009</v>
      </c>
      <c r="I106" s="263">
        <f>+'PROYECCIÓN GENERACIÓN'!I106-'SEP ORIGEN'!I106</f>
        <v>4.4542720000000005</v>
      </c>
      <c r="J106" s="263">
        <f>+'PROYECCIÓN GENERACIÓN'!J106-'SEP ORIGEN'!J106</f>
        <v>3.9502500000000005</v>
      </c>
      <c r="K106" s="263">
        <f>+'PROYECCIÓN GENERACIÓN'!K106-'SEP ORIGEN'!K106</f>
        <v>3.4408920000000003</v>
      </c>
      <c r="L106" s="263">
        <f>+'PROYECCIÓN GENERACIÓN'!L106-'SEP ORIGEN'!L106</f>
        <v>3.4582340000000009</v>
      </c>
      <c r="M106" s="263">
        <f>+'PROYECCIÓN GENERACIÓN'!M106-'SEP ORIGEN'!M106</f>
        <v>3.4749780000000001</v>
      </c>
      <c r="N106" s="263">
        <f>+'PROYECCIÓN GENERACIÓN'!N106-'SEP ORIGEN'!N106</f>
        <v>3.4923200000000003</v>
      </c>
      <c r="O106" s="263">
        <f>+'PROYECCIÓN GENERACIÓN'!O106-'SEP ORIGEN'!O106</f>
        <v>3.5096620000000005</v>
      </c>
      <c r="P106" s="263">
        <f>+'PROYECCIÓN GENERACIÓN'!P106-'SEP ORIGEN'!P106</f>
        <v>3.5270039999999998</v>
      </c>
      <c r="Q106" s="263">
        <f>+'PROYECCIÓN GENERACIÓN'!Q106-'SEP ORIGEN'!Q106</f>
        <v>3.544346</v>
      </c>
      <c r="R106" s="263">
        <f>+'PROYECCIÓN GENERACIÓN'!R106-'SEP ORIGEN'!R106</f>
        <v>3.5616880000000006</v>
      </c>
      <c r="S106" s="263">
        <f>+'PROYECCIÓN GENERACIÓN'!S106-'SEP ORIGEN'!S106</f>
        <v>3.5790299999999999</v>
      </c>
      <c r="T106" s="263">
        <f>+'PROYECCIÓN GENERACIÓN'!T106-'SEP ORIGEN'!T106</f>
        <v>3.5963720000000006</v>
      </c>
      <c r="U106" s="263">
        <f>+'PROYECCIÓN GENERACIÓN'!U106-'SEP ORIGEN'!U106</f>
        <v>3.6137140000000003</v>
      </c>
      <c r="V106" s="263">
        <f>+'PROYECCIÓN GENERACIÓN'!V106-'SEP ORIGEN'!V106</f>
        <v>3.6310560000000009</v>
      </c>
      <c r="W106" s="263">
        <f>+'PROYECCIÓN GENERACIÓN'!W106-'SEP ORIGEN'!W106</f>
        <v>3.6478000000000002</v>
      </c>
      <c r="X106" s="263">
        <f>+'PROYECCIÓN GENERACIÓN'!X106-'SEP ORIGEN'!X106</f>
        <v>3.6651420000000003</v>
      </c>
      <c r="Y106" s="263">
        <f>+'PROYECCIÓN GENERACIÓN'!Y106-'SEP ORIGEN'!Y106</f>
        <v>3.6824840000000005</v>
      </c>
      <c r="Z106" s="263">
        <f>+'PROYECCIÓN GENERACIÓN'!Z106-'SEP ORIGEN'!Z106</f>
        <v>3.6998259999999998</v>
      </c>
    </row>
    <row r="107" spans="1:26" ht="24.95" customHeight="1">
      <c r="A107" s="351" t="str">
        <f>+Pobl_adoptada!A107</f>
        <v>Pergamino</v>
      </c>
      <c r="B107" s="70">
        <f>+Pobl_adoptada!B107</f>
        <v>103</v>
      </c>
      <c r="C107" s="353" t="str">
        <f>+Pobl_adoptada!C107</f>
        <v>Pergamino</v>
      </c>
      <c r="D107" s="261"/>
      <c r="E107" s="278"/>
      <c r="F107" s="263"/>
      <c r="G107" s="263">
        <f>+'PROYECCIÓN GENERACIÓN'!G107-'SEP ORIGEN'!G107</f>
        <v>102.575484</v>
      </c>
      <c r="H107" s="263">
        <f>+'PROYECCIÓN GENERACIÓN'!H107-'SEP ORIGEN'!H107</f>
        <v>95.923248000000001</v>
      </c>
      <c r="I107" s="263">
        <f>+'PROYECCIÓN GENERACIÓN'!I107-'SEP ORIGEN'!I107</f>
        <v>89.17962</v>
      </c>
      <c r="J107" s="263">
        <f>+'PROYECCIÓN GENERACIÓN'!J107-'SEP ORIGEN'!J107</f>
        <v>79.176734999999994</v>
      </c>
      <c r="K107" s="263">
        <f>+'PROYECCIÓN GENERACIÓN'!K107-'SEP ORIGEN'!K107</f>
        <v>69.044156999999998</v>
      </c>
      <c r="L107" s="263">
        <f>+'PROYECCIÓN GENERACIÓN'!L107-'SEP ORIGEN'!L107</f>
        <v>69.468477000000007</v>
      </c>
      <c r="M107" s="263">
        <f>+'PROYECCIÓN GENERACIÓN'!M107-'SEP ORIGEN'!M107</f>
        <v>69.892133999999999</v>
      </c>
      <c r="N107" s="263">
        <f>+'PROYECCIÓN GENERACIÓN'!N107-'SEP ORIGEN'!N107</f>
        <v>70.316454000000007</v>
      </c>
      <c r="O107" s="263">
        <f>+'PROYECCIÓN GENERACIÓN'!O107-'SEP ORIGEN'!O107</f>
        <v>70.740774000000016</v>
      </c>
      <c r="P107" s="263">
        <f>+'PROYECCIÓN GENERACIÓN'!P107-'SEP ORIGEN'!P107</f>
        <v>71.164431000000008</v>
      </c>
      <c r="Q107" s="263">
        <f>+'PROYECCIÓN GENERACIÓN'!Q107-'SEP ORIGEN'!Q107</f>
        <v>71.588751000000002</v>
      </c>
      <c r="R107" s="263">
        <f>+'PROYECCIÓN GENERACIÓN'!R107-'SEP ORIGEN'!R107</f>
        <v>72.013070999999997</v>
      </c>
      <c r="S107" s="263">
        <f>+'PROYECCIÓN GENERACIÓN'!S107-'SEP ORIGEN'!S107</f>
        <v>72.436728000000002</v>
      </c>
      <c r="T107" s="263">
        <f>+'PROYECCIÓN GENERACIÓN'!T107-'SEP ORIGEN'!T107</f>
        <v>72.861048000000011</v>
      </c>
      <c r="U107" s="263">
        <f>+'PROYECCIÓN GENERACIÓN'!U107-'SEP ORIGEN'!U107</f>
        <v>73.285368000000005</v>
      </c>
      <c r="V107" s="263">
        <f>+'PROYECCIÓN GENERACIÓN'!V107-'SEP ORIGEN'!V107</f>
        <v>73.709024999999997</v>
      </c>
      <c r="W107" s="263">
        <f>+'PROYECCIÓN GENERACIÓN'!W107-'SEP ORIGEN'!W107</f>
        <v>74.133344999999991</v>
      </c>
      <c r="X107" s="263">
        <f>+'PROYECCIÓN GENERACIÓN'!X107-'SEP ORIGEN'!X107</f>
        <v>74.557665000000014</v>
      </c>
      <c r="Y107" s="263">
        <f>+'PROYECCIÓN GENERACIÓN'!Y107-'SEP ORIGEN'!Y107</f>
        <v>74.981322000000006</v>
      </c>
      <c r="Z107" s="263">
        <f>+'PROYECCIÓN GENERACIÓN'!Z107-'SEP ORIGEN'!Z107</f>
        <v>75.405642</v>
      </c>
    </row>
    <row r="108" spans="1:26" ht="24.95" customHeight="1">
      <c r="A108" s="351" t="str">
        <f>+Pobl_adoptada!A108</f>
        <v>Pila</v>
      </c>
      <c r="B108" s="70">
        <f>+Pobl_adoptada!B108</f>
        <v>104</v>
      </c>
      <c r="C108" s="353" t="str">
        <f>+Pobl_adoptada!C108</f>
        <v>Pila</v>
      </c>
      <c r="D108" s="261"/>
      <c r="E108" s="278"/>
      <c r="F108" s="263"/>
      <c r="G108" s="263">
        <f>+'PROYECCIÓN GENERACIÓN'!G108-'SEP ORIGEN'!G108</f>
        <v>3.1513680000000002</v>
      </c>
      <c r="H108" s="263">
        <f>+'PROYECCIÓN GENERACIÓN'!H108-'SEP ORIGEN'!H108</f>
        <v>2.9886384000000001</v>
      </c>
      <c r="I108" s="263">
        <f>+'PROYECCIÓN GENERACIÓN'!I108-'SEP ORIGEN'!I108</f>
        <v>2.8175460000000001</v>
      </c>
      <c r="J108" s="263">
        <f>+'PROYECCIÓN GENERACIÓN'!J108-'SEP ORIGEN'!J108</f>
        <v>2.5371300000000003</v>
      </c>
      <c r="K108" s="263">
        <f>+'PROYECCIÓN GENERACIÓN'!K108-'SEP ORIGEN'!K108</f>
        <v>2.2436959999999999</v>
      </c>
      <c r="L108" s="263">
        <f>+'PROYECCIÓN GENERACIÓN'!L108-'SEP ORIGEN'!L108</f>
        <v>2.2897420000000004</v>
      </c>
      <c r="M108" s="263">
        <f>+'PROYECCIÓN GENERACIÓN'!M108-'SEP ORIGEN'!M108</f>
        <v>2.3363860000000001</v>
      </c>
      <c r="N108" s="263">
        <f>+'PROYECCIÓN GENERACIÓN'!N108-'SEP ORIGEN'!N108</f>
        <v>2.384226</v>
      </c>
      <c r="O108" s="263">
        <f>+'PROYECCIÓN GENERACIÓN'!O108-'SEP ORIGEN'!O108</f>
        <v>2.433262</v>
      </c>
      <c r="P108" s="263">
        <f>+'PROYECCIÓN GENERACIÓN'!P108-'SEP ORIGEN'!P108</f>
        <v>2.4828960000000002</v>
      </c>
      <c r="Q108" s="263">
        <f>+'PROYECCIÓN GENERACIÓN'!Q108-'SEP ORIGEN'!Q108</f>
        <v>2.5337260000000001</v>
      </c>
      <c r="R108" s="263">
        <f>+'PROYECCIÓN GENERACIÓN'!R108-'SEP ORIGEN'!R108</f>
        <v>2.5851540000000002</v>
      </c>
      <c r="S108" s="263">
        <f>+'PROYECCIÓN GENERACIÓN'!S108-'SEP ORIGEN'!S108</f>
        <v>2.6383760000000001</v>
      </c>
      <c r="T108" s="263">
        <f>+'PROYECCIÓN GENERACIÓN'!T108-'SEP ORIGEN'!T108</f>
        <v>2.692196</v>
      </c>
      <c r="U108" s="263">
        <f>+'PROYECCIÓN GENERACIÓN'!U108-'SEP ORIGEN'!U108</f>
        <v>2.7472120000000002</v>
      </c>
      <c r="V108" s="263">
        <f>+'PROYECCIÓN GENERACIÓN'!V108-'SEP ORIGEN'!V108</f>
        <v>2.8034240000000006</v>
      </c>
      <c r="W108" s="263">
        <f>+'PROYECCIÓN GENERACIÓN'!W108-'SEP ORIGEN'!W108</f>
        <v>2.8608320000000003</v>
      </c>
      <c r="X108" s="263">
        <f>+'PROYECCIÓN GENERACIÓN'!X108-'SEP ORIGEN'!X108</f>
        <v>2.9194360000000006</v>
      </c>
      <c r="Y108" s="263">
        <f>+'PROYECCIÓN GENERACIÓN'!Y108-'SEP ORIGEN'!Y108</f>
        <v>2.9792360000000002</v>
      </c>
      <c r="Z108" s="263">
        <f>+'PROYECCIÓN GENERACIÓN'!Z108-'SEP ORIGEN'!Z108</f>
        <v>3.0402320000000005</v>
      </c>
    </row>
    <row r="109" spans="1:26" ht="24.95" customHeight="1">
      <c r="A109" s="351" t="str">
        <f>+Pobl_adoptada!A109</f>
        <v>Pilar</v>
      </c>
      <c r="B109" s="70">
        <f>+Pobl_adoptada!B109</f>
        <v>105</v>
      </c>
      <c r="C109" s="353" t="str">
        <f>+Pobl_adoptada!C109</f>
        <v>Pilar</v>
      </c>
      <c r="D109" s="261"/>
      <c r="E109" s="278"/>
      <c r="F109" s="263"/>
      <c r="G109" s="263">
        <f>+'PROYECCIÓN GENERACIÓN'!G109-'SEP ORIGEN'!G109</f>
        <v>605.69357309999998</v>
      </c>
      <c r="H109" s="263">
        <f>+'PROYECCIÓN GENERACIÓN'!H109-'SEP ORIGEN'!H109</f>
        <v>573.82031159999997</v>
      </c>
      <c r="I109" s="263">
        <f>+'PROYECCIÓN GENERACIÓN'!I109-'SEP ORIGEN'!I109</f>
        <v>540.28140299999995</v>
      </c>
      <c r="J109" s="263">
        <f>+'PROYECCIÓN GENERACIÓN'!J109-'SEP ORIGEN'!J109</f>
        <v>485.6494725</v>
      </c>
      <c r="K109" s="263">
        <f>+'PROYECCIÓN GENERACIÓN'!K109-'SEP ORIGEN'!K109</f>
        <v>428.63605200000001</v>
      </c>
      <c r="L109" s="263">
        <f>+'PROYECCIÓN GENERACIÓN'!L109-'SEP ORIGEN'!L109</f>
        <v>436.37589449999996</v>
      </c>
      <c r="M109" s="263">
        <f>+'PROYECCIÓN GENERACIÓN'!M109-'SEP ORIGEN'!M109</f>
        <v>444.11573699999997</v>
      </c>
      <c r="N109" s="263">
        <f>+'PROYECCIÓN GENERACIÓN'!N109-'SEP ORIGEN'!N109</f>
        <v>451.85557949999998</v>
      </c>
      <c r="O109" s="263">
        <f>+'PROYECCIÓN GENERACIÓN'!O109-'SEP ORIGEN'!O109</f>
        <v>459.59542199999999</v>
      </c>
      <c r="P109" s="263">
        <f>+'PROYECCIÓN GENERACIÓN'!P109-'SEP ORIGEN'!P109</f>
        <v>467.33526449999999</v>
      </c>
      <c r="Q109" s="263">
        <f>+'PROYECCIÓN GENERACIÓN'!Q109-'SEP ORIGEN'!Q109</f>
        <v>475.07510699999989</v>
      </c>
      <c r="R109" s="263">
        <f>+'PROYECCIÓN GENERACIÓN'!R109-'SEP ORIGEN'!R109</f>
        <v>482.81494950000001</v>
      </c>
      <c r="S109" s="263">
        <f>+'PROYECCIÓN GENERACIÓN'!S109-'SEP ORIGEN'!S109</f>
        <v>490.55387549999995</v>
      </c>
      <c r="T109" s="263">
        <f>+'PROYECCIÓN GENERACIÓN'!T109-'SEP ORIGEN'!T109</f>
        <v>498.29371800000001</v>
      </c>
      <c r="U109" s="263">
        <f>+'PROYECCIÓN GENERACIÓN'!U109-'SEP ORIGEN'!U109</f>
        <v>506.03356049999996</v>
      </c>
      <c r="V109" s="263">
        <f>+'PROYECCIÓN GENERACIÓN'!V109-'SEP ORIGEN'!V109</f>
        <v>513.77340300000003</v>
      </c>
      <c r="W109" s="263">
        <f>+'PROYECCIÓN GENERACIÓN'!W109-'SEP ORIGEN'!W109</f>
        <v>521.51324550000004</v>
      </c>
      <c r="X109" s="263">
        <f>+'PROYECCIÓN GENERACIÓN'!X109-'SEP ORIGEN'!X109</f>
        <v>529.25308799999993</v>
      </c>
      <c r="Y109" s="263">
        <f>+'PROYECCIÓN GENERACIÓN'!Y109-'SEP ORIGEN'!Y109</f>
        <v>536.99293050000006</v>
      </c>
      <c r="Z109" s="263">
        <f>+'PROYECCIÓN GENERACIÓN'!Z109-'SEP ORIGEN'!Z109</f>
        <v>544.73277299999995</v>
      </c>
    </row>
    <row r="110" spans="1:26" ht="24.95" customHeight="1">
      <c r="A110" s="351" t="str">
        <f>+Pobl_adoptada!A110</f>
        <v>Pinamar</v>
      </c>
      <c r="B110" s="70">
        <f>+Pobl_adoptada!B110</f>
        <v>106</v>
      </c>
      <c r="C110" s="353" t="str">
        <f>+Pobl_adoptada!C110</f>
        <v>Pinamar</v>
      </c>
      <c r="D110" s="261"/>
      <c r="E110" s="278"/>
      <c r="F110" s="263"/>
      <c r="G110" s="263">
        <f>+'PROYECCIÓN GENERACIÓN'!G110-'SEP ORIGEN'!G110</f>
        <v>65.500676999999996</v>
      </c>
      <c r="H110" s="263">
        <f>+'PROYECCIÓN GENERACIÓN'!H110-'SEP ORIGEN'!H110</f>
        <v>62.471164800000004</v>
      </c>
      <c r="I110" s="263">
        <f>+'PROYECCIÓN GENERACIÓN'!I110-'SEP ORIGEN'!I110</f>
        <v>59.220435000000009</v>
      </c>
      <c r="J110" s="263">
        <f>+'PROYECCIÓN GENERACIÓN'!J110-'SEP ORIGEN'!J110</f>
        <v>53.601254999999995</v>
      </c>
      <c r="K110" s="263">
        <f>+'PROYECCIÓN GENERACIÓN'!K110-'SEP ORIGEN'!K110</f>
        <v>47.641854000000009</v>
      </c>
      <c r="L110" s="263">
        <f>+'PROYECCIÓN GENERACIÓN'!L110-'SEP ORIGEN'!L110</f>
        <v>48.847851000000006</v>
      </c>
      <c r="M110" s="263">
        <f>+'PROYECCIÓN GENERACIÓN'!M110-'SEP ORIGEN'!M110</f>
        <v>50.074401000000009</v>
      </c>
      <c r="N110" s="263">
        <f>+'PROYECCIÓN GENERACIÓN'!N110-'SEP ORIGEN'!N110</f>
        <v>51.320177999999999</v>
      </c>
      <c r="O110" s="263">
        <f>+'PROYECCIÓN GENERACIÓN'!O110-'SEP ORIGEN'!O110</f>
        <v>52.586508000000009</v>
      </c>
      <c r="P110" s="263">
        <f>+'PROYECCIÓN GENERACIÓN'!P110-'SEP ORIGEN'!P110</f>
        <v>53.873390999999998</v>
      </c>
      <c r="Q110" s="263">
        <f>+'PROYECCIÓN GENERACIÓN'!Q110-'SEP ORIGEN'!Q110</f>
        <v>55.182153</v>
      </c>
      <c r="R110" s="263">
        <f>+'PROYECCIÓN GENERACIÓN'!R110-'SEP ORIGEN'!R110</f>
        <v>56.511468000000001</v>
      </c>
      <c r="S110" s="263">
        <f>+'PROYECCIÓN GENERACIÓN'!S110-'SEP ORIGEN'!S110</f>
        <v>57.862662</v>
      </c>
      <c r="T110" s="263">
        <f>+'PROYECCIÓN GENERACIÓN'!T110-'SEP ORIGEN'!T110</f>
        <v>59.235735000000005</v>
      </c>
      <c r="U110" s="263">
        <f>+'PROYECCIÓN GENERACIÓN'!U110-'SEP ORIGEN'!U110</f>
        <v>60.632013000000008</v>
      </c>
      <c r="V110" s="263">
        <f>+'PROYECCIÓN GENERACIÓN'!V110-'SEP ORIGEN'!V110</f>
        <v>62.050170000000001</v>
      </c>
      <c r="W110" s="263">
        <f>+'PROYECCIÓN GENERACIÓN'!W110-'SEP ORIGEN'!W110</f>
        <v>63.491532000000007</v>
      </c>
      <c r="X110" s="263">
        <f>+'PROYECCIÓN GENERACIÓN'!X110-'SEP ORIGEN'!X110</f>
        <v>64.956761999999998</v>
      </c>
      <c r="Y110" s="263">
        <f>+'PROYECCIÓN GENERACIÓN'!Y110-'SEP ORIGEN'!Y110</f>
        <v>66.44586000000001</v>
      </c>
      <c r="Z110" s="263">
        <f>+'PROYECCIÓN GENERACIÓN'!Z110-'SEP ORIGEN'!Z110</f>
        <v>67.958826000000016</v>
      </c>
    </row>
    <row r="111" spans="1:26" ht="24.95" customHeight="1">
      <c r="A111" s="351" t="str">
        <f>+Pobl_adoptada!A111</f>
        <v>Presidente Perón</v>
      </c>
      <c r="B111" s="70">
        <f>+Pobl_adoptada!B111</f>
        <v>107</v>
      </c>
      <c r="C111" s="353" t="str">
        <f>+Pobl_adoptada!C111</f>
        <v>Presidente Perón</v>
      </c>
      <c r="D111" s="261"/>
      <c r="E111" s="278"/>
      <c r="F111" s="263"/>
      <c r="G111" s="263">
        <f>+'PROYECCIÓN GENERACIÓN'!G111-'SEP ORIGEN'!G111</f>
        <v>115.07579820000001</v>
      </c>
      <c r="H111" s="263">
        <f>+'PROYECCIÓN GENERACIÓN'!H111-'SEP ORIGEN'!H111</f>
        <v>108.92384159999999</v>
      </c>
      <c r="I111" s="263">
        <f>+'PROYECCIÓN GENERACIÓN'!I111-'SEP ORIGEN'!I111</f>
        <v>102.469863</v>
      </c>
      <c r="J111" s="263">
        <f>+'PROYECCIÓN GENERACIÓN'!J111-'SEP ORIGEN'!J111</f>
        <v>92.032560000000004</v>
      </c>
      <c r="K111" s="263">
        <f>+'PROYECCIÓN GENERACIÓN'!K111-'SEP ORIGEN'!K111</f>
        <v>81.164460000000005</v>
      </c>
      <c r="L111" s="263">
        <f>+'PROYECCIÓN GENERACIÓN'!L111-'SEP ORIGEN'!L111</f>
        <v>82.566705000000013</v>
      </c>
      <c r="M111" s="263">
        <f>+'PROYECCIÓN GENERACIÓN'!M111-'SEP ORIGEN'!M111</f>
        <v>83.968950000000007</v>
      </c>
      <c r="N111" s="263">
        <f>+'PROYECCIÓN GENERACIÓN'!N111-'SEP ORIGEN'!N111</f>
        <v>85.371195</v>
      </c>
      <c r="O111" s="263">
        <f>+'PROYECCIÓN GENERACIÓN'!O111-'SEP ORIGEN'!O111</f>
        <v>86.773440000000008</v>
      </c>
      <c r="P111" s="263">
        <f>+'PROYECCIÓN GENERACIÓN'!P111-'SEP ORIGEN'!P111</f>
        <v>88.175685000000001</v>
      </c>
      <c r="Q111" s="263">
        <f>+'PROYECCIÓN GENERACIÓN'!Q111-'SEP ORIGEN'!Q111</f>
        <v>89.577930000000009</v>
      </c>
      <c r="R111" s="263">
        <f>+'PROYECCIÓN GENERACIÓN'!R111-'SEP ORIGEN'!R111</f>
        <v>90.980175000000003</v>
      </c>
      <c r="S111" s="263">
        <f>+'PROYECCIÓN GENERACIÓN'!S111-'SEP ORIGEN'!S111</f>
        <v>92.383083000000013</v>
      </c>
      <c r="T111" s="263">
        <f>+'PROYECCIÓN GENERACIÓN'!T111-'SEP ORIGEN'!T111</f>
        <v>93.785328000000007</v>
      </c>
      <c r="U111" s="263">
        <f>+'PROYECCIÓN GENERACIÓN'!U111-'SEP ORIGEN'!U111</f>
        <v>95.187573000000015</v>
      </c>
      <c r="V111" s="263">
        <f>+'PROYECCIÓN GENERACIÓN'!V111-'SEP ORIGEN'!V111</f>
        <v>96.589817999999994</v>
      </c>
      <c r="W111" s="263">
        <f>+'PROYECCIÓN GENERACIÓN'!W111-'SEP ORIGEN'!W111</f>
        <v>97.992063000000002</v>
      </c>
      <c r="X111" s="263">
        <f>+'PROYECCIÓN GENERACIÓN'!X111-'SEP ORIGEN'!X111</f>
        <v>99.394307999999995</v>
      </c>
      <c r="Y111" s="263">
        <f>+'PROYECCIÓN GENERACIÓN'!Y111-'SEP ORIGEN'!Y111</f>
        <v>100.796553</v>
      </c>
      <c r="Z111" s="263">
        <f>+'PROYECCIÓN GENERACIÓN'!Z111-'SEP ORIGEN'!Z111</f>
        <v>102.19879800000001</v>
      </c>
    </row>
    <row r="112" spans="1:26" ht="24.95" customHeight="1">
      <c r="A112" s="351" t="str">
        <f>+Pobl_adoptada!A112</f>
        <v>Puán</v>
      </c>
      <c r="B112" s="70">
        <f>+Pobl_adoptada!B112</f>
        <v>108</v>
      </c>
      <c r="C112" s="353" t="str">
        <f>+Pobl_adoptada!C112</f>
        <v>Puán</v>
      </c>
      <c r="D112" s="261"/>
      <c r="E112" s="278"/>
      <c r="F112" s="263"/>
      <c r="G112" s="263">
        <f>+'PROYECCIÓN GENERACIÓN'!G112-'SEP ORIGEN'!G112</f>
        <v>4.6122911999999996</v>
      </c>
      <c r="H112" s="263">
        <f>+'PROYECCIÓN GENERACIÓN'!H112-'SEP ORIGEN'!H112</f>
        <v>4.3251039999999996</v>
      </c>
      <c r="I112" s="263">
        <f>+'PROYECCIÓN GENERACIÓN'!I112-'SEP ORIGEN'!I112</f>
        <v>4.0319919999999998</v>
      </c>
      <c r="J112" s="263">
        <f>+'PROYECCIÓN GENERACIÓN'!J112-'SEP ORIGEN'!J112</f>
        <v>3.5886900000000006</v>
      </c>
      <c r="K112" s="263">
        <f>+'PROYECCIÓN GENERACIÓN'!K112-'SEP ORIGEN'!K112</f>
        <v>3.1377059999999997</v>
      </c>
      <c r="L112" s="263">
        <f>+'PROYECCIÓN GENERACIÓN'!L112-'SEP ORIGEN'!L112</f>
        <v>3.177772</v>
      </c>
      <c r="M112" s="263">
        <f>+'PROYECCIÓN GENERACIÓN'!M112-'SEP ORIGEN'!M112</f>
        <v>3.2172400000000003</v>
      </c>
      <c r="N112" s="263">
        <f>+'PROYECCIÓN GENERACIÓN'!N112-'SEP ORIGEN'!N112</f>
        <v>3.2573059999999998</v>
      </c>
      <c r="O112" s="263">
        <f>+'PROYECCIÓN GENERACIÓN'!O112-'SEP ORIGEN'!O112</f>
        <v>3.2973720000000002</v>
      </c>
      <c r="P112" s="263">
        <f>+'PROYECCIÓN GENERACIÓN'!P112-'SEP ORIGEN'!P112</f>
        <v>3.3368400000000005</v>
      </c>
      <c r="Q112" s="263">
        <f>+'PROYECCIÓN GENERACIÓN'!Q112-'SEP ORIGEN'!Q112</f>
        <v>3.376906</v>
      </c>
      <c r="R112" s="263">
        <f>+'PROYECCIÓN GENERACIÓN'!R112-'SEP ORIGEN'!R112</f>
        <v>3.4169719999999999</v>
      </c>
      <c r="S112" s="263">
        <f>+'PROYECCIÓN GENERACIÓN'!S112-'SEP ORIGEN'!S112</f>
        <v>3.4564400000000006</v>
      </c>
      <c r="T112" s="263">
        <f>+'PROYECCIÓN GENERACIÓN'!T112-'SEP ORIGEN'!T112</f>
        <v>3.4965059999999997</v>
      </c>
      <c r="U112" s="263">
        <f>+'PROYECCIÓN GENERACIÓN'!U112-'SEP ORIGEN'!U112</f>
        <v>3.5359740000000004</v>
      </c>
      <c r="V112" s="263">
        <f>+'PROYECCIÓN GENERACIÓN'!V112-'SEP ORIGEN'!V112</f>
        <v>3.5760400000000008</v>
      </c>
      <c r="W112" s="263">
        <f>+'PROYECCIÓN GENERACIÓN'!W112-'SEP ORIGEN'!W112</f>
        <v>3.6161060000000003</v>
      </c>
      <c r="X112" s="263">
        <f>+'PROYECCIÓN GENERACIÓN'!X112-'SEP ORIGEN'!X112</f>
        <v>3.6555740000000005</v>
      </c>
      <c r="Y112" s="263">
        <f>+'PROYECCIÓN GENERACIÓN'!Y112-'SEP ORIGEN'!Y112</f>
        <v>3.69564</v>
      </c>
      <c r="Z112" s="263">
        <f>+'PROYECCIÓN GENERACIÓN'!Z112-'SEP ORIGEN'!Z112</f>
        <v>3.7357060000000004</v>
      </c>
    </row>
    <row r="113" spans="1:26" ht="24.95" customHeight="1">
      <c r="A113" s="351" t="str">
        <f>+Pobl_adoptada!A113</f>
        <v>Punta Indio</v>
      </c>
      <c r="B113" s="70">
        <f>+Pobl_adoptada!B113</f>
        <v>109</v>
      </c>
      <c r="C113" s="353" t="str">
        <f>+Pobl_adoptada!C113</f>
        <v>Verónica</v>
      </c>
      <c r="D113" s="261"/>
      <c r="E113" s="278"/>
      <c r="F113" s="263"/>
      <c r="G113" s="263">
        <f>+'PROYECCIÓN GENERACIÓN'!G113-'SEP ORIGEN'!G113</f>
        <v>8.1288900000000002</v>
      </c>
      <c r="H113" s="263">
        <f>+'PROYECCIÓN GENERACIÓN'!H113-'SEP ORIGEN'!H113</f>
        <v>7.6980079999999997</v>
      </c>
      <c r="I113" s="263">
        <f>+'PROYECCIÓN GENERACIÓN'!I113-'SEP ORIGEN'!I113</f>
        <v>7.2475760000000005</v>
      </c>
      <c r="J113" s="263">
        <f>+'PROYECCIÓN GENERACIÓN'!J113-'SEP ORIGEN'!J113</f>
        <v>6.5163600000000006</v>
      </c>
      <c r="K113" s="263">
        <f>+'PROYECCIÓN GENERACIÓN'!K113-'SEP ORIGEN'!K113</f>
        <v>5.7539560000000005</v>
      </c>
      <c r="L113" s="263">
        <f>+'PROYECCIÓN GENERACIÓN'!L113-'SEP ORIGEN'!L113</f>
        <v>5.8627920000000007</v>
      </c>
      <c r="M113" s="263">
        <f>+'PROYECCIÓN GENERACIÓN'!M113-'SEP ORIGEN'!M113</f>
        <v>5.972824000000001</v>
      </c>
      <c r="N113" s="263">
        <f>+'PROYECCIÓN GENERACIÓN'!N113-'SEP ORIGEN'!N113</f>
        <v>6.085248</v>
      </c>
      <c r="O113" s="263">
        <f>+'PROYECCIÓN GENERACIÓN'!O113-'SEP ORIGEN'!O113</f>
        <v>6.1988680000000009</v>
      </c>
      <c r="P113" s="263">
        <f>+'PROYECCIÓN GENERACIÓN'!P113-'SEP ORIGEN'!P113</f>
        <v>6.3148800000000005</v>
      </c>
      <c r="Q113" s="263">
        <f>+'PROYECCIÓN GENERACIÓN'!Q113-'SEP ORIGEN'!Q113</f>
        <v>6.4326860000000003</v>
      </c>
      <c r="R113" s="263">
        <f>+'PROYECCIÓN GENERACIÓN'!R113-'SEP ORIGEN'!R113</f>
        <v>6.5522860000000005</v>
      </c>
      <c r="S113" s="263">
        <f>+'PROYECCIÓN GENERACIÓN'!S113-'SEP ORIGEN'!S113</f>
        <v>6.6736800000000009</v>
      </c>
      <c r="T113" s="263">
        <f>+'PROYECCIÓN GENERACIÓN'!T113-'SEP ORIGEN'!T113</f>
        <v>6.7974660000000018</v>
      </c>
      <c r="U113" s="263">
        <f>+'PROYECCIÓN GENERACIÓN'!U113-'SEP ORIGEN'!U113</f>
        <v>6.9230460000000011</v>
      </c>
      <c r="V113" s="263">
        <f>+'PROYECCIÓN GENERACIÓN'!V113-'SEP ORIGEN'!V113</f>
        <v>7.0504200000000008</v>
      </c>
      <c r="W113" s="263">
        <f>+'PROYECCIÓN GENERACIÓN'!W113-'SEP ORIGEN'!W113</f>
        <v>7.1801860000000008</v>
      </c>
      <c r="X113" s="263">
        <f>+'PROYECCIÓN GENERACIÓN'!X113-'SEP ORIGEN'!X113</f>
        <v>7.3117459999999994</v>
      </c>
      <c r="Y113" s="263">
        <f>+'PROYECCIÓN GENERACIÓN'!Y113-'SEP ORIGEN'!Y113</f>
        <v>7.4456980000000001</v>
      </c>
      <c r="Z113" s="263">
        <f>+'PROYECCIÓN GENERACIÓN'!Z113-'SEP ORIGEN'!Z113</f>
        <v>7.5820420000000004</v>
      </c>
    </row>
    <row r="114" spans="1:26" ht="24.95" customHeight="1">
      <c r="A114" s="351" t="str">
        <f>+Pobl_adoptada!A114</f>
        <v>Ramallo</v>
      </c>
      <c r="B114" s="70">
        <f>+Pobl_adoptada!B114</f>
        <v>110</v>
      </c>
      <c r="C114" s="353" t="str">
        <f>+Pobl_adoptada!C114</f>
        <v>Ramallo</v>
      </c>
      <c r="D114" s="261"/>
      <c r="E114" s="278"/>
      <c r="F114" s="263"/>
      <c r="G114" s="263">
        <f>+'PROYECCIÓN GENERACIÓN'!G114-'SEP ORIGEN'!G114</f>
        <v>17.4662136</v>
      </c>
      <c r="H114" s="263">
        <f>+'PROYECCIÓN GENERACIÓN'!H114-'SEP ORIGEN'!H114</f>
        <v>16.458450400000004</v>
      </c>
      <c r="I114" s="263">
        <f>+'PROYECCIÓN GENERACIÓN'!I114-'SEP ORIGEN'!I114</f>
        <v>15.419714000000001</v>
      </c>
      <c r="J114" s="263">
        <f>+'PROYECCIÓN GENERACIÓN'!J114-'SEP ORIGEN'!J114</f>
        <v>13.796430000000001</v>
      </c>
      <c r="K114" s="263">
        <f>+'PROYECCIÓN GENERACIÓN'!K114-'SEP ORIGEN'!K114</f>
        <v>12.124333</v>
      </c>
      <c r="L114" s="263">
        <f>+'PROYECCIÓN GENERACIÓN'!L114-'SEP ORIGEN'!L114</f>
        <v>12.294516</v>
      </c>
      <c r="M114" s="263">
        <f>+'PROYECCIÓN GENERACIÓN'!M114-'SEP ORIGEN'!M114</f>
        <v>12.466766</v>
      </c>
      <c r="N114" s="263">
        <f>+'PROYECCIÓN GENERACIÓN'!N114-'SEP ORIGEN'!N114</f>
        <v>12.641772000000003</v>
      </c>
      <c r="O114" s="263">
        <f>+'PROYECCIÓN GENERACIÓN'!O114-'SEP ORIGEN'!O114</f>
        <v>12.818845</v>
      </c>
      <c r="P114" s="263">
        <f>+'PROYECCIÓN GENERACIÓN'!P114-'SEP ORIGEN'!P114</f>
        <v>12.998674000000001</v>
      </c>
      <c r="Q114" s="263">
        <f>+'PROYECCIÓN GENERACIÓN'!Q114-'SEP ORIGEN'!Q114</f>
        <v>13.181259000000001</v>
      </c>
      <c r="R114" s="263">
        <f>+'PROYECCIÓN GENERACIÓN'!R114-'SEP ORIGEN'!R114</f>
        <v>13.365911000000001</v>
      </c>
      <c r="S114" s="263">
        <f>+'PROYECCIÓN GENERACIÓN'!S114-'SEP ORIGEN'!S114</f>
        <v>13.553319000000002</v>
      </c>
      <c r="T114" s="263">
        <f>+'PROYECCIÓN GENERACIÓN'!T114-'SEP ORIGEN'!T114</f>
        <v>13.743482999999999</v>
      </c>
      <c r="U114" s="263">
        <f>+'PROYECCIÓN GENERACIÓN'!U114-'SEP ORIGEN'!U114</f>
        <v>13.936403000000002</v>
      </c>
      <c r="V114" s="263">
        <f>+'PROYECCIÓN GENERACIÓN'!V114-'SEP ORIGEN'!V114</f>
        <v>14.13139</v>
      </c>
      <c r="W114" s="263">
        <f>+'PROYECCIÓN GENERACIÓN'!W114-'SEP ORIGEN'!W114</f>
        <v>14.329822</v>
      </c>
      <c r="X114" s="263">
        <f>+'PROYECCIÓN GENERACIÓN'!X114-'SEP ORIGEN'!X114</f>
        <v>14.531010000000002</v>
      </c>
      <c r="Y114" s="263">
        <f>+'PROYECCIÓN GENERACIÓN'!Y114-'SEP ORIGEN'!Y114</f>
        <v>14.734265000000002</v>
      </c>
      <c r="Z114" s="263">
        <f>+'PROYECCIÓN GENERACIÓN'!Z114-'SEP ORIGEN'!Z114</f>
        <v>14.940965</v>
      </c>
    </row>
    <row r="115" spans="1:26" ht="24.95" customHeight="1">
      <c r="A115" s="351" t="str">
        <f>+Pobl_adoptada!A115</f>
        <v>Rauch</v>
      </c>
      <c r="B115" s="70">
        <f>+Pobl_adoptada!B115</f>
        <v>111</v>
      </c>
      <c r="C115" s="353" t="str">
        <f>+Pobl_adoptada!C115</f>
        <v>Rauch</v>
      </c>
      <c r="D115" s="261"/>
      <c r="E115" s="278"/>
      <c r="F115" s="263"/>
      <c r="G115" s="263">
        <f>+'PROYECCIÓN GENERACIÓN'!G115-'SEP ORIGEN'!G115</f>
        <v>13.406976</v>
      </c>
      <c r="H115" s="263">
        <f>+'PROYECCIÓN GENERACIÓN'!H115-'SEP ORIGEN'!H115</f>
        <v>12.5673472</v>
      </c>
      <c r="I115" s="263">
        <f>+'PROYECCIÓN GENERACIÓN'!I115-'SEP ORIGEN'!I115</f>
        <v>11.71045</v>
      </c>
      <c r="J115" s="263">
        <f>+'PROYECCIÓN GENERACIÓN'!J115-'SEP ORIGEN'!J115</f>
        <v>10.42107</v>
      </c>
      <c r="K115" s="263">
        <f>+'PROYECCIÓN GENERACIÓN'!K115-'SEP ORIGEN'!K115</f>
        <v>9.1075400000000002</v>
      </c>
      <c r="L115" s="263">
        <f>+'PROYECCIÓN GENERACIÓN'!L115-'SEP ORIGEN'!L115</f>
        <v>9.1840840000000004</v>
      </c>
      <c r="M115" s="263">
        <f>+'PROYECCIÓN GENERACIÓN'!M115-'SEP ORIGEN'!M115</f>
        <v>9.2606280000000005</v>
      </c>
      <c r="N115" s="263">
        <f>+'PROYECCIÓN GENERACIÓN'!N115-'SEP ORIGEN'!N115</f>
        <v>9.3365740000000006</v>
      </c>
      <c r="O115" s="263">
        <f>+'PROYECCIÓN GENERACIÓN'!O115-'SEP ORIGEN'!O115</f>
        <v>9.4131180000000008</v>
      </c>
      <c r="P115" s="263">
        <f>+'PROYECCIÓN GENERACIÓN'!P115-'SEP ORIGEN'!P115</f>
        <v>9.4890640000000008</v>
      </c>
      <c r="Q115" s="263">
        <f>+'PROYECCIÓN GENERACIÓN'!Q115-'SEP ORIGEN'!Q115</f>
        <v>9.565608000000001</v>
      </c>
      <c r="R115" s="263">
        <f>+'PROYECCIÓN GENERACIÓN'!R115-'SEP ORIGEN'!R115</f>
        <v>9.6415539999999993</v>
      </c>
      <c r="S115" s="263">
        <f>+'PROYECCIÓN GENERACIÓN'!S115-'SEP ORIGEN'!S115</f>
        <v>9.7180980000000012</v>
      </c>
      <c r="T115" s="263">
        <f>+'PROYECCIÓN GENERACIÓN'!T115-'SEP ORIGEN'!T115</f>
        <v>9.7940439999999995</v>
      </c>
      <c r="U115" s="263">
        <f>+'PROYECCIÓN GENERACIÓN'!U115-'SEP ORIGEN'!U115</f>
        <v>9.8705880000000015</v>
      </c>
      <c r="V115" s="263">
        <f>+'PROYECCIÓN GENERACIÓN'!V115-'SEP ORIGEN'!V115</f>
        <v>9.9471319999999999</v>
      </c>
      <c r="W115" s="263">
        <f>+'PROYECCIÓN GENERACIÓN'!W115-'SEP ORIGEN'!W115</f>
        <v>10.023078000000002</v>
      </c>
      <c r="X115" s="263">
        <f>+'PROYECCIÓN GENERACIÓN'!X115-'SEP ORIGEN'!X115</f>
        <v>10.099622</v>
      </c>
      <c r="Y115" s="263">
        <f>+'PROYECCIÓN GENERACIÓN'!Y115-'SEP ORIGEN'!Y115</f>
        <v>10.175568000000002</v>
      </c>
      <c r="Z115" s="263">
        <f>+'PROYECCIÓN GENERACIÓN'!Z115-'SEP ORIGEN'!Z115</f>
        <v>10.252112</v>
      </c>
    </row>
    <row r="116" spans="1:26" ht="24.95" customHeight="1">
      <c r="A116" s="351" t="str">
        <f>+Pobl_adoptada!A116</f>
        <v>Rivadavia</v>
      </c>
      <c r="B116" s="70">
        <f>+Pobl_adoptada!B116</f>
        <v>112</v>
      </c>
      <c r="C116" s="353" t="str">
        <f>+Pobl_adoptada!C116</f>
        <v>América</v>
      </c>
      <c r="D116" s="261"/>
      <c r="E116" s="278"/>
      <c r="F116" s="263"/>
      <c r="G116" s="263">
        <f>+'PROYECCIÓN GENERACIÓN'!G116-'SEP ORIGEN'!G116</f>
        <v>12.661030800000001</v>
      </c>
      <c r="H116" s="263">
        <f>+'PROYECCIÓN GENERACIÓN'!H116-'SEP ORIGEN'!H116</f>
        <v>11.884302400000001</v>
      </c>
      <c r="I116" s="263">
        <f>+'PROYECCIÓN GENERACIÓN'!I116-'SEP ORIGEN'!I116</f>
        <v>11.088760000000001</v>
      </c>
      <c r="J116" s="263">
        <f>+'PROYECCIÓN GENERACIÓN'!J116-'SEP ORIGEN'!J116</f>
        <v>9.8808000000000007</v>
      </c>
      <c r="K116" s="263">
        <f>+'PROYECCIÓN GENERACIÓN'!K116-'SEP ORIGEN'!K116</f>
        <v>8.6470800000000008</v>
      </c>
      <c r="L116" s="263">
        <f>+'PROYECCIÓN GENERACIÓN'!L116-'SEP ORIGEN'!L116</f>
        <v>8.7308000000000003</v>
      </c>
      <c r="M116" s="263">
        <f>+'PROYECCIÓN GENERACIÓN'!M116-'SEP ORIGEN'!M116</f>
        <v>8.8145200000000017</v>
      </c>
      <c r="N116" s="263">
        <f>+'PROYECCIÓN GENERACIÓN'!N116-'SEP ORIGEN'!N116</f>
        <v>8.8982400000000013</v>
      </c>
      <c r="O116" s="263">
        <f>+'PROYECCIÓN GENERACIÓN'!O116-'SEP ORIGEN'!O116</f>
        <v>8.9819600000000008</v>
      </c>
      <c r="P116" s="263">
        <f>+'PROYECCIÓN GENERACIÓN'!P116-'SEP ORIGEN'!P116</f>
        <v>9.0656800000000004</v>
      </c>
      <c r="Q116" s="263">
        <f>+'PROYECCIÓN GENERACIÓN'!Q116-'SEP ORIGEN'!Q116</f>
        <v>9.1488019999999999</v>
      </c>
      <c r="R116" s="263">
        <f>+'PROYECCIÓN GENERACIÓN'!R116-'SEP ORIGEN'!R116</f>
        <v>9.2325220000000012</v>
      </c>
      <c r="S116" s="263">
        <f>+'PROYECCIÓN GENERACIÓN'!S116-'SEP ORIGEN'!S116</f>
        <v>9.316241999999999</v>
      </c>
      <c r="T116" s="263">
        <f>+'PROYECCIÓN GENERACIÓN'!T116-'SEP ORIGEN'!T116</f>
        <v>9.3999620000000021</v>
      </c>
      <c r="U116" s="263">
        <f>+'PROYECCIÓN GENERACIÓN'!U116-'SEP ORIGEN'!U116</f>
        <v>9.4836819999999999</v>
      </c>
      <c r="V116" s="263">
        <f>+'PROYECCIÓN GENERACIÓN'!V116-'SEP ORIGEN'!V116</f>
        <v>9.5674020000000013</v>
      </c>
      <c r="W116" s="263">
        <f>+'PROYECCIÓN GENERACIÓN'!W116-'SEP ORIGEN'!W116</f>
        <v>9.6511220000000009</v>
      </c>
      <c r="X116" s="263">
        <f>+'PROYECCIÓN GENERACIÓN'!X116-'SEP ORIGEN'!X116</f>
        <v>9.7348420000000004</v>
      </c>
      <c r="Y116" s="263">
        <f>+'PROYECCIÓN GENERACIÓN'!Y116-'SEP ORIGEN'!Y116</f>
        <v>9.8185620000000018</v>
      </c>
      <c r="Z116" s="263">
        <f>+'PROYECCIÓN GENERACIÓN'!Z116-'SEP ORIGEN'!Z116</f>
        <v>9.9016840000000013</v>
      </c>
    </row>
    <row r="117" spans="1:26" ht="24.95" customHeight="1">
      <c r="A117" s="351" t="str">
        <f>+Pobl_adoptada!A117</f>
        <v>Rojas</v>
      </c>
      <c r="B117" s="70">
        <f>+Pobl_adoptada!B117</f>
        <v>113</v>
      </c>
      <c r="C117" s="353" t="str">
        <f>+Pobl_adoptada!C117</f>
        <v>Rojas</v>
      </c>
      <c r="D117" s="261"/>
      <c r="E117" s="278"/>
      <c r="F117" s="263"/>
      <c r="G117" s="263">
        <f>+'PROYECCIÓN GENERACIÓN'!G117-'SEP ORIGEN'!G117</f>
        <v>22.8737718</v>
      </c>
      <c r="H117" s="263">
        <f>+'PROYECCIÓN GENERACIÓN'!H117-'SEP ORIGEN'!H117</f>
        <v>21.386136000000004</v>
      </c>
      <c r="I117" s="263">
        <f>+'PROYECCIÓN GENERACIÓN'!I117-'SEP ORIGEN'!I117</f>
        <v>19.880565000000004</v>
      </c>
      <c r="J117" s="263">
        <f>+'PROYECCIÓN GENERACIÓN'!J117-'SEP ORIGEN'!J117</f>
        <v>17.649000000000001</v>
      </c>
      <c r="K117" s="263">
        <f>+'PROYECCIÓN GENERACIÓN'!K117-'SEP ORIGEN'!K117</f>
        <v>15.389504000000001</v>
      </c>
      <c r="L117" s="263">
        <f>+'PROYECCIÓN GENERACIÓN'!L117-'SEP ORIGEN'!L117</f>
        <v>15.483897000000001</v>
      </c>
      <c r="M117" s="263">
        <f>+'PROYECCIÓN GENERACIÓN'!M117-'SEP ORIGEN'!M117</f>
        <v>15.578979</v>
      </c>
      <c r="N117" s="263">
        <f>+'PROYECCIÓN GENERACIÓN'!N117-'SEP ORIGEN'!N117</f>
        <v>15.67475</v>
      </c>
      <c r="O117" s="263">
        <f>+'PROYECCIÓN GENERACIÓN'!O117-'SEP ORIGEN'!O117</f>
        <v>15.770521000000002</v>
      </c>
      <c r="P117" s="263">
        <f>+'PROYECCIÓN GENERACIÓN'!P117-'SEP ORIGEN'!P117</f>
        <v>15.866981000000001</v>
      </c>
      <c r="Q117" s="263">
        <f>+'PROYECCIÓN GENERACIÓN'!Q117-'SEP ORIGEN'!Q117</f>
        <v>15.964819</v>
      </c>
      <c r="R117" s="263">
        <f>+'PROYECCIÓN GENERACIÓN'!R117-'SEP ORIGEN'!R117</f>
        <v>16.062657000000002</v>
      </c>
      <c r="S117" s="263">
        <f>+'PROYECCIÓN GENERACIÓN'!S117-'SEP ORIGEN'!S117</f>
        <v>16.161183999999999</v>
      </c>
      <c r="T117" s="263">
        <f>+'PROYECCIÓN GENERACIÓN'!T117-'SEP ORIGEN'!T117</f>
        <v>16.259711000000003</v>
      </c>
      <c r="U117" s="263">
        <f>+'PROYECCIÓN GENERACIÓN'!U117-'SEP ORIGEN'!U117</f>
        <v>16.359616000000003</v>
      </c>
      <c r="V117" s="263">
        <f>+'PROYECCIÓN GENERACIÓN'!V117-'SEP ORIGEN'!V117</f>
        <v>16.460210000000004</v>
      </c>
      <c r="W117" s="263">
        <f>+'PROYECCIÓN GENERACIÓN'!W117-'SEP ORIGEN'!W117</f>
        <v>16.560803999999997</v>
      </c>
      <c r="X117" s="263">
        <f>+'PROYECCIÓN GENERACIÓN'!X117-'SEP ORIGEN'!X117</f>
        <v>16.662776000000001</v>
      </c>
      <c r="Y117" s="263">
        <f>+'PROYECCIÓN GENERACIÓN'!Y117-'SEP ORIGEN'!Y117</f>
        <v>16.764748000000001</v>
      </c>
      <c r="Z117" s="263">
        <f>+'PROYECCIÓN GENERACIÓN'!Z117-'SEP ORIGEN'!Z117</f>
        <v>16.867409000000002</v>
      </c>
    </row>
    <row r="118" spans="1:26" ht="24.95" customHeight="1">
      <c r="A118" s="351" t="str">
        <f>+Pobl_adoptada!A118</f>
        <v>Roque Pérez</v>
      </c>
      <c r="B118" s="70">
        <f>+Pobl_adoptada!B118</f>
        <v>114</v>
      </c>
      <c r="C118" s="353" t="str">
        <f>+Pobl_adoptada!C118</f>
        <v>Roque Pérez</v>
      </c>
      <c r="D118" s="261"/>
      <c r="E118" s="278"/>
      <c r="F118" s="263"/>
      <c r="G118" s="263">
        <f>+'PROYECCIÓN GENERACIÓN'!G118-'SEP ORIGEN'!G118</f>
        <v>12.769416000000001</v>
      </c>
      <c r="H118" s="263">
        <f>+'PROYECCIÓN GENERACIÓN'!H118-'SEP ORIGEN'!H118</f>
        <v>12.059507200000001</v>
      </c>
      <c r="I118" s="263">
        <f>+'PROYECCIÓN GENERACIÓN'!I118-'SEP ORIGEN'!I118</f>
        <v>11.320232000000001</v>
      </c>
      <c r="J118" s="263">
        <f>+'PROYECCIÓN GENERACIÓN'!J118-'SEP ORIGEN'!J118</f>
        <v>10.145759999999999</v>
      </c>
      <c r="K118" s="263">
        <f>+'PROYECCIÓN GENERACIÓN'!K118-'SEP ORIGEN'!K118</f>
        <v>8.9293360000000011</v>
      </c>
      <c r="L118" s="263">
        <f>+'PROYECCIÓN GENERACIÓN'!L118-'SEP ORIGEN'!L118</f>
        <v>9.0656800000000004</v>
      </c>
      <c r="M118" s="263">
        <f>+'PROYECCIÓN GENERACIÓN'!M118-'SEP ORIGEN'!M118</f>
        <v>9.2014260000000014</v>
      </c>
      <c r="N118" s="263">
        <f>+'PROYECCIÓN GENERACIÓN'!N118-'SEP ORIGEN'!N118</f>
        <v>9.3377700000000026</v>
      </c>
      <c r="O118" s="263">
        <f>+'PROYECCIÓN GENERACIÓN'!O118-'SEP ORIGEN'!O118</f>
        <v>9.4741140000000001</v>
      </c>
      <c r="P118" s="263">
        <f>+'PROYECCIÓN GENERACIÓN'!P118-'SEP ORIGEN'!P118</f>
        <v>9.6104580000000013</v>
      </c>
      <c r="Q118" s="263">
        <f>+'PROYECCIÓN GENERACIÓN'!Q118-'SEP ORIGEN'!Q118</f>
        <v>9.7468019999999989</v>
      </c>
      <c r="R118" s="263">
        <f>+'PROYECCIÓN GENERACIÓN'!R118-'SEP ORIGEN'!R118</f>
        <v>9.883146</v>
      </c>
      <c r="S118" s="263">
        <f>+'PROYECCIÓN GENERACIÓN'!S118-'SEP ORIGEN'!S118</f>
        <v>10.019490000000001</v>
      </c>
      <c r="T118" s="263">
        <f>+'PROYECCIÓN GENERACIÓN'!T118-'SEP ORIGEN'!T118</f>
        <v>10.155834000000002</v>
      </c>
      <c r="U118" s="263">
        <f>+'PROYECCIÓN GENERACIÓN'!U118-'SEP ORIGEN'!U118</f>
        <v>10.291580000000002</v>
      </c>
      <c r="V118" s="263">
        <f>+'PROYECCIÓN GENERACIÓN'!V118-'SEP ORIGEN'!V118</f>
        <v>10.427924000000001</v>
      </c>
      <c r="W118" s="263">
        <f>+'PROYECCIÓN GENERACIÓN'!W118-'SEP ORIGEN'!W118</f>
        <v>10.564268</v>
      </c>
      <c r="X118" s="263">
        <f>+'PROYECCIÓN GENERACIÓN'!X118-'SEP ORIGEN'!X118</f>
        <v>10.700612</v>
      </c>
      <c r="Y118" s="263">
        <f>+'PROYECCIÓN GENERACIÓN'!Y118-'SEP ORIGEN'!Y118</f>
        <v>10.836956000000001</v>
      </c>
      <c r="Z118" s="263">
        <f>+'PROYECCIÓN GENERACIÓN'!Z118-'SEP ORIGEN'!Z118</f>
        <v>10.973300000000002</v>
      </c>
    </row>
    <row r="119" spans="1:26" ht="24.95" customHeight="1">
      <c r="A119" s="351" t="str">
        <f>+Pobl_adoptada!A119</f>
        <v>Saavedra</v>
      </c>
      <c r="B119" s="70">
        <f>+Pobl_adoptada!B119</f>
        <v>115</v>
      </c>
      <c r="C119" s="353" t="str">
        <f>+Pobl_adoptada!C119</f>
        <v>Pigüé</v>
      </c>
      <c r="D119" s="261"/>
      <c r="E119" s="278"/>
      <c r="F119" s="263"/>
      <c r="G119" s="263">
        <f>+'PROYECCIÓN GENERACIÓN'!G119-'SEP ORIGEN'!G119</f>
        <v>16.199587800000003</v>
      </c>
      <c r="H119" s="263">
        <f>+'PROYECCIÓN GENERACIÓN'!H119-'SEP ORIGEN'!H119</f>
        <v>15.121451200000001</v>
      </c>
      <c r="I119" s="263">
        <f>+'PROYECCIÓN GENERACIÓN'!I119-'SEP ORIGEN'!I119</f>
        <v>14.032174000000003</v>
      </c>
      <c r="J119" s="263">
        <f>+'PROYECCIÓN GENERACIÓN'!J119-'SEP ORIGEN'!J119</f>
        <v>12.436185000000002</v>
      </c>
      <c r="K119" s="263">
        <f>+'PROYECCIÓN GENERACIÓN'!K119-'SEP ORIGEN'!K119</f>
        <v>10.826257000000002</v>
      </c>
      <c r="L119" s="263">
        <f>+'PROYECCIÓN GENERACIÓN'!L119-'SEP ORIGEN'!L119</f>
        <v>10.873798000000001</v>
      </c>
      <c r="M119" s="263">
        <f>+'PROYECCIÓN GENERACIÓN'!M119-'SEP ORIGEN'!M119</f>
        <v>10.922028000000003</v>
      </c>
      <c r="N119" s="263">
        <f>+'PROYECCIÓN GENERACIÓN'!N119-'SEP ORIGEN'!N119</f>
        <v>10.970258000000001</v>
      </c>
      <c r="O119" s="263">
        <f>+'PROYECCIÓN GENERACIÓN'!O119-'SEP ORIGEN'!O119</f>
        <v>11.019177000000001</v>
      </c>
      <c r="P119" s="263">
        <f>+'PROYECCIÓN GENERACIÓN'!P119-'SEP ORIGEN'!P119</f>
        <v>11.068096000000001</v>
      </c>
      <c r="Q119" s="263">
        <f>+'PROYECCIÓN GENERACIÓN'!Q119-'SEP ORIGEN'!Q119</f>
        <v>11.117015000000002</v>
      </c>
      <c r="R119" s="263">
        <f>+'PROYECCIÓN GENERACIÓN'!R119-'SEP ORIGEN'!R119</f>
        <v>11.165934</v>
      </c>
      <c r="S119" s="263">
        <f>+'PROYECCIÓN GENERACIÓN'!S119-'SEP ORIGEN'!S119</f>
        <v>11.215542000000001</v>
      </c>
      <c r="T119" s="263">
        <f>+'PROYECCIÓN GENERACIÓN'!T119-'SEP ORIGEN'!T119</f>
        <v>11.26515</v>
      </c>
      <c r="U119" s="263">
        <f>+'PROYECCIÓN GENERACIÓN'!U119-'SEP ORIGEN'!U119</f>
        <v>11.315447000000001</v>
      </c>
      <c r="V119" s="263">
        <f>+'PROYECCIÓN GENERACIÓN'!V119-'SEP ORIGEN'!V119</f>
        <v>11.365055000000002</v>
      </c>
      <c r="W119" s="263">
        <f>+'PROYECCIÓN GENERACIÓN'!W119-'SEP ORIGEN'!W119</f>
        <v>11.416041</v>
      </c>
      <c r="X119" s="263">
        <f>+'PROYECCIÓN GENERACIÓN'!X119-'SEP ORIGEN'!X119</f>
        <v>11.466338000000002</v>
      </c>
      <c r="Y119" s="263">
        <f>+'PROYECCIÓN GENERACIÓN'!Y119-'SEP ORIGEN'!Y119</f>
        <v>11.517323999999999</v>
      </c>
      <c r="Z119" s="263">
        <f>+'PROYECCIÓN GENERACIÓN'!Z119-'SEP ORIGEN'!Z119</f>
        <v>11.568310000000002</v>
      </c>
    </row>
    <row r="120" spans="1:26" ht="24.95" customHeight="1">
      <c r="A120" s="351" t="str">
        <f>+Pobl_adoptada!A120</f>
        <v>Saladillo</v>
      </c>
      <c r="B120" s="70">
        <f>+Pobl_adoptada!B120</f>
        <v>116</v>
      </c>
      <c r="C120" s="353" t="str">
        <f>+Pobl_adoptada!C120</f>
        <v>Saladillo</v>
      </c>
      <c r="D120" s="261"/>
      <c r="E120" s="278"/>
      <c r="F120" s="263"/>
      <c r="G120" s="263">
        <f>+'PROYECCIÓN GENERACIÓN'!G120-'SEP ORIGEN'!G120</f>
        <v>34.935575399999998</v>
      </c>
      <c r="H120" s="263">
        <f>+'PROYECCIÓN GENERACIÓN'!H120-'SEP ORIGEN'!H120</f>
        <v>32.859363999999999</v>
      </c>
      <c r="I120" s="263">
        <f>+'PROYECCIÓN GENERACIÓN'!I120-'SEP ORIGEN'!I120</f>
        <v>30.722298000000002</v>
      </c>
      <c r="J120" s="263">
        <f>+'PROYECCIÓN GENERACIÓN'!J120-'SEP ORIGEN'!J120</f>
        <v>27.429090000000002</v>
      </c>
      <c r="K120" s="263">
        <f>+'PROYECCIÓN GENERACIÓN'!K120-'SEP ORIGEN'!K120</f>
        <v>24.050234000000003</v>
      </c>
      <c r="L120" s="263">
        <f>+'PROYECCIÓN GENERACIÓN'!L120-'SEP ORIGEN'!L120</f>
        <v>24.328589999999998</v>
      </c>
      <c r="M120" s="263">
        <f>+'PROYECCIÓN GENERACIÓN'!M120-'SEP ORIGEN'!M120</f>
        <v>24.606946000000004</v>
      </c>
      <c r="N120" s="263">
        <f>+'PROYECCIÓN GENERACIÓN'!N120-'SEP ORIGEN'!N120</f>
        <v>24.885302000000003</v>
      </c>
      <c r="O120" s="263">
        <f>+'PROYECCIÓN GENERACIÓN'!O120-'SEP ORIGEN'!O120</f>
        <v>25.163658000000005</v>
      </c>
      <c r="P120" s="263">
        <f>+'PROYECCIÓN GENERACIÓN'!P120-'SEP ORIGEN'!P120</f>
        <v>25.442014000000004</v>
      </c>
      <c r="Q120" s="263">
        <f>+'PROYECCIÓN GENERACIÓN'!Q120-'SEP ORIGEN'!Q120</f>
        <v>25.720370000000003</v>
      </c>
      <c r="R120" s="263">
        <f>+'PROYECCIÓN GENERACIÓN'!R120-'SEP ORIGEN'!R120</f>
        <v>25.998726000000005</v>
      </c>
      <c r="S120" s="263">
        <f>+'PROYECCIÓN GENERACIÓN'!S120-'SEP ORIGEN'!S120</f>
        <v>26.277082</v>
      </c>
      <c r="T120" s="263">
        <f>+'PROYECCIÓN GENERACIÓN'!T120-'SEP ORIGEN'!T120</f>
        <v>26.555438000000002</v>
      </c>
      <c r="U120" s="263">
        <f>+'PROYECCIÓN GENERACIÓN'!U120-'SEP ORIGEN'!U120</f>
        <v>26.833794000000005</v>
      </c>
      <c r="V120" s="263">
        <f>+'PROYECCIÓN GENERACIÓN'!V120-'SEP ORIGEN'!V120</f>
        <v>27.11215</v>
      </c>
      <c r="W120" s="263">
        <f>+'PROYECCIÓN GENERACIÓN'!W120-'SEP ORIGEN'!W120</f>
        <v>27.390506000000006</v>
      </c>
      <c r="X120" s="263">
        <f>+'PROYECCIÓN GENERACIÓN'!X120-'SEP ORIGEN'!X120</f>
        <v>27.668862000000004</v>
      </c>
      <c r="Y120" s="263">
        <f>+'PROYECCIÓN GENERACIÓN'!Y120-'SEP ORIGEN'!Y120</f>
        <v>27.947217999999999</v>
      </c>
      <c r="Z120" s="263">
        <f>+'PROYECCIÓN GENERACIÓN'!Z120-'SEP ORIGEN'!Z120</f>
        <v>28.225574000000002</v>
      </c>
    </row>
    <row r="121" spans="1:26" ht="24.95" customHeight="1">
      <c r="A121" s="351" t="str">
        <f>+Pobl_adoptada!A121</f>
        <v>Salliqueló</v>
      </c>
      <c r="B121" s="70">
        <f>+Pobl_adoptada!B121</f>
        <v>117</v>
      </c>
      <c r="C121" s="353" t="str">
        <f>+Pobl_adoptada!C121</f>
        <v>Salliqueló</v>
      </c>
      <c r="D121" s="261"/>
      <c r="E121" s="278"/>
      <c r="F121" s="263"/>
      <c r="G121" s="263">
        <f>+'PROYECCIÓN GENERACIÓN'!G121-'SEP ORIGEN'!G121</f>
        <v>7.4731140000000007</v>
      </c>
      <c r="H121" s="263">
        <f>+'PROYECCIÓN GENERACIÓN'!H121-'SEP ORIGEN'!H121</f>
        <v>6.9726432000000003</v>
      </c>
      <c r="I121" s="263">
        <f>+'PROYECCIÓN GENERACIÓN'!I121-'SEP ORIGEN'!I121</f>
        <v>6.4671400000000006</v>
      </c>
      <c r="J121" s="263">
        <f>+'PROYECCIÓN GENERACIÓN'!J121-'SEP ORIGEN'!J121</f>
        <v>5.7290700000000001</v>
      </c>
      <c r="K121" s="263">
        <f>+'PROYECCIÓN GENERACIÓN'!K121-'SEP ORIGEN'!K121</f>
        <v>4.9843299999999999</v>
      </c>
      <c r="L121" s="263">
        <f>+'PROYECCIÓN GENERACIÓN'!L121-'SEP ORIGEN'!L121</f>
        <v>5.0040640000000005</v>
      </c>
      <c r="M121" s="263">
        <f>+'PROYECCIÓN GENERACIÓN'!M121-'SEP ORIGEN'!M121</f>
        <v>5.0237980000000011</v>
      </c>
      <c r="N121" s="263">
        <f>+'PROYECCIÓN GENERACIÓN'!N121-'SEP ORIGEN'!N121</f>
        <v>5.0429340000000007</v>
      </c>
      <c r="O121" s="263">
        <f>+'PROYECCIÓN GENERACIÓN'!O121-'SEP ORIGEN'!O121</f>
        <v>5.0626680000000004</v>
      </c>
      <c r="P121" s="263">
        <f>+'PROYECCIÓN GENERACIÓN'!P121-'SEP ORIGEN'!P121</f>
        <v>5.081804</v>
      </c>
      <c r="Q121" s="263">
        <f>+'PROYECCIÓN GENERACIÓN'!Q121-'SEP ORIGEN'!Q121</f>
        <v>5.1015380000000006</v>
      </c>
      <c r="R121" s="263">
        <f>+'PROYECCIÓN GENERACIÓN'!R121-'SEP ORIGEN'!R121</f>
        <v>5.1206740000000002</v>
      </c>
      <c r="S121" s="263">
        <f>+'PROYECCIÓN GENERACIÓN'!S121-'SEP ORIGEN'!S121</f>
        <v>5.1404080000000008</v>
      </c>
      <c r="T121" s="263">
        <f>+'PROYECCIÓN GENERACIÓN'!T121-'SEP ORIGEN'!T121</f>
        <v>5.1595440000000004</v>
      </c>
      <c r="U121" s="263">
        <f>+'PROYECCIÓN GENERACIÓN'!U121-'SEP ORIGEN'!U121</f>
        <v>5.179278</v>
      </c>
      <c r="V121" s="263">
        <f>+'PROYECCIÓN GENERACIÓN'!V121-'SEP ORIGEN'!V121</f>
        <v>5.1984139999999996</v>
      </c>
      <c r="W121" s="263">
        <f>+'PROYECCIÓN GENERACIÓN'!W121-'SEP ORIGEN'!W121</f>
        <v>5.2181480000000002</v>
      </c>
      <c r="X121" s="263">
        <f>+'PROYECCIÓN GENERACIÓN'!X121-'SEP ORIGEN'!X121</f>
        <v>5.2372840000000007</v>
      </c>
      <c r="Y121" s="263">
        <f>+'PROYECCIÓN GENERACIÓN'!Y121-'SEP ORIGEN'!Y121</f>
        <v>5.2570180000000004</v>
      </c>
      <c r="Z121" s="263">
        <f>+'PROYECCIÓN GENERACIÓN'!Z121-'SEP ORIGEN'!Z121</f>
        <v>5.276154</v>
      </c>
    </row>
    <row r="122" spans="1:26" ht="24.95" customHeight="1">
      <c r="A122" s="351" t="str">
        <f>+Pobl_adoptada!A122</f>
        <v>Salto</v>
      </c>
      <c r="B122" s="70">
        <f>+Pobl_adoptada!B122</f>
        <v>118</v>
      </c>
      <c r="C122" s="353" t="str">
        <f>+Pobl_adoptada!C122</f>
        <v>Salto</v>
      </c>
      <c r="D122" s="261"/>
      <c r="E122" s="278"/>
      <c r="F122" s="263"/>
      <c r="G122" s="263">
        <f>+'PROYECCIÓN GENERACIÓN'!G122-'SEP ORIGEN'!G122</f>
        <v>36.253621799999998</v>
      </c>
      <c r="H122" s="263">
        <f>+'PROYECCIÓN GENERACIÓN'!H122-'SEP ORIGEN'!H122</f>
        <v>34.176859200000003</v>
      </c>
      <c r="I122" s="263">
        <f>+'PROYECCIÓN GENERACIÓN'!I122-'SEP ORIGEN'!I122</f>
        <v>32.032352000000003</v>
      </c>
      <c r="J122" s="263">
        <f>+'PROYECCIÓN GENERACIÓN'!J122-'SEP ORIGEN'!J122</f>
        <v>28.672469999999997</v>
      </c>
      <c r="K122" s="263">
        <f>+'PROYECCIÓN GENERACIÓN'!K122-'SEP ORIGEN'!K122</f>
        <v>25.207754000000005</v>
      </c>
      <c r="L122" s="263">
        <f>+'PROYECCIÓN GENERACIÓN'!L122-'SEP ORIGEN'!L122</f>
        <v>25.572235000000003</v>
      </c>
      <c r="M122" s="263">
        <f>+'PROYECCIÓN GENERACIÓN'!M122-'SEP ORIGEN'!M122</f>
        <v>25.940849999999998</v>
      </c>
      <c r="N122" s="263">
        <f>+'PROYECCIÓN GENERACIÓN'!N122-'SEP ORIGEN'!N122</f>
        <v>26.315666</v>
      </c>
      <c r="O122" s="263">
        <f>+'PROYECCIÓN GENERACIÓN'!O122-'SEP ORIGEN'!O122</f>
        <v>26.695993999999999</v>
      </c>
      <c r="P122" s="263">
        <f>+'PROYECCIÓN GENERACIÓN'!P122-'SEP ORIGEN'!P122</f>
        <v>27.081144999999999</v>
      </c>
      <c r="Q122" s="263">
        <f>+'PROYECCIÓN GENERACIÓN'!Q122-'SEP ORIGEN'!Q122</f>
        <v>27.472497000000004</v>
      </c>
      <c r="R122" s="263">
        <f>+'PROYECCIÓN GENERACIÓN'!R122-'SEP ORIGEN'!R122</f>
        <v>27.868672000000004</v>
      </c>
      <c r="S122" s="263">
        <f>+'PROYECCIÓN GENERACIÓN'!S122-'SEP ORIGEN'!S122</f>
        <v>28.271048</v>
      </c>
      <c r="T122" s="263">
        <f>+'PROYECCIÓN GENERACIÓN'!T122-'SEP ORIGEN'!T122</f>
        <v>28.679625000000001</v>
      </c>
      <c r="U122" s="263">
        <f>+'PROYECCIÓN GENERACIÓN'!U122-'SEP ORIGEN'!U122</f>
        <v>29.093714000000006</v>
      </c>
      <c r="V122" s="263">
        <f>+'PROYECCIÓN GENERACIÓN'!V122-'SEP ORIGEN'!V122</f>
        <v>29.514004000000007</v>
      </c>
      <c r="W122" s="263">
        <f>+'PROYECCIÓN GENERACIÓN'!W122-'SEP ORIGEN'!W122</f>
        <v>29.939806000000004</v>
      </c>
      <c r="X122" s="263">
        <f>+'PROYECCIÓN GENERACIÓN'!X122-'SEP ORIGEN'!X122</f>
        <v>30.372498000000004</v>
      </c>
      <c r="Y122" s="263">
        <f>+'PROYECCIÓN GENERACIÓN'!Y122-'SEP ORIGEN'!Y122</f>
        <v>30.810702000000003</v>
      </c>
      <c r="Z122" s="263">
        <f>+'PROYECCIÓN GENERACIÓN'!Z122-'SEP ORIGEN'!Z122</f>
        <v>31.255796000000004</v>
      </c>
    </row>
    <row r="123" spans="1:26" ht="24.95" customHeight="1">
      <c r="A123" s="351" t="str">
        <f>+Pobl_adoptada!A123</f>
        <v>San Andrés de Giles</v>
      </c>
      <c r="B123" s="70">
        <f>+Pobl_adoptada!B123</f>
        <v>119</v>
      </c>
      <c r="C123" s="353" t="str">
        <f>+Pobl_adoptada!C123</f>
        <v>San Andrés de Giles</v>
      </c>
      <c r="D123" s="261"/>
      <c r="E123" s="278"/>
      <c r="F123" s="263"/>
      <c r="G123" s="263">
        <f>+'PROYECCIÓN GENERACIÓN'!G123-'SEP ORIGEN'!G123</f>
        <v>21.381525</v>
      </c>
      <c r="H123" s="263">
        <f>+'PROYECCIÓN GENERACIÓN'!H123-'SEP ORIGEN'!H123</f>
        <v>20.1203264</v>
      </c>
      <c r="I123" s="263">
        <f>+'PROYECCIÓN GENERACIÓN'!I123-'SEP ORIGEN'!I123</f>
        <v>18.82189</v>
      </c>
      <c r="J123" s="263">
        <f>+'PROYECCIÓN GENERACIÓN'!J123-'SEP ORIGEN'!J123</f>
        <v>16.812660000000001</v>
      </c>
      <c r="K123" s="263">
        <f>+'PROYECCIÓN GENERACIÓN'!K123-'SEP ORIGEN'!K123</f>
        <v>14.748734000000002</v>
      </c>
      <c r="L123" s="263">
        <f>+'PROYECCIÓN GENERACIÓN'!L123-'SEP ORIGEN'!L123</f>
        <v>14.926496000000002</v>
      </c>
      <c r="M123" s="263">
        <f>+'PROYECCIÓN GENERACIÓN'!M123-'SEP ORIGEN'!M123</f>
        <v>15.103569000000002</v>
      </c>
      <c r="N123" s="263">
        <f>+'PROYECCIÓN GENERACIÓN'!N123-'SEP ORIGEN'!N123</f>
        <v>15.281331000000002</v>
      </c>
      <c r="O123" s="263">
        <f>+'PROYECCIÓN GENERACIÓN'!O123-'SEP ORIGEN'!O123</f>
        <v>15.459093000000001</v>
      </c>
      <c r="P123" s="263">
        <f>+'PROYECCIÓN GENERACIÓN'!P123-'SEP ORIGEN'!P123</f>
        <v>15.636855000000001</v>
      </c>
      <c r="Q123" s="263">
        <f>+'PROYECCIÓN GENERACIÓN'!Q123-'SEP ORIGEN'!Q123</f>
        <v>15.814617</v>
      </c>
      <c r="R123" s="263">
        <f>+'PROYECCIÓN GENERACIÓN'!R123-'SEP ORIGEN'!R123</f>
        <v>15.992379000000001</v>
      </c>
      <c r="S123" s="263">
        <f>+'PROYECCIÓN GENERACIÓN'!S123-'SEP ORIGEN'!S123</f>
        <v>16.169452</v>
      </c>
      <c r="T123" s="263">
        <f>+'PROYECCIÓN GENERACIÓN'!T123-'SEP ORIGEN'!T123</f>
        <v>16.347214000000001</v>
      </c>
      <c r="U123" s="263">
        <f>+'PROYECCIÓN GENERACIÓN'!U123-'SEP ORIGEN'!U123</f>
        <v>16.524976000000002</v>
      </c>
      <c r="V123" s="263">
        <f>+'PROYECCIÓN GENERACIÓN'!V123-'SEP ORIGEN'!V123</f>
        <v>16.702738</v>
      </c>
      <c r="W123" s="263">
        <f>+'PROYECCIÓN GENERACIÓN'!W123-'SEP ORIGEN'!W123</f>
        <v>16.880499999999998</v>
      </c>
      <c r="X123" s="263">
        <f>+'PROYECCIÓN GENERACIÓN'!X123-'SEP ORIGEN'!X123</f>
        <v>17.058261999999999</v>
      </c>
      <c r="Y123" s="263">
        <f>+'PROYECCIÓN GENERACIÓN'!Y123-'SEP ORIGEN'!Y123</f>
        <v>17.235335000000003</v>
      </c>
      <c r="Z123" s="263">
        <f>+'PROYECCIÓN GENERACIÓN'!Z123-'SEP ORIGEN'!Z123</f>
        <v>17.413097</v>
      </c>
    </row>
    <row r="124" spans="1:26" ht="24.95" customHeight="1">
      <c r="A124" s="351" t="str">
        <f>+Pobl_adoptada!A124</f>
        <v>San Antonio de Areco</v>
      </c>
      <c r="B124" s="70">
        <f>+Pobl_adoptada!B124</f>
        <v>120</v>
      </c>
      <c r="C124" s="353" t="str">
        <f>+Pobl_adoptada!C124</f>
        <v>San Antonio de Areco</v>
      </c>
      <c r="D124" s="261"/>
      <c r="E124" s="278"/>
      <c r="F124" s="263"/>
      <c r="G124" s="263">
        <f>+'PROYECCIÓN GENERACIÓN'!G124-'SEP ORIGEN'!G124</f>
        <v>24.634665000000002</v>
      </c>
      <c r="H124" s="263">
        <f>+'PROYECCIÓN GENERACIÓN'!H124-'SEP ORIGEN'!H124</f>
        <v>23.117116000000003</v>
      </c>
      <c r="I124" s="263">
        <f>+'PROYECCIÓN GENERACIÓN'!I124-'SEP ORIGEN'!I124</f>
        <v>21.566336</v>
      </c>
      <c r="J124" s="263">
        <f>+'PROYECCIÓN GENERACIÓN'!J124-'SEP ORIGEN'!J124</f>
        <v>19.211970000000001</v>
      </c>
      <c r="K124" s="263">
        <f>+'PROYECCIÓN GENERACIÓN'!K124-'SEP ORIGEN'!K124</f>
        <v>16.808844000000001</v>
      </c>
      <c r="L124" s="263">
        <f>+'PROYECCIÓN GENERACIÓN'!L124-'SEP ORIGEN'!L124</f>
        <v>16.967314000000002</v>
      </c>
      <c r="M124" s="263">
        <f>+'PROYECCIÓN GENERACIÓN'!M124-'SEP ORIGEN'!M124</f>
        <v>17.126473000000001</v>
      </c>
      <c r="N124" s="263">
        <f>+'PROYECCIÓN GENERACIÓN'!N124-'SEP ORIGEN'!N124</f>
        <v>17.284943000000002</v>
      </c>
      <c r="O124" s="263">
        <f>+'PROYECCIÓN GENERACIÓN'!O124-'SEP ORIGEN'!O124</f>
        <v>17.443413</v>
      </c>
      <c r="P124" s="263">
        <f>+'PROYECCIÓN GENERACIÓN'!P124-'SEP ORIGEN'!P124</f>
        <v>17.601883000000001</v>
      </c>
      <c r="Q124" s="263">
        <f>+'PROYECCIÓN GENERACIÓN'!Q124-'SEP ORIGEN'!Q124</f>
        <v>17.760353000000002</v>
      </c>
      <c r="R124" s="263">
        <f>+'PROYECCIÓN GENERACIÓN'!R124-'SEP ORIGEN'!R124</f>
        <v>17.919512000000005</v>
      </c>
      <c r="S124" s="263">
        <f>+'PROYECCIÓN GENERACIÓN'!S124-'SEP ORIGEN'!S124</f>
        <v>18.077982000000002</v>
      </c>
      <c r="T124" s="263">
        <f>+'PROYECCIÓN GENERACIÓN'!T124-'SEP ORIGEN'!T124</f>
        <v>18.236452</v>
      </c>
      <c r="U124" s="263">
        <f>+'PROYECCIÓN GENERACIÓN'!U124-'SEP ORIGEN'!U124</f>
        <v>18.394922000000001</v>
      </c>
      <c r="V124" s="263">
        <f>+'PROYECCIÓN GENERACIÓN'!V124-'SEP ORIGEN'!V124</f>
        <v>18.554081000000004</v>
      </c>
      <c r="W124" s="263">
        <f>+'PROYECCIÓN GENERACIÓN'!W124-'SEP ORIGEN'!W124</f>
        <v>18.712551000000001</v>
      </c>
      <c r="X124" s="263">
        <f>+'PROYECCIÓN GENERACIÓN'!X124-'SEP ORIGEN'!X124</f>
        <v>18.871020999999999</v>
      </c>
      <c r="Y124" s="263">
        <f>+'PROYECCIÓN GENERACIÓN'!Y124-'SEP ORIGEN'!Y124</f>
        <v>19.029491</v>
      </c>
      <c r="Z124" s="263">
        <f>+'PROYECCIÓN GENERACIÓN'!Z124-'SEP ORIGEN'!Z124</f>
        <v>19.187961000000001</v>
      </c>
    </row>
    <row r="125" spans="1:26" ht="24.95" customHeight="1">
      <c r="A125" s="351" t="str">
        <f>+Pobl_adoptada!A125</f>
        <v>San Cayetano</v>
      </c>
      <c r="B125" s="70">
        <f>+Pobl_adoptada!B125</f>
        <v>121</v>
      </c>
      <c r="C125" s="353" t="str">
        <f>+Pobl_adoptada!C125</f>
        <v>San Cayetano</v>
      </c>
      <c r="D125" s="261"/>
      <c r="E125" s="278"/>
      <c r="F125" s="263"/>
      <c r="G125" s="263">
        <f>+'PROYECCIÓN GENERACIÓN'!G125-'SEP ORIGEN'!G125</f>
        <v>7.7864291999999997</v>
      </c>
      <c r="H125" s="263">
        <f>+'PROYECCIÓN GENERACIÓN'!H125-'SEP ORIGEN'!H125</f>
        <v>7.3035856000000008</v>
      </c>
      <c r="I125" s="263">
        <f>+'PROYECCIÓN GENERACIÓN'!I125-'SEP ORIGEN'!I125</f>
        <v>6.8120019999999997</v>
      </c>
      <c r="J125" s="263">
        <f>+'PROYECCIÓN GENERACIÓN'!J125-'SEP ORIGEN'!J125</f>
        <v>6.0671700000000008</v>
      </c>
      <c r="K125" s="263">
        <f>+'PROYECCIÓN GENERACIÓN'!K125-'SEP ORIGEN'!K125</f>
        <v>5.3078479999999999</v>
      </c>
      <c r="L125" s="263">
        <f>+'PROYECCIÓN GENERACIÓN'!L125-'SEP ORIGEN'!L125</f>
        <v>5.3580800000000002</v>
      </c>
      <c r="M125" s="263">
        <f>+'PROYECCIÓN GENERACIÓN'!M125-'SEP ORIGEN'!M125</f>
        <v>5.4089099999999988</v>
      </c>
      <c r="N125" s="263">
        <f>+'PROYECCIÓN GENERACIÓN'!N125-'SEP ORIGEN'!N125</f>
        <v>5.45974</v>
      </c>
      <c r="O125" s="263">
        <f>+'PROYECCIÓN GENERACIÓN'!O125-'SEP ORIGEN'!O125</f>
        <v>5.5117660000000015</v>
      </c>
      <c r="P125" s="263">
        <f>+'PROYECCIÓN GENERACIÓN'!P125-'SEP ORIGEN'!P125</f>
        <v>5.5637920000000003</v>
      </c>
      <c r="Q125" s="263">
        <f>+'PROYECCIÓN GENERACIÓN'!Q125-'SEP ORIGEN'!Q125</f>
        <v>5.616416000000001</v>
      </c>
      <c r="R125" s="263">
        <f>+'PROYECCIÓN GENERACIÓN'!R125-'SEP ORIGEN'!R125</f>
        <v>5.6696380000000008</v>
      </c>
      <c r="S125" s="263">
        <f>+'PROYECCIÓN GENERACIÓN'!S125-'SEP ORIGEN'!S125</f>
        <v>5.7228599999999998</v>
      </c>
      <c r="T125" s="263">
        <f>+'PROYECCIÓN GENERACIÓN'!T125-'SEP ORIGEN'!T125</f>
        <v>5.7772780000000008</v>
      </c>
      <c r="U125" s="263">
        <f>+'PROYECCIÓN GENERACIÓN'!U125-'SEP ORIGEN'!U125</f>
        <v>5.8316960000000009</v>
      </c>
      <c r="V125" s="263">
        <f>+'PROYECCIÓN GENERACIÓN'!V125-'SEP ORIGEN'!V125</f>
        <v>5.8867119999999993</v>
      </c>
      <c r="W125" s="263">
        <f>+'PROYECCIÓN GENERACIÓN'!W125-'SEP ORIGEN'!W125</f>
        <v>5.9423260000000013</v>
      </c>
      <c r="X125" s="263">
        <f>+'PROYECCIÓN GENERACIÓN'!X125-'SEP ORIGEN'!X125</f>
        <v>5.9985379999999999</v>
      </c>
      <c r="Y125" s="263">
        <f>+'PROYECCIÓN GENERACIÓN'!Y125-'SEP ORIGEN'!Y125</f>
        <v>6.0553480000000004</v>
      </c>
      <c r="Z125" s="263">
        <f>+'PROYECCIÓN GENERACIÓN'!Z125-'SEP ORIGEN'!Z125</f>
        <v>6.1127560000000001</v>
      </c>
    </row>
    <row r="126" spans="1:26" ht="24.95" customHeight="1">
      <c r="A126" s="351" t="str">
        <f>+Pobl_adoptada!A126</f>
        <v>San Nicolás</v>
      </c>
      <c r="B126" s="70">
        <f>+Pobl_adoptada!B126</f>
        <v>122</v>
      </c>
      <c r="C126" s="353" t="str">
        <f>+Pobl_adoptada!C126</f>
        <v>San Nicolás de los Arroyos</v>
      </c>
      <c r="D126" s="261"/>
      <c r="E126" s="278"/>
      <c r="F126" s="263"/>
      <c r="G126" s="263">
        <f>+'PROYECCIÓN GENERACIÓN'!G126-'SEP ORIGEN'!G126</f>
        <v>160.34311259999998</v>
      </c>
      <c r="H126" s="263">
        <f>+'PROYECCIÓN GENERACIÓN'!H126-'SEP ORIGEN'!H126</f>
        <v>150.6957792</v>
      </c>
      <c r="I126" s="263">
        <f>+'PROYECCIÓN GENERACIÓN'!I126-'SEP ORIGEN'!I126</f>
        <v>140.81640600000003</v>
      </c>
      <c r="J126" s="263">
        <f>+'PROYECCIÓN GENERACIÓN'!J126-'SEP ORIGEN'!J126</f>
        <v>125.67343500000001</v>
      </c>
      <c r="K126" s="263">
        <f>+'PROYECCIÓN GENERACIÓN'!K126-'SEP ORIGEN'!K126</f>
        <v>110.17004700000001</v>
      </c>
      <c r="L126" s="263">
        <f>+'PROYECCIÓN GENERACIÓN'!L126-'SEP ORIGEN'!L126</f>
        <v>111.444333</v>
      </c>
      <c r="M126" s="263">
        <f>+'PROYECCIÓN GENERACIÓN'!M126-'SEP ORIGEN'!M126</f>
        <v>112.73917200000001</v>
      </c>
      <c r="N126" s="263">
        <f>+'PROYECCIÓN GENERACIÓN'!N126-'SEP ORIGEN'!N126</f>
        <v>114.055227</v>
      </c>
      <c r="O126" s="263">
        <f>+'PROYECCIÓN GENERACIÓN'!O126-'SEP ORIGEN'!O126</f>
        <v>115.39249800000002</v>
      </c>
      <c r="P126" s="263">
        <f>+'PROYECCIÓN GENERACIÓN'!P126-'SEP ORIGEN'!P126</f>
        <v>116.75164800000002</v>
      </c>
      <c r="Q126" s="263">
        <f>+'PROYECCIÓN GENERACIÓN'!Q126-'SEP ORIGEN'!Q126</f>
        <v>118.132677</v>
      </c>
      <c r="R126" s="263">
        <f>+'PROYECCIÓN GENERACIÓN'!R126-'SEP ORIGEN'!R126</f>
        <v>119.536911</v>
      </c>
      <c r="S126" s="263">
        <f>+'PROYECCIÓN GENERACIÓN'!S126-'SEP ORIGEN'!S126</f>
        <v>120.96368700000001</v>
      </c>
      <c r="T126" s="263">
        <f>+'PROYECCIÓN GENERACIÓN'!T126-'SEP ORIGEN'!T126</f>
        <v>122.413668</v>
      </c>
      <c r="U126" s="263">
        <f>+'PROYECCIÓN GENERACIÓN'!U126-'SEP ORIGEN'!U126</f>
        <v>123.886854</v>
      </c>
      <c r="V126" s="263">
        <f>+'PROYECCIÓN GENERACIÓN'!V126-'SEP ORIGEN'!V126</f>
        <v>125.38523400000001</v>
      </c>
      <c r="W126" s="263">
        <f>+'PROYECCIÓN GENERACIÓN'!W126-'SEP ORIGEN'!W126</f>
        <v>126.90681900000001</v>
      </c>
      <c r="X126" s="263">
        <f>+'PROYECCIÓN GENERACIÓN'!X126-'SEP ORIGEN'!X126</f>
        <v>128.454261</v>
      </c>
      <c r="Y126" s="263">
        <f>+'PROYECCIÓN GENERACIÓN'!Y126-'SEP ORIGEN'!Y126</f>
        <v>130.02623400000002</v>
      </c>
      <c r="Z126" s="263">
        <f>+'PROYECCIÓN GENERACIÓN'!Z126-'SEP ORIGEN'!Z126</f>
        <v>131.624064</v>
      </c>
    </row>
    <row r="127" spans="1:26" ht="24.95" customHeight="1">
      <c r="A127" s="351" t="str">
        <f>+Pobl_adoptada!A127</f>
        <v>San Pedro</v>
      </c>
      <c r="B127" s="70">
        <f>+Pobl_adoptada!B127</f>
        <v>123</v>
      </c>
      <c r="C127" s="353" t="str">
        <f>+Pobl_adoptada!C127</f>
        <v>San Pedro</v>
      </c>
      <c r="D127" s="261"/>
      <c r="E127" s="278"/>
      <c r="F127" s="263"/>
      <c r="G127" s="263">
        <f>+'PROYECCIÓN GENERACIÓN'!G127-'SEP ORIGEN'!G127</f>
        <v>59.149034999999998</v>
      </c>
      <c r="H127" s="263">
        <f>+'PROYECCIÓN GENERACIÓN'!H127-'SEP ORIGEN'!H127</f>
        <v>55.694978400000004</v>
      </c>
      <c r="I127" s="263">
        <f>+'PROYECCIÓN GENERACIÓN'!I127-'SEP ORIGEN'!I127</f>
        <v>52.139645999999999</v>
      </c>
      <c r="J127" s="263">
        <f>+'PROYECCIÓN GENERACIÓN'!J127-'SEP ORIGEN'!J127</f>
        <v>46.615275000000004</v>
      </c>
      <c r="K127" s="263">
        <f>+'PROYECCIÓN GENERACIÓN'!K127-'SEP ORIGEN'!K127</f>
        <v>40.934946000000004</v>
      </c>
      <c r="L127" s="263">
        <f>+'PROYECCIÓN GENERACIÓN'!L127-'SEP ORIGEN'!L127</f>
        <v>41.477280000000007</v>
      </c>
      <c r="M127" s="263">
        <f>+'PROYECCIÓN GENERACIÓN'!M127-'SEP ORIGEN'!M127</f>
        <v>42.026907000000001</v>
      </c>
      <c r="N127" s="263">
        <f>+'PROYECCIÓN GENERACIÓN'!N127-'SEP ORIGEN'!N127</f>
        <v>42.583826999999999</v>
      </c>
      <c r="O127" s="263">
        <f>+'PROYECCIÓN GENERACIÓN'!O127-'SEP ORIGEN'!O127</f>
        <v>43.148040000000009</v>
      </c>
      <c r="P127" s="263">
        <f>+'PROYECCIÓN GENERACIÓN'!P127-'SEP ORIGEN'!P127</f>
        <v>43.719546000000001</v>
      </c>
      <c r="Q127" s="263">
        <f>+'PROYECCIÓN GENERACIÓN'!Q127-'SEP ORIGEN'!Q127</f>
        <v>44.299008000000001</v>
      </c>
      <c r="R127" s="263">
        <f>+'PROYECCIÓN GENERACIÓN'!R127-'SEP ORIGEN'!R127</f>
        <v>44.885762999999997</v>
      </c>
      <c r="S127" s="263">
        <f>+'PROYECCIÓN GENERACIÓN'!S127-'SEP ORIGEN'!S127</f>
        <v>45.480474000000001</v>
      </c>
      <c r="T127" s="263">
        <f>+'PROYECCIÓN GENERACIÓN'!T127-'SEP ORIGEN'!T127</f>
        <v>46.083140999999998</v>
      </c>
      <c r="U127" s="263">
        <f>+'PROYECCIÓN GENERACIÓN'!U127-'SEP ORIGEN'!U127</f>
        <v>46.693763999999994</v>
      </c>
      <c r="V127" s="263">
        <f>+'PROYECCIÓN GENERACIÓN'!V127-'SEP ORIGEN'!V127</f>
        <v>47.312342999999998</v>
      </c>
      <c r="W127" s="263">
        <f>+'PROYECCIÓN GENERACIÓN'!W127-'SEP ORIGEN'!W127</f>
        <v>47.938877999999995</v>
      </c>
      <c r="X127" s="263">
        <f>+'PROYECCIÓN GENERACIÓN'!X127-'SEP ORIGEN'!X127</f>
        <v>48.574032000000003</v>
      </c>
      <c r="Y127" s="263">
        <f>+'PROYECCIÓN GENERACIÓN'!Y127-'SEP ORIGEN'!Y127</f>
        <v>49.217804999999998</v>
      </c>
      <c r="Z127" s="263">
        <f>+'PROYECCIÓN GENERACIÓN'!Z127-'SEP ORIGEN'!Z127</f>
        <v>49.870197000000005</v>
      </c>
    </row>
    <row r="128" spans="1:26" ht="24.95" customHeight="1">
      <c r="A128" s="351" t="str">
        <f>+Pobl_adoptada!A128</f>
        <v>San Vicente</v>
      </c>
      <c r="B128" s="70">
        <f>+Pobl_adoptada!B128</f>
        <v>124</v>
      </c>
      <c r="C128" s="353" t="str">
        <f>+Pobl_adoptada!C128</f>
        <v>San Vicente</v>
      </c>
      <c r="D128" s="261"/>
      <c r="E128" s="278"/>
      <c r="F128" s="263"/>
      <c r="G128" s="263">
        <f>+'PROYECCIÓN GENERACIÓN'!G128-'SEP ORIGEN'!G128</f>
        <v>112.02216300000001</v>
      </c>
      <c r="H128" s="263">
        <f>+'PROYECCIÓN GENERACIÓN'!H128-'SEP ORIGEN'!H128</f>
        <v>107.64292560000001</v>
      </c>
      <c r="I128" s="263">
        <f>+'PROYECCIÓN GENERACIÓN'!I128-'SEP ORIGEN'!I128</f>
        <v>102.77764800000001</v>
      </c>
      <c r="J128" s="263">
        <f>+'PROYECCIÓN GENERACIÓN'!J128-'SEP ORIGEN'!J128</f>
        <v>93.668129999999991</v>
      </c>
      <c r="K128" s="263">
        <f>+'PROYECCIÓN GENERACIÓN'!K128-'SEP ORIGEN'!K128</f>
        <v>83.805852000000016</v>
      </c>
      <c r="L128" s="263">
        <f>+'PROYECCIÓN GENERACIÓN'!L128-'SEP ORIGEN'!L128</f>
        <v>86.475089999999994</v>
      </c>
      <c r="M128" s="263">
        <f>+'PROYECCIÓN GENERACIÓN'!M128-'SEP ORIGEN'!M128</f>
        <v>89.188086000000013</v>
      </c>
      <c r="N128" s="263">
        <f>+'PROYECCIÓN GENERACIÓN'!N128-'SEP ORIGEN'!N128</f>
        <v>91.945503000000002</v>
      </c>
      <c r="O128" s="263">
        <f>+'PROYECCIÓN GENERACIÓN'!O128-'SEP ORIGEN'!O128</f>
        <v>94.747341000000006</v>
      </c>
      <c r="P128" s="263">
        <f>+'PROYECCIÓN GENERACIÓN'!P128-'SEP ORIGEN'!P128</f>
        <v>97.595589000000018</v>
      </c>
      <c r="Q128" s="263">
        <f>+'PROYECCIÓN GENERACIÓN'!Q128-'SEP ORIGEN'!Q128</f>
        <v>100.48958400000001</v>
      </c>
      <c r="R128" s="263">
        <f>+'PROYECCIÓN GENERACIÓN'!R128-'SEP ORIGEN'!R128</f>
        <v>103.43131500000001</v>
      </c>
      <c r="S128" s="263">
        <f>+'PROYECCIÓN GENERACIÓN'!S128-'SEP ORIGEN'!S128</f>
        <v>106.420782</v>
      </c>
      <c r="T128" s="263">
        <f>+'PROYECCIÓN GENERACIÓN'!T128-'SEP ORIGEN'!T128</f>
        <v>109.45931100000001</v>
      </c>
      <c r="U128" s="263">
        <f>+'PROYECCIÓN GENERACIÓN'!U128-'SEP ORIGEN'!U128</f>
        <v>112.54690200000002</v>
      </c>
      <c r="V128" s="263">
        <f>+'PROYECCIÓN GENERACIÓN'!V128-'SEP ORIGEN'!V128</f>
        <v>115.68488099999999</v>
      </c>
      <c r="W128" s="263">
        <f>+'PROYECCIÓN GENERACIÓN'!W128-'SEP ORIGEN'!W128</f>
        <v>118.87457400000001</v>
      </c>
      <c r="X128" s="263">
        <f>+'PROYECCIÓN GENERACIÓN'!X128-'SEP ORIGEN'!X128</f>
        <v>122.11598099999999</v>
      </c>
      <c r="Y128" s="263">
        <f>+'PROYECCIÓN GENERACIÓN'!Y128-'SEP ORIGEN'!Y128</f>
        <v>125.41042800000001</v>
      </c>
      <c r="Z128" s="263">
        <f>+'PROYECCIÓN GENERACIÓN'!Z128-'SEP ORIGEN'!Z128</f>
        <v>128.758578</v>
      </c>
    </row>
    <row r="129" spans="1:26" ht="24.95" customHeight="1">
      <c r="A129" s="351" t="str">
        <f>+Pobl_adoptada!A129</f>
        <v>Suipacha</v>
      </c>
      <c r="B129" s="70">
        <f>+Pobl_adoptada!B129</f>
        <v>125</v>
      </c>
      <c r="C129" s="353" t="str">
        <f>+Pobl_adoptada!C129</f>
        <v>Suipacha</v>
      </c>
      <c r="D129" s="261"/>
      <c r="E129" s="278"/>
      <c r="F129" s="263"/>
      <c r="G129" s="263">
        <f>+'PROYECCIÓN GENERACIÓN'!G129-'SEP ORIGEN'!G129</f>
        <v>9.5415407999999999</v>
      </c>
      <c r="H129" s="263">
        <f>+'PROYECCIÓN GENERACIÓN'!H129-'SEP ORIGEN'!H129</f>
        <v>8.977764800000001</v>
      </c>
      <c r="I129" s="263">
        <f>+'PROYECCIÓN GENERACIÓN'!I129-'SEP ORIGEN'!I129</f>
        <v>8.3971160000000005</v>
      </c>
      <c r="J129" s="263">
        <f>+'PROYECCIÓN GENERACIÓN'!J129-'SEP ORIGEN'!J129</f>
        <v>7.4996100000000006</v>
      </c>
      <c r="K129" s="263">
        <f>+'PROYECCIÓN GENERACIÓN'!K129-'SEP ORIGEN'!K129</f>
        <v>6.5779999999999994</v>
      </c>
      <c r="L129" s="263">
        <f>+'PROYECCIÓN GENERACIÓN'!L129-'SEP ORIGEN'!L129</f>
        <v>6.6563379999999999</v>
      </c>
      <c r="M129" s="263">
        <f>+'PROYECCIÓN GENERACIÓN'!M129-'SEP ORIGEN'!M129</f>
        <v>6.7346760000000003</v>
      </c>
      <c r="N129" s="263">
        <f>+'PROYECCIÓN GENERACIÓN'!N129-'SEP ORIGEN'!N129</f>
        <v>6.8136119999999991</v>
      </c>
      <c r="O129" s="263">
        <f>+'PROYECCIÓN GENERACIÓN'!O129-'SEP ORIGEN'!O129</f>
        <v>6.8919499999999996</v>
      </c>
      <c r="P129" s="263">
        <f>+'PROYECCIÓN GENERACIÓN'!P129-'SEP ORIGEN'!P129</f>
        <v>6.970288</v>
      </c>
      <c r="Q129" s="263">
        <f>+'PROYECCIÓN GENERACIÓN'!Q129-'SEP ORIGEN'!Q129</f>
        <v>7.0486260000000014</v>
      </c>
      <c r="R129" s="263">
        <f>+'PROYECCIÓN GENERACIÓN'!R129-'SEP ORIGEN'!R129</f>
        <v>7.126964000000001</v>
      </c>
      <c r="S129" s="263">
        <f>+'PROYECCIÓN GENERACIÓN'!S129-'SEP ORIGEN'!S129</f>
        <v>7.2053019999999997</v>
      </c>
      <c r="T129" s="263">
        <f>+'PROYECCIÓN GENERACIÓN'!T129-'SEP ORIGEN'!T129</f>
        <v>7.2836400000000001</v>
      </c>
      <c r="U129" s="263">
        <f>+'PROYECCIÓN GENERACIÓN'!U129-'SEP ORIGEN'!U129</f>
        <v>7.3619780000000006</v>
      </c>
      <c r="V129" s="263">
        <f>+'PROYECCIÓN GENERACIÓN'!V129-'SEP ORIGEN'!V129</f>
        <v>7.4409140000000011</v>
      </c>
      <c r="W129" s="263">
        <f>+'PROYECCIÓN GENERACIÓN'!W129-'SEP ORIGEN'!W129</f>
        <v>7.5192520000000007</v>
      </c>
      <c r="X129" s="263">
        <f>+'PROYECCIÓN GENERACIÓN'!X129-'SEP ORIGEN'!X129</f>
        <v>7.5975900000000012</v>
      </c>
      <c r="Y129" s="263">
        <f>+'PROYECCIÓN GENERACIÓN'!Y129-'SEP ORIGEN'!Y129</f>
        <v>7.6759279999999999</v>
      </c>
      <c r="Z129" s="263">
        <f>+'PROYECCIÓN GENERACIÓN'!Z129-'SEP ORIGEN'!Z129</f>
        <v>7.7542660000000012</v>
      </c>
    </row>
    <row r="130" spans="1:26" ht="24.95" customHeight="1">
      <c r="A130" s="351" t="str">
        <f>+Pobl_adoptada!A130</f>
        <v>Tandil</v>
      </c>
      <c r="B130" s="70">
        <f>+Pobl_adoptada!B130</f>
        <v>126</v>
      </c>
      <c r="C130" s="353" t="str">
        <f>+Pobl_adoptada!C130</f>
        <v>Tandil</v>
      </c>
      <c r="D130" s="261"/>
      <c r="E130" s="278"/>
      <c r="F130" s="263"/>
      <c r="G130" s="263">
        <f>+'PROYECCIÓN GENERACIÓN'!G130-'SEP ORIGEN'!G130</f>
        <v>146.03828580000001</v>
      </c>
      <c r="H130" s="263">
        <f>+'PROYECCIÓN GENERACIÓN'!H130-'SEP ORIGEN'!H130</f>
        <v>137.52815040000002</v>
      </c>
      <c r="I130" s="263">
        <f>+'PROYECCIÓN GENERACIÓN'!I130-'SEP ORIGEN'!I130</f>
        <v>128.764239</v>
      </c>
      <c r="J130" s="263">
        <f>+'PROYECCIÓN GENERACIÓN'!J130-'SEP ORIGEN'!J130</f>
        <v>115.13556</v>
      </c>
      <c r="K130" s="263">
        <f>+'PROYECCIÓN GENERACIÓN'!K130-'SEP ORIGEN'!K130</f>
        <v>101.11877100000001</v>
      </c>
      <c r="L130" s="263">
        <f>+'PROYECCIÓN GENERACIÓN'!L130-'SEP ORIGEN'!L130</f>
        <v>102.471954</v>
      </c>
      <c r="M130" s="263">
        <f>+'PROYECCIÓN GENERACIÓN'!M130-'SEP ORIGEN'!M130</f>
        <v>103.84303799999998</v>
      </c>
      <c r="N130" s="263">
        <f>+'PROYECCIÓN GENERACIÓN'!N130-'SEP ORIGEN'!N130</f>
        <v>105.23268600000002</v>
      </c>
      <c r="O130" s="263">
        <f>+'PROYECCIÓN GENERACIÓN'!O130-'SEP ORIGEN'!O130</f>
        <v>106.64023499999999</v>
      </c>
      <c r="P130" s="263">
        <f>+'PROYECCIÓN GENERACIÓN'!P130-'SEP ORIGEN'!P130</f>
        <v>108.06701100000001</v>
      </c>
      <c r="Q130" s="263">
        <f>+'PROYECCIÓN GENERACIÓN'!Q130-'SEP ORIGEN'!Q130</f>
        <v>109.513014</v>
      </c>
      <c r="R130" s="263">
        <f>+'PROYECCIÓN GENERACIÓN'!R130-'SEP ORIGEN'!R130</f>
        <v>110.978244</v>
      </c>
      <c r="S130" s="263">
        <f>+'PROYECCIÓN GENERACIÓN'!S130-'SEP ORIGEN'!S130</f>
        <v>112.463364</v>
      </c>
      <c r="T130" s="263">
        <f>+'PROYECCIÓN GENERACIÓN'!T130-'SEP ORIGEN'!T130</f>
        <v>113.96837400000001</v>
      </c>
      <c r="U130" s="263">
        <f>+'PROYECCIÓN GENERACIÓN'!U130-'SEP ORIGEN'!U130</f>
        <v>115.49327400000001</v>
      </c>
      <c r="V130" s="263">
        <f>+'PROYECCIÓN GENERACIÓN'!V130-'SEP ORIGEN'!V130</f>
        <v>117.03806400000001</v>
      </c>
      <c r="W130" s="263">
        <f>+'PROYECCIÓN GENERACIÓN'!W130-'SEP ORIGEN'!W130</f>
        <v>118.60407000000001</v>
      </c>
      <c r="X130" s="263">
        <f>+'PROYECCIÓN GENERACIÓN'!X130-'SEP ORIGEN'!X130</f>
        <v>120.19129199999999</v>
      </c>
      <c r="Y130" s="263">
        <f>+'PROYECCIÓN GENERACIÓN'!Y130-'SEP ORIGEN'!Y130</f>
        <v>121.79906699999999</v>
      </c>
      <c r="Z130" s="263">
        <f>+'PROYECCIÓN GENERACIÓN'!Z130-'SEP ORIGEN'!Z130</f>
        <v>123.42872100000001</v>
      </c>
    </row>
    <row r="131" spans="1:26" ht="24.95" customHeight="1">
      <c r="A131" s="351" t="str">
        <f>+Pobl_adoptada!A131</f>
        <v>Tapalqué</v>
      </c>
      <c r="B131" s="70">
        <f>+Pobl_adoptada!B131</f>
        <v>127</v>
      </c>
      <c r="C131" s="353" t="str">
        <f>+Pobl_adoptada!C131</f>
        <v>Tapalqué</v>
      </c>
      <c r="D131" s="261"/>
      <c r="E131" s="278"/>
      <c r="F131" s="263"/>
      <c r="G131" s="263">
        <f>+'PROYECCIÓN GENERACIÓN'!G131-'SEP ORIGEN'!G131</f>
        <v>8.3857356000000003</v>
      </c>
      <c r="H131" s="263">
        <f>+'PROYECCIÓN GENERACIÓN'!H131-'SEP ORIGEN'!H131</f>
        <v>7.8969120000000004</v>
      </c>
      <c r="I131" s="263">
        <f>+'PROYECCIÓN GENERACIÓN'!I131-'SEP ORIGEN'!I131</f>
        <v>7.3938100000000002</v>
      </c>
      <c r="J131" s="263">
        <f>+'PROYECCIÓN GENERACIÓN'!J131-'SEP ORIGEN'!J131</f>
        <v>6.61158</v>
      </c>
      <c r="K131" s="263">
        <f>+'PROYECCIÓN GENERACIÓN'!K131-'SEP ORIGEN'!K131</f>
        <v>5.8065800000000003</v>
      </c>
      <c r="L131" s="263">
        <f>+'PROYECCIÓN GENERACIÓN'!L131-'SEP ORIGEN'!L131</f>
        <v>5.8843200000000007</v>
      </c>
      <c r="M131" s="263">
        <f>+'PROYECCIÓN GENERACIÓN'!M131-'SEP ORIGEN'!M131</f>
        <v>5.9626580000000002</v>
      </c>
      <c r="N131" s="263">
        <f>+'PROYECCIÓN GENERACIÓN'!N131-'SEP ORIGEN'!N131</f>
        <v>6.0427900000000001</v>
      </c>
      <c r="O131" s="263">
        <f>+'PROYECCIÓN GENERACIÓN'!O131-'SEP ORIGEN'!O131</f>
        <v>6.123520000000001</v>
      </c>
      <c r="P131" s="263">
        <f>+'PROYECCIÓN GENERACIÓN'!P131-'SEP ORIGEN'!P131</f>
        <v>6.2054460000000002</v>
      </c>
      <c r="Q131" s="263">
        <f>+'PROYECCIÓN GENERACIÓN'!Q131-'SEP ORIGEN'!Q131</f>
        <v>6.2885680000000006</v>
      </c>
      <c r="R131" s="263">
        <f>+'PROYECCIÓN GENERACIÓN'!R131-'SEP ORIGEN'!R131</f>
        <v>6.3722880000000011</v>
      </c>
      <c r="S131" s="263">
        <f>+'PROYECCIÓN GENERACIÓN'!S131-'SEP ORIGEN'!S131</f>
        <v>6.4578019999999992</v>
      </c>
      <c r="T131" s="263">
        <f>+'PROYECCIÓN GENERACIÓN'!T131-'SEP ORIGEN'!T131</f>
        <v>6.5439140000000018</v>
      </c>
      <c r="U131" s="263">
        <f>+'PROYECCIÓN GENERACIÓN'!U131-'SEP ORIGEN'!U131</f>
        <v>6.6318200000000012</v>
      </c>
      <c r="V131" s="263">
        <f>+'PROYECCIÓN GENERACIÓN'!V131-'SEP ORIGEN'!V131</f>
        <v>6.7203239999999997</v>
      </c>
      <c r="W131" s="263">
        <f>+'PROYECCIÓN GENERACIÓN'!W131-'SEP ORIGEN'!W131</f>
        <v>6.8100240000000021</v>
      </c>
      <c r="X131" s="263">
        <f>+'PROYECCIÓN GENERACIÓN'!X131-'SEP ORIGEN'!X131</f>
        <v>6.9015180000000012</v>
      </c>
      <c r="Y131" s="263">
        <f>+'PROYECCIÓN GENERACIÓN'!Y131-'SEP ORIGEN'!Y131</f>
        <v>6.9936100000000003</v>
      </c>
      <c r="Z131" s="263">
        <f>+'PROYECCIÓN GENERACIÓN'!Z131-'SEP ORIGEN'!Z131</f>
        <v>7.0868979999999997</v>
      </c>
    </row>
    <row r="132" spans="1:26" ht="24.95" customHeight="1">
      <c r="A132" s="351" t="str">
        <f>+Pobl_adoptada!A132</f>
        <v>Tordillo</v>
      </c>
      <c r="B132" s="70">
        <f>+Pobl_adoptada!B132</f>
        <v>128</v>
      </c>
      <c r="C132" s="353" t="str">
        <f>+Pobl_adoptada!C132</f>
        <v>General Conesa</v>
      </c>
      <c r="D132" s="261"/>
      <c r="E132" s="278"/>
      <c r="F132" s="263"/>
      <c r="G132" s="263">
        <f>+'PROYECCIÓN GENERACIÓN'!G132-'SEP ORIGEN'!G132</f>
        <v>1.9791684</v>
      </c>
      <c r="H132" s="263">
        <f>+'PROYECCIÓN GENERACIÓN'!H132-'SEP ORIGEN'!H132</f>
        <v>1.8883184</v>
      </c>
      <c r="I132" s="263">
        <f>+'PROYECCIÓN GENERACIÓN'!I132-'SEP ORIGEN'!I132</f>
        <v>1.789998</v>
      </c>
      <c r="J132" s="263">
        <f>+'PROYECCIÓN GENERACIÓN'!J132-'SEP ORIGEN'!J132</f>
        <v>1.6194299999999999</v>
      </c>
      <c r="K132" s="263">
        <f>+'PROYECCIÓN GENERACIÓN'!K132-'SEP ORIGEN'!K132</f>
        <v>1.4375920000000002</v>
      </c>
      <c r="L132" s="263">
        <f>+'PROYECCIÓN GENERACIÓN'!L132-'SEP ORIGEN'!L132</f>
        <v>1.480648</v>
      </c>
      <c r="M132" s="263">
        <f>+'PROYECCIÓN GENERACIÓN'!M132-'SEP ORIGEN'!M132</f>
        <v>1.5231060000000003</v>
      </c>
      <c r="N132" s="263">
        <f>+'PROYECCIÓN GENERACIÓN'!N132-'SEP ORIGEN'!N132</f>
        <v>1.5661619999999998</v>
      </c>
      <c r="O132" s="263">
        <f>+'PROYECCIÓN GENERACIÓN'!O132-'SEP ORIGEN'!O132</f>
        <v>1.6086200000000002</v>
      </c>
      <c r="P132" s="263">
        <f>+'PROYECCIÓN GENERACIÓN'!P132-'SEP ORIGEN'!P132</f>
        <v>1.651078</v>
      </c>
      <c r="Q132" s="263">
        <f>+'PROYECCIÓN GENERACIÓN'!Q132-'SEP ORIGEN'!Q132</f>
        <v>1.694134</v>
      </c>
      <c r="R132" s="263">
        <f>+'PROYECCIÓN GENERACIÓN'!R132-'SEP ORIGEN'!R132</f>
        <v>1.7365920000000004</v>
      </c>
      <c r="S132" s="263">
        <f>+'PROYECCIÓN GENERACIÓN'!S132-'SEP ORIGEN'!S132</f>
        <v>1.7790500000000002</v>
      </c>
      <c r="T132" s="263">
        <f>+'PROYECCIÓN GENERACIÓN'!T132-'SEP ORIGEN'!T132</f>
        <v>1.8221060000000002</v>
      </c>
      <c r="U132" s="263">
        <f>+'PROYECCIÓN GENERACIÓN'!U132-'SEP ORIGEN'!U132</f>
        <v>1.8645640000000001</v>
      </c>
      <c r="V132" s="263">
        <f>+'PROYECCIÓN GENERACIÓN'!V132-'SEP ORIGEN'!V132</f>
        <v>1.9076200000000001</v>
      </c>
      <c r="W132" s="263">
        <f>+'PROYECCIÓN GENERACIÓN'!W132-'SEP ORIGEN'!W132</f>
        <v>1.9500780000000002</v>
      </c>
      <c r="X132" s="263">
        <f>+'PROYECCIÓN GENERACIÓN'!X132-'SEP ORIGEN'!X132</f>
        <v>1.9925360000000001</v>
      </c>
      <c r="Y132" s="263">
        <f>+'PROYECCIÓN GENERACIÓN'!Y132-'SEP ORIGEN'!Y132</f>
        <v>2.0355920000000003</v>
      </c>
      <c r="Z132" s="263">
        <f>+'PROYECCIÓN GENERACIÓN'!Z132-'SEP ORIGEN'!Z132</f>
        <v>2.0780500000000002</v>
      </c>
    </row>
    <row r="133" spans="1:26" ht="24.95" customHeight="1">
      <c r="A133" s="351" t="str">
        <f>+Pobl_adoptada!A133</f>
        <v>Tornquist</v>
      </c>
      <c r="B133" s="70">
        <f>+Pobl_adoptada!B133</f>
        <v>129</v>
      </c>
      <c r="C133" s="353" t="str">
        <f>+Pobl_adoptada!C133</f>
        <v>Tornquist</v>
      </c>
      <c r="D133" s="261"/>
      <c r="E133" s="278"/>
      <c r="F133" s="263"/>
      <c r="G133" s="263">
        <f>+'PROYECCIÓN GENERACIÓN'!G133-'SEP ORIGEN'!G133</f>
        <v>6.9903899999999997</v>
      </c>
      <c r="H133" s="263">
        <f>+'PROYECCIÓN GENERACIÓN'!H133-'SEP ORIGEN'!H133</f>
        <v>6.5782208000000013</v>
      </c>
      <c r="I133" s="263">
        <f>+'PROYECCIÓN GENERACIÓN'!I133-'SEP ORIGEN'!I133</f>
        <v>6.1527760000000002</v>
      </c>
      <c r="J133" s="263">
        <f>+'PROYECCIÓN GENERACIÓN'!J133-'SEP ORIGEN'!J133</f>
        <v>5.4951600000000003</v>
      </c>
      <c r="K133" s="263">
        <f>+'PROYECCIÓN GENERACIÓN'!K133-'SEP ORIGEN'!K133</f>
        <v>4.8198800000000004</v>
      </c>
      <c r="L133" s="263">
        <f>+'PROYECCIÓN GENERACIÓN'!L133-'SEP ORIGEN'!L133</f>
        <v>4.8946300000000011</v>
      </c>
      <c r="M133" s="263">
        <f>+'PROYECCIÓN GENERACIÓN'!M133-'SEP ORIGEN'!M133</f>
        <v>4.9687820000000009</v>
      </c>
      <c r="N133" s="263">
        <f>+'PROYECCIÓN GENERACIÓN'!N133-'SEP ORIGEN'!N133</f>
        <v>5.0435320000000008</v>
      </c>
      <c r="O133" s="263">
        <f>+'PROYECCIÓN GENERACIÓN'!O133-'SEP ORIGEN'!O133</f>
        <v>5.1176840000000006</v>
      </c>
      <c r="P133" s="263">
        <f>+'PROYECCIÓN GENERACIÓN'!P133-'SEP ORIGEN'!P133</f>
        <v>5.1924340000000004</v>
      </c>
      <c r="Q133" s="263">
        <f>+'PROYECCIÓN GENERACIÓN'!Q133-'SEP ORIGEN'!Q133</f>
        <v>5.2665860000000002</v>
      </c>
      <c r="R133" s="263">
        <f>+'PROYECCIÓN GENERACIÓN'!R133-'SEP ORIGEN'!R133</f>
        <v>5.3407380000000009</v>
      </c>
      <c r="S133" s="263">
        <f>+'PROYECCIÓN GENERACIÓN'!S133-'SEP ORIGEN'!S133</f>
        <v>5.4154880000000007</v>
      </c>
      <c r="T133" s="263">
        <f>+'PROYECCIÓN GENERACIÓN'!T133-'SEP ORIGEN'!T133</f>
        <v>5.4896400000000005</v>
      </c>
      <c r="U133" s="263">
        <f>+'PROYECCIÓN GENERACIÓN'!U133-'SEP ORIGEN'!U133</f>
        <v>5.5643900000000013</v>
      </c>
      <c r="V133" s="263">
        <f>+'PROYECCIÓN GENERACIÓN'!V133-'SEP ORIGEN'!V133</f>
        <v>5.6385420000000011</v>
      </c>
      <c r="W133" s="263">
        <f>+'PROYECCIÓN GENERACIÓN'!W133-'SEP ORIGEN'!W133</f>
        <v>5.7132920000000009</v>
      </c>
      <c r="X133" s="263">
        <f>+'PROYECCIÓN GENERACIÓN'!X133-'SEP ORIGEN'!X133</f>
        <v>5.7874440000000007</v>
      </c>
      <c r="Y133" s="263">
        <f>+'PROYECCIÓN GENERACIÓN'!Y133-'SEP ORIGEN'!Y133</f>
        <v>5.8615960000000005</v>
      </c>
      <c r="Z133" s="263">
        <f>+'PROYECCIÓN GENERACIÓN'!Z133-'SEP ORIGEN'!Z133</f>
        <v>5.9363460000000003</v>
      </c>
    </row>
    <row r="134" spans="1:26" ht="24.95" customHeight="1">
      <c r="A134" s="351" t="str">
        <f>+Pobl_adoptada!A134</f>
        <v>Trenque Lauquen</v>
      </c>
      <c r="B134" s="70">
        <f>+Pobl_adoptada!B134</f>
        <v>130</v>
      </c>
      <c r="C134" s="353" t="str">
        <f>+Pobl_adoptada!C134</f>
        <v>Trenque Lauquen</v>
      </c>
      <c r="D134" s="261"/>
      <c r="E134" s="278"/>
      <c r="F134" s="263"/>
      <c r="G134" s="263">
        <f>+'PROYECCIÓN GENERACIÓN'!G134-'SEP ORIGEN'!G134</f>
        <v>40.7072754</v>
      </c>
      <c r="H134" s="263">
        <f>+'PROYECCIÓN GENERACIÓN'!H134-'SEP ORIGEN'!H134</f>
        <v>38.182005600000004</v>
      </c>
      <c r="I134" s="263">
        <f>+'PROYECCIÓN GENERACIÓN'!I134-'SEP ORIGEN'!I134</f>
        <v>35.605718000000003</v>
      </c>
      <c r="J134" s="263">
        <f>+'PROYECCIÓN GENERACIÓN'!J134-'SEP ORIGEN'!J134</f>
        <v>31.709370000000003</v>
      </c>
      <c r="K134" s="263">
        <f>+'PROYECCIÓN GENERACIÓN'!K134-'SEP ORIGEN'!K134</f>
        <v>27.737073000000002</v>
      </c>
      <c r="L134" s="263">
        <f>+'PROYECCIÓN GENERACIÓN'!L134-'SEP ORIGEN'!L134</f>
        <v>27.996137000000004</v>
      </c>
      <c r="M134" s="263">
        <f>+'PROYECCIÓN GENERACIÓN'!M134-'SEP ORIGEN'!M134</f>
        <v>28.256579000000002</v>
      </c>
      <c r="N134" s="263">
        <f>+'PROYECCIÓN GENERACIÓN'!N134-'SEP ORIGEN'!N134</f>
        <v>28.519777000000005</v>
      </c>
      <c r="O134" s="263">
        <f>+'PROYECCIÓN GENERACIÓN'!O134-'SEP ORIGEN'!O134</f>
        <v>28.785731000000006</v>
      </c>
      <c r="P134" s="263">
        <f>+'PROYECCIÓN GENERACIÓN'!P134-'SEP ORIGEN'!P134</f>
        <v>29.053752000000003</v>
      </c>
      <c r="Q134" s="263">
        <f>+'PROYECCIÓN GENERACIÓN'!Q134-'SEP ORIGEN'!Q134</f>
        <v>29.324529000000002</v>
      </c>
      <c r="R134" s="263">
        <f>+'PROYECCIÓN GENERACIÓN'!R134-'SEP ORIGEN'!R134</f>
        <v>29.598061999999999</v>
      </c>
      <c r="S134" s="263">
        <f>+'PROYECCIÓN GENERACIÓN'!S134-'SEP ORIGEN'!S134</f>
        <v>29.873662000000007</v>
      </c>
      <c r="T134" s="263">
        <f>+'PROYECCIÓN GENERACIÓN'!T134-'SEP ORIGEN'!T134</f>
        <v>30.152018000000002</v>
      </c>
      <c r="U134" s="263">
        <f>+'PROYECCIÓN GENERACIÓN'!U134-'SEP ORIGEN'!U134</f>
        <v>30.433130000000006</v>
      </c>
      <c r="V134" s="263">
        <f>+'PROYECCIÓN GENERACIÓN'!V134-'SEP ORIGEN'!V134</f>
        <v>30.716308999999999</v>
      </c>
      <c r="W134" s="263">
        <f>+'PROYECCIÓN GENERACIÓN'!W134-'SEP ORIGEN'!W134</f>
        <v>31.002933000000002</v>
      </c>
      <c r="X134" s="263">
        <f>+'PROYECCIÓN GENERACIÓN'!X134-'SEP ORIGEN'!X134</f>
        <v>31.291624000000002</v>
      </c>
      <c r="Y134" s="263">
        <f>+'PROYECCIÓN GENERACIÓN'!Y134-'SEP ORIGEN'!Y134</f>
        <v>31.583071000000007</v>
      </c>
      <c r="Z134" s="263">
        <f>+'PROYECCIÓN GENERACIÓN'!Z134-'SEP ORIGEN'!Z134</f>
        <v>31.877274</v>
      </c>
    </row>
    <row r="135" spans="1:26" ht="24.95" customHeight="1">
      <c r="A135" s="351" t="str">
        <f>+Pobl_adoptada!A135</f>
        <v>Tres Arroyos</v>
      </c>
      <c r="B135" s="70">
        <f>+Pobl_adoptada!B135</f>
        <v>131</v>
      </c>
      <c r="C135" s="353" t="str">
        <f>+Pobl_adoptada!C135</f>
        <v>Tres Arroyos</v>
      </c>
      <c r="D135" s="261"/>
      <c r="E135" s="278"/>
      <c r="F135" s="263"/>
      <c r="G135" s="263">
        <f>+'PROYECCIÓN GENERACIÓN'!G135-'SEP ORIGEN'!G135</f>
        <v>52.024005000000002</v>
      </c>
      <c r="H135" s="263">
        <f>+'PROYECCIÓN GENERACIÓN'!H135-'SEP ORIGEN'!H135</f>
        <v>48.533753600000004</v>
      </c>
      <c r="I135" s="263">
        <f>+'PROYECCIÓN GENERACIÓN'!I135-'SEP ORIGEN'!I135</f>
        <v>45.018465000000006</v>
      </c>
      <c r="J135" s="263">
        <f>+'PROYECCIÓN GENERACIÓN'!J135-'SEP ORIGEN'!J135</f>
        <v>39.881174999999999</v>
      </c>
      <c r="K135" s="263">
        <f>+'PROYECCIÓN GENERACIÓN'!K135-'SEP ORIGEN'!K135</f>
        <v>34.704240999999996</v>
      </c>
      <c r="L135" s="263">
        <f>+'PROYECCIÓN GENERACIÓN'!L135-'SEP ORIGEN'!L135</f>
        <v>34.846175000000002</v>
      </c>
      <c r="M135" s="263">
        <f>+'PROYECCIÓN GENERACIÓN'!M135-'SEP ORIGEN'!M135</f>
        <v>34.990864999999999</v>
      </c>
      <c r="N135" s="263">
        <f>+'PROYECCIÓN GENERACIÓN'!N135-'SEP ORIGEN'!N135</f>
        <v>35.138311000000002</v>
      </c>
      <c r="O135" s="263">
        <f>+'PROYECCIÓN GENERACIÓN'!O135-'SEP ORIGEN'!O135</f>
        <v>35.287135000000006</v>
      </c>
      <c r="P135" s="263">
        <f>+'PROYECCIÓN GENERACIÓN'!P135-'SEP ORIGEN'!P135</f>
        <v>35.43940400000001</v>
      </c>
      <c r="Q135" s="263">
        <f>+'PROYECCIÓN GENERACIÓN'!Q135-'SEP ORIGEN'!Q135</f>
        <v>35.593740000000004</v>
      </c>
      <c r="R135" s="263">
        <f>+'PROYECCIÓN GENERACIÓN'!R135-'SEP ORIGEN'!R135</f>
        <v>35.750143000000001</v>
      </c>
      <c r="S135" s="263">
        <f>+'PROYECCIÓN GENERACIÓN'!S135-'SEP ORIGEN'!S135</f>
        <v>35.909990999999998</v>
      </c>
      <c r="T135" s="263">
        <f>+'PROYECCIÓN GENERACIÓN'!T135-'SEP ORIGEN'!T135</f>
        <v>36.071905999999998</v>
      </c>
      <c r="U135" s="263">
        <f>+'PROYECCIÓN GENERACIÓN'!U135-'SEP ORIGEN'!U135</f>
        <v>36.236577000000004</v>
      </c>
      <c r="V135" s="263">
        <f>+'PROYECCIÓN GENERACIÓN'!V135-'SEP ORIGEN'!V135</f>
        <v>36.404004</v>
      </c>
      <c r="W135" s="263">
        <f>+'PROYECCIÓN GENERACIÓN'!W135-'SEP ORIGEN'!W135</f>
        <v>36.574187000000002</v>
      </c>
      <c r="X135" s="263">
        <f>+'PROYECCIÓN GENERACIÓN'!X135-'SEP ORIGEN'!X135</f>
        <v>36.747125999999994</v>
      </c>
      <c r="Y135" s="263">
        <f>+'PROYECCIÓN GENERACIÓN'!Y135-'SEP ORIGEN'!Y135</f>
        <v>36.922820999999999</v>
      </c>
      <c r="Z135" s="263">
        <f>+'PROYECCIÓN GENERACIÓN'!Z135-'SEP ORIGEN'!Z135</f>
        <v>37.101272000000009</v>
      </c>
    </row>
    <row r="136" spans="1:26" ht="24.95" customHeight="1">
      <c r="A136" s="351" t="str">
        <f>+Pobl_adoptada!A136</f>
        <v>Tres Lomas</v>
      </c>
      <c r="B136" s="70">
        <f>+Pobl_adoptada!B136</f>
        <v>132</v>
      </c>
      <c r="C136" s="353" t="str">
        <f>+Pobl_adoptada!C136</f>
        <v>Tres Lomas</v>
      </c>
      <c r="D136" s="261"/>
      <c r="E136" s="278"/>
      <c r="F136" s="263"/>
      <c r="G136" s="263">
        <f>+'PROYECCIÓN GENERACIÓN'!G136-'SEP ORIGEN'!G136</f>
        <v>8.3966651999999993</v>
      </c>
      <c r="H136" s="263">
        <f>+'PROYECCIÓN GENERACIÓN'!H136-'SEP ORIGEN'!H136</f>
        <v>7.8757520000000003</v>
      </c>
      <c r="I136" s="263">
        <f>+'PROYECCIÓN GENERACIÓN'!I136-'SEP ORIGEN'!I136</f>
        <v>7.3429800000000016</v>
      </c>
      <c r="J136" s="263">
        <f>+'PROYECCIÓN GENERACIÓN'!J136-'SEP ORIGEN'!J136</f>
        <v>6.5384399999999996</v>
      </c>
      <c r="K136" s="263">
        <f>+'PROYECCIÓN GENERACIÓN'!K136-'SEP ORIGEN'!K136</f>
        <v>5.7174779999999998</v>
      </c>
      <c r="L136" s="263">
        <f>+'PROYECCIÓN GENERACIÓN'!L136-'SEP ORIGEN'!L136</f>
        <v>5.7689059999999994</v>
      </c>
      <c r="M136" s="263">
        <f>+'PROYECCIÓN GENERACIÓN'!M136-'SEP ORIGEN'!M136</f>
        <v>5.8197360000000007</v>
      </c>
      <c r="N136" s="263">
        <f>+'PROYECCIÓN GENERACIÓN'!N136-'SEP ORIGEN'!N136</f>
        <v>5.8711640000000003</v>
      </c>
      <c r="O136" s="263">
        <f>+'PROYECCIÓN GENERACIÓN'!O136-'SEP ORIGEN'!O136</f>
        <v>5.9219940000000006</v>
      </c>
      <c r="P136" s="263">
        <f>+'PROYECCIÓN GENERACIÓN'!P136-'SEP ORIGEN'!P136</f>
        <v>5.9734220000000011</v>
      </c>
      <c r="Q136" s="263">
        <f>+'PROYECCIÓN GENERACIÓN'!Q136-'SEP ORIGEN'!Q136</f>
        <v>6.0242519999999997</v>
      </c>
      <c r="R136" s="263">
        <f>+'PROYECCIÓN GENERACIÓN'!R136-'SEP ORIGEN'!R136</f>
        <v>6.0756800000000002</v>
      </c>
      <c r="S136" s="263">
        <f>+'PROYECCIÓN GENERACIÓN'!S136-'SEP ORIGEN'!S136</f>
        <v>6.1265099999999997</v>
      </c>
      <c r="T136" s="263">
        <f>+'PROYECCIÓN GENERACIÓN'!T136-'SEP ORIGEN'!T136</f>
        <v>6.177938000000001</v>
      </c>
      <c r="U136" s="263">
        <f>+'PROYECCIÓN GENERACIÓN'!U136-'SEP ORIGEN'!U136</f>
        <v>6.2287680000000014</v>
      </c>
      <c r="V136" s="263">
        <f>+'PROYECCIÓN GENERACIÓN'!V136-'SEP ORIGEN'!V136</f>
        <v>6.2801960000000001</v>
      </c>
      <c r="W136" s="263">
        <f>+'PROYECCIÓN GENERACIÓN'!W136-'SEP ORIGEN'!W136</f>
        <v>6.3310260000000005</v>
      </c>
      <c r="X136" s="263">
        <f>+'PROYECCIÓN GENERACIÓN'!X136-'SEP ORIGEN'!X136</f>
        <v>6.3824540000000001</v>
      </c>
      <c r="Y136" s="263">
        <f>+'PROYECCIÓN GENERACIÓN'!Y136-'SEP ORIGEN'!Y136</f>
        <v>6.4332840000000004</v>
      </c>
      <c r="Z136" s="263">
        <f>+'PROYECCIÓN GENERACIÓN'!Z136-'SEP ORIGEN'!Z136</f>
        <v>6.4847119999999991</v>
      </c>
    </row>
    <row r="137" spans="1:26" ht="24.95" customHeight="1">
      <c r="A137" s="351" t="str">
        <f>+Pobl_adoptada!A137</f>
        <v>Villa Gesell</v>
      </c>
      <c r="B137" s="70">
        <f>+Pobl_adoptada!B137</f>
        <v>133</v>
      </c>
      <c r="C137" s="353" t="str">
        <f>+Pobl_adoptada!C137</f>
        <v>Villa Gesell</v>
      </c>
      <c r="D137" s="261"/>
      <c r="E137" s="278"/>
      <c r="F137" s="263"/>
      <c r="G137" s="263">
        <f>+'PROYECCIÓN GENERACIÓN'!G137-'SEP ORIGEN'!G137</f>
        <v>68.46444000000001</v>
      </c>
      <c r="H137" s="263">
        <f>+'PROYECCIÓN GENERACIÓN'!H137-'SEP ORIGEN'!H137</f>
        <v>64.756168799999998</v>
      </c>
      <c r="I137" s="263">
        <f>+'PROYECCIÓN GENERACIÓN'!I137-'SEP ORIGEN'!I137</f>
        <v>60.875537999999999</v>
      </c>
      <c r="J137" s="263">
        <f>+'PROYECCIÓN GENERACIÓN'!J137-'SEP ORIGEN'!J137</f>
        <v>54.637064999999993</v>
      </c>
      <c r="K137" s="263">
        <f>+'PROYECCIÓN GENERACIÓN'!K137-'SEP ORIGEN'!K137</f>
        <v>48.152363999999992</v>
      </c>
      <c r="L137" s="263">
        <f>+'PROYECCIÓN GENERACIÓN'!L137-'SEP ORIGEN'!L137</f>
        <v>48.952605000000005</v>
      </c>
      <c r="M137" s="263">
        <f>+'PROYECCIÓN GENERACIÓN'!M137-'SEP ORIGEN'!M137</f>
        <v>49.752846000000005</v>
      </c>
      <c r="N137" s="263">
        <f>+'PROYECCIÓN GENERACIÓN'!N137-'SEP ORIGEN'!N137</f>
        <v>50.553750000000008</v>
      </c>
      <c r="O137" s="263">
        <f>+'PROYECCIÓN GENERACIÓN'!O137-'SEP ORIGEN'!O137</f>
        <v>51.353327999999991</v>
      </c>
      <c r="P137" s="263">
        <f>+'PROYECCIÓN GENERACIÓN'!P137-'SEP ORIGEN'!P137</f>
        <v>52.153569000000005</v>
      </c>
      <c r="Q137" s="263">
        <f>+'PROYECCIÓN GENERACIÓN'!Q137-'SEP ORIGEN'!Q137</f>
        <v>52.954473</v>
      </c>
      <c r="R137" s="263">
        <f>+'PROYECCIÓN GENERACIÓN'!R137-'SEP ORIGEN'!R137</f>
        <v>53.754051000000004</v>
      </c>
      <c r="S137" s="263">
        <f>+'PROYECCIÓN GENERACIÓN'!S137-'SEP ORIGEN'!S137</f>
        <v>54.554955000000007</v>
      </c>
      <c r="T137" s="263">
        <f>+'PROYECCIÓN GENERACIÓN'!T137-'SEP ORIGEN'!T137</f>
        <v>55.354533000000004</v>
      </c>
      <c r="U137" s="263">
        <f>+'PROYECCIÓN GENERACIÓN'!U137-'SEP ORIGEN'!U137</f>
        <v>56.155436999999999</v>
      </c>
      <c r="V137" s="263">
        <f>+'PROYECCIÓN GENERACIÓN'!V137-'SEP ORIGEN'!V137</f>
        <v>56.955677999999992</v>
      </c>
      <c r="W137" s="263">
        <f>+'PROYECCIÓN GENERACIÓN'!W137-'SEP ORIGEN'!W137</f>
        <v>57.755256000000003</v>
      </c>
      <c r="X137" s="263">
        <f>+'PROYECCIÓN GENERACIÓN'!X137-'SEP ORIGEN'!X137</f>
        <v>58.556160000000006</v>
      </c>
      <c r="Y137" s="263">
        <f>+'PROYECCIÓN GENERACIÓN'!Y137-'SEP ORIGEN'!Y137</f>
        <v>59.355738000000002</v>
      </c>
      <c r="Z137" s="263">
        <f>+'PROYECCIÓN GENERACIÓN'!Z137-'SEP ORIGEN'!Z137</f>
        <v>60.156642000000005</v>
      </c>
    </row>
    <row r="138" spans="1:26" ht="24.95" customHeight="1">
      <c r="A138" s="351" t="str">
        <f>+Pobl_adoptada!A138</f>
        <v>Villarino</v>
      </c>
      <c r="B138" s="70">
        <f>+Pobl_adoptada!B138</f>
        <v>134</v>
      </c>
      <c r="C138" s="353" t="str">
        <f>+Pobl_adoptada!C138</f>
        <v>Médanos</v>
      </c>
      <c r="D138" s="261"/>
      <c r="E138" s="278"/>
      <c r="F138" s="263"/>
      <c r="G138" s="263">
        <f>+'PROYECCIÓN GENERACIÓN'!G138-'SEP ORIGEN'!G138</f>
        <v>5.3035883999999998</v>
      </c>
      <c r="H138" s="263">
        <f>+'PROYECCIÓN GENERACIÓN'!H138-'SEP ORIGEN'!H138</f>
        <v>4.9505935999999995</v>
      </c>
      <c r="I138" s="263">
        <f>+'PROYECCIÓN GENERACIÓN'!I138-'SEP ORIGEN'!I138</f>
        <v>4.5950319999999998</v>
      </c>
      <c r="J138" s="263">
        <f>+'PROYECCIÓN GENERACIÓN'!J138-'SEP ORIGEN'!J138</f>
        <v>4.0723800000000008</v>
      </c>
      <c r="K138" s="263">
        <f>+'PROYECCIÓN GENERACIÓN'!K138-'SEP ORIGEN'!K138</f>
        <v>3.5455420000000006</v>
      </c>
      <c r="L138" s="263">
        <f>+'PROYECCIÓN GENERACIÓN'!L138-'SEP ORIGEN'!L138</f>
        <v>3.5616880000000006</v>
      </c>
      <c r="M138" s="263">
        <f>+'PROYECCIÓN GENERACIÓN'!M138-'SEP ORIGEN'!M138</f>
        <v>3.5772360000000001</v>
      </c>
      <c r="N138" s="263">
        <f>+'PROYECCIÓN GENERACIÓN'!N138-'SEP ORIGEN'!N138</f>
        <v>3.5933820000000005</v>
      </c>
      <c r="O138" s="263">
        <f>+'PROYECCIÓN GENERACIÓN'!O138-'SEP ORIGEN'!O138</f>
        <v>3.60893</v>
      </c>
      <c r="P138" s="263">
        <f>+'PROYECCIÓN GENERACIÓN'!P138-'SEP ORIGEN'!P138</f>
        <v>3.625076</v>
      </c>
      <c r="Q138" s="263">
        <f>+'PROYECCIÓN GENERACIÓN'!Q138-'SEP ORIGEN'!Q138</f>
        <v>3.6412220000000004</v>
      </c>
      <c r="R138" s="263">
        <f>+'PROYECCIÓN GENERACIÓN'!R138-'SEP ORIGEN'!R138</f>
        <v>3.6567699999999999</v>
      </c>
      <c r="S138" s="263">
        <f>+'PROYECCIÓN GENERACIÓN'!S138-'SEP ORIGEN'!S138</f>
        <v>3.6729160000000003</v>
      </c>
      <c r="T138" s="263">
        <f>+'PROYECCIÓN GENERACIÓN'!T138-'SEP ORIGEN'!T138</f>
        <v>3.6884640000000006</v>
      </c>
      <c r="U138" s="263">
        <f>+'PROYECCIÓN GENERACIÓN'!U138-'SEP ORIGEN'!U138</f>
        <v>3.7046100000000006</v>
      </c>
      <c r="V138" s="263">
        <f>+'PROYECCIÓN GENERACIÓN'!V138-'SEP ORIGEN'!V138</f>
        <v>3.7201580000000001</v>
      </c>
      <c r="W138" s="263">
        <f>+'PROYECCIÓN GENERACIÓN'!W138-'SEP ORIGEN'!W138</f>
        <v>3.7363039999999996</v>
      </c>
      <c r="X138" s="263">
        <f>+'PROYECCIÓN GENERACIÓN'!X138-'SEP ORIGEN'!X138</f>
        <v>3.7524500000000001</v>
      </c>
      <c r="Y138" s="263">
        <f>+'PROYECCIÓN GENERACIÓN'!Y138-'SEP ORIGEN'!Y138</f>
        <v>3.767998</v>
      </c>
      <c r="Z138" s="263">
        <f>+'PROYECCIÓN GENERACIÓN'!Z138-'SEP ORIGEN'!Z138</f>
        <v>3.7841440000000004</v>
      </c>
    </row>
    <row r="139" spans="1:26" ht="24.95" customHeight="1">
      <c r="A139" s="351" t="str">
        <f>+Pobl_adoptada!A139</f>
        <v>Zárate</v>
      </c>
      <c r="B139" s="70">
        <f>+Pobl_adoptada!B139</f>
        <v>135</v>
      </c>
      <c r="C139" s="353" t="str">
        <f>+Pobl_adoptada!C139</f>
        <v>Zárate</v>
      </c>
      <c r="D139" s="261"/>
      <c r="E139" s="278"/>
      <c r="F139" s="263"/>
      <c r="G139" s="263">
        <f>+'PROYECCIÓN GENERACIÓN'!G139-'SEP ORIGEN'!G139</f>
        <v>120.04906320000001</v>
      </c>
      <c r="H139" s="263">
        <f>+'PROYECCIÓN GENERACIÓN'!H139-'SEP ORIGEN'!H139</f>
        <v>112.87825920000002</v>
      </c>
      <c r="I139" s="263">
        <f>+'PROYECCIÓN GENERACIÓN'!I139-'SEP ORIGEN'!I139</f>
        <v>105.521703</v>
      </c>
      <c r="J139" s="263">
        <f>+'PROYECCIÓN GENERACIÓN'!J139-'SEP ORIGEN'!J139</f>
        <v>94.206689999999995</v>
      </c>
      <c r="K139" s="263">
        <f>+'PROYECCIÓN GENERACIÓN'!K139-'SEP ORIGEN'!K139</f>
        <v>82.61046300000001</v>
      </c>
      <c r="L139" s="263">
        <f>+'PROYECCIÓN GENERACIÓN'!L139-'SEP ORIGEN'!L139</f>
        <v>83.586399</v>
      </c>
      <c r="M139" s="263">
        <f>+'PROYECCIÓN GENERACIÓN'!M139-'SEP ORIGEN'!M139</f>
        <v>84.573606000000012</v>
      </c>
      <c r="N139" s="263">
        <f>+'PROYECCIÓN GENERACIÓN'!N139-'SEP ORIGEN'!N139</f>
        <v>85.572084000000004</v>
      </c>
      <c r="O139" s="263">
        <f>+'PROYECCIÓN GENERACIÓN'!O139-'SEP ORIGEN'!O139</f>
        <v>86.583159000000023</v>
      </c>
      <c r="P139" s="263">
        <f>+'PROYECCIÓN GENERACIÓN'!P139-'SEP ORIGEN'!P139</f>
        <v>87.605505000000008</v>
      </c>
      <c r="Q139" s="263">
        <f>+'PROYECCIÓN GENERACIÓN'!Q139-'SEP ORIGEN'!Q139</f>
        <v>88.640448000000006</v>
      </c>
      <c r="R139" s="263">
        <f>+'PROYECCIÓN GENERACIÓN'!R139-'SEP ORIGEN'!R139</f>
        <v>89.687325000000016</v>
      </c>
      <c r="S139" s="263">
        <f>+'PROYECCIÓN GENERACIÓN'!S139-'SEP ORIGEN'!S139</f>
        <v>90.746798999999996</v>
      </c>
      <c r="T139" s="263">
        <f>+'PROYECCIÓN GENERACIÓN'!T139-'SEP ORIGEN'!T139</f>
        <v>91.818207000000001</v>
      </c>
      <c r="U139" s="263">
        <f>+'PROYECCIÓN GENERACIÓN'!U139-'SEP ORIGEN'!U139</f>
        <v>92.902875000000009</v>
      </c>
      <c r="V139" s="263">
        <f>+'PROYECCIÓN GENERACIÓN'!V139-'SEP ORIGEN'!V139</f>
        <v>94.000140000000002</v>
      </c>
      <c r="W139" s="263">
        <f>+'PROYECCIÓN GENERACIÓN'!W139-'SEP ORIGEN'!W139</f>
        <v>95.110002000000009</v>
      </c>
      <c r="X139" s="263">
        <f>+'PROYECCIÓN GENERACIÓN'!X139-'SEP ORIGEN'!X139</f>
        <v>96.233787000000007</v>
      </c>
      <c r="Y139" s="263">
        <f>+'PROYECCIÓN GENERACIÓN'!Y139-'SEP ORIGEN'!Y139</f>
        <v>97.370169000000004</v>
      </c>
      <c r="Z139" s="263">
        <f>+'PROYECCIÓN GENERACIÓN'!Z139-'SEP ORIGEN'!Z139</f>
        <v>98.520473999999993</v>
      </c>
    </row>
    <row r="140" spans="1:26" ht="24.95" customHeight="1">
      <c r="A140" s="351" t="str">
        <f>+Pobl_adoptada!A140</f>
        <v>CABA</v>
      </c>
      <c r="B140" s="70">
        <f>+Pobl_adoptada!B140</f>
        <v>136</v>
      </c>
      <c r="C140" s="353" t="str">
        <f>+Pobl_adoptada!C140</f>
        <v>CABA</v>
      </c>
      <c r="D140" s="261"/>
      <c r="E140" s="278"/>
      <c r="F140" s="263"/>
      <c r="G140" s="263">
        <f>+'PROYECCIÓN GENERACIÓN'!G140-'SEP ORIGEN'!G140</f>
        <v>7881.5096414999989</v>
      </c>
      <c r="H140" s="263">
        <f>+'PROYECCIÓN GENERACIÓN'!H140-'SEP ORIGEN'!H140</f>
        <v>7380.8734199999999</v>
      </c>
      <c r="I140" s="263">
        <f>+'PROYECCIÓN GENERACIÓN'!I140-'SEP ORIGEN'!I140</f>
        <v>6872.4710594999997</v>
      </c>
      <c r="J140" s="263">
        <f>+'PROYECCIÓN GENERACIÓN'!J140-'SEP ORIGEN'!J140</f>
        <v>6111.6404174999998</v>
      </c>
      <c r="K140" s="263">
        <f>+'PROYECCIÓN GENERACIÓN'!K140-'SEP ORIGEN'!K140</f>
        <v>5338.7646389999991</v>
      </c>
      <c r="L140" s="263">
        <f>+'PROYECCIÓN GENERACIÓN'!L140-'SEP ORIGEN'!L140</f>
        <v>5381.4588750000003</v>
      </c>
      <c r="M140" s="263">
        <f>+'PROYECCIÓN GENERACIÓN'!M140-'SEP ORIGEN'!M140</f>
        <v>5424.8505674999997</v>
      </c>
      <c r="N140" s="263">
        <f>+'PROYECCIÓN GENERACIÓN'!N140-'SEP ORIGEN'!N140</f>
        <v>5468.9497980000006</v>
      </c>
      <c r="O140" s="263">
        <f>+'PROYECCIÓN GENERACIÓN'!O140-'SEP ORIGEN'!O140</f>
        <v>5513.768481000001</v>
      </c>
      <c r="P140" s="263">
        <f>+'PROYECCIÓN GENERACIÓN'!P140-'SEP ORIGEN'!P140</f>
        <v>5559.3166980000005</v>
      </c>
      <c r="Q140" s="263">
        <f>+'PROYECCIÓN GENERACIÓN'!Q140-'SEP ORIGEN'!Q140</f>
        <v>5605.6091129999995</v>
      </c>
      <c r="R140" s="263">
        <f>+'PROYECCIÓN GENERACIÓN'!R140-'SEP ORIGEN'!R140</f>
        <v>5652.6576404999996</v>
      </c>
      <c r="S140" s="263">
        <f>+'PROYECCIÓN GENERACIÓN'!S140-'SEP ORIGEN'!S140</f>
        <v>5700.4723619999995</v>
      </c>
      <c r="T140" s="263">
        <f>+'PROYECCIÓN GENERACIÓN'!T140-'SEP ORIGEN'!T140</f>
        <v>5749.0670250000003</v>
      </c>
      <c r="U140" s="263">
        <f>+'PROYECCIÓN GENERACIÓN'!U140-'SEP ORIGEN'!U140</f>
        <v>5798.4553770000002</v>
      </c>
      <c r="V140" s="263">
        <f>+'PROYECCIÓN GENERACIÓN'!V140-'SEP ORIGEN'!V140</f>
        <v>5848.6493324999992</v>
      </c>
      <c r="W140" s="263">
        <f>+'PROYECCIÓN GENERACIÓN'!W140-'SEP ORIGEN'!W140</f>
        <v>5899.6617225</v>
      </c>
      <c r="X140" s="263">
        <f>+'PROYECCIÓN GENERACIÓN'!X140-'SEP ORIGEN'!X140</f>
        <v>5951.5053779999998</v>
      </c>
      <c r="Y140" s="263">
        <f>+'PROYECCIÓN GENERACIÓN'!Y140-'SEP ORIGEN'!Y140</f>
        <v>6004.195879500001</v>
      </c>
      <c r="Z140" s="263">
        <f>+'PROYECCIÓN GENERACIÓN'!Z140-'SEP ORIGEN'!Z140</f>
        <v>6057.7460579999997</v>
      </c>
    </row>
    <row r="141" spans="1:26" ht="24.95" customHeight="1">
      <c r="A141" s="351" t="str">
        <f>+Pobl_adoptada!A141</f>
        <v>Adolfo Alsina</v>
      </c>
      <c r="B141" s="70">
        <f>+Pobl_adoptada!B141</f>
        <v>137</v>
      </c>
      <c r="C141" s="353" t="str">
        <f>+Pobl_adoptada!C141</f>
        <v>Rivera</v>
      </c>
      <c r="D141" s="284"/>
      <c r="E141" s="285"/>
      <c r="F141" s="286"/>
      <c r="G141" s="263">
        <f>+'PROYECCIÓN GENERACIÓN'!G141-'SEP ORIGEN'!G141</f>
        <v>3.0293207999999998</v>
      </c>
      <c r="H141" s="263">
        <f>+'PROYECCIÓN GENERACIÓN'!H141-'SEP ORIGEN'!H141</f>
        <v>2.8227440000000006</v>
      </c>
      <c r="I141" s="263">
        <f>+'PROYECCIÓN GENERACIÓN'!I141-'SEP ORIGEN'!I141</f>
        <v>2.615008</v>
      </c>
      <c r="J141" s="263">
        <f>+'PROYECCIÓN GENERACIÓN'!J141-'SEP ORIGEN'!J141</f>
        <v>2.3142600000000004</v>
      </c>
      <c r="K141" s="263">
        <f>+'PROYECCIÓN GENERACIÓN'!K141-'SEP ORIGEN'!K141</f>
        <v>2.0110739999999998</v>
      </c>
      <c r="L141" s="263">
        <f>+'PROYECCIÓN GENERACIÓN'!L141-'SEP ORIGEN'!L141</f>
        <v>2.0164560000000002</v>
      </c>
      <c r="M141" s="263">
        <f>+'PROYECCIÓN GENERACIÓN'!M141-'SEP ORIGEN'!M141</f>
        <v>2.0218380000000002</v>
      </c>
      <c r="N141" s="263">
        <f>+'PROYECCIÓN GENERACIÓN'!N141-'SEP ORIGEN'!N141</f>
        <v>2.0278179999999999</v>
      </c>
      <c r="O141" s="263">
        <f>+'PROYECCIÓN GENERACIÓN'!O141-'SEP ORIGEN'!O141</f>
        <v>2.0331999999999999</v>
      </c>
      <c r="P141" s="263">
        <f>+'PROYECCIÓN GENERACIÓN'!P141-'SEP ORIGEN'!P141</f>
        <v>2.0385819999999999</v>
      </c>
      <c r="Q141" s="263">
        <f>+'PROYECCIÓN GENERACIÓN'!Q141-'SEP ORIGEN'!Q141</f>
        <v>2.044562</v>
      </c>
      <c r="R141" s="263">
        <f>+'PROYECCIÓN GENERACIÓN'!R141-'SEP ORIGEN'!R141</f>
        <v>2.049944</v>
      </c>
      <c r="S141" s="263">
        <f>+'PROYECCIÓN GENERACIÓN'!S141-'SEP ORIGEN'!S141</f>
        <v>2.055326</v>
      </c>
      <c r="T141" s="263">
        <f>+'PROYECCIÓN GENERACIÓN'!T141-'SEP ORIGEN'!T141</f>
        <v>2.0613060000000001</v>
      </c>
      <c r="U141" s="263">
        <f>+'PROYECCIÓN GENERACIÓN'!U141-'SEP ORIGEN'!U141</f>
        <v>2.0666880000000001</v>
      </c>
      <c r="V141" s="263">
        <f>+'PROYECCIÓN GENERACIÓN'!V141-'SEP ORIGEN'!V141</f>
        <v>2.0720700000000001</v>
      </c>
      <c r="W141" s="263">
        <f>+'PROYECCIÓN GENERACIÓN'!W141-'SEP ORIGEN'!W141</f>
        <v>2.0780500000000002</v>
      </c>
      <c r="X141" s="263">
        <f>+'PROYECCIÓN GENERACIÓN'!X141-'SEP ORIGEN'!X141</f>
        <v>2.0834320000000002</v>
      </c>
      <c r="Y141" s="263">
        <f>+'PROYECCIÓN GENERACIÓN'!Y141-'SEP ORIGEN'!Y141</f>
        <v>2.0888140000000002</v>
      </c>
      <c r="Z141" s="263">
        <f>+'PROYECCIÓN GENERACIÓN'!Z141-'SEP ORIGEN'!Z141</f>
        <v>2.0947940000000003</v>
      </c>
    </row>
    <row r="142" spans="1:26" ht="24.95" customHeight="1">
      <c r="A142" s="351" t="str">
        <f>+Pobl_adoptada!A142</f>
        <v>Carlos Tejedor</v>
      </c>
      <c r="B142" s="70">
        <f>+Pobl_adoptada!B142</f>
        <v>138</v>
      </c>
      <c r="C142" s="353" t="str">
        <f>+Pobl_adoptada!C142</f>
        <v>Tres Algarrobos</v>
      </c>
      <c r="D142" s="284"/>
      <c r="E142" s="285"/>
      <c r="F142" s="286"/>
      <c r="G142" s="263">
        <f>+'PROYECCIÓN GENERACIÓN'!G142-'SEP ORIGEN'!G142</f>
        <v>3.1987296000000001</v>
      </c>
      <c r="H142" s="263">
        <f>+'PROYECCIÓN GENERACIÓN'!H142-'SEP ORIGEN'!H142</f>
        <v>2.9894848000000001</v>
      </c>
      <c r="I142" s="263">
        <f>+'PROYECCIÓN GENERACIÓN'!I142-'SEP ORIGEN'!I142</f>
        <v>2.7776640000000001</v>
      </c>
      <c r="J142" s="263">
        <f>+'PROYECCIÓN GENERACIÓN'!J142-'SEP ORIGEN'!J142</f>
        <v>2.4646800000000004</v>
      </c>
      <c r="K142" s="263">
        <f>+'PROYECCIÓN GENERACIÓN'!K142-'SEP ORIGEN'!K142</f>
        <v>2.1480160000000001</v>
      </c>
      <c r="L142" s="263">
        <f>+'PROYECCIÓN GENERACIÓN'!L142-'SEP ORIGEN'!L142</f>
        <v>2.1599759999999999</v>
      </c>
      <c r="M142" s="263">
        <f>+'PROYECCIÓN GENERACIÓN'!M142-'SEP ORIGEN'!M142</f>
        <v>2.1719360000000001</v>
      </c>
      <c r="N142" s="263">
        <f>+'PROYECCIÓN GENERACIÓN'!N142-'SEP ORIGEN'!N142</f>
        <v>2.1838960000000003</v>
      </c>
      <c r="O142" s="263">
        <f>+'PROYECCIÓN GENERACIÓN'!O142-'SEP ORIGEN'!O142</f>
        <v>2.195856</v>
      </c>
      <c r="P142" s="263">
        <f>+'PROYECCIÓN GENERACIÓN'!P142-'SEP ORIGEN'!P142</f>
        <v>2.2078160000000002</v>
      </c>
      <c r="Q142" s="263">
        <f>+'PROYECCIÓN GENERACIÓN'!Q142-'SEP ORIGEN'!Q142</f>
        <v>2.219776</v>
      </c>
      <c r="R142" s="263">
        <f>+'PROYECCIÓN GENERACIÓN'!R142-'SEP ORIGEN'!R142</f>
        <v>2.2317360000000002</v>
      </c>
      <c r="S142" s="263">
        <f>+'PROYECCIÓN GENERACIÓN'!S142-'SEP ORIGEN'!S142</f>
        <v>2.2436959999999999</v>
      </c>
      <c r="T142" s="263">
        <f>+'PROYECCIÓN GENERACIÓN'!T142-'SEP ORIGEN'!T142</f>
        <v>2.2556560000000001</v>
      </c>
      <c r="U142" s="263">
        <f>+'PROYECCIÓN GENERACIÓN'!U142-'SEP ORIGEN'!U142</f>
        <v>2.2676160000000003</v>
      </c>
      <c r="V142" s="263">
        <f>+'PROYECCIÓN GENERACIÓN'!V142-'SEP ORIGEN'!V142</f>
        <v>2.279576</v>
      </c>
      <c r="W142" s="263">
        <f>+'PROYECCIÓN GENERACIÓN'!W142-'SEP ORIGEN'!W142</f>
        <v>2.2915360000000002</v>
      </c>
      <c r="X142" s="263">
        <f>+'PROYECCIÓN GENERACIÓN'!X142-'SEP ORIGEN'!X142</f>
        <v>2.303496</v>
      </c>
      <c r="Y142" s="263">
        <f>+'PROYECCIÓN GENERACIÓN'!Y142-'SEP ORIGEN'!Y142</f>
        <v>2.3154560000000002</v>
      </c>
      <c r="Z142" s="263">
        <f>+'PROYECCIÓN GENERACIÓN'!Z142-'SEP ORIGEN'!Z142</f>
        <v>2.3274160000000004</v>
      </c>
    </row>
    <row r="143" spans="1:26" ht="24.95" customHeight="1">
      <c r="A143" s="351" t="str">
        <f>+Pobl_adoptada!A143</f>
        <v>Exaltación de la Cruz</v>
      </c>
      <c r="B143" s="70">
        <f>+Pobl_adoptada!B143</f>
        <v>139</v>
      </c>
      <c r="C143" s="353" t="str">
        <f>+Pobl_adoptada!C143</f>
        <v>Los Cardales</v>
      </c>
      <c r="D143" s="284"/>
      <c r="E143" s="285"/>
      <c r="F143" s="286"/>
      <c r="G143" s="263">
        <f>+'PROYECCIÓN GENERACIÓN'!G143-'SEP ORIGEN'!G143</f>
        <v>11.662794</v>
      </c>
      <c r="H143" s="263">
        <f>+'PROYECCIÓN GENERACIÓN'!H143-'SEP ORIGEN'!H143</f>
        <v>11.178404799999999</v>
      </c>
      <c r="I143" s="263">
        <f>+'PROYECCIÓN GENERACIÓN'!I143-'SEP ORIGEN'!I143</f>
        <v>10.648494000000001</v>
      </c>
      <c r="J143" s="263">
        <f>+'PROYECCIÓN GENERACIÓN'!J143-'SEP ORIGEN'!J143</f>
        <v>9.6827700000000014</v>
      </c>
      <c r="K143" s="263">
        <f>+'PROYECCIÓN GENERACIÓN'!K143-'SEP ORIGEN'!K143</f>
        <v>8.6440900000000003</v>
      </c>
      <c r="L143" s="263">
        <f>+'PROYECCIÓN GENERACIÓN'!L143-'SEP ORIGEN'!L143</f>
        <v>8.9012300000000018</v>
      </c>
      <c r="M143" s="263">
        <f>+'PROYECCIÓN GENERACIÓN'!M143-'SEP ORIGEN'!M143</f>
        <v>9.1625560000000004</v>
      </c>
      <c r="N143" s="263">
        <f>+'PROYECCIÓN GENERACIÓN'!N143-'SEP ORIGEN'!N143</f>
        <v>9.4274700000000013</v>
      </c>
      <c r="O143" s="263">
        <f>+'PROYECCIÓN GENERACIÓN'!O143-'SEP ORIGEN'!O143</f>
        <v>9.6971680000000013</v>
      </c>
      <c r="P143" s="263">
        <f>+'PROYECCIÓN GENERACIÓN'!P143-'SEP ORIGEN'!P143</f>
        <v>9.9716500000000003</v>
      </c>
      <c r="Q143" s="263">
        <f>+'PROYECCIÓN GENERACIÓN'!Q143-'SEP ORIGEN'!Q143</f>
        <v>10.24972</v>
      </c>
      <c r="R143" s="263">
        <f>+'PROYECCIÓN GENERACIÓN'!R143-'SEP ORIGEN'!R143</f>
        <v>10.533172</v>
      </c>
      <c r="S143" s="263">
        <f>+'PROYECCIÓN GENERACIÓN'!S143-'SEP ORIGEN'!S143</f>
        <v>10.820810000000002</v>
      </c>
      <c r="T143" s="263">
        <f>+'PROYECCIÓN GENERACIÓN'!T143-'SEP ORIGEN'!T143</f>
        <v>11.113232</v>
      </c>
      <c r="U143" s="263">
        <f>+'PROYECCIÓN GENERACIÓN'!U143-'SEP ORIGEN'!U143</f>
        <v>11.410437999999999</v>
      </c>
      <c r="V143" s="263">
        <f>+'PROYECCIÓN GENERACIÓN'!V143-'SEP ORIGEN'!V143</f>
        <v>11.712427999999999</v>
      </c>
      <c r="W143" s="263">
        <f>+'PROYECCIÓN GENERACIÓN'!W143-'SEP ORIGEN'!W143</f>
        <v>12.019202</v>
      </c>
      <c r="X143" s="263">
        <f>+'PROYECCIÓN GENERACIÓN'!X143-'SEP ORIGEN'!X143</f>
        <v>12.331358</v>
      </c>
      <c r="Y143" s="263">
        <f>+'PROYECCIÓN GENERACIÓN'!Y143-'SEP ORIGEN'!Y143</f>
        <v>12.648298000000002</v>
      </c>
      <c r="Z143" s="263">
        <f>+'PROYECCIÓN GENERACIÓN'!Z143-'SEP ORIGEN'!Z143</f>
        <v>12.97062</v>
      </c>
    </row>
    <row r="144" spans="1:26" ht="24.95" customHeight="1">
      <c r="A144" s="351" t="str">
        <f>+Pobl_adoptada!A144</f>
        <v>Exaltación de la Cruz</v>
      </c>
      <c r="B144" s="70">
        <f>+Pobl_adoptada!B144</f>
        <v>140</v>
      </c>
      <c r="C144" s="353" t="str">
        <f>+Pobl_adoptada!C144</f>
        <v>Parada Robles - Pavón</v>
      </c>
      <c r="D144" s="284"/>
      <c r="E144" s="285"/>
      <c r="F144" s="286"/>
      <c r="G144" s="263">
        <f>+'PROYECCIÓN GENERACIÓN'!G144-'SEP ORIGEN'!G144</f>
        <v>18.876607200000002</v>
      </c>
      <c r="H144" s="263">
        <f>+'PROYECCIÓN GENERACIÓN'!H144-'SEP ORIGEN'!H144</f>
        <v>18.238190400000004</v>
      </c>
      <c r="I144" s="263">
        <f>+'PROYECCIÓN GENERACIÓN'!I144-'SEP ORIGEN'!I144</f>
        <v>17.503727000000005</v>
      </c>
      <c r="J144" s="263">
        <f>+'PROYECCIÓN GENERACIÓN'!J144-'SEP ORIGEN'!J144</f>
        <v>16.030380000000001</v>
      </c>
      <c r="K144" s="263">
        <f>+'PROYECCIÓN GENERACIÓN'!K144-'SEP ORIGEN'!K144</f>
        <v>14.409057000000004</v>
      </c>
      <c r="L144" s="263">
        <f>+'PROYECCIÓN GENERACIÓN'!L144-'SEP ORIGEN'!L144</f>
        <v>14.934075</v>
      </c>
      <c r="M144" s="263">
        <f>+'PROYECCIÓN GENERACIÓN'!M144-'SEP ORIGEN'!M144</f>
        <v>15.467361000000002</v>
      </c>
      <c r="N144" s="263">
        <f>+'PROYECCIÓN GENERACIÓN'!N144-'SEP ORIGEN'!N144</f>
        <v>16.008915000000002</v>
      </c>
      <c r="O144" s="263">
        <f>+'PROYECCIÓN GENERACIÓN'!O144-'SEP ORIGEN'!O144</f>
        <v>16.559426000000002</v>
      </c>
      <c r="P144" s="263">
        <f>+'PROYECCIÓN GENERACIÓN'!P144-'SEP ORIGEN'!P144</f>
        <v>17.119582999999999</v>
      </c>
      <c r="Q144" s="263">
        <f>+'PROYECCIÓN GENERACIÓN'!Q144-'SEP ORIGEN'!Q144</f>
        <v>17.688008</v>
      </c>
      <c r="R144" s="263">
        <f>+'PROYECCIÓN GENERACIÓN'!R144-'SEP ORIGEN'!R144</f>
        <v>18.266078999999998</v>
      </c>
      <c r="S144" s="263">
        <f>+'PROYECCIÓN GENERACIÓN'!S144-'SEP ORIGEN'!S144</f>
        <v>18.853796000000003</v>
      </c>
      <c r="T144" s="263">
        <f>+'PROYECCIÓN GENERACIÓN'!T144-'SEP ORIGEN'!T144</f>
        <v>19.451159000000001</v>
      </c>
      <c r="U144" s="263">
        <f>+'PROYECCIÓN GENERACIÓN'!U144-'SEP ORIGEN'!U144</f>
        <v>20.058168000000002</v>
      </c>
      <c r="V144" s="263">
        <f>+'PROYECCIÓN GENERACIÓN'!V144-'SEP ORIGEN'!V144</f>
        <v>20.674823000000004</v>
      </c>
      <c r="W144" s="263">
        <f>+'PROYECCIÓN GENERACIÓN'!W144-'SEP ORIGEN'!W144</f>
        <v>21.301813000000003</v>
      </c>
      <c r="X144" s="263">
        <f>+'PROYECCIÓN GENERACIÓN'!X144-'SEP ORIGEN'!X144</f>
        <v>21.938449000000002</v>
      </c>
      <c r="Y144" s="263">
        <f>+'PROYECCIÓN GENERACIÓN'!Y144-'SEP ORIGEN'!Y144</f>
        <v>22.586109</v>
      </c>
      <c r="Z144" s="263">
        <f>+'PROYECCIÓN GENERACIÓN'!Z144-'SEP ORIGEN'!Z144</f>
        <v>23.244104000000007</v>
      </c>
    </row>
    <row r="145" spans="1:26" ht="24.95" customHeight="1">
      <c r="A145" s="351" t="str">
        <f>+Pobl_adoptada!A145</f>
        <v>General Alvarado</v>
      </c>
      <c r="B145" s="70">
        <f>+Pobl_adoptada!B145</f>
        <v>141</v>
      </c>
      <c r="C145" s="353" t="str">
        <f>+Pobl_adoptada!C145</f>
        <v>Comandante Nicanor Otamendi</v>
      </c>
      <c r="D145" s="284"/>
      <c r="E145" s="285"/>
      <c r="F145" s="286"/>
      <c r="G145" s="263">
        <f>+'PROYECCIÓN GENERACIÓN'!G145-'SEP ORIGEN'!G145</f>
        <v>6.7462955999999998</v>
      </c>
      <c r="H145" s="263">
        <f>+'PROYECCIÓN GENERACIÓN'!H145-'SEP ORIGEN'!H145</f>
        <v>6.3132976000000012</v>
      </c>
      <c r="I145" s="263">
        <f>+'PROYECCIÓN GENERACIÓN'!I145-'SEP ORIGEN'!I145</f>
        <v>5.8743840000000001</v>
      </c>
      <c r="J145" s="263">
        <f>+'PROYECCIÓN GENERACIÓN'!J145-'SEP ORIGEN'!J145</f>
        <v>5.2198500000000001</v>
      </c>
      <c r="K145" s="263">
        <f>+'PROYECCIÓN GENERACIÓN'!K145-'SEP ORIGEN'!K145</f>
        <v>4.5555640000000004</v>
      </c>
      <c r="L145" s="263">
        <f>+'PROYECCIÓN GENERACIÓN'!L145-'SEP ORIGEN'!L145</f>
        <v>4.5866600000000002</v>
      </c>
      <c r="M145" s="263">
        <f>+'PROYECCIÓN GENERACIÓN'!M145-'SEP ORIGEN'!M145</f>
        <v>4.6183540000000001</v>
      </c>
      <c r="N145" s="263">
        <f>+'PROYECCIÓN GENERACIÓN'!N145-'SEP ORIGEN'!N145</f>
        <v>4.650048</v>
      </c>
      <c r="O145" s="263">
        <f>+'PROYECCIÓN GENERACIÓN'!O145-'SEP ORIGEN'!O145</f>
        <v>4.6811439999999997</v>
      </c>
      <c r="P145" s="263">
        <f>+'PROYECCIÓN GENERACIÓN'!P145-'SEP ORIGEN'!P145</f>
        <v>4.7128380000000005</v>
      </c>
      <c r="Q145" s="263">
        <f>+'PROYECCIÓN GENERACIÓN'!Q145-'SEP ORIGEN'!Q145</f>
        <v>4.7445320000000004</v>
      </c>
      <c r="R145" s="263">
        <f>+'PROYECCIÓN GENERACIÓN'!R145-'SEP ORIGEN'!R145</f>
        <v>4.7756280000000002</v>
      </c>
      <c r="S145" s="263">
        <f>+'PROYECCIÓN GENERACIÓN'!S145-'SEP ORIGEN'!S145</f>
        <v>4.8073220000000001</v>
      </c>
      <c r="T145" s="263">
        <f>+'PROYECCIÓN GENERACIÓN'!T145-'SEP ORIGEN'!T145</f>
        <v>4.8390160000000009</v>
      </c>
      <c r="U145" s="263">
        <f>+'PROYECCIÓN GENERACIÓN'!U145-'SEP ORIGEN'!U145</f>
        <v>4.8701120000000007</v>
      </c>
      <c r="V145" s="263">
        <f>+'PROYECCIÓN GENERACIÓN'!V145-'SEP ORIGEN'!V145</f>
        <v>4.9018060000000006</v>
      </c>
      <c r="W145" s="263">
        <f>+'PROYECCIÓN GENERACIÓN'!W145-'SEP ORIGEN'!W145</f>
        <v>4.9335000000000004</v>
      </c>
      <c r="X145" s="263">
        <f>+'PROYECCIÓN GENERACIÓN'!X145-'SEP ORIGEN'!X145</f>
        <v>4.9645960000000002</v>
      </c>
      <c r="Y145" s="263">
        <f>+'PROYECCIÓN GENERACIÓN'!Y145-'SEP ORIGEN'!Y145</f>
        <v>4.9962900000000001</v>
      </c>
      <c r="Z145" s="263">
        <f>+'PROYECCIÓN GENERACIÓN'!Z145-'SEP ORIGEN'!Z145</f>
        <v>5.0279840000000009</v>
      </c>
    </row>
    <row r="146" spans="1:26" ht="24.95" customHeight="1">
      <c r="A146" s="351" t="str">
        <f>+Pobl_adoptada!A146</f>
        <v>General Arenales</v>
      </c>
      <c r="B146" s="70">
        <f>+Pobl_adoptada!B146</f>
        <v>142</v>
      </c>
      <c r="C146" s="353" t="str">
        <f>+Pobl_adoptada!C146</f>
        <v>Arribeños</v>
      </c>
      <c r="D146" s="284"/>
      <c r="E146" s="285"/>
      <c r="F146" s="286"/>
      <c r="G146" s="263">
        <f>+'PROYECCIÓN GENERACIÓN'!G146-'SEP ORIGEN'!G146</f>
        <v>2.7278460000000004</v>
      </c>
      <c r="H146" s="263">
        <f>+'PROYECCIÓN GENERACIÓN'!H146-'SEP ORIGEN'!H146</f>
        <v>2.5400464</v>
      </c>
      <c r="I146" s="263">
        <f>+'PROYECCIÓN GENERACIÓN'!I146-'SEP ORIGEN'!I146</f>
        <v>2.3522560000000001</v>
      </c>
      <c r="J146" s="263">
        <f>+'PROYECCIÓN GENERACIÓN'!J146-'SEP ORIGEN'!J146</f>
        <v>2.0796600000000001</v>
      </c>
      <c r="K146" s="263">
        <f>+'PROYECCIÓN GENERACIÓN'!K146-'SEP ORIGEN'!K146</f>
        <v>1.8065580000000003</v>
      </c>
      <c r="L146" s="263">
        <f>+'PROYECCIÓN GENERACIÓN'!L146-'SEP ORIGEN'!L146</f>
        <v>1.810146</v>
      </c>
      <c r="M146" s="263">
        <f>+'PROYECCIÓN GENERACIÓN'!M146-'SEP ORIGEN'!M146</f>
        <v>1.8143320000000001</v>
      </c>
      <c r="N146" s="263">
        <f>+'PROYECCIÓN GENERACIÓN'!N146-'SEP ORIGEN'!N146</f>
        <v>1.8179200000000002</v>
      </c>
      <c r="O146" s="263">
        <f>+'PROYECCIÓN GENERACIÓN'!O146-'SEP ORIGEN'!O146</f>
        <v>1.8221060000000002</v>
      </c>
      <c r="P146" s="263">
        <f>+'PROYECCIÓN GENERACIÓN'!P146-'SEP ORIGEN'!P146</f>
        <v>1.8256940000000004</v>
      </c>
      <c r="Q146" s="263">
        <f>+'PROYECCIÓN GENERACIÓN'!Q146-'SEP ORIGEN'!Q146</f>
        <v>1.8298800000000002</v>
      </c>
      <c r="R146" s="263">
        <f>+'PROYECCIÓN GENERACIÓN'!R146-'SEP ORIGEN'!R146</f>
        <v>1.8340660000000004</v>
      </c>
      <c r="S146" s="263">
        <f>+'PROYECCIÓN GENERACIÓN'!S146-'SEP ORIGEN'!S146</f>
        <v>1.8376540000000001</v>
      </c>
      <c r="T146" s="263">
        <f>+'PROYECCIÓN GENERACIÓN'!T146-'SEP ORIGEN'!T146</f>
        <v>1.8418400000000001</v>
      </c>
      <c r="U146" s="263">
        <f>+'PROYECCIÓN GENERACIÓN'!U146-'SEP ORIGEN'!U146</f>
        <v>1.8454280000000003</v>
      </c>
      <c r="V146" s="263">
        <f>+'PROYECCIÓN GENERACIÓN'!V146-'SEP ORIGEN'!V146</f>
        <v>1.8496139999999999</v>
      </c>
      <c r="W146" s="263">
        <f>+'PROYECCIÓN GENERACIÓN'!W146-'SEP ORIGEN'!W146</f>
        <v>1.853202</v>
      </c>
      <c r="X146" s="263">
        <f>+'PROYECCIÓN GENERACIÓN'!X146-'SEP ORIGEN'!X146</f>
        <v>1.857388</v>
      </c>
      <c r="Y146" s="263">
        <f>+'PROYECCIÓN GENERACIÓN'!Y146-'SEP ORIGEN'!Y146</f>
        <v>1.860976</v>
      </c>
      <c r="Z146" s="263">
        <f>+'PROYECCIÓN GENERACIÓN'!Z146-'SEP ORIGEN'!Z146</f>
        <v>1.865162</v>
      </c>
    </row>
    <row r="147" spans="1:26" ht="24.95" customHeight="1">
      <c r="A147" s="351" t="str">
        <f>+Pobl_adoptada!A147</f>
        <v>General Arenales</v>
      </c>
      <c r="B147" s="70">
        <f>+Pobl_adoptada!B147</f>
        <v>143</v>
      </c>
      <c r="C147" s="353" t="str">
        <f>+Pobl_adoptada!C147</f>
        <v>Ascensión</v>
      </c>
      <c r="D147" s="284"/>
      <c r="E147" s="285"/>
      <c r="F147" s="286"/>
      <c r="G147" s="263">
        <f>+'PROYECCIÓN GENERACIÓN'!G147-'SEP ORIGEN'!G147</f>
        <v>4.0075200000000004</v>
      </c>
      <c r="H147" s="263">
        <f>+'PROYECCIÓN GENERACIÓN'!H147-'SEP ORIGEN'!H147</f>
        <v>3.7351632000000001</v>
      </c>
      <c r="I147" s="263">
        <f>+'PROYECCIÓN GENERACIÓN'!I147-'SEP ORIGEN'!I147</f>
        <v>3.46035</v>
      </c>
      <c r="J147" s="263">
        <f>+'PROYECCIÓN GENERACIÓN'!J147-'SEP ORIGEN'!J147</f>
        <v>3.0622199999999999</v>
      </c>
      <c r="K147" s="263">
        <f>+'PROYECCIÓN GENERACIÓN'!K147-'SEP ORIGEN'!K147</f>
        <v>2.6616980000000003</v>
      </c>
      <c r="L147" s="263">
        <f>+'PROYECCIÓN GENERACIÓN'!L147-'SEP ORIGEN'!L147</f>
        <v>2.6694720000000003</v>
      </c>
      <c r="M147" s="263">
        <f>+'PROYECCIÓN GENERACIÓN'!M147-'SEP ORIGEN'!M147</f>
        <v>2.6772460000000002</v>
      </c>
      <c r="N147" s="263">
        <f>+'PROYECCIÓN GENERACIÓN'!N147-'SEP ORIGEN'!N147</f>
        <v>2.6844220000000001</v>
      </c>
      <c r="O147" s="263">
        <f>+'PROYECCIÓN GENERACIÓN'!O147-'SEP ORIGEN'!O147</f>
        <v>2.692196</v>
      </c>
      <c r="P147" s="263">
        <f>+'PROYECCIÓN GENERACIÓN'!P147-'SEP ORIGEN'!P147</f>
        <v>2.6999700000000004</v>
      </c>
      <c r="Q147" s="263">
        <f>+'PROYECCIÓN GENERACIÓN'!Q147-'SEP ORIGEN'!Q147</f>
        <v>2.7077440000000004</v>
      </c>
      <c r="R147" s="263">
        <f>+'PROYECCIÓN GENERACIÓN'!R147-'SEP ORIGEN'!R147</f>
        <v>2.7155180000000003</v>
      </c>
      <c r="S147" s="263">
        <f>+'PROYECCIÓN GENERACIÓN'!S147-'SEP ORIGEN'!S147</f>
        <v>2.7232919999999998</v>
      </c>
      <c r="T147" s="263">
        <f>+'PROYECCIÓN GENERACIÓN'!T147-'SEP ORIGEN'!T147</f>
        <v>2.7304680000000001</v>
      </c>
      <c r="U147" s="263">
        <f>+'PROYECCIÓN GENERACIÓN'!U147-'SEP ORIGEN'!U147</f>
        <v>2.7382420000000005</v>
      </c>
      <c r="V147" s="263">
        <f>+'PROYECCIÓN GENERACIÓN'!V147-'SEP ORIGEN'!V147</f>
        <v>2.746016</v>
      </c>
      <c r="W147" s="263">
        <f>+'PROYECCIÓN GENERACIÓN'!W147-'SEP ORIGEN'!W147</f>
        <v>2.7537900000000004</v>
      </c>
      <c r="X147" s="263">
        <f>+'PROYECCIÓN GENERACIÓN'!X147-'SEP ORIGEN'!X147</f>
        <v>2.7615640000000004</v>
      </c>
      <c r="Y147" s="263">
        <f>+'PROYECCIÓN GENERACIÓN'!Y147-'SEP ORIGEN'!Y147</f>
        <v>2.7687400000000006</v>
      </c>
      <c r="Z147" s="263">
        <f>+'PROYECCIÓN GENERACIÓN'!Z147-'SEP ORIGEN'!Z147</f>
        <v>2.7765140000000001</v>
      </c>
    </row>
    <row r="148" spans="1:26" ht="24.95" customHeight="1">
      <c r="A148" s="351" t="str">
        <f>+Pobl_adoptada!A148</f>
        <v>General Guido</v>
      </c>
      <c r="B148" s="70">
        <f>+Pobl_adoptada!B148</f>
        <v>144</v>
      </c>
      <c r="C148" s="353" t="str">
        <f>+Pobl_adoptada!C148</f>
        <v>Labarden</v>
      </c>
      <c r="D148" s="284"/>
      <c r="E148" s="285"/>
      <c r="F148" s="286"/>
      <c r="G148" s="263">
        <f>+'PROYECCIÓN GENERACIÓN'!G148-'SEP ORIGEN'!G148</f>
        <v>0.6967620000000001</v>
      </c>
      <c r="H148" s="263">
        <f>+'PROYECCIÓN GENERACIÓN'!H148-'SEP ORIGEN'!H148</f>
        <v>0.64580320000000002</v>
      </c>
      <c r="I148" s="263">
        <f>+'PROYECCIÓN GENERACIÓN'!I148-'SEP ORIGEN'!I148</f>
        <v>0.59432000000000007</v>
      </c>
      <c r="J148" s="263">
        <f>+'PROYECCIÓN GENERACIÓN'!J148-'SEP ORIGEN'!J148</f>
        <v>0.52302000000000004</v>
      </c>
      <c r="K148" s="263">
        <f>+'PROYECCIÓN GENERACIÓN'!K148-'SEP ORIGEN'!K148</f>
        <v>0.45208800000000005</v>
      </c>
      <c r="L148" s="263">
        <f>+'PROYECCIÓN GENERACIÓN'!L148-'SEP ORIGEN'!L148</f>
        <v>0.45089200000000007</v>
      </c>
      <c r="M148" s="263">
        <f>+'PROYECCIÓN GENERACIÓN'!M148-'SEP ORIGEN'!M148</f>
        <v>0.44969599999999998</v>
      </c>
      <c r="N148" s="263">
        <f>+'PROYECCIÓN GENERACIÓN'!N148-'SEP ORIGEN'!N148</f>
        <v>0.44850000000000001</v>
      </c>
      <c r="O148" s="263">
        <f>+'PROYECCIÓN GENERACIÓN'!O148-'SEP ORIGEN'!O148</f>
        <v>0.44730400000000009</v>
      </c>
      <c r="P148" s="263">
        <f>+'PROYECCIÓN GENERACIÓN'!P148-'SEP ORIGEN'!P148</f>
        <v>0.44610800000000006</v>
      </c>
      <c r="Q148" s="263">
        <f>+'PROYECCIÓN GENERACIÓN'!Q148-'SEP ORIGEN'!Q148</f>
        <v>0.44491199999999997</v>
      </c>
      <c r="R148" s="263">
        <f>+'PROYECCIÓN GENERACIÓN'!R148-'SEP ORIGEN'!R148</f>
        <v>0.443716</v>
      </c>
      <c r="S148" s="263">
        <f>+'PROYECCIÓN GENERACIÓN'!S148-'SEP ORIGEN'!S148</f>
        <v>0.44252000000000002</v>
      </c>
      <c r="T148" s="263">
        <f>+'PROYECCIÓN GENERACIÓN'!T148-'SEP ORIGEN'!T148</f>
        <v>0.44132400000000005</v>
      </c>
      <c r="U148" s="263">
        <f>+'PROYECCIÓN GENERACIÓN'!U148-'SEP ORIGEN'!U148</f>
        <v>0.44012800000000007</v>
      </c>
      <c r="V148" s="263">
        <f>+'PROYECCIÓN GENERACIÓN'!V148-'SEP ORIGEN'!V148</f>
        <v>0.43893199999999999</v>
      </c>
      <c r="W148" s="263">
        <f>+'PROYECCIÓN GENERACIÓN'!W148-'SEP ORIGEN'!W148</f>
        <v>0.43773600000000001</v>
      </c>
      <c r="X148" s="263">
        <f>+'PROYECCIÓN GENERACIÓN'!X148-'SEP ORIGEN'!X148</f>
        <v>0.43654000000000004</v>
      </c>
      <c r="Y148" s="263">
        <f>+'PROYECCIÓN GENERACIÓN'!Y148-'SEP ORIGEN'!Y148</f>
        <v>0.43534400000000006</v>
      </c>
      <c r="Z148" s="263">
        <f>+'PROYECCIÓN GENERACIÓN'!Z148-'SEP ORIGEN'!Z148</f>
        <v>0.43414800000000009</v>
      </c>
    </row>
    <row r="149" spans="1:26" ht="24.95" customHeight="1">
      <c r="A149" s="351" t="str">
        <f>+Pobl_adoptada!A149</f>
        <v>General Lavalle</v>
      </c>
      <c r="B149" s="70">
        <f>+Pobl_adoptada!B149</f>
        <v>145</v>
      </c>
      <c r="C149" s="353" t="str">
        <f>+Pobl_adoptada!C149</f>
        <v>Pavón</v>
      </c>
      <c r="D149" s="284"/>
      <c r="E149" s="285"/>
      <c r="F149" s="286"/>
      <c r="G149" s="263">
        <f>+'PROYECCIÓN GENERACIÓN'!G149-'SEP ORIGEN'!G149</f>
        <v>1.2505284000000001</v>
      </c>
      <c r="H149" s="263">
        <f>+'PROYECCIÓN GENERACIÓN'!H149-'SEP ORIGEN'!H149</f>
        <v>1.1900383999999999</v>
      </c>
      <c r="I149" s="263">
        <f>+'PROYECCIÓN GENERACIÓN'!I149-'SEP ORIGEN'!I149</f>
        <v>1.12608</v>
      </c>
      <c r="J149" s="263">
        <f>+'PROYECCIÓN GENERACIÓN'!J149-'SEP ORIGEN'!J149</f>
        <v>1.0170600000000001</v>
      </c>
      <c r="K149" s="263">
        <f>+'PROYECCIÓN GENERACIÓN'!K149-'SEP ORIGEN'!K149</f>
        <v>0.90238200000000002</v>
      </c>
      <c r="L149" s="263">
        <f>+'PROYECCIÓN GENERACIÓN'!L149-'SEP ORIGEN'!L149</f>
        <v>0.92391000000000001</v>
      </c>
      <c r="M149" s="263">
        <f>+'PROYECCIÓN GENERACIÓN'!M149-'SEP ORIGEN'!M149</f>
        <v>0.9460360000000001</v>
      </c>
      <c r="N149" s="263">
        <f>+'PROYECCIÓN GENERACIÓN'!N149-'SEP ORIGEN'!N149</f>
        <v>0.96876000000000018</v>
      </c>
      <c r="O149" s="263">
        <f>+'PROYECCIÓN GENERACIÓN'!O149-'SEP ORIGEN'!O149</f>
        <v>0.99148400000000003</v>
      </c>
      <c r="P149" s="263">
        <f>+'PROYECCIÓN GENERACIÓN'!P149-'SEP ORIGEN'!P149</f>
        <v>1.0154040000000002</v>
      </c>
      <c r="Q149" s="263">
        <f>+'PROYECCIÓN GENERACIÓN'!Q149-'SEP ORIGEN'!Q149</f>
        <v>1.0393240000000001</v>
      </c>
      <c r="R149" s="263">
        <f>+'PROYECCIÓN GENERACIÓN'!R149-'SEP ORIGEN'!R149</f>
        <v>1.0644400000000003</v>
      </c>
      <c r="S149" s="263">
        <f>+'PROYECCIÓN GENERACIÓN'!S149-'SEP ORIGEN'!S149</f>
        <v>1.089556</v>
      </c>
      <c r="T149" s="263">
        <f>+'PROYECCIÓN GENERACIÓN'!T149-'SEP ORIGEN'!T149</f>
        <v>1.1158680000000001</v>
      </c>
      <c r="U149" s="263">
        <f>+'PROYECCIÓN GENERACIÓN'!U149-'SEP ORIGEN'!U149</f>
        <v>1.1421800000000002</v>
      </c>
      <c r="V149" s="263">
        <f>+'PROYECCIÓN GENERACIÓN'!V149-'SEP ORIGEN'!V149</f>
        <v>1.1696880000000001</v>
      </c>
      <c r="W149" s="263">
        <f>+'PROYECCIÓN GENERACIÓN'!W149-'SEP ORIGEN'!W149</f>
        <v>1.1971960000000001</v>
      </c>
      <c r="X149" s="263">
        <f>+'PROYECCIÓN GENERACIÓN'!X149-'SEP ORIGEN'!X149</f>
        <v>1.2259</v>
      </c>
      <c r="Y149" s="263">
        <f>+'PROYECCIÓN GENERACIÓN'!Y149-'SEP ORIGEN'!Y149</f>
        <v>1.2552020000000002</v>
      </c>
      <c r="Z149" s="263">
        <f>+'PROYECCIÓN GENERACIÓN'!Z149-'SEP ORIGEN'!Z149</f>
        <v>1.2851020000000002</v>
      </c>
    </row>
    <row r="150" spans="1:26" ht="24.95" customHeight="1">
      <c r="A150" s="351" t="str">
        <f>+Pobl_adoptada!A150</f>
        <v>Guaminí</v>
      </c>
      <c r="B150" s="70">
        <f>+Pobl_adoptada!B150</f>
        <v>146</v>
      </c>
      <c r="C150" s="353" t="str">
        <f>+Pobl_adoptada!C150</f>
        <v>Casbas</v>
      </c>
      <c r="D150" s="284"/>
      <c r="E150" s="285"/>
      <c r="F150" s="286"/>
      <c r="G150" s="263">
        <f>+'PROYECCIÓN GENERACIÓN'!G150-'SEP ORIGEN'!G150</f>
        <v>4.4228448</v>
      </c>
      <c r="H150" s="263">
        <f>+'PROYECCIÓN GENERACIÓN'!H150-'SEP ORIGEN'!H150</f>
        <v>4.1329712000000001</v>
      </c>
      <c r="I150" s="263">
        <f>+'PROYECCIÓN GENERACIÓN'!I150-'SEP ORIGEN'!I150</f>
        <v>3.83962</v>
      </c>
      <c r="J150" s="263">
        <f>+'PROYECCIÓN GENERACIÓN'!J150-'SEP ORIGEN'!J150</f>
        <v>3.4072199999999997</v>
      </c>
      <c r="K150" s="263">
        <f>+'PROYECCIÓN GENERACIÓN'!K150-'SEP ORIGEN'!K150</f>
        <v>2.9690700000000003</v>
      </c>
      <c r="L150" s="263">
        <f>+'PROYECCIÓN GENERACIÓN'!L150-'SEP ORIGEN'!L150</f>
        <v>2.9858140000000004</v>
      </c>
      <c r="M150" s="263">
        <f>+'PROYECCIÓN GENERACIÓN'!M150-'SEP ORIGEN'!M150</f>
        <v>3.0019600000000004</v>
      </c>
      <c r="N150" s="263">
        <f>+'PROYECCIÓN GENERACIÓN'!N150-'SEP ORIGEN'!N150</f>
        <v>3.0181059999999995</v>
      </c>
      <c r="O150" s="263">
        <f>+'PROYECCIÓN GENERACIÓN'!O150-'SEP ORIGEN'!O150</f>
        <v>3.0348499999999996</v>
      </c>
      <c r="P150" s="263">
        <f>+'PROYECCIÓN GENERACIÓN'!P150-'SEP ORIGEN'!P150</f>
        <v>3.050996</v>
      </c>
      <c r="Q150" s="263">
        <f>+'PROYECCIÓN GENERACIÓN'!Q150-'SEP ORIGEN'!Q150</f>
        <v>3.0677400000000006</v>
      </c>
      <c r="R150" s="263">
        <f>+'PROYECCIÓN GENERACIÓN'!R150-'SEP ORIGEN'!R150</f>
        <v>3.0838860000000006</v>
      </c>
      <c r="S150" s="263">
        <f>+'PROYECCIÓN GENERACIÓN'!S150-'SEP ORIGEN'!S150</f>
        <v>3.1000320000000006</v>
      </c>
      <c r="T150" s="263">
        <f>+'PROYECCIÓN GENERACIÓN'!T150-'SEP ORIGEN'!T150</f>
        <v>3.1167760000000002</v>
      </c>
      <c r="U150" s="263">
        <f>+'PROYECCIÓN GENERACIÓN'!U150-'SEP ORIGEN'!U150</f>
        <v>3.1329220000000007</v>
      </c>
      <c r="V150" s="263">
        <f>+'PROYECCIÓN GENERACIÓN'!V150-'SEP ORIGEN'!V150</f>
        <v>3.1496660000000003</v>
      </c>
      <c r="W150" s="263">
        <f>+'PROYECCIÓN GENERACIÓN'!W150-'SEP ORIGEN'!W150</f>
        <v>3.1658120000000007</v>
      </c>
      <c r="X150" s="263">
        <f>+'PROYECCIÓN GENERACIÓN'!X150-'SEP ORIGEN'!X150</f>
        <v>3.1825559999999999</v>
      </c>
      <c r="Y150" s="263">
        <f>+'PROYECCIÓN GENERACIÓN'!Y150-'SEP ORIGEN'!Y150</f>
        <v>3.1987019999999999</v>
      </c>
      <c r="Z150" s="263">
        <f>+'PROYECCIÓN GENERACIÓN'!Z150-'SEP ORIGEN'!Z150</f>
        <v>3.2148479999999999</v>
      </c>
    </row>
    <row r="151" spans="1:26" ht="24.95" customHeight="1">
      <c r="A151" s="351" t="str">
        <f>+Pobl_adoptada!A151</f>
        <v>La Costa</v>
      </c>
      <c r="B151" s="70">
        <f>+Pobl_adoptada!B151</f>
        <v>147</v>
      </c>
      <c r="C151" s="353" t="str">
        <f>+Pobl_adoptada!C151</f>
        <v>San Clemente del Tuyú</v>
      </c>
      <c r="D151" s="284"/>
      <c r="E151" s="285"/>
      <c r="F151" s="286"/>
      <c r="G151" s="263">
        <f>+'PROYECCIÓN GENERACIÓN'!G151-'SEP ORIGEN'!G151</f>
        <v>35.040515400000004</v>
      </c>
      <c r="H151" s="263">
        <f>+'PROYECCIÓN GENERACIÓN'!H151-'SEP ORIGEN'!H151</f>
        <v>33.3303856</v>
      </c>
      <c r="I151" s="263">
        <f>+'PROYECCIÓN GENERACIÓN'!I151-'SEP ORIGEN'!I151</f>
        <v>31.503464999999998</v>
      </c>
      <c r="J151" s="263">
        <f>+'PROYECCIÓN GENERACIÓN'!J151-'SEP ORIGEN'!J151</f>
        <v>28.422840000000001</v>
      </c>
      <c r="K151" s="263">
        <f>+'PROYECCIÓN GENERACIÓN'!K151-'SEP ORIGEN'!K151</f>
        <v>25.17606</v>
      </c>
      <c r="L151" s="263">
        <f>+'PROYECCIÓN GENERACIÓN'!L151-'SEP ORIGEN'!L151</f>
        <v>25.836122000000003</v>
      </c>
      <c r="M151" s="263">
        <f>+'PROYECCIÓN GENERACIÓN'!M151-'SEP ORIGEN'!M151</f>
        <v>26.496873000000008</v>
      </c>
      <c r="N151" s="263">
        <f>+'PROYECCIÓN GENERACIÓN'!N151-'SEP ORIGEN'!N151</f>
        <v>27.157624000000002</v>
      </c>
      <c r="O151" s="263">
        <f>+'PROYECCIÓN GENERACIÓN'!O151-'SEP ORIGEN'!O151</f>
        <v>27.817686000000002</v>
      </c>
      <c r="P151" s="263">
        <f>+'PROYECCIÓN GENERACIÓN'!P151-'SEP ORIGEN'!P151</f>
        <v>28.478437000000003</v>
      </c>
      <c r="Q151" s="263">
        <f>+'PROYECCIÓN GENERACIÓN'!Q151-'SEP ORIGEN'!Q151</f>
        <v>29.138499000000003</v>
      </c>
      <c r="R151" s="263">
        <f>+'PROYECCIÓN GENERACIÓN'!R151-'SEP ORIGEN'!R151</f>
        <v>29.799250000000001</v>
      </c>
      <c r="S151" s="263">
        <f>+'PROYECCIÓN GENERACIÓN'!S151-'SEP ORIGEN'!S151</f>
        <v>30.459312000000004</v>
      </c>
      <c r="T151" s="263">
        <f>+'PROYECCIÓN GENERACIÓN'!T151-'SEP ORIGEN'!T151</f>
        <v>31.120752000000003</v>
      </c>
      <c r="U151" s="263">
        <f>+'PROYECCIÓN GENERACIÓN'!U151-'SEP ORIGEN'!U151</f>
        <v>31.780814000000007</v>
      </c>
      <c r="V151" s="263">
        <f>+'PROYECCIÓN GENERACIÓN'!V151-'SEP ORIGEN'!V151</f>
        <v>32.441565000000004</v>
      </c>
      <c r="W151" s="263">
        <f>+'PROYECCIÓN GENERACIÓN'!W151-'SEP ORIGEN'!W151</f>
        <v>33.101627000000008</v>
      </c>
      <c r="X151" s="263">
        <f>+'PROYECCIÓN GENERACIÓN'!X151-'SEP ORIGEN'!X151</f>
        <v>33.762377999999998</v>
      </c>
      <c r="Y151" s="263">
        <f>+'PROYECCIÓN GENERACIÓN'!Y151-'SEP ORIGEN'!Y151</f>
        <v>34.422440000000009</v>
      </c>
      <c r="Z151" s="263">
        <f>+'PROYECCIÓN GENERACIÓN'!Z151-'SEP ORIGEN'!Z151</f>
        <v>35.083880000000001</v>
      </c>
    </row>
    <row r="152" spans="1:26" ht="24.95" customHeight="1">
      <c r="A152" s="351" t="str">
        <f>+Pobl_adoptada!A152</f>
        <v>Leandro N. Alem</v>
      </c>
      <c r="B152" s="70">
        <f>+Pobl_adoptada!B152</f>
        <v>148</v>
      </c>
      <c r="C152" s="353" t="str">
        <f>+Pobl_adoptada!C152</f>
        <v>Juan Bautista Alberdi</v>
      </c>
      <c r="D152" s="284"/>
      <c r="E152" s="285"/>
      <c r="F152" s="286"/>
      <c r="G152" s="263">
        <f>+'PROYECCIÓN GENERACIÓN'!G152-'SEP ORIGEN'!G152</f>
        <v>3.1012740000000001</v>
      </c>
      <c r="H152" s="263">
        <f>+'PROYECCIÓN GENERACIÓN'!H152-'SEP ORIGEN'!H152</f>
        <v>2.8811456</v>
      </c>
      <c r="I152" s="263">
        <f>+'PROYECCIÓN GENERACIÓN'!I152-'SEP ORIGEN'!I152</f>
        <v>2.6619280000000001</v>
      </c>
      <c r="J152" s="263">
        <f>+'PROYECCIÓN GENERACIÓN'!J152-'SEP ORIGEN'!J152</f>
        <v>2.3480700000000003</v>
      </c>
      <c r="K152" s="263">
        <f>+'PROYECCIÓN GENERACIÓN'!K152-'SEP ORIGEN'!K152</f>
        <v>2.0349940000000002</v>
      </c>
      <c r="L152" s="263">
        <f>+'PROYECCIÓN GENERACIÓN'!L152-'SEP ORIGEN'!L152</f>
        <v>2.0349940000000002</v>
      </c>
      <c r="M152" s="263">
        <f>+'PROYECCIÓN GENERACIÓN'!M152-'SEP ORIGEN'!M152</f>
        <v>2.0343960000000001</v>
      </c>
      <c r="N152" s="263">
        <f>+'PROYECCIÓN GENERACIÓN'!N152-'SEP ORIGEN'!N152</f>
        <v>2.0343960000000001</v>
      </c>
      <c r="O152" s="263">
        <f>+'PROYECCIÓN GENERACIÓN'!O152-'SEP ORIGEN'!O152</f>
        <v>2.033798</v>
      </c>
      <c r="P152" s="263">
        <f>+'PROYECCIÓN GENERACIÓN'!P152-'SEP ORIGEN'!P152</f>
        <v>2.033798</v>
      </c>
      <c r="Q152" s="263">
        <f>+'PROYECCIÓN GENERACIÓN'!Q152-'SEP ORIGEN'!Q152</f>
        <v>2.0331999999999999</v>
      </c>
      <c r="R152" s="263">
        <f>+'PROYECCIÓN GENERACIÓN'!R152-'SEP ORIGEN'!R152</f>
        <v>2.0331999999999999</v>
      </c>
      <c r="S152" s="263">
        <f>+'PROYECCIÓN GENERACIÓN'!S152-'SEP ORIGEN'!S152</f>
        <v>2.0326019999999998</v>
      </c>
      <c r="T152" s="263">
        <f>+'PROYECCIÓN GENERACIÓN'!T152-'SEP ORIGEN'!T152</f>
        <v>2.0326019999999998</v>
      </c>
      <c r="U152" s="263">
        <f>+'PROYECCIÓN GENERACIÓN'!U152-'SEP ORIGEN'!U152</f>
        <v>2.0326019999999998</v>
      </c>
      <c r="V152" s="263">
        <f>+'PROYECCIÓN GENERACIÓN'!V152-'SEP ORIGEN'!V152</f>
        <v>2.0320040000000006</v>
      </c>
      <c r="W152" s="263">
        <f>+'PROYECCIÓN GENERACIÓN'!W152-'SEP ORIGEN'!W152</f>
        <v>2.0320040000000006</v>
      </c>
      <c r="X152" s="263">
        <f>+'PROYECCIÓN GENERACIÓN'!X152-'SEP ORIGEN'!X152</f>
        <v>2.0314060000000005</v>
      </c>
      <c r="Y152" s="263">
        <f>+'PROYECCIÓN GENERACIÓN'!Y152-'SEP ORIGEN'!Y152</f>
        <v>2.0314060000000005</v>
      </c>
      <c r="Z152" s="263">
        <f>+'PROYECCIÓN GENERACIÓN'!Z152-'SEP ORIGEN'!Z152</f>
        <v>2.0308080000000004</v>
      </c>
    </row>
    <row r="153" spans="1:26" ht="24.95" customHeight="1">
      <c r="A153" s="351" t="str">
        <f>+Pobl_adoptada!A153</f>
        <v>Mar Chiquita</v>
      </c>
      <c r="B153" s="70">
        <f>+Pobl_adoptada!B153</f>
        <v>149</v>
      </c>
      <c r="C153" s="353" t="str">
        <f>+Pobl_adoptada!C153</f>
        <v>Santa Clara del Mar</v>
      </c>
      <c r="D153" s="284"/>
      <c r="E153" s="285"/>
      <c r="F153" s="286"/>
      <c r="G153" s="263">
        <f>+'PROYECCIÓN GENERACIÓN'!G153-'SEP ORIGEN'!G153</f>
        <v>24.879175199999999</v>
      </c>
      <c r="H153" s="263">
        <f>+'PROYECCIÓN GENERACIÓN'!H153-'SEP ORIGEN'!H153</f>
        <v>24.151803200000003</v>
      </c>
      <c r="I153" s="263">
        <f>+'PROYECCIÓN GENERACIÓN'!I153-'SEP ORIGEN'!I153</f>
        <v>23.311573000000003</v>
      </c>
      <c r="J153" s="263">
        <f>+'PROYECCIÓN GENERACIÓN'!J153-'SEP ORIGEN'!J153</f>
        <v>21.488055000000003</v>
      </c>
      <c r="K153" s="263">
        <f>+'PROYECCIÓN GENERACIÓN'!K153-'SEP ORIGEN'!K153</f>
        <v>19.455293000000001</v>
      </c>
      <c r="L153" s="263">
        <f>+'PROYECCIÓN GENERACIÓN'!L153-'SEP ORIGEN'!L153</f>
        <v>20.325499999999998</v>
      </c>
      <c r="M153" s="263">
        <f>+'PROYECCIÓN GENERACIÓN'!M153-'SEP ORIGEN'!M153</f>
        <v>21.233601999999998</v>
      </c>
      <c r="N153" s="263">
        <f>+'PROYECCIÓN GENERACIÓN'!N153-'SEP ORIGEN'!N153</f>
        <v>22.182355000000005</v>
      </c>
      <c r="O153" s="263">
        <f>+'PROYECCIÓN GENERACIÓN'!O153-'SEP ORIGEN'!O153</f>
        <v>23.173137000000004</v>
      </c>
      <c r="P153" s="263">
        <f>+'PROYECCIÓN GENERACIÓN'!P153-'SEP ORIGEN'!P153</f>
        <v>24.208704000000001</v>
      </c>
      <c r="Q153" s="263">
        <f>+'PROYECCIÓN GENERACIÓN'!Q153-'SEP ORIGEN'!Q153</f>
        <v>25.291812</v>
      </c>
      <c r="R153" s="263">
        <f>+'PROYECCIÓN GENERACIÓN'!R153-'SEP ORIGEN'!R153</f>
        <v>26.421772000000004</v>
      </c>
      <c r="S153" s="263">
        <f>+'PROYECCIÓN GENERACIÓN'!S153-'SEP ORIGEN'!S153</f>
        <v>27.602029000000002</v>
      </c>
      <c r="T153" s="263">
        <f>+'PROYECCIÓN GENERACIÓN'!T153-'SEP ORIGEN'!T153</f>
        <v>28.836028000000002</v>
      </c>
      <c r="U153" s="263">
        <f>+'PROYECCIÓN GENERACIÓN'!U153-'SEP ORIGEN'!U153</f>
        <v>30.124458000000001</v>
      </c>
      <c r="V153" s="263">
        <f>+'PROYECCIÓN GENERACIÓN'!V153-'SEP ORIGEN'!V153</f>
        <v>31.470764000000003</v>
      </c>
      <c r="W153" s="263">
        <f>+'PROYECCIÓN GENERACIÓN'!W153-'SEP ORIGEN'!W153</f>
        <v>32.877701999999999</v>
      </c>
      <c r="X153" s="263">
        <f>+'PROYECCIÓN GENERACIÓN'!X153-'SEP ORIGEN'!X153</f>
        <v>34.345961000000003</v>
      </c>
      <c r="Y153" s="263">
        <f>+'PROYECCIÓN GENERACIÓN'!Y153-'SEP ORIGEN'!Y153</f>
        <v>35.881053000000009</v>
      </c>
      <c r="Z153" s="263">
        <f>+'PROYECCIÓN GENERACIÓN'!Z153-'SEP ORIGEN'!Z153</f>
        <v>37.485045</v>
      </c>
    </row>
    <row r="154" spans="1:26" ht="24.95" customHeight="1">
      <c r="A154" s="351" t="str">
        <f>+Pobl_adoptada!A154</f>
        <v>Puán</v>
      </c>
      <c r="B154" s="70">
        <f>+Pobl_adoptada!B154</f>
        <v>150</v>
      </c>
      <c r="C154" s="353" t="str">
        <f>+Pobl_adoptada!C154</f>
        <v>Darregueira</v>
      </c>
      <c r="D154" s="284"/>
      <c r="E154" s="285"/>
      <c r="F154" s="286"/>
      <c r="G154" s="263">
        <f>+'PROYECCIÓN GENERACIÓN'!G154-'SEP ORIGEN'!G154</f>
        <v>5.1842736</v>
      </c>
      <c r="H154" s="263">
        <f>+'PROYECCIÓN GENERACIÓN'!H154-'SEP ORIGEN'!H154</f>
        <v>4.8253264000000007</v>
      </c>
      <c r="I154" s="263">
        <f>+'PROYECCIÓN GENERACIÓN'!I154-'SEP ORIGEN'!I154</f>
        <v>4.4660019999999996</v>
      </c>
      <c r="J154" s="263">
        <f>+'PROYECCIÓN GENERACIÓN'!J154-'SEP ORIGEN'!J154</f>
        <v>3.9468000000000005</v>
      </c>
      <c r="K154" s="263">
        <f>+'PROYECCIÓN GENERACIÓN'!K154-'SEP ORIGEN'!K154</f>
        <v>3.4259420000000005</v>
      </c>
      <c r="L154" s="263">
        <f>+'PROYECCIÓN GENERACIÓN'!L154-'SEP ORIGEN'!L154</f>
        <v>3.431324</v>
      </c>
      <c r="M154" s="263">
        <f>+'PROYECCIÓN GENERACIÓN'!M154-'SEP ORIGEN'!M154</f>
        <v>3.4373040000000001</v>
      </c>
      <c r="N154" s="263">
        <f>+'PROYECCIÓN GENERACIÓN'!N154-'SEP ORIGEN'!N154</f>
        <v>3.4426860000000001</v>
      </c>
      <c r="O154" s="263">
        <f>+'PROYECCIÓN GENERACIÓN'!O154-'SEP ORIGEN'!O154</f>
        <v>3.4480680000000006</v>
      </c>
      <c r="P154" s="263">
        <f>+'PROYECCIÓN GENERACIÓN'!P154-'SEP ORIGEN'!P154</f>
        <v>3.4540480000000002</v>
      </c>
      <c r="Q154" s="263">
        <f>+'PROYECCIÓN GENERACIÓN'!Q154-'SEP ORIGEN'!Q154</f>
        <v>3.4594299999999998</v>
      </c>
      <c r="R154" s="263">
        <f>+'PROYECCIÓN GENERACIÓN'!R154-'SEP ORIGEN'!R154</f>
        <v>3.4648120000000002</v>
      </c>
      <c r="S154" s="263">
        <f>+'PROYECCIÓN GENERACIÓN'!S154-'SEP ORIGEN'!S154</f>
        <v>3.4707920000000003</v>
      </c>
      <c r="T154" s="263">
        <f>+'PROYECCIÓN GENERACIÓN'!T154-'SEP ORIGEN'!T154</f>
        <v>3.4761739999999999</v>
      </c>
      <c r="U154" s="263">
        <f>+'PROYECCIÓN GENERACIÓN'!U154-'SEP ORIGEN'!U154</f>
        <v>3.4821539999999995</v>
      </c>
      <c r="V154" s="263">
        <f>+'PROYECCIÓN GENERACIÓN'!V154-'SEP ORIGEN'!V154</f>
        <v>3.4875360000000004</v>
      </c>
      <c r="W154" s="263">
        <f>+'PROYECCIÓN GENERACIÓN'!W154-'SEP ORIGEN'!W154</f>
        <v>3.4929180000000004</v>
      </c>
      <c r="X154" s="263">
        <f>+'PROYECCIÓN GENERACIÓN'!X154-'SEP ORIGEN'!X154</f>
        <v>3.4988980000000005</v>
      </c>
      <c r="Y154" s="263">
        <f>+'PROYECCIÓN GENERACIÓN'!Y154-'SEP ORIGEN'!Y154</f>
        <v>3.5042799999999996</v>
      </c>
      <c r="Z154" s="263">
        <f>+'PROYECCIÓN GENERACIÓN'!Z154-'SEP ORIGEN'!Z154</f>
        <v>3.5102600000000006</v>
      </c>
    </row>
    <row r="155" spans="1:26" ht="24.95" customHeight="1">
      <c r="A155" s="351" t="str">
        <f>+Pobl_adoptada!A155</f>
        <v>Ramallo</v>
      </c>
      <c r="B155" s="70">
        <f>+Pobl_adoptada!B155</f>
        <v>151</v>
      </c>
      <c r="C155" s="353" t="str">
        <f>+Pobl_adoptada!C155</f>
        <v>Villa Ramallo</v>
      </c>
      <c r="D155" s="284"/>
      <c r="E155" s="285"/>
      <c r="F155" s="286"/>
      <c r="G155" s="263">
        <f>+'PROYECCIÓN GENERACIÓN'!G155-'SEP ORIGEN'!G155</f>
        <v>11.580822000000001</v>
      </c>
      <c r="H155" s="263">
        <f>+'PROYECCIÓN GENERACIÓN'!H155-'SEP ORIGEN'!H155</f>
        <v>10.842384000000001</v>
      </c>
      <c r="I155" s="263">
        <f>+'PROYECCIÓN GENERACIÓN'!I155-'SEP ORIGEN'!I155</f>
        <v>10.093273999999999</v>
      </c>
      <c r="J155" s="263">
        <f>+'PROYECCIÓN GENERACIÓN'!J155-'SEP ORIGEN'!J155</f>
        <v>8.9720699999999987</v>
      </c>
      <c r="K155" s="263">
        <f>+'PROYECCIÓN GENERACIÓN'!K155-'SEP ORIGEN'!K155</f>
        <v>7.8343980000000002</v>
      </c>
      <c r="L155" s="263">
        <f>+'PROYECCIÓN GENERACIÓN'!L155-'SEP ORIGEN'!L155</f>
        <v>7.8936000000000002</v>
      </c>
      <c r="M155" s="263">
        <f>+'PROYECCIÓN GENERACIÓN'!M155-'SEP ORIGEN'!M155</f>
        <v>7.9528020000000001</v>
      </c>
      <c r="N155" s="263">
        <f>+'PROYECCIÓN GENERACIÓN'!N155-'SEP ORIGEN'!N155</f>
        <v>8.0126020000000011</v>
      </c>
      <c r="O155" s="263">
        <f>+'PROYECCIÓN GENERACIÓN'!O155-'SEP ORIGEN'!O155</f>
        <v>8.0724020000000003</v>
      </c>
      <c r="P155" s="263">
        <f>+'PROYECCIÓN GENERACIÓN'!P155-'SEP ORIGEN'!P155</f>
        <v>8.1333979999999997</v>
      </c>
      <c r="Q155" s="263">
        <f>+'PROYECCIÓN GENERACIÓN'!Q155-'SEP ORIGEN'!Q155</f>
        <v>8.1943939999999991</v>
      </c>
      <c r="R155" s="263">
        <f>+'PROYECCIÓN GENERACIÓN'!R155-'SEP ORIGEN'!R155</f>
        <v>8.2559880000000003</v>
      </c>
      <c r="S155" s="263">
        <f>+'PROYECCIÓN GENERACIÓN'!S155-'SEP ORIGEN'!S155</f>
        <v>8.3175820000000016</v>
      </c>
      <c r="T155" s="263">
        <f>+'PROYECCIÓN GENERACIÓN'!T155-'SEP ORIGEN'!T155</f>
        <v>8.3803720000000013</v>
      </c>
      <c r="U155" s="263">
        <f>+'PROYECCIÓN GENERACIÓN'!U155-'SEP ORIGEN'!U155</f>
        <v>8.4431620000000009</v>
      </c>
      <c r="V155" s="263">
        <f>+'PROYECCIÓN GENERACIÓN'!V155-'SEP ORIGEN'!V155</f>
        <v>8.5065500000000007</v>
      </c>
      <c r="W155" s="263">
        <f>+'PROYECCIÓN GENERACIÓN'!W155-'SEP ORIGEN'!W155</f>
        <v>8.5705360000000006</v>
      </c>
      <c r="X155" s="263">
        <f>+'PROYECCIÓN GENERACIÓN'!X155-'SEP ORIGEN'!X155</f>
        <v>8.6351200000000006</v>
      </c>
      <c r="Y155" s="263">
        <f>+'PROYECCIÓN GENERACIÓN'!Y155-'SEP ORIGEN'!Y155</f>
        <v>8.6997040000000005</v>
      </c>
      <c r="Z155" s="263">
        <f>+'PROYECCIÓN GENERACIÓN'!Z155-'SEP ORIGEN'!Z155</f>
        <v>8.7648860000000006</v>
      </c>
    </row>
    <row r="156" spans="1:26" ht="24.95" customHeight="1">
      <c r="A156" s="351" t="str">
        <f>+Pobl_adoptada!A156</f>
        <v>Tornquist</v>
      </c>
      <c r="B156" s="70">
        <f>+Pobl_adoptada!B156</f>
        <v>152</v>
      </c>
      <c r="C156" s="353" t="str">
        <f>+Pobl_adoptada!C156</f>
        <v>Sierra de la Ventana</v>
      </c>
      <c r="D156" s="284"/>
      <c r="E156" s="285"/>
      <c r="F156" s="286"/>
      <c r="G156" s="263">
        <f>+'PROYECCIÓN GENERACIÓN'!G156-'SEP ORIGEN'!G156</f>
        <v>3.7242611999999999</v>
      </c>
      <c r="H156" s="263">
        <f>+'PROYECCIÓN GENERACIÓN'!H156-'SEP ORIGEN'!H156</f>
        <v>3.6014320000000004</v>
      </c>
      <c r="I156" s="263">
        <f>+'PROYECCIÓN GENERACIÓN'!I156-'SEP ORIGEN'!I156</f>
        <v>3.4619140000000002</v>
      </c>
      <c r="J156" s="263">
        <f>+'PROYECCIÓN GENERACIÓN'!J156-'SEP ORIGEN'!J156</f>
        <v>3.1788300000000005</v>
      </c>
      <c r="K156" s="263">
        <f>+'PROYECCIÓN GENERACIÓN'!K156-'SEP ORIGEN'!K156</f>
        <v>2.8662140000000007</v>
      </c>
      <c r="L156" s="263">
        <f>+'PROYECCIÓN GENERACIÓN'!L156-'SEP ORIGEN'!L156</f>
        <v>2.9828239999999999</v>
      </c>
      <c r="M156" s="263">
        <f>+'PROYECCIÓN GENERACIÓN'!M156-'SEP ORIGEN'!M156</f>
        <v>3.1036200000000003</v>
      </c>
      <c r="N156" s="263">
        <f>+'PROYECCIÓN GENERACIÓN'!N156-'SEP ORIGEN'!N156</f>
        <v>3.2292000000000001</v>
      </c>
      <c r="O156" s="263">
        <f>+'PROYECCIÓN GENERACIÓN'!O156-'SEP ORIGEN'!O156</f>
        <v>3.3601619999999999</v>
      </c>
      <c r="P156" s="263">
        <f>+'PROYECCIÓN GENERACIÓN'!P156-'SEP ORIGEN'!P156</f>
        <v>3.4965059999999997</v>
      </c>
      <c r="Q156" s="263">
        <f>+'PROYECCIÓN GENERACIÓN'!Q156-'SEP ORIGEN'!Q156</f>
        <v>3.6382320000000004</v>
      </c>
      <c r="R156" s="263">
        <f>+'PROYECCIÓN GENERACIÓN'!R156-'SEP ORIGEN'!R156</f>
        <v>3.7859380000000007</v>
      </c>
      <c r="S156" s="263">
        <f>+'PROYECCIÓN GENERACIÓN'!S156-'SEP ORIGEN'!S156</f>
        <v>3.9390260000000001</v>
      </c>
      <c r="T156" s="263">
        <f>+'PROYECCIÓN GENERACIÓN'!T156-'SEP ORIGEN'!T156</f>
        <v>4.0986920000000007</v>
      </c>
      <c r="U156" s="263">
        <f>+'PROYECCIÓN GENERACIÓN'!U156-'SEP ORIGEN'!U156</f>
        <v>4.2649360000000005</v>
      </c>
      <c r="V156" s="263">
        <f>+'PROYECCIÓN GENERACIÓN'!V156-'SEP ORIGEN'!V156</f>
        <v>4.4377580000000005</v>
      </c>
      <c r="W156" s="263">
        <f>+'PROYECCIÓN GENERACIÓN'!W156-'SEP ORIGEN'!W156</f>
        <v>4.6177560000000009</v>
      </c>
      <c r="X156" s="263">
        <f>+'PROYECCIÓN GENERACIÓN'!X156-'SEP ORIGEN'!X156</f>
        <v>4.8049300000000006</v>
      </c>
      <c r="Y156" s="263">
        <f>+'PROYECCIÓN GENERACIÓN'!Y156-'SEP ORIGEN'!Y156</f>
        <v>4.9998780000000007</v>
      </c>
      <c r="Z156" s="263">
        <f>+'PROYECCIÓN GENERACIÓN'!Z156-'SEP ORIGEN'!Z156</f>
        <v>5.2026000000000003</v>
      </c>
    </row>
    <row r="157" spans="1:26" ht="24.95" customHeight="1">
      <c r="A157" s="351" t="str">
        <f>+Pobl_adoptada!A157</f>
        <v>Villarino</v>
      </c>
      <c r="B157" s="70">
        <f>+Pobl_adoptada!B157</f>
        <v>153</v>
      </c>
      <c r="C157" s="353" t="str">
        <f>+Pobl_adoptada!C157</f>
        <v>Mayor Buratovich</v>
      </c>
      <c r="D157" s="284"/>
      <c r="E157" s="285"/>
      <c r="F157" s="286"/>
      <c r="G157" s="263">
        <f>+'PROYECCIÓN GENERACIÓN'!G157-'SEP ORIGEN'!G157</f>
        <v>6.7854600000000005</v>
      </c>
      <c r="H157" s="263">
        <f>+'PROYECCIÓN GENERACIÓN'!H157-'SEP ORIGEN'!H157</f>
        <v>6.4360255999999998</v>
      </c>
      <c r="I157" s="263">
        <f>+'PROYECCIÓN GENERACIÓN'!I157-'SEP ORIGEN'!I157</f>
        <v>6.069102</v>
      </c>
      <c r="J157" s="263">
        <f>+'PROYECCIÓN GENERACIÓN'!J157-'SEP ORIGEN'!J157</f>
        <v>5.46549</v>
      </c>
      <c r="K157" s="263">
        <f>+'PROYECCIÓN GENERACIÓN'!K157-'SEP ORIGEN'!K157</f>
        <v>4.8342320000000001</v>
      </c>
      <c r="L157" s="263">
        <f>+'PROYECCIÓN GENERACIÓN'!L157-'SEP ORIGEN'!L157</f>
        <v>4.9340980000000005</v>
      </c>
      <c r="M157" s="263">
        <f>+'PROYECCIÓN GENERACIÓN'!M157-'SEP ORIGEN'!M157</f>
        <v>5.0363560000000014</v>
      </c>
      <c r="N157" s="263">
        <f>+'PROYECCIÓN GENERACIÓN'!N157-'SEP ORIGEN'!N157</f>
        <v>5.1404080000000008</v>
      </c>
      <c r="O157" s="263">
        <f>+'PROYECCIÓN GENERACIÓN'!O157-'SEP ORIGEN'!O157</f>
        <v>5.2462540000000004</v>
      </c>
      <c r="P157" s="263">
        <f>+'PROYECCIÓN GENERACIÓN'!P157-'SEP ORIGEN'!P157</f>
        <v>5.3544920000000005</v>
      </c>
      <c r="Q157" s="263">
        <f>+'PROYECCIÓN GENERACIÓN'!Q157-'SEP ORIGEN'!Q157</f>
        <v>5.4651220000000009</v>
      </c>
      <c r="R157" s="263">
        <f>+'PROYECCIÓN GENERACIÓN'!R157-'SEP ORIGEN'!R157</f>
        <v>5.5781440000000009</v>
      </c>
      <c r="S157" s="263">
        <f>+'PROYECCIÓN GENERACIÓN'!S157-'SEP ORIGEN'!S157</f>
        <v>5.6929600000000002</v>
      </c>
      <c r="T157" s="263">
        <f>+'PROYECCIÓN GENERACIÓN'!T157-'SEP ORIGEN'!T157</f>
        <v>5.810766000000001</v>
      </c>
      <c r="U157" s="263">
        <f>+'PROYECCIÓN GENERACIÓN'!U157-'SEP ORIGEN'!U157</f>
        <v>5.9309639999999995</v>
      </c>
      <c r="V157" s="263">
        <f>+'PROYECCIÓN GENERACIÓN'!V157-'SEP ORIGEN'!V157</f>
        <v>6.052956</v>
      </c>
      <c r="W157" s="263">
        <f>+'PROYECCIÓN GENERACIÓN'!W157-'SEP ORIGEN'!W157</f>
        <v>6.177938000000001</v>
      </c>
      <c r="X157" s="263">
        <f>+'PROYECCIÓN GENERACIÓN'!X157-'SEP ORIGEN'!X157</f>
        <v>6.3059099999999999</v>
      </c>
      <c r="Y157" s="263">
        <f>+'PROYECCIÓN GENERACIÓN'!Y157-'SEP ORIGEN'!Y157</f>
        <v>6.4356760000000008</v>
      </c>
      <c r="Z157" s="263">
        <f>+'PROYECCIÓN GENERACIÓN'!Z157-'SEP ORIGEN'!Z157</f>
        <v>6.5690300000000015</v>
      </c>
    </row>
    <row r="158" spans="1:26" ht="24.95" customHeight="1" thickBot="1">
      <c r="A158" s="351" t="str">
        <f>+Pobl_adoptada!A158</f>
        <v>Villarino</v>
      </c>
      <c r="B158" s="70">
        <f>+Pobl_adoptada!B158</f>
        <v>154</v>
      </c>
      <c r="C158" s="353" t="str">
        <f>+Pobl_adoptada!C158</f>
        <v>Pedro Luro</v>
      </c>
      <c r="D158" s="284"/>
      <c r="E158" s="285"/>
      <c r="F158" s="286"/>
      <c r="G158" s="263">
        <f>+'PROYECCIÓN GENERACIÓN'!G158-'SEP ORIGEN'!G158</f>
        <v>18.882903600000002</v>
      </c>
      <c r="H158" s="263">
        <f>+'PROYECCIÓN GENERACIÓN'!H158-'SEP ORIGEN'!H158</f>
        <v>18.2635456</v>
      </c>
      <c r="I158" s="263">
        <f>+'PROYECCIÓN GENERACIÓN'!I158-'SEP ORIGEN'!I158</f>
        <v>17.561391000000004</v>
      </c>
      <c r="J158" s="263">
        <f>+'PROYECCIÓN GENERACIÓN'!J158-'SEP ORIGEN'!J158</f>
        <v>16.127369999999999</v>
      </c>
      <c r="K158" s="263">
        <f>+'PROYECCIÓN GENERACIÓN'!K158-'SEP ORIGEN'!K158</f>
        <v>14.546857000000003</v>
      </c>
      <c r="L158" s="263">
        <f>+'PROYECCIÓN GENERACIÓN'!L158-'SEP ORIGEN'!L158</f>
        <v>15.140086000000002</v>
      </c>
      <c r="M158" s="263">
        <f>+'PROYECCIÓN GENERACIÓN'!M158-'SEP ORIGEN'!M158</f>
        <v>15.757430000000001</v>
      </c>
      <c r="N158" s="263">
        <f>+'PROYECCIÓN GENERACIÓN'!N158-'SEP ORIGEN'!N158</f>
        <v>16.399578000000002</v>
      </c>
      <c r="O158" s="263">
        <f>+'PROYECCIÓN GENERACIÓN'!O158-'SEP ORIGEN'!O158</f>
        <v>17.068597</v>
      </c>
      <c r="P158" s="263">
        <f>+'PROYECCIÓN GENERACIÓN'!P158-'SEP ORIGEN'!P158</f>
        <v>17.764487000000003</v>
      </c>
      <c r="Q158" s="263">
        <f>+'PROYECCIÓN GENERACIÓN'!Q158-'SEP ORIGEN'!Q158</f>
        <v>18.488626000000004</v>
      </c>
      <c r="R158" s="263">
        <f>+'PROYECCIÓN GENERACIÓN'!R158-'SEP ORIGEN'!R158</f>
        <v>19.242392000000002</v>
      </c>
      <c r="S158" s="263">
        <f>+'PROYECCIÓN GENERACIÓN'!S158-'SEP ORIGEN'!S158</f>
        <v>20.027163000000002</v>
      </c>
      <c r="T158" s="263">
        <f>+'PROYECCIÓN GENERACIÓN'!T158-'SEP ORIGEN'!T158</f>
        <v>20.843628000000002</v>
      </c>
      <c r="U158" s="263">
        <f>+'PROYECCIÓN GENERACIÓN'!U158-'SEP ORIGEN'!U158</f>
        <v>21.693165</v>
      </c>
      <c r="V158" s="263">
        <f>+'PROYECCIÓN GENERACIÓN'!V158-'SEP ORIGEN'!V158</f>
        <v>22.577840999999999</v>
      </c>
      <c r="W158" s="263">
        <f>+'PROYECCIÓN GENERACIÓN'!W158-'SEP ORIGEN'!W158</f>
        <v>23.498345000000004</v>
      </c>
      <c r="X158" s="263">
        <f>+'PROYECCIÓN GENERACIÓN'!X158-'SEP ORIGEN'!X158</f>
        <v>24.456744</v>
      </c>
      <c r="Y158" s="263">
        <f>+'PROYECCIÓN GENERACIÓN'!Y158-'SEP ORIGEN'!Y158</f>
        <v>25.453727000000001</v>
      </c>
      <c r="Z158" s="263">
        <f>+'PROYECCIÓN GENERACIÓN'!Z158-'SEP ORIGEN'!Z158</f>
        <v>26.491361000000005</v>
      </c>
    </row>
    <row r="159" spans="1:26">
      <c r="E159" s="109"/>
      <c r="F159" s="109"/>
      <c r="G159" s="109"/>
      <c r="H159" s="110"/>
      <c r="I159" s="110"/>
      <c r="J159" s="110"/>
      <c r="K159" s="110"/>
      <c r="L159" s="110"/>
      <c r="M159" s="110"/>
      <c r="N159" s="110"/>
      <c r="O159" s="110"/>
      <c r="P159" s="110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C160" s="108"/>
      <c r="E160" s="112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69"/>
      <c r="T160" s="269"/>
      <c r="U160" s="269"/>
      <c r="V160" s="269"/>
      <c r="W160" s="269"/>
      <c r="X160" s="269"/>
      <c r="Y160" s="269"/>
      <c r="Z160" s="269"/>
    </row>
    <row r="161" spans="1:26">
      <c r="C161" s="108"/>
      <c r="E161" s="111"/>
      <c r="G161" s="280"/>
      <c r="H161" s="280"/>
      <c r="I161" s="280"/>
      <c r="J161" s="280"/>
      <c r="K161" s="280"/>
      <c r="L161" s="280"/>
      <c r="M161" s="280"/>
      <c r="N161" s="280"/>
      <c r="O161" s="280"/>
      <c r="P161" s="280"/>
      <c r="Q161" s="280"/>
      <c r="R161" s="280"/>
      <c r="S161" s="280"/>
      <c r="T161" s="280"/>
      <c r="U161" s="280"/>
      <c r="V161" s="280"/>
      <c r="W161" s="280"/>
      <c r="X161" s="280"/>
      <c r="Y161" s="280"/>
      <c r="Z161" s="280"/>
    </row>
    <row r="162" spans="1:26">
      <c r="C162" s="108"/>
      <c r="E162" s="112"/>
      <c r="F162" s="270"/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</row>
    <row r="163" spans="1:26">
      <c r="A163" s="271"/>
      <c r="C163" s="272"/>
      <c r="D163" s="272"/>
      <c r="E163" s="269"/>
      <c r="F163" s="113"/>
      <c r="G163" s="281"/>
      <c r="H163" s="281"/>
      <c r="I163" s="281"/>
      <c r="J163" s="281"/>
      <c r="K163" s="281"/>
      <c r="L163" s="281"/>
      <c r="M163" s="281"/>
      <c r="N163" s="281"/>
      <c r="O163" s="281"/>
      <c r="P163" s="281"/>
      <c r="Q163" s="281"/>
      <c r="R163" s="281"/>
      <c r="S163" s="281"/>
      <c r="T163" s="281"/>
      <c r="U163" s="281"/>
      <c r="V163" s="281"/>
      <c r="W163" s="281"/>
      <c r="X163" s="281"/>
      <c r="Y163" s="281"/>
      <c r="Z163" s="281"/>
    </row>
    <row r="164" spans="1:26">
      <c r="E164" s="270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</row>
    <row r="165" spans="1:26">
      <c r="G165" s="289"/>
      <c r="H165" s="289"/>
      <c r="I165" s="289"/>
      <c r="J165" s="289"/>
      <c r="K165" s="289"/>
      <c r="L165" s="289"/>
      <c r="M165" s="289"/>
      <c r="N165" s="289"/>
      <c r="O165" s="289"/>
      <c r="P165" s="289"/>
      <c r="Q165" s="289"/>
      <c r="R165" s="289"/>
      <c r="S165" s="289"/>
      <c r="T165" s="289"/>
      <c r="U165" s="289"/>
      <c r="V165" s="289"/>
      <c r="W165" s="289"/>
      <c r="X165" s="289"/>
      <c r="Y165" s="289"/>
      <c r="Z165" s="289"/>
    </row>
  </sheetData>
  <mergeCells count="2">
    <mergeCell ref="F2:Z2"/>
    <mergeCell ref="B4:C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>
    <tabColor theme="4" tint="0.39997558519241921"/>
  </sheetPr>
  <dimension ref="A1:Z347"/>
  <sheetViews>
    <sheetView view="pageBreakPreview" zoomScale="70" zoomScaleSheetLayoutView="70" workbookViewId="0">
      <pane xSplit="3" ySplit="4" topLeftCell="D158" activePane="bottomRight" state="frozen"/>
      <selection activeCell="F10" sqref="F10"/>
      <selection pane="topRight" activeCell="F10" sqref="F10"/>
      <selection pane="bottomLeft" activeCell="F10" sqref="F10"/>
      <selection pane="bottomRight" activeCell="G165" sqref="G16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275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19.5" thickBot="1">
      <c r="A2" s="41"/>
      <c r="E2" s="273"/>
      <c r="F2" s="964" t="s">
        <v>276</v>
      </c>
      <c r="G2" s="965"/>
      <c r="H2" s="965"/>
      <c r="I2" s="965"/>
      <c r="J2" s="965"/>
      <c r="K2" s="965"/>
      <c r="L2" s="965"/>
      <c r="M2" s="965"/>
      <c r="N2" s="965"/>
      <c r="O2" s="965"/>
      <c r="P2" s="965"/>
      <c r="Q2" s="965"/>
      <c r="R2" s="965"/>
      <c r="S2" s="965"/>
      <c r="T2" s="965"/>
      <c r="U2" s="965"/>
      <c r="V2" s="965"/>
      <c r="W2" s="965"/>
      <c r="X2" s="965"/>
      <c r="Y2" s="965"/>
      <c r="Z2" s="966"/>
    </row>
    <row r="3" spans="1:26" ht="62.25" customHeight="1" thickBot="1">
      <c r="A3" s="45"/>
      <c r="B3" s="44"/>
      <c r="C3" s="45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54.75" customHeight="1" thickBot="1">
      <c r="A4" s="253" t="s">
        <v>28</v>
      </c>
      <c r="B4" s="967" t="s">
        <v>22</v>
      </c>
      <c r="C4" s="967"/>
      <c r="D4" s="290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291"/>
      <c r="E5" s="277"/>
      <c r="F5" s="259"/>
      <c r="G5" s="292">
        <v>0</v>
      </c>
      <c r="H5" s="292">
        <v>0</v>
      </c>
      <c r="I5" s="292">
        <v>0</v>
      </c>
      <c r="J5" s="292">
        <v>0</v>
      </c>
      <c r="K5" s="292">
        <v>0</v>
      </c>
      <c r="L5" s="292">
        <v>0</v>
      </c>
      <c r="M5" s="292">
        <v>0</v>
      </c>
      <c r="N5" s="292">
        <v>0</v>
      </c>
      <c r="O5" s="292">
        <v>0</v>
      </c>
      <c r="P5" s="292">
        <v>0</v>
      </c>
      <c r="Q5" s="292">
        <v>0</v>
      </c>
      <c r="R5" s="292">
        <v>0</v>
      </c>
      <c r="S5" s="292">
        <v>0</v>
      </c>
      <c r="T5" s="292">
        <v>0</v>
      </c>
      <c r="U5" s="292">
        <v>0</v>
      </c>
      <c r="V5" s="292">
        <v>0</v>
      </c>
      <c r="W5" s="292">
        <v>0</v>
      </c>
      <c r="X5" s="292">
        <v>0</v>
      </c>
      <c r="Y5" s="292">
        <v>0</v>
      </c>
      <c r="Z5" s="292">
        <v>0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291"/>
      <c r="E6" s="278"/>
      <c r="F6" s="263"/>
      <c r="G6" s="292">
        <v>0</v>
      </c>
      <c r="H6" s="292">
        <v>0</v>
      </c>
      <c r="I6" s="292">
        <v>0</v>
      </c>
      <c r="J6" s="292">
        <v>0</v>
      </c>
      <c r="K6" s="292">
        <v>0</v>
      </c>
      <c r="L6" s="292">
        <v>0</v>
      </c>
      <c r="M6" s="292">
        <v>0</v>
      </c>
      <c r="N6" s="292">
        <v>0</v>
      </c>
      <c r="O6" s="292">
        <v>0</v>
      </c>
      <c r="P6" s="292">
        <v>0</v>
      </c>
      <c r="Q6" s="292">
        <v>0</v>
      </c>
      <c r="R6" s="292">
        <v>0</v>
      </c>
      <c r="S6" s="292">
        <v>0</v>
      </c>
      <c r="T6" s="292">
        <v>0</v>
      </c>
      <c r="U6" s="292">
        <v>0</v>
      </c>
      <c r="V6" s="292">
        <v>0</v>
      </c>
      <c r="W6" s="292">
        <v>0</v>
      </c>
      <c r="X6" s="292">
        <v>0</v>
      </c>
      <c r="Y6" s="292">
        <v>0</v>
      </c>
      <c r="Z6" s="292">
        <v>0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291"/>
      <c r="E7" s="278"/>
      <c r="F7" s="263"/>
      <c r="G7" s="292">
        <v>0</v>
      </c>
      <c r="H7" s="292">
        <v>0</v>
      </c>
      <c r="I7" s="292">
        <v>0</v>
      </c>
      <c r="J7" s="292">
        <v>0</v>
      </c>
      <c r="K7" s="292">
        <v>0</v>
      </c>
      <c r="L7" s="292">
        <v>0</v>
      </c>
      <c r="M7" s="292">
        <v>0</v>
      </c>
      <c r="N7" s="292">
        <v>0</v>
      </c>
      <c r="O7" s="292">
        <v>0</v>
      </c>
      <c r="P7" s="292">
        <v>0</v>
      </c>
      <c r="Q7" s="292">
        <v>0</v>
      </c>
      <c r="R7" s="292">
        <v>0</v>
      </c>
      <c r="S7" s="292">
        <v>0</v>
      </c>
      <c r="T7" s="292">
        <v>0</v>
      </c>
      <c r="U7" s="292">
        <v>0</v>
      </c>
      <c r="V7" s="292">
        <v>0</v>
      </c>
      <c r="W7" s="292">
        <v>0</v>
      </c>
      <c r="X7" s="292">
        <v>0</v>
      </c>
      <c r="Y7" s="292">
        <v>0</v>
      </c>
      <c r="Z7" s="292">
        <v>0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291"/>
      <c r="E8" s="278"/>
      <c r="F8" s="263"/>
      <c r="G8" s="292">
        <v>0</v>
      </c>
      <c r="H8" s="292">
        <v>0</v>
      </c>
      <c r="I8" s="292">
        <v>0</v>
      </c>
      <c r="J8" s="292">
        <v>0</v>
      </c>
      <c r="K8" s="292">
        <v>0</v>
      </c>
      <c r="L8" s="292">
        <v>0</v>
      </c>
      <c r="M8" s="292">
        <v>0</v>
      </c>
      <c r="N8" s="292">
        <v>0</v>
      </c>
      <c r="O8" s="292">
        <v>0</v>
      </c>
      <c r="P8" s="292">
        <v>0</v>
      </c>
      <c r="Q8" s="292">
        <v>0</v>
      </c>
      <c r="R8" s="292">
        <v>0</v>
      </c>
      <c r="S8" s="292">
        <v>0</v>
      </c>
      <c r="T8" s="292">
        <v>0</v>
      </c>
      <c r="U8" s="292">
        <v>0</v>
      </c>
      <c r="V8" s="292">
        <v>0</v>
      </c>
      <c r="W8" s="292">
        <v>0</v>
      </c>
      <c r="X8" s="292">
        <v>0</v>
      </c>
      <c r="Y8" s="292">
        <v>0</v>
      </c>
      <c r="Z8" s="292">
        <v>0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291"/>
      <c r="E9" s="278"/>
      <c r="F9" s="263"/>
      <c r="G9" s="292">
        <v>0</v>
      </c>
      <c r="H9" s="292">
        <v>0</v>
      </c>
      <c r="I9" s="292">
        <v>0</v>
      </c>
      <c r="J9" s="292">
        <v>0</v>
      </c>
      <c r="K9" s="292">
        <v>0</v>
      </c>
      <c r="L9" s="292">
        <v>0</v>
      </c>
      <c r="M9" s="292">
        <v>0</v>
      </c>
      <c r="N9" s="292">
        <v>0</v>
      </c>
      <c r="O9" s="292">
        <v>0</v>
      </c>
      <c r="P9" s="292">
        <v>0</v>
      </c>
      <c r="Q9" s="292">
        <v>0</v>
      </c>
      <c r="R9" s="292">
        <v>0</v>
      </c>
      <c r="S9" s="292">
        <v>0</v>
      </c>
      <c r="T9" s="292">
        <v>0</v>
      </c>
      <c r="U9" s="292">
        <v>0</v>
      </c>
      <c r="V9" s="292">
        <v>0</v>
      </c>
      <c r="W9" s="292">
        <v>0</v>
      </c>
      <c r="X9" s="292">
        <v>0</v>
      </c>
      <c r="Y9" s="292">
        <v>0</v>
      </c>
      <c r="Z9" s="292">
        <v>0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291"/>
      <c r="E10" s="278"/>
      <c r="F10" s="263"/>
      <c r="G10" s="292">
        <v>0</v>
      </c>
      <c r="H10" s="292">
        <v>0</v>
      </c>
      <c r="I10" s="292">
        <v>0</v>
      </c>
      <c r="J10" s="292">
        <v>0</v>
      </c>
      <c r="K10" s="292">
        <v>0</v>
      </c>
      <c r="L10" s="292">
        <v>0</v>
      </c>
      <c r="M10" s="292">
        <v>0</v>
      </c>
      <c r="N10" s="292">
        <v>0</v>
      </c>
      <c r="O10" s="292">
        <v>0</v>
      </c>
      <c r="P10" s="292">
        <v>0</v>
      </c>
      <c r="Q10" s="292">
        <v>0</v>
      </c>
      <c r="R10" s="292">
        <v>0</v>
      </c>
      <c r="S10" s="292">
        <v>0</v>
      </c>
      <c r="T10" s="292">
        <v>0</v>
      </c>
      <c r="U10" s="292">
        <v>0</v>
      </c>
      <c r="V10" s="292">
        <v>0</v>
      </c>
      <c r="W10" s="292">
        <v>0</v>
      </c>
      <c r="X10" s="292">
        <v>0</v>
      </c>
      <c r="Y10" s="292">
        <v>0</v>
      </c>
      <c r="Z10" s="292">
        <v>0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291"/>
      <c r="E11" s="278"/>
      <c r="F11" s="263"/>
      <c r="G11" s="292">
        <v>0</v>
      </c>
      <c r="H11" s="292">
        <v>0</v>
      </c>
      <c r="I11" s="292">
        <v>0</v>
      </c>
      <c r="J11" s="292">
        <v>0</v>
      </c>
      <c r="K11" s="292">
        <v>0</v>
      </c>
      <c r="L11" s="292">
        <v>0</v>
      </c>
      <c r="M11" s="292">
        <v>0</v>
      </c>
      <c r="N11" s="292">
        <v>0</v>
      </c>
      <c r="O11" s="292">
        <v>0</v>
      </c>
      <c r="P11" s="292">
        <v>0</v>
      </c>
      <c r="Q11" s="292">
        <v>0</v>
      </c>
      <c r="R11" s="292">
        <v>0</v>
      </c>
      <c r="S11" s="292">
        <v>0</v>
      </c>
      <c r="T11" s="292">
        <v>0</v>
      </c>
      <c r="U11" s="292">
        <v>0</v>
      </c>
      <c r="V11" s="292">
        <v>0</v>
      </c>
      <c r="W11" s="292">
        <v>0</v>
      </c>
      <c r="X11" s="292">
        <v>0</v>
      </c>
      <c r="Y11" s="292">
        <v>0</v>
      </c>
      <c r="Z11" s="292">
        <v>0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291"/>
      <c r="E12" s="278"/>
      <c r="F12" s="263"/>
      <c r="G12" s="292">
        <v>0</v>
      </c>
      <c r="H12" s="292">
        <v>0</v>
      </c>
      <c r="I12" s="292">
        <v>0</v>
      </c>
      <c r="J12" s="292">
        <v>0</v>
      </c>
      <c r="K12" s="292">
        <v>0</v>
      </c>
      <c r="L12" s="292">
        <v>0</v>
      </c>
      <c r="M12" s="292">
        <v>0</v>
      </c>
      <c r="N12" s="292">
        <v>0</v>
      </c>
      <c r="O12" s="292">
        <v>0</v>
      </c>
      <c r="P12" s="292">
        <v>0</v>
      </c>
      <c r="Q12" s="292">
        <v>0</v>
      </c>
      <c r="R12" s="292">
        <v>0</v>
      </c>
      <c r="S12" s="292">
        <v>0</v>
      </c>
      <c r="T12" s="292">
        <v>0</v>
      </c>
      <c r="U12" s="292">
        <v>0</v>
      </c>
      <c r="V12" s="292">
        <v>0</v>
      </c>
      <c r="W12" s="292">
        <v>0</v>
      </c>
      <c r="X12" s="292">
        <v>0</v>
      </c>
      <c r="Y12" s="292">
        <v>0</v>
      </c>
      <c r="Z12" s="292">
        <v>0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291"/>
      <c r="E13" s="278"/>
      <c r="F13" s="263"/>
      <c r="G13" s="292">
        <v>0</v>
      </c>
      <c r="H13" s="292">
        <v>0</v>
      </c>
      <c r="I13" s="292">
        <v>0</v>
      </c>
      <c r="J13" s="292">
        <v>0</v>
      </c>
      <c r="K13" s="292">
        <v>0</v>
      </c>
      <c r="L13" s="292">
        <v>0</v>
      </c>
      <c r="M13" s="292">
        <v>0</v>
      </c>
      <c r="N13" s="292">
        <v>0</v>
      </c>
      <c r="O13" s="292">
        <v>0</v>
      </c>
      <c r="P13" s="292">
        <v>0</v>
      </c>
      <c r="Q13" s="292">
        <v>0</v>
      </c>
      <c r="R13" s="292">
        <v>0</v>
      </c>
      <c r="S13" s="292">
        <v>0</v>
      </c>
      <c r="T13" s="292">
        <v>0</v>
      </c>
      <c r="U13" s="292">
        <v>0</v>
      </c>
      <c r="V13" s="292">
        <v>0</v>
      </c>
      <c r="W13" s="292">
        <v>0</v>
      </c>
      <c r="X13" s="292">
        <v>0</v>
      </c>
      <c r="Y13" s="292">
        <v>0</v>
      </c>
      <c r="Z13" s="292">
        <v>0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291"/>
      <c r="E14" s="278"/>
      <c r="F14" s="263"/>
      <c r="G14" s="292">
        <v>0</v>
      </c>
      <c r="H14" s="292">
        <v>0</v>
      </c>
      <c r="I14" s="292">
        <v>0</v>
      </c>
      <c r="J14" s="292">
        <v>0</v>
      </c>
      <c r="K14" s="292">
        <v>0</v>
      </c>
      <c r="L14" s="292">
        <v>0</v>
      </c>
      <c r="M14" s="292">
        <v>0</v>
      </c>
      <c r="N14" s="292">
        <v>0</v>
      </c>
      <c r="O14" s="292">
        <v>0</v>
      </c>
      <c r="P14" s="292">
        <v>0</v>
      </c>
      <c r="Q14" s="292">
        <v>0</v>
      </c>
      <c r="R14" s="292">
        <v>0</v>
      </c>
      <c r="S14" s="292">
        <v>0</v>
      </c>
      <c r="T14" s="292">
        <v>0</v>
      </c>
      <c r="U14" s="292">
        <v>0</v>
      </c>
      <c r="V14" s="292">
        <v>0</v>
      </c>
      <c r="W14" s="292">
        <v>0</v>
      </c>
      <c r="X14" s="292">
        <v>0</v>
      </c>
      <c r="Y14" s="292">
        <v>0</v>
      </c>
      <c r="Z14" s="292">
        <v>0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291"/>
      <c r="E15" s="278"/>
      <c r="F15" s="263"/>
      <c r="G15" s="292">
        <v>0</v>
      </c>
      <c r="H15" s="292">
        <v>0</v>
      </c>
      <c r="I15" s="292">
        <v>0</v>
      </c>
      <c r="J15" s="292">
        <v>0</v>
      </c>
      <c r="K15" s="292">
        <v>0</v>
      </c>
      <c r="L15" s="292">
        <v>0</v>
      </c>
      <c r="M15" s="292">
        <v>0</v>
      </c>
      <c r="N15" s="292">
        <v>0</v>
      </c>
      <c r="O15" s="292">
        <v>0</v>
      </c>
      <c r="P15" s="292">
        <v>0</v>
      </c>
      <c r="Q15" s="292">
        <v>0</v>
      </c>
      <c r="R15" s="292">
        <v>0</v>
      </c>
      <c r="S15" s="292">
        <v>0</v>
      </c>
      <c r="T15" s="292">
        <v>0</v>
      </c>
      <c r="U15" s="292">
        <v>0</v>
      </c>
      <c r="V15" s="292">
        <v>0</v>
      </c>
      <c r="W15" s="292">
        <v>0</v>
      </c>
      <c r="X15" s="292">
        <v>0</v>
      </c>
      <c r="Y15" s="292">
        <v>0</v>
      </c>
      <c r="Z15" s="292">
        <v>0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291"/>
      <c r="E16" s="278"/>
      <c r="F16" s="263"/>
      <c r="G16" s="292">
        <v>0</v>
      </c>
      <c r="H16" s="292">
        <v>0</v>
      </c>
      <c r="I16" s="292">
        <v>0</v>
      </c>
      <c r="J16" s="292">
        <v>0</v>
      </c>
      <c r="K16" s="292">
        <v>0</v>
      </c>
      <c r="L16" s="292">
        <v>0</v>
      </c>
      <c r="M16" s="292">
        <v>0</v>
      </c>
      <c r="N16" s="292">
        <v>0</v>
      </c>
      <c r="O16" s="292">
        <v>0</v>
      </c>
      <c r="P16" s="292">
        <v>0</v>
      </c>
      <c r="Q16" s="292">
        <v>0</v>
      </c>
      <c r="R16" s="292">
        <v>0</v>
      </c>
      <c r="S16" s="292">
        <v>0</v>
      </c>
      <c r="T16" s="292">
        <v>0</v>
      </c>
      <c r="U16" s="292">
        <v>0</v>
      </c>
      <c r="V16" s="292">
        <v>0</v>
      </c>
      <c r="W16" s="292">
        <v>0</v>
      </c>
      <c r="X16" s="292">
        <v>0</v>
      </c>
      <c r="Y16" s="292">
        <v>0</v>
      </c>
      <c r="Z16" s="292">
        <v>0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291"/>
      <c r="E17" s="278"/>
      <c r="F17" s="263"/>
      <c r="G17" s="292">
        <v>0</v>
      </c>
      <c r="H17" s="292">
        <v>0</v>
      </c>
      <c r="I17" s="292">
        <v>0</v>
      </c>
      <c r="J17" s="292">
        <v>0</v>
      </c>
      <c r="K17" s="292">
        <v>0</v>
      </c>
      <c r="L17" s="292">
        <v>0</v>
      </c>
      <c r="M17" s="292">
        <v>0</v>
      </c>
      <c r="N17" s="292">
        <v>0</v>
      </c>
      <c r="O17" s="292">
        <v>0</v>
      </c>
      <c r="P17" s="292">
        <v>0</v>
      </c>
      <c r="Q17" s="292">
        <v>0</v>
      </c>
      <c r="R17" s="292">
        <v>0</v>
      </c>
      <c r="S17" s="292">
        <v>0</v>
      </c>
      <c r="T17" s="292">
        <v>0</v>
      </c>
      <c r="U17" s="292">
        <v>0</v>
      </c>
      <c r="V17" s="292">
        <v>0</v>
      </c>
      <c r="W17" s="292">
        <v>0</v>
      </c>
      <c r="X17" s="292">
        <v>0</v>
      </c>
      <c r="Y17" s="292">
        <v>0</v>
      </c>
      <c r="Z17" s="292">
        <v>0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291"/>
      <c r="E18" s="278"/>
      <c r="F18" s="263"/>
      <c r="G18" s="292">
        <v>0</v>
      </c>
      <c r="H18" s="292">
        <v>0</v>
      </c>
      <c r="I18" s="292">
        <v>0</v>
      </c>
      <c r="J18" s="292">
        <v>0</v>
      </c>
      <c r="K18" s="292">
        <v>0</v>
      </c>
      <c r="L18" s="292">
        <v>0</v>
      </c>
      <c r="M18" s="292">
        <v>0</v>
      </c>
      <c r="N18" s="292">
        <v>0</v>
      </c>
      <c r="O18" s="292">
        <v>0</v>
      </c>
      <c r="P18" s="292">
        <v>0</v>
      </c>
      <c r="Q18" s="292">
        <v>0</v>
      </c>
      <c r="R18" s="292">
        <v>0</v>
      </c>
      <c r="S18" s="292">
        <v>0</v>
      </c>
      <c r="T18" s="292">
        <v>0</v>
      </c>
      <c r="U18" s="292">
        <v>0</v>
      </c>
      <c r="V18" s="292">
        <v>0</v>
      </c>
      <c r="W18" s="292">
        <v>0</v>
      </c>
      <c r="X18" s="292">
        <v>0</v>
      </c>
      <c r="Y18" s="292">
        <v>0</v>
      </c>
      <c r="Z18" s="292">
        <v>0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291"/>
      <c r="E19" s="278"/>
      <c r="F19" s="263"/>
      <c r="G19" s="292">
        <v>0</v>
      </c>
      <c r="H19" s="292">
        <v>0</v>
      </c>
      <c r="I19" s="292">
        <v>0</v>
      </c>
      <c r="J19" s="292">
        <v>0</v>
      </c>
      <c r="K19" s="292">
        <v>0</v>
      </c>
      <c r="L19" s="292">
        <v>0</v>
      </c>
      <c r="M19" s="292">
        <v>0</v>
      </c>
      <c r="N19" s="292">
        <v>0</v>
      </c>
      <c r="O19" s="292">
        <v>0</v>
      </c>
      <c r="P19" s="292">
        <v>0</v>
      </c>
      <c r="Q19" s="292">
        <v>0</v>
      </c>
      <c r="R19" s="292">
        <v>0</v>
      </c>
      <c r="S19" s="292">
        <v>0</v>
      </c>
      <c r="T19" s="292">
        <v>0</v>
      </c>
      <c r="U19" s="292">
        <v>0</v>
      </c>
      <c r="V19" s="292">
        <v>0</v>
      </c>
      <c r="W19" s="292">
        <v>0</v>
      </c>
      <c r="X19" s="292">
        <v>0</v>
      </c>
      <c r="Y19" s="292">
        <v>0</v>
      </c>
      <c r="Z19" s="292">
        <v>0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291"/>
      <c r="E20" s="278"/>
      <c r="F20" s="263"/>
      <c r="G20" s="292">
        <v>0</v>
      </c>
      <c r="H20" s="292">
        <v>0</v>
      </c>
      <c r="I20" s="292">
        <v>0</v>
      </c>
      <c r="J20" s="292">
        <v>0</v>
      </c>
      <c r="K20" s="292">
        <v>0</v>
      </c>
      <c r="L20" s="292">
        <v>0</v>
      </c>
      <c r="M20" s="292">
        <v>0</v>
      </c>
      <c r="N20" s="292">
        <v>0</v>
      </c>
      <c r="O20" s="292">
        <v>0</v>
      </c>
      <c r="P20" s="292">
        <v>0</v>
      </c>
      <c r="Q20" s="292">
        <v>0</v>
      </c>
      <c r="R20" s="292">
        <v>0</v>
      </c>
      <c r="S20" s="292">
        <v>0</v>
      </c>
      <c r="T20" s="292">
        <v>0</v>
      </c>
      <c r="U20" s="292">
        <v>0</v>
      </c>
      <c r="V20" s="292">
        <v>0</v>
      </c>
      <c r="W20" s="292">
        <v>0</v>
      </c>
      <c r="X20" s="292">
        <v>0</v>
      </c>
      <c r="Y20" s="292">
        <v>0</v>
      </c>
      <c r="Z20" s="292">
        <v>0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291"/>
      <c r="E21" s="278"/>
      <c r="F21" s="263"/>
      <c r="G21" s="292">
        <v>0</v>
      </c>
      <c r="H21" s="292">
        <v>0</v>
      </c>
      <c r="I21" s="292">
        <v>0</v>
      </c>
      <c r="J21" s="292">
        <v>0</v>
      </c>
      <c r="K21" s="292">
        <v>0</v>
      </c>
      <c r="L21" s="292">
        <v>0</v>
      </c>
      <c r="M21" s="292">
        <v>0</v>
      </c>
      <c r="N21" s="292">
        <v>0</v>
      </c>
      <c r="O21" s="292">
        <v>0</v>
      </c>
      <c r="P21" s="292">
        <v>0</v>
      </c>
      <c r="Q21" s="292">
        <v>0</v>
      </c>
      <c r="R21" s="292">
        <v>0</v>
      </c>
      <c r="S21" s="292">
        <v>0</v>
      </c>
      <c r="T21" s="292">
        <v>0</v>
      </c>
      <c r="U21" s="292">
        <v>0</v>
      </c>
      <c r="V21" s="292">
        <v>0</v>
      </c>
      <c r="W21" s="292">
        <v>0</v>
      </c>
      <c r="X21" s="292">
        <v>0</v>
      </c>
      <c r="Y21" s="292">
        <v>0</v>
      </c>
      <c r="Z21" s="292">
        <v>0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291"/>
      <c r="E22" s="278"/>
      <c r="F22" s="263"/>
      <c r="G22" s="292">
        <v>0</v>
      </c>
      <c r="H22" s="292">
        <v>0</v>
      </c>
      <c r="I22" s="292">
        <v>0</v>
      </c>
      <c r="J22" s="292">
        <v>0</v>
      </c>
      <c r="K22" s="292">
        <v>0</v>
      </c>
      <c r="L22" s="292">
        <v>0</v>
      </c>
      <c r="M22" s="292">
        <v>0</v>
      </c>
      <c r="N22" s="292">
        <v>0</v>
      </c>
      <c r="O22" s="292">
        <v>0</v>
      </c>
      <c r="P22" s="292">
        <v>0</v>
      </c>
      <c r="Q22" s="292">
        <v>0</v>
      </c>
      <c r="R22" s="292">
        <v>0</v>
      </c>
      <c r="S22" s="292">
        <v>0</v>
      </c>
      <c r="T22" s="292">
        <v>0</v>
      </c>
      <c r="U22" s="292">
        <v>0</v>
      </c>
      <c r="V22" s="292">
        <v>0</v>
      </c>
      <c r="W22" s="292">
        <v>0</v>
      </c>
      <c r="X22" s="292">
        <v>0</v>
      </c>
      <c r="Y22" s="292">
        <v>0</v>
      </c>
      <c r="Z22" s="292">
        <v>0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291"/>
      <c r="E23" s="278"/>
      <c r="F23" s="263"/>
      <c r="G23" s="292">
        <v>0</v>
      </c>
      <c r="H23" s="292">
        <v>0</v>
      </c>
      <c r="I23" s="292">
        <v>0</v>
      </c>
      <c r="J23" s="292">
        <v>0</v>
      </c>
      <c r="K23" s="292">
        <v>0</v>
      </c>
      <c r="L23" s="292">
        <v>0</v>
      </c>
      <c r="M23" s="292">
        <v>0</v>
      </c>
      <c r="N23" s="292">
        <v>0</v>
      </c>
      <c r="O23" s="292">
        <v>0</v>
      </c>
      <c r="P23" s="292">
        <v>0</v>
      </c>
      <c r="Q23" s="292">
        <v>0</v>
      </c>
      <c r="R23" s="292">
        <v>0</v>
      </c>
      <c r="S23" s="292">
        <v>0</v>
      </c>
      <c r="T23" s="292">
        <v>0</v>
      </c>
      <c r="U23" s="292">
        <v>0</v>
      </c>
      <c r="V23" s="292">
        <v>0</v>
      </c>
      <c r="W23" s="292">
        <v>0</v>
      </c>
      <c r="X23" s="292">
        <v>0</v>
      </c>
      <c r="Y23" s="292">
        <v>0</v>
      </c>
      <c r="Z23" s="292">
        <v>0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291"/>
      <c r="E24" s="278"/>
      <c r="F24" s="263"/>
      <c r="G24" s="292">
        <v>0</v>
      </c>
      <c r="H24" s="292">
        <v>0</v>
      </c>
      <c r="I24" s="292">
        <v>0</v>
      </c>
      <c r="J24" s="292">
        <v>0</v>
      </c>
      <c r="K24" s="292">
        <v>0</v>
      </c>
      <c r="L24" s="292">
        <v>0</v>
      </c>
      <c r="M24" s="292">
        <v>0</v>
      </c>
      <c r="N24" s="292">
        <v>0</v>
      </c>
      <c r="O24" s="292">
        <v>0</v>
      </c>
      <c r="P24" s="292">
        <v>0</v>
      </c>
      <c r="Q24" s="292">
        <v>0</v>
      </c>
      <c r="R24" s="292">
        <v>0</v>
      </c>
      <c r="S24" s="292">
        <v>0</v>
      </c>
      <c r="T24" s="292">
        <v>0</v>
      </c>
      <c r="U24" s="292">
        <v>0</v>
      </c>
      <c r="V24" s="292">
        <v>0</v>
      </c>
      <c r="W24" s="292">
        <v>0</v>
      </c>
      <c r="X24" s="292">
        <v>0</v>
      </c>
      <c r="Y24" s="292">
        <v>0</v>
      </c>
      <c r="Z24" s="292">
        <v>0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291"/>
      <c r="E25" s="278"/>
      <c r="F25" s="263"/>
      <c r="G25" s="292">
        <v>0</v>
      </c>
      <c r="H25" s="292">
        <v>0</v>
      </c>
      <c r="I25" s="292">
        <v>0</v>
      </c>
      <c r="J25" s="292">
        <v>0</v>
      </c>
      <c r="K25" s="292">
        <v>0</v>
      </c>
      <c r="L25" s="292">
        <v>0</v>
      </c>
      <c r="M25" s="292">
        <v>0</v>
      </c>
      <c r="N25" s="292">
        <v>0</v>
      </c>
      <c r="O25" s="292">
        <v>0</v>
      </c>
      <c r="P25" s="292">
        <v>0</v>
      </c>
      <c r="Q25" s="292">
        <v>0</v>
      </c>
      <c r="R25" s="292">
        <v>0</v>
      </c>
      <c r="S25" s="292">
        <v>0</v>
      </c>
      <c r="T25" s="292">
        <v>0</v>
      </c>
      <c r="U25" s="292">
        <v>0</v>
      </c>
      <c r="V25" s="292">
        <v>0</v>
      </c>
      <c r="W25" s="292">
        <v>0</v>
      </c>
      <c r="X25" s="292">
        <v>0</v>
      </c>
      <c r="Y25" s="292">
        <v>0</v>
      </c>
      <c r="Z25" s="292">
        <v>0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291"/>
      <c r="E26" s="278"/>
      <c r="F26" s="263"/>
      <c r="G26" s="292">
        <v>0</v>
      </c>
      <c r="H26" s="292">
        <v>0</v>
      </c>
      <c r="I26" s="292">
        <v>0</v>
      </c>
      <c r="J26" s="292">
        <v>0</v>
      </c>
      <c r="K26" s="292">
        <v>0</v>
      </c>
      <c r="L26" s="292">
        <v>0</v>
      </c>
      <c r="M26" s="292">
        <v>0</v>
      </c>
      <c r="N26" s="292">
        <v>0</v>
      </c>
      <c r="O26" s="292">
        <v>0</v>
      </c>
      <c r="P26" s="292">
        <v>0</v>
      </c>
      <c r="Q26" s="292">
        <v>0</v>
      </c>
      <c r="R26" s="292">
        <v>0</v>
      </c>
      <c r="S26" s="292">
        <v>0</v>
      </c>
      <c r="T26" s="292">
        <v>0</v>
      </c>
      <c r="U26" s="292">
        <v>0</v>
      </c>
      <c r="V26" s="292">
        <v>0</v>
      </c>
      <c r="W26" s="292">
        <v>0</v>
      </c>
      <c r="X26" s="292">
        <v>0</v>
      </c>
      <c r="Y26" s="292">
        <v>0</v>
      </c>
      <c r="Z26" s="292">
        <v>0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291"/>
      <c r="E27" s="278"/>
      <c r="F27" s="263"/>
      <c r="G27" s="292">
        <v>0</v>
      </c>
      <c r="H27" s="292">
        <v>0</v>
      </c>
      <c r="I27" s="292">
        <v>0</v>
      </c>
      <c r="J27" s="292">
        <v>0</v>
      </c>
      <c r="K27" s="292">
        <v>0</v>
      </c>
      <c r="L27" s="292">
        <v>0</v>
      </c>
      <c r="M27" s="292">
        <v>0</v>
      </c>
      <c r="N27" s="292">
        <v>0</v>
      </c>
      <c r="O27" s="292">
        <v>0</v>
      </c>
      <c r="P27" s="292">
        <v>0</v>
      </c>
      <c r="Q27" s="292">
        <v>0</v>
      </c>
      <c r="R27" s="292">
        <v>0</v>
      </c>
      <c r="S27" s="292">
        <v>0</v>
      </c>
      <c r="T27" s="292">
        <v>0</v>
      </c>
      <c r="U27" s="292">
        <v>0</v>
      </c>
      <c r="V27" s="292">
        <v>0</v>
      </c>
      <c r="W27" s="292">
        <v>0</v>
      </c>
      <c r="X27" s="292">
        <v>0</v>
      </c>
      <c r="Y27" s="292">
        <v>0</v>
      </c>
      <c r="Z27" s="292">
        <v>0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291"/>
      <c r="E28" s="278"/>
      <c r="F28" s="263"/>
      <c r="G28" s="292">
        <v>0</v>
      </c>
      <c r="H28" s="292">
        <v>0</v>
      </c>
      <c r="I28" s="292">
        <v>0</v>
      </c>
      <c r="J28" s="292">
        <v>0</v>
      </c>
      <c r="K28" s="292">
        <v>0</v>
      </c>
      <c r="L28" s="292">
        <v>0</v>
      </c>
      <c r="M28" s="292">
        <v>0</v>
      </c>
      <c r="N28" s="292">
        <v>0</v>
      </c>
      <c r="O28" s="292">
        <v>0</v>
      </c>
      <c r="P28" s="292">
        <v>0</v>
      </c>
      <c r="Q28" s="292">
        <v>0</v>
      </c>
      <c r="R28" s="292">
        <v>0</v>
      </c>
      <c r="S28" s="292">
        <v>0</v>
      </c>
      <c r="T28" s="292">
        <v>0</v>
      </c>
      <c r="U28" s="292">
        <v>0</v>
      </c>
      <c r="V28" s="292">
        <v>0</v>
      </c>
      <c r="W28" s="292">
        <v>0</v>
      </c>
      <c r="X28" s="292">
        <v>0</v>
      </c>
      <c r="Y28" s="292">
        <v>0</v>
      </c>
      <c r="Z28" s="292">
        <v>0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291"/>
      <c r="E29" s="278"/>
      <c r="F29" s="263"/>
      <c r="G29" s="292">
        <v>0</v>
      </c>
      <c r="H29" s="292">
        <v>0</v>
      </c>
      <c r="I29" s="292">
        <v>0</v>
      </c>
      <c r="J29" s="292">
        <v>0</v>
      </c>
      <c r="K29" s="292">
        <v>0</v>
      </c>
      <c r="L29" s="292">
        <v>0</v>
      </c>
      <c r="M29" s="292">
        <v>0</v>
      </c>
      <c r="N29" s="292">
        <v>0</v>
      </c>
      <c r="O29" s="292">
        <v>0</v>
      </c>
      <c r="P29" s="292">
        <v>0</v>
      </c>
      <c r="Q29" s="292">
        <v>0</v>
      </c>
      <c r="R29" s="292">
        <v>0</v>
      </c>
      <c r="S29" s="292">
        <v>0</v>
      </c>
      <c r="T29" s="292">
        <v>0</v>
      </c>
      <c r="U29" s="292">
        <v>0</v>
      </c>
      <c r="V29" s="292">
        <v>0</v>
      </c>
      <c r="W29" s="292">
        <v>0</v>
      </c>
      <c r="X29" s="292">
        <v>0</v>
      </c>
      <c r="Y29" s="292">
        <v>0</v>
      </c>
      <c r="Z29" s="292">
        <v>0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291"/>
      <c r="E30" s="278"/>
      <c r="F30" s="263"/>
      <c r="G30" s="292">
        <v>0</v>
      </c>
      <c r="H30" s="292">
        <v>0</v>
      </c>
      <c r="I30" s="292">
        <v>0</v>
      </c>
      <c r="J30" s="292">
        <v>0</v>
      </c>
      <c r="K30" s="292">
        <v>0</v>
      </c>
      <c r="L30" s="292">
        <v>0</v>
      </c>
      <c r="M30" s="292">
        <v>0</v>
      </c>
      <c r="N30" s="292">
        <v>0</v>
      </c>
      <c r="O30" s="292">
        <v>0</v>
      </c>
      <c r="P30" s="292">
        <v>0</v>
      </c>
      <c r="Q30" s="292">
        <v>0</v>
      </c>
      <c r="R30" s="292">
        <v>0</v>
      </c>
      <c r="S30" s="292">
        <v>0</v>
      </c>
      <c r="T30" s="292">
        <v>0</v>
      </c>
      <c r="U30" s="292">
        <v>0</v>
      </c>
      <c r="V30" s="292">
        <v>0</v>
      </c>
      <c r="W30" s="292">
        <v>0</v>
      </c>
      <c r="X30" s="292">
        <v>0</v>
      </c>
      <c r="Y30" s="292">
        <v>0</v>
      </c>
      <c r="Z30" s="292">
        <v>0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291"/>
      <c r="E31" s="278"/>
      <c r="F31" s="263"/>
      <c r="G31" s="292">
        <v>0</v>
      </c>
      <c r="H31" s="292">
        <v>0</v>
      </c>
      <c r="I31" s="292">
        <v>0</v>
      </c>
      <c r="J31" s="292">
        <v>0</v>
      </c>
      <c r="K31" s="292">
        <v>0</v>
      </c>
      <c r="L31" s="292">
        <v>0</v>
      </c>
      <c r="M31" s="292">
        <v>0</v>
      </c>
      <c r="N31" s="292">
        <v>0</v>
      </c>
      <c r="O31" s="292">
        <v>0</v>
      </c>
      <c r="P31" s="292">
        <v>0</v>
      </c>
      <c r="Q31" s="292">
        <v>0</v>
      </c>
      <c r="R31" s="292">
        <v>0</v>
      </c>
      <c r="S31" s="292">
        <v>0</v>
      </c>
      <c r="T31" s="292">
        <v>0</v>
      </c>
      <c r="U31" s="292">
        <v>0</v>
      </c>
      <c r="V31" s="292">
        <v>0</v>
      </c>
      <c r="W31" s="292">
        <v>0</v>
      </c>
      <c r="X31" s="292">
        <v>0</v>
      </c>
      <c r="Y31" s="292">
        <v>0</v>
      </c>
      <c r="Z31" s="292">
        <v>0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291"/>
      <c r="E32" s="278"/>
      <c r="F32" s="263"/>
      <c r="G32" s="292">
        <v>0</v>
      </c>
      <c r="H32" s="292">
        <v>0</v>
      </c>
      <c r="I32" s="292">
        <v>0</v>
      </c>
      <c r="J32" s="292">
        <v>0</v>
      </c>
      <c r="K32" s="292">
        <v>0</v>
      </c>
      <c r="L32" s="292">
        <v>0</v>
      </c>
      <c r="M32" s="292">
        <v>0</v>
      </c>
      <c r="N32" s="292">
        <v>0</v>
      </c>
      <c r="O32" s="292">
        <v>0</v>
      </c>
      <c r="P32" s="292">
        <v>0</v>
      </c>
      <c r="Q32" s="292">
        <v>0</v>
      </c>
      <c r="R32" s="292">
        <v>0</v>
      </c>
      <c r="S32" s="292">
        <v>0</v>
      </c>
      <c r="T32" s="292">
        <v>0</v>
      </c>
      <c r="U32" s="292">
        <v>0</v>
      </c>
      <c r="V32" s="292">
        <v>0</v>
      </c>
      <c r="W32" s="292">
        <v>0</v>
      </c>
      <c r="X32" s="292">
        <v>0</v>
      </c>
      <c r="Y32" s="292">
        <v>0</v>
      </c>
      <c r="Z32" s="292">
        <v>0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291"/>
      <c r="E33" s="278"/>
      <c r="F33" s="263"/>
      <c r="G33" s="292">
        <v>0</v>
      </c>
      <c r="H33" s="292">
        <v>0</v>
      </c>
      <c r="I33" s="292">
        <v>0</v>
      </c>
      <c r="J33" s="292">
        <v>0</v>
      </c>
      <c r="K33" s="292">
        <v>0</v>
      </c>
      <c r="L33" s="292">
        <v>0</v>
      </c>
      <c r="M33" s="292">
        <v>0</v>
      </c>
      <c r="N33" s="292">
        <v>0</v>
      </c>
      <c r="O33" s="292">
        <v>0</v>
      </c>
      <c r="P33" s="292">
        <v>0</v>
      </c>
      <c r="Q33" s="292">
        <v>0</v>
      </c>
      <c r="R33" s="292">
        <v>0</v>
      </c>
      <c r="S33" s="292">
        <v>0</v>
      </c>
      <c r="T33" s="292">
        <v>0</v>
      </c>
      <c r="U33" s="292">
        <v>0</v>
      </c>
      <c r="V33" s="292">
        <v>0</v>
      </c>
      <c r="W33" s="292">
        <v>0</v>
      </c>
      <c r="X33" s="292">
        <v>0</v>
      </c>
      <c r="Y33" s="292">
        <v>0</v>
      </c>
      <c r="Z33" s="292">
        <v>0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291"/>
      <c r="E34" s="278"/>
      <c r="F34" s="263"/>
      <c r="G34" s="292">
        <v>0</v>
      </c>
      <c r="H34" s="292">
        <v>0</v>
      </c>
      <c r="I34" s="292">
        <v>0</v>
      </c>
      <c r="J34" s="292">
        <v>0</v>
      </c>
      <c r="K34" s="292">
        <v>0</v>
      </c>
      <c r="L34" s="292">
        <v>0</v>
      </c>
      <c r="M34" s="292">
        <v>0</v>
      </c>
      <c r="N34" s="292">
        <v>0</v>
      </c>
      <c r="O34" s="292">
        <v>0</v>
      </c>
      <c r="P34" s="292">
        <v>0</v>
      </c>
      <c r="Q34" s="292">
        <v>0</v>
      </c>
      <c r="R34" s="292">
        <v>0</v>
      </c>
      <c r="S34" s="292">
        <v>0</v>
      </c>
      <c r="T34" s="292">
        <v>0</v>
      </c>
      <c r="U34" s="292">
        <v>0</v>
      </c>
      <c r="V34" s="292">
        <v>0</v>
      </c>
      <c r="W34" s="292">
        <v>0</v>
      </c>
      <c r="X34" s="292">
        <v>0</v>
      </c>
      <c r="Y34" s="292">
        <v>0</v>
      </c>
      <c r="Z34" s="292">
        <v>0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291"/>
      <c r="E35" s="278"/>
      <c r="F35" s="263"/>
      <c r="G35" s="292">
        <v>0</v>
      </c>
      <c r="H35" s="292">
        <v>0</v>
      </c>
      <c r="I35" s="292">
        <v>0</v>
      </c>
      <c r="J35" s="292">
        <v>0</v>
      </c>
      <c r="K35" s="292">
        <v>0</v>
      </c>
      <c r="L35" s="292">
        <v>0</v>
      </c>
      <c r="M35" s="292">
        <v>0</v>
      </c>
      <c r="N35" s="292">
        <v>0</v>
      </c>
      <c r="O35" s="292">
        <v>0</v>
      </c>
      <c r="P35" s="292">
        <v>0</v>
      </c>
      <c r="Q35" s="292">
        <v>0</v>
      </c>
      <c r="R35" s="292">
        <v>0</v>
      </c>
      <c r="S35" s="292">
        <v>0</v>
      </c>
      <c r="T35" s="292">
        <v>0</v>
      </c>
      <c r="U35" s="292">
        <v>0</v>
      </c>
      <c r="V35" s="292">
        <v>0</v>
      </c>
      <c r="W35" s="292">
        <v>0</v>
      </c>
      <c r="X35" s="292">
        <v>0</v>
      </c>
      <c r="Y35" s="292">
        <v>0</v>
      </c>
      <c r="Z35" s="292">
        <v>0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291"/>
      <c r="E36" s="278"/>
      <c r="F36" s="263"/>
      <c r="G36" s="292">
        <v>0</v>
      </c>
      <c r="H36" s="292">
        <v>0</v>
      </c>
      <c r="I36" s="292">
        <v>0</v>
      </c>
      <c r="J36" s="292">
        <v>0</v>
      </c>
      <c r="K36" s="292">
        <v>0</v>
      </c>
      <c r="L36" s="292">
        <v>0</v>
      </c>
      <c r="M36" s="292">
        <v>0</v>
      </c>
      <c r="N36" s="292">
        <v>0</v>
      </c>
      <c r="O36" s="292">
        <v>0</v>
      </c>
      <c r="P36" s="292">
        <v>0</v>
      </c>
      <c r="Q36" s="292">
        <v>0</v>
      </c>
      <c r="R36" s="292">
        <v>0</v>
      </c>
      <c r="S36" s="292">
        <v>0</v>
      </c>
      <c r="T36" s="292">
        <v>0</v>
      </c>
      <c r="U36" s="292">
        <v>0</v>
      </c>
      <c r="V36" s="292">
        <v>0</v>
      </c>
      <c r="W36" s="292">
        <v>0</v>
      </c>
      <c r="X36" s="292">
        <v>0</v>
      </c>
      <c r="Y36" s="292">
        <v>0</v>
      </c>
      <c r="Z36" s="292">
        <v>0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291"/>
      <c r="E37" s="278"/>
      <c r="F37" s="263"/>
      <c r="G37" s="292">
        <v>0</v>
      </c>
      <c r="H37" s="292">
        <v>0</v>
      </c>
      <c r="I37" s="292">
        <v>0</v>
      </c>
      <c r="J37" s="292">
        <v>0</v>
      </c>
      <c r="K37" s="292">
        <v>0</v>
      </c>
      <c r="L37" s="292">
        <v>0</v>
      </c>
      <c r="M37" s="292">
        <v>0</v>
      </c>
      <c r="N37" s="292">
        <v>0</v>
      </c>
      <c r="O37" s="292">
        <v>0</v>
      </c>
      <c r="P37" s="292">
        <v>0</v>
      </c>
      <c r="Q37" s="292">
        <v>0</v>
      </c>
      <c r="R37" s="292">
        <v>0</v>
      </c>
      <c r="S37" s="292">
        <v>0</v>
      </c>
      <c r="T37" s="292">
        <v>0</v>
      </c>
      <c r="U37" s="292">
        <v>0</v>
      </c>
      <c r="V37" s="292">
        <v>0</v>
      </c>
      <c r="W37" s="292">
        <v>0</v>
      </c>
      <c r="X37" s="292">
        <v>0</v>
      </c>
      <c r="Y37" s="292">
        <v>0</v>
      </c>
      <c r="Z37" s="292">
        <v>0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291"/>
      <c r="E38" s="278"/>
      <c r="F38" s="263"/>
      <c r="G38" s="292">
        <v>0</v>
      </c>
      <c r="H38" s="292">
        <v>0</v>
      </c>
      <c r="I38" s="292">
        <v>0</v>
      </c>
      <c r="J38" s="292">
        <v>0</v>
      </c>
      <c r="K38" s="292">
        <v>0</v>
      </c>
      <c r="L38" s="292">
        <v>0</v>
      </c>
      <c r="M38" s="292">
        <v>0</v>
      </c>
      <c r="N38" s="292">
        <v>0</v>
      </c>
      <c r="O38" s="292">
        <v>0</v>
      </c>
      <c r="P38" s="292">
        <v>0</v>
      </c>
      <c r="Q38" s="292">
        <v>0</v>
      </c>
      <c r="R38" s="292">
        <v>0</v>
      </c>
      <c r="S38" s="292">
        <v>0</v>
      </c>
      <c r="T38" s="292">
        <v>0</v>
      </c>
      <c r="U38" s="292">
        <v>0</v>
      </c>
      <c r="V38" s="292">
        <v>0</v>
      </c>
      <c r="W38" s="292">
        <v>0</v>
      </c>
      <c r="X38" s="292">
        <v>0</v>
      </c>
      <c r="Y38" s="292">
        <v>0</v>
      </c>
      <c r="Z38" s="292">
        <v>0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291"/>
      <c r="E39" s="278"/>
      <c r="F39" s="263"/>
      <c r="G39" s="292">
        <v>0</v>
      </c>
      <c r="H39" s="292">
        <v>0</v>
      </c>
      <c r="I39" s="292">
        <v>0</v>
      </c>
      <c r="J39" s="292">
        <v>0</v>
      </c>
      <c r="K39" s="292">
        <v>0</v>
      </c>
      <c r="L39" s="292">
        <v>0</v>
      </c>
      <c r="M39" s="292">
        <v>0</v>
      </c>
      <c r="N39" s="292">
        <v>0</v>
      </c>
      <c r="O39" s="292">
        <v>0</v>
      </c>
      <c r="P39" s="292">
        <v>0</v>
      </c>
      <c r="Q39" s="292">
        <v>0</v>
      </c>
      <c r="R39" s="292">
        <v>0</v>
      </c>
      <c r="S39" s="292">
        <v>0</v>
      </c>
      <c r="T39" s="292">
        <v>0</v>
      </c>
      <c r="U39" s="292">
        <v>0</v>
      </c>
      <c r="V39" s="292">
        <v>0</v>
      </c>
      <c r="W39" s="292">
        <v>0</v>
      </c>
      <c r="X39" s="292">
        <v>0</v>
      </c>
      <c r="Y39" s="292">
        <v>0</v>
      </c>
      <c r="Z39" s="292">
        <v>0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291"/>
      <c r="E40" s="278"/>
      <c r="F40" s="263"/>
      <c r="G40" s="292">
        <v>0</v>
      </c>
      <c r="H40" s="292">
        <v>0</v>
      </c>
      <c r="I40" s="292">
        <v>0</v>
      </c>
      <c r="J40" s="292">
        <v>0</v>
      </c>
      <c r="K40" s="292">
        <v>0</v>
      </c>
      <c r="L40" s="292">
        <v>0</v>
      </c>
      <c r="M40" s="292">
        <v>0</v>
      </c>
      <c r="N40" s="292">
        <v>0</v>
      </c>
      <c r="O40" s="292">
        <v>0</v>
      </c>
      <c r="P40" s="292">
        <v>0</v>
      </c>
      <c r="Q40" s="292">
        <v>0</v>
      </c>
      <c r="R40" s="292">
        <v>0</v>
      </c>
      <c r="S40" s="292">
        <v>0</v>
      </c>
      <c r="T40" s="292">
        <v>0</v>
      </c>
      <c r="U40" s="292">
        <v>0</v>
      </c>
      <c r="V40" s="292">
        <v>0</v>
      </c>
      <c r="W40" s="292">
        <v>0</v>
      </c>
      <c r="X40" s="292">
        <v>0</v>
      </c>
      <c r="Y40" s="292">
        <v>0</v>
      </c>
      <c r="Z40" s="292">
        <v>0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291"/>
      <c r="E41" s="278"/>
      <c r="F41" s="263"/>
      <c r="G41" s="292">
        <v>0</v>
      </c>
      <c r="H41" s="292">
        <v>0</v>
      </c>
      <c r="I41" s="292">
        <v>0</v>
      </c>
      <c r="J41" s="292">
        <v>0</v>
      </c>
      <c r="K41" s="292">
        <v>0</v>
      </c>
      <c r="L41" s="292">
        <v>0</v>
      </c>
      <c r="M41" s="292">
        <v>0</v>
      </c>
      <c r="N41" s="292">
        <v>0</v>
      </c>
      <c r="O41" s="292">
        <v>0</v>
      </c>
      <c r="P41" s="292">
        <v>0</v>
      </c>
      <c r="Q41" s="292">
        <v>0</v>
      </c>
      <c r="R41" s="292">
        <v>0</v>
      </c>
      <c r="S41" s="292">
        <v>0</v>
      </c>
      <c r="T41" s="292">
        <v>0</v>
      </c>
      <c r="U41" s="292">
        <v>0</v>
      </c>
      <c r="V41" s="292">
        <v>0</v>
      </c>
      <c r="W41" s="292">
        <v>0</v>
      </c>
      <c r="X41" s="292">
        <v>0</v>
      </c>
      <c r="Y41" s="292">
        <v>0</v>
      </c>
      <c r="Z41" s="292">
        <v>0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291"/>
      <c r="E42" s="278"/>
      <c r="F42" s="263"/>
      <c r="G42" s="292">
        <v>0</v>
      </c>
      <c r="H42" s="292">
        <v>0</v>
      </c>
      <c r="I42" s="292">
        <v>0</v>
      </c>
      <c r="J42" s="292">
        <v>0</v>
      </c>
      <c r="K42" s="292">
        <v>0</v>
      </c>
      <c r="L42" s="292">
        <v>0</v>
      </c>
      <c r="M42" s="292">
        <v>0</v>
      </c>
      <c r="N42" s="292">
        <v>0</v>
      </c>
      <c r="O42" s="292">
        <v>0</v>
      </c>
      <c r="P42" s="292">
        <v>0</v>
      </c>
      <c r="Q42" s="292">
        <v>0</v>
      </c>
      <c r="R42" s="292">
        <v>0</v>
      </c>
      <c r="S42" s="292">
        <v>0</v>
      </c>
      <c r="T42" s="292">
        <v>0</v>
      </c>
      <c r="U42" s="292">
        <v>0</v>
      </c>
      <c r="V42" s="292">
        <v>0</v>
      </c>
      <c r="W42" s="292">
        <v>0</v>
      </c>
      <c r="X42" s="292">
        <v>0</v>
      </c>
      <c r="Y42" s="292">
        <v>0</v>
      </c>
      <c r="Z42" s="292">
        <v>0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291"/>
      <c r="E43" s="278"/>
      <c r="F43" s="263"/>
      <c r="G43" s="292">
        <v>0</v>
      </c>
      <c r="H43" s="292">
        <v>0</v>
      </c>
      <c r="I43" s="292">
        <v>0</v>
      </c>
      <c r="J43" s="292">
        <v>0</v>
      </c>
      <c r="K43" s="292">
        <v>0</v>
      </c>
      <c r="L43" s="292">
        <v>0</v>
      </c>
      <c r="M43" s="292">
        <v>0</v>
      </c>
      <c r="N43" s="292">
        <v>0</v>
      </c>
      <c r="O43" s="292">
        <v>0</v>
      </c>
      <c r="P43" s="292">
        <v>0</v>
      </c>
      <c r="Q43" s="292">
        <v>0</v>
      </c>
      <c r="R43" s="292">
        <v>0</v>
      </c>
      <c r="S43" s="292">
        <v>0</v>
      </c>
      <c r="T43" s="292">
        <v>0</v>
      </c>
      <c r="U43" s="292">
        <v>0</v>
      </c>
      <c r="V43" s="292">
        <v>0</v>
      </c>
      <c r="W43" s="292">
        <v>0</v>
      </c>
      <c r="X43" s="292">
        <v>0</v>
      </c>
      <c r="Y43" s="292">
        <v>0</v>
      </c>
      <c r="Z43" s="292">
        <v>0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291"/>
      <c r="E44" s="278"/>
      <c r="F44" s="263"/>
      <c r="G44" s="292">
        <v>0</v>
      </c>
      <c r="H44" s="292">
        <v>0</v>
      </c>
      <c r="I44" s="292">
        <v>0</v>
      </c>
      <c r="J44" s="292">
        <v>0</v>
      </c>
      <c r="K44" s="292">
        <v>0</v>
      </c>
      <c r="L44" s="292">
        <v>0</v>
      </c>
      <c r="M44" s="292">
        <v>0</v>
      </c>
      <c r="N44" s="292">
        <v>0</v>
      </c>
      <c r="O44" s="292">
        <v>0</v>
      </c>
      <c r="P44" s="292">
        <v>0</v>
      </c>
      <c r="Q44" s="292">
        <v>0</v>
      </c>
      <c r="R44" s="292">
        <v>0</v>
      </c>
      <c r="S44" s="292">
        <v>0</v>
      </c>
      <c r="T44" s="292">
        <v>0</v>
      </c>
      <c r="U44" s="292">
        <v>0</v>
      </c>
      <c r="V44" s="292">
        <v>0</v>
      </c>
      <c r="W44" s="292">
        <v>0</v>
      </c>
      <c r="X44" s="292">
        <v>0</v>
      </c>
      <c r="Y44" s="292">
        <v>0</v>
      </c>
      <c r="Z44" s="292">
        <v>0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291"/>
      <c r="E45" s="278"/>
      <c r="F45" s="263"/>
      <c r="G45" s="292">
        <v>0</v>
      </c>
      <c r="H45" s="292">
        <v>0</v>
      </c>
      <c r="I45" s="292">
        <v>0</v>
      </c>
      <c r="J45" s="292">
        <v>0</v>
      </c>
      <c r="K45" s="292">
        <v>0</v>
      </c>
      <c r="L45" s="292">
        <v>0</v>
      </c>
      <c r="M45" s="292">
        <v>0</v>
      </c>
      <c r="N45" s="292">
        <v>0</v>
      </c>
      <c r="O45" s="292">
        <v>0</v>
      </c>
      <c r="P45" s="292">
        <v>0</v>
      </c>
      <c r="Q45" s="292">
        <v>0</v>
      </c>
      <c r="R45" s="292">
        <v>0</v>
      </c>
      <c r="S45" s="292">
        <v>0</v>
      </c>
      <c r="T45" s="292">
        <v>0</v>
      </c>
      <c r="U45" s="292">
        <v>0</v>
      </c>
      <c r="V45" s="292">
        <v>0</v>
      </c>
      <c r="W45" s="292">
        <v>0</v>
      </c>
      <c r="X45" s="292">
        <v>0</v>
      </c>
      <c r="Y45" s="292">
        <v>0</v>
      </c>
      <c r="Z45" s="292">
        <v>0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291"/>
      <c r="E46" s="278"/>
      <c r="F46" s="263"/>
      <c r="G46" s="292">
        <v>0</v>
      </c>
      <c r="H46" s="292">
        <v>0</v>
      </c>
      <c r="I46" s="292">
        <v>0</v>
      </c>
      <c r="J46" s="292">
        <v>0</v>
      </c>
      <c r="K46" s="292">
        <v>0</v>
      </c>
      <c r="L46" s="292">
        <v>0</v>
      </c>
      <c r="M46" s="292">
        <v>0</v>
      </c>
      <c r="N46" s="292">
        <v>0</v>
      </c>
      <c r="O46" s="292">
        <v>0</v>
      </c>
      <c r="P46" s="292">
        <v>0</v>
      </c>
      <c r="Q46" s="292">
        <v>0</v>
      </c>
      <c r="R46" s="292">
        <v>0</v>
      </c>
      <c r="S46" s="292">
        <v>0</v>
      </c>
      <c r="T46" s="292">
        <v>0</v>
      </c>
      <c r="U46" s="292">
        <v>0</v>
      </c>
      <c r="V46" s="292">
        <v>0</v>
      </c>
      <c r="W46" s="292">
        <v>0</v>
      </c>
      <c r="X46" s="292">
        <v>0</v>
      </c>
      <c r="Y46" s="292">
        <v>0</v>
      </c>
      <c r="Z46" s="292">
        <v>0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291"/>
      <c r="E47" s="278"/>
      <c r="F47" s="263"/>
      <c r="G47" s="292">
        <v>0</v>
      </c>
      <c r="H47" s="292">
        <v>0</v>
      </c>
      <c r="I47" s="292">
        <v>0</v>
      </c>
      <c r="J47" s="292">
        <v>0</v>
      </c>
      <c r="K47" s="292">
        <v>0</v>
      </c>
      <c r="L47" s="292">
        <v>0</v>
      </c>
      <c r="M47" s="292">
        <v>0</v>
      </c>
      <c r="N47" s="292">
        <v>0</v>
      </c>
      <c r="O47" s="292">
        <v>0</v>
      </c>
      <c r="P47" s="292">
        <v>0</v>
      </c>
      <c r="Q47" s="292">
        <v>0</v>
      </c>
      <c r="R47" s="292">
        <v>0</v>
      </c>
      <c r="S47" s="292">
        <v>0</v>
      </c>
      <c r="T47" s="292">
        <v>0</v>
      </c>
      <c r="U47" s="292">
        <v>0</v>
      </c>
      <c r="V47" s="292">
        <v>0</v>
      </c>
      <c r="W47" s="292">
        <v>0</v>
      </c>
      <c r="X47" s="292">
        <v>0</v>
      </c>
      <c r="Y47" s="292">
        <v>0</v>
      </c>
      <c r="Z47" s="292">
        <v>0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291"/>
      <c r="E48" s="278"/>
      <c r="F48" s="263"/>
      <c r="G48" s="292">
        <v>0</v>
      </c>
      <c r="H48" s="292">
        <v>0</v>
      </c>
      <c r="I48" s="292">
        <v>0</v>
      </c>
      <c r="J48" s="292">
        <v>0</v>
      </c>
      <c r="K48" s="292">
        <v>0</v>
      </c>
      <c r="L48" s="292">
        <v>0</v>
      </c>
      <c r="M48" s="292">
        <v>0</v>
      </c>
      <c r="N48" s="292">
        <v>0</v>
      </c>
      <c r="O48" s="292">
        <v>0</v>
      </c>
      <c r="P48" s="292">
        <v>0</v>
      </c>
      <c r="Q48" s="292">
        <v>0</v>
      </c>
      <c r="R48" s="292">
        <v>0</v>
      </c>
      <c r="S48" s="292">
        <v>0</v>
      </c>
      <c r="T48" s="292">
        <v>0</v>
      </c>
      <c r="U48" s="292">
        <v>0</v>
      </c>
      <c r="V48" s="292">
        <v>0</v>
      </c>
      <c r="W48" s="292">
        <v>0</v>
      </c>
      <c r="X48" s="292">
        <v>0</v>
      </c>
      <c r="Y48" s="292">
        <v>0</v>
      </c>
      <c r="Z48" s="292">
        <v>0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291"/>
      <c r="E49" s="278"/>
      <c r="F49" s="263"/>
      <c r="G49" s="292">
        <v>0</v>
      </c>
      <c r="H49" s="292">
        <v>0</v>
      </c>
      <c r="I49" s="292">
        <v>0</v>
      </c>
      <c r="J49" s="292">
        <v>0</v>
      </c>
      <c r="K49" s="292">
        <v>0</v>
      </c>
      <c r="L49" s="292">
        <v>0</v>
      </c>
      <c r="M49" s="292">
        <v>0</v>
      </c>
      <c r="N49" s="292">
        <v>0</v>
      </c>
      <c r="O49" s="292">
        <v>0</v>
      </c>
      <c r="P49" s="292">
        <v>0</v>
      </c>
      <c r="Q49" s="292">
        <v>0</v>
      </c>
      <c r="R49" s="292">
        <v>0</v>
      </c>
      <c r="S49" s="292">
        <v>0</v>
      </c>
      <c r="T49" s="292">
        <v>0</v>
      </c>
      <c r="U49" s="292">
        <v>0</v>
      </c>
      <c r="V49" s="292">
        <v>0</v>
      </c>
      <c r="W49" s="292">
        <v>0</v>
      </c>
      <c r="X49" s="292">
        <v>0</v>
      </c>
      <c r="Y49" s="292">
        <v>0</v>
      </c>
      <c r="Z49" s="292">
        <v>0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291"/>
      <c r="E50" s="278"/>
      <c r="F50" s="263"/>
      <c r="G50" s="292">
        <v>0</v>
      </c>
      <c r="H50" s="292">
        <v>0</v>
      </c>
      <c r="I50" s="292">
        <v>0</v>
      </c>
      <c r="J50" s="292">
        <v>0</v>
      </c>
      <c r="K50" s="292">
        <v>0</v>
      </c>
      <c r="L50" s="292">
        <v>0</v>
      </c>
      <c r="M50" s="292">
        <v>0</v>
      </c>
      <c r="N50" s="292">
        <v>0</v>
      </c>
      <c r="O50" s="292">
        <v>0</v>
      </c>
      <c r="P50" s="292">
        <v>0</v>
      </c>
      <c r="Q50" s="292">
        <v>0</v>
      </c>
      <c r="R50" s="292">
        <v>0</v>
      </c>
      <c r="S50" s="292">
        <v>0</v>
      </c>
      <c r="T50" s="292">
        <v>0</v>
      </c>
      <c r="U50" s="292">
        <v>0</v>
      </c>
      <c r="V50" s="292">
        <v>0</v>
      </c>
      <c r="W50" s="292">
        <v>0</v>
      </c>
      <c r="X50" s="292">
        <v>0</v>
      </c>
      <c r="Y50" s="292">
        <v>0</v>
      </c>
      <c r="Z50" s="292">
        <v>0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291"/>
      <c r="E51" s="278"/>
      <c r="F51" s="263"/>
      <c r="G51" s="292">
        <v>0</v>
      </c>
      <c r="H51" s="292">
        <v>0</v>
      </c>
      <c r="I51" s="292">
        <v>0</v>
      </c>
      <c r="J51" s="292">
        <v>0</v>
      </c>
      <c r="K51" s="292">
        <v>0</v>
      </c>
      <c r="L51" s="292">
        <v>0</v>
      </c>
      <c r="M51" s="292">
        <v>0</v>
      </c>
      <c r="N51" s="292">
        <v>0</v>
      </c>
      <c r="O51" s="292">
        <v>0</v>
      </c>
      <c r="P51" s="292">
        <v>0</v>
      </c>
      <c r="Q51" s="292">
        <v>0</v>
      </c>
      <c r="R51" s="292">
        <v>0</v>
      </c>
      <c r="S51" s="292">
        <v>0</v>
      </c>
      <c r="T51" s="292">
        <v>0</v>
      </c>
      <c r="U51" s="292">
        <v>0</v>
      </c>
      <c r="V51" s="292">
        <v>0</v>
      </c>
      <c r="W51" s="292">
        <v>0</v>
      </c>
      <c r="X51" s="292">
        <v>0</v>
      </c>
      <c r="Y51" s="292">
        <v>0</v>
      </c>
      <c r="Z51" s="292">
        <v>0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291"/>
      <c r="E52" s="278"/>
      <c r="F52" s="263"/>
      <c r="G52" s="292">
        <v>0</v>
      </c>
      <c r="H52" s="292">
        <v>0</v>
      </c>
      <c r="I52" s="292">
        <v>0</v>
      </c>
      <c r="J52" s="292">
        <v>0</v>
      </c>
      <c r="K52" s="292">
        <v>0</v>
      </c>
      <c r="L52" s="292">
        <v>0</v>
      </c>
      <c r="M52" s="292">
        <v>0</v>
      </c>
      <c r="N52" s="292">
        <v>0</v>
      </c>
      <c r="O52" s="292">
        <v>0</v>
      </c>
      <c r="P52" s="292">
        <v>0</v>
      </c>
      <c r="Q52" s="292">
        <v>0</v>
      </c>
      <c r="R52" s="292">
        <v>0</v>
      </c>
      <c r="S52" s="292">
        <v>0</v>
      </c>
      <c r="T52" s="292">
        <v>0</v>
      </c>
      <c r="U52" s="292">
        <v>0</v>
      </c>
      <c r="V52" s="292">
        <v>0</v>
      </c>
      <c r="W52" s="292">
        <v>0</v>
      </c>
      <c r="X52" s="292">
        <v>0</v>
      </c>
      <c r="Y52" s="292">
        <v>0</v>
      </c>
      <c r="Z52" s="292">
        <v>0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291"/>
      <c r="E53" s="278"/>
      <c r="F53" s="263"/>
      <c r="G53" s="292">
        <v>0</v>
      </c>
      <c r="H53" s="292">
        <v>0</v>
      </c>
      <c r="I53" s="292">
        <v>0</v>
      </c>
      <c r="J53" s="292">
        <v>0</v>
      </c>
      <c r="K53" s="292">
        <v>0</v>
      </c>
      <c r="L53" s="292">
        <v>0</v>
      </c>
      <c r="M53" s="292">
        <v>0</v>
      </c>
      <c r="N53" s="292">
        <v>0</v>
      </c>
      <c r="O53" s="292">
        <v>0</v>
      </c>
      <c r="P53" s="292">
        <v>0</v>
      </c>
      <c r="Q53" s="292">
        <v>0</v>
      </c>
      <c r="R53" s="292">
        <v>0</v>
      </c>
      <c r="S53" s="292">
        <v>0</v>
      </c>
      <c r="T53" s="292">
        <v>0</v>
      </c>
      <c r="U53" s="292">
        <v>0</v>
      </c>
      <c r="V53" s="292">
        <v>0</v>
      </c>
      <c r="W53" s="292">
        <v>0</v>
      </c>
      <c r="X53" s="292">
        <v>0</v>
      </c>
      <c r="Y53" s="292">
        <v>0</v>
      </c>
      <c r="Z53" s="292">
        <v>0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291"/>
      <c r="E54" s="278"/>
      <c r="F54" s="263"/>
      <c r="G54" s="292">
        <v>0</v>
      </c>
      <c r="H54" s="292">
        <v>0</v>
      </c>
      <c r="I54" s="292">
        <v>0</v>
      </c>
      <c r="J54" s="292">
        <v>0</v>
      </c>
      <c r="K54" s="292">
        <v>0</v>
      </c>
      <c r="L54" s="292">
        <v>0</v>
      </c>
      <c r="M54" s="292">
        <v>0</v>
      </c>
      <c r="N54" s="292">
        <v>0</v>
      </c>
      <c r="O54" s="292">
        <v>0</v>
      </c>
      <c r="P54" s="292">
        <v>0</v>
      </c>
      <c r="Q54" s="292">
        <v>0</v>
      </c>
      <c r="R54" s="292">
        <v>0</v>
      </c>
      <c r="S54" s="292">
        <v>0</v>
      </c>
      <c r="T54" s="292">
        <v>0</v>
      </c>
      <c r="U54" s="292">
        <v>0</v>
      </c>
      <c r="V54" s="292">
        <v>0</v>
      </c>
      <c r="W54" s="292">
        <v>0</v>
      </c>
      <c r="X54" s="292">
        <v>0</v>
      </c>
      <c r="Y54" s="292">
        <v>0</v>
      </c>
      <c r="Z54" s="292">
        <v>0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291"/>
      <c r="E55" s="278"/>
      <c r="F55" s="263"/>
      <c r="G55" s="292">
        <v>0</v>
      </c>
      <c r="H55" s="292">
        <v>0</v>
      </c>
      <c r="I55" s="292">
        <v>0</v>
      </c>
      <c r="J55" s="292">
        <v>0</v>
      </c>
      <c r="K55" s="292">
        <v>0</v>
      </c>
      <c r="L55" s="292">
        <v>0</v>
      </c>
      <c r="M55" s="292">
        <v>0</v>
      </c>
      <c r="N55" s="292">
        <v>0</v>
      </c>
      <c r="O55" s="292">
        <v>0</v>
      </c>
      <c r="P55" s="292">
        <v>0</v>
      </c>
      <c r="Q55" s="292">
        <v>0</v>
      </c>
      <c r="R55" s="292">
        <v>0</v>
      </c>
      <c r="S55" s="292">
        <v>0</v>
      </c>
      <c r="T55" s="292">
        <v>0</v>
      </c>
      <c r="U55" s="292">
        <v>0</v>
      </c>
      <c r="V55" s="292">
        <v>0</v>
      </c>
      <c r="W55" s="292">
        <v>0</v>
      </c>
      <c r="X55" s="292">
        <v>0</v>
      </c>
      <c r="Y55" s="292">
        <v>0</v>
      </c>
      <c r="Z55" s="292">
        <v>0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291"/>
      <c r="E56" s="278"/>
      <c r="F56" s="263"/>
      <c r="G56" s="292">
        <v>0</v>
      </c>
      <c r="H56" s="292">
        <v>0</v>
      </c>
      <c r="I56" s="292">
        <v>0</v>
      </c>
      <c r="J56" s="292">
        <v>0</v>
      </c>
      <c r="K56" s="292">
        <v>0</v>
      </c>
      <c r="L56" s="292">
        <v>0</v>
      </c>
      <c r="M56" s="292">
        <v>0</v>
      </c>
      <c r="N56" s="292">
        <v>0</v>
      </c>
      <c r="O56" s="292">
        <v>0</v>
      </c>
      <c r="P56" s="292">
        <v>0</v>
      </c>
      <c r="Q56" s="292">
        <v>0</v>
      </c>
      <c r="R56" s="292">
        <v>0</v>
      </c>
      <c r="S56" s="292">
        <v>0</v>
      </c>
      <c r="T56" s="292">
        <v>0</v>
      </c>
      <c r="U56" s="292">
        <v>0</v>
      </c>
      <c r="V56" s="292">
        <v>0</v>
      </c>
      <c r="W56" s="292">
        <v>0</v>
      </c>
      <c r="X56" s="292">
        <v>0</v>
      </c>
      <c r="Y56" s="292">
        <v>0</v>
      </c>
      <c r="Z56" s="292">
        <v>0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291"/>
      <c r="E57" s="278"/>
      <c r="F57" s="263"/>
      <c r="G57" s="292">
        <v>0</v>
      </c>
      <c r="H57" s="292">
        <v>0</v>
      </c>
      <c r="I57" s="292">
        <v>0</v>
      </c>
      <c r="J57" s="292">
        <v>0</v>
      </c>
      <c r="K57" s="292">
        <v>0</v>
      </c>
      <c r="L57" s="292">
        <v>0</v>
      </c>
      <c r="M57" s="292">
        <v>0</v>
      </c>
      <c r="N57" s="292">
        <v>0</v>
      </c>
      <c r="O57" s="292">
        <v>0</v>
      </c>
      <c r="P57" s="292">
        <v>0</v>
      </c>
      <c r="Q57" s="292">
        <v>0</v>
      </c>
      <c r="R57" s="292">
        <v>0</v>
      </c>
      <c r="S57" s="292">
        <v>0</v>
      </c>
      <c r="T57" s="292">
        <v>0</v>
      </c>
      <c r="U57" s="292">
        <v>0</v>
      </c>
      <c r="V57" s="292">
        <v>0</v>
      </c>
      <c r="W57" s="292">
        <v>0</v>
      </c>
      <c r="X57" s="292">
        <v>0</v>
      </c>
      <c r="Y57" s="292">
        <v>0</v>
      </c>
      <c r="Z57" s="292">
        <v>0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291"/>
      <c r="E58" s="278"/>
      <c r="F58" s="263"/>
      <c r="G58" s="292">
        <v>0</v>
      </c>
      <c r="H58" s="292">
        <v>0</v>
      </c>
      <c r="I58" s="292">
        <v>0</v>
      </c>
      <c r="J58" s="292">
        <v>0</v>
      </c>
      <c r="K58" s="292">
        <v>0</v>
      </c>
      <c r="L58" s="292">
        <v>0</v>
      </c>
      <c r="M58" s="292">
        <v>0</v>
      </c>
      <c r="N58" s="292">
        <v>0</v>
      </c>
      <c r="O58" s="292">
        <v>0</v>
      </c>
      <c r="P58" s="292">
        <v>0</v>
      </c>
      <c r="Q58" s="292">
        <v>0</v>
      </c>
      <c r="R58" s="292">
        <v>0</v>
      </c>
      <c r="S58" s="292">
        <v>0</v>
      </c>
      <c r="T58" s="292">
        <v>0</v>
      </c>
      <c r="U58" s="292">
        <v>0</v>
      </c>
      <c r="V58" s="292">
        <v>0</v>
      </c>
      <c r="W58" s="292">
        <v>0</v>
      </c>
      <c r="X58" s="292">
        <v>0</v>
      </c>
      <c r="Y58" s="292">
        <v>0</v>
      </c>
      <c r="Z58" s="292">
        <v>0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291"/>
      <c r="E59" s="278"/>
      <c r="F59" s="263"/>
      <c r="G59" s="292">
        <v>0</v>
      </c>
      <c r="H59" s="292">
        <v>0</v>
      </c>
      <c r="I59" s="292">
        <v>0</v>
      </c>
      <c r="J59" s="292">
        <v>0</v>
      </c>
      <c r="K59" s="292">
        <v>0</v>
      </c>
      <c r="L59" s="292">
        <v>0</v>
      </c>
      <c r="M59" s="292">
        <v>0</v>
      </c>
      <c r="N59" s="292">
        <v>0</v>
      </c>
      <c r="O59" s="292">
        <v>0</v>
      </c>
      <c r="P59" s="292">
        <v>0</v>
      </c>
      <c r="Q59" s="292">
        <v>0</v>
      </c>
      <c r="R59" s="292">
        <v>0</v>
      </c>
      <c r="S59" s="292">
        <v>0</v>
      </c>
      <c r="T59" s="292">
        <v>0</v>
      </c>
      <c r="U59" s="292">
        <v>0</v>
      </c>
      <c r="V59" s="292">
        <v>0</v>
      </c>
      <c r="W59" s="292">
        <v>0</v>
      </c>
      <c r="X59" s="292">
        <v>0</v>
      </c>
      <c r="Y59" s="292">
        <v>0</v>
      </c>
      <c r="Z59" s="292">
        <v>0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291"/>
      <c r="E60" s="278"/>
      <c r="F60" s="263"/>
      <c r="G60" s="292">
        <v>0</v>
      </c>
      <c r="H60" s="292">
        <v>0</v>
      </c>
      <c r="I60" s="292">
        <v>0</v>
      </c>
      <c r="J60" s="292">
        <v>0</v>
      </c>
      <c r="K60" s="292">
        <v>0</v>
      </c>
      <c r="L60" s="292">
        <v>0</v>
      </c>
      <c r="M60" s="292">
        <v>0</v>
      </c>
      <c r="N60" s="292">
        <v>0</v>
      </c>
      <c r="O60" s="292">
        <v>0</v>
      </c>
      <c r="P60" s="292">
        <v>0</v>
      </c>
      <c r="Q60" s="292">
        <v>0</v>
      </c>
      <c r="R60" s="292">
        <v>0</v>
      </c>
      <c r="S60" s="292">
        <v>0</v>
      </c>
      <c r="T60" s="292">
        <v>0</v>
      </c>
      <c r="U60" s="292">
        <v>0</v>
      </c>
      <c r="V60" s="292">
        <v>0</v>
      </c>
      <c r="W60" s="292">
        <v>0</v>
      </c>
      <c r="X60" s="292">
        <v>0</v>
      </c>
      <c r="Y60" s="292">
        <v>0</v>
      </c>
      <c r="Z60" s="292">
        <v>0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291"/>
      <c r="E61" s="278"/>
      <c r="F61" s="263"/>
      <c r="G61" s="292">
        <v>0</v>
      </c>
      <c r="H61" s="292">
        <v>0</v>
      </c>
      <c r="I61" s="292">
        <v>0</v>
      </c>
      <c r="J61" s="292">
        <v>0</v>
      </c>
      <c r="K61" s="292">
        <v>0</v>
      </c>
      <c r="L61" s="292">
        <v>0</v>
      </c>
      <c r="M61" s="292">
        <v>0</v>
      </c>
      <c r="N61" s="292">
        <v>0</v>
      </c>
      <c r="O61" s="292">
        <v>0</v>
      </c>
      <c r="P61" s="292">
        <v>0</v>
      </c>
      <c r="Q61" s="292">
        <v>0</v>
      </c>
      <c r="R61" s="292">
        <v>0</v>
      </c>
      <c r="S61" s="292">
        <v>0</v>
      </c>
      <c r="T61" s="292">
        <v>0</v>
      </c>
      <c r="U61" s="292">
        <v>0</v>
      </c>
      <c r="V61" s="292">
        <v>0</v>
      </c>
      <c r="W61" s="292">
        <v>0</v>
      </c>
      <c r="X61" s="292">
        <v>0</v>
      </c>
      <c r="Y61" s="292">
        <v>0</v>
      </c>
      <c r="Z61" s="292">
        <v>0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291"/>
      <c r="E62" s="278"/>
      <c r="F62" s="263"/>
      <c r="G62" s="292">
        <v>0</v>
      </c>
      <c r="H62" s="292">
        <v>0</v>
      </c>
      <c r="I62" s="292">
        <v>0</v>
      </c>
      <c r="J62" s="292">
        <v>0</v>
      </c>
      <c r="K62" s="292">
        <v>0</v>
      </c>
      <c r="L62" s="292">
        <v>0</v>
      </c>
      <c r="M62" s="292">
        <v>0</v>
      </c>
      <c r="N62" s="292">
        <v>0</v>
      </c>
      <c r="O62" s="292">
        <v>0</v>
      </c>
      <c r="P62" s="292">
        <v>0</v>
      </c>
      <c r="Q62" s="292">
        <v>0</v>
      </c>
      <c r="R62" s="292">
        <v>0</v>
      </c>
      <c r="S62" s="292">
        <v>0</v>
      </c>
      <c r="T62" s="292">
        <v>0</v>
      </c>
      <c r="U62" s="292">
        <v>0</v>
      </c>
      <c r="V62" s="292">
        <v>0</v>
      </c>
      <c r="W62" s="292">
        <v>0</v>
      </c>
      <c r="X62" s="292">
        <v>0</v>
      </c>
      <c r="Y62" s="292">
        <v>0</v>
      </c>
      <c r="Z62" s="292">
        <v>0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291"/>
      <c r="E63" s="278"/>
      <c r="F63" s="263"/>
      <c r="G63" s="292">
        <v>0</v>
      </c>
      <c r="H63" s="292">
        <v>0</v>
      </c>
      <c r="I63" s="292">
        <v>0</v>
      </c>
      <c r="J63" s="292">
        <v>0</v>
      </c>
      <c r="K63" s="292">
        <v>0</v>
      </c>
      <c r="L63" s="292">
        <v>0</v>
      </c>
      <c r="M63" s="292">
        <v>0</v>
      </c>
      <c r="N63" s="292">
        <v>0</v>
      </c>
      <c r="O63" s="292">
        <v>0</v>
      </c>
      <c r="P63" s="292">
        <v>0</v>
      </c>
      <c r="Q63" s="292">
        <v>0</v>
      </c>
      <c r="R63" s="292">
        <v>0</v>
      </c>
      <c r="S63" s="292">
        <v>0</v>
      </c>
      <c r="T63" s="292">
        <v>0</v>
      </c>
      <c r="U63" s="292">
        <v>0</v>
      </c>
      <c r="V63" s="292">
        <v>0</v>
      </c>
      <c r="W63" s="292">
        <v>0</v>
      </c>
      <c r="X63" s="292">
        <v>0</v>
      </c>
      <c r="Y63" s="292">
        <v>0</v>
      </c>
      <c r="Z63" s="292">
        <v>0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291"/>
      <c r="E64" s="278"/>
      <c r="F64" s="263"/>
      <c r="G64" s="292">
        <v>0</v>
      </c>
      <c r="H64" s="292">
        <v>0</v>
      </c>
      <c r="I64" s="292">
        <v>0</v>
      </c>
      <c r="J64" s="292">
        <v>0</v>
      </c>
      <c r="K64" s="292">
        <v>0</v>
      </c>
      <c r="L64" s="292">
        <v>0</v>
      </c>
      <c r="M64" s="292">
        <v>0</v>
      </c>
      <c r="N64" s="292">
        <v>0</v>
      </c>
      <c r="O64" s="292">
        <v>0</v>
      </c>
      <c r="P64" s="292">
        <v>0</v>
      </c>
      <c r="Q64" s="292">
        <v>0</v>
      </c>
      <c r="R64" s="292">
        <v>0</v>
      </c>
      <c r="S64" s="292">
        <v>0</v>
      </c>
      <c r="T64" s="292">
        <v>0</v>
      </c>
      <c r="U64" s="292">
        <v>0</v>
      </c>
      <c r="V64" s="292">
        <v>0</v>
      </c>
      <c r="W64" s="292">
        <v>0</v>
      </c>
      <c r="X64" s="292">
        <v>0</v>
      </c>
      <c r="Y64" s="292">
        <v>0</v>
      </c>
      <c r="Z64" s="292">
        <v>0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291"/>
      <c r="E65" s="278"/>
      <c r="F65" s="263"/>
      <c r="G65" s="292">
        <v>0</v>
      </c>
      <c r="H65" s="292">
        <v>0</v>
      </c>
      <c r="I65" s="292">
        <v>0</v>
      </c>
      <c r="J65" s="292">
        <v>0</v>
      </c>
      <c r="K65" s="292">
        <v>0</v>
      </c>
      <c r="L65" s="292">
        <v>0</v>
      </c>
      <c r="M65" s="292">
        <v>0</v>
      </c>
      <c r="N65" s="292">
        <v>0</v>
      </c>
      <c r="O65" s="292">
        <v>0</v>
      </c>
      <c r="P65" s="292">
        <v>0</v>
      </c>
      <c r="Q65" s="292">
        <v>0</v>
      </c>
      <c r="R65" s="292">
        <v>0</v>
      </c>
      <c r="S65" s="292">
        <v>0</v>
      </c>
      <c r="T65" s="292">
        <v>0</v>
      </c>
      <c r="U65" s="292">
        <v>0</v>
      </c>
      <c r="V65" s="292">
        <v>0</v>
      </c>
      <c r="W65" s="292">
        <v>0</v>
      </c>
      <c r="X65" s="292">
        <v>0</v>
      </c>
      <c r="Y65" s="292">
        <v>0</v>
      </c>
      <c r="Z65" s="292">
        <v>0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291"/>
      <c r="E66" s="278"/>
      <c r="F66" s="263"/>
      <c r="G66" s="292">
        <v>0</v>
      </c>
      <c r="H66" s="292">
        <v>0</v>
      </c>
      <c r="I66" s="292">
        <v>0</v>
      </c>
      <c r="J66" s="292">
        <v>0</v>
      </c>
      <c r="K66" s="292">
        <v>0</v>
      </c>
      <c r="L66" s="292">
        <v>0</v>
      </c>
      <c r="M66" s="292">
        <v>0</v>
      </c>
      <c r="N66" s="292">
        <v>0</v>
      </c>
      <c r="O66" s="292">
        <v>0</v>
      </c>
      <c r="P66" s="292">
        <v>0</v>
      </c>
      <c r="Q66" s="292">
        <v>0</v>
      </c>
      <c r="R66" s="292">
        <v>0</v>
      </c>
      <c r="S66" s="292">
        <v>0</v>
      </c>
      <c r="T66" s="292">
        <v>0</v>
      </c>
      <c r="U66" s="292">
        <v>0</v>
      </c>
      <c r="V66" s="292">
        <v>0</v>
      </c>
      <c r="W66" s="292">
        <v>0</v>
      </c>
      <c r="X66" s="292">
        <v>0</v>
      </c>
      <c r="Y66" s="292">
        <v>0</v>
      </c>
      <c r="Z66" s="292">
        <v>0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291"/>
      <c r="E67" s="278"/>
      <c r="F67" s="263"/>
      <c r="G67" s="292">
        <v>0</v>
      </c>
      <c r="H67" s="292">
        <v>0</v>
      </c>
      <c r="I67" s="292">
        <v>0</v>
      </c>
      <c r="J67" s="292">
        <v>0</v>
      </c>
      <c r="K67" s="292">
        <v>0</v>
      </c>
      <c r="L67" s="292">
        <v>0</v>
      </c>
      <c r="M67" s="292">
        <v>0</v>
      </c>
      <c r="N67" s="292">
        <v>0</v>
      </c>
      <c r="O67" s="292">
        <v>0</v>
      </c>
      <c r="P67" s="292">
        <v>0</v>
      </c>
      <c r="Q67" s="292">
        <v>0</v>
      </c>
      <c r="R67" s="292">
        <v>0</v>
      </c>
      <c r="S67" s="292">
        <v>0</v>
      </c>
      <c r="T67" s="292">
        <v>0</v>
      </c>
      <c r="U67" s="292">
        <v>0</v>
      </c>
      <c r="V67" s="292">
        <v>0</v>
      </c>
      <c r="W67" s="292">
        <v>0</v>
      </c>
      <c r="X67" s="292">
        <v>0</v>
      </c>
      <c r="Y67" s="292">
        <v>0</v>
      </c>
      <c r="Z67" s="292">
        <v>0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291"/>
      <c r="E68" s="278"/>
      <c r="F68" s="263"/>
      <c r="G68" s="292">
        <v>0</v>
      </c>
      <c r="H68" s="292">
        <v>0</v>
      </c>
      <c r="I68" s="292">
        <v>0</v>
      </c>
      <c r="J68" s="292">
        <v>0</v>
      </c>
      <c r="K68" s="292">
        <v>0</v>
      </c>
      <c r="L68" s="292">
        <v>0</v>
      </c>
      <c r="M68" s="292">
        <v>0</v>
      </c>
      <c r="N68" s="292">
        <v>0</v>
      </c>
      <c r="O68" s="292">
        <v>0</v>
      </c>
      <c r="P68" s="292">
        <v>0</v>
      </c>
      <c r="Q68" s="292">
        <v>0</v>
      </c>
      <c r="R68" s="292">
        <v>0</v>
      </c>
      <c r="S68" s="292">
        <v>0</v>
      </c>
      <c r="T68" s="292">
        <v>0</v>
      </c>
      <c r="U68" s="292">
        <v>0</v>
      </c>
      <c r="V68" s="292">
        <v>0</v>
      </c>
      <c r="W68" s="292">
        <v>0</v>
      </c>
      <c r="X68" s="292">
        <v>0</v>
      </c>
      <c r="Y68" s="292">
        <v>0</v>
      </c>
      <c r="Z68" s="292">
        <v>0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291"/>
      <c r="E69" s="278"/>
      <c r="F69" s="263"/>
      <c r="G69" s="292">
        <v>0</v>
      </c>
      <c r="H69" s="292">
        <v>0</v>
      </c>
      <c r="I69" s="292">
        <v>0</v>
      </c>
      <c r="J69" s="292">
        <v>0</v>
      </c>
      <c r="K69" s="292">
        <v>0</v>
      </c>
      <c r="L69" s="292">
        <v>0</v>
      </c>
      <c r="M69" s="292">
        <v>0</v>
      </c>
      <c r="N69" s="292">
        <v>0</v>
      </c>
      <c r="O69" s="292">
        <v>0</v>
      </c>
      <c r="P69" s="292">
        <v>0</v>
      </c>
      <c r="Q69" s="292">
        <v>0</v>
      </c>
      <c r="R69" s="292">
        <v>0</v>
      </c>
      <c r="S69" s="292">
        <v>0</v>
      </c>
      <c r="T69" s="292">
        <v>0</v>
      </c>
      <c r="U69" s="292">
        <v>0</v>
      </c>
      <c r="V69" s="292">
        <v>0</v>
      </c>
      <c r="W69" s="292">
        <v>0</v>
      </c>
      <c r="X69" s="292">
        <v>0</v>
      </c>
      <c r="Y69" s="292">
        <v>0</v>
      </c>
      <c r="Z69" s="292">
        <v>0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291"/>
      <c r="E70" s="278"/>
      <c r="F70" s="263"/>
      <c r="G70" s="292">
        <v>0</v>
      </c>
      <c r="H70" s="292">
        <v>0</v>
      </c>
      <c r="I70" s="292">
        <v>0</v>
      </c>
      <c r="J70" s="292">
        <v>0</v>
      </c>
      <c r="K70" s="292">
        <v>0</v>
      </c>
      <c r="L70" s="292">
        <v>0</v>
      </c>
      <c r="M70" s="292">
        <v>0</v>
      </c>
      <c r="N70" s="292">
        <v>0</v>
      </c>
      <c r="O70" s="292">
        <v>0</v>
      </c>
      <c r="P70" s="292">
        <v>0</v>
      </c>
      <c r="Q70" s="292">
        <v>0</v>
      </c>
      <c r="R70" s="292">
        <v>0</v>
      </c>
      <c r="S70" s="292">
        <v>0</v>
      </c>
      <c r="T70" s="292">
        <v>0</v>
      </c>
      <c r="U70" s="292">
        <v>0</v>
      </c>
      <c r="V70" s="292">
        <v>0</v>
      </c>
      <c r="W70" s="292">
        <v>0</v>
      </c>
      <c r="X70" s="292">
        <v>0</v>
      </c>
      <c r="Y70" s="292">
        <v>0</v>
      </c>
      <c r="Z70" s="292">
        <v>0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291"/>
      <c r="E71" s="278"/>
      <c r="F71" s="263"/>
      <c r="G71" s="292">
        <v>0</v>
      </c>
      <c r="H71" s="292">
        <v>0</v>
      </c>
      <c r="I71" s="292">
        <v>0</v>
      </c>
      <c r="J71" s="292">
        <v>0</v>
      </c>
      <c r="K71" s="292">
        <v>0</v>
      </c>
      <c r="L71" s="292">
        <v>0</v>
      </c>
      <c r="M71" s="292">
        <v>0</v>
      </c>
      <c r="N71" s="292">
        <v>0</v>
      </c>
      <c r="O71" s="292">
        <v>0</v>
      </c>
      <c r="P71" s="292">
        <v>0</v>
      </c>
      <c r="Q71" s="292">
        <v>0</v>
      </c>
      <c r="R71" s="292">
        <v>0</v>
      </c>
      <c r="S71" s="292">
        <v>0</v>
      </c>
      <c r="T71" s="292">
        <v>0</v>
      </c>
      <c r="U71" s="292">
        <v>0</v>
      </c>
      <c r="V71" s="292">
        <v>0</v>
      </c>
      <c r="W71" s="292">
        <v>0</v>
      </c>
      <c r="X71" s="292">
        <v>0</v>
      </c>
      <c r="Y71" s="292">
        <v>0</v>
      </c>
      <c r="Z71" s="292">
        <v>0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291"/>
      <c r="E72" s="278"/>
      <c r="F72" s="263"/>
      <c r="G72" s="292">
        <v>0</v>
      </c>
      <c r="H72" s="292">
        <v>0</v>
      </c>
      <c r="I72" s="292">
        <v>0</v>
      </c>
      <c r="J72" s="292">
        <v>0</v>
      </c>
      <c r="K72" s="292">
        <v>0</v>
      </c>
      <c r="L72" s="292">
        <v>0</v>
      </c>
      <c r="M72" s="292">
        <v>0</v>
      </c>
      <c r="N72" s="292">
        <v>0</v>
      </c>
      <c r="O72" s="292">
        <v>0</v>
      </c>
      <c r="P72" s="292">
        <v>0</v>
      </c>
      <c r="Q72" s="292">
        <v>0</v>
      </c>
      <c r="R72" s="292">
        <v>0</v>
      </c>
      <c r="S72" s="292">
        <v>0</v>
      </c>
      <c r="T72" s="292">
        <v>0</v>
      </c>
      <c r="U72" s="292">
        <v>0</v>
      </c>
      <c r="V72" s="292">
        <v>0</v>
      </c>
      <c r="W72" s="292">
        <v>0</v>
      </c>
      <c r="X72" s="292">
        <v>0</v>
      </c>
      <c r="Y72" s="292">
        <v>0</v>
      </c>
      <c r="Z72" s="292">
        <v>0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291"/>
      <c r="E73" s="278"/>
      <c r="F73" s="263"/>
      <c r="G73" s="292">
        <v>0</v>
      </c>
      <c r="H73" s="292">
        <v>0</v>
      </c>
      <c r="I73" s="292">
        <v>0</v>
      </c>
      <c r="J73" s="292">
        <v>0</v>
      </c>
      <c r="K73" s="292">
        <v>0</v>
      </c>
      <c r="L73" s="292">
        <v>0</v>
      </c>
      <c r="M73" s="292">
        <v>0</v>
      </c>
      <c r="N73" s="292">
        <v>0</v>
      </c>
      <c r="O73" s="292">
        <v>0</v>
      </c>
      <c r="P73" s="292">
        <v>0</v>
      </c>
      <c r="Q73" s="292">
        <v>0</v>
      </c>
      <c r="R73" s="292">
        <v>0</v>
      </c>
      <c r="S73" s="292">
        <v>0</v>
      </c>
      <c r="T73" s="292">
        <v>0</v>
      </c>
      <c r="U73" s="292">
        <v>0</v>
      </c>
      <c r="V73" s="292">
        <v>0</v>
      </c>
      <c r="W73" s="292">
        <v>0</v>
      </c>
      <c r="X73" s="292">
        <v>0</v>
      </c>
      <c r="Y73" s="292">
        <v>0</v>
      </c>
      <c r="Z73" s="292">
        <v>0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291"/>
      <c r="E74" s="278"/>
      <c r="F74" s="263"/>
      <c r="G74" s="292">
        <v>0</v>
      </c>
      <c r="H74" s="292">
        <v>0</v>
      </c>
      <c r="I74" s="292">
        <v>0</v>
      </c>
      <c r="J74" s="292">
        <v>0</v>
      </c>
      <c r="K74" s="292">
        <v>0</v>
      </c>
      <c r="L74" s="292">
        <v>0</v>
      </c>
      <c r="M74" s="292">
        <v>0</v>
      </c>
      <c r="N74" s="292">
        <v>0</v>
      </c>
      <c r="O74" s="292">
        <v>0</v>
      </c>
      <c r="P74" s="292">
        <v>0</v>
      </c>
      <c r="Q74" s="292">
        <v>0</v>
      </c>
      <c r="R74" s="292">
        <v>0</v>
      </c>
      <c r="S74" s="292">
        <v>0</v>
      </c>
      <c r="T74" s="292">
        <v>0</v>
      </c>
      <c r="U74" s="292">
        <v>0</v>
      </c>
      <c r="V74" s="292">
        <v>0</v>
      </c>
      <c r="W74" s="292">
        <v>0</v>
      </c>
      <c r="X74" s="292">
        <v>0</v>
      </c>
      <c r="Y74" s="292">
        <v>0</v>
      </c>
      <c r="Z74" s="292">
        <v>0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291"/>
      <c r="E75" s="278"/>
      <c r="F75" s="263"/>
      <c r="G75" s="292">
        <v>0</v>
      </c>
      <c r="H75" s="292">
        <v>0</v>
      </c>
      <c r="I75" s="292">
        <v>0</v>
      </c>
      <c r="J75" s="292">
        <v>0</v>
      </c>
      <c r="K75" s="292">
        <v>0</v>
      </c>
      <c r="L75" s="292">
        <v>0</v>
      </c>
      <c r="M75" s="292">
        <v>0</v>
      </c>
      <c r="N75" s="292">
        <v>0</v>
      </c>
      <c r="O75" s="292">
        <v>0</v>
      </c>
      <c r="P75" s="292">
        <v>0</v>
      </c>
      <c r="Q75" s="292">
        <v>0</v>
      </c>
      <c r="R75" s="292">
        <v>0</v>
      </c>
      <c r="S75" s="292">
        <v>0</v>
      </c>
      <c r="T75" s="292">
        <v>0</v>
      </c>
      <c r="U75" s="292">
        <v>0</v>
      </c>
      <c r="V75" s="292">
        <v>0</v>
      </c>
      <c r="W75" s="292">
        <v>0</v>
      </c>
      <c r="X75" s="292">
        <v>0</v>
      </c>
      <c r="Y75" s="292">
        <v>0</v>
      </c>
      <c r="Z75" s="292">
        <v>0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291"/>
      <c r="E76" s="278"/>
      <c r="F76" s="263"/>
      <c r="G76" s="292">
        <v>0</v>
      </c>
      <c r="H76" s="292">
        <v>0</v>
      </c>
      <c r="I76" s="292">
        <v>0</v>
      </c>
      <c r="J76" s="292">
        <v>0</v>
      </c>
      <c r="K76" s="292">
        <v>0</v>
      </c>
      <c r="L76" s="292">
        <v>0</v>
      </c>
      <c r="M76" s="292">
        <v>0</v>
      </c>
      <c r="N76" s="292">
        <v>0</v>
      </c>
      <c r="O76" s="292">
        <v>0</v>
      </c>
      <c r="P76" s="292">
        <v>0</v>
      </c>
      <c r="Q76" s="292">
        <v>0</v>
      </c>
      <c r="R76" s="292">
        <v>0</v>
      </c>
      <c r="S76" s="292">
        <v>0</v>
      </c>
      <c r="T76" s="292">
        <v>0</v>
      </c>
      <c r="U76" s="292">
        <v>0</v>
      </c>
      <c r="V76" s="292">
        <v>0</v>
      </c>
      <c r="W76" s="292">
        <v>0</v>
      </c>
      <c r="X76" s="292">
        <v>0</v>
      </c>
      <c r="Y76" s="292">
        <v>0</v>
      </c>
      <c r="Z76" s="292">
        <v>0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291"/>
      <c r="E77" s="278"/>
      <c r="F77" s="263"/>
      <c r="G77" s="292">
        <v>0</v>
      </c>
      <c r="H77" s="292">
        <v>0</v>
      </c>
      <c r="I77" s="292">
        <v>0</v>
      </c>
      <c r="J77" s="292">
        <v>0</v>
      </c>
      <c r="K77" s="292">
        <v>0</v>
      </c>
      <c r="L77" s="292">
        <v>0</v>
      </c>
      <c r="M77" s="292">
        <v>0</v>
      </c>
      <c r="N77" s="292">
        <v>0</v>
      </c>
      <c r="O77" s="292">
        <v>0</v>
      </c>
      <c r="P77" s="292">
        <v>0</v>
      </c>
      <c r="Q77" s="292">
        <v>0</v>
      </c>
      <c r="R77" s="292">
        <v>0</v>
      </c>
      <c r="S77" s="292">
        <v>0</v>
      </c>
      <c r="T77" s="292">
        <v>0</v>
      </c>
      <c r="U77" s="292">
        <v>0</v>
      </c>
      <c r="V77" s="292">
        <v>0</v>
      </c>
      <c r="W77" s="292">
        <v>0</v>
      </c>
      <c r="X77" s="292">
        <v>0</v>
      </c>
      <c r="Y77" s="292">
        <v>0</v>
      </c>
      <c r="Z77" s="292">
        <v>0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291"/>
      <c r="E78" s="278"/>
      <c r="F78" s="263"/>
      <c r="G78" s="292">
        <v>0</v>
      </c>
      <c r="H78" s="292">
        <v>0</v>
      </c>
      <c r="I78" s="292">
        <v>0</v>
      </c>
      <c r="J78" s="292">
        <v>0</v>
      </c>
      <c r="K78" s="292">
        <v>0</v>
      </c>
      <c r="L78" s="292">
        <v>0</v>
      </c>
      <c r="M78" s="292">
        <v>0</v>
      </c>
      <c r="N78" s="292">
        <v>0</v>
      </c>
      <c r="O78" s="292">
        <v>0</v>
      </c>
      <c r="P78" s="292">
        <v>0</v>
      </c>
      <c r="Q78" s="292">
        <v>0</v>
      </c>
      <c r="R78" s="292">
        <v>0</v>
      </c>
      <c r="S78" s="292">
        <v>0</v>
      </c>
      <c r="T78" s="292">
        <v>0</v>
      </c>
      <c r="U78" s="292">
        <v>0</v>
      </c>
      <c r="V78" s="292">
        <v>0</v>
      </c>
      <c r="W78" s="292">
        <v>0</v>
      </c>
      <c r="X78" s="292">
        <v>0</v>
      </c>
      <c r="Y78" s="292">
        <v>0</v>
      </c>
      <c r="Z78" s="292">
        <v>0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291"/>
      <c r="E79" s="278"/>
      <c r="F79" s="263"/>
      <c r="G79" s="292">
        <v>0</v>
      </c>
      <c r="H79" s="292">
        <v>0</v>
      </c>
      <c r="I79" s="292">
        <v>0</v>
      </c>
      <c r="J79" s="292">
        <v>0</v>
      </c>
      <c r="K79" s="292">
        <v>0</v>
      </c>
      <c r="L79" s="292">
        <v>0</v>
      </c>
      <c r="M79" s="292">
        <v>0</v>
      </c>
      <c r="N79" s="292">
        <v>0</v>
      </c>
      <c r="O79" s="292">
        <v>0</v>
      </c>
      <c r="P79" s="292">
        <v>0</v>
      </c>
      <c r="Q79" s="292">
        <v>0</v>
      </c>
      <c r="R79" s="292">
        <v>0</v>
      </c>
      <c r="S79" s="292">
        <v>0</v>
      </c>
      <c r="T79" s="292">
        <v>0</v>
      </c>
      <c r="U79" s="292">
        <v>0</v>
      </c>
      <c r="V79" s="292">
        <v>0</v>
      </c>
      <c r="W79" s="292">
        <v>0</v>
      </c>
      <c r="X79" s="292">
        <v>0</v>
      </c>
      <c r="Y79" s="292">
        <v>0</v>
      </c>
      <c r="Z79" s="292">
        <v>0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291"/>
      <c r="E80" s="278"/>
      <c r="F80" s="263"/>
      <c r="G80" s="292">
        <v>0</v>
      </c>
      <c r="H80" s="292">
        <v>0</v>
      </c>
      <c r="I80" s="292">
        <v>0</v>
      </c>
      <c r="J80" s="292">
        <v>0</v>
      </c>
      <c r="K80" s="292">
        <v>0</v>
      </c>
      <c r="L80" s="292">
        <v>0</v>
      </c>
      <c r="M80" s="292">
        <v>0</v>
      </c>
      <c r="N80" s="292">
        <v>0</v>
      </c>
      <c r="O80" s="292">
        <v>0</v>
      </c>
      <c r="P80" s="292">
        <v>0</v>
      </c>
      <c r="Q80" s="292">
        <v>0</v>
      </c>
      <c r="R80" s="292">
        <v>0</v>
      </c>
      <c r="S80" s="292">
        <v>0</v>
      </c>
      <c r="T80" s="292">
        <v>0</v>
      </c>
      <c r="U80" s="292">
        <v>0</v>
      </c>
      <c r="V80" s="292">
        <v>0</v>
      </c>
      <c r="W80" s="292">
        <v>0</v>
      </c>
      <c r="X80" s="292">
        <v>0</v>
      </c>
      <c r="Y80" s="292">
        <v>0</v>
      </c>
      <c r="Z80" s="292">
        <v>0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291"/>
      <c r="E81" s="278"/>
      <c r="F81" s="263"/>
      <c r="G81" s="292">
        <v>0</v>
      </c>
      <c r="H81" s="292">
        <v>0</v>
      </c>
      <c r="I81" s="292">
        <v>0</v>
      </c>
      <c r="J81" s="292">
        <v>0</v>
      </c>
      <c r="K81" s="292">
        <v>0</v>
      </c>
      <c r="L81" s="292">
        <v>0</v>
      </c>
      <c r="M81" s="292">
        <v>0</v>
      </c>
      <c r="N81" s="292">
        <v>0</v>
      </c>
      <c r="O81" s="292">
        <v>0</v>
      </c>
      <c r="P81" s="292">
        <v>0</v>
      </c>
      <c r="Q81" s="292">
        <v>0</v>
      </c>
      <c r="R81" s="292">
        <v>0</v>
      </c>
      <c r="S81" s="292">
        <v>0</v>
      </c>
      <c r="T81" s="292">
        <v>0</v>
      </c>
      <c r="U81" s="292">
        <v>0</v>
      </c>
      <c r="V81" s="292">
        <v>0</v>
      </c>
      <c r="W81" s="292">
        <v>0</v>
      </c>
      <c r="X81" s="292">
        <v>0</v>
      </c>
      <c r="Y81" s="292">
        <v>0</v>
      </c>
      <c r="Z81" s="292">
        <v>0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291"/>
      <c r="E82" s="278"/>
      <c r="F82" s="263"/>
      <c r="G82" s="292">
        <v>0</v>
      </c>
      <c r="H82" s="292">
        <v>0</v>
      </c>
      <c r="I82" s="292">
        <v>0</v>
      </c>
      <c r="J82" s="292">
        <v>0</v>
      </c>
      <c r="K82" s="292">
        <v>0</v>
      </c>
      <c r="L82" s="292">
        <v>0</v>
      </c>
      <c r="M82" s="292">
        <v>0</v>
      </c>
      <c r="N82" s="292">
        <v>0</v>
      </c>
      <c r="O82" s="292">
        <v>0</v>
      </c>
      <c r="P82" s="292">
        <v>0</v>
      </c>
      <c r="Q82" s="292">
        <v>0</v>
      </c>
      <c r="R82" s="292">
        <v>0</v>
      </c>
      <c r="S82" s="292">
        <v>0</v>
      </c>
      <c r="T82" s="292">
        <v>0</v>
      </c>
      <c r="U82" s="292">
        <v>0</v>
      </c>
      <c r="V82" s="292">
        <v>0</v>
      </c>
      <c r="W82" s="292">
        <v>0</v>
      </c>
      <c r="X82" s="292">
        <v>0</v>
      </c>
      <c r="Y82" s="292">
        <v>0</v>
      </c>
      <c r="Z82" s="292">
        <v>0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291"/>
      <c r="E83" s="278"/>
      <c r="F83" s="263"/>
      <c r="G83" s="292">
        <v>0</v>
      </c>
      <c r="H83" s="292">
        <v>0</v>
      </c>
      <c r="I83" s="292">
        <v>0</v>
      </c>
      <c r="J83" s="292">
        <v>0</v>
      </c>
      <c r="K83" s="292">
        <v>0</v>
      </c>
      <c r="L83" s="292">
        <v>0</v>
      </c>
      <c r="M83" s="292">
        <v>0</v>
      </c>
      <c r="N83" s="292">
        <v>0</v>
      </c>
      <c r="O83" s="292">
        <v>0</v>
      </c>
      <c r="P83" s="292">
        <v>0</v>
      </c>
      <c r="Q83" s="292">
        <v>0</v>
      </c>
      <c r="R83" s="292">
        <v>0</v>
      </c>
      <c r="S83" s="292">
        <v>0</v>
      </c>
      <c r="T83" s="292">
        <v>0</v>
      </c>
      <c r="U83" s="292">
        <v>0</v>
      </c>
      <c r="V83" s="292">
        <v>0</v>
      </c>
      <c r="W83" s="292">
        <v>0</v>
      </c>
      <c r="X83" s="292">
        <v>0</v>
      </c>
      <c r="Y83" s="292">
        <v>0</v>
      </c>
      <c r="Z83" s="292">
        <v>0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291"/>
      <c r="E84" s="278"/>
      <c r="F84" s="263"/>
      <c r="G84" s="292">
        <v>0</v>
      </c>
      <c r="H84" s="292">
        <v>0</v>
      </c>
      <c r="I84" s="292">
        <v>0</v>
      </c>
      <c r="J84" s="292">
        <v>0</v>
      </c>
      <c r="K84" s="292">
        <v>0</v>
      </c>
      <c r="L84" s="292">
        <v>0</v>
      </c>
      <c r="M84" s="292">
        <v>0</v>
      </c>
      <c r="N84" s="292">
        <v>0</v>
      </c>
      <c r="O84" s="292">
        <v>0</v>
      </c>
      <c r="P84" s="292">
        <v>0</v>
      </c>
      <c r="Q84" s="292">
        <v>0</v>
      </c>
      <c r="R84" s="292">
        <v>0</v>
      </c>
      <c r="S84" s="292">
        <v>0</v>
      </c>
      <c r="T84" s="292">
        <v>0</v>
      </c>
      <c r="U84" s="292">
        <v>0</v>
      </c>
      <c r="V84" s="292">
        <v>0</v>
      </c>
      <c r="W84" s="292">
        <v>0</v>
      </c>
      <c r="X84" s="292">
        <v>0</v>
      </c>
      <c r="Y84" s="292">
        <v>0</v>
      </c>
      <c r="Z84" s="292">
        <v>0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291"/>
      <c r="E85" s="278"/>
      <c r="F85" s="263"/>
      <c r="G85" s="292">
        <v>0</v>
      </c>
      <c r="H85" s="292">
        <v>0</v>
      </c>
      <c r="I85" s="292">
        <v>0</v>
      </c>
      <c r="J85" s="292">
        <v>0</v>
      </c>
      <c r="K85" s="292">
        <v>0</v>
      </c>
      <c r="L85" s="292">
        <v>0</v>
      </c>
      <c r="M85" s="292">
        <v>0</v>
      </c>
      <c r="N85" s="292">
        <v>0</v>
      </c>
      <c r="O85" s="292">
        <v>0</v>
      </c>
      <c r="P85" s="292">
        <v>0</v>
      </c>
      <c r="Q85" s="292">
        <v>0</v>
      </c>
      <c r="R85" s="292">
        <v>0</v>
      </c>
      <c r="S85" s="292">
        <v>0</v>
      </c>
      <c r="T85" s="292">
        <v>0</v>
      </c>
      <c r="U85" s="292">
        <v>0</v>
      </c>
      <c r="V85" s="292">
        <v>0</v>
      </c>
      <c r="W85" s="292">
        <v>0</v>
      </c>
      <c r="X85" s="292">
        <v>0</v>
      </c>
      <c r="Y85" s="292">
        <v>0</v>
      </c>
      <c r="Z85" s="292">
        <v>0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291"/>
      <c r="E86" s="278"/>
      <c r="F86" s="263"/>
      <c r="G86" s="292">
        <v>0</v>
      </c>
      <c r="H86" s="292">
        <v>0</v>
      </c>
      <c r="I86" s="292">
        <v>0</v>
      </c>
      <c r="J86" s="292">
        <v>0</v>
      </c>
      <c r="K86" s="292">
        <v>0</v>
      </c>
      <c r="L86" s="292">
        <v>0</v>
      </c>
      <c r="M86" s="292">
        <v>0</v>
      </c>
      <c r="N86" s="292">
        <v>0</v>
      </c>
      <c r="O86" s="292">
        <v>0</v>
      </c>
      <c r="P86" s="292">
        <v>0</v>
      </c>
      <c r="Q86" s="292">
        <v>0</v>
      </c>
      <c r="R86" s="292">
        <v>0</v>
      </c>
      <c r="S86" s="292">
        <v>0</v>
      </c>
      <c r="T86" s="292">
        <v>0</v>
      </c>
      <c r="U86" s="292">
        <v>0</v>
      </c>
      <c r="V86" s="292">
        <v>0</v>
      </c>
      <c r="W86" s="292">
        <v>0</v>
      </c>
      <c r="X86" s="292">
        <v>0</v>
      </c>
      <c r="Y86" s="292">
        <v>0</v>
      </c>
      <c r="Z86" s="292">
        <v>0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291"/>
      <c r="E87" s="278"/>
      <c r="F87" s="263"/>
      <c r="G87" s="292">
        <v>0</v>
      </c>
      <c r="H87" s="292">
        <v>0</v>
      </c>
      <c r="I87" s="292">
        <v>0</v>
      </c>
      <c r="J87" s="292">
        <v>0</v>
      </c>
      <c r="K87" s="292">
        <v>0</v>
      </c>
      <c r="L87" s="292">
        <v>0</v>
      </c>
      <c r="M87" s="292">
        <v>0</v>
      </c>
      <c r="N87" s="292">
        <v>0</v>
      </c>
      <c r="O87" s="292">
        <v>0</v>
      </c>
      <c r="P87" s="292">
        <v>0</v>
      </c>
      <c r="Q87" s="292">
        <v>0</v>
      </c>
      <c r="R87" s="292">
        <v>0</v>
      </c>
      <c r="S87" s="292">
        <v>0</v>
      </c>
      <c r="T87" s="292">
        <v>0</v>
      </c>
      <c r="U87" s="292">
        <v>0</v>
      </c>
      <c r="V87" s="292">
        <v>0</v>
      </c>
      <c r="W87" s="292">
        <v>0</v>
      </c>
      <c r="X87" s="292">
        <v>0</v>
      </c>
      <c r="Y87" s="292">
        <v>0</v>
      </c>
      <c r="Z87" s="292">
        <v>0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291"/>
      <c r="E88" s="278"/>
      <c r="F88" s="263"/>
      <c r="G88" s="292">
        <v>0</v>
      </c>
      <c r="H88" s="292">
        <v>0</v>
      </c>
      <c r="I88" s="292">
        <v>0</v>
      </c>
      <c r="J88" s="292">
        <v>0</v>
      </c>
      <c r="K88" s="292">
        <v>0</v>
      </c>
      <c r="L88" s="292">
        <v>0</v>
      </c>
      <c r="M88" s="292">
        <v>0</v>
      </c>
      <c r="N88" s="292">
        <v>0</v>
      </c>
      <c r="O88" s="292">
        <v>0</v>
      </c>
      <c r="P88" s="292">
        <v>0</v>
      </c>
      <c r="Q88" s="292">
        <v>0</v>
      </c>
      <c r="R88" s="292">
        <v>0</v>
      </c>
      <c r="S88" s="292">
        <v>0</v>
      </c>
      <c r="T88" s="292">
        <v>0</v>
      </c>
      <c r="U88" s="292">
        <v>0</v>
      </c>
      <c r="V88" s="292">
        <v>0</v>
      </c>
      <c r="W88" s="292">
        <v>0</v>
      </c>
      <c r="X88" s="292">
        <v>0</v>
      </c>
      <c r="Y88" s="292">
        <v>0</v>
      </c>
      <c r="Z88" s="292">
        <v>0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291"/>
      <c r="E89" s="278"/>
      <c r="F89" s="263"/>
      <c r="G89" s="292">
        <v>0</v>
      </c>
      <c r="H89" s="292">
        <v>0</v>
      </c>
      <c r="I89" s="292">
        <v>0</v>
      </c>
      <c r="J89" s="292">
        <v>0</v>
      </c>
      <c r="K89" s="292">
        <v>0</v>
      </c>
      <c r="L89" s="292">
        <v>0</v>
      </c>
      <c r="M89" s="292">
        <v>0</v>
      </c>
      <c r="N89" s="292">
        <v>0</v>
      </c>
      <c r="O89" s="292">
        <v>0</v>
      </c>
      <c r="P89" s="292">
        <v>0</v>
      </c>
      <c r="Q89" s="292">
        <v>0</v>
      </c>
      <c r="R89" s="292">
        <v>0</v>
      </c>
      <c r="S89" s="292">
        <v>0</v>
      </c>
      <c r="T89" s="292">
        <v>0</v>
      </c>
      <c r="U89" s="292">
        <v>0</v>
      </c>
      <c r="V89" s="292">
        <v>0</v>
      </c>
      <c r="W89" s="292">
        <v>0</v>
      </c>
      <c r="X89" s="292">
        <v>0</v>
      </c>
      <c r="Y89" s="292">
        <v>0</v>
      </c>
      <c r="Z89" s="292">
        <v>0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291"/>
      <c r="E90" s="278"/>
      <c r="F90" s="263"/>
      <c r="G90" s="292">
        <v>0</v>
      </c>
      <c r="H90" s="292">
        <v>0</v>
      </c>
      <c r="I90" s="292">
        <v>0</v>
      </c>
      <c r="J90" s="292">
        <v>0</v>
      </c>
      <c r="K90" s="292">
        <v>0</v>
      </c>
      <c r="L90" s="292">
        <v>0</v>
      </c>
      <c r="M90" s="292">
        <v>0</v>
      </c>
      <c r="N90" s="292">
        <v>0</v>
      </c>
      <c r="O90" s="292">
        <v>0</v>
      </c>
      <c r="P90" s="292">
        <v>0</v>
      </c>
      <c r="Q90" s="292">
        <v>0</v>
      </c>
      <c r="R90" s="292">
        <v>0</v>
      </c>
      <c r="S90" s="292">
        <v>0</v>
      </c>
      <c r="T90" s="292">
        <v>0</v>
      </c>
      <c r="U90" s="292">
        <v>0</v>
      </c>
      <c r="V90" s="292">
        <v>0</v>
      </c>
      <c r="W90" s="292">
        <v>0</v>
      </c>
      <c r="X90" s="292">
        <v>0</v>
      </c>
      <c r="Y90" s="292">
        <v>0</v>
      </c>
      <c r="Z90" s="292">
        <v>0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291"/>
      <c r="E91" s="278"/>
      <c r="F91" s="263"/>
      <c r="G91" s="292">
        <v>0</v>
      </c>
      <c r="H91" s="292">
        <v>0</v>
      </c>
      <c r="I91" s="292">
        <v>0</v>
      </c>
      <c r="J91" s="292">
        <v>0</v>
      </c>
      <c r="K91" s="292">
        <v>0</v>
      </c>
      <c r="L91" s="292">
        <v>0</v>
      </c>
      <c r="M91" s="292">
        <v>0</v>
      </c>
      <c r="N91" s="292">
        <v>0</v>
      </c>
      <c r="O91" s="292">
        <v>0</v>
      </c>
      <c r="P91" s="292">
        <v>0</v>
      </c>
      <c r="Q91" s="292">
        <v>0</v>
      </c>
      <c r="R91" s="292">
        <v>0</v>
      </c>
      <c r="S91" s="292">
        <v>0</v>
      </c>
      <c r="T91" s="292">
        <v>0</v>
      </c>
      <c r="U91" s="292">
        <v>0</v>
      </c>
      <c r="V91" s="292">
        <v>0</v>
      </c>
      <c r="W91" s="292">
        <v>0</v>
      </c>
      <c r="X91" s="292">
        <v>0</v>
      </c>
      <c r="Y91" s="292">
        <v>0</v>
      </c>
      <c r="Z91" s="292">
        <v>0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291"/>
      <c r="E92" s="278"/>
      <c r="F92" s="263"/>
      <c r="G92" s="292">
        <v>0</v>
      </c>
      <c r="H92" s="292">
        <v>0</v>
      </c>
      <c r="I92" s="292">
        <v>0</v>
      </c>
      <c r="J92" s="292">
        <v>0</v>
      </c>
      <c r="K92" s="292">
        <v>0</v>
      </c>
      <c r="L92" s="292">
        <v>0</v>
      </c>
      <c r="M92" s="292">
        <v>0</v>
      </c>
      <c r="N92" s="292">
        <v>0</v>
      </c>
      <c r="O92" s="292">
        <v>0</v>
      </c>
      <c r="P92" s="292">
        <v>0</v>
      </c>
      <c r="Q92" s="292">
        <v>0</v>
      </c>
      <c r="R92" s="292">
        <v>0</v>
      </c>
      <c r="S92" s="292">
        <v>0</v>
      </c>
      <c r="T92" s="292">
        <v>0</v>
      </c>
      <c r="U92" s="292">
        <v>0</v>
      </c>
      <c r="V92" s="292">
        <v>0</v>
      </c>
      <c r="W92" s="292">
        <v>0</v>
      </c>
      <c r="X92" s="292">
        <v>0</v>
      </c>
      <c r="Y92" s="292">
        <v>0</v>
      </c>
      <c r="Z92" s="292">
        <v>0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291"/>
      <c r="E93" s="278"/>
      <c r="F93" s="263"/>
      <c r="G93" s="292">
        <v>0</v>
      </c>
      <c r="H93" s="292">
        <v>0</v>
      </c>
      <c r="I93" s="292">
        <v>0</v>
      </c>
      <c r="J93" s="292">
        <v>0</v>
      </c>
      <c r="K93" s="292">
        <v>0</v>
      </c>
      <c r="L93" s="292">
        <v>0</v>
      </c>
      <c r="M93" s="292">
        <v>0</v>
      </c>
      <c r="N93" s="292">
        <v>0</v>
      </c>
      <c r="O93" s="292">
        <v>0</v>
      </c>
      <c r="P93" s="292">
        <v>0</v>
      </c>
      <c r="Q93" s="292">
        <v>0</v>
      </c>
      <c r="R93" s="292">
        <v>0</v>
      </c>
      <c r="S93" s="292">
        <v>0</v>
      </c>
      <c r="T93" s="292">
        <v>0</v>
      </c>
      <c r="U93" s="292">
        <v>0</v>
      </c>
      <c r="V93" s="292">
        <v>0</v>
      </c>
      <c r="W93" s="292">
        <v>0</v>
      </c>
      <c r="X93" s="292">
        <v>0</v>
      </c>
      <c r="Y93" s="292">
        <v>0</v>
      </c>
      <c r="Z93" s="292">
        <v>0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291"/>
      <c r="E94" s="278"/>
      <c r="F94" s="263"/>
      <c r="G94" s="292">
        <v>0</v>
      </c>
      <c r="H94" s="292">
        <v>0</v>
      </c>
      <c r="I94" s="292">
        <v>0</v>
      </c>
      <c r="J94" s="292">
        <v>0</v>
      </c>
      <c r="K94" s="292">
        <v>0</v>
      </c>
      <c r="L94" s="292">
        <v>0</v>
      </c>
      <c r="M94" s="292">
        <v>0</v>
      </c>
      <c r="N94" s="292">
        <v>0</v>
      </c>
      <c r="O94" s="292">
        <v>0</v>
      </c>
      <c r="P94" s="292">
        <v>0</v>
      </c>
      <c r="Q94" s="292">
        <v>0</v>
      </c>
      <c r="R94" s="292">
        <v>0</v>
      </c>
      <c r="S94" s="292">
        <v>0</v>
      </c>
      <c r="T94" s="292">
        <v>0</v>
      </c>
      <c r="U94" s="292">
        <v>0</v>
      </c>
      <c r="V94" s="292">
        <v>0</v>
      </c>
      <c r="W94" s="292">
        <v>0</v>
      </c>
      <c r="X94" s="292">
        <v>0</v>
      </c>
      <c r="Y94" s="292">
        <v>0</v>
      </c>
      <c r="Z94" s="292">
        <v>0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291"/>
      <c r="E95" s="278"/>
      <c r="F95" s="263"/>
      <c r="G95" s="292">
        <v>0</v>
      </c>
      <c r="H95" s="292">
        <v>0</v>
      </c>
      <c r="I95" s="292">
        <v>0</v>
      </c>
      <c r="J95" s="292">
        <v>0</v>
      </c>
      <c r="K95" s="292">
        <v>0</v>
      </c>
      <c r="L95" s="292">
        <v>0</v>
      </c>
      <c r="M95" s="292">
        <v>0</v>
      </c>
      <c r="N95" s="292">
        <v>0</v>
      </c>
      <c r="O95" s="292">
        <v>0</v>
      </c>
      <c r="P95" s="292">
        <v>0</v>
      </c>
      <c r="Q95" s="292">
        <v>0</v>
      </c>
      <c r="R95" s="292">
        <v>0</v>
      </c>
      <c r="S95" s="292">
        <v>0</v>
      </c>
      <c r="T95" s="292">
        <v>0</v>
      </c>
      <c r="U95" s="292">
        <v>0</v>
      </c>
      <c r="V95" s="292">
        <v>0</v>
      </c>
      <c r="W95" s="292">
        <v>0</v>
      </c>
      <c r="X95" s="292">
        <v>0</v>
      </c>
      <c r="Y95" s="292">
        <v>0</v>
      </c>
      <c r="Z95" s="292">
        <v>0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291"/>
      <c r="E96" s="278"/>
      <c r="F96" s="263"/>
      <c r="G96" s="292">
        <v>0</v>
      </c>
      <c r="H96" s="292">
        <v>0</v>
      </c>
      <c r="I96" s="292">
        <v>0</v>
      </c>
      <c r="J96" s="292">
        <v>0</v>
      </c>
      <c r="K96" s="292">
        <v>0</v>
      </c>
      <c r="L96" s="292">
        <v>0</v>
      </c>
      <c r="M96" s="292">
        <v>0</v>
      </c>
      <c r="N96" s="292">
        <v>0</v>
      </c>
      <c r="O96" s="292">
        <v>0</v>
      </c>
      <c r="P96" s="292">
        <v>0</v>
      </c>
      <c r="Q96" s="292">
        <v>0</v>
      </c>
      <c r="R96" s="292">
        <v>0</v>
      </c>
      <c r="S96" s="292">
        <v>0</v>
      </c>
      <c r="T96" s="292">
        <v>0</v>
      </c>
      <c r="U96" s="292">
        <v>0</v>
      </c>
      <c r="V96" s="292">
        <v>0</v>
      </c>
      <c r="W96" s="292">
        <v>0</v>
      </c>
      <c r="X96" s="292">
        <v>0</v>
      </c>
      <c r="Y96" s="292">
        <v>0</v>
      </c>
      <c r="Z96" s="292">
        <v>0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291"/>
      <c r="E97" s="278"/>
      <c r="F97" s="263"/>
      <c r="G97" s="292">
        <v>0</v>
      </c>
      <c r="H97" s="292">
        <v>0</v>
      </c>
      <c r="I97" s="292">
        <v>0</v>
      </c>
      <c r="J97" s="292">
        <v>0</v>
      </c>
      <c r="K97" s="292">
        <v>0</v>
      </c>
      <c r="L97" s="292">
        <v>0</v>
      </c>
      <c r="M97" s="292">
        <v>0</v>
      </c>
      <c r="N97" s="292">
        <v>0</v>
      </c>
      <c r="O97" s="292">
        <v>0</v>
      </c>
      <c r="P97" s="292">
        <v>0</v>
      </c>
      <c r="Q97" s="292">
        <v>0</v>
      </c>
      <c r="R97" s="292">
        <v>0</v>
      </c>
      <c r="S97" s="292">
        <v>0</v>
      </c>
      <c r="T97" s="292">
        <v>0</v>
      </c>
      <c r="U97" s="292">
        <v>0</v>
      </c>
      <c r="V97" s="292">
        <v>0</v>
      </c>
      <c r="W97" s="292">
        <v>0</v>
      </c>
      <c r="X97" s="292">
        <v>0</v>
      </c>
      <c r="Y97" s="292">
        <v>0</v>
      </c>
      <c r="Z97" s="292">
        <v>0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291"/>
      <c r="E98" s="278"/>
      <c r="F98" s="263"/>
      <c r="G98" s="292">
        <v>0</v>
      </c>
      <c r="H98" s="292">
        <v>0</v>
      </c>
      <c r="I98" s="292">
        <v>0</v>
      </c>
      <c r="J98" s="292">
        <v>0</v>
      </c>
      <c r="K98" s="292">
        <v>0</v>
      </c>
      <c r="L98" s="292">
        <v>0</v>
      </c>
      <c r="M98" s="292">
        <v>0</v>
      </c>
      <c r="N98" s="292">
        <v>0</v>
      </c>
      <c r="O98" s="292">
        <v>0</v>
      </c>
      <c r="P98" s="292">
        <v>0</v>
      </c>
      <c r="Q98" s="292">
        <v>0</v>
      </c>
      <c r="R98" s="292">
        <v>0</v>
      </c>
      <c r="S98" s="292">
        <v>0</v>
      </c>
      <c r="T98" s="292">
        <v>0</v>
      </c>
      <c r="U98" s="292">
        <v>0</v>
      </c>
      <c r="V98" s="292">
        <v>0</v>
      </c>
      <c r="W98" s="292">
        <v>0</v>
      </c>
      <c r="X98" s="292">
        <v>0</v>
      </c>
      <c r="Y98" s="292">
        <v>0</v>
      </c>
      <c r="Z98" s="292">
        <v>0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291"/>
      <c r="E99" s="278"/>
      <c r="F99" s="263"/>
      <c r="G99" s="292">
        <v>0</v>
      </c>
      <c r="H99" s="292">
        <v>0</v>
      </c>
      <c r="I99" s="292">
        <v>0</v>
      </c>
      <c r="J99" s="292">
        <v>0</v>
      </c>
      <c r="K99" s="292">
        <v>0</v>
      </c>
      <c r="L99" s="292">
        <v>0</v>
      </c>
      <c r="M99" s="292">
        <v>0</v>
      </c>
      <c r="N99" s="292">
        <v>0</v>
      </c>
      <c r="O99" s="292">
        <v>0</v>
      </c>
      <c r="P99" s="292">
        <v>0</v>
      </c>
      <c r="Q99" s="292">
        <v>0</v>
      </c>
      <c r="R99" s="292">
        <v>0</v>
      </c>
      <c r="S99" s="292">
        <v>0</v>
      </c>
      <c r="T99" s="292">
        <v>0</v>
      </c>
      <c r="U99" s="292">
        <v>0</v>
      </c>
      <c r="V99" s="292">
        <v>0</v>
      </c>
      <c r="W99" s="292">
        <v>0</v>
      </c>
      <c r="X99" s="292">
        <v>0</v>
      </c>
      <c r="Y99" s="292">
        <v>0</v>
      </c>
      <c r="Z99" s="292">
        <v>0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291"/>
      <c r="E100" s="278"/>
      <c r="F100" s="263"/>
      <c r="G100" s="292">
        <v>0</v>
      </c>
      <c r="H100" s="292">
        <v>0</v>
      </c>
      <c r="I100" s="292">
        <v>0</v>
      </c>
      <c r="J100" s="292">
        <v>0</v>
      </c>
      <c r="K100" s="292">
        <v>0</v>
      </c>
      <c r="L100" s="292">
        <v>0</v>
      </c>
      <c r="M100" s="292">
        <v>0</v>
      </c>
      <c r="N100" s="292">
        <v>0</v>
      </c>
      <c r="O100" s="292">
        <v>0</v>
      </c>
      <c r="P100" s="292">
        <v>0</v>
      </c>
      <c r="Q100" s="292">
        <v>0</v>
      </c>
      <c r="R100" s="292">
        <v>0</v>
      </c>
      <c r="S100" s="292">
        <v>0</v>
      </c>
      <c r="T100" s="292">
        <v>0</v>
      </c>
      <c r="U100" s="292">
        <v>0</v>
      </c>
      <c r="V100" s="292">
        <v>0</v>
      </c>
      <c r="W100" s="292">
        <v>0</v>
      </c>
      <c r="X100" s="292">
        <v>0</v>
      </c>
      <c r="Y100" s="292">
        <v>0</v>
      </c>
      <c r="Z100" s="292">
        <v>0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291"/>
      <c r="E101" s="278"/>
      <c r="F101" s="263"/>
      <c r="G101" s="292">
        <v>0</v>
      </c>
      <c r="H101" s="292">
        <v>0</v>
      </c>
      <c r="I101" s="292">
        <v>0</v>
      </c>
      <c r="J101" s="292">
        <v>0</v>
      </c>
      <c r="K101" s="292">
        <v>0</v>
      </c>
      <c r="L101" s="292">
        <v>0</v>
      </c>
      <c r="M101" s="292">
        <v>0</v>
      </c>
      <c r="N101" s="292">
        <v>0</v>
      </c>
      <c r="O101" s="292">
        <v>0</v>
      </c>
      <c r="P101" s="292">
        <v>0</v>
      </c>
      <c r="Q101" s="292">
        <v>0</v>
      </c>
      <c r="R101" s="292">
        <v>0</v>
      </c>
      <c r="S101" s="292">
        <v>0</v>
      </c>
      <c r="T101" s="292">
        <v>0</v>
      </c>
      <c r="U101" s="292">
        <v>0</v>
      </c>
      <c r="V101" s="292">
        <v>0</v>
      </c>
      <c r="W101" s="292">
        <v>0</v>
      </c>
      <c r="X101" s="292">
        <v>0</v>
      </c>
      <c r="Y101" s="292">
        <v>0</v>
      </c>
      <c r="Z101" s="292">
        <v>0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291"/>
      <c r="E102" s="278"/>
      <c r="F102" s="263"/>
      <c r="G102" s="292">
        <v>0</v>
      </c>
      <c r="H102" s="292">
        <v>0</v>
      </c>
      <c r="I102" s="292">
        <v>0</v>
      </c>
      <c r="J102" s="292">
        <v>0</v>
      </c>
      <c r="K102" s="292">
        <v>0</v>
      </c>
      <c r="L102" s="292">
        <v>0</v>
      </c>
      <c r="M102" s="292">
        <v>0</v>
      </c>
      <c r="N102" s="292">
        <v>0</v>
      </c>
      <c r="O102" s="292">
        <v>0</v>
      </c>
      <c r="P102" s="292">
        <v>0</v>
      </c>
      <c r="Q102" s="292">
        <v>0</v>
      </c>
      <c r="R102" s="292">
        <v>0</v>
      </c>
      <c r="S102" s="292">
        <v>0</v>
      </c>
      <c r="T102" s="292">
        <v>0</v>
      </c>
      <c r="U102" s="292">
        <v>0</v>
      </c>
      <c r="V102" s="292">
        <v>0</v>
      </c>
      <c r="W102" s="292">
        <v>0</v>
      </c>
      <c r="X102" s="292">
        <v>0</v>
      </c>
      <c r="Y102" s="292">
        <v>0</v>
      </c>
      <c r="Z102" s="292">
        <v>0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291"/>
      <c r="E103" s="278"/>
      <c r="F103" s="263"/>
      <c r="G103" s="292">
        <v>0</v>
      </c>
      <c r="H103" s="292">
        <v>0</v>
      </c>
      <c r="I103" s="292">
        <v>0</v>
      </c>
      <c r="J103" s="292">
        <v>0</v>
      </c>
      <c r="K103" s="292">
        <v>0</v>
      </c>
      <c r="L103" s="292">
        <v>0</v>
      </c>
      <c r="M103" s="292">
        <v>0</v>
      </c>
      <c r="N103" s="292">
        <v>0</v>
      </c>
      <c r="O103" s="292">
        <v>0</v>
      </c>
      <c r="P103" s="292">
        <v>0</v>
      </c>
      <c r="Q103" s="292">
        <v>0</v>
      </c>
      <c r="R103" s="292">
        <v>0</v>
      </c>
      <c r="S103" s="292">
        <v>0</v>
      </c>
      <c r="T103" s="292">
        <v>0</v>
      </c>
      <c r="U103" s="292">
        <v>0</v>
      </c>
      <c r="V103" s="292">
        <v>0</v>
      </c>
      <c r="W103" s="292">
        <v>0</v>
      </c>
      <c r="X103" s="292">
        <v>0</v>
      </c>
      <c r="Y103" s="292">
        <v>0</v>
      </c>
      <c r="Z103" s="292">
        <v>0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291"/>
      <c r="E104" s="278"/>
      <c r="F104" s="263"/>
      <c r="G104" s="292">
        <v>0</v>
      </c>
      <c r="H104" s="292">
        <v>0</v>
      </c>
      <c r="I104" s="292">
        <v>0</v>
      </c>
      <c r="J104" s="292">
        <v>0</v>
      </c>
      <c r="K104" s="292">
        <v>0</v>
      </c>
      <c r="L104" s="292">
        <v>0</v>
      </c>
      <c r="M104" s="292">
        <v>0</v>
      </c>
      <c r="N104" s="292">
        <v>0</v>
      </c>
      <c r="O104" s="292">
        <v>0</v>
      </c>
      <c r="P104" s="292">
        <v>0</v>
      </c>
      <c r="Q104" s="292">
        <v>0</v>
      </c>
      <c r="R104" s="292">
        <v>0</v>
      </c>
      <c r="S104" s="292">
        <v>0</v>
      </c>
      <c r="T104" s="292">
        <v>0</v>
      </c>
      <c r="U104" s="292">
        <v>0</v>
      </c>
      <c r="V104" s="292">
        <v>0</v>
      </c>
      <c r="W104" s="292">
        <v>0</v>
      </c>
      <c r="X104" s="292">
        <v>0</v>
      </c>
      <c r="Y104" s="292">
        <v>0</v>
      </c>
      <c r="Z104" s="292">
        <v>0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291"/>
      <c r="E105" s="278"/>
      <c r="F105" s="263"/>
      <c r="G105" s="292">
        <v>0</v>
      </c>
      <c r="H105" s="292">
        <v>0</v>
      </c>
      <c r="I105" s="292">
        <v>0</v>
      </c>
      <c r="J105" s="292">
        <v>0</v>
      </c>
      <c r="K105" s="292">
        <v>0</v>
      </c>
      <c r="L105" s="292">
        <v>0</v>
      </c>
      <c r="M105" s="292">
        <v>0</v>
      </c>
      <c r="N105" s="292">
        <v>0</v>
      </c>
      <c r="O105" s="292">
        <v>0</v>
      </c>
      <c r="P105" s="292">
        <v>0</v>
      </c>
      <c r="Q105" s="292">
        <v>0</v>
      </c>
      <c r="R105" s="292">
        <v>0</v>
      </c>
      <c r="S105" s="292">
        <v>0</v>
      </c>
      <c r="T105" s="292">
        <v>0</v>
      </c>
      <c r="U105" s="292">
        <v>0</v>
      </c>
      <c r="V105" s="292">
        <v>0</v>
      </c>
      <c r="W105" s="292">
        <v>0</v>
      </c>
      <c r="X105" s="292">
        <v>0</v>
      </c>
      <c r="Y105" s="292">
        <v>0</v>
      </c>
      <c r="Z105" s="292">
        <v>0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291"/>
      <c r="E106" s="278"/>
      <c r="F106" s="263"/>
      <c r="G106" s="292">
        <v>0</v>
      </c>
      <c r="H106" s="292">
        <v>0</v>
      </c>
      <c r="I106" s="292">
        <v>0</v>
      </c>
      <c r="J106" s="292">
        <v>0</v>
      </c>
      <c r="K106" s="292">
        <v>0</v>
      </c>
      <c r="L106" s="292">
        <v>0</v>
      </c>
      <c r="M106" s="292">
        <v>0</v>
      </c>
      <c r="N106" s="292">
        <v>0</v>
      </c>
      <c r="O106" s="292">
        <v>0</v>
      </c>
      <c r="P106" s="292">
        <v>0</v>
      </c>
      <c r="Q106" s="292">
        <v>0</v>
      </c>
      <c r="R106" s="292">
        <v>0</v>
      </c>
      <c r="S106" s="292">
        <v>0</v>
      </c>
      <c r="T106" s="292">
        <v>0</v>
      </c>
      <c r="U106" s="292">
        <v>0</v>
      </c>
      <c r="V106" s="292">
        <v>0</v>
      </c>
      <c r="W106" s="292">
        <v>0</v>
      </c>
      <c r="X106" s="292">
        <v>0</v>
      </c>
      <c r="Y106" s="292">
        <v>0</v>
      </c>
      <c r="Z106" s="292">
        <v>0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291"/>
      <c r="E107" s="278"/>
      <c r="F107" s="263"/>
      <c r="G107" s="292">
        <v>0</v>
      </c>
      <c r="H107" s="292">
        <v>0</v>
      </c>
      <c r="I107" s="292">
        <v>0</v>
      </c>
      <c r="J107" s="292">
        <v>0</v>
      </c>
      <c r="K107" s="292">
        <v>0</v>
      </c>
      <c r="L107" s="292">
        <v>0</v>
      </c>
      <c r="M107" s="292">
        <v>0</v>
      </c>
      <c r="N107" s="292">
        <v>0</v>
      </c>
      <c r="O107" s="292">
        <v>0</v>
      </c>
      <c r="P107" s="292">
        <v>0</v>
      </c>
      <c r="Q107" s="292">
        <v>0</v>
      </c>
      <c r="R107" s="292">
        <v>0</v>
      </c>
      <c r="S107" s="292">
        <v>0</v>
      </c>
      <c r="T107" s="292">
        <v>0</v>
      </c>
      <c r="U107" s="292">
        <v>0</v>
      </c>
      <c r="V107" s="292">
        <v>0</v>
      </c>
      <c r="W107" s="292">
        <v>0</v>
      </c>
      <c r="X107" s="292">
        <v>0</v>
      </c>
      <c r="Y107" s="292">
        <v>0</v>
      </c>
      <c r="Z107" s="292">
        <v>0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291"/>
      <c r="E108" s="278"/>
      <c r="F108" s="263"/>
      <c r="G108" s="292">
        <v>0</v>
      </c>
      <c r="H108" s="292">
        <v>0</v>
      </c>
      <c r="I108" s="292">
        <v>0</v>
      </c>
      <c r="J108" s="292">
        <v>0</v>
      </c>
      <c r="K108" s="292">
        <v>0</v>
      </c>
      <c r="L108" s="292">
        <v>0</v>
      </c>
      <c r="M108" s="292">
        <v>0</v>
      </c>
      <c r="N108" s="292">
        <v>0</v>
      </c>
      <c r="O108" s="292">
        <v>0</v>
      </c>
      <c r="P108" s="292">
        <v>0</v>
      </c>
      <c r="Q108" s="292">
        <v>0</v>
      </c>
      <c r="R108" s="292">
        <v>0</v>
      </c>
      <c r="S108" s="292">
        <v>0</v>
      </c>
      <c r="T108" s="292">
        <v>0</v>
      </c>
      <c r="U108" s="292">
        <v>0</v>
      </c>
      <c r="V108" s="292">
        <v>0</v>
      </c>
      <c r="W108" s="292">
        <v>0</v>
      </c>
      <c r="X108" s="292">
        <v>0</v>
      </c>
      <c r="Y108" s="292">
        <v>0</v>
      </c>
      <c r="Z108" s="292">
        <v>0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291"/>
      <c r="E109" s="278"/>
      <c r="F109" s="263"/>
      <c r="G109" s="292">
        <v>0</v>
      </c>
      <c r="H109" s="292">
        <v>0</v>
      </c>
      <c r="I109" s="292">
        <v>0</v>
      </c>
      <c r="J109" s="292">
        <v>0</v>
      </c>
      <c r="K109" s="292">
        <v>0</v>
      </c>
      <c r="L109" s="292">
        <v>0</v>
      </c>
      <c r="M109" s="292">
        <v>0</v>
      </c>
      <c r="N109" s="292">
        <v>0</v>
      </c>
      <c r="O109" s="292">
        <v>0</v>
      </c>
      <c r="P109" s="292">
        <v>0</v>
      </c>
      <c r="Q109" s="292">
        <v>0</v>
      </c>
      <c r="R109" s="292">
        <v>0</v>
      </c>
      <c r="S109" s="292">
        <v>0</v>
      </c>
      <c r="T109" s="292">
        <v>0</v>
      </c>
      <c r="U109" s="292">
        <v>0</v>
      </c>
      <c r="V109" s="292">
        <v>0</v>
      </c>
      <c r="W109" s="292">
        <v>0</v>
      </c>
      <c r="X109" s="292">
        <v>0</v>
      </c>
      <c r="Y109" s="292">
        <v>0</v>
      </c>
      <c r="Z109" s="292">
        <v>0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291"/>
      <c r="E110" s="278"/>
      <c r="F110" s="263"/>
      <c r="G110" s="292">
        <v>0</v>
      </c>
      <c r="H110" s="292">
        <v>0</v>
      </c>
      <c r="I110" s="292">
        <v>0</v>
      </c>
      <c r="J110" s="292">
        <v>0</v>
      </c>
      <c r="K110" s="292">
        <v>0</v>
      </c>
      <c r="L110" s="292">
        <v>0</v>
      </c>
      <c r="M110" s="292">
        <v>0</v>
      </c>
      <c r="N110" s="292">
        <v>0</v>
      </c>
      <c r="O110" s="292">
        <v>0</v>
      </c>
      <c r="P110" s="292">
        <v>0</v>
      </c>
      <c r="Q110" s="292">
        <v>0</v>
      </c>
      <c r="R110" s="292">
        <v>0</v>
      </c>
      <c r="S110" s="292">
        <v>0</v>
      </c>
      <c r="T110" s="292">
        <v>0</v>
      </c>
      <c r="U110" s="292">
        <v>0</v>
      </c>
      <c r="V110" s="292">
        <v>0</v>
      </c>
      <c r="W110" s="292">
        <v>0</v>
      </c>
      <c r="X110" s="292">
        <v>0</v>
      </c>
      <c r="Y110" s="292">
        <v>0</v>
      </c>
      <c r="Z110" s="292">
        <v>0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291"/>
      <c r="E111" s="278"/>
      <c r="F111" s="263"/>
      <c r="G111" s="292">
        <v>0</v>
      </c>
      <c r="H111" s="292">
        <v>0</v>
      </c>
      <c r="I111" s="292">
        <v>0</v>
      </c>
      <c r="J111" s="292">
        <v>0</v>
      </c>
      <c r="K111" s="292">
        <v>0</v>
      </c>
      <c r="L111" s="292">
        <v>0</v>
      </c>
      <c r="M111" s="292">
        <v>0</v>
      </c>
      <c r="N111" s="292">
        <v>0</v>
      </c>
      <c r="O111" s="292">
        <v>0</v>
      </c>
      <c r="P111" s="292">
        <v>0</v>
      </c>
      <c r="Q111" s="292">
        <v>0</v>
      </c>
      <c r="R111" s="292">
        <v>0</v>
      </c>
      <c r="S111" s="292">
        <v>0</v>
      </c>
      <c r="T111" s="292">
        <v>0</v>
      </c>
      <c r="U111" s="292">
        <v>0</v>
      </c>
      <c r="V111" s="292">
        <v>0</v>
      </c>
      <c r="W111" s="292">
        <v>0</v>
      </c>
      <c r="X111" s="292">
        <v>0</v>
      </c>
      <c r="Y111" s="292">
        <v>0</v>
      </c>
      <c r="Z111" s="292">
        <v>0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291"/>
      <c r="E112" s="278"/>
      <c r="F112" s="263"/>
      <c r="G112" s="292">
        <v>0</v>
      </c>
      <c r="H112" s="292">
        <v>0</v>
      </c>
      <c r="I112" s="292">
        <v>0</v>
      </c>
      <c r="J112" s="292">
        <v>0</v>
      </c>
      <c r="K112" s="292">
        <v>0</v>
      </c>
      <c r="L112" s="292">
        <v>0</v>
      </c>
      <c r="M112" s="292">
        <v>0</v>
      </c>
      <c r="N112" s="292">
        <v>0</v>
      </c>
      <c r="O112" s="292">
        <v>0</v>
      </c>
      <c r="P112" s="292">
        <v>0</v>
      </c>
      <c r="Q112" s="292">
        <v>0</v>
      </c>
      <c r="R112" s="292">
        <v>0</v>
      </c>
      <c r="S112" s="292">
        <v>0</v>
      </c>
      <c r="T112" s="292">
        <v>0</v>
      </c>
      <c r="U112" s="292">
        <v>0</v>
      </c>
      <c r="V112" s="292">
        <v>0</v>
      </c>
      <c r="W112" s="292">
        <v>0</v>
      </c>
      <c r="X112" s="292">
        <v>0</v>
      </c>
      <c r="Y112" s="292">
        <v>0</v>
      </c>
      <c r="Z112" s="292">
        <v>0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291"/>
      <c r="E113" s="278"/>
      <c r="F113" s="263"/>
      <c r="G113" s="292">
        <v>0</v>
      </c>
      <c r="H113" s="292">
        <v>0</v>
      </c>
      <c r="I113" s="292">
        <v>0</v>
      </c>
      <c r="J113" s="292">
        <v>0</v>
      </c>
      <c r="K113" s="292">
        <v>0</v>
      </c>
      <c r="L113" s="292">
        <v>0</v>
      </c>
      <c r="M113" s="292">
        <v>0</v>
      </c>
      <c r="N113" s="292">
        <v>0</v>
      </c>
      <c r="O113" s="292">
        <v>0</v>
      </c>
      <c r="P113" s="292">
        <v>0</v>
      </c>
      <c r="Q113" s="292">
        <v>0</v>
      </c>
      <c r="R113" s="292">
        <v>0</v>
      </c>
      <c r="S113" s="292">
        <v>0</v>
      </c>
      <c r="T113" s="292">
        <v>0</v>
      </c>
      <c r="U113" s="292">
        <v>0</v>
      </c>
      <c r="V113" s="292">
        <v>0</v>
      </c>
      <c r="W113" s="292">
        <v>0</v>
      </c>
      <c r="X113" s="292">
        <v>0</v>
      </c>
      <c r="Y113" s="292">
        <v>0</v>
      </c>
      <c r="Z113" s="292">
        <v>0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291"/>
      <c r="E114" s="278"/>
      <c r="F114" s="263"/>
      <c r="G114" s="292">
        <v>0</v>
      </c>
      <c r="H114" s="292">
        <v>0</v>
      </c>
      <c r="I114" s="292">
        <v>0</v>
      </c>
      <c r="J114" s="292">
        <v>0</v>
      </c>
      <c r="K114" s="292">
        <v>0</v>
      </c>
      <c r="L114" s="292">
        <v>0</v>
      </c>
      <c r="M114" s="292">
        <v>0</v>
      </c>
      <c r="N114" s="292">
        <v>0</v>
      </c>
      <c r="O114" s="292">
        <v>0</v>
      </c>
      <c r="P114" s="292">
        <v>0</v>
      </c>
      <c r="Q114" s="292">
        <v>0</v>
      </c>
      <c r="R114" s="292">
        <v>0</v>
      </c>
      <c r="S114" s="292">
        <v>0</v>
      </c>
      <c r="T114" s="292">
        <v>0</v>
      </c>
      <c r="U114" s="292">
        <v>0</v>
      </c>
      <c r="V114" s="292">
        <v>0</v>
      </c>
      <c r="W114" s="292">
        <v>0</v>
      </c>
      <c r="X114" s="292">
        <v>0</v>
      </c>
      <c r="Y114" s="292">
        <v>0</v>
      </c>
      <c r="Z114" s="292">
        <v>0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291"/>
      <c r="E115" s="278"/>
      <c r="F115" s="263"/>
      <c r="G115" s="292">
        <v>0</v>
      </c>
      <c r="H115" s="292">
        <v>0</v>
      </c>
      <c r="I115" s="292">
        <v>0</v>
      </c>
      <c r="J115" s="292">
        <v>0</v>
      </c>
      <c r="K115" s="292">
        <v>0</v>
      </c>
      <c r="L115" s="292">
        <v>0</v>
      </c>
      <c r="M115" s="292">
        <v>0</v>
      </c>
      <c r="N115" s="292">
        <v>0</v>
      </c>
      <c r="O115" s="292">
        <v>0</v>
      </c>
      <c r="P115" s="292">
        <v>0</v>
      </c>
      <c r="Q115" s="292">
        <v>0</v>
      </c>
      <c r="R115" s="292">
        <v>0</v>
      </c>
      <c r="S115" s="292">
        <v>0</v>
      </c>
      <c r="T115" s="292">
        <v>0</v>
      </c>
      <c r="U115" s="292">
        <v>0</v>
      </c>
      <c r="V115" s="292">
        <v>0</v>
      </c>
      <c r="W115" s="292">
        <v>0</v>
      </c>
      <c r="X115" s="292">
        <v>0</v>
      </c>
      <c r="Y115" s="292">
        <v>0</v>
      </c>
      <c r="Z115" s="292">
        <v>0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291"/>
      <c r="E116" s="278"/>
      <c r="F116" s="263"/>
      <c r="G116" s="292">
        <v>0</v>
      </c>
      <c r="H116" s="292">
        <v>0</v>
      </c>
      <c r="I116" s="292">
        <v>0</v>
      </c>
      <c r="J116" s="292">
        <v>0</v>
      </c>
      <c r="K116" s="292">
        <v>0</v>
      </c>
      <c r="L116" s="292">
        <v>0</v>
      </c>
      <c r="M116" s="292">
        <v>0</v>
      </c>
      <c r="N116" s="292">
        <v>0</v>
      </c>
      <c r="O116" s="292">
        <v>0</v>
      </c>
      <c r="P116" s="292">
        <v>0</v>
      </c>
      <c r="Q116" s="292">
        <v>0</v>
      </c>
      <c r="R116" s="292">
        <v>0</v>
      </c>
      <c r="S116" s="292">
        <v>0</v>
      </c>
      <c r="T116" s="292">
        <v>0</v>
      </c>
      <c r="U116" s="292">
        <v>0</v>
      </c>
      <c r="V116" s="292">
        <v>0</v>
      </c>
      <c r="W116" s="292">
        <v>0</v>
      </c>
      <c r="X116" s="292">
        <v>0</v>
      </c>
      <c r="Y116" s="292">
        <v>0</v>
      </c>
      <c r="Z116" s="292">
        <v>0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291"/>
      <c r="E117" s="278"/>
      <c r="F117" s="263"/>
      <c r="G117" s="292">
        <v>0</v>
      </c>
      <c r="H117" s="292">
        <v>0</v>
      </c>
      <c r="I117" s="292">
        <v>0</v>
      </c>
      <c r="J117" s="292">
        <v>0</v>
      </c>
      <c r="K117" s="292">
        <v>0</v>
      </c>
      <c r="L117" s="292">
        <v>0</v>
      </c>
      <c r="M117" s="292">
        <v>0</v>
      </c>
      <c r="N117" s="292">
        <v>0</v>
      </c>
      <c r="O117" s="292">
        <v>0</v>
      </c>
      <c r="P117" s="292">
        <v>0</v>
      </c>
      <c r="Q117" s="292">
        <v>0</v>
      </c>
      <c r="R117" s="292">
        <v>0</v>
      </c>
      <c r="S117" s="292">
        <v>0</v>
      </c>
      <c r="T117" s="292">
        <v>0</v>
      </c>
      <c r="U117" s="292">
        <v>0</v>
      </c>
      <c r="V117" s="292">
        <v>0</v>
      </c>
      <c r="W117" s="292">
        <v>0</v>
      </c>
      <c r="X117" s="292">
        <v>0</v>
      </c>
      <c r="Y117" s="292">
        <v>0</v>
      </c>
      <c r="Z117" s="292">
        <v>0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291"/>
      <c r="E118" s="278"/>
      <c r="F118" s="263"/>
      <c r="G118" s="292">
        <v>0</v>
      </c>
      <c r="H118" s="292">
        <v>0</v>
      </c>
      <c r="I118" s="292">
        <v>0</v>
      </c>
      <c r="J118" s="292">
        <v>0</v>
      </c>
      <c r="K118" s="292">
        <v>0</v>
      </c>
      <c r="L118" s="292">
        <v>0</v>
      </c>
      <c r="M118" s="292">
        <v>0</v>
      </c>
      <c r="N118" s="292">
        <v>0</v>
      </c>
      <c r="O118" s="292">
        <v>0</v>
      </c>
      <c r="P118" s="292">
        <v>0</v>
      </c>
      <c r="Q118" s="292">
        <v>0</v>
      </c>
      <c r="R118" s="292">
        <v>0</v>
      </c>
      <c r="S118" s="292">
        <v>0</v>
      </c>
      <c r="T118" s="292">
        <v>0</v>
      </c>
      <c r="U118" s="292">
        <v>0</v>
      </c>
      <c r="V118" s="292">
        <v>0</v>
      </c>
      <c r="W118" s="292">
        <v>0</v>
      </c>
      <c r="X118" s="292">
        <v>0</v>
      </c>
      <c r="Y118" s="292">
        <v>0</v>
      </c>
      <c r="Z118" s="292">
        <v>0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291"/>
      <c r="E119" s="278"/>
      <c r="F119" s="263"/>
      <c r="G119" s="292">
        <v>0</v>
      </c>
      <c r="H119" s="292">
        <v>0</v>
      </c>
      <c r="I119" s="292">
        <v>0</v>
      </c>
      <c r="J119" s="292">
        <v>0</v>
      </c>
      <c r="K119" s="292">
        <v>0</v>
      </c>
      <c r="L119" s="292">
        <v>0</v>
      </c>
      <c r="M119" s="292">
        <v>0</v>
      </c>
      <c r="N119" s="292">
        <v>0</v>
      </c>
      <c r="O119" s="292">
        <v>0</v>
      </c>
      <c r="P119" s="292">
        <v>0</v>
      </c>
      <c r="Q119" s="292">
        <v>0</v>
      </c>
      <c r="R119" s="292">
        <v>0</v>
      </c>
      <c r="S119" s="292">
        <v>0</v>
      </c>
      <c r="T119" s="292">
        <v>0</v>
      </c>
      <c r="U119" s="292">
        <v>0</v>
      </c>
      <c r="V119" s="292">
        <v>0</v>
      </c>
      <c r="W119" s="292">
        <v>0</v>
      </c>
      <c r="X119" s="292">
        <v>0</v>
      </c>
      <c r="Y119" s="292">
        <v>0</v>
      </c>
      <c r="Z119" s="292">
        <v>0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291"/>
      <c r="E120" s="278"/>
      <c r="F120" s="263"/>
      <c r="G120" s="292">
        <v>0</v>
      </c>
      <c r="H120" s="292">
        <v>0</v>
      </c>
      <c r="I120" s="292">
        <v>0</v>
      </c>
      <c r="J120" s="292">
        <v>0</v>
      </c>
      <c r="K120" s="292">
        <v>0</v>
      </c>
      <c r="L120" s="292">
        <v>0</v>
      </c>
      <c r="M120" s="292">
        <v>0</v>
      </c>
      <c r="N120" s="292">
        <v>0</v>
      </c>
      <c r="O120" s="292">
        <v>0</v>
      </c>
      <c r="P120" s="292">
        <v>0</v>
      </c>
      <c r="Q120" s="292">
        <v>0</v>
      </c>
      <c r="R120" s="292">
        <v>0</v>
      </c>
      <c r="S120" s="292">
        <v>0</v>
      </c>
      <c r="T120" s="292">
        <v>0</v>
      </c>
      <c r="U120" s="292">
        <v>0</v>
      </c>
      <c r="V120" s="292">
        <v>0</v>
      </c>
      <c r="W120" s="292">
        <v>0</v>
      </c>
      <c r="X120" s="292">
        <v>0</v>
      </c>
      <c r="Y120" s="292">
        <v>0</v>
      </c>
      <c r="Z120" s="292">
        <v>0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291"/>
      <c r="E121" s="278"/>
      <c r="F121" s="263"/>
      <c r="G121" s="292">
        <v>0</v>
      </c>
      <c r="H121" s="292">
        <v>0</v>
      </c>
      <c r="I121" s="292">
        <v>0</v>
      </c>
      <c r="J121" s="292">
        <v>0</v>
      </c>
      <c r="K121" s="292">
        <v>0</v>
      </c>
      <c r="L121" s="292">
        <v>0</v>
      </c>
      <c r="M121" s="292">
        <v>0</v>
      </c>
      <c r="N121" s="292">
        <v>0</v>
      </c>
      <c r="O121" s="292">
        <v>0</v>
      </c>
      <c r="P121" s="292">
        <v>0</v>
      </c>
      <c r="Q121" s="292">
        <v>0</v>
      </c>
      <c r="R121" s="292">
        <v>0</v>
      </c>
      <c r="S121" s="292">
        <v>0</v>
      </c>
      <c r="T121" s="292">
        <v>0</v>
      </c>
      <c r="U121" s="292">
        <v>0</v>
      </c>
      <c r="V121" s="292">
        <v>0</v>
      </c>
      <c r="W121" s="292">
        <v>0</v>
      </c>
      <c r="X121" s="292">
        <v>0</v>
      </c>
      <c r="Y121" s="292">
        <v>0</v>
      </c>
      <c r="Z121" s="292">
        <v>0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291"/>
      <c r="E122" s="278"/>
      <c r="F122" s="263"/>
      <c r="G122" s="292">
        <v>0</v>
      </c>
      <c r="H122" s="292">
        <v>0</v>
      </c>
      <c r="I122" s="292">
        <v>0</v>
      </c>
      <c r="J122" s="292">
        <v>0</v>
      </c>
      <c r="K122" s="292">
        <v>0</v>
      </c>
      <c r="L122" s="292">
        <v>0</v>
      </c>
      <c r="M122" s="292">
        <v>0</v>
      </c>
      <c r="N122" s="292">
        <v>0</v>
      </c>
      <c r="O122" s="292">
        <v>0</v>
      </c>
      <c r="P122" s="292">
        <v>0</v>
      </c>
      <c r="Q122" s="292">
        <v>0</v>
      </c>
      <c r="R122" s="292">
        <v>0</v>
      </c>
      <c r="S122" s="292">
        <v>0</v>
      </c>
      <c r="T122" s="292">
        <v>0</v>
      </c>
      <c r="U122" s="292">
        <v>0</v>
      </c>
      <c r="V122" s="292">
        <v>0</v>
      </c>
      <c r="W122" s="292">
        <v>0</v>
      </c>
      <c r="X122" s="292">
        <v>0</v>
      </c>
      <c r="Y122" s="292">
        <v>0</v>
      </c>
      <c r="Z122" s="292">
        <v>0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291"/>
      <c r="E123" s="278"/>
      <c r="F123" s="263"/>
      <c r="G123" s="292">
        <v>0</v>
      </c>
      <c r="H123" s="292">
        <v>0</v>
      </c>
      <c r="I123" s="292">
        <v>0</v>
      </c>
      <c r="J123" s="292">
        <v>0</v>
      </c>
      <c r="K123" s="292">
        <v>0</v>
      </c>
      <c r="L123" s="292">
        <v>0</v>
      </c>
      <c r="M123" s="292">
        <v>0</v>
      </c>
      <c r="N123" s="292">
        <v>0</v>
      </c>
      <c r="O123" s="292">
        <v>0</v>
      </c>
      <c r="P123" s="292">
        <v>0</v>
      </c>
      <c r="Q123" s="292">
        <v>0</v>
      </c>
      <c r="R123" s="292">
        <v>0</v>
      </c>
      <c r="S123" s="292">
        <v>0</v>
      </c>
      <c r="T123" s="292">
        <v>0</v>
      </c>
      <c r="U123" s="292">
        <v>0</v>
      </c>
      <c r="V123" s="292">
        <v>0</v>
      </c>
      <c r="W123" s="292">
        <v>0</v>
      </c>
      <c r="X123" s="292">
        <v>0</v>
      </c>
      <c r="Y123" s="292">
        <v>0</v>
      </c>
      <c r="Z123" s="292">
        <v>0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291"/>
      <c r="E124" s="278"/>
      <c r="F124" s="263"/>
      <c r="G124" s="292">
        <v>0</v>
      </c>
      <c r="H124" s="292">
        <v>0</v>
      </c>
      <c r="I124" s="292">
        <v>0</v>
      </c>
      <c r="J124" s="292">
        <v>0</v>
      </c>
      <c r="K124" s="292">
        <v>0</v>
      </c>
      <c r="L124" s="292">
        <v>0</v>
      </c>
      <c r="M124" s="292">
        <v>0</v>
      </c>
      <c r="N124" s="292">
        <v>0</v>
      </c>
      <c r="O124" s="292">
        <v>0</v>
      </c>
      <c r="P124" s="292">
        <v>0</v>
      </c>
      <c r="Q124" s="292">
        <v>0</v>
      </c>
      <c r="R124" s="292">
        <v>0</v>
      </c>
      <c r="S124" s="292">
        <v>0</v>
      </c>
      <c r="T124" s="292">
        <v>0</v>
      </c>
      <c r="U124" s="292">
        <v>0</v>
      </c>
      <c r="V124" s="292">
        <v>0</v>
      </c>
      <c r="W124" s="292">
        <v>0</v>
      </c>
      <c r="X124" s="292">
        <v>0</v>
      </c>
      <c r="Y124" s="292">
        <v>0</v>
      </c>
      <c r="Z124" s="292">
        <v>0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291"/>
      <c r="E125" s="278"/>
      <c r="F125" s="263"/>
      <c r="G125" s="292">
        <v>0</v>
      </c>
      <c r="H125" s="292">
        <v>0</v>
      </c>
      <c r="I125" s="292">
        <v>0</v>
      </c>
      <c r="J125" s="292">
        <v>0</v>
      </c>
      <c r="K125" s="292">
        <v>0</v>
      </c>
      <c r="L125" s="292">
        <v>0</v>
      </c>
      <c r="M125" s="292">
        <v>0</v>
      </c>
      <c r="N125" s="292">
        <v>0</v>
      </c>
      <c r="O125" s="292">
        <v>0</v>
      </c>
      <c r="P125" s="292">
        <v>0</v>
      </c>
      <c r="Q125" s="292">
        <v>0</v>
      </c>
      <c r="R125" s="292">
        <v>0</v>
      </c>
      <c r="S125" s="292">
        <v>0</v>
      </c>
      <c r="T125" s="292">
        <v>0</v>
      </c>
      <c r="U125" s="292">
        <v>0</v>
      </c>
      <c r="V125" s="292">
        <v>0</v>
      </c>
      <c r="W125" s="292">
        <v>0</v>
      </c>
      <c r="X125" s="292">
        <v>0</v>
      </c>
      <c r="Y125" s="292">
        <v>0</v>
      </c>
      <c r="Z125" s="292">
        <v>0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291"/>
      <c r="E126" s="278"/>
      <c r="F126" s="263"/>
      <c r="G126" s="292">
        <v>0</v>
      </c>
      <c r="H126" s="292">
        <v>0</v>
      </c>
      <c r="I126" s="292">
        <v>0</v>
      </c>
      <c r="J126" s="292">
        <v>0</v>
      </c>
      <c r="K126" s="292">
        <v>0</v>
      </c>
      <c r="L126" s="292">
        <v>0</v>
      </c>
      <c r="M126" s="292">
        <v>0</v>
      </c>
      <c r="N126" s="292">
        <v>0</v>
      </c>
      <c r="O126" s="292">
        <v>0</v>
      </c>
      <c r="P126" s="292">
        <v>0</v>
      </c>
      <c r="Q126" s="292">
        <v>0</v>
      </c>
      <c r="R126" s="292">
        <v>0</v>
      </c>
      <c r="S126" s="292">
        <v>0</v>
      </c>
      <c r="T126" s="292">
        <v>0</v>
      </c>
      <c r="U126" s="292">
        <v>0</v>
      </c>
      <c r="V126" s="292">
        <v>0</v>
      </c>
      <c r="W126" s="292">
        <v>0</v>
      </c>
      <c r="X126" s="292">
        <v>0</v>
      </c>
      <c r="Y126" s="292">
        <v>0</v>
      </c>
      <c r="Z126" s="292">
        <v>0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291"/>
      <c r="E127" s="278"/>
      <c r="F127" s="263"/>
      <c r="G127" s="292">
        <v>0</v>
      </c>
      <c r="H127" s="292">
        <v>0</v>
      </c>
      <c r="I127" s="292">
        <v>0</v>
      </c>
      <c r="J127" s="292">
        <v>0</v>
      </c>
      <c r="K127" s="292">
        <v>0</v>
      </c>
      <c r="L127" s="292">
        <v>0</v>
      </c>
      <c r="M127" s="292">
        <v>0</v>
      </c>
      <c r="N127" s="292">
        <v>0</v>
      </c>
      <c r="O127" s="292">
        <v>0</v>
      </c>
      <c r="P127" s="292">
        <v>0</v>
      </c>
      <c r="Q127" s="292">
        <v>0</v>
      </c>
      <c r="R127" s="292">
        <v>0</v>
      </c>
      <c r="S127" s="292">
        <v>0</v>
      </c>
      <c r="T127" s="292">
        <v>0</v>
      </c>
      <c r="U127" s="292">
        <v>0</v>
      </c>
      <c r="V127" s="292">
        <v>0</v>
      </c>
      <c r="W127" s="292">
        <v>0</v>
      </c>
      <c r="X127" s="292">
        <v>0</v>
      </c>
      <c r="Y127" s="292">
        <v>0</v>
      </c>
      <c r="Z127" s="292">
        <v>0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291"/>
      <c r="E128" s="278"/>
      <c r="F128" s="263"/>
      <c r="G128" s="292">
        <v>0</v>
      </c>
      <c r="H128" s="292">
        <v>0</v>
      </c>
      <c r="I128" s="292">
        <v>0</v>
      </c>
      <c r="J128" s="292">
        <v>0</v>
      </c>
      <c r="K128" s="292">
        <v>0</v>
      </c>
      <c r="L128" s="292">
        <v>0</v>
      </c>
      <c r="M128" s="292">
        <v>0</v>
      </c>
      <c r="N128" s="292">
        <v>0</v>
      </c>
      <c r="O128" s="292">
        <v>0</v>
      </c>
      <c r="P128" s="292">
        <v>0</v>
      </c>
      <c r="Q128" s="292">
        <v>0</v>
      </c>
      <c r="R128" s="292">
        <v>0</v>
      </c>
      <c r="S128" s="292">
        <v>0</v>
      </c>
      <c r="T128" s="292">
        <v>0</v>
      </c>
      <c r="U128" s="292">
        <v>0</v>
      </c>
      <c r="V128" s="292">
        <v>0</v>
      </c>
      <c r="W128" s="292">
        <v>0</v>
      </c>
      <c r="X128" s="292">
        <v>0</v>
      </c>
      <c r="Y128" s="292">
        <v>0</v>
      </c>
      <c r="Z128" s="292">
        <v>0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291"/>
      <c r="E129" s="278"/>
      <c r="F129" s="263"/>
      <c r="G129" s="292">
        <v>0</v>
      </c>
      <c r="H129" s="292">
        <v>0</v>
      </c>
      <c r="I129" s="292">
        <v>0</v>
      </c>
      <c r="J129" s="292">
        <v>0</v>
      </c>
      <c r="K129" s="292">
        <v>0</v>
      </c>
      <c r="L129" s="292">
        <v>0</v>
      </c>
      <c r="M129" s="292">
        <v>0</v>
      </c>
      <c r="N129" s="292">
        <v>0</v>
      </c>
      <c r="O129" s="292">
        <v>0</v>
      </c>
      <c r="P129" s="292">
        <v>0</v>
      </c>
      <c r="Q129" s="292">
        <v>0</v>
      </c>
      <c r="R129" s="292">
        <v>0</v>
      </c>
      <c r="S129" s="292">
        <v>0</v>
      </c>
      <c r="T129" s="292">
        <v>0</v>
      </c>
      <c r="U129" s="292">
        <v>0</v>
      </c>
      <c r="V129" s="292">
        <v>0</v>
      </c>
      <c r="W129" s="292">
        <v>0</v>
      </c>
      <c r="X129" s="292">
        <v>0</v>
      </c>
      <c r="Y129" s="292">
        <v>0</v>
      </c>
      <c r="Z129" s="292">
        <v>0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291"/>
      <c r="E130" s="278"/>
      <c r="F130" s="263"/>
      <c r="G130" s="292">
        <v>0</v>
      </c>
      <c r="H130" s="292">
        <v>0</v>
      </c>
      <c r="I130" s="292">
        <v>0</v>
      </c>
      <c r="J130" s="292">
        <v>0</v>
      </c>
      <c r="K130" s="292">
        <v>0</v>
      </c>
      <c r="L130" s="292">
        <v>0</v>
      </c>
      <c r="M130" s="292">
        <v>0</v>
      </c>
      <c r="N130" s="292">
        <v>0</v>
      </c>
      <c r="O130" s="292">
        <v>0</v>
      </c>
      <c r="P130" s="292">
        <v>0</v>
      </c>
      <c r="Q130" s="292">
        <v>0</v>
      </c>
      <c r="R130" s="292">
        <v>0</v>
      </c>
      <c r="S130" s="292">
        <v>0</v>
      </c>
      <c r="T130" s="292">
        <v>0</v>
      </c>
      <c r="U130" s="292">
        <v>0</v>
      </c>
      <c r="V130" s="292">
        <v>0</v>
      </c>
      <c r="W130" s="292">
        <v>0</v>
      </c>
      <c r="X130" s="292">
        <v>0</v>
      </c>
      <c r="Y130" s="292">
        <v>0</v>
      </c>
      <c r="Z130" s="292">
        <v>0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291"/>
      <c r="E131" s="278"/>
      <c r="F131" s="263"/>
      <c r="G131" s="292">
        <v>0</v>
      </c>
      <c r="H131" s="292">
        <v>0</v>
      </c>
      <c r="I131" s="292">
        <v>0</v>
      </c>
      <c r="J131" s="292">
        <v>0</v>
      </c>
      <c r="K131" s="292">
        <v>0</v>
      </c>
      <c r="L131" s="292">
        <v>0</v>
      </c>
      <c r="M131" s="292">
        <v>0</v>
      </c>
      <c r="N131" s="292">
        <v>0</v>
      </c>
      <c r="O131" s="292">
        <v>0</v>
      </c>
      <c r="P131" s="292">
        <v>0</v>
      </c>
      <c r="Q131" s="292">
        <v>0</v>
      </c>
      <c r="R131" s="292">
        <v>0</v>
      </c>
      <c r="S131" s="292">
        <v>0</v>
      </c>
      <c r="T131" s="292">
        <v>0</v>
      </c>
      <c r="U131" s="292">
        <v>0</v>
      </c>
      <c r="V131" s="292">
        <v>0</v>
      </c>
      <c r="W131" s="292">
        <v>0</v>
      </c>
      <c r="X131" s="292">
        <v>0</v>
      </c>
      <c r="Y131" s="292">
        <v>0</v>
      </c>
      <c r="Z131" s="292">
        <v>0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291"/>
      <c r="E132" s="278"/>
      <c r="F132" s="263"/>
      <c r="G132" s="292">
        <v>0</v>
      </c>
      <c r="H132" s="292">
        <v>0</v>
      </c>
      <c r="I132" s="292">
        <v>0</v>
      </c>
      <c r="J132" s="292">
        <v>0</v>
      </c>
      <c r="K132" s="292">
        <v>0</v>
      </c>
      <c r="L132" s="292">
        <v>0</v>
      </c>
      <c r="M132" s="292">
        <v>0</v>
      </c>
      <c r="N132" s="292">
        <v>0</v>
      </c>
      <c r="O132" s="292">
        <v>0</v>
      </c>
      <c r="P132" s="292">
        <v>0</v>
      </c>
      <c r="Q132" s="292">
        <v>0</v>
      </c>
      <c r="R132" s="292">
        <v>0</v>
      </c>
      <c r="S132" s="292">
        <v>0</v>
      </c>
      <c r="T132" s="292">
        <v>0</v>
      </c>
      <c r="U132" s="292">
        <v>0</v>
      </c>
      <c r="V132" s="292">
        <v>0</v>
      </c>
      <c r="W132" s="292">
        <v>0</v>
      </c>
      <c r="X132" s="292">
        <v>0</v>
      </c>
      <c r="Y132" s="292">
        <v>0</v>
      </c>
      <c r="Z132" s="292">
        <v>0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291"/>
      <c r="E133" s="278"/>
      <c r="F133" s="263"/>
      <c r="G133" s="292">
        <v>0</v>
      </c>
      <c r="H133" s="292">
        <v>0</v>
      </c>
      <c r="I133" s="292">
        <v>0</v>
      </c>
      <c r="J133" s="292">
        <v>0</v>
      </c>
      <c r="K133" s="292">
        <v>0</v>
      </c>
      <c r="L133" s="292">
        <v>0</v>
      </c>
      <c r="M133" s="292">
        <v>0</v>
      </c>
      <c r="N133" s="292">
        <v>0</v>
      </c>
      <c r="O133" s="292">
        <v>0</v>
      </c>
      <c r="P133" s="292">
        <v>0</v>
      </c>
      <c r="Q133" s="292">
        <v>0</v>
      </c>
      <c r="R133" s="292">
        <v>0</v>
      </c>
      <c r="S133" s="292">
        <v>0</v>
      </c>
      <c r="T133" s="292">
        <v>0</v>
      </c>
      <c r="U133" s="292">
        <v>0</v>
      </c>
      <c r="V133" s="292">
        <v>0</v>
      </c>
      <c r="W133" s="292">
        <v>0</v>
      </c>
      <c r="X133" s="292">
        <v>0</v>
      </c>
      <c r="Y133" s="292">
        <v>0</v>
      </c>
      <c r="Z133" s="292">
        <v>0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291"/>
      <c r="E134" s="278"/>
      <c r="F134" s="263"/>
      <c r="G134" s="292">
        <v>0</v>
      </c>
      <c r="H134" s="292">
        <v>0</v>
      </c>
      <c r="I134" s="292">
        <v>0</v>
      </c>
      <c r="J134" s="292">
        <v>0</v>
      </c>
      <c r="K134" s="292">
        <v>0</v>
      </c>
      <c r="L134" s="292">
        <v>0</v>
      </c>
      <c r="M134" s="292">
        <v>0</v>
      </c>
      <c r="N134" s="292">
        <v>0</v>
      </c>
      <c r="O134" s="292">
        <v>0</v>
      </c>
      <c r="P134" s="292">
        <v>0</v>
      </c>
      <c r="Q134" s="292">
        <v>0</v>
      </c>
      <c r="R134" s="292">
        <v>0</v>
      </c>
      <c r="S134" s="292">
        <v>0</v>
      </c>
      <c r="T134" s="292">
        <v>0</v>
      </c>
      <c r="U134" s="292">
        <v>0</v>
      </c>
      <c r="V134" s="292">
        <v>0</v>
      </c>
      <c r="W134" s="292">
        <v>0</v>
      </c>
      <c r="X134" s="292">
        <v>0</v>
      </c>
      <c r="Y134" s="292">
        <v>0</v>
      </c>
      <c r="Z134" s="292">
        <v>0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291"/>
      <c r="E135" s="278"/>
      <c r="F135" s="263"/>
      <c r="G135" s="292">
        <v>0</v>
      </c>
      <c r="H135" s="292">
        <v>0</v>
      </c>
      <c r="I135" s="292">
        <v>0</v>
      </c>
      <c r="J135" s="292">
        <v>0</v>
      </c>
      <c r="K135" s="292">
        <v>0</v>
      </c>
      <c r="L135" s="292">
        <v>0</v>
      </c>
      <c r="M135" s="292">
        <v>0</v>
      </c>
      <c r="N135" s="292">
        <v>0</v>
      </c>
      <c r="O135" s="292">
        <v>0</v>
      </c>
      <c r="P135" s="292">
        <v>0</v>
      </c>
      <c r="Q135" s="292">
        <v>0</v>
      </c>
      <c r="R135" s="292">
        <v>0</v>
      </c>
      <c r="S135" s="292">
        <v>0</v>
      </c>
      <c r="T135" s="292">
        <v>0</v>
      </c>
      <c r="U135" s="292">
        <v>0</v>
      </c>
      <c r="V135" s="292">
        <v>0</v>
      </c>
      <c r="W135" s="292">
        <v>0</v>
      </c>
      <c r="X135" s="292">
        <v>0</v>
      </c>
      <c r="Y135" s="292">
        <v>0</v>
      </c>
      <c r="Z135" s="292">
        <v>0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291"/>
      <c r="E136" s="278"/>
      <c r="F136" s="263"/>
      <c r="G136" s="292">
        <v>0</v>
      </c>
      <c r="H136" s="292">
        <v>0</v>
      </c>
      <c r="I136" s="292">
        <v>0</v>
      </c>
      <c r="J136" s="292">
        <v>0</v>
      </c>
      <c r="K136" s="292">
        <v>0</v>
      </c>
      <c r="L136" s="292">
        <v>0</v>
      </c>
      <c r="M136" s="292">
        <v>0</v>
      </c>
      <c r="N136" s="292">
        <v>0</v>
      </c>
      <c r="O136" s="292">
        <v>0</v>
      </c>
      <c r="P136" s="292">
        <v>0</v>
      </c>
      <c r="Q136" s="292">
        <v>0</v>
      </c>
      <c r="R136" s="292">
        <v>0</v>
      </c>
      <c r="S136" s="292">
        <v>0</v>
      </c>
      <c r="T136" s="292">
        <v>0</v>
      </c>
      <c r="U136" s="292">
        <v>0</v>
      </c>
      <c r="V136" s="292">
        <v>0</v>
      </c>
      <c r="W136" s="292">
        <v>0</v>
      </c>
      <c r="X136" s="292">
        <v>0</v>
      </c>
      <c r="Y136" s="292">
        <v>0</v>
      </c>
      <c r="Z136" s="292">
        <v>0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291"/>
      <c r="E137" s="278"/>
      <c r="F137" s="263"/>
      <c r="G137" s="292">
        <v>0</v>
      </c>
      <c r="H137" s="292">
        <v>0</v>
      </c>
      <c r="I137" s="292">
        <v>0</v>
      </c>
      <c r="J137" s="292">
        <v>0</v>
      </c>
      <c r="K137" s="292">
        <v>0</v>
      </c>
      <c r="L137" s="292">
        <v>0</v>
      </c>
      <c r="M137" s="292">
        <v>0</v>
      </c>
      <c r="N137" s="292">
        <v>0</v>
      </c>
      <c r="O137" s="292">
        <v>0</v>
      </c>
      <c r="P137" s="292">
        <v>0</v>
      </c>
      <c r="Q137" s="292">
        <v>0</v>
      </c>
      <c r="R137" s="292">
        <v>0</v>
      </c>
      <c r="S137" s="292">
        <v>0</v>
      </c>
      <c r="T137" s="292">
        <v>0</v>
      </c>
      <c r="U137" s="292">
        <v>0</v>
      </c>
      <c r="V137" s="292">
        <v>0</v>
      </c>
      <c r="W137" s="292">
        <v>0</v>
      </c>
      <c r="X137" s="292">
        <v>0</v>
      </c>
      <c r="Y137" s="292">
        <v>0</v>
      </c>
      <c r="Z137" s="292">
        <v>0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291"/>
      <c r="E138" s="278"/>
      <c r="F138" s="263"/>
      <c r="G138" s="292">
        <v>0</v>
      </c>
      <c r="H138" s="292">
        <v>0</v>
      </c>
      <c r="I138" s="292">
        <v>0</v>
      </c>
      <c r="J138" s="292">
        <v>0</v>
      </c>
      <c r="K138" s="292">
        <v>0</v>
      </c>
      <c r="L138" s="292">
        <v>0</v>
      </c>
      <c r="M138" s="292">
        <v>0</v>
      </c>
      <c r="N138" s="292">
        <v>0</v>
      </c>
      <c r="O138" s="292">
        <v>0</v>
      </c>
      <c r="P138" s="292">
        <v>0</v>
      </c>
      <c r="Q138" s="292">
        <v>0</v>
      </c>
      <c r="R138" s="292">
        <v>0</v>
      </c>
      <c r="S138" s="292">
        <v>0</v>
      </c>
      <c r="T138" s="292">
        <v>0</v>
      </c>
      <c r="U138" s="292">
        <v>0</v>
      </c>
      <c r="V138" s="292">
        <v>0</v>
      </c>
      <c r="W138" s="292">
        <v>0</v>
      </c>
      <c r="X138" s="292">
        <v>0</v>
      </c>
      <c r="Y138" s="292">
        <v>0</v>
      </c>
      <c r="Z138" s="292">
        <v>0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291"/>
      <c r="E139" s="278"/>
      <c r="F139" s="263"/>
      <c r="G139" s="292">
        <v>0</v>
      </c>
      <c r="H139" s="292">
        <v>0</v>
      </c>
      <c r="I139" s="292">
        <v>0</v>
      </c>
      <c r="J139" s="292">
        <v>0</v>
      </c>
      <c r="K139" s="292">
        <v>0</v>
      </c>
      <c r="L139" s="292">
        <v>0</v>
      </c>
      <c r="M139" s="292">
        <v>0</v>
      </c>
      <c r="N139" s="292">
        <v>0</v>
      </c>
      <c r="O139" s="292">
        <v>0</v>
      </c>
      <c r="P139" s="292">
        <v>0</v>
      </c>
      <c r="Q139" s="292">
        <v>0</v>
      </c>
      <c r="R139" s="292">
        <v>0</v>
      </c>
      <c r="S139" s="292">
        <v>0</v>
      </c>
      <c r="T139" s="292">
        <v>0</v>
      </c>
      <c r="U139" s="292">
        <v>0</v>
      </c>
      <c r="V139" s="292">
        <v>0</v>
      </c>
      <c r="W139" s="292">
        <v>0</v>
      </c>
      <c r="X139" s="292">
        <v>0</v>
      </c>
      <c r="Y139" s="292">
        <v>0</v>
      </c>
      <c r="Z139" s="292">
        <v>0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291"/>
      <c r="E140" s="278"/>
      <c r="F140" s="263"/>
      <c r="G140" s="292">
        <v>0</v>
      </c>
      <c r="H140" s="292">
        <v>0</v>
      </c>
      <c r="I140" s="292">
        <v>0</v>
      </c>
      <c r="J140" s="292">
        <v>0</v>
      </c>
      <c r="K140" s="292">
        <v>0</v>
      </c>
      <c r="L140" s="292">
        <v>0</v>
      </c>
      <c r="M140" s="292">
        <v>0</v>
      </c>
      <c r="N140" s="292">
        <v>0</v>
      </c>
      <c r="O140" s="292">
        <v>0</v>
      </c>
      <c r="P140" s="292">
        <v>0</v>
      </c>
      <c r="Q140" s="292">
        <v>0</v>
      </c>
      <c r="R140" s="292">
        <v>0</v>
      </c>
      <c r="S140" s="292">
        <v>0</v>
      </c>
      <c r="T140" s="292">
        <v>0</v>
      </c>
      <c r="U140" s="292">
        <v>0</v>
      </c>
      <c r="V140" s="292">
        <v>0</v>
      </c>
      <c r="W140" s="292">
        <v>0</v>
      </c>
      <c r="X140" s="292">
        <v>0</v>
      </c>
      <c r="Y140" s="292">
        <v>0</v>
      </c>
      <c r="Z140" s="292">
        <v>0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291"/>
      <c r="E141" s="278"/>
      <c r="F141" s="263"/>
      <c r="G141" s="292">
        <v>0</v>
      </c>
      <c r="H141" s="292">
        <v>0</v>
      </c>
      <c r="I141" s="292">
        <v>0</v>
      </c>
      <c r="J141" s="292">
        <v>0</v>
      </c>
      <c r="K141" s="292">
        <v>0</v>
      </c>
      <c r="L141" s="292">
        <v>0</v>
      </c>
      <c r="M141" s="292">
        <v>0</v>
      </c>
      <c r="N141" s="292">
        <v>0</v>
      </c>
      <c r="O141" s="292">
        <v>0</v>
      </c>
      <c r="P141" s="292">
        <v>0</v>
      </c>
      <c r="Q141" s="292">
        <v>0</v>
      </c>
      <c r="R141" s="292">
        <v>0</v>
      </c>
      <c r="S141" s="292">
        <v>0</v>
      </c>
      <c r="T141" s="292">
        <v>0</v>
      </c>
      <c r="U141" s="292">
        <v>0</v>
      </c>
      <c r="V141" s="292">
        <v>0</v>
      </c>
      <c r="W141" s="292">
        <v>0</v>
      </c>
      <c r="X141" s="292">
        <v>0</v>
      </c>
      <c r="Y141" s="292">
        <v>0</v>
      </c>
      <c r="Z141" s="292">
        <v>0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291"/>
      <c r="E142" s="278"/>
      <c r="F142" s="263"/>
      <c r="G142" s="292">
        <v>0</v>
      </c>
      <c r="H142" s="292">
        <v>0</v>
      </c>
      <c r="I142" s="292">
        <v>0</v>
      </c>
      <c r="J142" s="292">
        <v>0</v>
      </c>
      <c r="K142" s="292">
        <v>0</v>
      </c>
      <c r="L142" s="292">
        <v>0</v>
      </c>
      <c r="M142" s="292">
        <v>0</v>
      </c>
      <c r="N142" s="292">
        <v>0</v>
      </c>
      <c r="O142" s="292">
        <v>0</v>
      </c>
      <c r="P142" s="292">
        <v>0</v>
      </c>
      <c r="Q142" s="292">
        <v>0</v>
      </c>
      <c r="R142" s="292">
        <v>0</v>
      </c>
      <c r="S142" s="292">
        <v>0</v>
      </c>
      <c r="T142" s="292">
        <v>0</v>
      </c>
      <c r="U142" s="292">
        <v>0</v>
      </c>
      <c r="V142" s="292">
        <v>0</v>
      </c>
      <c r="W142" s="292">
        <v>0</v>
      </c>
      <c r="X142" s="292">
        <v>0</v>
      </c>
      <c r="Y142" s="292">
        <v>0</v>
      </c>
      <c r="Z142" s="292">
        <v>0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291"/>
      <c r="E143" s="278"/>
      <c r="F143" s="263"/>
      <c r="G143" s="292">
        <v>0</v>
      </c>
      <c r="H143" s="292">
        <v>0</v>
      </c>
      <c r="I143" s="292">
        <v>0</v>
      </c>
      <c r="J143" s="292">
        <v>0</v>
      </c>
      <c r="K143" s="292">
        <v>0</v>
      </c>
      <c r="L143" s="292">
        <v>0</v>
      </c>
      <c r="M143" s="292">
        <v>0</v>
      </c>
      <c r="N143" s="292">
        <v>0</v>
      </c>
      <c r="O143" s="292">
        <v>0</v>
      </c>
      <c r="P143" s="292">
        <v>0</v>
      </c>
      <c r="Q143" s="292">
        <v>0</v>
      </c>
      <c r="R143" s="292">
        <v>0</v>
      </c>
      <c r="S143" s="292">
        <v>0</v>
      </c>
      <c r="T143" s="292">
        <v>0</v>
      </c>
      <c r="U143" s="292">
        <v>0</v>
      </c>
      <c r="V143" s="292">
        <v>0</v>
      </c>
      <c r="W143" s="292">
        <v>0</v>
      </c>
      <c r="X143" s="292">
        <v>0</v>
      </c>
      <c r="Y143" s="292">
        <v>0</v>
      </c>
      <c r="Z143" s="292">
        <v>0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291"/>
      <c r="E144" s="278"/>
      <c r="F144" s="263"/>
      <c r="G144" s="292">
        <v>0</v>
      </c>
      <c r="H144" s="292">
        <v>0</v>
      </c>
      <c r="I144" s="292">
        <v>0</v>
      </c>
      <c r="J144" s="292">
        <v>0</v>
      </c>
      <c r="K144" s="292">
        <v>0</v>
      </c>
      <c r="L144" s="292">
        <v>0</v>
      </c>
      <c r="M144" s="292">
        <v>0</v>
      </c>
      <c r="N144" s="292">
        <v>0</v>
      </c>
      <c r="O144" s="292">
        <v>0</v>
      </c>
      <c r="P144" s="292">
        <v>0</v>
      </c>
      <c r="Q144" s="292">
        <v>0</v>
      </c>
      <c r="R144" s="292">
        <v>0</v>
      </c>
      <c r="S144" s="292">
        <v>0</v>
      </c>
      <c r="T144" s="292">
        <v>0</v>
      </c>
      <c r="U144" s="292">
        <v>0</v>
      </c>
      <c r="V144" s="292">
        <v>0</v>
      </c>
      <c r="W144" s="292">
        <v>0</v>
      </c>
      <c r="X144" s="292">
        <v>0</v>
      </c>
      <c r="Y144" s="292">
        <v>0</v>
      </c>
      <c r="Z144" s="292">
        <v>0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291"/>
      <c r="E145" s="278"/>
      <c r="F145" s="263"/>
      <c r="G145" s="292">
        <v>0</v>
      </c>
      <c r="H145" s="292">
        <v>0</v>
      </c>
      <c r="I145" s="292">
        <v>0</v>
      </c>
      <c r="J145" s="292">
        <v>0</v>
      </c>
      <c r="K145" s="292">
        <v>0</v>
      </c>
      <c r="L145" s="292">
        <v>0</v>
      </c>
      <c r="M145" s="292">
        <v>0</v>
      </c>
      <c r="N145" s="292">
        <v>0</v>
      </c>
      <c r="O145" s="292">
        <v>0</v>
      </c>
      <c r="P145" s="292">
        <v>0</v>
      </c>
      <c r="Q145" s="292">
        <v>0</v>
      </c>
      <c r="R145" s="292">
        <v>0</v>
      </c>
      <c r="S145" s="292">
        <v>0</v>
      </c>
      <c r="T145" s="292">
        <v>0</v>
      </c>
      <c r="U145" s="292">
        <v>0</v>
      </c>
      <c r="V145" s="292">
        <v>0</v>
      </c>
      <c r="W145" s="292">
        <v>0</v>
      </c>
      <c r="X145" s="292">
        <v>0</v>
      </c>
      <c r="Y145" s="292">
        <v>0</v>
      </c>
      <c r="Z145" s="292">
        <v>0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291"/>
      <c r="E146" s="278"/>
      <c r="F146" s="263"/>
      <c r="G146" s="292">
        <v>0</v>
      </c>
      <c r="H146" s="292">
        <v>0</v>
      </c>
      <c r="I146" s="292">
        <v>0</v>
      </c>
      <c r="J146" s="292">
        <v>0</v>
      </c>
      <c r="K146" s="292">
        <v>0</v>
      </c>
      <c r="L146" s="292">
        <v>0</v>
      </c>
      <c r="M146" s="292">
        <v>0</v>
      </c>
      <c r="N146" s="292">
        <v>0</v>
      </c>
      <c r="O146" s="292">
        <v>0</v>
      </c>
      <c r="P146" s="292">
        <v>0</v>
      </c>
      <c r="Q146" s="292">
        <v>0</v>
      </c>
      <c r="R146" s="292">
        <v>0</v>
      </c>
      <c r="S146" s="292">
        <v>0</v>
      </c>
      <c r="T146" s="292">
        <v>0</v>
      </c>
      <c r="U146" s="292">
        <v>0</v>
      </c>
      <c r="V146" s="292">
        <v>0</v>
      </c>
      <c r="W146" s="292">
        <v>0</v>
      </c>
      <c r="X146" s="292">
        <v>0</v>
      </c>
      <c r="Y146" s="292">
        <v>0</v>
      </c>
      <c r="Z146" s="292">
        <v>0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291"/>
      <c r="E147" s="278"/>
      <c r="F147" s="263"/>
      <c r="G147" s="292">
        <v>0</v>
      </c>
      <c r="H147" s="292">
        <v>0</v>
      </c>
      <c r="I147" s="292">
        <v>0</v>
      </c>
      <c r="J147" s="292">
        <v>0</v>
      </c>
      <c r="K147" s="292">
        <v>0</v>
      </c>
      <c r="L147" s="292">
        <v>0</v>
      </c>
      <c r="M147" s="292">
        <v>0</v>
      </c>
      <c r="N147" s="292">
        <v>0</v>
      </c>
      <c r="O147" s="292">
        <v>0</v>
      </c>
      <c r="P147" s="292">
        <v>0</v>
      </c>
      <c r="Q147" s="292">
        <v>0</v>
      </c>
      <c r="R147" s="292">
        <v>0</v>
      </c>
      <c r="S147" s="292">
        <v>0</v>
      </c>
      <c r="T147" s="292">
        <v>0</v>
      </c>
      <c r="U147" s="292">
        <v>0</v>
      </c>
      <c r="V147" s="292">
        <v>0</v>
      </c>
      <c r="W147" s="292">
        <v>0</v>
      </c>
      <c r="X147" s="292">
        <v>0</v>
      </c>
      <c r="Y147" s="292">
        <v>0</v>
      </c>
      <c r="Z147" s="292">
        <v>0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291"/>
      <c r="E148" s="278"/>
      <c r="F148" s="263"/>
      <c r="G148" s="292">
        <v>0</v>
      </c>
      <c r="H148" s="292">
        <v>0</v>
      </c>
      <c r="I148" s="292">
        <v>0</v>
      </c>
      <c r="J148" s="292">
        <v>0</v>
      </c>
      <c r="K148" s="292">
        <v>0</v>
      </c>
      <c r="L148" s="292">
        <v>0</v>
      </c>
      <c r="M148" s="292">
        <v>0</v>
      </c>
      <c r="N148" s="292">
        <v>0</v>
      </c>
      <c r="O148" s="292">
        <v>0</v>
      </c>
      <c r="P148" s="292">
        <v>0</v>
      </c>
      <c r="Q148" s="292">
        <v>0</v>
      </c>
      <c r="R148" s="292">
        <v>0</v>
      </c>
      <c r="S148" s="292">
        <v>0</v>
      </c>
      <c r="T148" s="292">
        <v>0</v>
      </c>
      <c r="U148" s="292">
        <v>0</v>
      </c>
      <c r="V148" s="292">
        <v>0</v>
      </c>
      <c r="W148" s="292">
        <v>0</v>
      </c>
      <c r="X148" s="292">
        <v>0</v>
      </c>
      <c r="Y148" s="292">
        <v>0</v>
      </c>
      <c r="Z148" s="292">
        <v>0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291"/>
      <c r="E149" s="278"/>
      <c r="F149" s="263"/>
      <c r="G149" s="292">
        <v>0</v>
      </c>
      <c r="H149" s="292">
        <v>0</v>
      </c>
      <c r="I149" s="292">
        <v>0</v>
      </c>
      <c r="J149" s="292">
        <v>0</v>
      </c>
      <c r="K149" s="292">
        <v>0</v>
      </c>
      <c r="L149" s="292">
        <v>0</v>
      </c>
      <c r="M149" s="292">
        <v>0</v>
      </c>
      <c r="N149" s="292">
        <v>0</v>
      </c>
      <c r="O149" s="292">
        <v>0</v>
      </c>
      <c r="P149" s="292">
        <v>0</v>
      </c>
      <c r="Q149" s="292">
        <v>0</v>
      </c>
      <c r="R149" s="292">
        <v>0</v>
      </c>
      <c r="S149" s="292">
        <v>0</v>
      </c>
      <c r="T149" s="292">
        <v>0</v>
      </c>
      <c r="U149" s="292">
        <v>0</v>
      </c>
      <c r="V149" s="292">
        <v>0</v>
      </c>
      <c r="W149" s="292">
        <v>0</v>
      </c>
      <c r="X149" s="292">
        <v>0</v>
      </c>
      <c r="Y149" s="292">
        <v>0</v>
      </c>
      <c r="Z149" s="292">
        <v>0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291"/>
      <c r="E150" s="278"/>
      <c r="F150" s="263"/>
      <c r="G150" s="292">
        <v>0</v>
      </c>
      <c r="H150" s="292">
        <v>0</v>
      </c>
      <c r="I150" s="292">
        <v>0</v>
      </c>
      <c r="J150" s="292">
        <v>0</v>
      </c>
      <c r="K150" s="292">
        <v>0</v>
      </c>
      <c r="L150" s="292">
        <v>0</v>
      </c>
      <c r="M150" s="292">
        <v>0</v>
      </c>
      <c r="N150" s="292">
        <v>0</v>
      </c>
      <c r="O150" s="292">
        <v>0</v>
      </c>
      <c r="P150" s="292">
        <v>0</v>
      </c>
      <c r="Q150" s="292">
        <v>0</v>
      </c>
      <c r="R150" s="292">
        <v>0</v>
      </c>
      <c r="S150" s="292">
        <v>0</v>
      </c>
      <c r="T150" s="292">
        <v>0</v>
      </c>
      <c r="U150" s="292">
        <v>0</v>
      </c>
      <c r="V150" s="292">
        <v>0</v>
      </c>
      <c r="W150" s="292">
        <v>0</v>
      </c>
      <c r="X150" s="292">
        <v>0</v>
      </c>
      <c r="Y150" s="292">
        <v>0</v>
      </c>
      <c r="Z150" s="292">
        <v>0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291"/>
      <c r="E151" s="278"/>
      <c r="F151" s="263"/>
      <c r="G151" s="292">
        <v>0</v>
      </c>
      <c r="H151" s="292">
        <v>0</v>
      </c>
      <c r="I151" s="292">
        <v>0</v>
      </c>
      <c r="J151" s="292">
        <v>0</v>
      </c>
      <c r="K151" s="292">
        <v>0</v>
      </c>
      <c r="L151" s="292">
        <v>0</v>
      </c>
      <c r="M151" s="292">
        <v>0</v>
      </c>
      <c r="N151" s="292">
        <v>0</v>
      </c>
      <c r="O151" s="292">
        <v>0</v>
      </c>
      <c r="P151" s="292">
        <v>0</v>
      </c>
      <c r="Q151" s="292">
        <v>0</v>
      </c>
      <c r="R151" s="292">
        <v>0</v>
      </c>
      <c r="S151" s="292">
        <v>0</v>
      </c>
      <c r="T151" s="292">
        <v>0</v>
      </c>
      <c r="U151" s="292">
        <v>0</v>
      </c>
      <c r="V151" s="292">
        <v>0</v>
      </c>
      <c r="W151" s="292">
        <v>0</v>
      </c>
      <c r="X151" s="292">
        <v>0</v>
      </c>
      <c r="Y151" s="292">
        <v>0</v>
      </c>
      <c r="Z151" s="292">
        <v>0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291"/>
      <c r="E152" s="278"/>
      <c r="F152" s="263"/>
      <c r="G152" s="292">
        <v>0</v>
      </c>
      <c r="H152" s="292">
        <v>0</v>
      </c>
      <c r="I152" s="292">
        <v>0</v>
      </c>
      <c r="J152" s="292">
        <v>0</v>
      </c>
      <c r="K152" s="292">
        <v>0</v>
      </c>
      <c r="L152" s="292">
        <v>0</v>
      </c>
      <c r="M152" s="292">
        <v>0</v>
      </c>
      <c r="N152" s="292">
        <v>0</v>
      </c>
      <c r="O152" s="292">
        <v>0</v>
      </c>
      <c r="P152" s="292">
        <v>0</v>
      </c>
      <c r="Q152" s="292">
        <v>0</v>
      </c>
      <c r="R152" s="292">
        <v>0</v>
      </c>
      <c r="S152" s="292">
        <v>0</v>
      </c>
      <c r="T152" s="292">
        <v>0</v>
      </c>
      <c r="U152" s="292">
        <v>0</v>
      </c>
      <c r="V152" s="292">
        <v>0</v>
      </c>
      <c r="W152" s="292">
        <v>0</v>
      </c>
      <c r="X152" s="292">
        <v>0</v>
      </c>
      <c r="Y152" s="292">
        <v>0</v>
      </c>
      <c r="Z152" s="292">
        <v>0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291"/>
      <c r="E153" s="278"/>
      <c r="F153" s="263"/>
      <c r="G153" s="292">
        <v>0</v>
      </c>
      <c r="H153" s="292">
        <v>0</v>
      </c>
      <c r="I153" s="292">
        <v>0</v>
      </c>
      <c r="J153" s="292">
        <v>0</v>
      </c>
      <c r="K153" s="292">
        <v>0</v>
      </c>
      <c r="L153" s="292">
        <v>0</v>
      </c>
      <c r="M153" s="292">
        <v>0</v>
      </c>
      <c r="N153" s="292">
        <v>0</v>
      </c>
      <c r="O153" s="292">
        <v>0</v>
      </c>
      <c r="P153" s="292">
        <v>0</v>
      </c>
      <c r="Q153" s="292">
        <v>0</v>
      </c>
      <c r="R153" s="292">
        <v>0</v>
      </c>
      <c r="S153" s="292">
        <v>0</v>
      </c>
      <c r="T153" s="292">
        <v>0</v>
      </c>
      <c r="U153" s="292">
        <v>0</v>
      </c>
      <c r="V153" s="292">
        <v>0</v>
      </c>
      <c r="W153" s="292">
        <v>0</v>
      </c>
      <c r="X153" s="292">
        <v>0</v>
      </c>
      <c r="Y153" s="292">
        <v>0</v>
      </c>
      <c r="Z153" s="292">
        <v>0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291"/>
      <c r="E154" s="278"/>
      <c r="F154" s="263"/>
      <c r="G154" s="292">
        <v>0</v>
      </c>
      <c r="H154" s="292">
        <v>0</v>
      </c>
      <c r="I154" s="292">
        <v>0</v>
      </c>
      <c r="J154" s="292">
        <v>0</v>
      </c>
      <c r="K154" s="292">
        <v>0</v>
      </c>
      <c r="L154" s="292">
        <v>0</v>
      </c>
      <c r="M154" s="292">
        <v>0</v>
      </c>
      <c r="N154" s="292">
        <v>0</v>
      </c>
      <c r="O154" s="292">
        <v>0</v>
      </c>
      <c r="P154" s="292">
        <v>0</v>
      </c>
      <c r="Q154" s="292">
        <v>0</v>
      </c>
      <c r="R154" s="292">
        <v>0</v>
      </c>
      <c r="S154" s="292">
        <v>0</v>
      </c>
      <c r="T154" s="292">
        <v>0</v>
      </c>
      <c r="U154" s="292">
        <v>0</v>
      </c>
      <c r="V154" s="292">
        <v>0</v>
      </c>
      <c r="W154" s="292">
        <v>0</v>
      </c>
      <c r="X154" s="292">
        <v>0</v>
      </c>
      <c r="Y154" s="292">
        <v>0</v>
      </c>
      <c r="Z154" s="292">
        <v>0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291"/>
      <c r="E155" s="278"/>
      <c r="F155" s="263"/>
      <c r="G155" s="292">
        <v>0</v>
      </c>
      <c r="H155" s="292">
        <v>0</v>
      </c>
      <c r="I155" s="292">
        <v>0</v>
      </c>
      <c r="J155" s="292">
        <v>0</v>
      </c>
      <c r="K155" s="292">
        <v>0</v>
      </c>
      <c r="L155" s="292">
        <v>0</v>
      </c>
      <c r="M155" s="292">
        <v>0</v>
      </c>
      <c r="N155" s="292">
        <v>0</v>
      </c>
      <c r="O155" s="292">
        <v>0</v>
      </c>
      <c r="P155" s="292">
        <v>0</v>
      </c>
      <c r="Q155" s="292">
        <v>0</v>
      </c>
      <c r="R155" s="292">
        <v>0</v>
      </c>
      <c r="S155" s="292">
        <v>0</v>
      </c>
      <c r="T155" s="292">
        <v>0</v>
      </c>
      <c r="U155" s="292">
        <v>0</v>
      </c>
      <c r="V155" s="292">
        <v>0</v>
      </c>
      <c r="W155" s="292">
        <v>0</v>
      </c>
      <c r="X155" s="292">
        <v>0</v>
      </c>
      <c r="Y155" s="292">
        <v>0</v>
      </c>
      <c r="Z155" s="292">
        <v>0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291"/>
      <c r="E156" s="278"/>
      <c r="F156" s="263"/>
      <c r="G156" s="292">
        <v>0</v>
      </c>
      <c r="H156" s="292">
        <v>0</v>
      </c>
      <c r="I156" s="292">
        <v>0</v>
      </c>
      <c r="J156" s="292">
        <v>0</v>
      </c>
      <c r="K156" s="292">
        <v>0</v>
      </c>
      <c r="L156" s="292">
        <v>0</v>
      </c>
      <c r="M156" s="292">
        <v>0</v>
      </c>
      <c r="N156" s="292">
        <v>0</v>
      </c>
      <c r="O156" s="292">
        <v>0</v>
      </c>
      <c r="P156" s="292">
        <v>0</v>
      </c>
      <c r="Q156" s="292">
        <v>0</v>
      </c>
      <c r="R156" s="292">
        <v>0</v>
      </c>
      <c r="S156" s="292">
        <v>0</v>
      </c>
      <c r="T156" s="292">
        <v>0</v>
      </c>
      <c r="U156" s="292">
        <v>0</v>
      </c>
      <c r="V156" s="292">
        <v>0</v>
      </c>
      <c r="W156" s="292">
        <v>0</v>
      </c>
      <c r="X156" s="292">
        <v>0</v>
      </c>
      <c r="Y156" s="292">
        <v>0</v>
      </c>
      <c r="Z156" s="292">
        <v>0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291"/>
      <c r="E157" s="278"/>
      <c r="F157" s="263"/>
      <c r="G157" s="292">
        <v>0</v>
      </c>
      <c r="H157" s="292">
        <v>0</v>
      </c>
      <c r="I157" s="292">
        <v>0</v>
      </c>
      <c r="J157" s="292">
        <v>0</v>
      </c>
      <c r="K157" s="292">
        <v>0</v>
      </c>
      <c r="L157" s="292">
        <v>0</v>
      </c>
      <c r="M157" s="292">
        <v>0</v>
      </c>
      <c r="N157" s="292">
        <v>0</v>
      </c>
      <c r="O157" s="292">
        <v>0</v>
      </c>
      <c r="P157" s="292">
        <v>0</v>
      </c>
      <c r="Q157" s="292">
        <v>0</v>
      </c>
      <c r="R157" s="292">
        <v>0</v>
      </c>
      <c r="S157" s="292">
        <v>0</v>
      </c>
      <c r="T157" s="292">
        <v>0</v>
      </c>
      <c r="U157" s="292">
        <v>0</v>
      </c>
      <c r="V157" s="292">
        <v>0</v>
      </c>
      <c r="W157" s="292">
        <v>0</v>
      </c>
      <c r="X157" s="292">
        <v>0</v>
      </c>
      <c r="Y157" s="292">
        <v>0</v>
      </c>
      <c r="Z157" s="292">
        <v>0</v>
      </c>
    </row>
    <row r="158" spans="1:26" ht="24.95" customHeight="1" thickBo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293"/>
      <c r="E158" s="287"/>
      <c r="F158" s="294"/>
      <c r="G158" s="292">
        <v>0</v>
      </c>
      <c r="H158" s="292">
        <v>0</v>
      </c>
      <c r="I158" s="292">
        <v>0</v>
      </c>
      <c r="J158" s="292">
        <v>0</v>
      </c>
      <c r="K158" s="292">
        <v>0</v>
      </c>
      <c r="L158" s="292">
        <v>0</v>
      </c>
      <c r="M158" s="292">
        <v>0</v>
      </c>
      <c r="N158" s="292">
        <v>0</v>
      </c>
      <c r="O158" s="292">
        <v>0</v>
      </c>
      <c r="P158" s="292">
        <v>0</v>
      </c>
      <c r="Q158" s="292">
        <v>0</v>
      </c>
      <c r="R158" s="292">
        <v>0</v>
      </c>
      <c r="S158" s="292">
        <v>0</v>
      </c>
      <c r="T158" s="292">
        <v>0</v>
      </c>
      <c r="U158" s="292">
        <v>0</v>
      </c>
      <c r="V158" s="292">
        <v>0</v>
      </c>
      <c r="W158" s="292">
        <v>0</v>
      </c>
      <c r="X158" s="292">
        <v>0</v>
      </c>
      <c r="Y158" s="292">
        <v>0</v>
      </c>
      <c r="Z158" s="292">
        <v>0</v>
      </c>
    </row>
    <row r="159" spans="1:26">
      <c r="E159" s="295"/>
      <c r="F159" s="295"/>
      <c r="G159" s="109"/>
      <c r="H159" s="110"/>
      <c r="I159" s="110"/>
      <c r="J159" s="110"/>
      <c r="K159" s="110"/>
      <c r="L159" s="110"/>
      <c r="M159" s="110"/>
      <c r="N159" s="110"/>
      <c r="O159" s="110"/>
      <c r="P159" s="110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E160" s="295"/>
      <c r="F160" s="295"/>
      <c r="G160" s="296"/>
      <c r="H160" s="297"/>
      <c r="I160" s="297"/>
      <c r="J160" s="297"/>
      <c r="K160" s="297"/>
      <c r="L160" s="297"/>
      <c r="M160" s="297"/>
      <c r="N160" s="297"/>
      <c r="O160" s="297"/>
      <c r="P160" s="297"/>
      <c r="Q160" s="295"/>
      <c r="R160" s="295"/>
      <c r="S160" s="295"/>
      <c r="T160" s="295"/>
      <c r="U160" s="295"/>
      <c r="V160" s="295"/>
      <c r="W160" s="295"/>
      <c r="X160" s="295"/>
      <c r="Y160" s="295"/>
      <c r="Z160" s="295"/>
    </row>
    <row r="161" spans="1:26" ht="15.75" thickBot="1">
      <c r="C161" s="108"/>
      <c r="E161" s="112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</row>
    <row r="162" spans="1:26" ht="33.75" customHeight="1" thickBot="1">
      <c r="A162" s="298"/>
      <c r="B162" s="299"/>
      <c r="C162" s="299"/>
      <c r="D162" s="299"/>
      <c r="E162" s="299"/>
      <c r="F162" s="968" t="s">
        <v>277</v>
      </c>
      <c r="G162" s="969"/>
      <c r="H162" s="969"/>
      <c r="I162" s="969"/>
      <c r="J162" s="969"/>
      <c r="K162" s="969"/>
      <c r="L162" s="969"/>
      <c r="M162" s="969"/>
      <c r="N162" s="969"/>
      <c r="O162" s="969"/>
      <c r="P162" s="969"/>
      <c r="Q162" s="969"/>
      <c r="R162" s="969"/>
      <c r="S162" s="969"/>
      <c r="T162" s="969"/>
      <c r="U162" s="969"/>
      <c r="V162" s="969"/>
      <c r="W162" s="969"/>
      <c r="X162" s="969"/>
      <c r="Y162" s="969"/>
      <c r="Z162" s="970"/>
    </row>
    <row r="163" spans="1:26" ht="48" customHeight="1" thickBot="1">
      <c r="A163" s="300"/>
      <c r="B163" s="301"/>
      <c r="C163" s="302"/>
      <c r="D163" s="301"/>
      <c r="E163" s="303"/>
      <c r="F163" s="304"/>
      <c r="G163" s="305"/>
      <c r="H163" s="305"/>
      <c r="I163" s="305"/>
      <c r="J163" s="305"/>
      <c r="K163" s="305"/>
      <c r="L163" s="305"/>
      <c r="M163" s="305"/>
      <c r="N163" s="305"/>
      <c r="O163" s="305"/>
      <c r="P163" s="305"/>
      <c r="Q163" s="305"/>
      <c r="R163" s="305"/>
      <c r="S163" s="305"/>
      <c r="T163" s="305"/>
      <c r="U163" s="305"/>
      <c r="V163" s="305"/>
      <c r="W163" s="305"/>
      <c r="X163" s="305"/>
      <c r="Y163" s="305"/>
      <c r="Z163" s="305"/>
    </row>
    <row r="164" spans="1:26" ht="91.5" customHeight="1" thickBot="1">
      <c r="A164" s="306" t="s">
        <v>28</v>
      </c>
      <c r="B164" s="971" t="s">
        <v>22</v>
      </c>
      <c r="C164" s="971"/>
      <c r="D164" s="307" t="s">
        <v>278</v>
      </c>
      <c r="E164" s="308"/>
      <c r="F164" s="309"/>
      <c r="G164" s="310">
        <v>2026</v>
      </c>
      <c r="H164" s="310">
        <v>2027</v>
      </c>
      <c r="I164" s="310">
        <f t="shared" ref="I164:Z164" si="1">+H164+1</f>
        <v>2028</v>
      </c>
      <c r="J164" s="310">
        <f t="shared" si="1"/>
        <v>2029</v>
      </c>
      <c r="K164" s="310">
        <f t="shared" si="1"/>
        <v>2030</v>
      </c>
      <c r="L164" s="310">
        <f t="shared" si="1"/>
        <v>2031</v>
      </c>
      <c r="M164" s="310">
        <f t="shared" si="1"/>
        <v>2032</v>
      </c>
      <c r="N164" s="310">
        <f t="shared" si="1"/>
        <v>2033</v>
      </c>
      <c r="O164" s="310">
        <f t="shared" si="1"/>
        <v>2034</v>
      </c>
      <c r="P164" s="310">
        <f t="shared" si="1"/>
        <v>2035</v>
      </c>
      <c r="Q164" s="310">
        <f t="shared" si="1"/>
        <v>2036</v>
      </c>
      <c r="R164" s="310">
        <f t="shared" si="1"/>
        <v>2037</v>
      </c>
      <c r="S164" s="310">
        <f t="shared" si="1"/>
        <v>2038</v>
      </c>
      <c r="T164" s="310">
        <f t="shared" si="1"/>
        <v>2039</v>
      </c>
      <c r="U164" s="310">
        <f t="shared" si="1"/>
        <v>2040</v>
      </c>
      <c r="V164" s="310">
        <f t="shared" si="1"/>
        <v>2041</v>
      </c>
      <c r="W164" s="310">
        <f t="shared" si="1"/>
        <v>2042</v>
      </c>
      <c r="X164" s="310">
        <f t="shared" si="1"/>
        <v>2043</v>
      </c>
      <c r="Y164" s="310">
        <f t="shared" si="1"/>
        <v>2044</v>
      </c>
      <c r="Z164" s="310">
        <f t="shared" si="1"/>
        <v>2045</v>
      </c>
    </row>
    <row r="165" spans="1:26" ht="24.95" customHeight="1">
      <c r="A165" s="256" t="str">
        <f>+Pobl_adoptada!A5</f>
        <v>Almirante Brown</v>
      </c>
      <c r="B165" s="63">
        <f>+Pobl_adoptada!B5</f>
        <v>1</v>
      </c>
      <c r="C165" s="64" t="str">
        <f>+Pobl_adoptada!C5</f>
        <v>Almirante Brown</v>
      </c>
      <c r="D165" s="311">
        <v>0</v>
      </c>
      <c r="E165" s="277"/>
      <c r="F165" s="259"/>
      <c r="G165" s="312">
        <f>IF(G5*'SEP ORIGEN'!G5&lt;='GENERADO PS locales'!$D165,G5*'SEP ORIGEN'!G5,"Excede capacidad PS")</f>
        <v>0</v>
      </c>
      <c r="H165" s="312">
        <f>IF(H5*'SEP ORIGEN'!H5&lt;='GENERADO PS locales'!$D165,H5*'SEP ORIGEN'!H5,"Excede capacidad PS")</f>
        <v>0</v>
      </c>
      <c r="I165" s="312">
        <f>IF(I5*'SEP ORIGEN'!I5&lt;='GENERADO PS locales'!$D165,I5*'SEP ORIGEN'!I5,"Excede capacidad PS")</f>
        <v>0</v>
      </c>
      <c r="J165" s="312">
        <f>IF(J5*'SEP ORIGEN'!J5&lt;='GENERADO PS locales'!$D165,J5*'SEP ORIGEN'!J5,"Excede capacidad PS")</f>
        <v>0</v>
      </c>
      <c r="K165" s="312">
        <f>IF(K5*'SEP ORIGEN'!K5&lt;='GENERADO PS locales'!$D165,K5*'SEP ORIGEN'!K5,"Excede capacidad PS")</f>
        <v>0</v>
      </c>
      <c r="L165" s="312">
        <f>IF(L5*'SEP ORIGEN'!L5&lt;='GENERADO PS locales'!$D165,L5*'SEP ORIGEN'!L5,"Excede capacidad PS")</f>
        <v>0</v>
      </c>
      <c r="M165" s="312">
        <f>IF(M5*'SEP ORIGEN'!M5&lt;='GENERADO PS locales'!$D165,M5*'SEP ORIGEN'!M5,"Excede capacidad PS")</f>
        <v>0</v>
      </c>
      <c r="N165" s="312">
        <f>IF(N5*'SEP ORIGEN'!N5&lt;='GENERADO PS locales'!$D165,N5*'SEP ORIGEN'!N5,"Excede capacidad PS")</f>
        <v>0</v>
      </c>
      <c r="O165" s="312">
        <f>IF(O5*'SEP ORIGEN'!O5&lt;='GENERADO PS locales'!$D165,O5*'SEP ORIGEN'!O5,"Excede capacidad PS")</f>
        <v>0</v>
      </c>
      <c r="P165" s="312">
        <f>IF(P5*'SEP ORIGEN'!P5&lt;='GENERADO PS locales'!$D165,P5*'SEP ORIGEN'!P5,"Excede capacidad PS")</f>
        <v>0</v>
      </c>
      <c r="Q165" s="312">
        <f>IF(Q5*'SEP ORIGEN'!Q5&lt;='GENERADO PS locales'!$D165,Q5*'SEP ORIGEN'!Q5,"Excede capacidad PS")</f>
        <v>0</v>
      </c>
      <c r="R165" s="312">
        <f>IF(R5*'SEP ORIGEN'!R5&lt;='GENERADO PS locales'!$D165,R5*'SEP ORIGEN'!R5,"Excede capacidad PS")</f>
        <v>0</v>
      </c>
      <c r="S165" s="312">
        <f>IF(S5*'SEP ORIGEN'!S5&lt;='GENERADO PS locales'!$D165,S5*'SEP ORIGEN'!S5,"Excede capacidad PS")</f>
        <v>0</v>
      </c>
      <c r="T165" s="312">
        <f>IF(T5*'SEP ORIGEN'!T5&lt;='GENERADO PS locales'!$D165,T5*'SEP ORIGEN'!T5,"Excede capacidad PS")</f>
        <v>0</v>
      </c>
      <c r="U165" s="312">
        <f>IF(U5*'SEP ORIGEN'!U5&lt;='GENERADO PS locales'!$D165,U5*'SEP ORIGEN'!U5,"Excede capacidad PS")</f>
        <v>0</v>
      </c>
      <c r="V165" s="312">
        <f>IF(V5*'SEP ORIGEN'!V5&lt;='GENERADO PS locales'!$D165,V5*'SEP ORIGEN'!V5,"Excede capacidad PS")</f>
        <v>0</v>
      </c>
      <c r="W165" s="312">
        <f>IF(W5*'SEP ORIGEN'!W5&lt;='GENERADO PS locales'!$D165,W5*'SEP ORIGEN'!W5,"Excede capacidad PS")</f>
        <v>0</v>
      </c>
      <c r="X165" s="312">
        <f>IF(X5*'SEP ORIGEN'!X5&lt;='GENERADO PS locales'!$D165,X5*'SEP ORIGEN'!X5,"Excede capacidad PS")</f>
        <v>0</v>
      </c>
      <c r="Y165" s="312">
        <f>IF(Y5*'SEP ORIGEN'!Y5&lt;='GENERADO PS locales'!$D165,Y5*'SEP ORIGEN'!Y5,"Excede capacidad PS")</f>
        <v>0</v>
      </c>
      <c r="Z165" s="312">
        <f>IF(Z5*'SEP ORIGEN'!Z5&lt;='GENERADO PS locales'!$D165,Z5*'SEP ORIGEN'!Z5,"Excede capacidad PS")</f>
        <v>0</v>
      </c>
    </row>
    <row r="166" spans="1:26" ht="24.95" customHeight="1">
      <c r="A166" s="354" t="str">
        <f>+Pobl_adoptada!A6</f>
        <v>Avellaneda</v>
      </c>
      <c r="B166" s="355">
        <f>+Pobl_adoptada!B6</f>
        <v>2</v>
      </c>
      <c r="C166" s="356" t="str">
        <f>+Pobl_adoptada!C6</f>
        <v>Avellaneda</v>
      </c>
      <c r="D166" s="311">
        <v>0</v>
      </c>
      <c r="E166" s="278"/>
      <c r="F166" s="263"/>
      <c r="G166" s="313">
        <f>IF(G6*'SEP ORIGEN'!G6&lt;='GENERADO PS locales'!$D166,G6*'SEP ORIGEN'!G6,"Excede capacidad PS")</f>
        <v>0</v>
      </c>
      <c r="H166" s="313">
        <f>IF(H6*'SEP ORIGEN'!H6&lt;='GENERADO PS locales'!$D166,H6*'SEP ORIGEN'!H6,"Excede capacidad PS")</f>
        <v>0</v>
      </c>
      <c r="I166" s="313">
        <f>IF(I6*'SEP ORIGEN'!I6&lt;='GENERADO PS locales'!$D166,I6*'SEP ORIGEN'!I6,"Excede capacidad PS")</f>
        <v>0</v>
      </c>
      <c r="J166" s="313">
        <f>IF(J6*'SEP ORIGEN'!J6&lt;='GENERADO PS locales'!$D166,J6*'SEP ORIGEN'!J6,"Excede capacidad PS")</f>
        <v>0</v>
      </c>
      <c r="K166" s="313">
        <f>IF(K6*'SEP ORIGEN'!K6&lt;='GENERADO PS locales'!$D166,K6*'SEP ORIGEN'!K6,"Excede capacidad PS")</f>
        <v>0</v>
      </c>
      <c r="L166" s="313">
        <f>IF(L6*'SEP ORIGEN'!L6&lt;='GENERADO PS locales'!$D166,L6*'SEP ORIGEN'!L6,"Excede capacidad PS")</f>
        <v>0</v>
      </c>
      <c r="M166" s="313">
        <f>IF(M6*'SEP ORIGEN'!M6&lt;='GENERADO PS locales'!$D166,M6*'SEP ORIGEN'!M6,"Excede capacidad PS")</f>
        <v>0</v>
      </c>
      <c r="N166" s="313">
        <f>IF(N6*'SEP ORIGEN'!N6&lt;='GENERADO PS locales'!$D166,N6*'SEP ORIGEN'!N6,"Excede capacidad PS")</f>
        <v>0</v>
      </c>
      <c r="O166" s="313">
        <f>IF(O6*'SEP ORIGEN'!O6&lt;='GENERADO PS locales'!$D166,O6*'SEP ORIGEN'!O6,"Excede capacidad PS")</f>
        <v>0</v>
      </c>
      <c r="P166" s="313">
        <f>IF(P6*'SEP ORIGEN'!P6&lt;='GENERADO PS locales'!$D166,P6*'SEP ORIGEN'!P6,"Excede capacidad PS")</f>
        <v>0</v>
      </c>
      <c r="Q166" s="313">
        <f>IF(Q6*'SEP ORIGEN'!Q6&lt;='GENERADO PS locales'!$D166,Q6*'SEP ORIGEN'!Q6,"Excede capacidad PS")</f>
        <v>0</v>
      </c>
      <c r="R166" s="313">
        <f>IF(R6*'SEP ORIGEN'!R6&lt;='GENERADO PS locales'!$D166,R6*'SEP ORIGEN'!R6,"Excede capacidad PS")</f>
        <v>0</v>
      </c>
      <c r="S166" s="313">
        <f>IF(S6*'SEP ORIGEN'!S6&lt;='GENERADO PS locales'!$D166,S6*'SEP ORIGEN'!S6,"Excede capacidad PS")</f>
        <v>0</v>
      </c>
      <c r="T166" s="313">
        <f>IF(T6*'SEP ORIGEN'!T6&lt;='GENERADO PS locales'!$D166,T6*'SEP ORIGEN'!T6,"Excede capacidad PS")</f>
        <v>0</v>
      </c>
      <c r="U166" s="313">
        <f>IF(U6*'SEP ORIGEN'!U6&lt;='GENERADO PS locales'!$D166,U6*'SEP ORIGEN'!U6,"Excede capacidad PS")</f>
        <v>0</v>
      </c>
      <c r="V166" s="313">
        <f>IF(V6*'SEP ORIGEN'!V6&lt;='GENERADO PS locales'!$D166,V6*'SEP ORIGEN'!V6,"Excede capacidad PS")</f>
        <v>0</v>
      </c>
      <c r="W166" s="313">
        <f>IF(W6*'SEP ORIGEN'!W6&lt;='GENERADO PS locales'!$D166,W6*'SEP ORIGEN'!W6,"Excede capacidad PS")</f>
        <v>0</v>
      </c>
      <c r="X166" s="313">
        <f>IF(X6*'SEP ORIGEN'!X6&lt;='GENERADO PS locales'!$D166,X6*'SEP ORIGEN'!X6,"Excede capacidad PS")</f>
        <v>0</v>
      </c>
      <c r="Y166" s="313">
        <f>IF(Y6*'SEP ORIGEN'!Y6&lt;='GENERADO PS locales'!$D166,Y6*'SEP ORIGEN'!Y6,"Excede capacidad PS")</f>
        <v>0</v>
      </c>
      <c r="Z166" s="313">
        <f>IF(Z6*'SEP ORIGEN'!Z6&lt;='GENERADO PS locales'!$D166,Z6*'SEP ORIGEN'!Z6,"Excede capacidad PS")</f>
        <v>0</v>
      </c>
    </row>
    <row r="167" spans="1:26" ht="24.95" customHeight="1">
      <c r="A167" s="260" t="str">
        <f>+Pobl_adoptada!A7</f>
        <v>Berazategui</v>
      </c>
      <c r="B167" s="70">
        <f>+Pobl_adoptada!B7</f>
        <v>3</v>
      </c>
      <c r="C167" s="71" t="str">
        <f>+Pobl_adoptada!C7</f>
        <v>Berazategui</v>
      </c>
      <c r="D167" s="311">
        <v>0</v>
      </c>
      <c r="E167" s="278"/>
      <c r="F167" s="263"/>
      <c r="G167" s="313">
        <f>IF(G7*'SEP ORIGEN'!G7&lt;='GENERADO PS locales'!$D167,G7*'SEP ORIGEN'!G7,"Excede capacidad PS")</f>
        <v>0</v>
      </c>
      <c r="H167" s="313">
        <f>IF(H7*'SEP ORIGEN'!H7&lt;='GENERADO PS locales'!$D167,H7*'SEP ORIGEN'!H7,"Excede capacidad PS")</f>
        <v>0</v>
      </c>
      <c r="I167" s="313">
        <f>IF(I7*'SEP ORIGEN'!I7&lt;='GENERADO PS locales'!$D167,I7*'SEP ORIGEN'!I7,"Excede capacidad PS")</f>
        <v>0</v>
      </c>
      <c r="J167" s="313">
        <f>IF(J7*'SEP ORIGEN'!J7&lt;='GENERADO PS locales'!$D167,J7*'SEP ORIGEN'!J7,"Excede capacidad PS")</f>
        <v>0</v>
      </c>
      <c r="K167" s="313">
        <f>IF(K7*'SEP ORIGEN'!K7&lt;='GENERADO PS locales'!$D167,K7*'SEP ORIGEN'!K7,"Excede capacidad PS")</f>
        <v>0</v>
      </c>
      <c r="L167" s="313">
        <f>IF(L7*'SEP ORIGEN'!L7&lt;='GENERADO PS locales'!$D167,L7*'SEP ORIGEN'!L7,"Excede capacidad PS")</f>
        <v>0</v>
      </c>
      <c r="M167" s="313">
        <f>IF(M7*'SEP ORIGEN'!M7&lt;='GENERADO PS locales'!$D167,M7*'SEP ORIGEN'!M7,"Excede capacidad PS")</f>
        <v>0</v>
      </c>
      <c r="N167" s="313">
        <f>IF(N7*'SEP ORIGEN'!N7&lt;='GENERADO PS locales'!$D167,N7*'SEP ORIGEN'!N7,"Excede capacidad PS")</f>
        <v>0</v>
      </c>
      <c r="O167" s="313">
        <f>IF(O7*'SEP ORIGEN'!O7&lt;='GENERADO PS locales'!$D167,O7*'SEP ORIGEN'!O7,"Excede capacidad PS")</f>
        <v>0</v>
      </c>
      <c r="P167" s="313">
        <f>IF(P7*'SEP ORIGEN'!P7&lt;='GENERADO PS locales'!$D167,P7*'SEP ORIGEN'!P7,"Excede capacidad PS")</f>
        <v>0</v>
      </c>
      <c r="Q167" s="313">
        <f>IF(Q7*'SEP ORIGEN'!Q7&lt;='GENERADO PS locales'!$D167,Q7*'SEP ORIGEN'!Q7,"Excede capacidad PS")</f>
        <v>0</v>
      </c>
      <c r="R167" s="313">
        <f>IF(R7*'SEP ORIGEN'!R7&lt;='GENERADO PS locales'!$D167,R7*'SEP ORIGEN'!R7,"Excede capacidad PS")</f>
        <v>0</v>
      </c>
      <c r="S167" s="313">
        <f>IF(S7*'SEP ORIGEN'!S7&lt;='GENERADO PS locales'!$D167,S7*'SEP ORIGEN'!S7,"Excede capacidad PS")</f>
        <v>0</v>
      </c>
      <c r="T167" s="313">
        <f>IF(T7*'SEP ORIGEN'!T7&lt;='GENERADO PS locales'!$D167,T7*'SEP ORIGEN'!T7,"Excede capacidad PS")</f>
        <v>0</v>
      </c>
      <c r="U167" s="313">
        <f>IF(U7*'SEP ORIGEN'!U7&lt;='GENERADO PS locales'!$D167,U7*'SEP ORIGEN'!U7,"Excede capacidad PS")</f>
        <v>0</v>
      </c>
      <c r="V167" s="313">
        <f>IF(V7*'SEP ORIGEN'!V7&lt;='GENERADO PS locales'!$D167,V7*'SEP ORIGEN'!V7,"Excede capacidad PS")</f>
        <v>0</v>
      </c>
      <c r="W167" s="313">
        <f>IF(W7*'SEP ORIGEN'!W7&lt;='GENERADO PS locales'!$D167,W7*'SEP ORIGEN'!W7,"Excede capacidad PS")</f>
        <v>0</v>
      </c>
      <c r="X167" s="313">
        <f>IF(X7*'SEP ORIGEN'!X7&lt;='GENERADO PS locales'!$D167,X7*'SEP ORIGEN'!X7,"Excede capacidad PS")</f>
        <v>0</v>
      </c>
      <c r="Y167" s="313">
        <f>IF(Y7*'SEP ORIGEN'!Y7&lt;='GENERADO PS locales'!$D167,Y7*'SEP ORIGEN'!Y7,"Excede capacidad PS")</f>
        <v>0</v>
      </c>
      <c r="Z167" s="313">
        <f>IF(Z7*'SEP ORIGEN'!Z7&lt;='GENERADO PS locales'!$D167,Z7*'SEP ORIGEN'!Z7,"Excede capacidad PS")</f>
        <v>0</v>
      </c>
    </row>
    <row r="168" spans="1:26" ht="24.95" customHeight="1">
      <c r="A168" s="260" t="str">
        <f>+Pobl_adoptada!A8</f>
        <v>Esteban Echeverría</v>
      </c>
      <c r="B168" s="70">
        <f>+Pobl_adoptada!B8</f>
        <v>4</v>
      </c>
      <c r="C168" s="71" t="str">
        <f>+Pobl_adoptada!C8</f>
        <v>Esteban Echeverría</v>
      </c>
      <c r="D168" s="311">
        <v>0</v>
      </c>
      <c r="E168" s="278"/>
      <c r="F168" s="263"/>
      <c r="G168" s="313">
        <f>IF(G8*'SEP ORIGEN'!G8&lt;='GENERADO PS locales'!$D168,G8*'SEP ORIGEN'!G8,"Excede capacidad PS")</f>
        <v>0</v>
      </c>
      <c r="H168" s="313">
        <f>IF(H8*'SEP ORIGEN'!H8&lt;='GENERADO PS locales'!$D168,H8*'SEP ORIGEN'!H8,"Excede capacidad PS")</f>
        <v>0</v>
      </c>
      <c r="I168" s="313">
        <f>IF(I8*'SEP ORIGEN'!I8&lt;='GENERADO PS locales'!$D168,I8*'SEP ORIGEN'!I8,"Excede capacidad PS")</f>
        <v>0</v>
      </c>
      <c r="J168" s="313">
        <f>IF(J8*'SEP ORIGEN'!J8&lt;='GENERADO PS locales'!$D168,J8*'SEP ORIGEN'!J8,"Excede capacidad PS")</f>
        <v>0</v>
      </c>
      <c r="K168" s="313">
        <f>IF(K8*'SEP ORIGEN'!K8&lt;='GENERADO PS locales'!$D168,K8*'SEP ORIGEN'!K8,"Excede capacidad PS")</f>
        <v>0</v>
      </c>
      <c r="L168" s="313">
        <f>IF(L8*'SEP ORIGEN'!L8&lt;='GENERADO PS locales'!$D168,L8*'SEP ORIGEN'!L8,"Excede capacidad PS")</f>
        <v>0</v>
      </c>
      <c r="M168" s="313">
        <f>IF(M8*'SEP ORIGEN'!M8&lt;='GENERADO PS locales'!$D168,M8*'SEP ORIGEN'!M8,"Excede capacidad PS")</f>
        <v>0</v>
      </c>
      <c r="N168" s="313">
        <f>IF(N8*'SEP ORIGEN'!N8&lt;='GENERADO PS locales'!$D168,N8*'SEP ORIGEN'!N8,"Excede capacidad PS")</f>
        <v>0</v>
      </c>
      <c r="O168" s="313">
        <f>IF(O8*'SEP ORIGEN'!O8&lt;='GENERADO PS locales'!$D168,O8*'SEP ORIGEN'!O8,"Excede capacidad PS")</f>
        <v>0</v>
      </c>
      <c r="P168" s="313">
        <f>IF(P8*'SEP ORIGEN'!P8&lt;='GENERADO PS locales'!$D168,P8*'SEP ORIGEN'!P8,"Excede capacidad PS")</f>
        <v>0</v>
      </c>
      <c r="Q168" s="313">
        <f>IF(Q8*'SEP ORIGEN'!Q8&lt;='GENERADO PS locales'!$D168,Q8*'SEP ORIGEN'!Q8,"Excede capacidad PS")</f>
        <v>0</v>
      </c>
      <c r="R168" s="313">
        <f>IF(R8*'SEP ORIGEN'!R8&lt;='GENERADO PS locales'!$D168,R8*'SEP ORIGEN'!R8,"Excede capacidad PS")</f>
        <v>0</v>
      </c>
      <c r="S168" s="313">
        <f>IF(S8*'SEP ORIGEN'!S8&lt;='GENERADO PS locales'!$D168,S8*'SEP ORIGEN'!S8,"Excede capacidad PS")</f>
        <v>0</v>
      </c>
      <c r="T168" s="313">
        <f>IF(T8*'SEP ORIGEN'!T8&lt;='GENERADO PS locales'!$D168,T8*'SEP ORIGEN'!T8,"Excede capacidad PS")</f>
        <v>0</v>
      </c>
      <c r="U168" s="313">
        <f>IF(U8*'SEP ORIGEN'!U8&lt;='GENERADO PS locales'!$D168,U8*'SEP ORIGEN'!U8,"Excede capacidad PS")</f>
        <v>0</v>
      </c>
      <c r="V168" s="313">
        <f>IF(V8*'SEP ORIGEN'!V8&lt;='GENERADO PS locales'!$D168,V8*'SEP ORIGEN'!V8,"Excede capacidad PS")</f>
        <v>0</v>
      </c>
      <c r="W168" s="313">
        <f>IF(W8*'SEP ORIGEN'!W8&lt;='GENERADO PS locales'!$D168,W8*'SEP ORIGEN'!W8,"Excede capacidad PS")</f>
        <v>0</v>
      </c>
      <c r="X168" s="313">
        <f>IF(X8*'SEP ORIGEN'!X8&lt;='GENERADO PS locales'!$D168,X8*'SEP ORIGEN'!X8,"Excede capacidad PS")</f>
        <v>0</v>
      </c>
      <c r="Y168" s="313">
        <f>IF(Y8*'SEP ORIGEN'!Y8&lt;='GENERADO PS locales'!$D168,Y8*'SEP ORIGEN'!Y8,"Excede capacidad PS")</f>
        <v>0</v>
      </c>
      <c r="Z168" s="313">
        <f>IF(Z8*'SEP ORIGEN'!Z8&lt;='GENERADO PS locales'!$D168,Z8*'SEP ORIGEN'!Z8,"Excede capacidad PS")</f>
        <v>0</v>
      </c>
    </row>
    <row r="169" spans="1:26" ht="24.95" customHeight="1">
      <c r="A169" s="260" t="str">
        <f>+Pobl_adoptada!A9</f>
        <v>Ezeiza</v>
      </c>
      <c r="B169" s="70">
        <f>+Pobl_adoptada!B9</f>
        <v>5</v>
      </c>
      <c r="C169" s="71" t="str">
        <f>+Pobl_adoptada!C9</f>
        <v>Ezeiza</v>
      </c>
      <c r="D169" s="311">
        <v>0</v>
      </c>
      <c r="E169" s="278"/>
      <c r="F169" s="263"/>
      <c r="G169" s="313">
        <f>IF(G9*'SEP ORIGEN'!G9&lt;='GENERADO PS locales'!$D169,G9*'SEP ORIGEN'!G9,"Excede capacidad PS")</f>
        <v>0</v>
      </c>
      <c r="H169" s="313">
        <f>IF(H9*'SEP ORIGEN'!H9&lt;='GENERADO PS locales'!$D169,H9*'SEP ORIGEN'!H9,"Excede capacidad PS")</f>
        <v>0</v>
      </c>
      <c r="I169" s="313">
        <f>IF(I9*'SEP ORIGEN'!I9&lt;='GENERADO PS locales'!$D169,I9*'SEP ORIGEN'!I9,"Excede capacidad PS")</f>
        <v>0</v>
      </c>
      <c r="J169" s="313">
        <f>IF(J9*'SEP ORIGEN'!J9&lt;='GENERADO PS locales'!$D169,J9*'SEP ORIGEN'!J9,"Excede capacidad PS")</f>
        <v>0</v>
      </c>
      <c r="K169" s="313">
        <f>IF(K9*'SEP ORIGEN'!K9&lt;='GENERADO PS locales'!$D169,K9*'SEP ORIGEN'!K9,"Excede capacidad PS")</f>
        <v>0</v>
      </c>
      <c r="L169" s="313">
        <f>IF(L9*'SEP ORIGEN'!L9&lt;='GENERADO PS locales'!$D169,L9*'SEP ORIGEN'!L9,"Excede capacidad PS")</f>
        <v>0</v>
      </c>
      <c r="M169" s="313">
        <f>IF(M9*'SEP ORIGEN'!M9&lt;='GENERADO PS locales'!$D169,M9*'SEP ORIGEN'!M9,"Excede capacidad PS")</f>
        <v>0</v>
      </c>
      <c r="N169" s="313">
        <f>IF(N9*'SEP ORIGEN'!N9&lt;='GENERADO PS locales'!$D169,N9*'SEP ORIGEN'!N9,"Excede capacidad PS")</f>
        <v>0</v>
      </c>
      <c r="O169" s="313">
        <f>IF(O9*'SEP ORIGEN'!O9&lt;='GENERADO PS locales'!$D169,O9*'SEP ORIGEN'!O9,"Excede capacidad PS")</f>
        <v>0</v>
      </c>
      <c r="P169" s="313">
        <f>IF(P9*'SEP ORIGEN'!P9&lt;='GENERADO PS locales'!$D169,P9*'SEP ORIGEN'!P9,"Excede capacidad PS")</f>
        <v>0</v>
      </c>
      <c r="Q169" s="313">
        <f>IF(Q9*'SEP ORIGEN'!Q9&lt;='GENERADO PS locales'!$D169,Q9*'SEP ORIGEN'!Q9,"Excede capacidad PS")</f>
        <v>0</v>
      </c>
      <c r="R169" s="313">
        <f>IF(R9*'SEP ORIGEN'!R9&lt;='GENERADO PS locales'!$D169,R9*'SEP ORIGEN'!R9,"Excede capacidad PS")</f>
        <v>0</v>
      </c>
      <c r="S169" s="313">
        <f>IF(S9*'SEP ORIGEN'!S9&lt;='GENERADO PS locales'!$D169,S9*'SEP ORIGEN'!S9,"Excede capacidad PS")</f>
        <v>0</v>
      </c>
      <c r="T169" s="313">
        <f>IF(T9*'SEP ORIGEN'!T9&lt;='GENERADO PS locales'!$D169,T9*'SEP ORIGEN'!T9,"Excede capacidad PS")</f>
        <v>0</v>
      </c>
      <c r="U169" s="313">
        <f>IF(U9*'SEP ORIGEN'!U9&lt;='GENERADO PS locales'!$D169,U9*'SEP ORIGEN'!U9,"Excede capacidad PS")</f>
        <v>0</v>
      </c>
      <c r="V169" s="313">
        <f>IF(V9*'SEP ORIGEN'!V9&lt;='GENERADO PS locales'!$D169,V9*'SEP ORIGEN'!V9,"Excede capacidad PS")</f>
        <v>0</v>
      </c>
      <c r="W169" s="313">
        <f>IF(W9*'SEP ORIGEN'!W9&lt;='GENERADO PS locales'!$D169,W9*'SEP ORIGEN'!W9,"Excede capacidad PS")</f>
        <v>0</v>
      </c>
      <c r="X169" s="313">
        <f>IF(X9*'SEP ORIGEN'!X9&lt;='GENERADO PS locales'!$D169,X9*'SEP ORIGEN'!X9,"Excede capacidad PS")</f>
        <v>0</v>
      </c>
      <c r="Y169" s="313">
        <f>IF(Y9*'SEP ORIGEN'!Y9&lt;='GENERADO PS locales'!$D169,Y9*'SEP ORIGEN'!Y9,"Excede capacidad PS")</f>
        <v>0</v>
      </c>
      <c r="Z169" s="313">
        <f>IF(Z9*'SEP ORIGEN'!Z9&lt;='GENERADO PS locales'!$D169,Z9*'SEP ORIGEN'!Z9,"Excede capacidad PS")</f>
        <v>0</v>
      </c>
    </row>
    <row r="170" spans="1:26" ht="24.95" customHeight="1">
      <c r="A170" s="260" t="str">
        <f>+Pobl_adoptada!A10</f>
        <v>Florencio Varela</v>
      </c>
      <c r="B170" s="70">
        <f>+Pobl_adoptada!B10</f>
        <v>6</v>
      </c>
      <c r="C170" s="71" t="str">
        <f>+Pobl_adoptada!C10</f>
        <v>Florencio Varela</v>
      </c>
      <c r="D170" s="311">
        <v>0</v>
      </c>
      <c r="E170" s="278"/>
      <c r="F170" s="263"/>
      <c r="G170" s="313">
        <f>IF(G10*'SEP ORIGEN'!G10&lt;='GENERADO PS locales'!$D170,G10*'SEP ORIGEN'!G10,"Excede capacidad PS")</f>
        <v>0</v>
      </c>
      <c r="H170" s="313">
        <f>IF(H10*'SEP ORIGEN'!H10&lt;='GENERADO PS locales'!$D170,H10*'SEP ORIGEN'!H10,"Excede capacidad PS")</f>
        <v>0</v>
      </c>
      <c r="I170" s="313">
        <f>IF(I10*'SEP ORIGEN'!I10&lt;='GENERADO PS locales'!$D170,I10*'SEP ORIGEN'!I10,"Excede capacidad PS")</f>
        <v>0</v>
      </c>
      <c r="J170" s="313">
        <f>IF(J10*'SEP ORIGEN'!J10&lt;='GENERADO PS locales'!$D170,J10*'SEP ORIGEN'!J10,"Excede capacidad PS")</f>
        <v>0</v>
      </c>
      <c r="K170" s="313">
        <f>IF(K10*'SEP ORIGEN'!K10&lt;='GENERADO PS locales'!$D170,K10*'SEP ORIGEN'!K10,"Excede capacidad PS")</f>
        <v>0</v>
      </c>
      <c r="L170" s="313">
        <f>IF(L10*'SEP ORIGEN'!L10&lt;='GENERADO PS locales'!$D170,L10*'SEP ORIGEN'!L10,"Excede capacidad PS")</f>
        <v>0</v>
      </c>
      <c r="M170" s="313">
        <f>IF(M10*'SEP ORIGEN'!M10&lt;='GENERADO PS locales'!$D170,M10*'SEP ORIGEN'!M10,"Excede capacidad PS")</f>
        <v>0</v>
      </c>
      <c r="N170" s="313">
        <f>IF(N10*'SEP ORIGEN'!N10&lt;='GENERADO PS locales'!$D170,N10*'SEP ORIGEN'!N10,"Excede capacidad PS")</f>
        <v>0</v>
      </c>
      <c r="O170" s="313">
        <f>IF(O10*'SEP ORIGEN'!O10&lt;='GENERADO PS locales'!$D170,O10*'SEP ORIGEN'!O10,"Excede capacidad PS")</f>
        <v>0</v>
      </c>
      <c r="P170" s="313">
        <f>IF(P10*'SEP ORIGEN'!P10&lt;='GENERADO PS locales'!$D170,P10*'SEP ORIGEN'!P10,"Excede capacidad PS")</f>
        <v>0</v>
      </c>
      <c r="Q170" s="313">
        <f>IF(Q10*'SEP ORIGEN'!Q10&lt;='GENERADO PS locales'!$D170,Q10*'SEP ORIGEN'!Q10,"Excede capacidad PS")</f>
        <v>0</v>
      </c>
      <c r="R170" s="313">
        <f>IF(R10*'SEP ORIGEN'!R10&lt;='GENERADO PS locales'!$D170,R10*'SEP ORIGEN'!R10,"Excede capacidad PS")</f>
        <v>0</v>
      </c>
      <c r="S170" s="313">
        <f>IF(S10*'SEP ORIGEN'!S10&lt;='GENERADO PS locales'!$D170,S10*'SEP ORIGEN'!S10,"Excede capacidad PS")</f>
        <v>0</v>
      </c>
      <c r="T170" s="313">
        <f>IF(T10*'SEP ORIGEN'!T10&lt;='GENERADO PS locales'!$D170,T10*'SEP ORIGEN'!T10,"Excede capacidad PS")</f>
        <v>0</v>
      </c>
      <c r="U170" s="313">
        <f>IF(U10*'SEP ORIGEN'!U10&lt;='GENERADO PS locales'!$D170,U10*'SEP ORIGEN'!U10,"Excede capacidad PS")</f>
        <v>0</v>
      </c>
      <c r="V170" s="313">
        <f>IF(V10*'SEP ORIGEN'!V10&lt;='GENERADO PS locales'!$D170,V10*'SEP ORIGEN'!V10,"Excede capacidad PS")</f>
        <v>0</v>
      </c>
      <c r="W170" s="313">
        <f>IF(W10*'SEP ORIGEN'!W10&lt;='GENERADO PS locales'!$D170,W10*'SEP ORIGEN'!W10,"Excede capacidad PS")</f>
        <v>0</v>
      </c>
      <c r="X170" s="313">
        <f>IF(X10*'SEP ORIGEN'!X10&lt;='GENERADO PS locales'!$D170,X10*'SEP ORIGEN'!X10,"Excede capacidad PS")</f>
        <v>0</v>
      </c>
      <c r="Y170" s="313">
        <f>IF(Y10*'SEP ORIGEN'!Y10&lt;='GENERADO PS locales'!$D170,Y10*'SEP ORIGEN'!Y10,"Excede capacidad PS")</f>
        <v>0</v>
      </c>
      <c r="Z170" s="313">
        <f>IF(Z10*'SEP ORIGEN'!Z10&lt;='GENERADO PS locales'!$D170,Z10*'SEP ORIGEN'!Z10,"Excede capacidad PS")</f>
        <v>0</v>
      </c>
    </row>
    <row r="171" spans="1:26" ht="24.95" customHeight="1">
      <c r="A171" s="260" t="str">
        <f>+Pobl_adoptada!A11</f>
        <v>General San Martín</v>
      </c>
      <c r="B171" s="70">
        <f>+Pobl_adoptada!B11</f>
        <v>7</v>
      </c>
      <c r="C171" s="71" t="str">
        <f>+Pobl_adoptada!C11</f>
        <v>General San Martín</v>
      </c>
      <c r="D171" s="311">
        <v>0</v>
      </c>
      <c r="E171" s="278"/>
      <c r="F171" s="263"/>
      <c r="G171" s="313">
        <f>IF(G11*'SEP ORIGEN'!G11&lt;='GENERADO PS locales'!$D171,G11*'SEP ORIGEN'!G11,"Excede capacidad PS")</f>
        <v>0</v>
      </c>
      <c r="H171" s="313">
        <f>IF(H11*'SEP ORIGEN'!H11&lt;='GENERADO PS locales'!$D171,H11*'SEP ORIGEN'!H11,"Excede capacidad PS")</f>
        <v>0</v>
      </c>
      <c r="I171" s="313">
        <f>IF(I11*'SEP ORIGEN'!I11&lt;='GENERADO PS locales'!$D171,I11*'SEP ORIGEN'!I11,"Excede capacidad PS")</f>
        <v>0</v>
      </c>
      <c r="J171" s="313">
        <f>IF(J11*'SEP ORIGEN'!J11&lt;='GENERADO PS locales'!$D171,J11*'SEP ORIGEN'!J11,"Excede capacidad PS")</f>
        <v>0</v>
      </c>
      <c r="K171" s="313">
        <f>IF(K11*'SEP ORIGEN'!K11&lt;='GENERADO PS locales'!$D171,K11*'SEP ORIGEN'!K11,"Excede capacidad PS")</f>
        <v>0</v>
      </c>
      <c r="L171" s="313">
        <f>IF(L11*'SEP ORIGEN'!L11&lt;='GENERADO PS locales'!$D171,L11*'SEP ORIGEN'!L11,"Excede capacidad PS")</f>
        <v>0</v>
      </c>
      <c r="M171" s="313">
        <f>IF(M11*'SEP ORIGEN'!M11&lt;='GENERADO PS locales'!$D171,M11*'SEP ORIGEN'!M11,"Excede capacidad PS")</f>
        <v>0</v>
      </c>
      <c r="N171" s="313">
        <f>IF(N11*'SEP ORIGEN'!N11&lt;='GENERADO PS locales'!$D171,N11*'SEP ORIGEN'!N11,"Excede capacidad PS")</f>
        <v>0</v>
      </c>
      <c r="O171" s="313">
        <f>IF(O11*'SEP ORIGEN'!O11&lt;='GENERADO PS locales'!$D171,O11*'SEP ORIGEN'!O11,"Excede capacidad PS")</f>
        <v>0</v>
      </c>
      <c r="P171" s="313">
        <f>IF(P11*'SEP ORIGEN'!P11&lt;='GENERADO PS locales'!$D171,P11*'SEP ORIGEN'!P11,"Excede capacidad PS")</f>
        <v>0</v>
      </c>
      <c r="Q171" s="313">
        <f>IF(Q11*'SEP ORIGEN'!Q11&lt;='GENERADO PS locales'!$D171,Q11*'SEP ORIGEN'!Q11,"Excede capacidad PS")</f>
        <v>0</v>
      </c>
      <c r="R171" s="313">
        <f>IF(R11*'SEP ORIGEN'!R11&lt;='GENERADO PS locales'!$D171,R11*'SEP ORIGEN'!R11,"Excede capacidad PS")</f>
        <v>0</v>
      </c>
      <c r="S171" s="313">
        <f>IF(S11*'SEP ORIGEN'!S11&lt;='GENERADO PS locales'!$D171,S11*'SEP ORIGEN'!S11,"Excede capacidad PS")</f>
        <v>0</v>
      </c>
      <c r="T171" s="313">
        <f>IF(T11*'SEP ORIGEN'!T11&lt;='GENERADO PS locales'!$D171,T11*'SEP ORIGEN'!T11,"Excede capacidad PS")</f>
        <v>0</v>
      </c>
      <c r="U171" s="313">
        <f>IF(U11*'SEP ORIGEN'!U11&lt;='GENERADO PS locales'!$D171,U11*'SEP ORIGEN'!U11,"Excede capacidad PS")</f>
        <v>0</v>
      </c>
      <c r="V171" s="313">
        <f>IF(V11*'SEP ORIGEN'!V11&lt;='GENERADO PS locales'!$D171,V11*'SEP ORIGEN'!V11,"Excede capacidad PS")</f>
        <v>0</v>
      </c>
      <c r="W171" s="313">
        <f>IF(W11*'SEP ORIGEN'!W11&lt;='GENERADO PS locales'!$D171,W11*'SEP ORIGEN'!W11,"Excede capacidad PS")</f>
        <v>0</v>
      </c>
      <c r="X171" s="313">
        <f>IF(X11*'SEP ORIGEN'!X11&lt;='GENERADO PS locales'!$D171,X11*'SEP ORIGEN'!X11,"Excede capacidad PS")</f>
        <v>0</v>
      </c>
      <c r="Y171" s="313">
        <f>IF(Y11*'SEP ORIGEN'!Y11&lt;='GENERADO PS locales'!$D171,Y11*'SEP ORIGEN'!Y11,"Excede capacidad PS")</f>
        <v>0</v>
      </c>
      <c r="Z171" s="313">
        <f>IF(Z11*'SEP ORIGEN'!Z11&lt;='GENERADO PS locales'!$D171,Z11*'SEP ORIGEN'!Z11,"Excede capacidad PS")</f>
        <v>0</v>
      </c>
    </row>
    <row r="172" spans="1:26" ht="24.95" customHeight="1">
      <c r="A172" s="260" t="str">
        <f>+Pobl_adoptada!A12</f>
        <v>Hurlingham</v>
      </c>
      <c r="B172" s="70">
        <f>+Pobl_adoptada!B12</f>
        <v>8</v>
      </c>
      <c r="C172" s="71" t="str">
        <f>+Pobl_adoptada!C12</f>
        <v>Hurlingham</v>
      </c>
      <c r="D172" s="311">
        <v>0</v>
      </c>
      <c r="E172" s="278"/>
      <c r="F172" s="263"/>
      <c r="G172" s="313">
        <f>IF(G12*'SEP ORIGEN'!G12&lt;='GENERADO PS locales'!$D172,G12*'SEP ORIGEN'!G12,"Excede capacidad PS")</f>
        <v>0</v>
      </c>
      <c r="H172" s="313">
        <f>IF(H12*'SEP ORIGEN'!H12&lt;='GENERADO PS locales'!$D172,H12*'SEP ORIGEN'!H12,"Excede capacidad PS")</f>
        <v>0</v>
      </c>
      <c r="I172" s="313">
        <f>IF(I12*'SEP ORIGEN'!I12&lt;='GENERADO PS locales'!$D172,I12*'SEP ORIGEN'!I12,"Excede capacidad PS")</f>
        <v>0</v>
      </c>
      <c r="J172" s="313">
        <f>IF(J12*'SEP ORIGEN'!J12&lt;='GENERADO PS locales'!$D172,J12*'SEP ORIGEN'!J12,"Excede capacidad PS")</f>
        <v>0</v>
      </c>
      <c r="K172" s="313">
        <f>IF(K12*'SEP ORIGEN'!K12&lt;='GENERADO PS locales'!$D172,K12*'SEP ORIGEN'!K12,"Excede capacidad PS")</f>
        <v>0</v>
      </c>
      <c r="L172" s="313">
        <f>IF(L12*'SEP ORIGEN'!L12&lt;='GENERADO PS locales'!$D172,L12*'SEP ORIGEN'!L12,"Excede capacidad PS")</f>
        <v>0</v>
      </c>
      <c r="M172" s="313">
        <f>IF(M12*'SEP ORIGEN'!M12&lt;='GENERADO PS locales'!$D172,M12*'SEP ORIGEN'!M12,"Excede capacidad PS")</f>
        <v>0</v>
      </c>
      <c r="N172" s="313">
        <f>IF(N12*'SEP ORIGEN'!N12&lt;='GENERADO PS locales'!$D172,N12*'SEP ORIGEN'!N12,"Excede capacidad PS")</f>
        <v>0</v>
      </c>
      <c r="O172" s="313">
        <f>IF(O12*'SEP ORIGEN'!O12&lt;='GENERADO PS locales'!$D172,O12*'SEP ORIGEN'!O12,"Excede capacidad PS")</f>
        <v>0</v>
      </c>
      <c r="P172" s="313">
        <f>IF(P12*'SEP ORIGEN'!P12&lt;='GENERADO PS locales'!$D172,P12*'SEP ORIGEN'!P12,"Excede capacidad PS")</f>
        <v>0</v>
      </c>
      <c r="Q172" s="313">
        <f>IF(Q12*'SEP ORIGEN'!Q12&lt;='GENERADO PS locales'!$D172,Q12*'SEP ORIGEN'!Q12,"Excede capacidad PS")</f>
        <v>0</v>
      </c>
      <c r="R172" s="313">
        <f>IF(R12*'SEP ORIGEN'!R12&lt;='GENERADO PS locales'!$D172,R12*'SEP ORIGEN'!R12,"Excede capacidad PS")</f>
        <v>0</v>
      </c>
      <c r="S172" s="313">
        <f>IF(S12*'SEP ORIGEN'!S12&lt;='GENERADO PS locales'!$D172,S12*'SEP ORIGEN'!S12,"Excede capacidad PS")</f>
        <v>0</v>
      </c>
      <c r="T172" s="313">
        <f>IF(T12*'SEP ORIGEN'!T12&lt;='GENERADO PS locales'!$D172,T12*'SEP ORIGEN'!T12,"Excede capacidad PS")</f>
        <v>0</v>
      </c>
      <c r="U172" s="313">
        <f>IF(U12*'SEP ORIGEN'!U12&lt;='GENERADO PS locales'!$D172,U12*'SEP ORIGEN'!U12,"Excede capacidad PS")</f>
        <v>0</v>
      </c>
      <c r="V172" s="313">
        <f>IF(V12*'SEP ORIGEN'!V12&lt;='GENERADO PS locales'!$D172,V12*'SEP ORIGEN'!V12,"Excede capacidad PS")</f>
        <v>0</v>
      </c>
      <c r="W172" s="313">
        <f>IF(W12*'SEP ORIGEN'!W12&lt;='GENERADO PS locales'!$D172,W12*'SEP ORIGEN'!W12,"Excede capacidad PS")</f>
        <v>0</v>
      </c>
      <c r="X172" s="313">
        <f>IF(X12*'SEP ORIGEN'!X12&lt;='GENERADO PS locales'!$D172,X12*'SEP ORIGEN'!X12,"Excede capacidad PS")</f>
        <v>0</v>
      </c>
      <c r="Y172" s="313">
        <f>IF(Y12*'SEP ORIGEN'!Y12&lt;='GENERADO PS locales'!$D172,Y12*'SEP ORIGEN'!Y12,"Excede capacidad PS")</f>
        <v>0</v>
      </c>
      <c r="Z172" s="313">
        <f>IF(Z12*'SEP ORIGEN'!Z12&lt;='GENERADO PS locales'!$D172,Z12*'SEP ORIGEN'!Z12,"Excede capacidad PS")</f>
        <v>0</v>
      </c>
    </row>
    <row r="173" spans="1:26" ht="24.95" customHeight="1">
      <c r="A173" s="260" t="str">
        <f>+Pobl_adoptada!A13</f>
        <v>Ituzaingó</v>
      </c>
      <c r="B173" s="70">
        <f>+Pobl_adoptada!B13</f>
        <v>9</v>
      </c>
      <c r="C173" s="71" t="str">
        <f>+Pobl_adoptada!C13</f>
        <v>Ituzaingó</v>
      </c>
      <c r="D173" s="311">
        <v>0</v>
      </c>
      <c r="E173" s="278"/>
      <c r="F173" s="263"/>
      <c r="G173" s="313">
        <f>IF(G13*'SEP ORIGEN'!G13&lt;='GENERADO PS locales'!$D173,G13*'SEP ORIGEN'!G13,"Excede capacidad PS")</f>
        <v>0</v>
      </c>
      <c r="H173" s="313">
        <f>IF(H13*'SEP ORIGEN'!H13&lt;='GENERADO PS locales'!$D173,H13*'SEP ORIGEN'!H13,"Excede capacidad PS")</f>
        <v>0</v>
      </c>
      <c r="I173" s="313">
        <f>IF(I13*'SEP ORIGEN'!I13&lt;='GENERADO PS locales'!$D173,I13*'SEP ORIGEN'!I13,"Excede capacidad PS")</f>
        <v>0</v>
      </c>
      <c r="J173" s="313">
        <f>IF(J13*'SEP ORIGEN'!J13&lt;='GENERADO PS locales'!$D173,J13*'SEP ORIGEN'!J13,"Excede capacidad PS")</f>
        <v>0</v>
      </c>
      <c r="K173" s="313">
        <f>IF(K13*'SEP ORIGEN'!K13&lt;='GENERADO PS locales'!$D173,K13*'SEP ORIGEN'!K13,"Excede capacidad PS")</f>
        <v>0</v>
      </c>
      <c r="L173" s="313">
        <f>IF(L13*'SEP ORIGEN'!L13&lt;='GENERADO PS locales'!$D173,L13*'SEP ORIGEN'!L13,"Excede capacidad PS")</f>
        <v>0</v>
      </c>
      <c r="M173" s="313">
        <f>IF(M13*'SEP ORIGEN'!M13&lt;='GENERADO PS locales'!$D173,M13*'SEP ORIGEN'!M13,"Excede capacidad PS")</f>
        <v>0</v>
      </c>
      <c r="N173" s="313">
        <f>IF(N13*'SEP ORIGEN'!N13&lt;='GENERADO PS locales'!$D173,N13*'SEP ORIGEN'!N13,"Excede capacidad PS")</f>
        <v>0</v>
      </c>
      <c r="O173" s="313">
        <f>IF(O13*'SEP ORIGEN'!O13&lt;='GENERADO PS locales'!$D173,O13*'SEP ORIGEN'!O13,"Excede capacidad PS")</f>
        <v>0</v>
      </c>
      <c r="P173" s="313">
        <f>IF(P13*'SEP ORIGEN'!P13&lt;='GENERADO PS locales'!$D173,P13*'SEP ORIGEN'!P13,"Excede capacidad PS")</f>
        <v>0</v>
      </c>
      <c r="Q173" s="313">
        <f>IF(Q13*'SEP ORIGEN'!Q13&lt;='GENERADO PS locales'!$D173,Q13*'SEP ORIGEN'!Q13,"Excede capacidad PS")</f>
        <v>0</v>
      </c>
      <c r="R173" s="313">
        <f>IF(R13*'SEP ORIGEN'!R13&lt;='GENERADO PS locales'!$D173,R13*'SEP ORIGEN'!R13,"Excede capacidad PS")</f>
        <v>0</v>
      </c>
      <c r="S173" s="313">
        <f>IF(S13*'SEP ORIGEN'!S13&lt;='GENERADO PS locales'!$D173,S13*'SEP ORIGEN'!S13,"Excede capacidad PS")</f>
        <v>0</v>
      </c>
      <c r="T173" s="313">
        <f>IF(T13*'SEP ORIGEN'!T13&lt;='GENERADO PS locales'!$D173,T13*'SEP ORIGEN'!T13,"Excede capacidad PS")</f>
        <v>0</v>
      </c>
      <c r="U173" s="313">
        <f>IF(U13*'SEP ORIGEN'!U13&lt;='GENERADO PS locales'!$D173,U13*'SEP ORIGEN'!U13,"Excede capacidad PS")</f>
        <v>0</v>
      </c>
      <c r="V173" s="313">
        <f>IF(V13*'SEP ORIGEN'!V13&lt;='GENERADO PS locales'!$D173,V13*'SEP ORIGEN'!V13,"Excede capacidad PS")</f>
        <v>0</v>
      </c>
      <c r="W173" s="313">
        <f>IF(W13*'SEP ORIGEN'!W13&lt;='GENERADO PS locales'!$D173,W13*'SEP ORIGEN'!W13,"Excede capacidad PS")</f>
        <v>0</v>
      </c>
      <c r="X173" s="313">
        <f>IF(X13*'SEP ORIGEN'!X13&lt;='GENERADO PS locales'!$D173,X13*'SEP ORIGEN'!X13,"Excede capacidad PS")</f>
        <v>0</v>
      </c>
      <c r="Y173" s="313">
        <f>IF(Y13*'SEP ORIGEN'!Y13&lt;='GENERADO PS locales'!$D173,Y13*'SEP ORIGEN'!Y13,"Excede capacidad PS")</f>
        <v>0</v>
      </c>
      <c r="Z173" s="313">
        <f>IF(Z13*'SEP ORIGEN'!Z13&lt;='GENERADO PS locales'!$D173,Z13*'SEP ORIGEN'!Z13,"Excede capacidad PS")</f>
        <v>0</v>
      </c>
    </row>
    <row r="174" spans="1:26" ht="24.95" customHeight="1">
      <c r="A174" s="260" t="str">
        <f>+Pobl_adoptada!A14</f>
        <v>José C. Paz</v>
      </c>
      <c r="B174" s="70">
        <f>+Pobl_adoptada!B14</f>
        <v>10</v>
      </c>
      <c r="C174" s="71" t="str">
        <f>+Pobl_adoptada!C14</f>
        <v>José C. Paz</v>
      </c>
      <c r="D174" s="311">
        <v>0</v>
      </c>
      <c r="E174" s="278"/>
      <c r="F174" s="263"/>
      <c r="G174" s="313">
        <f>IF(G14*'SEP ORIGEN'!G14&lt;='GENERADO PS locales'!$D174,G14*'SEP ORIGEN'!G14,"Excede capacidad PS")</f>
        <v>0</v>
      </c>
      <c r="H174" s="313">
        <f>IF(H14*'SEP ORIGEN'!H14&lt;='GENERADO PS locales'!$D174,H14*'SEP ORIGEN'!H14,"Excede capacidad PS")</f>
        <v>0</v>
      </c>
      <c r="I174" s="313">
        <f>IF(I14*'SEP ORIGEN'!I14&lt;='GENERADO PS locales'!$D174,I14*'SEP ORIGEN'!I14,"Excede capacidad PS")</f>
        <v>0</v>
      </c>
      <c r="J174" s="313">
        <f>IF(J14*'SEP ORIGEN'!J14&lt;='GENERADO PS locales'!$D174,J14*'SEP ORIGEN'!J14,"Excede capacidad PS")</f>
        <v>0</v>
      </c>
      <c r="K174" s="313">
        <f>IF(K14*'SEP ORIGEN'!K14&lt;='GENERADO PS locales'!$D174,K14*'SEP ORIGEN'!K14,"Excede capacidad PS")</f>
        <v>0</v>
      </c>
      <c r="L174" s="313">
        <f>IF(L14*'SEP ORIGEN'!L14&lt;='GENERADO PS locales'!$D174,L14*'SEP ORIGEN'!L14,"Excede capacidad PS")</f>
        <v>0</v>
      </c>
      <c r="M174" s="313">
        <f>IF(M14*'SEP ORIGEN'!M14&lt;='GENERADO PS locales'!$D174,M14*'SEP ORIGEN'!M14,"Excede capacidad PS")</f>
        <v>0</v>
      </c>
      <c r="N174" s="313">
        <f>IF(N14*'SEP ORIGEN'!N14&lt;='GENERADO PS locales'!$D174,N14*'SEP ORIGEN'!N14,"Excede capacidad PS")</f>
        <v>0</v>
      </c>
      <c r="O174" s="313">
        <f>IF(O14*'SEP ORIGEN'!O14&lt;='GENERADO PS locales'!$D174,O14*'SEP ORIGEN'!O14,"Excede capacidad PS")</f>
        <v>0</v>
      </c>
      <c r="P174" s="313">
        <f>IF(P14*'SEP ORIGEN'!P14&lt;='GENERADO PS locales'!$D174,P14*'SEP ORIGEN'!P14,"Excede capacidad PS")</f>
        <v>0</v>
      </c>
      <c r="Q174" s="313">
        <f>IF(Q14*'SEP ORIGEN'!Q14&lt;='GENERADO PS locales'!$D174,Q14*'SEP ORIGEN'!Q14,"Excede capacidad PS")</f>
        <v>0</v>
      </c>
      <c r="R174" s="313">
        <f>IF(R14*'SEP ORIGEN'!R14&lt;='GENERADO PS locales'!$D174,R14*'SEP ORIGEN'!R14,"Excede capacidad PS")</f>
        <v>0</v>
      </c>
      <c r="S174" s="313">
        <f>IF(S14*'SEP ORIGEN'!S14&lt;='GENERADO PS locales'!$D174,S14*'SEP ORIGEN'!S14,"Excede capacidad PS")</f>
        <v>0</v>
      </c>
      <c r="T174" s="313">
        <f>IF(T14*'SEP ORIGEN'!T14&lt;='GENERADO PS locales'!$D174,T14*'SEP ORIGEN'!T14,"Excede capacidad PS")</f>
        <v>0</v>
      </c>
      <c r="U174" s="313">
        <f>IF(U14*'SEP ORIGEN'!U14&lt;='GENERADO PS locales'!$D174,U14*'SEP ORIGEN'!U14,"Excede capacidad PS")</f>
        <v>0</v>
      </c>
      <c r="V174" s="313">
        <f>IF(V14*'SEP ORIGEN'!V14&lt;='GENERADO PS locales'!$D174,V14*'SEP ORIGEN'!V14,"Excede capacidad PS")</f>
        <v>0</v>
      </c>
      <c r="W174" s="313">
        <f>IF(W14*'SEP ORIGEN'!W14&lt;='GENERADO PS locales'!$D174,W14*'SEP ORIGEN'!W14,"Excede capacidad PS")</f>
        <v>0</v>
      </c>
      <c r="X174" s="313">
        <f>IF(X14*'SEP ORIGEN'!X14&lt;='GENERADO PS locales'!$D174,X14*'SEP ORIGEN'!X14,"Excede capacidad PS")</f>
        <v>0</v>
      </c>
      <c r="Y174" s="313">
        <f>IF(Y14*'SEP ORIGEN'!Y14&lt;='GENERADO PS locales'!$D174,Y14*'SEP ORIGEN'!Y14,"Excede capacidad PS")</f>
        <v>0</v>
      </c>
      <c r="Z174" s="313">
        <f>IF(Z14*'SEP ORIGEN'!Z14&lt;='GENERADO PS locales'!$D174,Z14*'SEP ORIGEN'!Z14,"Excede capacidad PS")</f>
        <v>0</v>
      </c>
    </row>
    <row r="175" spans="1:26" ht="24.95" customHeight="1">
      <c r="A175" s="260" t="str">
        <f>+Pobl_adoptada!A15</f>
        <v>La Matanza</v>
      </c>
      <c r="B175" s="70">
        <f>+Pobl_adoptada!B15</f>
        <v>11</v>
      </c>
      <c r="C175" s="71" t="str">
        <f>+Pobl_adoptada!C15</f>
        <v>La Matanza</v>
      </c>
      <c r="D175" s="311">
        <v>0</v>
      </c>
      <c r="E175" s="278"/>
      <c r="F175" s="263"/>
      <c r="G175" s="313">
        <f>IF(G15*'SEP ORIGEN'!G15&lt;='GENERADO PS locales'!$D175,G15*'SEP ORIGEN'!G15,"Excede capacidad PS")</f>
        <v>0</v>
      </c>
      <c r="H175" s="313">
        <f>IF(H15*'SEP ORIGEN'!H15&lt;='GENERADO PS locales'!$D175,H15*'SEP ORIGEN'!H15,"Excede capacidad PS")</f>
        <v>0</v>
      </c>
      <c r="I175" s="313">
        <f>IF(I15*'SEP ORIGEN'!I15&lt;='GENERADO PS locales'!$D175,I15*'SEP ORIGEN'!I15,"Excede capacidad PS")</f>
        <v>0</v>
      </c>
      <c r="J175" s="313">
        <f>IF(J15*'SEP ORIGEN'!J15&lt;='GENERADO PS locales'!$D175,J15*'SEP ORIGEN'!J15,"Excede capacidad PS")</f>
        <v>0</v>
      </c>
      <c r="K175" s="313">
        <f>IF(K15*'SEP ORIGEN'!K15&lt;='GENERADO PS locales'!$D175,K15*'SEP ORIGEN'!K15,"Excede capacidad PS")</f>
        <v>0</v>
      </c>
      <c r="L175" s="313">
        <f>IF(L15*'SEP ORIGEN'!L15&lt;='GENERADO PS locales'!$D175,L15*'SEP ORIGEN'!L15,"Excede capacidad PS")</f>
        <v>0</v>
      </c>
      <c r="M175" s="313">
        <f>IF(M15*'SEP ORIGEN'!M15&lt;='GENERADO PS locales'!$D175,M15*'SEP ORIGEN'!M15,"Excede capacidad PS")</f>
        <v>0</v>
      </c>
      <c r="N175" s="313">
        <f>IF(N15*'SEP ORIGEN'!N15&lt;='GENERADO PS locales'!$D175,N15*'SEP ORIGEN'!N15,"Excede capacidad PS")</f>
        <v>0</v>
      </c>
      <c r="O175" s="313">
        <f>IF(O15*'SEP ORIGEN'!O15&lt;='GENERADO PS locales'!$D175,O15*'SEP ORIGEN'!O15,"Excede capacidad PS")</f>
        <v>0</v>
      </c>
      <c r="P175" s="313">
        <f>IF(P15*'SEP ORIGEN'!P15&lt;='GENERADO PS locales'!$D175,P15*'SEP ORIGEN'!P15,"Excede capacidad PS")</f>
        <v>0</v>
      </c>
      <c r="Q175" s="313">
        <f>IF(Q15*'SEP ORIGEN'!Q15&lt;='GENERADO PS locales'!$D175,Q15*'SEP ORIGEN'!Q15,"Excede capacidad PS")</f>
        <v>0</v>
      </c>
      <c r="R175" s="313">
        <f>IF(R15*'SEP ORIGEN'!R15&lt;='GENERADO PS locales'!$D175,R15*'SEP ORIGEN'!R15,"Excede capacidad PS")</f>
        <v>0</v>
      </c>
      <c r="S175" s="313">
        <f>IF(S15*'SEP ORIGEN'!S15&lt;='GENERADO PS locales'!$D175,S15*'SEP ORIGEN'!S15,"Excede capacidad PS")</f>
        <v>0</v>
      </c>
      <c r="T175" s="313">
        <f>IF(T15*'SEP ORIGEN'!T15&lt;='GENERADO PS locales'!$D175,T15*'SEP ORIGEN'!T15,"Excede capacidad PS")</f>
        <v>0</v>
      </c>
      <c r="U175" s="313">
        <f>IF(U15*'SEP ORIGEN'!U15&lt;='GENERADO PS locales'!$D175,U15*'SEP ORIGEN'!U15,"Excede capacidad PS")</f>
        <v>0</v>
      </c>
      <c r="V175" s="313">
        <f>IF(V15*'SEP ORIGEN'!V15&lt;='GENERADO PS locales'!$D175,V15*'SEP ORIGEN'!V15,"Excede capacidad PS")</f>
        <v>0</v>
      </c>
      <c r="W175" s="313">
        <f>IF(W15*'SEP ORIGEN'!W15&lt;='GENERADO PS locales'!$D175,W15*'SEP ORIGEN'!W15,"Excede capacidad PS")</f>
        <v>0</v>
      </c>
      <c r="X175" s="313">
        <f>IF(X15*'SEP ORIGEN'!X15&lt;='GENERADO PS locales'!$D175,X15*'SEP ORIGEN'!X15,"Excede capacidad PS")</f>
        <v>0</v>
      </c>
      <c r="Y175" s="313">
        <f>IF(Y15*'SEP ORIGEN'!Y15&lt;='GENERADO PS locales'!$D175,Y15*'SEP ORIGEN'!Y15,"Excede capacidad PS")</f>
        <v>0</v>
      </c>
      <c r="Z175" s="313">
        <f>IF(Z15*'SEP ORIGEN'!Z15&lt;='GENERADO PS locales'!$D175,Z15*'SEP ORIGEN'!Z15,"Excede capacidad PS")</f>
        <v>0</v>
      </c>
    </row>
    <row r="176" spans="1:26" ht="24.95" customHeight="1">
      <c r="A176" s="260" t="str">
        <f>+Pobl_adoptada!A16</f>
        <v>Lanús</v>
      </c>
      <c r="B176" s="70">
        <f>+Pobl_adoptada!B16</f>
        <v>12</v>
      </c>
      <c r="C176" s="71" t="str">
        <f>+Pobl_adoptada!C16</f>
        <v>Lanús</v>
      </c>
      <c r="D176" s="311">
        <v>0</v>
      </c>
      <c r="E176" s="278"/>
      <c r="F176" s="263"/>
      <c r="G176" s="313">
        <f>IF(G16*'SEP ORIGEN'!G16&lt;='GENERADO PS locales'!$D176,G16*'SEP ORIGEN'!G16,"Excede capacidad PS")</f>
        <v>0</v>
      </c>
      <c r="H176" s="313">
        <f>IF(H16*'SEP ORIGEN'!H16&lt;='GENERADO PS locales'!$D176,H16*'SEP ORIGEN'!H16,"Excede capacidad PS")</f>
        <v>0</v>
      </c>
      <c r="I176" s="313">
        <f>IF(I16*'SEP ORIGEN'!I16&lt;='GENERADO PS locales'!$D176,I16*'SEP ORIGEN'!I16,"Excede capacidad PS")</f>
        <v>0</v>
      </c>
      <c r="J176" s="313">
        <f>IF(J16*'SEP ORIGEN'!J16&lt;='GENERADO PS locales'!$D176,J16*'SEP ORIGEN'!J16,"Excede capacidad PS")</f>
        <v>0</v>
      </c>
      <c r="K176" s="313">
        <f>IF(K16*'SEP ORIGEN'!K16&lt;='GENERADO PS locales'!$D176,K16*'SEP ORIGEN'!K16,"Excede capacidad PS")</f>
        <v>0</v>
      </c>
      <c r="L176" s="313">
        <f>IF(L16*'SEP ORIGEN'!L16&lt;='GENERADO PS locales'!$D176,L16*'SEP ORIGEN'!L16,"Excede capacidad PS")</f>
        <v>0</v>
      </c>
      <c r="M176" s="313">
        <f>IF(M16*'SEP ORIGEN'!M16&lt;='GENERADO PS locales'!$D176,M16*'SEP ORIGEN'!M16,"Excede capacidad PS")</f>
        <v>0</v>
      </c>
      <c r="N176" s="313">
        <f>IF(N16*'SEP ORIGEN'!N16&lt;='GENERADO PS locales'!$D176,N16*'SEP ORIGEN'!N16,"Excede capacidad PS")</f>
        <v>0</v>
      </c>
      <c r="O176" s="313">
        <f>IF(O16*'SEP ORIGEN'!O16&lt;='GENERADO PS locales'!$D176,O16*'SEP ORIGEN'!O16,"Excede capacidad PS")</f>
        <v>0</v>
      </c>
      <c r="P176" s="313">
        <f>IF(P16*'SEP ORIGEN'!P16&lt;='GENERADO PS locales'!$D176,P16*'SEP ORIGEN'!P16,"Excede capacidad PS")</f>
        <v>0</v>
      </c>
      <c r="Q176" s="313">
        <f>IF(Q16*'SEP ORIGEN'!Q16&lt;='GENERADO PS locales'!$D176,Q16*'SEP ORIGEN'!Q16,"Excede capacidad PS")</f>
        <v>0</v>
      </c>
      <c r="R176" s="313">
        <f>IF(R16*'SEP ORIGEN'!R16&lt;='GENERADO PS locales'!$D176,R16*'SEP ORIGEN'!R16,"Excede capacidad PS")</f>
        <v>0</v>
      </c>
      <c r="S176" s="313">
        <f>IF(S16*'SEP ORIGEN'!S16&lt;='GENERADO PS locales'!$D176,S16*'SEP ORIGEN'!S16,"Excede capacidad PS")</f>
        <v>0</v>
      </c>
      <c r="T176" s="313">
        <f>IF(T16*'SEP ORIGEN'!T16&lt;='GENERADO PS locales'!$D176,T16*'SEP ORIGEN'!T16,"Excede capacidad PS")</f>
        <v>0</v>
      </c>
      <c r="U176" s="313">
        <f>IF(U16*'SEP ORIGEN'!U16&lt;='GENERADO PS locales'!$D176,U16*'SEP ORIGEN'!U16,"Excede capacidad PS")</f>
        <v>0</v>
      </c>
      <c r="V176" s="313">
        <f>IF(V16*'SEP ORIGEN'!V16&lt;='GENERADO PS locales'!$D176,V16*'SEP ORIGEN'!V16,"Excede capacidad PS")</f>
        <v>0</v>
      </c>
      <c r="W176" s="313">
        <f>IF(W16*'SEP ORIGEN'!W16&lt;='GENERADO PS locales'!$D176,W16*'SEP ORIGEN'!W16,"Excede capacidad PS")</f>
        <v>0</v>
      </c>
      <c r="X176" s="313">
        <f>IF(X16*'SEP ORIGEN'!X16&lt;='GENERADO PS locales'!$D176,X16*'SEP ORIGEN'!X16,"Excede capacidad PS")</f>
        <v>0</v>
      </c>
      <c r="Y176" s="313">
        <f>IF(Y16*'SEP ORIGEN'!Y16&lt;='GENERADO PS locales'!$D176,Y16*'SEP ORIGEN'!Y16,"Excede capacidad PS")</f>
        <v>0</v>
      </c>
      <c r="Z176" s="313">
        <f>IF(Z16*'SEP ORIGEN'!Z16&lt;='GENERADO PS locales'!$D176,Z16*'SEP ORIGEN'!Z16,"Excede capacidad PS")</f>
        <v>0</v>
      </c>
    </row>
    <row r="177" spans="1:26" ht="24.95" customHeight="1">
      <c r="A177" s="260" t="str">
        <f>+Pobl_adoptada!A17</f>
        <v>Lomas de Zamora</v>
      </c>
      <c r="B177" s="70">
        <f>+Pobl_adoptada!B17</f>
        <v>13</v>
      </c>
      <c r="C177" s="71" t="str">
        <f>+Pobl_adoptada!C17</f>
        <v>Lomas de Zamora</v>
      </c>
      <c r="D177" s="311">
        <v>0</v>
      </c>
      <c r="E177" s="278"/>
      <c r="F177" s="263"/>
      <c r="G177" s="313">
        <f>IF(G17*'SEP ORIGEN'!G17&lt;='GENERADO PS locales'!$D177,G17*'SEP ORIGEN'!G17,"Excede capacidad PS")</f>
        <v>0</v>
      </c>
      <c r="H177" s="313">
        <f>IF(H17*'SEP ORIGEN'!H17&lt;='GENERADO PS locales'!$D177,H17*'SEP ORIGEN'!H17,"Excede capacidad PS")</f>
        <v>0</v>
      </c>
      <c r="I177" s="313">
        <f>IF(I17*'SEP ORIGEN'!I17&lt;='GENERADO PS locales'!$D177,I17*'SEP ORIGEN'!I17,"Excede capacidad PS")</f>
        <v>0</v>
      </c>
      <c r="J177" s="313">
        <f>IF(J17*'SEP ORIGEN'!J17&lt;='GENERADO PS locales'!$D177,J17*'SEP ORIGEN'!J17,"Excede capacidad PS")</f>
        <v>0</v>
      </c>
      <c r="K177" s="313">
        <f>IF(K17*'SEP ORIGEN'!K17&lt;='GENERADO PS locales'!$D177,K17*'SEP ORIGEN'!K17,"Excede capacidad PS")</f>
        <v>0</v>
      </c>
      <c r="L177" s="313">
        <f>IF(L17*'SEP ORIGEN'!L17&lt;='GENERADO PS locales'!$D177,L17*'SEP ORIGEN'!L17,"Excede capacidad PS")</f>
        <v>0</v>
      </c>
      <c r="M177" s="313">
        <f>IF(M17*'SEP ORIGEN'!M17&lt;='GENERADO PS locales'!$D177,M17*'SEP ORIGEN'!M17,"Excede capacidad PS")</f>
        <v>0</v>
      </c>
      <c r="N177" s="313">
        <f>IF(N17*'SEP ORIGEN'!N17&lt;='GENERADO PS locales'!$D177,N17*'SEP ORIGEN'!N17,"Excede capacidad PS")</f>
        <v>0</v>
      </c>
      <c r="O177" s="313">
        <f>IF(O17*'SEP ORIGEN'!O17&lt;='GENERADO PS locales'!$D177,O17*'SEP ORIGEN'!O17,"Excede capacidad PS")</f>
        <v>0</v>
      </c>
      <c r="P177" s="313">
        <f>IF(P17*'SEP ORIGEN'!P17&lt;='GENERADO PS locales'!$D177,P17*'SEP ORIGEN'!P17,"Excede capacidad PS")</f>
        <v>0</v>
      </c>
      <c r="Q177" s="313">
        <f>IF(Q17*'SEP ORIGEN'!Q17&lt;='GENERADO PS locales'!$D177,Q17*'SEP ORIGEN'!Q17,"Excede capacidad PS")</f>
        <v>0</v>
      </c>
      <c r="R177" s="313">
        <f>IF(R17*'SEP ORIGEN'!R17&lt;='GENERADO PS locales'!$D177,R17*'SEP ORIGEN'!R17,"Excede capacidad PS")</f>
        <v>0</v>
      </c>
      <c r="S177" s="313">
        <f>IF(S17*'SEP ORIGEN'!S17&lt;='GENERADO PS locales'!$D177,S17*'SEP ORIGEN'!S17,"Excede capacidad PS")</f>
        <v>0</v>
      </c>
      <c r="T177" s="313">
        <f>IF(T17*'SEP ORIGEN'!T17&lt;='GENERADO PS locales'!$D177,T17*'SEP ORIGEN'!T17,"Excede capacidad PS")</f>
        <v>0</v>
      </c>
      <c r="U177" s="313">
        <f>IF(U17*'SEP ORIGEN'!U17&lt;='GENERADO PS locales'!$D177,U17*'SEP ORIGEN'!U17,"Excede capacidad PS")</f>
        <v>0</v>
      </c>
      <c r="V177" s="313">
        <f>IF(V17*'SEP ORIGEN'!V17&lt;='GENERADO PS locales'!$D177,V17*'SEP ORIGEN'!V17,"Excede capacidad PS")</f>
        <v>0</v>
      </c>
      <c r="W177" s="313">
        <f>IF(W17*'SEP ORIGEN'!W17&lt;='GENERADO PS locales'!$D177,W17*'SEP ORIGEN'!W17,"Excede capacidad PS")</f>
        <v>0</v>
      </c>
      <c r="X177" s="313">
        <f>IF(X17*'SEP ORIGEN'!X17&lt;='GENERADO PS locales'!$D177,X17*'SEP ORIGEN'!X17,"Excede capacidad PS")</f>
        <v>0</v>
      </c>
      <c r="Y177" s="313">
        <f>IF(Y17*'SEP ORIGEN'!Y17&lt;='GENERADO PS locales'!$D177,Y17*'SEP ORIGEN'!Y17,"Excede capacidad PS")</f>
        <v>0</v>
      </c>
      <c r="Z177" s="313">
        <f>IF(Z17*'SEP ORIGEN'!Z17&lt;='GENERADO PS locales'!$D177,Z17*'SEP ORIGEN'!Z17,"Excede capacidad PS")</f>
        <v>0</v>
      </c>
    </row>
    <row r="178" spans="1:26" ht="24.95" customHeight="1">
      <c r="A178" s="260" t="str">
        <f>+Pobl_adoptada!A18</f>
        <v>Malvinas Argentinas</v>
      </c>
      <c r="B178" s="70">
        <f>+Pobl_adoptada!B18</f>
        <v>14</v>
      </c>
      <c r="C178" s="71" t="str">
        <f>+Pobl_adoptada!C18</f>
        <v>Malvinas Argentinas</v>
      </c>
      <c r="D178" s="311">
        <v>0</v>
      </c>
      <c r="E178" s="278"/>
      <c r="F178" s="263"/>
      <c r="G178" s="313">
        <f>IF(G18*'SEP ORIGEN'!G18&lt;='GENERADO PS locales'!$D178,G18*'SEP ORIGEN'!G18,"Excede capacidad PS")</f>
        <v>0</v>
      </c>
      <c r="H178" s="313">
        <f>IF(H18*'SEP ORIGEN'!H18&lt;='GENERADO PS locales'!$D178,H18*'SEP ORIGEN'!H18,"Excede capacidad PS")</f>
        <v>0</v>
      </c>
      <c r="I178" s="313">
        <f>IF(I18*'SEP ORIGEN'!I18&lt;='GENERADO PS locales'!$D178,I18*'SEP ORIGEN'!I18,"Excede capacidad PS")</f>
        <v>0</v>
      </c>
      <c r="J178" s="313">
        <f>IF(J18*'SEP ORIGEN'!J18&lt;='GENERADO PS locales'!$D178,J18*'SEP ORIGEN'!J18,"Excede capacidad PS")</f>
        <v>0</v>
      </c>
      <c r="K178" s="313">
        <f>IF(K18*'SEP ORIGEN'!K18&lt;='GENERADO PS locales'!$D178,K18*'SEP ORIGEN'!K18,"Excede capacidad PS")</f>
        <v>0</v>
      </c>
      <c r="L178" s="313">
        <f>IF(L18*'SEP ORIGEN'!L18&lt;='GENERADO PS locales'!$D178,L18*'SEP ORIGEN'!L18,"Excede capacidad PS")</f>
        <v>0</v>
      </c>
      <c r="M178" s="313">
        <f>IF(M18*'SEP ORIGEN'!M18&lt;='GENERADO PS locales'!$D178,M18*'SEP ORIGEN'!M18,"Excede capacidad PS")</f>
        <v>0</v>
      </c>
      <c r="N178" s="313">
        <f>IF(N18*'SEP ORIGEN'!N18&lt;='GENERADO PS locales'!$D178,N18*'SEP ORIGEN'!N18,"Excede capacidad PS")</f>
        <v>0</v>
      </c>
      <c r="O178" s="313">
        <f>IF(O18*'SEP ORIGEN'!O18&lt;='GENERADO PS locales'!$D178,O18*'SEP ORIGEN'!O18,"Excede capacidad PS")</f>
        <v>0</v>
      </c>
      <c r="P178" s="313">
        <f>IF(P18*'SEP ORIGEN'!P18&lt;='GENERADO PS locales'!$D178,P18*'SEP ORIGEN'!P18,"Excede capacidad PS")</f>
        <v>0</v>
      </c>
      <c r="Q178" s="313">
        <f>IF(Q18*'SEP ORIGEN'!Q18&lt;='GENERADO PS locales'!$D178,Q18*'SEP ORIGEN'!Q18,"Excede capacidad PS")</f>
        <v>0</v>
      </c>
      <c r="R178" s="313">
        <f>IF(R18*'SEP ORIGEN'!R18&lt;='GENERADO PS locales'!$D178,R18*'SEP ORIGEN'!R18,"Excede capacidad PS")</f>
        <v>0</v>
      </c>
      <c r="S178" s="313">
        <f>IF(S18*'SEP ORIGEN'!S18&lt;='GENERADO PS locales'!$D178,S18*'SEP ORIGEN'!S18,"Excede capacidad PS")</f>
        <v>0</v>
      </c>
      <c r="T178" s="313">
        <f>IF(T18*'SEP ORIGEN'!T18&lt;='GENERADO PS locales'!$D178,T18*'SEP ORIGEN'!T18,"Excede capacidad PS")</f>
        <v>0</v>
      </c>
      <c r="U178" s="313">
        <f>IF(U18*'SEP ORIGEN'!U18&lt;='GENERADO PS locales'!$D178,U18*'SEP ORIGEN'!U18,"Excede capacidad PS")</f>
        <v>0</v>
      </c>
      <c r="V178" s="313">
        <f>IF(V18*'SEP ORIGEN'!V18&lt;='GENERADO PS locales'!$D178,V18*'SEP ORIGEN'!V18,"Excede capacidad PS")</f>
        <v>0</v>
      </c>
      <c r="W178" s="313">
        <f>IF(W18*'SEP ORIGEN'!W18&lt;='GENERADO PS locales'!$D178,W18*'SEP ORIGEN'!W18,"Excede capacidad PS")</f>
        <v>0</v>
      </c>
      <c r="X178" s="313">
        <f>IF(X18*'SEP ORIGEN'!X18&lt;='GENERADO PS locales'!$D178,X18*'SEP ORIGEN'!X18,"Excede capacidad PS")</f>
        <v>0</v>
      </c>
      <c r="Y178" s="313">
        <f>IF(Y18*'SEP ORIGEN'!Y18&lt;='GENERADO PS locales'!$D178,Y18*'SEP ORIGEN'!Y18,"Excede capacidad PS")</f>
        <v>0</v>
      </c>
      <c r="Z178" s="313">
        <f>IF(Z18*'SEP ORIGEN'!Z18&lt;='GENERADO PS locales'!$D178,Z18*'SEP ORIGEN'!Z18,"Excede capacidad PS")</f>
        <v>0</v>
      </c>
    </row>
    <row r="179" spans="1:26" ht="24.95" customHeight="1">
      <c r="A179" s="260" t="str">
        <f>+Pobl_adoptada!A19</f>
        <v>Merlo</v>
      </c>
      <c r="B179" s="70">
        <f>+Pobl_adoptada!B19</f>
        <v>15</v>
      </c>
      <c r="C179" s="71" t="str">
        <f>+Pobl_adoptada!C19</f>
        <v>Merlo</v>
      </c>
      <c r="D179" s="311">
        <v>0</v>
      </c>
      <c r="E179" s="278"/>
      <c r="F179" s="263"/>
      <c r="G179" s="313">
        <f>IF(G19*'SEP ORIGEN'!G19&lt;='GENERADO PS locales'!$D179,G19*'SEP ORIGEN'!G19,"Excede capacidad PS")</f>
        <v>0</v>
      </c>
      <c r="H179" s="313">
        <f>IF(H19*'SEP ORIGEN'!H19&lt;='GENERADO PS locales'!$D179,H19*'SEP ORIGEN'!H19,"Excede capacidad PS")</f>
        <v>0</v>
      </c>
      <c r="I179" s="313">
        <f>IF(I19*'SEP ORIGEN'!I19&lt;='GENERADO PS locales'!$D179,I19*'SEP ORIGEN'!I19,"Excede capacidad PS")</f>
        <v>0</v>
      </c>
      <c r="J179" s="313">
        <f>IF(J19*'SEP ORIGEN'!J19&lt;='GENERADO PS locales'!$D179,J19*'SEP ORIGEN'!J19,"Excede capacidad PS")</f>
        <v>0</v>
      </c>
      <c r="K179" s="313">
        <f>IF(K19*'SEP ORIGEN'!K19&lt;='GENERADO PS locales'!$D179,K19*'SEP ORIGEN'!K19,"Excede capacidad PS")</f>
        <v>0</v>
      </c>
      <c r="L179" s="313">
        <f>IF(L19*'SEP ORIGEN'!L19&lt;='GENERADO PS locales'!$D179,L19*'SEP ORIGEN'!L19,"Excede capacidad PS")</f>
        <v>0</v>
      </c>
      <c r="M179" s="313">
        <f>IF(M19*'SEP ORIGEN'!M19&lt;='GENERADO PS locales'!$D179,M19*'SEP ORIGEN'!M19,"Excede capacidad PS")</f>
        <v>0</v>
      </c>
      <c r="N179" s="313">
        <f>IF(N19*'SEP ORIGEN'!N19&lt;='GENERADO PS locales'!$D179,N19*'SEP ORIGEN'!N19,"Excede capacidad PS")</f>
        <v>0</v>
      </c>
      <c r="O179" s="313">
        <f>IF(O19*'SEP ORIGEN'!O19&lt;='GENERADO PS locales'!$D179,O19*'SEP ORIGEN'!O19,"Excede capacidad PS")</f>
        <v>0</v>
      </c>
      <c r="P179" s="313">
        <f>IF(P19*'SEP ORIGEN'!P19&lt;='GENERADO PS locales'!$D179,P19*'SEP ORIGEN'!P19,"Excede capacidad PS")</f>
        <v>0</v>
      </c>
      <c r="Q179" s="313">
        <f>IF(Q19*'SEP ORIGEN'!Q19&lt;='GENERADO PS locales'!$D179,Q19*'SEP ORIGEN'!Q19,"Excede capacidad PS")</f>
        <v>0</v>
      </c>
      <c r="R179" s="313">
        <f>IF(R19*'SEP ORIGEN'!R19&lt;='GENERADO PS locales'!$D179,R19*'SEP ORIGEN'!R19,"Excede capacidad PS")</f>
        <v>0</v>
      </c>
      <c r="S179" s="313">
        <f>IF(S19*'SEP ORIGEN'!S19&lt;='GENERADO PS locales'!$D179,S19*'SEP ORIGEN'!S19,"Excede capacidad PS")</f>
        <v>0</v>
      </c>
      <c r="T179" s="313">
        <f>IF(T19*'SEP ORIGEN'!T19&lt;='GENERADO PS locales'!$D179,T19*'SEP ORIGEN'!T19,"Excede capacidad PS")</f>
        <v>0</v>
      </c>
      <c r="U179" s="313">
        <f>IF(U19*'SEP ORIGEN'!U19&lt;='GENERADO PS locales'!$D179,U19*'SEP ORIGEN'!U19,"Excede capacidad PS")</f>
        <v>0</v>
      </c>
      <c r="V179" s="313">
        <f>IF(V19*'SEP ORIGEN'!V19&lt;='GENERADO PS locales'!$D179,V19*'SEP ORIGEN'!V19,"Excede capacidad PS")</f>
        <v>0</v>
      </c>
      <c r="W179" s="313">
        <f>IF(W19*'SEP ORIGEN'!W19&lt;='GENERADO PS locales'!$D179,W19*'SEP ORIGEN'!W19,"Excede capacidad PS")</f>
        <v>0</v>
      </c>
      <c r="X179" s="313">
        <f>IF(X19*'SEP ORIGEN'!X19&lt;='GENERADO PS locales'!$D179,X19*'SEP ORIGEN'!X19,"Excede capacidad PS")</f>
        <v>0</v>
      </c>
      <c r="Y179" s="313">
        <f>IF(Y19*'SEP ORIGEN'!Y19&lt;='GENERADO PS locales'!$D179,Y19*'SEP ORIGEN'!Y19,"Excede capacidad PS")</f>
        <v>0</v>
      </c>
      <c r="Z179" s="313">
        <f>IF(Z19*'SEP ORIGEN'!Z19&lt;='GENERADO PS locales'!$D179,Z19*'SEP ORIGEN'!Z19,"Excede capacidad PS")</f>
        <v>0</v>
      </c>
    </row>
    <row r="180" spans="1:26" ht="24.95" customHeight="1">
      <c r="A180" s="260" t="str">
        <f>+Pobl_adoptada!A20</f>
        <v>Moreno</v>
      </c>
      <c r="B180" s="70">
        <f>+Pobl_adoptada!B20</f>
        <v>16</v>
      </c>
      <c r="C180" s="71" t="str">
        <f>+Pobl_adoptada!C20</f>
        <v>Moreno</v>
      </c>
      <c r="D180" s="311">
        <v>0</v>
      </c>
      <c r="E180" s="278"/>
      <c r="F180" s="263"/>
      <c r="G180" s="313">
        <f>IF(G20*'SEP ORIGEN'!G20&lt;='GENERADO PS locales'!$D180,G20*'SEP ORIGEN'!G20,"Excede capacidad PS")</f>
        <v>0</v>
      </c>
      <c r="H180" s="313">
        <f>IF(H20*'SEP ORIGEN'!H20&lt;='GENERADO PS locales'!$D180,H20*'SEP ORIGEN'!H20,"Excede capacidad PS")</f>
        <v>0</v>
      </c>
      <c r="I180" s="313">
        <f>IF(I20*'SEP ORIGEN'!I20&lt;='GENERADO PS locales'!$D180,I20*'SEP ORIGEN'!I20,"Excede capacidad PS")</f>
        <v>0</v>
      </c>
      <c r="J180" s="313">
        <f>IF(J20*'SEP ORIGEN'!J20&lt;='GENERADO PS locales'!$D180,J20*'SEP ORIGEN'!J20,"Excede capacidad PS")</f>
        <v>0</v>
      </c>
      <c r="K180" s="313">
        <f>IF(K20*'SEP ORIGEN'!K20&lt;='GENERADO PS locales'!$D180,K20*'SEP ORIGEN'!K20,"Excede capacidad PS")</f>
        <v>0</v>
      </c>
      <c r="L180" s="313">
        <f>IF(L20*'SEP ORIGEN'!L20&lt;='GENERADO PS locales'!$D180,L20*'SEP ORIGEN'!L20,"Excede capacidad PS")</f>
        <v>0</v>
      </c>
      <c r="M180" s="313">
        <f>IF(M20*'SEP ORIGEN'!M20&lt;='GENERADO PS locales'!$D180,M20*'SEP ORIGEN'!M20,"Excede capacidad PS")</f>
        <v>0</v>
      </c>
      <c r="N180" s="313">
        <f>IF(N20*'SEP ORIGEN'!N20&lt;='GENERADO PS locales'!$D180,N20*'SEP ORIGEN'!N20,"Excede capacidad PS")</f>
        <v>0</v>
      </c>
      <c r="O180" s="313">
        <f>IF(O20*'SEP ORIGEN'!O20&lt;='GENERADO PS locales'!$D180,O20*'SEP ORIGEN'!O20,"Excede capacidad PS")</f>
        <v>0</v>
      </c>
      <c r="P180" s="313">
        <f>IF(P20*'SEP ORIGEN'!P20&lt;='GENERADO PS locales'!$D180,P20*'SEP ORIGEN'!P20,"Excede capacidad PS")</f>
        <v>0</v>
      </c>
      <c r="Q180" s="313">
        <f>IF(Q20*'SEP ORIGEN'!Q20&lt;='GENERADO PS locales'!$D180,Q20*'SEP ORIGEN'!Q20,"Excede capacidad PS")</f>
        <v>0</v>
      </c>
      <c r="R180" s="313">
        <f>IF(R20*'SEP ORIGEN'!R20&lt;='GENERADO PS locales'!$D180,R20*'SEP ORIGEN'!R20,"Excede capacidad PS")</f>
        <v>0</v>
      </c>
      <c r="S180" s="313">
        <f>IF(S20*'SEP ORIGEN'!S20&lt;='GENERADO PS locales'!$D180,S20*'SEP ORIGEN'!S20,"Excede capacidad PS")</f>
        <v>0</v>
      </c>
      <c r="T180" s="313">
        <f>IF(T20*'SEP ORIGEN'!T20&lt;='GENERADO PS locales'!$D180,T20*'SEP ORIGEN'!T20,"Excede capacidad PS")</f>
        <v>0</v>
      </c>
      <c r="U180" s="313">
        <f>IF(U20*'SEP ORIGEN'!U20&lt;='GENERADO PS locales'!$D180,U20*'SEP ORIGEN'!U20,"Excede capacidad PS")</f>
        <v>0</v>
      </c>
      <c r="V180" s="313">
        <f>IF(V20*'SEP ORIGEN'!V20&lt;='GENERADO PS locales'!$D180,V20*'SEP ORIGEN'!V20,"Excede capacidad PS")</f>
        <v>0</v>
      </c>
      <c r="W180" s="313">
        <f>IF(W20*'SEP ORIGEN'!W20&lt;='GENERADO PS locales'!$D180,W20*'SEP ORIGEN'!W20,"Excede capacidad PS")</f>
        <v>0</v>
      </c>
      <c r="X180" s="313">
        <f>IF(X20*'SEP ORIGEN'!X20&lt;='GENERADO PS locales'!$D180,X20*'SEP ORIGEN'!X20,"Excede capacidad PS")</f>
        <v>0</v>
      </c>
      <c r="Y180" s="313">
        <f>IF(Y20*'SEP ORIGEN'!Y20&lt;='GENERADO PS locales'!$D180,Y20*'SEP ORIGEN'!Y20,"Excede capacidad PS")</f>
        <v>0</v>
      </c>
      <c r="Z180" s="313">
        <f>IF(Z20*'SEP ORIGEN'!Z20&lt;='GENERADO PS locales'!$D180,Z20*'SEP ORIGEN'!Z20,"Excede capacidad PS")</f>
        <v>0</v>
      </c>
    </row>
    <row r="181" spans="1:26" ht="24.95" customHeight="1">
      <c r="A181" s="260" t="str">
        <f>+Pobl_adoptada!A21</f>
        <v>Morón</v>
      </c>
      <c r="B181" s="70">
        <f>+Pobl_adoptada!B21</f>
        <v>17</v>
      </c>
      <c r="C181" s="71" t="str">
        <f>+Pobl_adoptada!C21</f>
        <v>Morón</v>
      </c>
      <c r="D181" s="311">
        <v>0</v>
      </c>
      <c r="E181" s="278"/>
      <c r="F181" s="263"/>
      <c r="G181" s="313">
        <f>IF(G21*'SEP ORIGEN'!G21&lt;='GENERADO PS locales'!$D181,G21*'SEP ORIGEN'!G21,"Excede capacidad PS")</f>
        <v>0</v>
      </c>
      <c r="H181" s="313">
        <f>IF(H21*'SEP ORIGEN'!H21&lt;='GENERADO PS locales'!$D181,H21*'SEP ORIGEN'!H21,"Excede capacidad PS")</f>
        <v>0</v>
      </c>
      <c r="I181" s="313">
        <f>IF(I21*'SEP ORIGEN'!I21&lt;='GENERADO PS locales'!$D181,I21*'SEP ORIGEN'!I21,"Excede capacidad PS")</f>
        <v>0</v>
      </c>
      <c r="J181" s="313">
        <f>IF(J21*'SEP ORIGEN'!J21&lt;='GENERADO PS locales'!$D181,J21*'SEP ORIGEN'!J21,"Excede capacidad PS")</f>
        <v>0</v>
      </c>
      <c r="K181" s="313">
        <f>IF(K21*'SEP ORIGEN'!K21&lt;='GENERADO PS locales'!$D181,K21*'SEP ORIGEN'!K21,"Excede capacidad PS")</f>
        <v>0</v>
      </c>
      <c r="L181" s="313">
        <f>IF(L21*'SEP ORIGEN'!L21&lt;='GENERADO PS locales'!$D181,L21*'SEP ORIGEN'!L21,"Excede capacidad PS")</f>
        <v>0</v>
      </c>
      <c r="M181" s="313">
        <f>IF(M21*'SEP ORIGEN'!M21&lt;='GENERADO PS locales'!$D181,M21*'SEP ORIGEN'!M21,"Excede capacidad PS")</f>
        <v>0</v>
      </c>
      <c r="N181" s="313">
        <f>IF(N21*'SEP ORIGEN'!N21&lt;='GENERADO PS locales'!$D181,N21*'SEP ORIGEN'!N21,"Excede capacidad PS")</f>
        <v>0</v>
      </c>
      <c r="O181" s="313">
        <f>IF(O21*'SEP ORIGEN'!O21&lt;='GENERADO PS locales'!$D181,O21*'SEP ORIGEN'!O21,"Excede capacidad PS")</f>
        <v>0</v>
      </c>
      <c r="P181" s="313">
        <f>IF(P21*'SEP ORIGEN'!P21&lt;='GENERADO PS locales'!$D181,P21*'SEP ORIGEN'!P21,"Excede capacidad PS")</f>
        <v>0</v>
      </c>
      <c r="Q181" s="313">
        <f>IF(Q21*'SEP ORIGEN'!Q21&lt;='GENERADO PS locales'!$D181,Q21*'SEP ORIGEN'!Q21,"Excede capacidad PS")</f>
        <v>0</v>
      </c>
      <c r="R181" s="313">
        <f>IF(R21*'SEP ORIGEN'!R21&lt;='GENERADO PS locales'!$D181,R21*'SEP ORIGEN'!R21,"Excede capacidad PS")</f>
        <v>0</v>
      </c>
      <c r="S181" s="313">
        <f>IF(S21*'SEP ORIGEN'!S21&lt;='GENERADO PS locales'!$D181,S21*'SEP ORIGEN'!S21,"Excede capacidad PS")</f>
        <v>0</v>
      </c>
      <c r="T181" s="313">
        <f>IF(T21*'SEP ORIGEN'!T21&lt;='GENERADO PS locales'!$D181,T21*'SEP ORIGEN'!T21,"Excede capacidad PS")</f>
        <v>0</v>
      </c>
      <c r="U181" s="313">
        <f>IF(U21*'SEP ORIGEN'!U21&lt;='GENERADO PS locales'!$D181,U21*'SEP ORIGEN'!U21,"Excede capacidad PS")</f>
        <v>0</v>
      </c>
      <c r="V181" s="313">
        <f>IF(V21*'SEP ORIGEN'!V21&lt;='GENERADO PS locales'!$D181,V21*'SEP ORIGEN'!V21,"Excede capacidad PS")</f>
        <v>0</v>
      </c>
      <c r="W181" s="313">
        <f>IF(W21*'SEP ORIGEN'!W21&lt;='GENERADO PS locales'!$D181,W21*'SEP ORIGEN'!W21,"Excede capacidad PS")</f>
        <v>0</v>
      </c>
      <c r="X181" s="313">
        <f>IF(X21*'SEP ORIGEN'!X21&lt;='GENERADO PS locales'!$D181,X21*'SEP ORIGEN'!X21,"Excede capacidad PS")</f>
        <v>0</v>
      </c>
      <c r="Y181" s="313">
        <f>IF(Y21*'SEP ORIGEN'!Y21&lt;='GENERADO PS locales'!$D181,Y21*'SEP ORIGEN'!Y21,"Excede capacidad PS")</f>
        <v>0</v>
      </c>
      <c r="Z181" s="313">
        <f>IF(Z21*'SEP ORIGEN'!Z21&lt;='GENERADO PS locales'!$D181,Z21*'SEP ORIGEN'!Z21,"Excede capacidad PS")</f>
        <v>0</v>
      </c>
    </row>
    <row r="182" spans="1:26" ht="24.95" customHeight="1">
      <c r="A182" s="260" t="str">
        <f>+Pobl_adoptada!A22</f>
        <v>Quilmes</v>
      </c>
      <c r="B182" s="70">
        <f>+Pobl_adoptada!B22</f>
        <v>18</v>
      </c>
      <c r="C182" s="71" t="str">
        <f>+Pobl_adoptada!C22</f>
        <v>Quilmes</v>
      </c>
      <c r="D182" s="311">
        <v>0</v>
      </c>
      <c r="E182" s="278"/>
      <c r="F182" s="263"/>
      <c r="G182" s="313">
        <f>IF(G22*'SEP ORIGEN'!G22&lt;='GENERADO PS locales'!$D182,G22*'SEP ORIGEN'!G22,"Excede capacidad PS")</f>
        <v>0</v>
      </c>
      <c r="H182" s="313">
        <f>IF(H22*'SEP ORIGEN'!H22&lt;='GENERADO PS locales'!$D182,H22*'SEP ORIGEN'!H22,"Excede capacidad PS")</f>
        <v>0</v>
      </c>
      <c r="I182" s="313">
        <f>IF(I22*'SEP ORIGEN'!I22&lt;='GENERADO PS locales'!$D182,I22*'SEP ORIGEN'!I22,"Excede capacidad PS")</f>
        <v>0</v>
      </c>
      <c r="J182" s="313">
        <f>IF(J22*'SEP ORIGEN'!J22&lt;='GENERADO PS locales'!$D182,J22*'SEP ORIGEN'!J22,"Excede capacidad PS")</f>
        <v>0</v>
      </c>
      <c r="K182" s="313">
        <f>IF(K22*'SEP ORIGEN'!K22&lt;='GENERADO PS locales'!$D182,K22*'SEP ORIGEN'!K22,"Excede capacidad PS")</f>
        <v>0</v>
      </c>
      <c r="L182" s="313">
        <f>IF(L22*'SEP ORIGEN'!L22&lt;='GENERADO PS locales'!$D182,L22*'SEP ORIGEN'!L22,"Excede capacidad PS")</f>
        <v>0</v>
      </c>
      <c r="M182" s="313">
        <f>IF(M22*'SEP ORIGEN'!M22&lt;='GENERADO PS locales'!$D182,M22*'SEP ORIGEN'!M22,"Excede capacidad PS")</f>
        <v>0</v>
      </c>
      <c r="N182" s="313">
        <f>IF(N22*'SEP ORIGEN'!N22&lt;='GENERADO PS locales'!$D182,N22*'SEP ORIGEN'!N22,"Excede capacidad PS")</f>
        <v>0</v>
      </c>
      <c r="O182" s="313">
        <f>IF(O22*'SEP ORIGEN'!O22&lt;='GENERADO PS locales'!$D182,O22*'SEP ORIGEN'!O22,"Excede capacidad PS")</f>
        <v>0</v>
      </c>
      <c r="P182" s="313">
        <f>IF(P22*'SEP ORIGEN'!P22&lt;='GENERADO PS locales'!$D182,P22*'SEP ORIGEN'!P22,"Excede capacidad PS")</f>
        <v>0</v>
      </c>
      <c r="Q182" s="313">
        <f>IF(Q22*'SEP ORIGEN'!Q22&lt;='GENERADO PS locales'!$D182,Q22*'SEP ORIGEN'!Q22,"Excede capacidad PS")</f>
        <v>0</v>
      </c>
      <c r="R182" s="313">
        <f>IF(R22*'SEP ORIGEN'!R22&lt;='GENERADO PS locales'!$D182,R22*'SEP ORIGEN'!R22,"Excede capacidad PS")</f>
        <v>0</v>
      </c>
      <c r="S182" s="313">
        <f>IF(S22*'SEP ORIGEN'!S22&lt;='GENERADO PS locales'!$D182,S22*'SEP ORIGEN'!S22,"Excede capacidad PS")</f>
        <v>0</v>
      </c>
      <c r="T182" s="313">
        <f>IF(T22*'SEP ORIGEN'!T22&lt;='GENERADO PS locales'!$D182,T22*'SEP ORIGEN'!T22,"Excede capacidad PS")</f>
        <v>0</v>
      </c>
      <c r="U182" s="313">
        <f>IF(U22*'SEP ORIGEN'!U22&lt;='GENERADO PS locales'!$D182,U22*'SEP ORIGEN'!U22,"Excede capacidad PS")</f>
        <v>0</v>
      </c>
      <c r="V182" s="313">
        <f>IF(V22*'SEP ORIGEN'!V22&lt;='GENERADO PS locales'!$D182,V22*'SEP ORIGEN'!V22,"Excede capacidad PS")</f>
        <v>0</v>
      </c>
      <c r="W182" s="313">
        <f>IF(W22*'SEP ORIGEN'!W22&lt;='GENERADO PS locales'!$D182,W22*'SEP ORIGEN'!W22,"Excede capacidad PS")</f>
        <v>0</v>
      </c>
      <c r="X182" s="313">
        <f>IF(X22*'SEP ORIGEN'!X22&lt;='GENERADO PS locales'!$D182,X22*'SEP ORIGEN'!X22,"Excede capacidad PS")</f>
        <v>0</v>
      </c>
      <c r="Y182" s="313">
        <f>IF(Y22*'SEP ORIGEN'!Y22&lt;='GENERADO PS locales'!$D182,Y22*'SEP ORIGEN'!Y22,"Excede capacidad PS")</f>
        <v>0</v>
      </c>
      <c r="Z182" s="313">
        <f>IF(Z22*'SEP ORIGEN'!Z22&lt;='GENERADO PS locales'!$D182,Z22*'SEP ORIGEN'!Z22,"Excede capacidad PS")</f>
        <v>0</v>
      </c>
    </row>
    <row r="183" spans="1:26" ht="24.95" customHeight="1">
      <c r="A183" s="260" t="str">
        <f>+Pobl_adoptada!A23</f>
        <v>San Fernando</v>
      </c>
      <c r="B183" s="70">
        <f>+Pobl_adoptada!B23</f>
        <v>19</v>
      </c>
      <c r="C183" s="71" t="str">
        <f>+Pobl_adoptada!C23</f>
        <v>San Fernando</v>
      </c>
      <c r="D183" s="311">
        <v>0</v>
      </c>
      <c r="E183" s="278"/>
      <c r="F183" s="263"/>
      <c r="G183" s="313">
        <f>IF(G23*'SEP ORIGEN'!G23&lt;='GENERADO PS locales'!$D183,G23*'SEP ORIGEN'!G23,"Excede capacidad PS")</f>
        <v>0</v>
      </c>
      <c r="H183" s="313">
        <f>IF(H23*'SEP ORIGEN'!H23&lt;='GENERADO PS locales'!$D183,H23*'SEP ORIGEN'!H23,"Excede capacidad PS")</f>
        <v>0</v>
      </c>
      <c r="I183" s="313">
        <f>IF(I23*'SEP ORIGEN'!I23&lt;='GENERADO PS locales'!$D183,I23*'SEP ORIGEN'!I23,"Excede capacidad PS")</f>
        <v>0</v>
      </c>
      <c r="J183" s="313">
        <f>IF(J23*'SEP ORIGEN'!J23&lt;='GENERADO PS locales'!$D183,J23*'SEP ORIGEN'!J23,"Excede capacidad PS")</f>
        <v>0</v>
      </c>
      <c r="K183" s="313">
        <f>IF(K23*'SEP ORIGEN'!K23&lt;='GENERADO PS locales'!$D183,K23*'SEP ORIGEN'!K23,"Excede capacidad PS")</f>
        <v>0</v>
      </c>
      <c r="L183" s="313">
        <f>IF(L23*'SEP ORIGEN'!L23&lt;='GENERADO PS locales'!$D183,L23*'SEP ORIGEN'!L23,"Excede capacidad PS")</f>
        <v>0</v>
      </c>
      <c r="M183" s="313">
        <f>IF(M23*'SEP ORIGEN'!M23&lt;='GENERADO PS locales'!$D183,M23*'SEP ORIGEN'!M23,"Excede capacidad PS")</f>
        <v>0</v>
      </c>
      <c r="N183" s="313">
        <f>IF(N23*'SEP ORIGEN'!N23&lt;='GENERADO PS locales'!$D183,N23*'SEP ORIGEN'!N23,"Excede capacidad PS")</f>
        <v>0</v>
      </c>
      <c r="O183" s="313">
        <f>IF(O23*'SEP ORIGEN'!O23&lt;='GENERADO PS locales'!$D183,O23*'SEP ORIGEN'!O23,"Excede capacidad PS")</f>
        <v>0</v>
      </c>
      <c r="P183" s="313">
        <f>IF(P23*'SEP ORIGEN'!P23&lt;='GENERADO PS locales'!$D183,P23*'SEP ORIGEN'!P23,"Excede capacidad PS")</f>
        <v>0</v>
      </c>
      <c r="Q183" s="313">
        <f>IF(Q23*'SEP ORIGEN'!Q23&lt;='GENERADO PS locales'!$D183,Q23*'SEP ORIGEN'!Q23,"Excede capacidad PS")</f>
        <v>0</v>
      </c>
      <c r="R183" s="313">
        <f>IF(R23*'SEP ORIGEN'!R23&lt;='GENERADO PS locales'!$D183,R23*'SEP ORIGEN'!R23,"Excede capacidad PS")</f>
        <v>0</v>
      </c>
      <c r="S183" s="313">
        <f>IF(S23*'SEP ORIGEN'!S23&lt;='GENERADO PS locales'!$D183,S23*'SEP ORIGEN'!S23,"Excede capacidad PS")</f>
        <v>0</v>
      </c>
      <c r="T183" s="313">
        <f>IF(T23*'SEP ORIGEN'!T23&lt;='GENERADO PS locales'!$D183,T23*'SEP ORIGEN'!T23,"Excede capacidad PS")</f>
        <v>0</v>
      </c>
      <c r="U183" s="313">
        <f>IF(U23*'SEP ORIGEN'!U23&lt;='GENERADO PS locales'!$D183,U23*'SEP ORIGEN'!U23,"Excede capacidad PS")</f>
        <v>0</v>
      </c>
      <c r="V183" s="313">
        <f>IF(V23*'SEP ORIGEN'!V23&lt;='GENERADO PS locales'!$D183,V23*'SEP ORIGEN'!V23,"Excede capacidad PS")</f>
        <v>0</v>
      </c>
      <c r="W183" s="313">
        <f>IF(W23*'SEP ORIGEN'!W23&lt;='GENERADO PS locales'!$D183,W23*'SEP ORIGEN'!W23,"Excede capacidad PS")</f>
        <v>0</v>
      </c>
      <c r="X183" s="313">
        <f>IF(X23*'SEP ORIGEN'!X23&lt;='GENERADO PS locales'!$D183,X23*'SEP ORIGEN'!X23,"Excede capacidad PS")</f>
        <v>0</v>
      </c>
      <c r="Y183" s="313">
        <f>IF(Y23*'SEP ORIGEN'!Y23&lt;='GENERADO PS locales'!$D183,Y23*'SEP ORIGEN'!Y23,"Excede capacidad PS")</f>
        <v>0</v>
      </c>
      <c r="Z183" s="313">
        <f>IF(Z23*'SEP ORIGEN'!Z23&lt;='GENERADO PS locales'!$D183,Z23*'SEP ORIGEN'!Z23,"Excede capacidad PS")</f>
        <v>0</v>
      </c>
    </row>
    <row r="184" spans="1:26" ht="24.95" customHeight="1">
      <c r="A184" s="260" t="str">
        <f>+Pobl_adoptada!A24</f>
        <v>San Isidro</v>
      </c>
      <c r="B184" s="70">
        <f>+Pobl_adoptada!B24</f>
        <v>20</v>
      </c>
      <c r="C184" s="71" t="str">
        <f>+Pobl_adoptada!C24</f>
        <v>San Isidro</v>
      </c>
      <c r="D184" s="311">
        <v>0</v>
      </c>
      <c r="E184" s="278"/>
      <c r="F184" s="263"/>
      <c r="G184" s="313">
        <f>IF(G24*'SEP ORIGEN'!G24&lt;='GENERADO PS locales'!$D184,G24*'SEP ORIGEN'!G24,"Excede capacidad PS")</f>
        <v>0</v>
      </c>
      <c r="H184" s="313">
        <f>IF(H24*'SEP ORIGEN'!H24&lt;='GENERADO PS locales'!$D184,H24*'SEP ORIGEN'!H24,"Excede capacidad PS")</f>
        <v>0</v>
      </c>
      <c r="I184" s="313">
        <f>IF(I24*'SEP ORIGEN'!I24&lt;='GENERADO PS locales'!$D184,I24*'SEP ORIGEN'!I24,"Excede capacidad PS")</f>
        <v>0</v>
      </c>
      <c r="J184" s="313">
        <f>IF(J24*'SEP ORIGEN'!J24&lt;='GENERADO PS locales'!$D184,J24*'SEP ORIGEN'!J24,"Excede capacidad PS")</f>
        <v>0</v>
      </c>
      <c r="K184" s="313">
        <f>IF(K24*'SEP ORIGEN'!K24&lt;='GENERADO PS locales'!$D184,K24*'SEP ORIGEN'!K24,"Excede capacidad PS")</f>
        <v>0</v>
      </c>
      <c r="L184" s="313">
        <f>IF(L24*'SEP ORIGEN'!L24&lt;='GENERADO PS locales'!$D184,L24*'SEP ORIGEN'!L24,"Excede capacidad PS")</f>
        <v>0</v>
      </c>
      <c r="M184" s="313">
        <f>IF(M24*'SEP ORIGEN'!M24&lt;='GENERADO PS locales'!$D184,M24*'SEP ORIGEN'!M24,"Excede capacidad PS")</f>
        <v>0</v>
      </c>
      <c r="N184" s="313">
        <f>IF(N24*'SEP ORIGEN'!N24&lt;='GENERADO PS locales'!$D184,N24*'SEP ORIGEN'!N24,"Excede capacidad PS")</f>
        <v>0</v>
      </c>
      <c r="O184" s="313">
        <f>IF(O24*'SEP ORIGEN'!O24&lt;='GENERADO PS locales'!$D184,O24*'SEP ORIGEN'!O24,"Excede capacidad PS")</f>
        <v>0</v>
      </c>
      <c r="P184" s="313">
        <f>IF(P24*'SEP ORIGEN'!P24&lt;='GENERADO PS locales'!$D184,P24*'SEP ORIGEN'!P24,"Excede capacidad PS")</f>
        <v>0</v>
      </c>
      <c r="Q184" s="313">
        <f>IF(Q24*'SEP ORIGEN'!Q24&lt;='GENERADO PS locales'!$D184,Q24*'SEP ORIGEN'!Q24,"Excede capacidad PS")</f>
        <v>0</v>
      </c>
      <c r="R184" s="313">
        <f>IF(R24*'SEP ORIGEN'!R24&lt;='GENERADO PS locales'!$D184,R24*'SEP ORIGEN'!R24,"Excede capacidad PS")</f>
        <v>0</v>
      </c>
      <c r="S184" s="313">
        <f>IF(S24*'SEP ORIGEN'!S24&lt;='GENERADO PS locales'!$D184,S24*'SEP ORIGEN'!S24,"Excede capacidad PS")</f>
        <v>0</v>
      </c>
      <c r="T184" s="313">
        <f>IF(T24*'SEP ORIGEN'!T24&lt;='GENERADO PS locales'!$D184,T24*'SEP ORIGEN'!T24,"Excede capacidad PS")</f>
        <v>0</v>
      </c>
      <c r="U184" s="313">
        <f>IF(U24*'SEP ORIGEN'!U24&lt;='GENERADO PS locales'!$D184,U24*'SEP ORIGEN'!U24,"Excede capacidad PS")</f>
        <v>0</v>
      </c>
      <c r="V184" s="313">
        <f>IF(V24*'SEP ORIGEN'!V24&lt;='GENERADO PS locales'!$D184,V24*'SEP ORIGEN'!V24,"Excede capacidad PS")</f>
        <v>0</v>
      </c>
      <c r="W184" s="313">
        <f>IF(W24*'SEP ORIGEN'!W24&lt;='GENERADO PS locales'!$D184,W24*'SEP ORIGEN'!W24,"Excede capacidad PS")</f>
        <v>0</v>
      </c>
      <c r="X184" s="313">
        <f>IF(X24*'SEP ORIGEN'!X24&lt;='GENERADO PS locales'!$D184,X24*'SEP ORIGEN'!X24,"Excede capacidad PS")</f>
        <v>0</v>
      </c>
      <c r="Y184" s="313">
        <f>IF(Y24*'SEP ORIGEN'!Y24&lt;='GENERADO PS locales'!$D184,Y24*'SEP ORIGEN'!Y24,"Excede capacidad PS")</f>
        <v>0</v>
      </c>
      <c r="Z184" s="313">
        <f>IF(Z24*'SEP ORIGEN'!Z24&lt;='GENERADO PS locales'!$D184,Z24*'SEP ORIGEN'!Z24,"Excede capacidad PS")</f>
        <v>0</v>
      </c>
    </row>
    <row r="185" spans="1:26" ht="24.95" customHeight="1">
      <c r="A185" s="260" t="str">
        <f>+Pobl_adoptada!A25</f>
        <v>San Miguel</v>
      </c>
      <c r="B185" s="70">
        <f>+Pobl_adoptada!B25</f>
        <v>21</v>
      </c>
      <c r="C185" s="71" t="str">
        <f>+Pobl_adoptada!C25</f>
        <v>San Miguel</v>
      </c>
      <c r="D185" s="311">
        <v>0</v>
      </c>
      <c r="E185" s="278"/>
      <c r="F185" s="263"/>
      <c r="G185" s="313">
        <f>IF(G25*'SEP ORIGEN'!G25&lt;='GENERADO PS locales'!$D185,G25*'SEP ORIGEN'!G25,"Excede capacidad PS")</f>
        <v>0</v>
      </c>
      <c r="H185" s="313">
        <f>IF(H25*'SEP ORIGEN'!H25&lt;='GENERADO PS locales'!$D185,H25*'SEP ORIGEN'!H25,"Excede capacidad PS")</f>
        <v>0</v>
      </c>
      <c r="I185" s="313">
        <f>IF(I25*'SEP ORIGEN'!I25&lt;='GENERADO PS locales'!$D185,I25*'SEP ORIGEN'!I25,"Excede capacidad PS")</f>
        <v>0</v>
      </c>
      <c r="J185" s="313">
        <f>IF(J25*'SEP ORIGEN'!J25&lt;='GENERADO PS locales'!$D185,J25*'SEP ORIGEN'!J25,"Excede capacidad PS")</f>
        <v>0</v>
      </c>
      <c r="K185" s="313">
        <f>IF(K25*'SEP ORIGEN'!K25&lt;='GENERADO PS locales'!$D185,K25*'SEP ORIGEN'!K25,"Excede capacidad PS")</f>
        <v>0</v>
      </c>
      <c r="L185" s="313">
        <f>IF(L25*'SEP ORIGEN'!L25&lt;='GENERADO PS locales'!$D185,L25*'SEP ORIGEN'!L25,"Excede capacidad PS")</f>
        <v>0</v>
      </c>
      <c r="M185" s="313">
        <f>IF(M25*'SEP ORIGEN'!M25&lt;='GENERADO PS locales'!$D185,M25*'SEP ORIGEN'!M25,"Excede capacidad PS")</f>
        <v>0</v>
      </c>
      <c r="N185" s="313">
        <f>IF(N25*'SEP ORIGEN'!N25&lt;='GENERADO PS locales'!$D185,N25*'SEP ORIGEN'!N25,"Excede capacidad PS")</f>
        <v>0</v>
      </c>
      <c r="O185" s="313">
        <f>IF(O25*'SEP ORIGEN'!O25&lt;='GENERADO PS locales'!$D185,O25*'SEP ORIGEN'!O25,"Excede capacidad PS")</f>
        <v>0</v>
      </c>
      <c r="P185" s="313">
        <f>IF(P25*'SEP ORIGEN'!P25&lt;='GENERADO PS locales'!$D185,P25*'SEP ORIGEN'!P25,"Excede capacidad PS")</f>
        <v>0</v>
      </c>
      <c r="Q185" s="313">
        <f>IF(Q25*'SEP ORIGEN'!Q25&lt;='GENERADO PS locales'!$D185,Q25*'SEP ORIGEN'!Q25,"Excede capacidad PS")</f>
        <v>0</v>
      </c>
      <c r="R185" s="313">
        <f>IF(R25*'SEP ORIGEN'!R25&lt;='GENERADO PS locales'!$D185,R25*'SEP ORIGEN'!R25,"Excede capacidad PS")</f>
        <v>0</v>
      </c>
      <c r="S185" s="313">
        <f>IF(S25*'SEP ORIGEN'!S25&lt;='GENERADO PS locales'!$D185,S25*'SEP ORIGEN'!S25,"Excede capacidad PS")</f>
        <v>0</v>
      </c>
      <c r="T185" s="313">
        <f>IF(T25*'SEP ORIGEN'!T25&lt;='GENERADO PS locales'!$D185,T25*'SEP ORIGEN'!T25,"Excede capacidad PS")</f>
        <v>0</v>
      </c>
      <c r="U185" s="313">
        <f>IF(U25*'SEP ORIGEN'!U25&lt;='GENERADO PS locales'!$D185,U25*'SEP ORIGEN'!U25,"Excede capacidad PS")</f>
        <v>0</v>
      </c>
      <c r="V185" s="313">
        <f>IF(V25*'SEP ORIGEN'!V25&lt;='GENERADO PS locales'!$D185,V25*'SEP ORIGEN'!V25,"Excede capacidad PS")</f>
        <v>0</v>
      </c>
      <c r="W185" s="313">
        <f>IF(W25*'SEP ORIGEN'!W25&lt;='GENERADO PS locales'!$D185,W25*'SEP ORIGEN'!W25,"Excede capacidad PS")</f>
        <v>0</v>
      </c>
      <c r="X185" s="313">
        <f>IF(X25*'SEP ORIGEN'!X25&lt;='GENERADO PS locales'!$D185,X25*'SEP ORIGEN'!X25,"Excede capacidad PS")</f>
        <v>0</v>
      </c>
      <c r="Y185" s="313">
        <f>IF(Y25*'SEP ORIGEN'!Y25&lt;='GENERADO PS locales'!$D185,Y25*'SEP ORIGEN'!Y25,"Excede capacidad PS")</f>
        <v>0</v>
      </c>
      <c r="Z185" s="313">
        <f>IF(Z25*'SEP ORIGEN'!Z25&lt;='GENERADO PS locales'!$D185,Z25*'SEP ORIGEN'!Z25,"Excede capacidad PS")</f>
        <v>0</v>
      </c>
    </row>
    <row r="186" spans="1:26" ht="24.95" customHeight="1">
      <c r="A186" s="260" t="str">
        <f>+Pobl_adoptada!A26</f>
        <v>Tigre</v>
      </c>
      <c r="B186" s="70">
        <f>+Pobl_adoptada!B26</f>
        <v>22</v>
      </c>
      <c r="C186" s="71" t="str">
        <f>+Pobl_adoptada!C26</f>
        <v>Tigre</v>
      </c>
      <c r="D186" s="311">
        <v>0</v>
      </c>
      <c r="E186" s="278"/>
      <c r="F186" s="263"/>
      <c r="G186" s="313">
        <f>IF(G26*'SEP ORIGEN'!G26&lt;='GENERADO PS locales'!$D186,G26*'SEP ORIGEN'!G26,"Excede capacidad PS")</f>
        <v>0</v>
      </c>
      <c r="H186" s="313">
        <f>IF(H26*'SEP ORIGEN'!H26&lt;='GENERADO PS locales'!$D186,H26*'SEP ORIGEN'!H26,"Excede capacidad PS")</f>
        <v>0</v>
      </c>
      <c r="I186" s="313">
        <f>IF(I26*'SEP ORIGEN'!I26&lt;='GENERADO PS locales'!$D186,I26*'SEP ORIGEN'!I26,"Excede capacidad PS")</f>
        <v>0</v>
      </c>
      <c r="J186" s="313">
        <f>IF(J26*'SEP ORIGEN'!J26&lt;='GENERADO PS locales'!$D186,J26*'SEP ORIGEN'!J26,"Excede capacidad PS")</f>
        <v>0</v>
      </c>
      <c r="K186" s="313">
        <f>IF(K26*'SEP ORIGEN'!K26&lt;='GENERADO PS locales'!$D186,K26*'SEP ORIGEN'!K26,"Excede capacidad PS")</f>
        <v>0</v>
      </c>
      <c r="L186" s="313">
        <f>IF(L26*'SEP ORIGEN'!L26&lt;='GENERADO PS locales'!$D186,L26*'SEP ORIGEN'!L26,"Excede capacidad PS")</f>
        <v>0</v>
      </c>
      <c r="M186" s="313">
        <f>IF(M26*'SEP ORIGEN'!M26&lt;='GENERADO PS locales'!$D186,M26*'SEP ORIGEN'!M26,"Excede capacidad PS")</f>
        <v>0</v>
      </c>
      <c r="N186" s="313">
        <f>IF(N26*'SEP ORIGEN'!N26&lt;='GENERADO PS locales'!$D186,N26*'SEP ORIGEN'!N26,"Excede capacidad PS")</f>
        <v>0</v>
      </c>
      <c r="O186" s="313">
        <f>IF(O26*'SEP ORIGEN'!O26&lt;='GENERADO PS locales'!$D186,O26*'SEP ORIGEN'!O26,"Excede capacidad PS")</f>
        <v>0</v>
      </c>
      <c r="P186" s="313">
        <f>IF(P26*'SEP ORIGEN'!P26&lt;='GENERADO PS locales'!$D186,P26*'SEP ORIGEN'!P26,"Excede capacidad PS")</f>
        <v>0</v>
      </c>
      <c r="Q186" s="313">
        <f>IF(Q26*'SEP ORIGEN'!Q26&lt;='GENERADO PS locales'!$D186,Q26*'SEP ORIGEN'!Q26,"Excede capacidad PS")</f>
        <v>0</v>
      </c>
      <c r="R186" s="313">
        <f>IF(R26*'SEP ORIGEN'!R26&lt;='GENERADO PS locales'!$D186,R26*'SEP ORIGEN'!R26,"Excede capacidad PS")</f>
        <v>0</v>
      </c>
      <c r="S186" s="313">
        <f>IF(S26*'SEP ORIGEN'!S26&lt;='GENERADO PS locales'!$D186,S26*'SEP ORIGEN'!S26,"Excede capacidad PS")</f>
        <v>0</v>
      </c>
      <c r="T186" s="313">
        <f>IF(T26*'SEP ORIGEN'!T26&lt;='GENERADO PS locales'!$D186,T26*'SEP ORIGEN'!T26,"Excede capacidad PS")</f>
        <v>0</v>
      </c>
      <c r="U186" s="313">
        <f>IF(U26*'SEP ORIGEN'!U26&lt;='GENERADO PS locales'!$D186,U26*'SEP ORIGEN'!U26,"Excede capacidad PS")</f>
        <v>0</v>
      </c>
      <c r="V186" s="313">
        <f>IF(V26*'SEP ORIGEN'!V26&lt;='GENERADO PS locales'!$D186,V26*'SEP ORIGEN'!V26,"Excede capacidad PS")</f>
        <v>0</v>
      </c>
      <c r="W186" s="313">
        <f>IF(W26*'SEP ORIGEN'!W26&lt;='GENERADO PS locales'!$D186,W26*'SEP ORIGEN'!W26,"Excede capacidad PS")</f>
        <v>0</v>
      </c>
      <c r="X186" s="313">
        <f>IF(X26*'SEP ORIGEN'!X26&lt;='GENERADO PS locales'!$D186,X26*'SEP ORIGEN'!X26,"Excede capacidad PS")</f>
        <v>0</v>
      </c>
      <c r="Y186" s="313">
        <f>IF(Y26*'SEP ORIGEN'!Y26&lt;='GENERADO PS locales'!$D186,Y26*'SEP ORIGEN'!Y26,"Excede capacidad PS")</f>
        <v>0</v>
      </c>
      <c r="Z186" s="313">
        <f>IF(Z26*'SEP ORIGEN'!Z26&lt;='GENERADO PS locales'!$D186,Z26*'SEP ORIGEN'!Z26,"Excede capacidad PS")</f>
        <v>0</v>
      </c>
    </row>
    <row r="187" spans="1:26" ht="24.95" customHeight="1">
      <c r="A187" s="260" t="str">
        <f>+Pobl_adoptada!A27</f>
        <v>Tres de Febrero</v>
      </c>
      <c r="B187" s="70">
        <f>+Pobl_adoptada!B27</f>
        <v>23</v>
      </c>
      <c r="C187" s="71" t="str">
        <f>+Pobl_adoptada!C27</f>
        <v>Tres de Febrero</v>
      </c>
      <c r="D187" s="311">
        <v>0</v>
      </c>
      <c r="E187" s="278"/>
      <c r="F187" s="263"/>
      <c r="G187" s="313">
        <f>IF(G27*'SEP ORIGEN'!G27&lt;='GENERADO PS locales'!$D187,G27*'SEP ORIGEN'!G27,"Excede capacidad PS")</f>
        <v>0</v>
      </c>
      <c r="H187" s="313">
        <f>IF(H27*'SEP ORIGEN'!H27&lt;='GENERADO PS locales'!$D187,H27*'SEP ORIGEN'!H27,"Excede capacidad PS")</f>
        <v>0</v>
      </c>
      <c r="I187" s="313">
        <f>IF(I27*'SEP ORIGEN'!I27&lt;='GENERADO PS locales'!$D187,I27*'SEP ORIGEN'!I27,"Excede capacidad PS")</f>
        <v>0</v>
      </c>
      <c r="J187" s="313">
        <f>IF(J27*'SEP ORIGEN'!J27&lt;='GENERADO PS locales'!$D187,J27*'SEP ORIGEN'!J27,"Excede capacidad PS")</f>
        <v>0</v>
      </c>
      <c r="K187" s="313">
        <f>IF(K27*'SEP ORIGEN'!K27&lt;='GENERADO PS locales'!$D187,K27*'SEP ORIGEN'!K27,"Excede capacidad PS")</f>
        <v>0</v>
      </c>
      <c r="L187" s="313">
        <f>IF(L27*'SEP ORIGEN'!L27&lt;='GENERADO PS locales'!$D187,L27*'SEP ORIGEN'!L27,"Excede capacidad PS")</f>
        <v>0</v>
      </c>
      <c r="M187" s="313">
        <f>IF(M27*'SEP ORIGEN'!M27&lt;='GENERADO PS locales'!$D187,M27*'SEP ORIGEN'!M27,"Excede capacidad PS")</f>
        <v>0</v>
      </c>
      <c r="N187" s="313">
        <f>IF(N27*'SEP ORIGEN'!N27&lt;='GENERADO PS locales'!$D187,N27*'SEP ORIGEN'!N27,"Excede capacidad PS")</f>
        <v>0</v>
      </c>
      <c r="O187" s="313">
        <f>IF(O27*'SEP ORIGEN'!O27&lt;='GENERADO PS locales'!$D187,O27*'SEP ORIGEN'!O27,"Excede capacidad PS")</f>
        <v>0</v>
      </c>
      <c r="P187" s="313">
        <f>IF(P27*'SEP ORIGEN'!P27&lt;='GENERADO PS locales'!$D187,P27*'SEP ORIGEN'!P27,"Excede capacidad PS")</f>
        <v>0</v>
      </c>
      <c r="Q187" s="313">
        <f>IF(Q27*'SEP ORIGEN'!Q27&lt;='GENERADO PS locales'!$D187,Q27*'SEP ORIGEN'!Q27,"Excede capacidad PS")</f>
        <v>0</v>
      </c>
      <c r="R187" s="313">
        <f>IF(R27*'SEP ORIGEN'!R27&lt;='GENERADO PS locales'!$D187,R27*'SEP ORIGEN'!R27,"Excede capacidad PS")</f>
        <v>0</v>
      </c>
      <c r="S187" s="313">
        <f>IF(S27*'SEP ORIGEN'!S27&lt;='GENERADO PS locales'!$D187,S27*'SEP ORIGEN'!S27,"Excede capacidad PS")</f>
        <v>0</v>
      </c>
      <c r="T187" s="313">
        <f>IF(T27*'SEP ORIGEN'!T27&lt;='GENERADO PS locales'!$D187,T27*'SEP ORIGEN'!T27,"Excede capacidad PS")</f>
        <v>0</v>
      </c>
      <c r="U187" s="313">
        <f>IF(U27*'SEP ORIGEN'!U27&lt;='GENERADO PS locales'!$D187,U27*'SEP ORIGEN'!U27,"Excede capacidad PS")</f>
        <v>0</v>
      </c>
      <c r="V187" s="313">
        <f>IF(V27*'SEP ORIGEN'!V27&lt;='GENERADO PS locales'!$D187,V27*'SEP ORIGEN'!V27,"Excede capacidad PS")</f>
        <v>0</v>
      </c>
      <c r="W187" s="313">
        <f>IF(W27*'SEP ORIGEN'!W27&lt;='GENERADO PS locales'!$D187,W27*'SEP ORIGEN'!W27,"Excede capacidad PS")</f>
        <v>0</v>
      </c>
      <c r="X187" s="313">
        <f>IF(X27*'SEP ORIGEN'!X27&lt;='GENERADO PS locales'!$D187,X27*'SEP ORIGEN'!X27,"Excede capacidad PS")</f>
        <v>0</v>
      </c>
      <c r="Y187" s="313">
        <f>IF(Y27*'SEP ORIGEN'!Y27&lt;='GENERADO PS locales'!$D187,Y27*'SEP ORIGEN'!Y27,"Excede capacidad PS")</f>
        <v>0</v>
      </c>
      <c r="Z187" s="313">
        <f>IF(Z27*'SEP ORIGEN'!Z27&lt;='GENERADO PS locales'!$D187,Z27*'SEP ORIGEN'!Z27,"Excede capacidad PS")</f>
        <v>0</v>
      </c>
    </row>
    <row r="188" spans="1:26" ht="24.95" customHeight="1">
      <c r="A188" s="260" t="str">
        <f>+Pobl_adoptada!A28</f>
        <v>Vicente López</v>
      </c>
      <c r="B188" s="70">
        <f>+Pobl_adoptada!B28</f>
        <v>24</v>
      </c>
      <c r="C188" s="71" t="str">
        <f>+Pobl_adoptada!C28</f>
        <v>Vicente López</v>
      </c>
      <c r="D188" s="311">
        <v>0</v>
      </c>
      <c r="E188" s="278"/>
      <c r="F188" s="263"/>
      <c r="G188" s="313">
        <f>IF(G28*'SEP ORIGEN'!G28&lt;='GENERADO PS locales'!$D188,G28*'SEP ORIGEN'!G28,"Excede capacidad PS")</f>
        <v>0</v>
      </c>
      <c r="H188" s="313">
        <f>IF(H28*'SEP ORIGEN'!H28&lt;='GENERADO PS locales'!$D188,H28*'SEP ORIGEN'!H28,"Excede capacidad PS")</f>
        <v>0</v>
      </c>
      <c r="I188" s="313">
        <f>IF(I28*'SEP ORIGEN'!I28&lt;='GENERADO PS locales'!$D188,I28*'SEP ORIGEN'!I28,"Excede capacidad PS")</f>
        <v>0</v>
      </c>
      <c r="J188" s="313">
        <f>IF(J28*'SEP ORIGEN'!J28&lt;='GENERADO PS locales'!$D188,J28*'SEP ORIGEN'!J28,"Excede capacidad PS")</f>
        <v>0</v>
      </c>
      <c r="K188" s="313">
        <f>IF(K28*'SEP ORIGEN'!K28&lt;='GENERADO PS locales'!$D188,K28*'SEP ORIGEN'!K28,"Excede capacidad PS")</f>
        <v>0</v>
      </c>
      <c r="L188" s="313">
        <f>IF(L28*'SEP ORIGEN'!L28&lt;='GENERADO PS locales'!$D188,L28*'SEP ORIGEN'!L28,"Excede capacidad PS")</f>
        <v>0</v>
      </c>
      <c r="M188" s="313">
        <f>IF(M28*'SEP ORIGEN'!M28&lt;='GENERADO PS locales'!$D188,M28*'SEP ORIGEN'!M28,"Excede capacidad PS")</f>
        <v>0</v>
      </c>
      <c r="N188" s="313">
        <f>IF(N28*'SEP ORIGEN'!N28&lt;='GENERADO PS locales'!$D188,N28*'SEP ORIGEN'!N28,"Excede capacidad PS")</f>
        <v>0</v>
      </c>
      <c r="O188" s="313">
        <f>IF(O28*'SEP ORIGEN'!O28&lt;='GENERADO PS locales'!$D188,O28*'SEP ORIGEN'!O28,"Excede capacidad PS")</f>
        <v>0</v>
      </c>
      <c r="P188" s="313">
        <f>IF(P28*'SEP ORIGEN'!P28&lt;='GENERADO PS locales'!$D188,P28*'SEP ORIGEN'!P28,"Excede capacidad PS")</f>
        <v>0</v>
      </c>
      <c r="Q188" s="313">
        <f>IF(Q28*'SEP ORIGEN'!Q28&lt;='GENERADO PS locales'!$D188,Q28*'SEP ORIGEN'!Q28,"Excede capacidad PS")</f>
        <v>0</v>
      </c>
      <c r="R188" s="313">
        <f>IF(R28*'SEP ORIGEN'!R28&lt;='GENERADO PS locales'!$D188,R28*'SEP ORIGEN'!R28,"Excede capacidad PS")</f>
        <v>0</v>
      </c>
      <c r="S188" s="313">
        <f>IF(S28*'SEP ORIGEN'!S28&lt;='GENERADO PS locales'!$D188,S28*'SEP ORIGEN'!S28,"Excede capacidad PS")</f>
        <v>0</v>
      </c>
      <c r="T188" s="313">
        <f>IF(T28*'SEP ORIGEN'!T28&lt;='GENERADO PS locales'!$D188,T28*'SEP ORIGEN'!T28,"Excede capacidad PS")</f>
        <v>0</v>
      </c>
      <c r="U188" s="313">
        <f>IF(U28*'SEP ORIGEN'!U28&lt;='GENERADO PS locales'!$D188,U28*'SEP ORIGEN'!U28,"Excede capacidad PS")</f>
        <v>0</v>
      </c>
      <c r="V188" s="313">
        <f>IF(V28*'SEP ORIGEN'!V28&lt;='GENERADO PS locales'!$D188,V28*'SEP ORIGEN'!V28,"Excede capacidad PS")</f>
        <v>0</v>
      </c>
      <c r="W188" s="313">
        <f>IF(W28*'SEP ORIGEN'!W28&lt;='GENERADO PS locales'!$D188,W28*'SEP ORIGEN'!W28,"Excede capacidad PS")</f>
        <v>0</v>
      </c>
      <c r="X188" s="313">
        <f>IF(X28*'SEP ORIGEN'!X28&lt;='GENERADO PS locales'!$D188,X28*'SEP ORIGEN'!X28,"Excede capacidad PS")</f>
        <v>0</v>
      </c>
      <c r="Y188" s="313">
        <f>IF(Y28*'SEP ORIGEN'!Y28&lt;='GENERADO PS locales'!$D188,Y28*'SEP ORIGEN'!Y28,"Excede capacidad PS")</f>
        <v>0</v>
      </c>
      <c r="Z188" s="313">
        <f>IF(Z28*'SEP ORIGEN'!Z28&lt;='GENERADO PS locales'!$D188,Z28*'SEP ORIGEN'!Z28,"Excede capacidad PS")</f>
        <v>0</v>
      </c>
    </row>
    <row r="189" spans="1:26" ht="24.95" customHeight="1">
      <c r="A189" s="260" t="str">
        <f>+Pobl_adoptada!A29</f>
        <v>25 de Mayo</v>
      </c>
      <c r="B189" s="70">
        <f>+Pobl_adoptada!B29</f>
        <v>25</v>
      </c>
      <c r="C189" s="71" t="str">
        <f>+Pobl_adoptada!C29</f>
        <v>25 de Mayo</v>
      </c>
      <c r="D189" s="311">
        <v>0</v>
      </c>
      <c r="E189" s="278"/>
      <c r="F189" s="263"/>
      <c r="G189" s="313">
        <f>IF(G29*'SEP ORIGEN'!G29&lt;='GENERADO PS locales'!$D189,G29*'SEP ORIGEN'!G29,"Excede capacidad PS")</f>
        <v>0</v>
      </c>
      <c r="H189" s="313">
        <f>IF(H29*'SEP ORIGEN'!H29&lt;='GENERADO PS locales'!$D189,H29*'SEP ORIGEN'!H29,"Excede capacidad PS")</f>
        <v>0</v>
      </c>
      <c r="I189" s="313">
        <f>IF(I29*'SEP ORIGEN'!I29&lt;='GENERADO PS locales'!$D189,I29*'SEP ORIGEN'!I29,"Excede capacidad PS")</f>
        <v>0</v>
      </c>
      <c r="J189" s="313">
        <f>IF(J29*'SEP ORIGEN'!J29&lt;='GENERADO PS locales'!$D189,J29*'SEP ORIGEN'!J29,"Excede capacidad PS")</f>
        <v>0</v>
      </c>
      <c r="K189" s="313">
        <f>IF(K29*'SEP ORIGEN'!K29&lt;='GENERADO PS locales'!$D189,K29*'SEP ORIGEN'!K29,"Excede capacidad PS")</f>
        <v>0</v>
      </c>
      <c r="L189" s="313">
        <f>IF(L29*'SEP ORIGEN'!L29&lt;='GENERADO PS locales'!$D189,L29*'SEP ORIGEN'!L29,"Excede capacidad PS")</f>
        <v>0</v>
      </c>
      <c r="M189" s="313">
        <f>IF(M29*'SEP ORIGEN'!M29&lt;='GENERADO PS locales'!$D189,M29*'SEP ORIGEN'!M29,"Excede capacidad PS")</f>
        <v>0</v>
      </c>
      <c r="N189" s="313">
        <f>IF(N29*'SEP ORIGEN'!N29&lt;='GENERADO PS locales'!$D189,N29*'SEP ORIGEN'!N29,"Excede capacidad PS")</f>
        <v>0</v>
      </c>
      <c r="O189" s="313">
        <f>IF(O29*'SEP ORIGEN'!O29&lt;='GENERADO PS locales'!$D189,O29*'SEP ORIGEN'!O29,"Excede capacidad PS")</f>
        <v>0</v>
      </c>
      <c r="P189" s="313">
        <f>IF(P29*'SEP ORIGEN'!P29&lt;='GENERADO PS locales'!$D189,P29*'SEP ORIGEN'!P29,"Excede capacidad PS")</f>
        <v>0</v>
      </c>
      <c r="Q189" s="313">
        <f>IF(Q29*'SEP ORIGEN'!Q29&lt;='GENERADO PS locales'!$D189,Q29*'SEP ORIGEN'!Q29,"Excede capacidad PS")</f>
        <v>0</v>
      </c>
      <c r="R189" s="313">
        <f>IF(R29*'SEP ORIGEN'!R29&lt;='GENERADO PS locales'!$D189,R29*'SEP ORIGEN'!R29,"Excede capacidad PS")</f>
        <v>0</v>
      </c>
      <c r="S189" s="313">
        <f>IF(S29*'SEP ORIGEN'!S29&lt;='GENERADO PS locales'!$D189,S29*'SEP ORIGEN'!S29,"Excede capacidad PS")</f>
        <v>0</v>
      </c>
      <c r="T189" s="313">
        <f>IF(T29*'SEP ORIGEN'!T29&lt;='GENERADO PS locales'!$D189,T29*'SEP ORIGEN'!T29,"Excede capacidad PS")</f>
        <v>0</v>
      </c>
      <c r="U189" s="313">
        <f>IF(U29*'SEP ORIGEN'!U29&lt;='GENERADO PS locales'!$D189,U29*'SEP ORIGEN'!U29,"Excede capacidad PS")</f>
        <v>0</v>
      </c>
      <c r="V189" s="313">
        <f>IF(V29*'SEP ORIGEN'!V29&lt;='GENERADO PS locales'!$D189,V29*'SEP ORIGEN'!V29,"Excede capacidad PS")</f>
        <v>0</v>
      </c>
      <c r="W189" s="313">
        <f>IF(W29*'SEP ORIGEN'!W29&lt;='GENERADO PS locales'!$D189,W29*'SEP ORIGEN'!W29,"Excede capacidad PS")</f>
        <v>0</v>
      </c>
      <c r="X189" s="313">
        <f>IF(X29*'SEP ORIGEN'!X29&lt;='GENERADO PS locales'!$D189,X29*'SEP ORIGEN'!X29,"Excede capacidad PS")</f>
        <v>0</v>
      </c>
      <c r="Y189" s="313">
        <f>IF(Y29*'SEP ORIGEN'!Y29&lt;='GENERADO PS locales'!$D189,Y29*'SEP ORIGEN'!Y29,"Excede capacidad PS")</f>
        <v>0</v>
      </c>
      <c r="Z189" s="313">
        <f>IF(Z29*'SEP ORIGEN'!Z29&lt;='GENERADO PS locales'!$D189,Z29*'SEP ORIGEN'!Z29,"Excede capacidad PS")</f>
        <v>0</v>
      </c>
    </row>
    <row r="190" spans="1:26" ht="24.95" customHeight="1">
      <c r="A190" s="260" t="str">
        <f>+Pobl_adoptada!A30</f>
        <v>9 de Julio</v>
      </c>
      <c r="B190" s="70">
        <f>+Pobl_adoptada!B30</f>
        <v>26</v>
      </c>
      <c r="C190" s="71" t="str">
        <f>+Pobl_adoptada!C30</f>
        <v>9 de Julio</v>
      </c>
      <c r="D190" s="311">
        <v>0</v>
      </c>
      <c r="E190" s="278"/>
      <c r="F190" s="263"/>
      <c r="G190" s="313">
        <f>IF(G30*'SEP ORIGEN'!G30&lt;='GENERADO PS locales'!$D190,G30*'SEP ORIGEN'!G30,"Excede capacidad PS")</f>
        <v>0</v>
      </c>
      <c r="H190" s="313">
        <f>IF(H30*'SEP ORIGEN'!H30&lt;='GENERADO PS locales'!$D190,H30*'SEP ORIGEN'!H30,"Excede capacidad PS")</f>
        <v>0</v>
      </c>
      <c r="I190" s="313">
        <f>IF(I30*'SEP ORIGEN'!I30&lt;='GENERADO PS locales'!$D190,I30*'SEP ORIGEN'!I30,"Excede capacidad PS")</f>
        <v>0</v>
      </c>
      <c r="J190" s="313">
        <f>IF(J30*'SEP ORIGEN'!J30&lt;='GENERADO PS locales'!$D190,J30*'SEP ORIGEN'!J30,"Excede capacidad PS")</f>
        <v>0</v>
      </c>
      <c r="K190" s="313">
        <f>IF(K30*'SEP ORIGEN'!K30&lt;='GENERADO PS locales'!$D190,K30*'SEP ORIGEN'!K30,"Excede capacidad PS")</f>
        <v>0</v>
      </c>
      <c r="L190" s="313">
        <f>IF(L30*'SEP ORIGEN'!L30&lt;='GENERADO PS locales'!$D190,L30*'SEP ORIGEN'!L30,"Excede capacidad PS")</f>
        <v>0</v>
      </c>
      <c r="M190" s="313">
        <f>IF(M30*'SEP ORIGEN'!M30&lt;='GENERADO PS locales'!$D190,M30*'SEP ORIGEN'!M30,"Excede capacidad PS")</f>
        <v>0</v>
      </c>
      <c r="N190" s="313">
        <f>IF(N30*'SEP ORIGEN'!N30&lt;='GENERADO PS locales'!$D190,N30*'SEP ORIGEN'!N30,"Excede capacidad PS")</f>
        <v>0</v>
      </c>
      <c r="O190" s="313">
        <f>IF(O30*'SEP ORIGEN'!O30&lt;='GENERADO PS locales'!$D190,O30*'SEP ORIGEN'!O30,"Excede capacidad PS")</f>
        <v>0</v>
      </c>
      <c r="P190" s="313">
        <f>IF(P30*'SEP ORIGEN'!P30&lt;='GENERADO PS locales'!$D190,P30*'SEP ORIGEN'!P30,"Excede capacidad PS")</f>
        <v>0</v>
      </c>
      <c r="Q190" s="313">
        <f>IF(Q30*'SEP ORIGEN'!Q30&lt;='GENERADO PS locales'!$D190,Q30*'SEP ORIGEN'!Q30,"Excede capacidad PS")</f>
        <v>0</v>
      </c>
      <c r="R190" s="313">
        <f>IF(R30*'SEP ORIGEN'!R30&lt;='GENERADO PS locales'!$D190,R30*'SEP ORIGEN'!R30,"Excede capacidad PS")</f>
        <v>0</v>
      </c>
      <c r="S190" s="313">
        <f>IF(S30*'SEP ORIGEN'!S30&lt;='GENERADO PS locales'!$D190,S30*'SEP ORIGEN'!S30,"Excede capacidad PS")</f>
        <v>0</v>
      </c>
      <c r="T190" s="313">
        <f>IF(T30*'SEP ORIGEN'!T30&lt;='GENERADO PS locales'!$D190,T30*'SEP ORIGEN'!T30,"Excede capacidad PS")</f>
        <v>0</v>
      </c>
      <c r="U190" s="313">
        <f>IF(U30*'SEP ORIGEN'!U30&lt;='GENERADO PS locales'!$D190,U30*'SEP ORIGEN'!U30,"Excede capacidad PS")</f>
        <v>0</v>
      </c>
      <c r="V190" s="313">
        <f>IF(V30*'SEP ORIGEN'!V30&lt;='GENERADO PS locales'!$D190,V30*'SEP ORIGEN'!V30,"Excede capacidad PS")</f>
        <v>0</v>
      </c>
      <c r="W190" s="313">
        <f>IF(W30*'SEP ORIGEN'!W30&lt;='GENERADO PS locales'!$D190,W30*'SEP ORIGEN'!W30,"Excede capacidad PS")</f>
        <v>0</v>
      </c>
      <c r="X190" s="313">
        <f>IF(X30*'SEP ORIGEN'!X30&lt;='GENERADO PS locales'!$D190,X30*'SEP ORIGEN'!X30,"Excede capacidad PS")</f>
        <v>0</v>
      </c>
      <c r="Y190" s="313">
        <f>IF(Y30*'SEP ORIGEN'!Y30&lt;='GENERADO PS locales'!$D190,Y30*'SEP ORIGEN'!Y30,"Excede capacidad PS")</f>
        <v>0</v>
      </c>
      <c r="Z190" s="313">
        <f>IF(Z30*'SEP ORIGEN'!Z30&lt;='GENERADO PS locales'!$D190,Z30*'SEP ORIGEN'!Z30,"Excede capacidad PS")</f>
        <v>0</v>
      </c>
    </row>
    <row r="191" spans="1:26" ht="24.95" customHeight="1">
      <c r="A191" s="260" t="str">
        <f>+Pobl_adoptada!A31</f>
        <v>Adolfo Alsina</v>
      </c>
      <c r="B191" s="70">
        <f>+Pobl_adoptada!B31</f>
        <v>27</v>
      </c>
      <c r="C191" s="71" t="str">
        <f>+Pobl_adoptada!C31</f>
        <v>Carhué</v>
      </c>
      <c r="D191" s="311">
        <v>0</v>
      </c>
      <c r="E191" s="278"/>
      <c r="F191" s="263"/>
      <c r="G191" s="313">
        <f>IF(G31*'SEP ORIGEN'!G31&lt;='GENERADO PS locales'!$D191,G31*'SEP ORIGEN'!G31,"Excede capacidad PS")</f>
        <v>0</v>
      </c>
      <c r="H191" s="313">
        <f>IF(H31*'SEP ORIGEN'!H31&lt;='GENERADO PS locales'!$D191,H31*'SEP ORIGEN'!H31,"Excede capacidad PS")</f>
        <v>0</v>
      </c>
      <c r="I191" s="313">
        <f>IF(I31*'SEP ORIGEN'!I31&lt;='GENERADO PS locales'!$D191,I31*'SEP ORIGEN'!I31,"Excede capacidad PS")</f>
        <v>0</v>
      </c>
      <c r="J191" s="313">
        <f>IF(J31*'SEP ORIGEN'!J31&lt;='GENERADO PS locales'!$D191,J31*'SEP ORIGEN'!J31,"Excede capacidad PS")</f>
        <v>0</v>
      </c>
      <c r="K191" s="313">
        <f>IF(K31*'SEP ORIGEN'!K31&lt;='GENERADO PS locales'!$D191,K31*'SEP ORIGEN'!K31,"Excede capacidad PS")</f>
        <v>0</v>
      </c>
      <c r="L191" s="313">
        <f>IF(L31*'SEP ORIGEN'!L31&lt;='GENERADO PS locales'!$D191,L31*'SEP ORIGEN'!L31,"Excede capacidad PS")</f>
        <v>0</v>
      </c>
      <c r="M191" s="313">
        <f>IF(M31*'SEP ORIGEN'!M31&lt;='GENERADO PS locales'!$D191,M31*'SEP ORIGEN'!M31,"Excede capacidad PS")</f>
        <v>0</v>
      </c>
      <c r="N191" s="313">
        <f>IF(N31*'SEP ORIGEN'!N31&lt;='GENERADO PS locales'!$D191,N31*'SEP ORIGEN'!N31,"Excede capacidad PS")</f>
        <v>0</v>
      </c>
      <c r="O191" s="313">
        <f>IF(O31*'SEP ORIGEN'!O31&lt;='GENERADO PS locales'!$D191,O31*'SEP ORIGEN'!O31,"Excede capacidad PS")</f>
        <v>0</v>
      </c>
      <c r="P191" s="313">
        <f>IF(P31*'SEP ORIGEN'!P31&lt;='GENERADO PS locales'!$D191,P31*'SEP ORIGEN'!P31,"Excede capacidad PS")</f>
        <v>0</v>
      </c>
      <c r="Q191" s="313">
        <f>IF(Q31*'SEP ORIGEN'!Q31&lt;='GENERADO PS locales'!$D191,Q31*'SEP ORIGEN'!Q31,"Excede capacidad PS")</f>
        <v>0</v>
      </c>
      <c r="R191" s="313">
        <f>IF(R31*'SEP ORIGEN'!R31&lt;='GENERADO PS locales'!$D191,R31*'SEP ORIGEN'!R31,"Excede capacidad PS")</f>
        <v>0</v>
      </c>
      <c r="S191" s="313">
        <f>IF(S31*'SEP ORIGEN'!S31&lt;='GENERADO PS locales'!$D191,S31*'SEP ORIGEN'!S31,"Excede capacidad PS")</f>
        <v>0</v>
      </c>
      <c r="T191" s="313">
        <f>IF(T31*'SEP ORIGEN'!T31&lt;='GENERADO PS locales'!$D191,T31*'SEP ORIGEN'!T31,"Excede capacidad PS")</f>
        <v>0</v>
      </c>
      <c r="U191" s="313">
        <f>IF(U31*'SEP ORIGEN'!U31&lt;='GENERADO PS locales'!$D191,U31*'SEP ORIGEN'!U31,"Excede capacidad PS")</f>
        <v>0</v>
      </c>
      <c r="V191" s="313">
        <f>IF(V31*'SEP ORIGEN'!V31&lt;='GENERADO PS locales'!$D191,V31*'SEP ORIGEN'!V31,"Excede capacidad PS")</f>
        <v>0</v>
      </c>
      <c r="W191" s="313">
        <f>IF(W31*'SEP ORIGEN'!W31&lt;='GENERADO PS locales'!$D191,W31*'SEP ORIGEN'!W31,"Excede capacidad PS")</f>
        <v>0</v>
      </c>
      <c r="X191" s="313">
        <f>IF(X31*'SEP ORIGEN'!X31&lt;='GENERADO PS locales'!$D191,X31*'SEP ORIGEN'!X31,"Excede capacidad PS")</f>
        <v>0</v>
      </c>
      <c r="Y191" s="313">
        <f>IF(Y31*'SEP ORIGEN'!Y31&lt;='GENERADO PS locales'!$D191,Y31*'SEP ORIGEN'!Y31,"Excede capacidad PS")</f>
        <v>0</v>
      </c>
      <c r="Z191" s="313">
        <f>IF(Z31*'SEP ORIGEN'!Z31&lt;='GENERADO PS locales'!$D191,Z31*'SEP ORIGEN'!Z31,"Excede capacidad PS")</f>
        <v>0</v>
      </c>
    </row>
    <row r="192" spans="1:26" ht="24.95" customHeight="1">
      <c r="A192" s="260" t="str">
        <f>+Pobl_adoptada!A32</f>
        <v>Adolfo Gonzáles Chaves</v>
      </c>
      <c r="B192" s="70">
        <f>+Pobl_adoptada!B32</f>
        <v>28</v>
      </c>
      <c r="C192" s="71" t="str">
        <f>+Pobl_adoptada!C32</f>
        <v>Adolfo Gonzáles Chaves</v>
      </c>
      <c r="D192" s="311">
        <v>0</v>
      </c>
      <c r="E192" s="278"/>
      <c r="F192" s="263"/>
      <c r="G192" s="313">
        <f>IF(G32*'SEP ORIGEN'!G32&lt;='GENERADO PS locales'!$D192,G32*'SEP ORIGEN'!G32,"Excede capacidad PS")</f>
        <v>0</v>
      </c>
      <c r="H192" s="313">
        <f>IF(H32*'SEP ORIGEN'!H32&lt;='GENERADO PS locales'!$D192,H32*'SEP ORIGEN'!H32,"Excede capacidad PS")</f>
        <v>0</v>
      </c>
      <c r="I192" s="313">
        <f>IF(I32*'SEP ORIGEN'!I32&lt;='GENERADO PS locales'!$D192,I32*'SEP ORIGEN'!I32,"Excede capacidad PS")</f>
        <v>0</v>
      </c>
      <c r="J192" s="313">
        <f>IF(J32*'SEP ORIGEN'!J32&lt;='GENERADO PS locales'!$D192,J32*'SEP ORIGEN'!J32,"Excede capacidad PS")</f>
        <v>0</v>
      </c>
      <c r="K192" s="313">
        <f>IF(K32*'SEP ORIGEN'!K32&lt;='GENERADO PS locales'!$D192,K32*'SEP ORIGEN'!K32,"Excede capacidad PS")</f>
        <v>0</v>
      </c>
      <c r="L192" s="313">
        <f>IF(L32*'SEP ORIGEN'!L32&lt;='GENERADO PS locales'!$D192,L32*'SEP ORIGEN'!L32,"Excede capacidad PS")</f>
        <v>0</v>
      </c>
      <c r="M192" s="313">
        <f>IF(M32*'SEP ORIGEN'!M32&lt;='GENERADO PS locales'!$D192,M32*'SEP ORIGEN'!M32,"Excede capacidad PS")</f>
        <v>0</v>
      </c>
      <c r="N192" s="313">
        <f>IF(N32*'SEP ORIGEN'!N32&lt;='GENERADO PS locales'!$D192,N32*'SEP ORIGEN'!N32,"Excede capacidad PS")</f>
        <v>0</v>
      </c>
      <c r="O192" s="313">
        <f>IF(O32*'SEP ORIGEN'!O32&lt;='GENERADO PS locales'!$D192,O32*'SEP ORIGEN'!O32,"Excede capacidad PS")</f>
        <v>0</v>
      </c>
      <c r="P192" s="313">
        <f>IF(P32*'SEP ORIGEN'!P32&lt;='GENERADO PS locales'!$D192,P32*'SEP ORIGEN'!P32,"Excede capacidad PS")</f>
        <v>0</v>
      </c>
      <c r="Q192" s="313">
        <f>IF(Q32*'SEP ORIGEN'!Q32&lt;='GENERADO PS locales'!$D192,Q32*'SEP ORIGEN'!Q32,"Excede capacidad PS")</f>
        <v>0</v>
      </c>
      <c r="R192" s="313">
        <f>IF(R32*'SEP ORIGEN'!R32&lt;='GENERADO PS locales'!$D192,R32*'SEP ORIGEN'!R32,"Excede capacidad PS")</f>
        <v>0</v>
      </c>
      <c r="S192" s="313">
        <f>IF(S32*'SEP ORIGEN'!S32&lt;='GENERADO PS locales'!$D192,S32*'SEP ORIGEN'!S32,"Excede capacidad PS")</f>
        <v>0</v>
      </c>
      <c r="T192" s="313">
        <f>IF(T32*'SEP ORIGEN'!T32&lt;='GENERADO PS locales'!$D192,T32*'SEP ORIGEN'!T32,"Excede capacidad PS")</f>
        <v>0</v>
      </c>
      <c r="U192" s="313">
        <f>IF(U32*'SEP ORIGEN'!U32&lt;='GENERADO PS locales'!$D192,U32*'SEP ORIGEN'!U32,"Excede capacidad PS")</f>
        <v>0</v>
      </c>
      <c r="V192" s="313">
        <f>IF(V32*'SEP ORIGEN'!V32&lt;='GENERADO PS locales'!$D192,V32*'SEP ORIGEN'!V32,"Excede capacidad PS")</f>
        <v>0</v>
      </c>
      <c r="W192" s="313">
        <f>IF(W32*'SEP ORIGEN'!W32&lt;='GENERADO PS locales'!$D192,W32*'SEP ORIGEN'!W32,"Excede capacidad PS")</f>
        <v>0</v>
      </c>
      <c r="X192" s="313">
        <f>IF(X32*'SEP ORIGEN'!X32&lt;='GENERADO PS locales'!$D192,X32*'SEP ORIGEN'!X32,"Excede capacidad PS")</f>
        <v>0</v>
      </c>
      <c r="Y192" s="313">
        <f>IF(Y32*'SEP ORIGEN'!Y32&lt;='GENERADO PS locales'!$D192,Y32*'SEP ORIGEN'!Y32,"Excede capacidad PS")</f>
        <v>0</v>
      </c>
      <c r="Z192" s="313">
        <f>IF(Z32*'SEP ORIGEN'!Z32&lt;='GENERADO PS locales'!$D192,Z32*'SEP ORIGEN'!Z32,"Excede capacidad PS")</f>
        <v>0</v>
      </c>
    </row>
    <row r="193" spans="1:26" ht="24.95" customHeight="1">
      <c r="A193" s="260" t="str">
        <f>+Pobl_adoptada!A33</f>
        <v>Alberti</v>
      </c>
      <c r="B193" s="70">
        <f>+Pobl_adoptada!B33</f>
        <v>29</v>
      </c>
      <c r="C193" s="71" t="str">
        <f>+Pobl_adoptada!C33</f>
        <v>Alberti</v>
      </c>
      <c r="D193" s="311">
        <v>0</v>
      </c>
      <c r="E193" s="278"/>
      <c r="F193" s="263"/>
      <c r="G193" s="313">
        <f>IF(G33*'SEP ORIGEN'!G33&lt;='GENERADO PS locales'!$D193,G33*'SEP ORIGEN'!G33,"Excede capacidad PS")</f>
        <v>0</v>
      </c>
      <c r="H193" s="313">
        <f>IF(H33*'SEP ORIGEN'!H33&lt;='GENERADO PS locales'!$D193,H33*'SEP ORIGEN'!H33,"Excede capacidad PS")</f>
        <v>0</v>
      </c>
      <c r="I193" s="313">
        <f>IF(I33*'SEP ORIGEN'!I33&lt;='GENERADO PS locales'!$D193,I33*'SEP ORIGEN'!I33,"Excede capacidad PS")</f>
        <v>0</v>
      </c>
      <c r="J193" s="313">
        <f>IF(J33*'SEP ORIGEN'!J33&lt;='GENERADO PS locales'!$D193,J33*'SEP ORIGEN'!J33,"Excede capacidad PS")</f>
        <v>0</v>
      </c>
      <c r="K193" s="313">
        <f>IF(K33*'SEP ORIGEN'!K33&lt;='GENERADO PS locales'!$D193,K33*'SEP ORIGEN'!K33,"Excede capacidad PS")</f>
        <v>0</v>
      </c>
      <c r="L193" s="313">
        <f>IF(L33*'SEP ORIGEN'!L33&lt;='GENERADO PS locales'!$D193,L33*'SEP ORIGEN'!L33,"Excede capacidad PS")</f>
        <v>0</v>
      </c>
      <c r="M193" s="313">
        <f>IF(M33*'SEP ORIGEN'!M33&lt;='GENERADO PS locales'!$D193,M33*'SEP ORIGEN'!M33,"Excede capacidad PS")</f>
        <v>0</v>
      </c>
      <c r="N193" s="313">
        <f>IF(N33*'SEP ORIGEN'!N33&lt;='GENERADO PS locales'!$D193,N33*'SEP ORIGEN'!N33,"Excede capacidad PS")</f>
        <v>0</v>
      </c>
      <c r="O193" s="313">
        <f>IF(O33*'SEP ORIGEN'!O33&lt;='GENERADO PS locales'!$D193,O33*'SEP ORIGEN'!O33,"Excede capacidad PS")</f>
        <v>0</v>
      </c>
      <c r="P193" s="313">
        <f>IF(P33*'SEP ORIGEN'!P33&lt;='GENERADO PS locales'!$D193,P33*'SEP ORIGEN'!P33,"Excede capacidad PS")</f>
        <v>0</v>
      </c>
      <c r="Q193" s="313">
        <f>IF(Q33*'SEP ORIGEN'!Q33&lt;='GENERADO PS locales'!$D193,Q33*'SEP ORIGEN'!Q33,"Excede capacidad PS")</f>
        <v>0</v>
      </c>
      <c r="R193" s="313">
        <f>IF(R33*'SEP ORIGEN'!R33&lt;='GENERADO PS locales'!$D193,R33*'SEP ORIGEN'!R33,"Excede capacidad PS")</f>
        <v>0</v>
      </c>
      <c r="S193" s="313">
        <f>IF(S33*'SEP ORIGEN'!S33&lt;='GENERADO PS locales'!$D193,S33*'SEP ORIGEN'!S33,"Excede capacidad PS")</f>
        <v>0</v>
      </c>
      <c r="T193" s="313">
        <f>IF(T33*'SEP ORIGEN'!T33&lt;='GENERADO PS locales'!$D193,T33*'SEP ORIGEN'!T33,"Excede capacidad PS")</f>
        <v>0</v>
      </c>
      <c r="U193" s="313">
        <f>IF(U33*'SEP ORIGEN'!U33&lt;='GENERADO PS locales'!$D193,U33*'SEP ORIGEN'!U33,"Excede capacidad PS")</f>
        <v>0</v>
      </c>
      <c r="V193" s="313">
        <f>IF(V33*'SEP ORIGEN'!V33&lt;='GENERADO PS locales'!$D193,V33*'SEP ORIGEN'!V33,"Excede capacidad PS")</f>
        <v>0</v>
      </c>
      <c r="W193" s="313">
        <f>IF(W33*'SEP ORIGEN'!W33&lt;='GENERADO PS locales'!$D193,W33*'SEP ORIGEN'!W33,"Excede capacidad PS")</f>
        <v>0</v>
      </c>
      <c r="X193" s="313">
        <f>IF(X33*'SEP ORIGEN'!X33&lt;='GENERADO PS locales'!$D193,X33*'SEP ORIGEN'!X33,"Excede capacidad PS")</f>
        <v>0</v>
      </c>
      <c r="Y193" s="313">
        <f>IF(Y33*'SEP ORIGEN'!Y33&lt;='GENERADO PS locales'!$D193,Y33*'SEP ORIGEN'!Y33,"Excede capacidad PS")</f>
        <v>0</v>
      </c>
      <c r="Z193" s="313">
        <f>IF(Z33*'SEP ORIGEN'!Z33&lt;='GENERADO PS locales'!$D193,Z33*'SEP ORIGEN'!Z33,"Excede capacidad PS")</f>
        <v>0</v>
      </c>
    </row>
    <row r="194" spans="1:26" ht="24.95" customHeight="1">
      <c r="A194" s="260" t="str">
        <f>+Pobl_adoptada!A34</f>
        <v>Arrecifes</v>
      </c>
      <c r="B194" s="70">
        <f>+Pobl_adoptada!B34</f>
        <v>30</v>
      </c>
      <c r="C194" s="71" t="str">
        <f>+Pobl_adoptada!C34</f>
        <v>Arrecifes</v>
      </c>
      <c r="D194" s="311">
        <v>0</v>
      </c>
      <c r="E194" s="278"/>
      <c r="F194" s="263"/>
      <c r="G194" s="313">
        <f>IF(G34*'SEP ORIGEN'!G34&lt;='GENERADO PS locales'!$D194,G34*'SEP ORIGEN'!G34,"Excede capacidad PS")</f>
        <v>0</v>
      </c>
      <c r="H194" s="313">
        <f>IF(H34*'SEP ORIGEN'!H34&lt;='GENERADO PS locales'!$D194,H34*'SEP ORIGEN'!H34,"Excede capacidad PS")</f>
        <v>0</v>
      </c>
      <c r="I194" s="313">
        <f>IF(I34*'SEP ORIGEN'!I34&lt;='GENERADO PS locales'!$D194,I34*'SEP ORIGEN'!I34,"Excede capacidad PS")</f>
        <v>0</v>
      </c>
      <c r="J194" s="313">
        <f>IF(J34*'SEP ORIGEN'!J34&lt;='GENERADO PS locales'!$D194,J34*'SEP ORIGEN'!J34,"Excede capacidad PS")</f>
        <v>0</v>
      </c>
      <c r="K194" s="313">
        <f>IF(K34*'SEP ORIGEN'!K34&lt;='GENERADO PS locales'!$D194,K34*'SEP ORIGEN'!K34,"Excede capacidad PS")</f>
        <v>0</v>
      </c>
      <c r="L194" s="313">
        <f>IF(L34*'SEP ORIGEN'!L34&lt;='GENERADO PS locales'!$D194,L34*'SEP ORIGEN'!L34,"Excede capacidad PS")</f>
        <v>0</v>
      </c>
      <c r="M194" s="313">
        <f>IF(M34*'SEP ORIGEN'!M34&lt;='GENERADO PS locales'!$D194,M34*'SEP ORIGEN'!M34,"Excede capacidad PS")</f>
        <v>0</v>
      </c>
      <c r="N194" s="313">
        <f>IF(N34*'SEP ORIGEN'!N34&lt;='GENERADO PS locales'!$D194,N34*'SEP ORIGEN'!N34,"Excede capacidad PS")</f>
        <v>0</v>
      </c>
      <c r="O194" s="313">
        <f>IF(O34*'SEP ORIGEN'!O34&lt;='GENERADO PS locales'!$D194,O34*'SEP ORIGEN'!O34,"Excede capacidad PS")</f>
        <v>0</v>
      </c>
      <c r="P194" s="313">
        <f>IF(P34*'SEP ORIGEN'!P34&lt;='GENERADO PS locales'!$D194,P34*'SEP ORIGEN'!P34,"Excede capacidad PS")</f>
        <v>0</v>
      </c>
      <c r="Q194" s="313">
        <f>IF(Q34*'SEP ORIGEN'!Q34&lt;='GENERADO PS locales'!$D194,Q34*'SEP ORIGEN'!Q34,"Excede capacidad PS")</f>
        <v>0</v>
      </c>
      <c r="R194" s="313">
        <f>IF(R34*'SEP ORIGEN'!R34&lt;='GENERADO PS locales'!$D194,R34*'SEP ORIGEN'!R34,"Excede capacidad PS")</f>
        <v>0</v>
      </c>
      <c r="S194" s="313">
        <f>IF(S34*'SEP ORIGEN'!S34&lt;='GENERADO PS locales'!$D194,S34*'SEP ORIGEN'!S34,"Excede capacidad PS")</f>
        <v>0</v>
      </c>
      <c r="T194" s="313">
        <f>IF(T34*'SEP ORIGEN'!T34&lt;='GENERADO PS locales'!$D194,T34*'SEP ORIGEN'!T34,"Excede capacidad PS")</f>
        <v>0</v>
      </c>
      <c r="U194" s="313">
        <f>IF(U34*'SEP ORIGEN'!U34&lt;='GENERADO PS locales'!$D194,U34*'SEP ORIGEN'!U34,"Excede capacidad PS")</f>
        <v>0</v>
      </c>
      <c r="V194" s="313">
        <f>IF(V34*'SEP ORIGEN'!V34&lt;='GENERADO PS locales'!$D194,V34*'SEP ORIGEN'!V34,"Excede capacidad PS")</f>
        <v>0</v>
      </c>
      <c r="W194" s="313">
        <f>IF(W34*'SEP ORIGEN'!W34&lt;='GENERADO PS locales'!$D194,W34*'SEP ORIGEN'!W34,"Excede capacidad PS")</f>
        <v>0</v>
      </c>
      <c r="X194" s="313">
        <f>IF(X34*'SEP ORIGEN'!X34&lt;='GENERADO PS locales'!$D194,X34*'SEP ORIGEN'!X34,"Excede capacidad PS")</f>
        <v>0</v>
      </c>
      <c r="Y194" s="313">
        <f>IF(Y34*'SEP ORIGEN'!Y34&lt;='GENERADO PS locales'!$D194,Y34*'SEP ORIGEN'!Y34,"Excede capacidad PS")</f>
        <v>0</v>
      </c>
      <c r="Z194" s="313">
        <f>IF(Z34*'SEP ORIGEN'!Z34&lt;='GENERADO PS locales'!$D194,Z34*'SEP ORIGEN'!Z34,"Excede capacidad PS")</f>
        <v>0</v>
      </c>
    </row>
    <row r="195" spans="1:26" ht="24.95" customHeight="1">
      <c r="A195" s="260" t="str">
        <f>+Pobl_adoptada!A35</f>
        <v>Ayacucho</v>
      </c>
      <c r="B195" s="70">
        <f>+Pobl_adoptada!B35</f>
        <v>31</v>
      </c>
      <c r="C195" s="71" t="str">
        <f>+Pobl_adoptada!C35</f>
        <v>Ayacucho</v>
      </c>
      <c r="D195" s="311">
        <v>0</v>
      </c>
      <c r="E195" s="278"/>
      <c r="F195" s="263"/>
      <c r="G195" s="313">
        <f>IF(G35*'SEP ORIGEN'!G35&lt;='GENERADO PS locales'!$D195,G35*'SEP ORIGEN'!G35,"Excede capacidad PS")</f>
        <v>0</v>
      </c>
      <c r="H195" s="313">
        <f>IF(H35*'SEP ORIGEN'!H35&lt;='GENERADO PS locales'!$D195,H35*'SEP ORIGEN'!H35,"Excede capacidad PS")</f>
        <v>0</v>
      </c>
      <c r="I195" s="313">
        <f>IF(I35*'SEP ORIGEN'!I35&lt;='GENERADO PS locales'!$D195,I35*'SEP ORIGEN'!I35,"Excede capacidad PS")</f>
        <v>0</v>
      </c>
      <c r="J195" s="313">
        <f>IF(J35*'SEP ORIGEN'!J35&lt;='GENERADO PS locales'!$D195,J35*'SEP ORIGEN'!J35,"Excede capacidad PS")</f>
        <v>0</v>
      </c>
      <c r="K195" s="313">
        <f>IF(K35*'SEP ORIGEN'!K35&lt;='GENERADO PS locales'!$D195,K35*'SEP ORIGEN'!K35,"Excede capacidad PS")</f>
        <v>0</v>
      </c>
      <c r="L195" s="313">
        <f>IF(L35*'SEP ORIGEN'!L35&lt;='GENERADO PS locales'!$D195,L35*'SEP ORIGEN'!L35,"Excede capacidad PS")</f>
        <v>0</v>
      </c>
      <c r="M195" s="313">
        <f>IF(M35*'SEP ORIGEN'!M35&lt;='GENERADO PS locales'!$D195,M35*'SEP ORIGEN'!M35,"Excede capacidad PS")</f>
        <v>0</v>
      </c>
      <c r="N195" s="313">
        <f>IF(N35*'SEP ORIGEN'!N35&lt;='GENERADO PS locales'!$D195,N35*'SEP ORIGEN'!N35,"Excede capacidad PS")</f>
        <v>0</v>
      </c>
      <c r="O195" s="313">
        <f>IF(O35*'SEP ORIGEN'!O35&lt;='GENERADO PS locales'!$D195,O35*'SEP ORIGEN'!O35,"Excede capacidad PS")</f>
        <v>0</v>
      </c>
      <c r="P195" s="313">
        <f>IF(P35*'SEP ORIGEN'!P35&lt;='GENERADO PS locales'!$D195,P35*'SEP ORIGEN'!P35,"Excede capacidad PS")</f>
        <v>0</v>
      </c>
      <c r="Q195" s="313">
        <f>IF(Q35*'SEP ORIGEN'!Q35&lt;='GENERADO PS locales'!$D195,Q35*'SEP ORIGEN'!Q35,"Excede capacidad PS")</f>
        <v>0</v>
      </c>
      <c r="R195" s="313">
        <f>IF(R35*'SEP ORIGEN'!R35&lt;='GENERADO PS locales'!$D195,R35*'SEP ORIGEN'!R35,"Excede capacidad PS")</f>
        <v>0</v>
      </c>
      <c r="S195" s="313">
        <f>IF(S35*'SEP ORIGEN'!S35&lt;='GENERADO PS locales'!$D195,S35*'SEP ORIGEN'!S35,"Excede capacidad PS")</f>
        <v>0</v>
      </c>
      <c r="T195" s="313">
        <f>IF(T35*'SEP ORIGEN'!T35&lt;='GENERADO PS locales'!$D195,T35*'SEP ORIGEN'!T35,"Excede capacidad PS")</f>
        <v>0</v>
      </c>
      <c r="U195" s="313">
        <f>IF(U35*'SEP ORIGEN'!U35&lt;='GENERADO PS locales'!$D195,U35*'SEP ORIGEN'!U35,"Excede capacidad PS")</f>
        <v>0</v>
      </c>
      <c r="V195" s="313">
        <f>IF(V35*'SEP ORIGEN'!V35&lt;='GENERADO PS locales'!$D195,V35*'SEP ORIGEN'!V35,"Excede capacidad PS")</f>
        <v>0</v>
      </c>
      <c r="W195" s="313">
        <f>IF(W35*'SEP ORIGEN'!W35&lt;='GENERADO PS locales'!$D195,W35*'SEP ORIGEN'!W35,"Excede capacidad PS")</f>
        <v>0</v>
      </c>
      <c r="X195" s="313">
        <f>IF(X35*'SEP ORIGEN'!X35&lt;='GENERADO PS locales'!$D195,X35*'SEP ORIGEN'!X35,"Excede capacidad PS")</f>
        <v>0</v>
      </c>
      <c r="Y195" s="313">
        <f>IF(Y35*'SEP ORIGEN'!Y35&lt;='GENERADO PS locales'!$D195,Y35*'SEP ORIGEN'!Y35,"Excede capacidad PS")</f>
        <v>0</v>
      </c>
      <c r="Z195" s="313">
        <f>IF(Z35*'SEP ORIGEN'!Z35&lt;='GENERADO PS locales'!$D195,Z35*'SEP ORIGEN'!Z35,"Excede capacidad PS")</f>
        <v>0</v>
      </c>
    </row>
    <row r="196" spans="1:26" ht="24.95" customHeight="1">
      <c r="A196" s="260" t="str">
        <f>+Pobl_adoptada!A36</f>
        <v>Azul</v>
      </c>
      <c r="B196" s="70">
        <f>+Pobl_adoptada!B36</f>
        <v>32</v>
      </c>
      <c r="C196" s="71" t="str">
        <f>+Pobl_adoptada!C36</f>
        <v>Azul</v>
      </c>
      <c r="D196" s="311">
        <v>0</v>
      </c>
      <c r="E196" s="278"/>
      <c r="F196" s="263"/>
      <c r="G196" s="313">
        <f>IF(G36*'SEP ORIGEN'!G36&lt;='GENERADO PS locales'!$D196,G36*'SEP ORIGEN'!G36,"Excede capacidad PS")</f>
        <v>0</v>
      </c>
      <c r="H196" s="313">
        <f>IF(H36*'SEP ORIGEN'!H36&lt;='GENERADO PS locales'!$D196,H36*'SEP ORIGEN'!H36,"Excede capacidad PS")</f>
        <v>0</v>
      </c>
      <c r="I196" s="313">
        <f>IF(I36*'SEP ORIGEN'!I36&lt;='GENERADO PS locales'!$D196,I36*'SEP ORIGEN'!I36,"Excede capacidad PS")</f>
        <v>0</v>
      </c>
      <c r="J196" s="313">
        <f>IF(J36*'SEP ORIGEN'!J36&lt;='GENERADO PS locales'!$D196,J36*'SEP ORIGEN'!J36,"Excede capacidad PS")</f>
        <v>0</v>
      </c>
      <c r="K196" s="313">
        <f>IF(K36*'SEP ORIGEN'!K36&lt;='GENERADO PS locales'!$D196,K36*'SEP ORIGEN'!K36,"Excede capacidad PS")</f>
        <v>0</v>
      </c>
      <c r="L196" s="313">
        <f>IF(L36*'SEP ORIGEN'!L36&lt;='GENERADO PS locales'!$D196,L36*'SEP ORIGEN'!L36,"Excede capacidad PS")</f>
        <v>0</v>
      </c>
      <c r="M196" s="313">
        <f>IF(M36*'SEP ORIGEN'!M36&lt;='GENERADO PS locales'!$D196,M36*'SEP ORIGEN'!M36,"Excede capacidad PS")</f>
        <v>0</v>
      </c>
      <c r="N196" s="313">
        <f>IF(N36*'SEP ORIGEN'!N36&lt;='GENERADO PS locales'!$D196,N36*'SEP ORIGEN'!N36,"Excede capacidad PS")</f>
        <v>0</v>
      </c>
      <c r="O196" s="313">
        <f>IF(O36*'SEP ORIGEN'!O36&lt;='GENERADO PS locales'!$D196,O36*'SEP ORIGEN'!O36,"Excede capacidad PS")</f>
        <v>0</v>
      </c>
      <c r="P196" s="313">
        <f>IF(P36*'SEP ORIGEN'!P36&lt;='GENERADO PS locales'!$D196,P36*'SEP ORIGEN'!P36,"Excede capacidad PS")</f>
        <v>0</v>
      </c>
      <c r="Q196" s="313">
        <f>IF(Q36*'SEP ORIGEN'!Q36&lt;='GENERADO PS locales'!$D196,Q36*'SEP ORIGEN'!Q36,"Excede capacidad PS")</f>
        <v>0</v>
      </c>
      <c r="R196" s="313">
        <f>IF(R36*'SEP ORIGEN'!R36&lt;='GENERADO PS locales'!$D196,R36*'SEP ORIGEN'!R36,"Excede capacidad PS")</f>
        <v>0</v>
      </c>
      <c r="S196" s="313">
        <f>IF(S36*'SEP ORIGEN'!S36&lt;='GENERADO PS locales'!$D196,S36*'SEP ORIGEN'!S36,"Excede capacidad PS")</f>
        <v>0</v>
      </c>
      <c r="T196" s="313">
        <f>IF(T36*'SEP ORIGEN'!T36&lt;='GENERADO PS locales'!$D196,T36*'SEP ORIGEN'!T36,"Excede capacidad PS")</f>
        <v>0</v>
      </c>
      <c r="U196" s="313">
        <f>IF(U36*'SEP ORIGEN'!U36&lt;='GENERADO PS locales'!$D196,U36*'SEP ORIGEN'!U36,"Excede capacidad PS")</f>
        <v>0</v>
      </c>
      <c r="V196" s="313">
        <f>IF(V36*'SEP ORIGEN'!V36&lt;='GENERADO PS locales'!$D196,V36*'SEP ORIGEN'!V36,"Excede capacidad PS")</f>
        <v>0</v>
      </c>
      <c r="W196" s="313">
        <f>IF(W36*'SEP ORIGEN'!W36&lt;='GENERADO PS locales'!$D196,W36*'SEP ORIGEN'!W36,"Excede capacidad PS")</f>
        <v>0</v>
      </c>
      <c r="X196" s="313">
        <f>IF(X36*'SEP ORIGEN'!X36&lt;='GENERADO PS locales'!$D196,X36*'SEP ORIGEN'!X36,"Excede capacidad PS")</f>
        <v>0</v>
      </c>
      <c r="Y196" s="313">
        <f>IF(Y36*'SEP ORIGEN'!Y36&lt;='GENERADO PS locales'!$D196,Y36*'SEP ORIGEN'!Y36,"Excede capacidad PS")</f>
        <v>0</v>
      </c>
      <c r="Z196" s="313">
        <f>IF(Z36*'SEP ORIGEN'!Z36&lt;='GENERADO PS locales'!$D196,Z36*'SEP ORIGEN'!Z36,"Excede capacidad PS")</f>
        <v>0</v>
      </c>
    </row>
    <row r="197" spans="1:26" ht="24.95" customHeight="1">
      <c r="A197" s="260" t="str">
        <f>+Pobl_adoptada!A37</f>
        <v>Bahía Blanca</v>
      </c>
      <c r="B197" s="70">
        <f>+Pobl_adoptada!B37</f>
        <v>33</v>
      </c>
      <c r="C197" s="71" t="str">
        <f>+Pobl_adoptada!C37</f>
        <v>Bahía Blanca</v>
      </c>
      <c r="D197" s="311">
        <v>0</v>
      </c>
      <c r="E197" s="278"/>
      <c r="F197" s="263"/>
      <c r="G197" s="313">
        <f>IF(G37*'SEP ORIGEN'!G37&lt;='GENERADO PS locales'!$D197,G37*'SEP ORIGEN'!G37,"Excede capacidad PS")</f>
        <v>0</v>
      </c>
      <c r="H197" s="313">
        <f>IF(H37*'SEP ORIGEN'!H37&lt;='GENERADO PS locales'!$D197,H37*'SEP ORIGEN'!H37,"Excede capacidad PS")</f>
        <v>0</v>
      </c>
      <c r="I197" s="313">
        <f>IF(I37*'SEP ORIGEN'!I37&lt;='GENERADO PS locales'!$D197,I37*'SEP ORIGEN'!I37,"Excede capacidad PS")</f>
        <v>0</v>
      </c>
      <c r="J197" s="313">
        <f>IF(J37*'SEP ORIGEN'!J37&lt;='GENERADO PS locales'!$D197,J37*'SEP ORIGEN'!J37,"Excede capacidad PS")</f>
        <v>0</v>
      </c>
      <c r="K197" s="313">
        <f>IF(K37*'SEP ORIGEN'!K37&lt;='GENERADO PS locales'!$D197,K37*'SEP ORIGEN'!K37,"Excede capacidad PS")</f>
        <v>0</v>
      </c>
      <c r="L197" s="313">
        <f>IF(L37*'SEP ORIGEN'!L37&lt;='GENERADO PS locales'!$D197,L37*'SEP ORIGEN'!L37,"Excede capacidad PS")</f>
        <v>0</v>
      </c>
      <c r="M197" s="313">
        <f>IF(M37*'SEP ORIGEN'!M37&lt;='GENERADO PS locales'!$D197,M37*'SEP ORIGEN'!M37,"Excede capacidad PS")</f>
        <v>0</v>
      </c>
      <c r="N197" s="313">
        <f>IF(N37*'SEP ORIGEN'!N37&lt;='GENERADO PS locales'!$D197,N37*'SEP ORIGEN'!N37,"Excede capacidad PS")</f>
        <v>0</v>
      </c>
      <c r="O197" s="313">
        <f>IF(O37*'SEP ORIGEN'!O37&lt;='GENERADO PS locales'!$D197,O37*'SEP ORIGEN'!O37,"Excede capacidad PS")</f>
        <v>0</v>
      </c>
      <c r="P197" s="313">
        <f>IF(P37*'SEP ORIGEN'!P37&lt;='GENERADO PS locales'!$D197,P37*'SEP ORIGEN'!P37,"Excede capacidad PS")</f>
        <v>0</v>
      </c>
      <c r="Q197" s="313">
        <f>IF(Q37*'SEP ORIGEN'!Q37&lt;='GENERADO PS locales'!$D197,Q37*'SEP ORIGEN'!Q37,"Excede capacidad PS")</f>
        <v>0</v>
      </c>
      <c r="R197" s="313">
        <f>IF(R37*'SEP ORIGEN'!R37&lt;='GENERADO PS locales'!$D197,R37*'SEP ORIGEN'!R37,"Excede capacidad PS")</f>
        <v>0</v>
      </c>
      <c r="S197" s="313">
        <f>IF(S37*'SEP ORIGEN'!S37&lt;='GENERADO PS locales'!$D197,S37*'SEP ORIGEN'!S37,"Excede capacidad PS")</f>
        <v>0</v>
      </c>
      <c r="T197" s="313">
        <f>IF(T37*'SEP ORIGEN'!T37&lt;='GENERADO PS locales'!$D197,T37*'SEP ORIGEN'!T37,"Excede capacidad PS")</f>
        <v>0</v>
      </c>
      <c r="U197" s="313">
        <f>IF(U37*'SEP ORIGEN'!U37&lt;='GENERADO PS locales'!$D197,U37*'SEP ORIGEN'!U37,"Excede capacidad PS")</f>
        <v>0</v>
      </c>
      <c r="V197" s="313">
        <f>IF(V37*'SEP ORIGEN'!V37&lt;='GENERADO PS locales'!$D197,V37*'SEP ORIGEN'!V37,"Excede capacidad PS")</f>
        <v>0</v>
      </c>
      <c r="W197" s="313">
        <f>IF(W37*'SEP ORIGEN'!W37&lt;='GENERADO PS locales'!$D197,W37*'SEP ORIGEN'!W37,"Excede capacidad PS")</f>
        <v>0</v>
      </c>
      <c r="X197" s="313">
        <f>IF(X37*'SEP ORIGEN'!X37&lt;='GENERADO PS locales'!$D197,X37*'SEP ORIGEN'!X37,"Excede capacidad PS")</f>
        <v>0</v>
      </c>
      <c r="Y197" s="313">
        <f>IF(Y37*'SEP ORIGEN'!Y37&lt;='GENERADO PS locales'!$D197,Y37*'SEP ORIGEN'!Y37,"Excede capacidad PS")</f>
        <v>0</v>
      </c>
      <c r="Z197" s="313">
        <f>IF(Z37*'SEP ORIGEN'!Z37&lt;='GENERADO PS locales'!$D197,Z37*'SEP ORIGEN'!Z37,"Excede capacidad PS")</f>
        <v>0</v>
      </c>
    </row>
    <row r="198" spans="1:26" ht="24.95" customHeight="1">
      <c r="A198" s="260" t="str">
        <f>+Pobl_adoptada!A38</f>
        <v>Balcarce</v>
      </c>
      <c r="B198" s="70">
        <f>+Pobl_adoptada!B38</f>
        <v>34</v>
      </c>
      <c r="C198" s="71" t="str">
        <f>+Pobl_adoptada!C38</f>
        <v>Balcarce</v>
      </c>
      <c r="D198" s="311">
        <v>0</v>
      </c>
      <c r="E198" s="278"/>
      <c r="F198" s="263"/>
      <c r="G198" s="313">
        <f>IF(G38*'SEP ORIGEN'!G38&lt;='GENERADO PS locales'!$D198,G38*'SEP ORIGEN'!G38,"Excede capacidad PS")</f>
        <v>0</v>
      </c>
      <c r="H198" s="313">
        <f>IF(H38*'SEP ORIGEN'!H38&lt;='GENERADO PS locales'!$D198,H38*'SEP ORIGEN'!H38,"Excede capacidad PS")</f>
        <v>0</v>
      </c>
      <c r="I198" s="313">
        <f>IF(I38*'SEP ORIGEN'!I38&lt;='GENERADO PS locales'!$D198,I38*'SEP ORIGEN'!I38,"Excede capacidad PS")</f>
        <v>0</v>
      </c>
      <c r="J198" s="313">
        <f>IF(J38*'SEP ORIGEN'!J38&lt;='GENERADO PS locales'!$D198,J38*'SEP ORIGEN'!J38,"Excede capacidad PS")</f>
        <v>0</v>
      </c>
      <c r="K198" s="313">
        <f>IF(K38*'SEP ORIGEN'!K38&lt;='GENERADO PS locales'!$D198,K38*'SEP ORIGEN'!K38,"Excede capacidad PS")</f>
        <v>0</v>
      </c>
      <c r="L198" s="313">
        <f>IF(L38*'SEP ORIGEN'!L38&lt;='GENERADO PS locales'!$D198,L38*'SEP ORIGEN'!L38,"Excede capacidad PS")</f>
        <v>0</v>
      </c>
      <c r="M198" s="313">
        <f>IF(M38*'SEP ORIGEN'!M38&lt;='GENERADO PS locales'!$D198,M38*'SEP ORIGEN'!M38,"Excede capacidad PS")</f>
        <v>0</v>
      </c>
      <c r="N198" s="313">
        <f>IF(N38*'SEP ORIGEN'!N38&lt;='GENERADO PS locales'!$D198,N38*'SEP ORIGEN'!N38,"Excede capacidad PS")</f>
        <v>0</v>
      </c>
      <c r="O198" s="313">
        <f>IF(O38*'SEP ORIGEN'!O38&lt;='GENERADO PS locales'!$D198,O38*'SEP ORIGEN'!O38,"Excede capacidad PS")</f>
        <v>0</v>
      </c>
      <c r="P198" s="313">
        <f>IF(P38*'SEP ORIGEN'!P38&lt;='GENERADO PS locales'!$D198,P38*'SEP ORIGEN'!P38,"Excede capacidad PS")</f>
        <v>0</v>
      </c>
      <c r="Q198" s="313">
        <f>IF(Q38*'SEP ORIGEN'!Q38&lt;='GENERADO PS locales'!$D198,Q38*'SEP ORIGEN'!Q38,"Excede capacidad PS")</f>
        <v>0</v>
      </c>
      <c r="R198" s="313">
        <f>IF(R38*'SEP ORIGEN'!R38&lt;='GENERADO PS locales'!$D198,R38*'SEP ORIGEN'!R38,"Excede capacidad PS")</f>
        <v>0</v>
      </c>
      <c r="S198" s="313">
        <f>IF(S38*'SEP ORIGEN'!S38&lt;='GENERADO PS locales'!$D198,S38*'SEP ORIGEN'!S38,"Excede capacidad PS")</f>
        <v>0</v>
      </c>
      <c r="T198" s="313">
        <f>IF(T38*'SEP ORIGEN'!T38&lt;='GENERADO PS locales'!$D198,T38*'SEP ORIGEN'!T38,"Excede capacidad PS")</f>
        <v>0</v>
      </c>
      <c r="U198" s="313">
        <f>IF(U38*'SEP ORIGEN'!U38&lt;='GENERADO PS locales'!$D198,U38*'SEP ORIGEN'!U38,"Excede capacidad PS")</f>
        <v>0</v>
      </c>
      <c r="V198" s="313">
        <f>IF(V38*'SEP ORIGEN'!V38&lt;='GENERADO PS locales'!$D198,V38*'SEP ORIGEN'!V38,"Excede capacidad PS")</f>
        <v>0</v>
      </c>
      <c r="W198" s="313">
        <f>IF(W38*'SEP ORIGEN'!W38&lt;='GENERADO PS locales'!$D198,W38*'SEP ORIGEN'!W38,"Excede capacidad PS")</f>
        <v>0</v>
      </c>
      <c r="X198" s="313">
        <f>IF(X38*'SEP ORIGEN'!X38&lt;='GENERADO PS locales'!$D198,X38*'SEP ORIGEN'!X38,"Excede capacidad PS")</f>
        <v>0</v>
      </c>
      <c r="Y198" s="313">
        <f>IF(Y38*'SEP ORIGEN'!Y38&lt;='GENERADO PS locales'!$D198,Y38*'SEP ORIGEN'!Y38,"Excede capacidad PS")</f>
        <v>0</v>
      </c>
      <c r="Z198" s="313">
        <f>IF(Z38*'SEP ORIGEN'!Z38&lt;='GENERADO PS locales'!$D198,Z38*'SEP ORIGEN'!Z38,"Excede capacidad PS")</f>
        <v>0</v>
      </c>
    </row>
    <row r="199" spans="1:26" ht="24.95" customHeight="1">
      <c r="A199" s="260" t="str">
        <f>+Pobl_adoptada!A39</f>
        <v>Baradero</v>
      </c>
      <c r="B199" s="70">
        <f>+Pobl_adoptada!B39</f>
        <v>35</v>
      </c>
      <c r="C199" s="71" t="str">
        <f>+Pobl_adoptada!C39</f>
        <v>Baradero</v>
      </c>
      <c r="D199" s="311">
        <v>0</v>
      </c>
      <c r="E199" s="278"/>
      <c r="F199" s="263"/>
      <c r="G199" s="313">
        <f>IF(G39*'SEP ORIGEN'!G39&lt;='GENERADO PS locales'!$D199,G39*'SEP ORIGEN'!G39,"Excede capacidad PS")</f>
        <v>0</v>
      </c>
      <c r="H199" s="313">
        <f>IF(H39*'SEP ORIGEN'!H39&lt;='GENERADO PS locales'!$D199,H39*'SEP ORIGEN'!H39,"Excede capacidad PS")</f>
        <v>0</v>
      </c>
      <c r="I199" s="313">
        <f>IF(I39*'SEP ORIGEN'!I39&lt;='GENERADO PS locales'!$D199,I39*'SEP ORIGEN'!I39,"Excede capacidad PS")</f>
        <v>0</v>
      </c>
      <c r="J199" s="313">
        <f>IF(J39*'SEP ORIGEN'!J39&lt;='GENERADO PS locales'!$D199,J39*'SEP ORIGEN'!J39,"Excede capacidad PS")</f>
        <v>0</v>
      </c>
      <c r="K199" s="313">
        <f>IF(K39*'SEP ORIGEN'!K39&lt;='GENERADO PS locales'!$D199,K39*'SEP ORIGEN'!K39,"Excede capacidad PS")</f>
        <v>0</v>
      </c>
      <c r="L199" s="313">
        <f>IF(L39*'SEP ORIGEN'!L39&lt;='GENERADO PS locales'!$D199,L39*'SEP ORIGEN'!L39,"Excede capacidad PS")</f>
        <v>0</v>
      </c>
      <c r="M199" s="313">
        <f>IF(M39*'SEP ORIGEN'!M39&lt;='GENERADO PS locales'!$D199,M39*'SEP ORIGEN'!M39,"Excede capacidad PS")</f>
        <v>0</v>
      </c>
      <c r="N199" s="313">
        <f>IF(N39*'SEP ORIGEN'!N39&lt;='GENERADO PS locales'!$D199,N39*'SEP ORIGEN'!N39,"Excede capacidad PS")</f>
        <v>0</v>
      </c>
      <c r="O199" s="313">
        <f>IF(O39*'SEP ORIGEN'!O39&lt;='GENERADO PS locales'!$D199,O39*'SEP ORIGEN'!O39,"Excede capacidad PS")</f>
        <v>0</v>
      </c>
      <c r="P199" s="313">
        <f>IF(P39*'SEP ORIGEN'!P39&lt;='GENERADO PS locales'!$D199,P39*'SEP ORIGEN'!P39,"Excede capacidad PS")</f>
        <v>0</v>
      </c>
      <c r="Q199" s="313">
        <f>IF(Q39*'SEP ORIGEN'!Q39&lt;='GENERADO PS locales'!$D199,Q39*'SEP ORIGEN'!Q39,"Excede capacidad PS")</f>
        <v>0</v>
      </c>
      <c r="R199" s="313">
        <f>IF(R39*'SEP ORIGEN'!R39&lt;='GENERADO PS locales'!$D199,R39*'SEP ORIGEN'!R39,"Excede capacidad PS")</f>
        <v>0</v>
      </c>
      <c r="S199" s="313">
        <f>IF(S39*'SEP ORIGEN'!S39&lt;='GENERADO PS locales'!$D199,S39*'SEP ORIGEN'!S39,"Excede capacidad PS")</f>
        <v>0</v>
      </c>
      <c r="T199" s="313">
        <f>IF(T39*'SEP ORIGEN'!T39&lt;='GENERADO PS locales'!$D199,T39*'SEP ORIGEN'!T39,"Excede capacidad PS")</f>
        <v>0</v>
      </c>
      <c r="U199" s="313">
        <f>IF(U39*'SEP ORIGEN'!U39&lt;='GENERADO PS locales'!$D199,U39*'SEP ORIGEN'!U39,"Excede capacidad PS")</f>
        <v>0</v>
      </c>
      <c r="V199" s="313">
        <f>IF(V39*'SEP ORIGEN'!V39&lt;='GENERADO PS locales'!$D199,V39*'SEP ORIGEN'!V39,"Excede capacidad PS")</f>
        <v>0</v>
      </c>
      <c r="W199" s="313">
        <f>IF(W39*'SEP ORIGEN'!W39&lt;='GENERADO PS locales'!$D199,W39*'SEP ORIGEN'!W39,"Excede capacidad PS")</f>
        <v>0</v>
      </c>
      <c r="X199" s="313">
        <f>IF(X39*'SEP ORIGEN'!X39&lt;='GENERADO PS locales'!$D199,X39*'SEP ORIGEN'!X39,"Excede capacidad PS")</f>
        <v>0</v>
      </c>
      <c r="Y199" s="313">
        <f>IF(Y39*'SEP ORIGEN'!Y39&lt;='GENERADO PS locales'!$D199,Y39*'SEP ORIGEN'!Y39,"Excede capacidad PS")</f>
        <v>0</v>
      </c>
      <c r="Z199" s="313">
        <f>IF(Z39*'SEP ORIGEN'!Z39&lt;='GENERADO PS locales'!$D199,Z39*'SEP ORIGEN'!Z39,"Excede capacidad PS")</f>
        <v>0</v>
      </c>
    </row>
    <row r="200" spans="1:26" ht="24.95" customHeight="1">
      <c r="A200" s="260" t="str">
        <f>+Pobl_adoptada!A40</f>
        <v>Benito Juárez</v>
      </c>
      <c r="B200" s="70">
        <f>+Pobl_adoptada!B40</f>
        <v>36</v>
      </c>
      <c r="C200" s="71" t="str">
        <f>+Pobl_adoptada!C40</f>
        <v>Benito Juárez</v>
      </c>
      <c r="D200" s="311">
        <v>0</v>
      </c>
      <c r="E200" s="278"/>
      <c r="F200" s="263"/>
      <c r="G200" s="313">
        <f>IF(G40*'SEP ORIGEN'!G40&lt;='GENERADO PS locales'!$D200,G40*'SEP ORIGEN'!G40,"Excede capacidad PS")</f>
        <v>0</v>
      </c>
      <c r="H200" s="313">
        <f>IF(H40*'SEP ORIGEN'!H40&lt;='GENERADO PS locales'!$D200,H40*'SEP ORIGEN'!H40,"Excede capacidad PS")</f>
        <v>0</v>
      </c>
      <c r="I200" s="313">
        <f>IF(I40*'SEP ORIGEN'!I40&lt;='GENERADO PS locales'!$D200,I40*'SEP ORIGEN'!I40,"Excede capacidad PS")</f>
        <v>0</v>
      </c>
      <c r="J200" s="313">
        <f>IF(J40*'SEP ORIGEN'!J40&lt;='GENERADO PS locales'!$D200,J40*'SEP ORIGEN'!J40,"Excede capacidad PS")</f>
        <v>0</v>
      </c>
      <c r="K200" s="313">
        <f>IF(K40*'SEP ORIGEN'!K40&lt;='GENERADO PS locales'!$D200,K40*'SEP ORIGEN'!K40,"Excede capacidad PS")</f>
        <v>0</v>
      </c>
      <c r="L200" s="313">
        <f>IF(L40*'SEP ORIGEN'!L40&lt;='GENERADO PS locales'!$D200,L40*'SEP ORIGEN'!L40,"Excede capacidad PS")</f>
        <v>0</v>
      </c>
      <c r="M200" s="313">
        <f>IF(M40*'SEP ORIGEN'!M40&lt;='GENERADO PS locales'!$D200,M40*'SEP ORIGEN'!M40,"Excede capacidad PS")</f>
        <v>0</v>
      </c>
      <c r="N200" s="313">
        <f>IF(N40*'SEP ORIGEN'!N40&lt;='GENERADO PS locales'!$D200,N40*'SEP ORIGEN'!N40,"Excede capacidad PS")</f>
        <v>0</v>
      </c>
      <c r="O200" s="313">
        <f>IF(O40*'SEP ORIGEN'!O40&lt;='GENERADO PS locales'!$D200,O40*'SEP ORIGEN'!O40,"Excede capacidad PS")</f>
        <v>0</v>
      </c>
      <c r="P200" s="313">
        <f>IF(P40*'SEP ORIGEN'!P40&lt;='GENERADO PS locales'!$D200,P40*'SEP ORIGEN'!P40,"Excede capacidad PS")</f>
        <v>0</v>
      </c>
      <c r="Q200" s="313">
        <f>IF(Q40*'SEP ORIGEN'!Q40&lt;='GENERADO PS locales'!$D200,Q40*'SEP ORIGEN'!Q40,"Excede capacidad PS")</f>
        <v>0</v>
      </c>
      <c r="R200" s="313">
        <f>IF(R40*'SEP ORIGEN'!R40&lt;='GENERADO PS locales'!$D200,R40*'SEP ORIGEN'!R40,"Excede capacidad PS")</f>
        <v>0</v>
      </c>
      <c r="S200" s="313">
        <f>IF(S40*'SEP ORIGEN'!S40&lt;='GENERADO PS locales'!$D200,S40*'SEP ORIGEN'!S40,"Excede capacidad PS")</f>
        <v>0</v>
      </c>
      <c r="T200" s="313">
        <f>IF(T40*'SEP ORIGEN'!T40&lt;='GENERADO PS locales'!$D200,T40*'SEP ORIGEN'!T40,"Excede capacidad PS")</f>
        <v>0</v>
      </c>
      <c r="U200" s="313">
        <f>IF(U40*'SEP ORIGEN'!U40&lt;='GENERADO PS locales'!$D200,U40*'SEP ORIGEN'!U40,"Excede capacidad PS")</f>
        <v>0</v>
      </c>
      <c r="V200" s="313">
        <f>IF(V40*'SEP ORIGEN'!V40&lt;='GENERADO PS locales'!$D200,V40*'SEP ORIGEN'!V40,"Excede capacidad PS")</f>
        <v>0</v>
      </c>
      <c r="W200" s="313">
        <f>IF(W40*'SEP ORIGEN'!W40&lt;='GENERADO PS locales'!$D200,W40*'SEP ORIGEN'!W40,"Excede capacidad PS")</f>
        <v>0</v>
      </c>
      <c r="X200" s="313">
        <f>IF(X40*'SEP ORIGEN'!X40&lt;='GENERADO PS locales'!$D200,X40*'SEP ORIGEN'!X40,"Excede capacidad PS")</f>
        <v>0</v>
      </c>
      <c r="Y200" s="313">
        <f>IF(Y40*'SEP ORIGEN'!Y40&lt;='GENERADO PS locales'!$D200,Y40*'SEP ORIGEN'!Y40,"Excede capacidad PS")</f>
        <v>0</v>
      </c>
      <c r="Z200" s="313">
        <f>IF(Z40*'SEP ORIGEN'!Z40&lt;='GENERADO PS locales'!$D200,Z40*'SEP ORIGEN'!Z40,"Excede capacidad PS")</f>
        <v>0</v>
      </c>
    </row>
    <row r="201" spans="1:26" ht="24.95" customHeight="1">
      <c r="A201" s="260" t="str">
        <f>+Pobl_adoptada!A41</f>
        <v>Berisso</v>
      </c>
      <c r="B201" s="70">
        <f>+Pobl_adoptada!B41</f>
        <v>37</v>
      </c>
      <c r="C201" s="71" t="str">
        <f>+Pobl_adoptada!C41</f>
        <v>Berisso</v>
      </c>
      <c r="D201" s="311">
        <v>0</v>
      </c>
      <c r="E201" s="278"/>
      <c r="F201" s="263"/>
      <c r="G201" s="313">
        <f>IF(G41*'SEP ORIGEN'!G41&lt;='GENERADO PS locales'!$D201,G41*'SEP ORIGEN'!G41,"Excede capacidad PS")</f>
        <v>0</v>
      </c>
      <c r="H201" s="313">
        <f>IF(H41*'SEP ORIGEN'!H41&lt;='GENERADO PS locales'!$D201,H41*'SEP ORIGEN'!H41,"Excede capacidad PS")</f>
        <v>0</v>
      </c>
      <c r="I201" s="313">
        <f>IF(I41*'SEP ORIGEN'!I41&lt;='GENERADO PS locales'!$D201,I41*'SEP ORIGEN'!I41,"Excede capacidad PS")</f>
        <v>0</v>
      </c>
      <c r="J201" s="313">
        <f>IF(J41*'SEP ORIGEN'!J41&lt;='GENERADO PS locales'!$D201,J41*'SEP ORIGEN'!J41,"Excede capacidad PS")</f>
        <v>0</v>
      </c>
      <c r="K201" s="313">
        <f>IF(K41*'SEP ORIGEN'!K41&lt;='GENERADO PS locales'!$D201,K41*'SEP ORIGEN'!K41,"Excede capacidad PS")</f>
        <v>0</v>
      </c>
      <c r="L201" s="313">
        <f>IF(L41*'SEP ORIGEN'!L41&lt;='GENERADO PS locales'!$D201,L41*'SEP ORIGEN'!L41,"Excede capacidad PS")</f>
        <v>0</v>
      </c>
      <c r="M201" s="313">
        <f>IF(M41*'SEP ORIGEN'!M41&lt;='GENERADO PS locales'!$D201,M41*'SEP ORIGEN'!M41,"Excede capacidad PS")</f>
        <v>0</v>
      </c>
      <c r="N201" s="313">
        <f>IF(N41*'SEP ORIGEN'!N41&lt;='GENERADO PS locales'!$D201,N41*'SEP ORIGEN'!N41,"Excede capacidad PS")</f>
        <v>0</v>
      </c>
      <c r="O201" s="313">
        <f>IF(O41*'SEP ORIGEN'!O41&lt;='GENERADO PS locales'!$D201,O41*'SEP ORIGEN'!O41,"Excede capacidad PS")</f>
        <v>0</v>
      </c>
      <c r="P201" s="313">
        <f>IF(P41*'SEP ORIGEN'!P41&lt;='GENERADO PS locales'!$D201,P41*'SEP ORIGEN'!P41,"Excede capacidad PS")</f>
        <v>0</v>
      </c>
      <c r="Q201" s="313">
        <f>IF(Q41*'SEP ORIGEN'!Q41&lt;='GENERADO PS locales'!$D201,Q41*'SEP ORIGEN'!Q41,"Excede capacidad PS")</f>
        <v>0</v>
      </c>
      <c r="R201" s="313">
        <f>IF(R41*'SEP ORIGEN'!R41&lt;='GENERADO PS locales'!$D201,R41*'SEP ORIGEN'!R41,"Excede capacidad PS")</f>
        <v>0</v>
      </c>
      <c r="S201" s="313">
        <f>IF(S41*'SEP ORIGEN'!S41&lt;='GENERADO PS locales'!$D201,S41*'SEP ORIGEN'!S41,"Excede capacidad PS")</f>
        <v>0</v>
      </c>
      <c r="T201" s="313">
        <f>IF(T41*'SEP ORIGEN'!T41&lt;='GENERADO PS locales'!$D201,T41*'SEP ORIGEN'!T41,"Excede capacidad PS")</f>
        <v>0</v>
      </c>
      <c r="U201" s="313">
        <f>IF(U41*'SEP ORIGEN'!U41&lt;='GENERADO PS locales'!$D201,U41*'SEP ORIGEN'!U41,"Excede capacidad PS")</f>
        <v>0</v>
      </c>
      <c r="V201" s="313">
        <f>IF(V41*'SEP ORIGEN'!V41&lt;='GENERADO PS locales'!$D201,V41*'SEP ORIGEN'!V41,"Excede capacidad PS")</f>
        <v>0</v>
      </c>
      <c r="W201" s="313">
        <f>IF(W41*'SEP ORIGEN'!W41&lt;='GENERADO PS locales'!$D201,W41*'SEP ORIGEN'!W41,"Excede capacidad PS")</f>
        <v>0</v>
      </c>
      <c r="X201" s="313">
        <f>IF(X41*'SEP ORIGEN'!X41&lt;='GENERADO PS locales'!$D201,X41*'SEP ORIGEN'!X41,"Excede capacidad PS")</f>
        <v>0</v>
      </c>
      <c r="Y201" s="313">
        <f>IF(Y41*'SEP ORIGEN'!Y41&lt;='GENERADO PS locales'!$D201,Y41*'SEP ORIGEN'!Y41,"Excede capacidad PS")</f>
        <v>0</v>
      </c>
      <c r="Z201" s="313">
        <f>IF(Z41*'SEP ORIGEN'!Z41&lt;='GENERADO PS locales'!$D201,Z41*'SEP ORIGEN'!Z41,"Excede capacidad PS")</f>
        <v>0</v>
      </c>
    </row>
    <row r="202" spans="1:26" ht="24.95" customHeight="1">
      <c r="A202" s="260" t="str">
        <f>+Pobl_adoptada!A42</f>
        <v>Bolívar</v>
      </c>
      <c r="B202" s="70">
        <f>+Pobl_adoptada!B42</f>
        <v>38</v>
      </c>
      <c r="C202" s="71" t="str">
        <f>+Pobl_adoptada!C42</f>
        <v>San Carlos de Bolívar</v>
      </c>
      <c r="D202" s="311">
        <v>0</v>
      </c>
      <c r="E202" s="278"/>
      <c r="F202" s="263"/>
      <c r="G202" s="313">
        <f>IF(G42*'SEP ORIGEN'!G42&lt;='GENERADO PS locales'!$D202,G42*'SEP ORIGEN'!G42,"Excede capacidad PS")</f>
        <v>0</v>
      </c>
      <c r="H202" s="313">
        <f>IF(H42*'SEP ORIGEN'!H42&lt;='GENERADO PS locales'!$D202,H42*'SEP ORIGEN'!H42,"Excede capacidad PS")</f>
        <v>0</v>
      </c>
      <c r="I202" s="313">
        <f>IF(I42*'SEP ORIGEN'!I42&lt;='GENERADO PS locales'!$D202,I42*'SEP ORIGEN'!I42,"Excede capacidad PS")</f>
        <v>0</v>
      </c>
      <c r="J202" s="313">
        <f>IF(J42*'SEP ORIGEN'!J42&lt;='GENERADO PS locales'!$D202,J42*'SEP ORIGEN'!J42,"Excede capacidad PS")</f>
        <v>0</v>
      </c>
      <c r="K202" s="313">
        <f>IF(K42*'SEP ORIGEN'!K42&lt;='GENERADO PS locales'!$D202,K42*'SEP ORIGEN'!K42,"Excede capacidad PS")</f>
        <v>0</v>
      </c>
      <c r="L202" s="313">
        <f>IF(L42*'SEP ORIGEN'!L42&lt;='GENERADO PS locales'!$D202,L42*'SEP ORIGEN'!L42,"Excede capacidad PS")</f>
        <v>0</v>
      </c>
      <c r="M202" s="313">
        <f>IF(M42*'SEP ORIGEN'!M42&lt;='GENERADO PS locales'!$D202,M42*'SEP ORIGEN'!M42,"Excede capacidad PS")</f>
        <v>0</v>
      </c>
      <c r="N202" s="313">
        <f>IF(N42*'SEP ORIGEN'!N42&lt;='GENERADO PS locales'!$D202,N42*'SEP ORIGEN'!N42,"Excede capacidad PS")</f>
        <v>0</v>
      </c>
      <c r="O202" s="313">
        <f>IF(O42*'SEP ORIGEN'!O42&lt;='GENERADO PS locales'!$D202,O42*'SEP ORIGEN'!O42,"Excede capacidad PS")</f>
        <v>0</v>
      </c>
      <c r="P202" s="313">
        <f>IF(P42*'SEP ORIGEN'!P42&lt;='GENERADO PS locales'!$D202,P42*'SEP ORIGEN'!P42,"Excede capacidad PS")</f>
        <v>0</v>
      </c>
      <c r="Q202" s="313">
        <f>IF(Q42*'SEP ORIGEN'!Q42&lt;='GENERADO PS locales'!$D202,Q42*'SEP ORIGEN'!Q42,"Excede capacidad PS")</f>
        <v>0</v>
      </c>
      <c r="R202" s="313">
        <f>IF(R42*'SEP ORIGEN'!R42&lt;='GENERADO PS locales'!$D202,R42*'SEP ORIGEN'!R42,"Excede capacidad PS")</f>
        <v>0</v>
      </c>
      <c r="S202" s="313">
        <f>IF(S42*'SEP ORIGEN'!S42&lt;='GENERADO PS locales'!$D202,S42*'SEP ORIGEN'!S42,"Excede capacidad PS")</f>
        <v>0</v>
      </c>
      <c r="T202" s="313">
        <f>IF(T42*'SEP ORIGEN'!T42&lt;='GENERADO PS locales'!$D202,T42*'SEP ORIGEN'!T42,"Excede capacidad PS")</f>
        <v>0</v>
      </c>
      <c r="U202" s="313">
        <f>IF(U42*'SEP ORIGEN'!U42&lt;='GENERADO PS locales'!$D202,U42*'SEP ORIGEN'!U42,"Excede capacidad PS")</f>
        <v>0</v>
      </c>
      <c r="V202" s="313">
        <f>IF(V42*'SEP ORIGEN'!V42&lt;='GENERADO PS locales'!$D202,V42*'SEP ORIGEN'!V42,"Excede capacidad PS")</f>
        <v>0</v>
      </c>
      <c r="W202" s="313">
        <f>IF(W42*'SEP ORIGEN'!W42&lt;='GENERADO PS locales'!$D202,W42*'SEP ORIGEN'!W42,"Excede capacidad PS")</f>
        <v>0</v>
      </c>
      <c r="X202" s="313">
        <f>IF(X42*'SEP ORIGEN'!X42&lt;='GENERADO PS locales'!$D202,X42*'SEP ORIGEN'!X42,"Excede capacidad PS")</f>
        <v>0</v>
      </c>
      <c r="Y202" s="313">
        <f>IF(Y42*'SEP ORIGEN'!Y42&lt;='GENERADO PS locales'!$D202,Y42*'SEP ORIGEN'!Y42,"Excede capacidad PS")</f>
        <v>0</v>
      </c>
      <c r="Z202" s="313">
        <f>IF(Z42*'SEP ORIGEN'!Z42&lt;='GENERADO PS locales'!$D202,Z42*'SEP ORIGEN'!Z42,"Excede capacidad PS")</f>
        <v>0</v>
      </c>
    </row>
    <row r="203" spans="1:26" ht="24.95" customHeight="1">
      <c r="A203" s="260" t="str">
        <f>+Pobl_adoptada!A43</f>
        <v>Bragado</v>
      </c>
      <c r="B203" s="70">
        <f>+Pobl_adoptada!B43</f>
        <v>39</v>
      </c>
      <c r="C203" s="71" t="str">
        <f>+Pobl_adoptada!C43</f>
        <v>Bragado</v>
      </c>
      <c r="D203" s="311">
        <v>0</v>
      </c>
      <c r="E203" s="278"/>
      <c r="F203" s="263"/>
      <c r="G203" s="313">
        <f>IF(G43*'SEP ORIGEN'!G43&lt;='GENERADO PS locales'!$D203,G43*'SEP ORIGEN'!G43,"Excede capacidad PS")</f>
        <v>0</v>
      </c>
      <c r="H203" s="313">
        <f>IF(H43*'SEP ORIGEN'!H43&lt;='GENERADO PS locales'!$D203,H43*'SEP ORIGEN'!H43,"Excede capacidad PS")</f>
        <v>0</v>
      </c>
      <c r="I203" s="313">
        <f>IF(I43*'SEP ORIGEN'!I43&lt;='GENERADO PS locales'!$D203,I43*'SEP ORIGEN'!I43,"Excede capacidad PS")</f>
        <v>0</v>
      </c>
      <c r="J203" s="313">
        <f>IF(J43*'SEP ORIGEN'!J43&lt;='GENERADO PS locales'!$D203,J43*'SEP ORIGEN'!J43,"Excede capacidad PS")</f>
        <v>0</v>
      </c>
      <c r="K203" s="313">
        <f>IF(K43*'SEP ORIGEN'!K43&lt;='GENERADO PS locales'!$D203,K43*'SEP ORIGEN'!K43,"Excede capacidad PS")</f>
        <v>0</v>
      </c>
      <c r="L203" s="313">
        <f>IF(L43*'SEP ORIGEN'!L43&lt;='GENERADO PS locales'!$D203,L43*'SEP ORIGEN'!L43,"Excede capacidad PS")</f>
        <v>0</v>
      </c>
      <c r="M203" s="313">
        <f>IF(M43*'SEP ORIGEN'!M43&lt;='GENERADO PS locales'!$D203,M43*'SEP ORIGEN'!M43,"Excede capacidad PS")</f>
        <v>0</v>
      </c>
      <c r="N203" s="313">
        <f>IF(N43*'SEP ORIGEN'!N43&lt;='GENERADO PS locales'!$D203,N43*'SEP ORIGEN'!N43,"Excede capacidad PS")</f>
        <v>0</v>
      </c>
      <c r="O203" s="313">
        <f>IF(O43*'SEP ORIGEN'!O43&lt;='GENERADO PS locales'!$D203,O43*'SEP ORIGEN'!O43,"Excede capacidad PS")</f>
        <v>0</v>
      </c>
      <c r="P203" s="313">
        <f>IF(P43*'SEP ORIGEN'!P43&lt;='GENERADO PS locales'!$D203,P43*'SEP ORIGEN'!P43,"Excede capacidad PS")</f>
        <v>0</v>
      </c>
      <c r="Q203" s="313">
        <f>IF(Q43*'SEP ORIGEN'!Q43&lt;='GENERADO PS locales'!$D203,Q43*'SEP ORIGEN'!Q43,"Excede capacidad PS")</f>
        <v>0</v>
      </c>
      <c r="R203" s="313">
        <f>IF(R43*'SEP ORIGEN'!R43&lt;='GENERADO PS locales'!$D203,R43*'SEP ORIGEN'!R43,"Excede capacidad PS")</f>
        <v>0</v>
      </c>
      <c r="S203" s="313">
        <f>IF(S43*'SEP ORIGEN'!S43&lt;='GENERADO PS locales'!$D203,S43*'SEP ORIGEN'!S43,"Excede capacidad PS")</f>
        <v>0</v>
      </c>
      <c r="T203" s="313">
        <f>IF(T43*'SEP ORIGEN'!T43&lt;='GENERADO PS locales'!$D203,T43*'SEP ORIGEN'!T43,"Excede capacidad PS")</f>
        <v>0</v>
      </c>
      <c r="U203" s="313">
        <f>IF(U43*'SEP ORIGEN'!U43&lt;='GENERADO PS locales'!$D203,U43*'SEP ORIGEN'!U43,"Excede capacidad PS")</f>
        <v>0</v>
      </c>
      <c r="V203" s="313">
        <f>IF(V43*'SEP ORIGEN'!V43&lt;='GENERADO PS locales'!$D203,V43*'SEP ORIGEN'!V43,"Excede capacidad PS")</f>
        <v>0</v>
      </c>
      <c r="W203" s="313">
        <f>IF(W43*'SEP ORIGEN'!W43&lt;='GENERADO PS locales'!$D203,W43*'SEP ORIGEN'!W43,"Excede capacidad PS")</f>
        <v>0</v>
      </c>
      <c r="X203" s="313">
        <f>IF(X43*'SEP ORIGEN'!X43&lt;='GENERADO PS locales'!$D203,X43*'SEP ORIGEN'!X43,"Excede capacidad PS")</f>
        <v>0</v>
      </c>
      <c r="Y203" s="313">
        <f>IF(Y43*'SEP ORIGEN'!Y43&lt;='GENERADO PS locales'!$D203,Y43*'SEP ORIGEN'!Y43,"Excede capacidad PS")</f>
        <v>0</v>
      </c>
      <c r="Z203" s="313">
        <f>IF(Z43*'SEP ORIGEN'!Z43&lt;='GENERADO PS locales'!$D203,Z43*'SEP ORIGEN'!Z43,"Excede capacidad PS")</f>
        <v>0</v>
      </c>
    </row>
    <row r="204" spans="1:26" ht="24.95" customHeight="1">
      <c r="A204" s="260" t="str">
        <f>+Pobl_adoptada!A44</f>
        <v>Brandsen</v>
      </c>
      <c r="B204" s="70">
        <f>+Pobl_adoptada!B44</f>
        <v>40</v>
      </c>
      <c r="C204" s="71" t="str">
        <f>+Pobl_adoptada!C44</f>
        <v>Coronel Brandsen</v>
      </c>
      <c r="D204" s="311">
        <v>0</v>
      </c>
      <c r="E204" s="278"/>
      <c r="F204" s="263"/>
      <c r="G204" s="313">
        <f>IF(G44*'SEP ORIGEN'!G44&lt;='GENERADO PS locales'!$D204,G44*'SEP ORIGEN'!G44,"Excede capacidad PS")</f>
        <v>0</v>
      </c>
      <c r="H204" s="313">
        <f>IF(H44*'SEP ORIGEN'!H44&lt;='GENERADO PS locales'!$D204,H44*'SEP ORIGEN'!H44,"Excede capacidad PS")</f>
        <v>0</v>
      </c>
      <c r="I204" s="313">
        <f>IF(I44*'SEP ORIGEN'!I44&lt;='GENERADO PS locales'!$D204,I44*'SEP ORIGEN'!I44,"Excede capacidad PS")</f>
        <v>0</v>
      </c>
      <c r="J204" s="313">
        <f>IF(J44*'SEP ORIGEN'!J44&lt;='GENERADO PS locales'!$D204,J44*'SEP ORIGEN'!J44,"Excede capacidad PS")</f>
        <v>0</v>
      </c>
      <c r="K204" s="313">
        <f>IF(K44*'SEP ORIGEN'!K44&lt;='GENERADO PS locales'!$D204,K44*'SEP ORIGEN'!K44,"Excede capacidad PS")</f>
        <v>0</v>
      </c>
      <c r="L204" s="313">
        <f>IF(L44*'SEP ORIGEN'!L44&lt;='GENERADO PS locales'!$D204,L44*'SEP ORIGEN'!L44,"Excede capacidad PS")</f>
        <v>0</v>
      </c>
      <c r="M204" s="313">
        <f>IF(M44*'SEP ORIGEN'!M44&lt;='GENERADO PS locales'!$D204,M44*'SEP ORIGEN'!M44,"Excede capacidad PS")</f>
        <v>0</v>
      </c>
      <c r="N204" s="313">
        <f>IF(N44*'SEP ORIGEN'!N44&lt;='GENERADO PS locales'!$D204,N44*'SEP ORIGEN'!N44,"Excede capacidad PS")</f>
        <v>0</v>
      </c>
      <c r="O204" s="313">
        <f>IF(O44*'SEP ORIGEN'!O44&lt;='GENERADO PS locales'!$D204,O44*'SEP ORIGEN'!O44,"Excede capacidad PS")</f>
        <v>0</v>
      </c>
      <c r="P204" s="313">
        <f>IF(P44*'SEP ORIGEN'!P44&lt;='GENERADO PS locales'!$D204,P44*'SEP ORIGEN'!P44,"Excede capacidad PS")</f>
        <v>0</v>
      </c>
      <c r="Q204" s="313">
        <f>IF(Q44*'SEP ORIGEN'!Q44&lt;='GENERADO PS locales'!$D204,Q44*'SEP ORIGEN'!Q44,"Excede capacidad PS")</f>
        <v>0</v>
      </c>
      <c r="R204" s="313">
        <f>IF(R44*'SEP ORIGEN'!R44&lt;='GENERADO PS locales'!$D204,R44*'SEP ORIGEN'!R44,"Excede capacidad PS")</f>
        <v>0</v>
      </c>
      <c r="S204" s="313">
        <f>IF(S44*'SEP ORIGEN'!S44&lt;='GENERADO PS locales'!$D204,S44*'SEP ORIGEN'!S44,"Excede capacidad PS")</f>
        <v>0</v>
      </c>
      <c r="T204" s="313">
        <f>IF(T44*'SEP ORIGEN'!T44&lt;='GENERADO PS locales'!$D204,T44*'SEP ORIGEN'!T44,"Excede capacidad PS")</f>
        <v>0</v>
      </c>
      <c r="U204" s="313">
        <f>IF(U44*'SEP ORIGEN'!U44&lt;='GENERADO PS locales'!$D204,U44*'SEP ORIGEN'!U44,"Excede capacidad PS")</f>
        <v>0</v>
      </c>
      <c r="V204" s="313">
        <f>IF(V44*'SEP ORIGEN'!V44&lt;='GENERADO PS locales'!$D204,V44*'SEP ORIGEN'!V44,"Excede capacidad PS")</f>
        <v>0</v>
      </c>
      <c r="W204" s="313">
        <f>IF(W44*'SEP ORIGEN'!W44&lt;='GENERADO PS locales'!$D204,W44*'SEP ORIGEN'!W44,"Excede capacidad PS")</f>
        <v>0</v>
      </c>
      <c r="X204" s="313">
        <f>IF(X44*'SEP ORIGEN'!X44&lt;='GENERADO PS locales'!$D204,X44*'SEP ORIGEN'!X44,"Excede capacidad PS")</f>
        <v>0</v>
      </c>
      <c r="Y204" s="313">
        <f>IF(Y44*'SEP ORIGEN'!Y44&lt;='GENERADO PS locales'!$D204,Y44*'SEP ORIGEN'!Y44,"Excede capacidad PS")</f>
        <v>0</v>
      </c>
      <c r="Z204" s="313">
        <f>IF(Z44*'SEP ORIGEN'!Z44&lt;='GENERADO PS locales'!$D204,Z44*'SEP ORIGEN'!Z44,"Excede capacidad PS")</f>
        <v>0</v>
      </c>
    </row>
    <row r="205" spans="1:26" ht="24.95" customHeight="1">
      <c r="A205" s="260" t="str">
        <f>+Pobl_adoptada!A45</f>
        <v>Campana</v>
      </c>
      <c r="B205" s="70">
        <f>+Pobl_adoptada!B45</f>
        <v>41</v>
      </c>
      <c r="C205" s="71" t="str">
        <f>+Pobl_adoptada!C45</f>
        <v>Campana</v>
      </c>
      <c r="D205" s="311">
        <v>0</v>
      </c>
      <c r="E205" s="278"/>
      <c r="F205" s="263"/>
      <c r="G205" s="313">
        <f>IF(G45*'SEP ORIGEN'!G45&lt;='GENERADO PS locales'!$D205,G45*'SEP ORIGEN'!G45,"Excede capacidad PS")</f>
        <v>0</v>
      </c>
      <c r="H205" s="313">
        <f>IF(H45*'SEP ORIGEN'!H45&lt;='GENERADO PS locales'!$D205,H45*'SEP ORIGEN'!H45,"Excede capacidad PS")</f>
        <v>0</v>
      </c>
      <c r="I205" s="313">
        <f>IF(I45*'SEP ORIGEN'!I45&lt;='GENERADO PS locales'!$D205,I45*'SEP ORIGEN'!I45,"Excede capacidad PS")</f>
        <v>0</v>
      </c>
      <c r="J205" s="313">
        <f>IF(J45*'SEP ORIGEN'!J45&lt;='GENERADO PS locales'!$D205,J45*'SEP ORIGEN'!J45,"Excede capacidad PS")</f>
        <v>0</v>
      </c>
      <c r="K205" s="313">
        <f>IF(K45*'SEP ORIGEN'!K45&lt;='GENERADO PS locales'!$D205,K45*'SEP ORIGEN'!K45,"Excede capacidad PS")</f>
        <v>0</v>
      </c>
      <c r="L205" s="313">
        <f>IF(L45*'SEP ORIGEN'!L45&lt;='GENERADO PS locales'!$D205,L45*'SEP ORIGEN'!L45,"Excede capacidad PS")</f>
        <v>0</v>
      </c>
      <c r="M205" s="313">
        <f>IF(M45*'SEP ORIGEN'!M45&lt;='GENERADO PS locales'!$D205,M45*'SEP ORIGEN'!M45,"Excede capacidad PS")</f>
        <v>0</v>
      </c>
      <c r="N205" s="313">
        <f>IF(N45*'SEP ORIGEN'!N45&lt;='GENERADO PS locales'!$D205,N45*'SEP ORIGEN'!N45,"Excede capacidad PS")</f>
        <v>0</v>
      </c>
      <c r="O205" s="313">
        <f>IF(O45*'SEP ORIGEN'!O45&lt;='GENERADO PS locales'!$D205,O45*'SEP ORIGEN'!O45,"Excede capacidad PS")</f>
        <v>0</v>
      </c>
      <c r="P205" s="313">
        <f>IF(P45*'SEP ORIGEN'!P45&lt;='GENERADO PS locales'!$D205,P45*'SEP ORIGEN'!P45,"Excede capacidad PS")</f>
        <v>0</v>
      </c>
      <c r="Q205" s="313">
        <f>IF(Q45*'SEP ORIGEN'!Q45&lt;='GENERADO PS locales'!$D205,Q45*'SEP ORIGEN'!Q45,"Excede capacidad PS")</f>
        <v>0</v>
      </c>
      <c r="R205" s="313">
        <f>IF(R45*'SEP ORIGEN'!R45&lt;='GENERADO PS locales'!$D205,R45*'SEP ORIGEN'!R45,"Excede capacidad PS")</f>
        <v>0</v>
      </c>
      <c r="S205" s="313">
        <f>IF(S45*'SEP ORIGEN'!S45&lt;='GENERADO PS locales'!$D205,S45*'SEP ORIGEN'!S45,"Excede capacidad PS")</f>
        <v>0</v>
      </c>
      <c r="T205" s="313">
        <f>IF(T45*'SEP ORIGEN'!T45&lt;='GENERADO PS locales'!$D205,T45*'SEP ORIGEN'!T45,"Excede capacidad PS")</f>
        <v>0</v>
      </c>
      <c r="U205" s="313">
        <f>IF(U45*'SEP ORIGEN'!U45&lt;='GENERADO PS locales'!$D205,U45*'SEP ORIGEN'!U45,"Excede capacidad PS")</f>
        <v>0</v>
      </c>
      <c r="V205" s="313">
        <f>IF(V45*'SEP ORIGEN'!V45&lt;='GENERADO PS locales'!$D205,V45*'SEP ORIGEN'!V45,"Excede capacidad PS")</f>
        <v>0</v>
      </c>
      <c r="W205" s="313">
        <f>IF(W45*'SEP ORIGEN'!W45&lt;='GENERADO PS locales'!$D205,W45*'SEP ORIGEN'!W45,"Excede capacidad PS")</f>
        <v>0</v>
      </c>
      <c r="X205" s="313">
        <f>IF(X45*'SEP ORIGEN'!X45&lt;='GENERADO PS locales'!$D205,X45*'SEP ORIGEN'!X45,"Excede capacidad PS")</f>
        <v>0</v>
      </c>
      <c r="Y205" s="313">
        <f>IF(Y45*'SEP ORIGEN'!Y45&lt;='GENERADO PS locales'!$D205,Y45*'SEP ORIGEN'!Y45,"Excede capacidad PS")</f>
        <v>0</v>
      </c>
      <c r="Z205" s="313">
        <f>IF(Z45*'SEP ORIGEN'!Z45&lt;='GENERADO PS locales'!$D205,Z45*'SEP ORIGEN'!Z45,"Excede capacidad PS")</f>
        <v>0</v>
      </c>
    </row>
    <row r="206" spans="1:26" ht="24.95" customHeight="1">
      <c r="A206" s="260" t="str">
        <f>+Pobl_adoptada!A46</f>
        <v>Cañuelas</v>
      </c>
      <c r="B206" s="70">
        <f>+Pobl_adoptada!B46</f>
        <v>42</v>
      </c>
      <c r="C206" s="71" t="str">
        <f>+Pobl_adoptada!C46</f>
        <v>Cañuelas</v>
      </c>
      <c r="D206" s="311">
        <v>0</v>
      </c>
      <c r="E206" s="278"/>
      <c r="F206" s="263"/>
      <c r="G206" s="313">
        <f>IF(G46*'SEP ORIGEN'!G46&lt;='GENERADO PS locales'!$D206,G46*'SEP ORIGEN'!G46,"Excede capacidad PS")</f>
        <v>0</v>
      </c>
      <c r="H206" s="313">
        <f>IF(H46*'SEP ORIGEN'!H46&lt;='GENERADO PS locales'!$D206,H46*'SEP ORIGEN'!H46,"Excede capacidad PS")</f>
        <v>0</v>
      </c>
      <c r="I206" s="313">
        <f>IF(I46*'SEP ORIGEN'!I46&lt;='GENERADO PS locales'!$D206,I46*'SEP ORIGEN'!I46,"Excede capacidad PS")</f>
        <v>0</v>
      </c>
      <c r="J206" s="313">
        <f>IF(J46*'SEP ORIGEN'!J46&lt;='GENERADO PS locales'!$D206,J46*'SEP ORIGEN'!J46,"Excede capacidad PS")</f>
        <v>0</v>
      </c>
      <c r="K206" s="313">
        <f>IF(K46*'SEP ORIGEN'!K46&lt;='GENERADO PS locales'!$D206,K46*'SEP ORIGEN'!K46,"Excede capacidad PS")</f>
        <v>0</v>
      </c>
      <c r="L206" s="313">
        <f>IF(L46*'SEP ORIGEN'!L46&lt;='GENERADO PS locales'!$D206,L46*'SEP ORIGEN'!L46,"Excede capacidad PS")</f>
        <v>0</v>
      </c>
      <c r="M206" s="313">
        <f>IF(M46*'SEP ORIGEN'!M46&lt;='GENERADO PS locales'!$D206,M46*'SEP ORIGEN'!M46,"Excede capacidad PS")</f>
        <v>0</v>
      </c>
      <c r="N206" s="313">
        <f>IF(N46*'SEP ORIGEN'!N46&lt;='GENERADO PS locales'!$D206,N46*'SEP ORIGEN'!N46,"Excede capacidad PS")</f>
        <v>0</v>
      </c>
      <c r="O206" s="313">
        <f>IF(O46*'SEP ORIGEN'!O46&lt;='GENERADO PS locales'!$D206,O46*'SEP ORIGEN'!O46,"Excede capacidad PS")</f>
        <v>0</v>
      </c>
      <c r="P206" s="313">
        <f>IF(P46*'SEP ORIGEN'!P46&lt;='GENERADO PS locales'!$D206,P46*'SEP ORIGEN'!P46,"Excede capacidad PS")</f>
        <v>0</v>
      </c>
      <c r="Q206" s="313">
        <f>IF(Q46*'SEP ORIGEN'!Q46&lt;='GENERADO PS locales'!$D206,Q46*'SEP ORIGEN'!Q46,"Excede capacidad PS")</f>
        <v>0</v>
      </c>
      <c r="R206" s="313">
        <f>IF(R46*'SEP ORIGEN'!R46&lt;='GENERADO PS locales'!$D206,R46*'SEP ORIGEN'!R46,"Excede capacidad PS")</f>
        <v>0</v>
      </c>
      <c r="S206" s="313">
        <f>IF(S46*'SEP ORIGEN'!S46&lt;='GENERADO PS locales'!$D206,S46*'SEP ORIGEN'!S46,"Excede capacidad PS")</f>
        <v>0</v>
      </c>
      <c r="T206" s="313">
        <f>IF(T46*'SEP ORIGEN'!T46&lt;='GENERADO PS locales'!$D206,T46*'SEP ORIGEN'!T46,"Excede capacidad PS")</f>
        <v>0</v>
      </c>
      <c r="U206" s="313">
        <f>IF(U46*'SEP ORIGEN'!U46&lt;='GENERADO PS locales'!$D206,U46*'SEP ORIGEN'!U46,"Excede capacidad PS")</f>
        <v>0</v>
      </c>
      <c r="V206" s="313">
        <f>IF(V46*'SEP ORIGEN'!V46&lt;='GENERADO PS locales'!$D206,V46*'SEP ORIGEN'!V46,"Excede capacidad PS")</f>
        <v>0</v>
      </c>
      <c r="W206" s="313">
        <f>IF(W46*'SEP ORIGEN'!W46&lt;='GENERADO PS locales'!$D206,W46*'SEP ORIGEN'!W46,"Excede capacidad PS")</f>
        <v>0</v>
      </c>
      <c r="X206" s="313">
        <f>IF(X46*'SEP ORIGEN'!X46&lt;='GENERADO PS locales'!$D206,X46*'SEP ORIGEN'!X46,"Excede capacidad PS")</f>
        <v>0</v>
      </c>
      <c r="Y206" s="313">
        <f>IF(Y46*'SEP ORIGEN'!Y46&lt;='GENERADO PS locales'!$D206,Y46*'SEP ORIGEN'!Y46,"Excede capacidad PS")</f>
        <v>0</v>
      </c>
      <c r="Z206" s="313">
        <f>IF(Z46*'SEP ORIGEN'!Z46&lt;='GENERADO PS locales'!$D206,Z46*'SEP ORIGEN'!Z46,"Excede capacidad PS")</f>
        <v>0</v>
      </c>
    </row>
    <row r="207" spans="1:26" ht="24.95" customHeight="1">
      <c r="A207" s="260" t="str">
        <f>+Pobl_adoptada!A47</f>
        <v>Capitán Sarmiento</v>
      </c>
      <c r="B207" s="70">
        <f>+Pobl_adoptada!B47</f>
        <v>43</v>
      </c>
      <c r="C207" s="71" t="str">
        <f>+Pobl_adoptada!C47</f>
        <v>Capitán Sarmiento</v>
      </c>
      <c r="D207" s="311">
        <v>0</v>
      </c>
      <c r="E207" s="278"/>
      <c r="F207" s="263"/>
      <c r="G207" s="313">
        <f>IF(G47*'SEP ORIGEN'!G47&lt;='GENERADO PS locales'!$D207,G47*'SEP ORIGEN'!G47,"Excede capacidad PS")</f>
        <v>0</v>
      </c>
      <c r="H207" s="313">
        <f>IF(H47*'SEP ORIGEN'!H47&lt;='GENERADO PS locales'!$D207,H47*'SEP ORIGEN'!H47,"Excede capacidad PS")</f>
        <v>0</v>
      </c>
      <c r="I207" s="313">
        <f>IF(I47*'SEP ORIGEN'!I47&lt;='GENERADO PS locales'!$D207,I47*'SEP ORIGEN'!I47,"Excede capacidad PS")</f>
        <v>0</v>
      </c>
      <c r="J207" s="313">
        <f>IF(J47*'SEP ORIGEN'!J47&lt;='GENERADO PS locales'!$D207,J47*'SEP ORIGEN'!J47,"Excede capacidad PS")</f>
        <v>0</v>
      </c>
      <c r="K207" s="313">
        <f>IF(K47*'SEP ORIGEN'!K47&lt;='GENERADO PS locales'!$D207,K47*'SEP ORIGEN'!K47,"Excede capacidad PS")</f>
        <v>0</v>
      </c>
      <c r="L207" s="313">
        <f>IF(L47*'SEP ORIGEN'!L47&lt;='GENERADO PS locales'!$D207,L47*'SEP ORIGEN'!L47,"Excede capacidad PS")</f>
        <v>0</v>
      </c>
      <c r="M207" s="313">
        <f>IF(M47*'SEP ORIGEN'!M47&lt;='GENERADO PS locales'!$D207,M47*'SEP ORIGEN'!M47,"Excede capacidad PS")</f>
        <v>0</v>
      </c>
      <c r="N207" s="313">
        <f>IF(N47*'SEP ORIGEN'!N47&lt;='GENERADO PS locales'!$D207,N47*'SEP ORIGEN'!N47,"Excede capacidad PS")</f>
        <v>0</v>
      </c>
      <c r="O207" s="313">
        <f>IF(O47*'SEP ORIGEN'!O47&lt;='GENERADO PS locales'!$D207,O47*'SEP ORIGEN'!O47,"Excede capacidad PS")</f>
        <v>0</v>
      </c>
      <c r="P207" s="313">
        <f>IF(P47*'SEP ORIGEN'!P47&lt;='GENERADO PS locales'!$D207,P47*'SEP ORIGEN'!P47,"Excede capacidad PS")</f>
        <v>0</v>
      </c>
      <c r="Q207" s="313">
        <f>IF(Q47*'SEP ORIGEN'!Q47&lt;='GENERADO PS locales'!$D207,Q47*'SEP ORIGEN'!Q47,"Excede capacidad PS")</f>
        <v>0</v>
      </c>
      <c r="R207" s="313">
        <f>IF(R47*'SEP ORIGEN'!R47&lt;='GENERADO PS locales'!$D207,R47*'SEP ORIGEN'!R47,"Excede capacidad PS")</f>
        <v>0</v>
      </c>
      <c r="S207" s="313">
        <f>IF(S47*'SEP ORIGEN'!S47&lt;='GENERADO PS locales'!$D207,S47*'SEP ORIGEN'!S47,"Excede capacidad PS")</f>
        <v>0</v>
      </c>
      <c r="T207" s="313">
        <f>IF(T47*'SEP ORIGEN'!T47&lt;='GENERADO PS locales'!$D207,T47*'SEP ORIGEN'!T47,"Excede capacidad PS")</f>
        <v>0</v>
      </c>
      <c r="U207" s="313">
        <f>IF(U47*'SEP ORIGEN'!U47&lt;='GENERADO PS locales'!$D207,U47*'SEP ORIGEN'!U47,"Excede capacidad PS")</f>
        <v>0</v>
      </c>
      <c r="V207" s="313">
        <f>IF(V47*'SEP ORIGEN'!V47&lt;='GENERADO PS locales'!$D207,V47*'SEP ORIGEN'!V47,"Excede capacidad PS")</f>
        <v>0</v>
      </c>
      <c r="W207" s="313">
        <f>IF(W47*'SEP ORIGEN'!W47&lt;='GENERADO PS locales'!$D207,W47*'SEP ORIGEN'!W47,"Excede capacidad PS")</f>
        <v>0</v>
      </c>
      <c r="X207" s="313">
        <f>IF(X47*'SEP ORIGEN'!X47&lt;='GENERADO PS locales'!$D207,X47*'SEP ORIGEN'!X47,"Excede capacidad PS")</f>
        <v>0</v>
      </c>
      <c r="Y207" s="313">
        <f>IF(Y47*'SEP ORIGEN'!Y47&lt;='GENERADO PS locales'!$D207,Y47*'SEP ORIGEN'!Y47,"Excede capacidad PS")</f>
        <v>0</v>
      </c>
      <c r="Z207" s="313">
        <f>IF(Z47*'SEP ORIGEN'!Z47&lt;='GENERADO PS locales'!$D207,Z47*'SEP ORIGEN'!Z47,"Excede capacidad PS")</f>
        <v>0</v>
      </c>
    </row>
    <row r="208" spans="1:26" ht="24.95" customHeight="1">
      <c r="A208" s="260" t="str">
        <f>+Pobl_adoptada!A48</f>
        <v>Carlos Casares</v>
      </c>
      <c r="B208" s="70">
        <f>+Pobl_adoptada!B48</f>
        <v>44</v>
      </c>
      <c r="C208" s="71" t="str">
        <f>+Pobl_adoptada!C48</f>
        <v>Carlos Casares</v>
      </c>
      <c r="D208" s="311">
        <v>0</v>
      </c>
      <c r="E208" s="278"/>
      <c r="F208" s="263"/>
      <c r="G208" s="313">
        <f>IF(G48*'SEP ORIGEN'!G48&lt;='GENERADO PS locales'!$D208,G48*'SEP ORIGEN'!G48,"Excede capacidad PS")</f>
        <v>0</v>
      </c>
      <c r="H208" s="313">
        <f>IF(H48*'SEP ORIGEN'!H48&lt;='GENERADO PS locales'!$D208,H48*'SEP ORIGEN'!H48,"Excede capacidad PS")</f>
        <v>0</v>
      </c>
      <c r="I208" s="313">
        <f>IF(I48*'SEP ORIGEN'!I48&lt;='GENERADO PS locales'!$D208,I48*'SEP ORIGEN'!I48,"Excede capacidad PS")</f>
        <v>0</v>
      </c>
      <c r="J208" s="313">
        <f>IF(J48*'SEP ORIGEN'!J48&lt;='GENERADO PS locales'!$D208,J48*'SEP ORIGEN'!J48,"Excede capacidad PS")</f>
        <v>0</v>
      </c>
      <c r="K208" s="313">
        <f>IF(K48*'SEP ORIGEN'!K48&lt;='GENERADO PS locales'!$D208,K48*'SEP ORIGEN'!K48,"Excede capacidad PS")</f>
        <v>0</v>
      </c>
      <c r="L208" s="313">
        <f>IF(L48*'SEP ORIGEN'!L48&lt;='GENERADO PS locales'!$D208,L48*'SEP ORIGEN'!L48,"Excede capacidad PS")</f>
        <v>0</v>
      </c>
      <c r="M208" s="313">
        <f>IF(M48*'SEP ORIGEN'!M48&lt;='GENERADO PS locales'!$D208,M48*'SEP ORIGEN'!M48,"Excede capacidad PS")</f>
        <v>0</v>
      </c>
      <c r="N208" s="313">
        <f>IF(N48*'SEP ORIGEN'!N48&lt;='GENERADO PS locales'!$D208,N48*'SEP ORIGEN'!N48,"Excede capacidad PS")</f>
        <v>0</v>
      </c>
      <c r="O208" s="313">
        <f>IF(O48*'SEP ORIGEN'!O48&lt;='GENERADO PS locales'!$D208,O48*'SEP ORIGEN'!O48,"Excede capacidad PS")</f>
        <v>0</v>
      </c>
      <c r="P208" s="313">
        <f>IF(P48*'SEP ORIGEN'!P48&lt;='GENERADO PS locales'!$D208,P48*'SEP ORIGEN'!P48,"Excede capacidad PS")</f>
        <v>0</v>
      </c>
      <c r="Q208" s="313">
        <f>IF(Q48*'SEP ORIGEN'!Q48&lt;='GENERADO PS locales'!$D208,Q48*'SEP ORIGEN'!Q48,"Excede capacidad PS")</f>
        <v>0</v>
      </c>
      <c r="R208" s="313">
        <f>IF(R48*'SEP ORIGEN'!R48&lt;='GENERADO PS locales'!$D208,R48*'SEP ORIGEN'!R48,"Excede capacidad PS")</f>
        <v>0</v>
      </c>
      <c r="S208" s="313">
        <f>IF(S48*'SEP ORIGEN'!S48&lt;='GENERADO PS locales'!$D208,S48*'SEP ORIGEN'!S48,"Excede capacidad PS")</f>
        <v>0</v>
      </c>
      <c r="T208" s="313">
        <f>IF(T48*'SEP ORIGEN'!T48&lt;='GENERADO PS locales'!$D208,T48*'SEP ORIGEN'!T48,"Excede capacidad PS")</f>
        <v>0</v>
      </c>
      <c r="U208" s="313">
        <f>IF(U48*'SEP ORIGEN'!U48&lt;='GENERADO PS locales'!$D208,U48*'SEP ORIGEN'!U48,"Excede capacidad PS")</f>
        <v>0</v>
      </c>
      <c r="V208" s="313">
        <f>IF(V48*'SEP ORIGEN'!V48&lt;='GENERADO PS locales'!$D208,V48*'SEP ORIGEN'!V48,"Excede capacidad PS")</f>
        <v>0</v>
      </c>
      <c r="W208" s="313">
        <f>IF(W48*'SEP ORIGEN'!W48&lt;='GENERADO PS locales'!$D208,W48*'SEP ORIGEN'!W48,"Excede capacidad PS")</f>
        <v>0</v>
      </c>
      <c r="X208" s="313">
        <f>IF(X48*'SEP ORIGEN'!X48&lt;='GENERADO PS locales'!$D208,X48*'SEP ORIGEN'!X48,"Excede capacidad PS")</f>
        <v>0</v>
      </c>
      <c r="Y208" s="313">
        <f>IF(Y48*'SEP ORIGEN'!Y48&lt;='GENERADO PS locales'!$D208,Y48*'SEP ORIGEN'!Y48,"Excede capacidad PS")</f>
        <v>0</v>
      </c>
      <c r="Z208" s="313">
        <f>IF(Z48*'SEP ORIGEN'!Z48&lt;='GENERADO PS locales'!$D208,Z48*'SEP ORIGEN'!Z48,"Excede capacidad PS")</f>
        <v>0</v>
      </c>
    </row>
    <row r="209" spans="1:26" ht="24.95" customHeight="1">
      <c r="A209" s="260" t="str">
        <f>+Pobl_adoptada!A49</f>
        <v>Carlos Tejedor</v>
      </c>
      <c r="B209" s="70">
        <f>+Pobl_adoptada!B49</f>
        <v>45</v>
      </c>
      <c r="C209" s="71" t="str">
        <f>+Pobl_adoptada!C49</f>
        <v>Carlos Tejedor</v>
      </c>
      <c r="D209" s="311">
        <v>0</v>
      </c>
      <c r="E209" s="278"/>
      <c r="F209" s="263"/>
      <c r="G209" s="313">
        <f>IF(G49*'SEP ORIGEN'!G49&lt;='GENERADO PS locales'!$D209,G49*'SEP ORIGEN'!G49,"Excede capacidad PS")</f>
        <v>0</v>
      </c>
      <c r="H209" s="313">
        <f>IF(H49*'SEP ORIGEN'!H49&lt;='GENERADO PS locales'!$D209,H49*'SEP ORIGEN'!H49,"Excede capacidad PS")</f>
        <v>0</v>
      </c>
      <c r="I209" s="313">
        <f>IF(I49*'SEP ORIGEN'!I49&lt;='GENERADO PS locales'!$D209,I49*'SEP ORIGEN'!I49,"Excede capacidad PS")</f>
        <v>0</v>
      </c>
      <c r="J209" s="313">
        <f>IF(J49*'SEP ORIGEN'!J49&lt;='GENERADO PS locales'!$D209,J49*'SEP ORIGEN'!J49,"Excede capacidad PS")</f>
        <v>0</v>
      </c>
      <c r="K209" s="313">
        <f>IF(K49*'SEP ORIGEN'!K49&lt;='GENERADO PS locales'!$D209,K49*'SEP ORIGEN'!K49,"Excede capacidad PS")</f>
        <v>0</v>
      </c>
      <c r="L209" s="313">
        <f>IF(L49*'SEP ORIGEN'!L49&lt;='GENERADO PS locales'!$D209,L49*'SEP ORIGEN'!L49,"Excede capacidad PS")</f>
        <v>0</v>
      </c>
      <c r="M209" s="313">
        <f>IF(M49*'SEP ORIGEN'!M49&lt;='GENERADO PS locales'!$D209,M49*'SEP ORIGEN'!M49,"Excede capacidad PS")</f>
        <v>0</v>
      </c>
      <c r="N209" s="313">
        <f>IF(N49*'SEP ORIGEN'!N49&lt;='GENERADO PS locales'!$D209,N49*'SEP ORIGEN'!N49,"Excede capacidad PS")</f>
        <v>0</v>
      </c>
      <c r="O209" s="313">
        <f>IF(O49*'SEP ORIGEN'!O49&lt;='GENERADO PS locales'!$D209,O49*'SEP ORIGEN'!O49,"Excede capacidad PS")</f>
        <v>0</v>
      </c>
      <c r="P209" s="313">
        <f>IF(P49*'SEP ORIGEN'!P49&lt;='GENERADO PS locales'!$D209,P49*'SEP ORIGEN'!P49,"Excede capacidad PS")</f>
        <v>0</v>
      </c>
      <c r="Q209" s="313">
        <f>IF(Q49*'SEP ORIGEN'!Q49&lt;='GENERADO PS locales'!$D209,Q49*'SEP ORIGEN'!Q49,"Excede capacidad PS")</f>
        <v>0</v>
      </c>
      <c r="R209" s="313">
        <f>IF(R49*'SEP ORIGEN'!R49&lt;='GENERADO PS locales'!$D209,R49*'SEP ORIGEN'!R49,"Excede capacidad PS")</f>
        <v>0</v>
      </c>
      <c r="S209" s="313">
        <f>IF(S49*'SEP ORIGEN'!S49&lt;='GENERADO PS locales'!$D209,S49*'SEP ORIGEN'!S49,"Excede capacidad PS")</f>
        <v>0</v>
      </c>
      <c r="T209" s="313">
        <f>IF(T49*'SEP ORIGEN'!T49&lt;='GENERADO PS locales'!$D209,T49*'SEP ORIGEN'!T49,"Excede capacidad PS")</f>
        <v>0</v>
      </c>
      <c r="U209" s="313">
        <f>IF(U49*'SEP ORIGEN'!U49&lt;='GENERADO PS locales'!$D209,U49*'SEP ORIGEN'!U49,"Excede capacidad PS")</f>
        <v>0</v>
      </c>
      <c r="V209" s="313">
        <f>IF(V49*'SEP ORIGEN'!V49&lt;='GENERADO PS locales'!$D209,V49*'SEP ORIGEN'!V49,"Excede capacidad PS")</f>
        <v>0</v>
      </c>
      <c r="W209" s="313">
        <f>IF(W49*'SEP ORIGEN'!W49&lt;='GENERADO PS locales'!$D209,W49*'SEP ORIGEN'!W49,"Excede capacidad PS")</f>
        <v>0</v>
      </c>
      <c r="X209" s="313">
        <f>IF(X49*'SEP ORIGEN'!X49&lt;='GENERADO PS locales'!$D209,X49*'SEP ORIGEN'!X49,"Excede capacidad PS")</f>
        <v>0</v>
      </c>
      <c r="Y209" s="313">
        <f>IF(Y49*'SEP ORIGEN'!Y49&lt;='GENERADO PS locales'!$D209,Y49*'SEP ORIGEN'!Y49,"Excede capacidad PS")</f>
        <v>0</v>
      </c>
      <c r="Z209" s="313">
        <f>IF(Z49*'SEP ORIGEN'!Z49&lt;='GENERADO PS locales'!$D209,Z49*'SEP ORIGEN'!Z49,"Excede capacidad PS")</f>
        <v>0</v>
      </c>
    </row>
    <row r="210" spans="1:26" ht="24.95" customHeight="1">
      <c r="A210" s="260" t="str">
        <f>+Pobl_adoptada!A50</f>
        <v>Carmen de Areco</v>
      </c>
      <c r="B210" s="70">
        <f>+Pobl_adoptada!B50</f>
        <v>46</v>
      </c>
      <c r="C210" s="71" t="str">
        <f>+Pobl_adoptada!C50</f>
        <v>Carmen de Areco</v>
      </c>
      <c r="D210" s="311">
        <v>0</v>
      </c>
      <c r="E210" s="278"/>
      <c r="F210" s="263"/>
      <c r="G210" s="313">
        <f>IF(G50*'SEP ORIGEN'!G50&lt;='GENERADO PS locales'!$D210,G50*'SEP ORIGEN'!G50,"Excede capacidad PS")</f>
        <v>0</v>
      </c>
      <c r="H210" s="313">
        <f>IF(H50*'SEP ORIGEN'!H50&lt;='GENERADO PS locales'!$D210,H50*'SEP ORIGEN'!H50,"Excede capacidad PS")</f>
        <v>0</v>
      </c>
      <c r="I210" s="313">
        <f>IF(I50*'SEP ORIGEN'!I50&lt;='GENERADO PS locales'!$D210,I50*'SEP ORIGEN'!I50,"Excede capacidad PS")</f>
        <v>0</v>
      </c>
      <c r="J210" s="313">
        <f>IF(J50*'SEP ORIGEN'!J50&lt;='GENERADO PS locales'!$D210,J50*'SEP ORIGEN'!J50,"Excede capacidad PS")</f>
        <v>0</v>
      </c>
      <c r="K210" s="313">
        <f>IF(K50*'SEP ORIGEN'!K50&lt;='GENERADO PS locales'!$D210,K50*'SEP ORIGEN'!K50,"Excede capacidad PS")</f>
        <v>0</v>
      </c>
      <c r="L210" s="313">
        <f>IF(L50*'SEP ORIGEN'!L50&lt;='GENERADO PS locales'!$D210,L50*'SEP ORIGEN'!L50,"Excede capacidad PS")</f>
        <v>0</v>
      </c>
      <c r="M210" s="313">
        <f>IF(M50*'SEP ORIGEN'!M50&lt;='GENERADO PS locales'!$D210,M50*'SEP ORIGEN'!M50,"Excede capacidad PS")</f>
        <v>0</v>
      </c>
      <c r="N210" s="313">
        <f>IF(N50*'SEP ORIGEN'!N50&lt;='GENERADO PS locales'!$D210,N50*'SEP ORIGEN'!N50,"Excede capacidad PS")</f>
        <v>0</v>
      </c>
      <c r="O210" s="313">
        <f>IF(O50*'SEP ORIGEN'!O50&lt;='GENERADO PS locales'!$D210,O50*'SEP ORIGEN'!O50,"Excede capacidad PS")</f>
        <v>0</v>
      </c>
      <c r="P210" s="313">
        <f>IF(P50*'SEP ORIGEN'!P50&lt;='GENERADO PS locales'!$D210,P50*'SEP ORIGEN'!P50,"Excede capacidad PS")</f>
        <v>0</v>
      </c>
      <c r="Q210" s="313">
        <f>IF(Q50*'SEP ORIGEN'!Q50&lt;='GENERADO PS locales'!$D210,Q50*'SEP ORIGEN'!Q50,"Excede capacidad PS")</f>
        <v>0</v>
      </c>
      <c r="R210" s="313">
        <f>IF(R50*'SEP ORIGEN'!R50&lt;='GENERADO PS locales'!$D210,R50*'SEP ORIGEN'!R50,"Excede capacidad PS")</f>
        <v>0</v>
      </c>
      <c r="S210" s="313">
        <f>IF(S50*'SEP ORIGEN'!S50&lt;='GENERADO PS locales'!$D210,S50*'SEP ORIGEN'!S50,"Excede capacidad PS")</f>
        <v>0</v>
      </c>
      <c r="T210" s="313">
        <f>IF(T50*'SEP ORIGEN'!T50&lt;='GENERADO PS locales'!$D210,T50*'SEP ORIGEN'!T50,"Excede capacidad PS")</f>
        <v>0</v>
      </c>
      <c r="U210" s="313">
        <f>IF(U50*'SEP ORIGEN'!U50&lt;='GENERADO PS locales'!$D210,U50*'SEP ORIGEN'!U50,"Excede capacidad PS")</f>
        <v>0</v>
      </c>
      <c r="V210" s="313">
        <f>IF(V50*'SEP ORIGEN'!V50&lt;='GENERADO PS locales'!$D210,V50*'SEP ORIGEN'!V50,"Excede capacidad PS")</f>
        <v>0</v>
      </c>
      <c r="W210" s="313">
        <f>IF(W50*'SEP ORIGEN'!W50&lt;='GENERADO PS locales'!$D210,W50*'SEP ORIGEN'!W50,"Excede capacidad PS")</f>
        <v>0</v>
      </c>
      <c r="X210" s="313">
        <f>IF(X50*'SEP ORIGEN'!X50&lt;='GENERADO PS locales'!$D210,X50*'SEP ORIGEN'!X50,"Excede capacidad PS")</f>
        <v>0</v>
      </c>
      <c r="Y210" s="313">
        <f>IF(Y50*'SEP ORIGEN'!Y50&lt;='GENERADO PS locales'!$D210,Y50*'SEP ORIGEN'!Y50,"Excede capacidad PS")</f>
        <v>0</v>
      </c>
      <c r="Z210" s="313">
        <f>IF(Z50*'SEP ORIGEN'!Z50&lt;='GENERADO PS locales'!$D210,Z50*'SEP ORIGEN'!Z50,"Excede capacidad PS")</f>
        <v>0</v>
      </c>
    </row>
    <row r="211" spans="1:26" ht="24.95" customHeight="1">
      <c r="A211" s="260" t="str">
        <f>+Pobl_adoptada!A51</f>
        <v>Castelli</v>
      </c>
      <c r="B211" s="70">
        <f>+Pobl_adoptada!B51</f>
        <v>47</v>
      </c>
      <c r="C211" s="71" t="str">
        <f>+Pobl_adoptada!C51</f>
        <v>Castelli</v>
      </c>
      <c r="D211" s="311">
        <v>0</v>
      </c>
      <c r="E211" s="278"/>
      <c r="F211" s="263"/>
      <c r="G211" s="313">
        <f>IF(G51*'SEP ORIGEN'!G51&lt;='GENERADO PS locales'!$D211,G51*'SEP ORIGEN'!G51,"Excede capacidad PS")</f>
        <v>0</v>
      </c>
      <c r="H211" s="313">
        <f>IF(H51*'SEP ORIGEN'!H51&lt;='GENERADO PS locales'!$D211,H51*'SEP ORIGEN'!H51,"Excede capacidad PS")</f>
        <v>0</v>
      </c>
      <c r="I211" s="313">
        <f>IF(I51*'SEP ORIGEN'!I51&lt;='GENERADO PS locales'!$D211,I51*'SEP ORIGEN'!I51,"Excede capacidad PS")</f>
        <v>0</v>
      </c>
      <c r="J211" s="313">
        <f>IF(J51*'SEP ORIGEN'!J51&lt;='GENERADO PS locales'!$D211,J51*'SEP ORIGEN'!J51,"Excede capacidad PS")</f>
        <v>0</v>
      </c>
      <c r="K211" s="313">
        <f>IF(K51*'SEP ORIGEN'!K51&lt;='GENERADO PS locales'!$D211,K51*'SEP ORIGEN'!K51,"Excede capacidad PS")</f>
        <v>0</v>
      </c>
      <c r="L211" s="313">
        <f>IF(L51*'SEP ORIGEN'!L51&lt;='GENERADO PS locales'!$D211,L51*'SEP ORIGEN'!L51,"Excede capacidad PS")</f>
        <v>0</v>
      </c>
      <c r="M211" s="313">
        <f>IF(M51*'SEP ORIGEN'!M51&lt;='GENERADO PS locales'!$D211,M51*'SEP ORIGEN'!M51,"Excede capacidad PS")</f>
        <v>0</v>
      </c>
      <c r="N211" s="313">
        <f>IF(N51*'SEP ORIGEN'!N51&lt;='GENERADO PS locales'!$D211,N51*'SEP ORIGEN'!N51,"Excede capacidad PS")</f>
        <v>0</v>
      </c>
      <c r="O211" s="313">
        <f>IF(O51*'SEP ORIGEN'!O51&lt;='GENERADO PS locales'!$D211,O51*'SEP ORIGEN'!O51,"Excede capacidad PS")</f>
        <v>0</v>
      </c>
      <c r="P211" s="313">
        <f>IF(P51*'SEP ORIGEN'!P51&lt;='GENERADO PS locales'!$D211,P51*'SEP ORIGEN'!P51,"Excede capacidad PS")</f>
        <v>0</v>
      </c>
      <c r="Q211" s="313">
        <f>IF(Q51*'SEP ORIGEN'!Q51&lt;='GENERADO PS locales'!$D211,Q51*'SEP ORIGEN'!Q51,"Excede capacidad PS")</f>
        <v>0</v>
      </c>
      <c r="R211" s="313">
        <f>IF(R51*'SEP ORIGEN'!R51&lt;='GENERADO PS locales'!$D211,R51*'SEP ORIGEN'!R51,"Excede capacidad PS")</f>
        <v>0</v>
      </c>
      <c r="S211" s="313">
        <f>IF(S51*'SEP ORIGEN'!S51&lt;='GENERADO PS locales'!$D211,S51*'SEP ORIGEN'!S51,"Excede capacidad PS")</f>
        <v>0</v>
      </c>
      <c r="T211" s="313">
        <f>IF(T51*'SEP ORIGEN'!T51&lt;='GENERADO PS locales'!$D211,T51*'SEP ORIGEN'!T51,"Excede capacidad PS")</f>
        <v>0</v>
      </c>
      <c r="U211" s="313">
        <f>IF(U51*'SEP ORIGEN'!U51&lt;='GENERADO PS locales'!$D211,U51*'SEP ORIGEN'!U51,"Excede capacidad PS")</f>
        <v>0</v>
      </c>
      <c r="V211" s="313">
        <f>IF(V51*'SEP ORIGEN'!V51&lt;='GENERADO PS locales'!$D211,V51*'SEP ORIGEN'!V51,"Excede capacidad PS")</f>
        <v>0</v>
      </c>
      <c r="W211" s="313">
        <f>IF(W51*'SEP ORIGEN'!W51&lt;='GENERADO PS locales'!$D211,W51*'SEP ORIGEN'!W51,"Excede capacidad PS")</f>
        <v>0</v>
      </c>
      <c r="X211" s="313">
        <f>IF(X51*'SEP ORIGEN'!X51&lt;='GENERADO PS locales'!$D211,X51*'SEP ORIGEN'!X51,"Excede capacidad PS")</f>
        <v>0</v>
      </c>
      <c r="Y211" s="313">
        <f>IF(Y51*'SEP ORIGEN'!Y51&lt;='GENERADO PS locales'!$D211,Y51*'SEP ORIGEN'!Y51,"Excede capacidad PS")</f>
        <v>0</v>
      </c>
      <c r="Z211" s="313">
        <f>IF(Z51*'SEP ORIGEN'!Z51&lt;='GENERADO PS locales'!$D211,Z51*'SEP ORIGEN'!Z51,"Excede capacidad PS")</f>
        <v>0</v>
      </c>
    </row>
    <row r="212" spans="1:26" ht="24.95" customHeight="1">
      <c r="A212" s="260" t="str">
        <f>+Pobl_adoptada!A52</f>
        <v>Chacabuco</v>
      </c>
      <c r="B212" s="70">
        <f>+Pobl_adoptada!B52</f>
        <v>48</v>
      </c>
      <c r="C212" s="71" t="str">
        <f>+Pobl_adoptada!C52</f>
        <v>Chacabuco</v>
      </c>
      <c r="D212" s="311">
        <v>0</v>
      </c>
      <c r="E212" s="278"/>
      <c r="F212" s="263"/>
      <c r="G212" s="313">
        <f>IF(G52*'SEP ORIGEN'!G52&lt;='GENERADO PS locales'!$D212,G52*'SEP ORIGEN'!G52,"Excede capacidad PS")</f>
        <v>0</v>
      </c>
      <c r="H212" s="313">
        <f>IF(H52*'SEP ORIGEN'!H52&lt;='GENERADO PS locales'!$D212,H52*'SEP ORIGEN'!H52,"Excede capacidad PS")</f>
        <v>0</v>
      </c>
      <c r="I212" s="313">
        <f>IF(I52*'SEP ORIGEN'!I52&lt;='GENERADO PS locales'!$D212,I52*'SEP ORIGEN'!I52,"Excede capacidad PS")</f>
        <v>0</v>
      </c>
      <c r="J212" s="313">
        <f>IF(J52*'SEP ORIGEN'!J52&lt;='GENERADO PS locales'!$D212,J52*'SEP ORIGEN'!J52,"Excede capacidad PS")</f>
        <v>0</v>
      </c>
      <c r="K212" s="313">
        <f>IF(K52*'SEP ORIGEN'!K52&lt;='GENERADO PS locales'!$D212,K52*'SEP ORIGEN'!K52,"Excede capacidad PS")</f>
        <v>0</v>
      </c>
      <c r="L212" s="313">
        <f>IF(L52*'SEP ORIGEN'!L52&lt;='GENERADO PS locales'!$D212,L52*'SEP ORIGEN'!L52,"Excede capacidad PS")</f>
        <v>0</v>
      </c>
      <c r="M212" s="313">
        <f>IF(M52*'SEP ORIGEN'!M52&lt;='GENERADO PS locales'!$D212,M52*'SEP ORIGEN'!M52,"Excede capacidad PS")</f>
        <v>0</v>
      </c>
      <c r="N212" s="313">
        <f>IF(N52*'SEP ORIGEN'!N52&lt;='GENERADO PS locales'!$D212,N52*'SEP ORIGEN'!N52,"Excede capacidad PS")</f>
        <v>0</v>
      </c>
      <c r="O212" s="313">
        <f>IF(O52*'SEP ORIGEN'!O52&lt;='GENERADO PS locales'!$D212,O52*'SEP ORIGEN'!O52,"Excede capacidad PS")</f>
        <v>0</v>
      </c>
      <c r="P212" s="313">
        <f>IF(P52*'SEP ORIGEN'!P52&lt;='GENERADO PS locales'!$D212,P52*'SEP ORIGEN'!P52,"Excede capacidad PS")</f>
        <v>0</v>
      </c>
      <c r="Q212" s="313">
        <f>IF(Q52*'SEP ORIGEN'!Q52&lt;='GENERADO PS locales'!$D212,Q52*'SEP ORIGEN'!Q52,"Excede capacidad PS")</f>
        <v>0</v>
      </c>
      <c r="R212" s="313">
        <f>IF(R52*'SEP ORIGEN'!R52&lt;='GENERADO PS locales'!$D212,R52*'SEP ORIGEN'!R52,"Excede capacidad PS")</f>
        <v>0</v>
      </c>
      <c r="S212" s="313">
        <f>IF(S52*'SEP ORIGEN'!S52&lt;='GENERADO PS locales'!$D212,S52*'SEP ORIGEN'!S52,"Excede capacidad PS")</f>
        <v>0</v>
      </c>
      <c r="T212" s="313">
        <f>IF(T52*'SEP ORIGEN'!T52&lt;='GENERADO PS locales'!$D212,T52*'SEP ORIGEN'!T52,"Excede capacidad PS")</f>
        <v>0</v>
      </c>
      <c r="U212" s="313">
        <f>IF(U52*'SEP ORIGEN'!U52&lt;='GENERADO PS locales'!$D212,U52*'SEP ORIGEN'!U52,"Excede capacidad PS")</f>
        <v>0</v>
      </c>
      <c r="V212" s="313">
        <f>IF(V52*'SEP ORIGEN'!V52&lt;='GENERADO PS locales'!$D212,V52*'SEP ORIGEN'!V52,"Excede capacidad PS")</f>
        <v>0</v>
      </c>
      <c r="W212" s="313">
        <f>IF(W52*'SEP ORIGEN'!W52&lt;='GENERADO PS locales'!$D212,W52*'SEP ORIGEN'!W52,"Excede capacidad PS")</f>
        <v>0</v>
      </c>
      <c r="X212" s="313">
        <f>IF(X52*'SEP ORIGEN'!X52&lt;='GENERADO PS locales'!$D212,X52*'SEP ORIGEN'!X52,"Excede capacidad PS")</f>
        <v>0</v>
      </c>
      <c r="Y212" s="313">
        <f>IF(Y52*'SEP ORIGEN'!Y52&lt;='GENERADO PS locales'!$D212,Y52*'SEP ORIGEN'!Y52,"Excede capacidad PS")</f>
        <v>0</v>
      </c>
      <c r="Z212" s="313">
        <f>IF(Z52*'SEP ORIGEN'!Z52&lt;='GENERADO PS locales'!$D212,Z52*'SEP ORIGEN'!Z52,"Excede capacidad PS")</f>
        <v>0</v>
      </c>
    </row>
    <row r="213" spans="1:26" ht="24.95" customHeight="1">
      <c r="A213" s="260" t="str">
        <f>+Pobl_adoptada!A53</f>
        <v>Chascomús</v>
      </c>
      <c r="B213" s="70">
        <f>+Pobl_adoptada!B53</f>
        <v>49</v>
      </c>
      <c r="C213" s="71" t="str">
        <f>+Pobl_adoptada!C53</f>
        <v>Chascomús</v>
      </c>
      <c r="D213" s="311">
        <v>0</v>
      </c>
      <c r="E213" s="278"/>
      <c r="F213" s="263"/>
      <c r="G213" s="313">
        <f>IF(G53*'SEP ORIGEN'!G53&lt;='GENERADO PS locales'!$D213,G53*'SEP ORIGEN'!G53,"Excede capacidad PS")</f>
        <v>0</v>
      </c>
      <c r="H213" s="313">
        <f>IF(H53*'SEP ORIGEN'!H53&lt;='GENERADO PS locales'!$D213,H53*'SEP ORIGEN'!H53,"Excede capacidad PS")</f>
        <v>0</v>
      </c>
      <c r="I213" s="313">
        <f>IF(I53*'SEP ORIGEN'!I53&lt;='GENERADO PS locales'!$D213,I53*'SEP ORIGEN'!I53,"Excede capacidad PS")</f>
        <v>0</v>
      </c>
      <c r="J213" s="313">
        <f>IF(J53*'SEP ORIGEN'!J53&lt;='GENERADO PS locales'!$D213,J53*'SEP ORIGEN'!J53,"Excede capacidad PS")</f>
        <v>0</v>
      </c>
      <c r="K213" s="313">
        <f>IF(K53*'SEP ORIGEN'!K53&lt;='GENERADO PS locales'!$D213,K53*'SEP ORIGEN'!K53,"Excede capacidad PS")</f>
        <v>0</v>
      </c>
      <c r="L213" s="313">
        <f>IF(L53*'SEP ORIGEN'!L53&lt;='GENERADO PS locales'!$D213,L53*'SEP ORIGEN'!L53,"Excede capacidad PS")</f>
        <v>0</v>
      </c>
      <c r="M213" s="313">
        <f>IF(M53*'SEP ORIGEN'!M53&lt;='GENERADO PS locales'!$D213,M53*'SEP ORIGEN'!M53,"Excede capacidad PS")</f>
        <v>0</v>
      </c>
      <c r="N213" s="313">
        <f>IF(N53*'SEP ORIGEN'!N53&lt;='GENERADO PS locales'!$D213,N53*'SEP ORIGEN'!N53,"Excede capacidad PS")</f>
        <v>0</v>
      </c>
      <c r="O213" s="313">
        <f>IF(O53*'SEP ORIGEN'!O53&lt;='GENERADO PS locales'!$D213,O53*'SEP ORIGEN'!O53,"Excede capacidad PS")</f>
        <v>0</v>
      </c>
      <c r="P213" s="313">
        <f>IF(P53*'SEP ORIGEN'!P53&lt;='GENERADO PS locales'!$D213,P53*'SEP ORIGEN'!P53,"Excede capacidad PS")</f>
        <v>0</v>
      </c>
      <c r="Q213" s="313">
        <f>IF(Q53*'SEP ORIGEN'!Q53&lt;='GENERADO PS locales'!$D213,Q53*'SEP ORIGEN'!Q53,"Excede capacidad PS")</f>
        <v>0</v>
      </c>
      <c r="R213" s="313">
        <f>IF(R53*'SEP ORIGEN'!R53&lt;='GENERADO PS locales'!$D213,R53*'SEP ORIGEN'!R53,"Excede capacidad PS")</f>
        <v>0</v>
      </c>
      <c r="S213" s="313">
        <f>IF(S53*'SEP ORIGEN'!S53&lt;='GENERADO PS locales'!$D213,S53*'SEP ORIGEN'!S53,"Excede capacidad PS")</f>
        <v>0</v>
      </c>
      <c r="T213" s="313">
        <f>IF(T53*'SEP ORIGEN'!T53&lt;='GENERADO PS locales'!$D213,T53*'SEP ORIGEN'!T53,"Excede capacidad PS")</f>
        <v>0</v>
      </c>
      <c r="U213" s="313">
        <f>IF(U53*'SEP ORIGEN'!U53&lt;='GENERADO PS locales'!$D213,U53*'SEP ORIGEN'!U53,"Excede capacidad PS")</f>
        <v>0</v>
      </c>
      <c r="V213" s="313">
        <f>IF(V53*'SEP ORIGEN'!V53&lt;='GENERADO PS locales'!$D213,V53*'SEP ORIGEN'!V53,"Excede capacidad PS")</f>
        <v>0</v>
      </c>
      <c r="W213" s="313">
        <f>IF(W53*'SEP ORIGEN'!W53&lt;='GENERADO PS locales'!$D213,W53*'SEP ORIGEN'!W53,"Excede capacidad PS")</f>
        <v>0</v>
      </c>
      <c r="X213" s="313">
        <f>IF(X53*'SEP ORIGEN'!X53&lt;='GENERADO PS locales'!$D213,X53*'SEP ORIGEN'!X53,"Excede capacidad PS")</f>
        <v>0</v>
      </c>
      <c r="Y213" s="313">
        <f>IF(Y53*'SEP ORIGEN'!Y53&lt;='GENERADO PS locales'!$D213,Y53*'SEP ORIGEN'!Y53,"Excede capacidad PS")</f>
        <v>0</v>
      </c>
      <c r="Z213" s="313">
        <f>IF(Z53*'SEP ORIGEN'!Z53&lt;='GENERADO PS locales'!$D213,Z53*'SEP ORIGEN'!Z53,"Excede capacidad PS")</f>
        <v>0</v>
      </c>
    </row>
    <row r="214" spans="1:26" ht="24.95" customHeight="1">
      <c r="A214" s="260" t="str">
        <f>+Pobl_adoptada!A54</f>
        <v>Chivilcoy</v>
      </c>
      <c r="B214" s="70">
        <f>+Pobl_adoptada!B54</f>
        <v>50</v>
      </c>
      <c r="C214" s="71" t="str">
        <f>+Pobl_adoptada!C54</f>
        <v>Chivilcoy</v>
      </c>
      <c r="D214" s="311">
        <v>0</v>
      </c>
      <c r="E214" s="278"/>
      <c r="F214" s="263"/>
      <c r="G214" s="313">
        <f>IF(G54*'SEP ORIGEN'!G54&lt;='GENERADO PS locales'!$D214,G54*'SEP ORIGEN'!G54,"Excede capacidad PS")</f>
        <v>0</v>
      </c>
      <c r="H214" s="313">
        <f>IF(H54*'SEP ORIGEN'!H54&lt;='GENERADO PS locales'!$D214,H54*'SEP ORIGEN'!H54,"Excede capacidad PS")</f>
        <v>0</v>
      </c>
      <c r="I214" s="313">
        <f>IF(I54*'SEP ORIGEN'!I54&lt;='GENERADO PS locales'!$D214,I54*'SEP ORIGEN'!I54,"Excede capacidad PS")</f>
        <v>0</v>
      </c>
      <c r="J214" s="313">
        <f>IF(J54*'SEP ORIGEN'!J54&lt;='GENERADO PS locales'!$D214,J54*'SEP ORIGEN'!J54,"Excede capacidad PS")</f>
        <v>0</v>
      </c>
      <c r="K214" s="313">
        <f>IF(K54*'SEP ORIGEN'!K54&lt;='GENERADO PS locales'!$D214,K54*'SEP ORIGEN'!K54,"Excede capacidad PS")</f>
        <v>0</v>
      </c>
      <c r="L214" s="313">
        <f>IF(L54*'SEP ORIGEN'!L54&lt;='GENERADO PS locales'!$D214,L54*'SEP ORIGEN'!L54,"Excede capacidad PS")</f>
        <v>0</v>
      </c>
      <c r="M214" s="313">
        <f>IF(M54*'SEP ORIGEN'!M54&lt;='GENERADO PS locales'!$D214,M54*'SEP ORIGEN'!M54,"Excede capacidad PS")</f>
        <v>0</v>
      </c>
      <c r="N214" s="313">
        <f>IF(N54*'SEP ORIGEN'!N54&lt;='GENERADO PS locales'!$D214,N54*'SEP ORIGEN'!N54,"Excede capacidad PS")</f>
        <v>0</v>
      </c>
      <c r="O214" s="313">
        <f>IF(O54*'SEP ORIGEN'!O54&lt;='GENERADO PS locales'!$D214,O54*'SEP ORIGEN'!O54,"Excede capacidad PS")</f>
        <v>0</v>
      </c>
      <c r="P214" s="313">
        <f>IF(P54*'SEP ORIGEN'!P54&lt;='GENERADO PS locales'!$D214,P54*'SEP ORIGEN'!P54,"Excede capacidad PS")</f>
        <v>0</v>
      </c>
      <c r="Q214" s="313">
        <f>IF(Q54*'SEP ORIGEN'!Q54&lt;='GENERADO PS locales'!$D214,Q54*'SEP ORIGEN'!Q54,"Excede capacidad PS")</f>
        <v>0</v>
      </c>
      <c r="R214" s="313">
        <f>IF(R54*'SEP ORIGEN'!R54&lt;='GENERADO PS locales'!$D214,R54*'SEP ORIGEN'!R54,"Excede capacidad PS")</f>
        <v>0</v>
      </c>
      <c r="S214" s="313">
        <f>IF(S54*'SEP ORIGEN'!S54&lt;='GENERADO PS locales'!$D214,S54*'SEP ORIGEN'!S54,"Excede capacidad PS")</f>
        <v>0</v>
      </c>
      <c r="T214" s="313">
        <f>IF(T54*'SEP ORIGEN'!T54&lt;='GENERADO PS locales'!$D214,T54*'SEP ORIGEN'!T54,"Excede capacidad PS")</f>
        <v>0</v>
      </c>
      <c r="U214" s="313">
        <f>IF(U54*'SEP ORIGEN'!U54&lt;='GENERADO PS locales'!$D214,U54*'SEP ORIGEN'!U54,"Excede capacidad PS")</f>
        <v>0</v>
      </c>
      <c r="V214" s="313">
        <f>IF(V54*'SEP ORIGEN'!V54&lt;='GENERADO PS locales'!$D214,V54*'SEP ORIGEN'!V54,"Excede capacidad PS")</f>
        <v>0</v>
      </c>
      <c r="W214" s="313">
        <f>IF(W54*'SEP ORIGEN'!W54&lt;='GENERADO PS locales'!$D214,W54*'SEP ORIGEN'!W54,"Excede capacidad PS")</f>
        <v>0</v>
      </c>
      <c r="X214" s="313">
        <f>IF(X54*'SEP ORIGEN'!X54&lt;='GENERADO PS locales'!$D214,X54*'SEP ORIGEN'!X54,"Excede capacidad PS")</f>
        <v>0</v>
      </c>
      <c r="Y214" s="313">
        <f>IF(Y54*'SEP ORIGEN'!Y54&lt;='GENERADO PS locales'!$D214,Y54*'SEP ORIGEN'!Y54,"Excede capacidad PS")</f>
        <v>0</v>
      </c>
      <c r="Z214" s="313">
        <f>IF(Z54*'SEP ORIGEN'!Z54&lt;='GENERADO PS locales'!$D214,Z54*'SEP ORIGEN'!Z54,"Excede capacidad PS")</f>
        <v>0</v>
      </c>
    </row>
    <row r="215" spans="1:26" ht="24.95" customHeight="1">
      <c r="A215" s="260" t="str">
        <f>+Pobl_adoptada!A55</f>
        <v>Colón</v>
      </c>
      <c r="B215" s="70">
        <f>+Pobl_adoptada!B55</f>
        <v>51</v>
      </c>
      <c r="C215" s="71" t="str">
        <f>+Pobl_adoptada!C55</f>
        <v>Colón</v>
      </c>
      <c r="D215" s="311">
        <v>0</v>
      </c>
      <c r="E215" s="278"/>
      <c r="F215" s="263"/>
      <c r="G215" s="313">
        <f>IF(G55*'SEP ORIGEN'!G55&lt;='GENERADO PS locales'!$D215,G55*'SEP ORIGEN'!G55,"Excede capacidad PS")</f>
        <v>0</v>
      </c>
      <c r="H215" s="313">
        <f>IF(H55*'SEP ORIGEN'!H55&lt;='GENERADO PS locales'!$D215,H55*'SEP ORIGEN'!H55,"Excede capacidad PS")</f>
        <v>0</v>
      </c>
      <c r="I215" s="313">
        <f>IF(I55*'SEP ORIGEN'!I55&lt;='GENERADO PS locales'!$D215,I55*'SEP ORIGEN'!I55,"Excede capacidad PS")</f>
        <v>0</v>
      </c>
      <c r="J215" s="313">
        <f>IF(J55*'SEP ORIGEN'!J55&lt;='GENERADO PS locales'!$D215,J55*'SEP ORIGEN'!J55,"Excede capacidad PS")</f>
        <v>0</v>
      </c>
      <c r="K215" s="313">
        <f>IF(K55*'SEP ORIGEN'!K55&lt;='GENERADO PS locales'!$D215,K55*'SEP ORIGEN'!K55,"Excede capacidad PS")</f>
        <v>0</v>
      </c>
      <c r="L215" s="313">
        <f>IF(L55*'SEP ORIGEN'!L55&lt;='GENERADO PS locales'!$D215,L55*'SEP ORIGEN'!L55,"Excede capacidad PS")</f>
        <v>0</v>
      </c>
      <c r="M215" s="313">
        <f>IF(M55*'SEP ORIGEN'!M55&lt;='GENERADO PS locales'!$D215,M55*'SEP ORIGEN'!M55,"Excede capacidad PS")</f>
        <v>0</v>
      </c>
      <c r="N215" s="313">
        <f>IF(N55*'SEP ORIGEN'!N55&lt;='GENERADO PS locales'!$D215,N55*'SEP ORIGEN'!N55,"Excede capacidad PS")</f>
        <v>0</v>
      </c>
      <c r="O215" s="313">
        <f>IF(O55*'SEP ORIGEN'!O55&lt;='GENERADO PS locales'!$D215,O55*'SEP ORIGEN'!O55,"Excede capacidad PS")</f>
        <v>0</v>
      </c>
      <c r="P215" s="313">
        <f>IF(P55*'SEP ORIGEN'!P55&lt;='GENERADO PS locales'!$D215,P55*'SEP ORIGEN'!P55,"Excede capacidad PS")</f>
        <v>0</v>
      </c>
      <c r="Q215" s="313">
        <f>IF(Q55*'SEP ORIGEN'!Q55&lt;='GENERADO PS locales'!$D215,Q55*'SEP ORIGEN'!Q55,"Excede capacidad PS")</f>
        <v>0</v>
      </c>
      <c r="R215" s="313">
        <f>IF(R55*'SEP ORIGEN'!R55&lt;='GENERADO PS locales'!$D215,R55*'SEP ORIGEN'!R55,"Excede capacidad PS")</f>
        <v>0</v>
      </c>
      <c r="S215" s="313">
        <f>IF(S55*'SEP ORIGEN'!S55&lt;='GENERADO PS locales'!$D215,S55*'SEP ORIGEN'!S55,"Excede capacidad PS")</f>
        <v>0</v>
      </c>
      <c r="T215" s="313">
        <f>IF(T55*'SEP ORIGEN'!T55&lt;='GENERADO PS locales'!$D215,T55*'SEP ORIGEN'!T55,"Excede capacidad PS")</f>
        <v>0</v>
      </c>
      <c r="U215" s="313">
        <f>IF(U55*'SEP ORIGEN'!U55&lt;='GENERADO PS locales'!$D215,U55*'SEP ORIGEN'!U55,"Excede capacidad PS")</f>
        <v>0</v>
      </c>
      <c r="V215" s="313">
        <f>IF(V55*'SEP ORIGEN'!V55&lt;='GENERADO PS locales'!$D215,V55*'SEP ORIGEN'!V55,"Excede capacidad PS")</f>
        <v>0</v>
      </c>
      <c r="W215" s="313">
        <f>IF(W55*'SEP ORIGEN'!W55&lt;='GENERADO PS locales'!$D215,W55*'SEP ORIGEN'!W55,"Excede capacidad PS")</f>
        <v>0</v>
      </c>
      <c r="X215" s="313">
        <f>IF(X55*'SEP ORIGEN'!X55&lt;='GENERADO PS locales'!$D215,X55*'SEP ORIGEN'!X55,"Excede capacidad PS")</f>
        <v>0</v>
      </c>
      <c r="Y215" s="313">
        <f>IF(Y55*'SEP ORIGEN'!Y55&lt;='GENERADO PS locales'!$D215,Y55*'SEP ORIGEN'!Y55,"Excede capacidad PS")</f>
        <v>0</v>
      </c>
      <c r="Z215" s="313">
        <f>IF(Z55*'SEP ORIGEN'!Z55&lt;='GENERADO PS locales'!$D215,Z55*'SEP ORIGEN'!Z55,"Excede capacidad PS")</f>
        <v>0</v>
      </c>
    </row>
    <row r="216" spans="1:26" ht="24.95" customHeight="1">
      <c r="A216" s="260" t="str">
        <f>+Pobl_adoptada!A56</f>
        <v>Coronel de Marina L. Rosales</v>
      </c>
      <c r="B216" s="70">
        <f>+Pobl_adoptada!B56</f>
        <v>52</v>
      </c>
      <c r="C216" s="71" t="str">
        <f>+Pobl_adoptada!C56</f>
        <v>Punta Alta</v>
      </c>
      <c r="D216" s="311">
        <v>0</v>
      </c>
      <c r="E216" s="278"/>
      <c r="F216" s="263"/>
      <c r="G216" s="313">
        <f>IF(G56*'SEP ORIGEN'!G56&lt;='GENERADO PS locales'!$D216,G56*'SEP ORIGEN'!G56,"Excede capacidad PS")</f>
        <v>0</v>
      </c>
      <c r="H216" s="313">
        <f>IF(H56*'SEP ORIGEN'!H56&lt;='GENERADO PS locales'!$D216,H56*'SEP ORIGEN'!H56,"Excede capacidad PS")</f>
        <v>0</v>
      </c>
      <c r="I216" s="313">
        <f>IF(I56*'SEP ORIGEN'!I56&lt;='GENERADO PS locales'!$D216,I56*'SEP ORIGEN'!I56,"Excede capacidad PS")</f>
        <v>0</v>
      </c>
      <c r="J216" s="313">
        <f>IF(J56*'SEP ORIGEN'!J56&lt;='GENERADO PS locales'!$D216,J56*'SEP ORIGEN'!J56,"Excede capacidad PS")</f>
        <v>0</v>
      </c>
      <c r="K216" s="313">
        <f>IF(K56*'SEP ORIGEN'!K56&lt;='GENERADO PS locales'!$D216,K56*'SEP ORIGEN'!K56,"Excede capacidad PS")</f>
        <v>0</v>
      </c>
      <c r="L216" s="313">
        <f>IF(L56*'SEP ORIGEN'!L56&lt;='GENERADO PS locales'!$D216,L56*'SEP ORIGEN'!L56,"Excede capacidad PS")</f>
        <v>0</v>
      </c>
      <c r="M216" s="313">
        <f>IF(M56*'SEP ORIGEN'!M56&lt;='GENERADO PS locales'!$D216,M56*'SEP ORIGEN'!M56,"Excede capacidad PS")</f>
        <v>0</v>
      </c>
      <c r="N216" s="313">
        <f>IF(N56*'SEP ORIGEN'!N56&lt;='GENERADO PS locales'!$D216,N56*'SEP ORIGEN'!N56,"Excede capacidad PS")</f>
        <v>0</v>
      </c>
      <c r="O216" s="313">
        <f>IF(O56*'SEP ORIGEN'!O56&lt;='GENERADO PS locales'!$D216,O56*'SEP ORIGEN'!O56,"Excede capacidad PS")</f>
        <v>0</v>
      </c>
      <c r="P216" s="313">
        <f>IF(P56*'SEP ORIGEN'!P56&lt;='GENERADO PS locales'!$D216,P56*'SEP ORIGEN'!P56,"Excede capacidad PS")</f>
        <v>0</v>
      </c>
      <c r="Q216" s="313">
        <f>IF(Q56*'SEP ORIGEN'!Q56&lt;='GENERADO PS locales'!$D216,Q56*'SEP ORIGEN'!Q56,"Excede capacidad PS")</f>
        <v>0</v>
      </c>
      <c r="R216" s="313">
        <f>IF(R56*'SEP ORIGEN'!R56&lt;='GENERADO PS locales'!$D216,R56*'SEP ORIGEN'!R56,"Excede capacidad PS")</f>
        <v>0</v>
      </c>
      <c r="S216" s="313">
        <f>IF(S56*'SEP ORIGEN'!S56&lt;='GENERADO PS locales'!$D216,S56*'SEP ORIGEN'!S56,"Excede capacidad PS")</f>
        <v>0</v>
      </c>
      <c r="T216" s="313">
        <f>IF(T56*'SEP ORIGEN'!T56&lt;='GENERADO PS locales'!$D216,T56*'SEP ORIGEN'!T56,"Excede capacidad PS")</f>
        <v>0</v>
      </c>
      <c r="U216" s="313">
        <f>IF(U56*'SEP ORIGEN'!U56&lt;='GENERADO PS locales'!$D216,U56*'SEP ORIGEN'!U56,"Excede capacidad PS")</f>
        <v>0</v>
      </c>
      <c r="V216" s="313">
        <f>IF(V56*'SEP ORIGEN'!V56&lt;='GENERADO PS locales'!$D216,V56*'SEP ORIGEN'!V56,"Excede capacidad PS")</f>
        <v>0</v>
      </c>
      <c r="W216" s="313">
        <f>IF(W56*'SEP ORIGEN'!W56&lt;='GENERADO PS locales'!$D216,W56*'SEP ORIGEN'!W56,"Excede capacidad PS")</f>
        <v>0</v>
      </c>
      <c r="X216" s="313">
        <f>IF(X56*'SEP ORIGEN'!X56&lt;='GENERADO PS locales'!$D216,X56*'SEP ORIGEN'!X56,"Excede capacidad PS")</f>
        <v>0</v>
      </c>
      <c r="Y216" s="313">
        <f>IF(Y56*'SEP ORIGEN'!Y56&lt;='GENERADO PS locales'!$D216,Y56*'SEP ORIGEN'!Y56,"Excede capacidad PS")</f>
        <v>0</v>
      </c>
      <c r="Z216" s="313">
        <f>IF(Z56*'SEP ORIGEN'!Z56&lt;='GENERADO PS locales'!$D216,Z56*'SEP ORIGEN'!Z56,"Excede capacidad PS")</f>
        <v>0</v>
      </c>
    </row>
    <row r="217" spans="1:26" ht="24.95" customHeight="1">
      <c r="A217" s="260" t="str">
        <f>+Pobl_adoptada!A57</f>
        <v>Coronel Dorrego</v>
      </c>
      <c r="B217" s="70">
        <f>+Pobl_adoptada!B57</f>
        <v>53</v>
      </c>
      <c r="C217" s="71" t="str">
        <f>+Pobl_adoptada!C57</f>
        <v>Coronel Dorrego</v>
      </c>
      <c r="D217" s="311">
        <v>0</v>
      </c>
      <c r="E217" s="278"/>
      <c r="F217" s="263"/>
      <c r="G217" s="313">
        <f>IF(G57*'SEP ORIGEN'!G57&lt;='GENERADO PS locales'!$D217,G57*'SEP ORIGEN'!G57,"Excede capacidad PS")</f>
        <v>0</v>
      </c>
      <c r="H217" s="313">
        <f>IF(H57*'SEP ORIGEN'!H57&lt;='GENERADO PS locales'!$D217,H57*'SEP ORIGEN'!H57,"Excede capacidad PS")</f>
        <v>0</v>
      </c>
      <c r="I217" s="313">
        <f>IF(I57*'SEP ORIGEN'!I57&lt;='GENERADO PS locales'!$D217,I57*'SEP ORIGEN'!I57,"Excede capacidad PS")</f>
        <v>0</v>
      </c>
      <c r="J217" s="313">
        <f>IF(J57*'SEP ORIGEN'!J57&lt;='GENERADO PS locales'!$D217,J57*'SEP ORIGEN'!J57,"Excede capacidad PS")</f>
        <v>0</v>
      </c>
      <c r="K217" s="313">
        <f>IF(K57*'SEP ORIGEN'!K57&lt;='GENERADO PS locales'!$D217,K57*'SEP ORIGEN'!K57,"Excede capacidad PS")</f>
        <v>0</v>
      </c>
      <c r="L217" s="313">
        <f>IF(L57*'SEP ORIGEN'!L57&lt;='GENERADO PS locales'!$D217,L57*'SEP ORIGEN'!L57,"Excede capacidad PS")</f>
        <v>0</v>
      </c>
      <c r="M217" s="313">
        <f>IF(M57*'SEP ORIGEN'!M57&lt;='GENERADO PS locales'!$D217,M57*'SEP ORIGEN'!M57,"Excede capacidad PS")</f>
        <v>0</v>
      </c>
      <c r="N217" s="313">
        <f>IF(N57*'SEP ORIGEN'!N57&lt;='GENERADO PS locales'!$D217,N57*'SEP ORIGEN'!N57,"Excede capacidad PS")</f>
        <v>0</v>
      </c>
      <c r="O217" s="313">
        <f>IF(O57*'SEP ORIGEN'!O57&lt;='GENERADO PS locales'!$D217,O57*'SEP ORIGEN'!O57,"Excede capacidad PS")</f>
        <v>0</v>
      </c>
      <c r="P217" s="313">
        <f>IF(P57*'SEP ORIGEN'!P57&lt;='GENERADO PS locales'!$D217,P57*'SEP ORIGEN'!P57,"Excede capacidad PS")</f>
        <v>0</v>
      </c>
      <c r="Q217" s="313">
        <f>IF(Q57*'SEP ORIGEN'!Q57&lt;='GENERADO PS locales'!$D217,Q57*'SEP ORIGEN'!Q57,"Excede capacidad PS")</f>
        <v>0</v>
      </c>
      <c r="R217" s="313">
        <f>IF(R57*'SEP ORIGEN'!R57&lt;='GENERADO PS locales'!$D217,R57*'SEP ORIGEN'!R57,"Excede capacidad PS")</f>
        <v>0</v>
      </c>
      <c r="S217" s="313">
        <f>IF(S57*'SEP ORIGEN'!S57&lt;='GENERADO PS locales'!$D217,S57*'SEP ORIGEN'!S57,"Excede capacidad PS")</f>
        <v>0</v>
      </c>
      <c r="T217" s="313">
        <f>IF(T57*'SEP ORIGEN'!T57&lt;='GENERADO PS locales'!$D217,T57*'SEP ORIGEN'!T57,"Excede capacidad PS")</f>
        <v>0</v>
      </c>
      <c r="U217" s="313">
        <f>IF(U57*'SEP ORIGEN'!U57&lt;='GENERADO PS locales'!$D217,U57*'SEP ORIGEN'!U57,"Excede capacidad PS")</f>
        <v>0</v>
      </c>
      <c r="V217" s="313">
        <f>IF(V57*'SEP ORIGEN'!V57&lt;='GENERADO PS locales'!$D217,V57*'SEP ORIGEN'!V57,"Excede capacidad PS")</f>
        <v>0</v>
      </c>
      <c r="W217" s="313">
        <f>IF(W57*'SEP ORIGEN'!W57&lt;='GENERADO PS locales'!$D217,W57*'SEP ORIGEN'!W57,"Excede capacidad PS")</f>
        <v>0</v>
      </c>
      <c r="X217" s="313">
        <f>IF(X57*'SEP ORIGEN'!X57&lt;='GENERADO PS locales'!$D217,X57*'SEP ORIGEN'!X57,"Excede capacidad PS")</f>
        <v>0</v>
      </c>
      <c r="Y217" s="313">
        <f>IF(Y57*'SEP ORIGEN'!Y57&lt;='GENERADO PS locales'!$D217,Y57*'SEP ORIGEN'!Y57,"Excede capacidad PS")</f>
        <v>0</v>
      </c>
      <c r="Z217" s="313">
        <f>IF(Z57*'SEP ORIGEN'!Z57&lt;='GENERADO PS locales'!$D217,Z57*'SEP ORIGEN'!Z57,"Excede capacidad PS")</f>
        <v>0</v>
      </c>
    </row>
    <row r="218" spans="1:26" ht="24.95" customHeight="1">
      <c r="A218" s="260" t="str">
        <f>+Pobl_adoptada!A58</f>
        <v>Coronel Pringles</v>
      </c>
      <c r="B218" s="70">
        <f>+Pobl_adoptada!B58</f>
        <v>54</v>
      </c>
      <c r="C218" s="71" t="str">
        <f>+Pobl_adoptada!C58</f>
        <v>Coronel Pringles</v>
      </c>
      <c r="D218" s="311">
        <v>0</v>
      </c>
      <c r="E218" s="278"/>
      <c r="F218" s="263"/>
      <c r="G218" s="313">
        <f>IF(G58*'SEP ORIGEN'!G58&lt;='GENERADO PS locales'!$D218,G58*'SEP ORIGEN'!G58,"Excede capacidad PS")</f>
        <v>0</v>
      </c>
      <c r="H218" s="313">
        <f>IF(H58*'SEP ORIGEN'!H58&lt;='GENERADO PS locales'!$D218,H58*'SEP ORIGEN'!H58,"Excede capacidad PS")</f>
        <v>0</v>
      </c>
      <c r="I218" s="313">
        <f>IF(I58*'SEP ORIGEN'!I58&lt;='GENERADO PS locales'!$D218,I58*'SEP ORIGEN'!I58,"Excede capacidad PS")</f>
        <v>0</v>
      </c>
      <c r="J218" s="313">
        <f>IF(J58*'SEP ORIGEN'!J58&lt;='GENERADO PS locales'!$D218,J58*'SEP ORIGEN'!J58,"Excede capacidad PS")</f>
        <v>0</v>
      </c>
      <c r="K218" s="313">
        <f>IF(K58*'SEP ORIGEN'!K58&lt;='GENERADO PS locales'!$D218,K58*'SEP ORIGEN'!K58,"Excede capacidad PS")</f>
        <v>0</v>
      </c>
      <c r="L218" s="313">
        <f>IF(L58*'SEP ORIGEN'!L58&lt;='GENERADO PS locales'!$D218,L58*'SEP ORIGEN'!L58,"Excede capacidad PS")</f>
        <v>0</v>
      </c>
      <c r="M218" s="313">
        <f>IF(M58*'SEP ORIGEN'!M58&lt;='GENERADO PS locales'!$D218,M58*'SEP ORIGEN'!M58,"Excede capacidad PS")</f>
        <v>0</v>
      </c>
      <c r="N218" s="313">
        <f>IF(N58*'SEP ORIGEN'!N58&lt;='GENERADO PS locales'!$D218,N58*'SEP ORIGEN'!N58,"Excede capacidad PS")</f>
        <v>0</v>
      </c>
      <c r="O218" s="313">
        <f>IF(O58*'SEP ORIGEN'!O58&lt;='GENERADO PS locales'!$D218,O58*'SEP ORIGEN'!O58,"Excede capacidad PS")</f>
        <v>0</v>
      </c>
      <c r="P218" s="313">
        <f>IF(P58*'SEP ORIGEN'!P58&lt;='GENERADO PS locales'!$D218,P58*'SEP ORIGEN'!P58,"Excede capacidad PS")</f>
        <v>0</v>
      </c>
      <c r="Q218" s="313">
        <f>IF(Q58*'SEP ORIGEN'!Q58&lt;='GENERADO PS locales'!$D218,Q58*'SEP ORIGEN'!Q58,"Excede capacidad PS")</f>
        <v>0</v>
      </c>
      <c r="R218" s="313">
        <f>IF(R58*'SEP ORIGEN'!R58&lt;='GENERADO PS locales'!$D218,R58*'SEP ORIGEN'!R58,"Excede capacidad PS")</f>
        <v>0</v>
      </c>
      <c r="S218" s="313">
        <f>IF(S58*'SEP ORIGEN'!S58&lt;='GENERADO PS locales'!$D218,S58*'SEP ORIGEN'!S58,"Excede capacidad PS")</f>
        <v>0</v>
      </c>
      <c r="T218" s="313">
        <f>IF(T58*'SEP ORIGEN'!T58&lt;='GENERADO PS locales'!$D218,T58*'SEP ORIGEN'!T58,"Excede capacidad PS")</f>
        <v>0</v>
      </c>
      <c r="U218" s="313">
        <f>IF(U58*'SEP ORIGEN'!U58&lt;='GENERADO PS locales'!$D218,U58*'SEP ORIGEN'!U58,"Excede capacidad PS")</f>
        <v>0</v>
      </c>
      <c r="V218" s="313">
        <f>IF(V58*'SEP ORIGEN'!V58&lt;='GENERADO PS locales'!$D218,V58*'SEP ORIGEN'!V58,"Excede capacidad PS")</f>
        <v>0</v>
      </c>
      <c r="W218" s="313">
        <f>IF(W58*'SEP ORIGEN'!W58&lt;='GENERADO PS locales'!$D218,W58*'SEP ORIGEN'!W58,"Excede capacidad PS")</f>
        <v>0</v>
      </c>
      <c r="X218" s="313">
        <f>IF(X58*'SEP ORIGEN'!X58&lt;='GENERADO PS locales'!$D218,X58*'SEP ORIGEN'!X58,"Excede capacidad PS")</f>
        <v>0</v>
      </c>
      <c r="Y218" s="313">
        <f>IF(Y58*'SEP ORIGEN'!Y58&lt;='GENERADO PS locales'!$D218,Y58*'SEP ORIGEN'!Y58,"Excede capacidad PS")</f>
        <v>0</v>
      </c>
      <c r="Z218" s="313">
        <f>IF(Z58*'SEP ORIGEN'!Z58&lt;='GENERADO PS locales'!$D218,Z58*'SEP ORIGEN'!Z58,"Excede capacidad PS")</f>
        <v>0</v>
      </c>
    </row>
    <row r="219" spans="1:26" ht="24.95" customHeight="1">
      <c r="A219" s="260" t="str">
        <f>+Pobl_adoptada!A59</f>
        <v>Coronel Suárez</v>
      </c>
      <c r="B219" s="70">
        <f>+Pobl_adoptada!B59</f>
        <v>55</v>
      </c>
      <c r="C219" s="71" t="str">
        <f>+Pobl_adoptada!C59</f>
        <v>Coronel Suárez</v>
      </c>
      <c r="D219" s="311">
        <v>0</v>
      </c>
      <c r="E219" s="278"/>
      <c r="F219" s="263"/>
      <c r="G219" s="313">
        <f>IF(G59*'SEP ORIGEN'!G59&lt;='GENERADO PS locales'!$D219,G59*'SEP ORIGEN'!G59,"Excede capacidad PS")</f>
        <v>0</v>
      </c>
      <c r="H219" s="313">
        <f>IF(H59*'SEP ORIGEN'!H59&lt;='GENERADO PS locales'!$D219,H59*'SEP ORIGEN'!H59,"Excede capacidad PS")</f>
        <v>0</v>
      </c>
      <c r="I219" s="313">
        <f>IF(I59*'SEP ORIGEN'!I59&lt;='GENERADO PS locales'!$D219,I59*'SEP ORIGEN'!I59,"Excede capacidad PS")</f>
        <v>0</v>
      </c>
      <c r="J219" s="313">
        <f>IF(J59*'SEP ORIGEN'!J59&lt;='GENERADO PS locales'!$D219,J59*'SEP ORIGEN'!J59,"Excede capacidad PS")</f>
        <v>0</v>
      </c>
      <c r="K219" s="313">
        <f>IF(K59*'SEP ORIGEN'!K59&lt;='GENERADO PS locales'!$D219,K59*'SEP ORIGEN'!K59,"Excede capacidad PS")</f>
        <v>0</v>
      </c>
      <c r="L219" s="313">
        <f>IF(L59*'SEP ORIGEN'!L59&lt;='GENERADO PS locales'!$D219,L59*'SEP ORIGEN'!L59,"Excede capacidad PS")</f>
        <v>0</v>
      </c>
      <c r="M219" s="313">
        <f>IF(M59*'SEP ORIGEN'!M59&lt;='GENERADO PS locales'!$D219,M59*'SEP ORIGEN'!M59,"Excede capacidad PS")</f>
        <v>0</v>
      </c>
      <c r="N219" s="313">
        <f>IF(N59*'SEP ORIGEN'!N59&lt;='GENERADO PS locales'!$D219,N59*'SEP ORIGEN'!N59,"Excede capacidad PS")</f>
        <v>0</v>
      </c>
      <c r="O219" s="313">
        <f>IF(O59*'SEP ORIGEN'!O59&lt;='GENERADO PS locales'!$D219,O59*'SEP ORIGEN'!O59,"Excede capacidad PS")</f>
        <v>0</v>
      </c>
      <c r="P219" s="313">
        <f>IF(P59*'SEP ORIGEN'!P59&lt;='GENERADO PS locales'!$D219,P59*'SEP ORIGEN'!P59,"Excede capacidad PS")</f>
        <v>0</v>
      </c>
      <c r="Q219" s="313">
        <f>IF(Q59*'SEP ORIGEN'!Q59&lt;='GENERADO PS locales'!$D219,Q59*'SEP ORIGEN'!Q59,"Excede capacidad PS")</f>
        <v>0</v>
      </c>
      <c r="R219" s="313">
        <f>IF(R59*'SEP ORIGEN'!R59&lt;='GENERADO PS locales'!$D219,R59*'SEP ORIGEN'!R59,"Excede capacidad PS")</f>
        <v>0</v>
      </c>
      <c r="S219" s="313">
        <f>IF(S59*'SEP ORIGEN'!S59&lt;='GENERADO PS locales'!$D219,S59*'SEP ORIGEN'!S59,"Excede capacidad PS")</f>
        <v>0</v>
      </c>
      <c r="T219" s="313">
        <f>IF(T59*'SEP ORIGEN'!T59&lt;='GENERADO PS locales'!$D219,T59*'SEP ORIGEN'!T59,"Excede capacidad PS")</f>
        <v>0</v>
      </c>
      <c r="U219" s="313">
        <f>IF(U59*'SEP ORIGEN'!U59&lt;='GENERADO PS locales'!$D219,U59*'SEP ORIGEN'!U59,"Excede capacidad PS")</f>
        <v>0</v>
      </c>
      <c r="V219" s="313">
        <f>IF(V59*'SEP ORIGEN'!V59&lt;='GENERADO PS locales'!$D219,V59*'SEP ORIGEN'!V59,"Excede capacidad PS")</f>
        <v>0</v>
      </c>
      <c r="W219" s="313">
        <f>IF(W59*'SEP ORIGEN'!W59&lt;='GENERADO PS locales'!$D219,W59*'SEP ORIGEN'!W59,"Excede capacidad PS")</f>
        <v>0</v>
      </c>
      <c r="X219" s="313">
        <f>IF(X59*'SEP ORIGEN'!X59&lt;='GENERADO PS locales'!$D219,X59*'SEP ORIGEN'!X59,"Excede capacidad PS")</f>
        <v>0</v>
      </c>
      <c r="Y219" s="313">
        <f>IF(Y59*'SEP ORIGEN'!Y59&lt;='GENERADO PS locales'!$D219,Y59*'SEP ORIGEN'!Y59,"Excede capacidad PS")</f>
        <v>0</v>
      </c>
      <c r="Z219" s="313">
        <f>IF(Z59*'SEP ORIGEN'!Z59&lt;='GENERADO PS locales'!$D219,Z59*'SEP ORIGEN'!Z59,"Excede capacidad PS")</f>
        <v>0</v>
      </c>
    </row>
    <row r="220" spans="1:26" ht="24.95" customHeight="1">
      <c r="A220" s="260" t="str">
        <f>+Pobl_adoptada!A60</f>
        <v>Daireaux</v>
      </c>
      <c r="B220" s="70">
        <f>+Pobl_adoptada!B60</f>
        <v>56</v>
      </c>
      <c r="C220" s="71" t="str">
        <f>+Pobl_adoptada!C60</f>
        <v>Daireaux</v>
      </c>
      <c r="D220" s="311">
        <v>0</v>
      </c>
      <c r="E220" s="278"/>
      <c r="F220" s="263"/>
      <c r="G220" s="313">
        <f>IF(G60*'SEP ORIGEN'!G60&lt;='GENERADO PS locales'!$D220,G60*'SEP ORIGEN'!G60,"Excede capacidad PS")</f>
        <v>0</v>
      </c>
      <c r="H220" s="313">
        <f>IF(H60*'SEP ORIGEN'!H60&lt;='GENERADO PS locales'!$D220,H60*'SEP ORIGEN'!H60,"Excede capacidad PS")</f>
        <v>0</v>
      </c>
      <c r="I220" s="313">
        <f>IF(I60*'SEP ORIGEN'!I60&lt;='GENERADO PS locales'!$D220,I60*'SEP ORIGEN'!I60,"Excede capacidad PS")</f>
        <v>0</v>
      </c>
      <c r="J220" s="313">
        <f>IF(J60*'SEP ORIGEN'!J60&lt;='GENERADO PS locales'!$D220,J60*'SEP ORIGEN'!J60,"Excede capacidad PS")</f>
        <v>0</v>
      </c>
      <c r="K220" s="313">
        <f>IF(K60*'SEP ORIGEN'!K60&lt;='GENERADO PS locales'!$D220,K60*'SEP ORIGEN'!K60,"Excede capacidad PS")</f>
        <v>0</v>
      </c>
      <c r="L220" s="313">
        <f>IF(L60*'SEP ORIGEN'!L60&lt;='GENERADO PS locales'!$D220,L60*'SEP ORIGEN'!L60,"Excede capacidad PS")</f>
        <v>0</v>
      </c>
      <c r="M220" s="313">
        <f>IF(M60*'SEP ORIGEN'!M60&lt;='GENERADO PS locales'!$D220,M60*'SEP ORIGEN'!M60,"Excede capacidad PS")</f>
        <v>0</v>
      </c>
      <c r="N220" s="313">
        <f>IF(N60*'SEP ORIGEN'!N60&lt;='GENERADO PS locales'!$D220,N60*'SEP ORIGEN'!N60,"Excede capacidad PS")</f>
        <v>0</v>
      </c>
      <c r="O220" s="313">
        <f>IF(O60*'SEP ORIGEN'!O60&lt;='GENERADO PS locales'!$D220,O60*'SEP ORIGEN'!O60,"Excede capacidad PS")</f>
        <v>0</v>
      </c>
      <c r="P220" s="313">
        <f>IF(P60*'SEP ORIGEN'!P60&lt;='GENERADO PS locales'!$D220,P60*'SEP ORIGEN'!P60,"Excede capacidad PS")</f>
        <v>0</v>
      </c>
      <c r="Q220" s="313">
        <f>IF(Q60*'SEP ORIGEN'!Q60&lt;='GENERADO PS locales'!$D220,Q60*'SEP ORIGEN'!Q60,"Excede capacidad PS")</f>
        <v>0</v>
      </c>
      <c r="R220" s="313">
        <f>IF(R60*'SEP ORIGEN'!R60&lt;='GENERADO PS locales'!$D220,R60*'SEP ORIGEN'!R60,"Excede capacidad PS")</f>
        <v>0</v>
      </c>
      <c r="S220" s="313">
        <f>IF(S60*'SEP ORIGEN'!S60&lt;='GENERADO PS locales'!$D220,S60*'SEP ORIGEN'!S60,"Excede capacidad PS")</f>
        <v>0</v>
      </c>
      <c r="T220" s="313">
        <f>IF(T60*'SEP ORIGEN'!T60&lt;='GENERADO PS locales'!$D220,T60*'SEP ORIGEN'!T60,"Excede capacidad PS")</f>
        <v>0</v>
      </c>
      <c r="U220" s="313">
        <f>IF(U60*'SEP ORIGEN'!U60&lt;='GENERADO PS locales'!$D220,U60*'SEP ORIGEN'!U60,"Excede capacidad PS")</f>
        <v>0</v>
      </c>
      <c r="V220" s="313">
        <f>IF(V60*'SEP ORIGEN'!V60&lt;='GENERADO PS locales'!$D220,V60*'SEP ORIGEN'!V60,"Excede capacidad PS")</f>
        <v>0</v>
      </c>
      <c r="W220" s="313">
        <f>IF(W60*'SEP ORIGEN'!W60&lt;='GENERADO PS locales'!$D220,W60*'SEP ORIGEN'!W60,"Excede capacidad PS")</f>
        <v>0</v>
      </c>
      <c r="X220" s="313">
        <f>IF(X60*'SEP ORIGEN'!X60&lt;='GENERADO PS locales'!$D220,X60*'SEP ORIGEN'!X60,"Excede capacidad PS")</f>
        <v>0</v>
      </c>
      <c r="Y220" s="313">
        <f>IF(Y60*'SEP ORIGEN'!Y60&lt;='GENERADO PS locales'!$D220,Y60*'SEP ORIGEN'!Y60,"Excede capacidad PS")</f>
        <v>0</v>
      </c>
      <c r="Z220" s="313">
        <f>IF(Z60*'SEP ORIGEN'!Z60&lt;='GENERADO PS locales'!$D220,Z60*'SEP ORIGEN'!Z60,"Excede capacidad PS")</f>
        <v>0</v>
      </c>
    </row>
    <row r="221" spans="1:26" ht="24.95" customHeight="1">
      <c r="A221" s="260" t="str">
        <f>+Pobl_adoptada!A61</f>
        <v>Dolores</v>
      </c>
      <c r="B221" s="70">
        <f>+Pobl_adoptada!B61</f>
        <v>57</v>
      </c>
      <c r="C221" s="71" t="str">
        <f>+Pobl_adoptada!C61</f>
        <v>Dolores</v>
      </c>
      <c r="D221" s="311">
        <v>0</v>
      </c>
      <c r="E221" s="278"/>
      <c r="F221" s="263"/>
      <c r="G221" s="313">
        <f>IF(G61*'SEP ORIGEN'!G61&lt;='GENERADO PS locales'!$D221,G61*'SEP ORIGEN'!G61,"Excede capacidad PS")</f>
        <v>0</v>
      </c>
      <c r="H221" s="313">
        <f>IF(H61*'SEP ORIGEN'!H61&lt;='GENERADO PS locales'!$D221,H61*'SEP ORIGEN'!H61,"Excede capacidad PS")</f>
        <v>0</v>
      </c>
      <c r="I221" s="313">
        <f>IF(I61*'SEP ORIGEN'!I61&lt;='GENERADO PS locales'!$D221,I61*'SEP ORIGEN'!I61,"Excede capacidad PS")</f>
        <v>0</v>
      </c>
      <c r="J221" s="313">
        <f>IF(J61*'SEP ORIGEN'!J61&lt;='GENERADO PS locales'!$D221,J61*'SEP ORIGEN'!J61,"Excede capacidad PS")</f>
        <v>0</v>
      </c>
      <c r="K221" s="313">
        <f>IF(K61*'SEP ORIGEN'!K61&lt;='GENERADO PS locales'!$D221,K61*'SEP ORIGEN'!K61,"Excede capacidad PS")</f>
        <v>0</v>
      </c>
      <c r="L221" s="313">
        <f>IF(L61*'SEP ORIGEN'!L61&lt;='GENERADO PS locales'!$D221,L61*'SEP ORIGEN'!L61,"Excede capacidad PS")</f>
        <v>0</v>
      </c>
      <c r="M221" s="313">
        <f>IF(M61*'SEP ORIGEN'!M61&lt;='GENERADO PS locales'!$D221,M61*'SEP ORIGEN'!M61,"Excede capacidad PS")</f>
        <v>0</v>
      </c>
      <c r="N221" s="313">
        <f>IF(N61*'SEP ORIGEN'!N61&lt;='GENERADO PS locales'!$D221,N61*'SEP ORIGEN'!N61,"Excede capacidad PS")</f>
        <v>0</v>
      </c>
      <c r="O221" s="313">
        <f>IF(O61*'SEP ORIGEN'!O61&lt;='GENERADO PS locales'!$D221,O61*'SEP ORIGEN'!O61,"Excede capacidad PS")</f>
        <v>0</v>
      </c>
      <c r="P221" s="313">
        <f>IF(P61*'SEP ORIGEN'!P61&lt;='GENERADO PS locales'!$D221,P61*'SEP ORIGEN'!P61,"Excede capacidad PS")</f>
        <v>0</v>
      </c>
      <c r="Q221" s="313">
        <f>IF(Q61*'SEP ORIGEN'!Q61&lt;='GENERADO PS locales'!$D221,Q61*'SEP ORIGEN'!Q61,"Excede capacidad PS")</f>
        <v>0</v>
      </c>
      <c r="R221" s="313">
        <f>IF(R61*'SEP ORIGEN'!R61&lt;='GENERADO PS locales'!$D221,R61*'SEP ORIGEN'!R61,"Excede capacidad PS")</f>
        <v>0</v>
      </c>
      <c r="S221" s="313">
        <f>IF(S61*'SEP ORIGEN'!S61&lt;='GENERADO PS locales'!$D221,S61*'SEP ORIGEN'!S61,"Excede capacidad PS")</f>
        <v>0</v>
      </c>
      <c r="T221" s="313">
        <f>IF(T61*'SEP ORIGEN'!T61&lt;='GENERADO PS locales'!$D221,T61*'SEP ORIGEN'!T61,"Excede capacidad PS")</f>
        <v>0</v>
      </c>
      <c r="U221" s="313">
        <f>IF(U61*'SEP ORIGEN'!U61&lt;='GENERADO PS locales'!$D221,U61*'SEP ORIGEN'!U61,"Excede capacidad PS")</f>
        <v>0</v>
      </c>
      <c r="V221" s="313">
        <f>IF(V61*'SEP ORIGEN'!V61&lt;='GENERADO PS locales'!$D221,V61*'SEP ORIGEN'!V61,"Excede capacidad PS")</f>
        <v>0</v>
      </c>
      <c r="W221" s="313">
        <f>IF(W61*'SEP ORIGEN'!W61&lt;='GENERADO PS locales'!$D221,W61*'SEP ORIGEN'!W61,"Excede capacidad PS")</f>
        <v>0</v>
      </c>
      <c r="X221" s="313">
        <f>IF(X61*'SEP ORIGEN'!X61&lt;='GENERADO PS locales'!$D221,X61*'SEP ORIGEN'!X61,"Excede capacidad PS")</f>
        <v>0</v>
      </c>
      <c r="Y221" s="313">
        <f>IF(Y61*'SEP ORIGEN'!Y61&lt;='GENERADO PS locales'!$D221,Y61*'SEP ORIGEN'!Y61,"Excede capacidad PS")</f>
        <v>0</v>
      </c>
      <c r="Z221" s="313">
        <f>IF(Z61*'SEP ORIGEN'!Z61&lt;='GENERADO PS locales'!$D221,Z61*'SEP ORIGEN'!Z61,"Excede capacidad PS")</f>
        <v>0</v>
      </c>
    </row>
    <row r="222" spans="1:26" ht="24.95" customHeight="1">
      <c r="A222" s="260" t="str">
        <f>+Pobl_adoptada!A62</f>
        <v>Ensenada</v>
      </c>
      <c r="B222" s="70">
        <f>+Pobl_adoptada!B62</f>
        <v>58</v>
      </c>
      <c r="C222" s="71" t="str">
        <f>+Pobl_adoptada!C62</f>
        <v>Ensenada</v>
      </c>
      <c r="D222" s="311">
        <v>0</v>
      </c>
      <c r="E222" s="278"/>
      <c r="F222" s="263"/>
      <c r="G222" s="313">
        <f>IF(G62*'SEP ORIGEN'!G62&lt;='GENERADO PS locales'!$D222,G62*'SEP ORIGEN'!G62,"Excede capacidad PS")</f>
        <v>0</v>
      </c>
      <c r="H222" s="313">
        <f>IF(H62*'SEP ORIGEN'!H62&lt;='GENERADO PS locales'!$D222,H62*'SEP ORIGEN'!H62,"Excede capacidad PS")</f>
        <v>0</v>
      </c>
      <c r="I222" s="313">
        <f>IF(I62*'SEP ORIGEN'!I62&lt;='GENERADO PS locales'!$D222,I62*'SEP ORIGEN'!I62,"Excede capacidad PS")</f>
        <v>0</v>
      </c>
      <c r="J222" s="313">
        <f>IF(J62*'SEP ORIGEN'!J62&lt;='GENERADO PS locales'!$D222,J62*'SEP ORIGEN'!J62,"Excede capacidad PS")</f>
        <v>0</v>
      </c>
      <c r="K222" s="313">
        <f>IF(K62*'SEP ORIGEN'!K62&lt;='GENERADO PS locales'!$D222,K62*'SEP ORIGEN'!K62,"Excede capacidad PS")</f>
        <v>0</v>
      </c>
      <c r="L222" s="313">
        <f>IF(L62*'SEP ORIGEN'!L62&lt;='GENERADO PS locales'!$D222,L62*'SEP ORIGEN'!L62,"Excede capacidad PS")</f>
        <v>0</v>
      </c>
      <c r="M222" s="313">
        <f>IF(M62*'SEP ORIGEN'!M62&lt;='GENERADO PS locales'!$D222,M62*'SEP ORIGEN'!M62,"Excede capacidad PS")</f>
        <v>0</v>
      </c>
      <c r="N222" s="313">
        <f>IF(N62*'SEP ORIGEN'!N62&lt;='GENERADO PS locales'!$D222,N62*'SEP ORIGEN'!N62,"Excede capacidad PS")</f>
        <v>0</v>
      </c>
      <c r="O222" s="313">
        <f>IF(O62*'SEP ORIGEN'!O62&lt;='GENERADO PS locales'!$D222,O62*'SEP ORIGEN'!O62,"Excede capacidad PS")</f>
        <v>0</v>
      </c>
      <c r="P222" s="313">
        <f>IF(P62*'SEP ORIGEN'!P62&lt;='GENERADO PS locales'!$D222,P62*'SEP ORIGEN'!P62,"Excede capacidad PS")</f>
        <v>0</v>
      </c>
      <c r="Q222" s="313">
        <f>IF(Q62*'SEP ORIGEN'!Q62&lt;='GENERADO PS locales'!$D222,Q62*'SEP ORIGEN'!Q62,"Excede capacidad PS")</f>
        <v>0</v>
      </c>
      <c r="R222" s="313">
        <f>IF(R62*'SEP ORIGEN'!R62&lt;='GENERADO PS locales'!$D222,R62*'SEP ORIGEN'!R62,"Excede capacidad PS")</f>
        <v>0</v>
      </c>
      <c r="S222" s="313">
        <f>IF(S62*'SEP ORIGEN'!S62&lt;='GENERADO PS locales'!$D222,S62*'SEP ORIGEN'!S62,"Excede capacidad PS")</f>
        <v>0</v>
      </c>
      <c r="T222" s="313">
        <f>IF(T62*'SEP ORIGEN'!T62&lt;='GENERADO PS locales'!$D222,T62*'SEP ORIGEN'!T62,"Excede capacidad PS")</f>
        <v>0</v>
      </c>
      <c r="U222" s="313">
        <f>IF(U62*'SEP ORIGEN'!U62&lt;='GENERADO PS locales'!$D222,U62*'SEP ORIGEN'!U62,"Excede capacidad PS")</f>
        <v>0</v>
      </c>
      <c r="V222" s="313">
        <f>IF(V62*'SEP ORIGEN'!V62&lt;='GENERADO PS locales'!$D222,V62*'SEP ORIGEN'!V62,"Excede capacidad PS")</f>
        <v>0</v>
      </c>
      <c r="W222" s="313">
        <f>IF(W62*'SEP ORIGEN'!W62&lt;='GENERADO PS locales'!$D222,W62*'SEP ORIGEN'!W62,"Excede capacidad PS")</f>
        <v>0</v>
      </c>
      <c r="X222" s="313">
        <f>IF(X62*'SEP ORIGEN'!X62&lt;='GENERADO PS locales'!$D222,X62*'SEP ORIGEN'!X62,"Excede capacidad PS")</f>
        <v>0</v>
      </c>
      <c r="Y222" s="313">
        <f>IF(Y62*'SEP ORIGEN'!Y62&lt;='GENERADO PS locales'!$D222,Y62*'SEP ORIGEN'!Y62,"Excede capacidad PS")</f>
        <v>0</v>
      </c>
      <c r="Z222" s="313">
        <f>IF(Z62*'SEP ORIGEN'!Z62&lt;='GENERADO PS locales'!$D222,Z62*'SEP ORIGEN'!Z62,"Excede capacidad PS")</f>
        <v>0</v>
      </c>
    </row>
    <row r="223" spans="1:26" ht="24.95" customHeight="1">
      <c r="A223" s="260" t="str">
        <f>+Pobl_adoptada!A63</f>
        <v>Escobar</v>
      </c>
      <c r="B223" s="70">
        <f>+Pobl_adoptada!B63</f>
        <v>59</v>
      </c>
      <c r="C223" s="71" t="str">
        <f>+Pobl_adoptada!C63</f>
        <v>Escobar</v>
      </c>
      <c r="D223" s="311">
        <v>0</v>
      </c>
      <c r="E223" s="278"/>
      <c r="F223" s="263"/>
      <c r="G223" s="313">
        <f>IF(G63*'SEP ORIGEN'!G63&lt;='GENERADO PS locales'!$D223,G63*'SEP ORIGEN'!G63,"Excede capacidad PS")</f>
        <v>0</v>
      </c>
      <c r="H223" s="313">
        <f>IF(H63*'SEP ORIGEN'!H63&lt;='GENERADO PS locales'!$D223,H63*'SEP ORIGEN'!H63,"Excede capacidad PS")</f>
        <v>0</v>
      </c>
      <c r="I223" s="313">
        <f>IF(I63*'SEP ORIGEN'!I63&lt;='GENERADO PS locales'!$D223,I63*'SEP ORIGEN'!I63,"Excede capacidad PS")</f>
        <v>0</v>
      </c>
      <c r="J223" s="313">
        <f>IF(J63*'SEP ORIGEN'!J63&lt;='GENERADO PS locales'!$D223,J63*'SEP ORIGEN'!J63,"Excede capacidad PS")</f>
        <v>0</v>
      </c>
      <c r="K223" s="313">
        <f>IF(K63*'SEP ORIGEN'!K63&lt;='GENERADO PS locales'!$D223,K63*'SEP ORIGEN'!K63,"Excede capacidad PS")</f>
        <v>0</v>
      </c>
      <c r="L223" s="313">
        <f>IF(L63*'SEP ORIGEN'!L63&lt;='GENERADO PS locales'!$D223,L63*'SEP ORIGEN'!L63,"Excede capacidad PS")</f>
        <v>0</v>
      </c>
      <c r="M223" s="313">
        <f>IF(M63*'SEP ORIGEN'!M63&lt;='GENERADO PS locales'!$D223,M63*'SEP ORIGEN'!M63,"Excede capacidad PS")</f>
        <v>0</v>
      </c>
      <c r="N223" s="313">
        <f>IF(N63*'SEP ORIGEN'!N63&lt;='GENERADO PS locales'!$D223,N63*'SEP ORIGEN'!N63,"Excede capacidad PS")</f>
        <v>0</v>
      </c>
      <c r="O223" s="313">
        <f>IF(O63*'SEP ORIGEN'!O63&lt;='GENERADO PS locales'!$D223,O63*'SEP ORIGEN'!O63,"Excede capacidad PS")</f>
        <v>0</v>
      </c>
      <c r="P223" s="313">
        <f>IF(P63*'SEP ORIGEN'!P63&lt;='GENERADO PS locales'!$D223,P63*'SEP ORIGEN'!P63,"Excede capacidad PS")</f>
        <v>0</v>
      </c>
      <c r="Q223" s="313">
        <f>IF(Q63*'SEP ORIGEN'!Q63&lt;='GENERADO PS locales'!$D223,Q63*'SEP ORIGEN'!Q63,"Excede capacidad PS")</f>
        <v>0</v>
      </c>
      <c r="R223" s="313">
        <f>IF(R63*'SEP ORIGEN'!R63&lt;='GENERADO PS locales'!$D223,R63*'SEP ORIGEN'!R63,"Excede capacidad PS")</f>
        <v>0</v>
      </c>
      <c r="S223" s="313">
        <f>IF(S63*'SEP ORIGEN'!S63&lt;='GENERADO PS locales'!$D223,S63*'SEP ORIGEN'!S63,"Excede capacidad PS")</f>
        <v>0</v>
      </c>
      <c r="T223" s="313">
        <f>IF(T63*'SEP ORIGEN'!T63&lt;='GENERADO PS locales'!$D223,T63*'SEP ORIGEN'!T63,"Excede capacidad PS")</f>
        <v>0</v>
      </c>
      <c r="U223" s="313">
        <f>IF(U63*'SEP ORIGEN'!U63&lt;='GENERADO PS locales'!$D223,U63*'SEP ORIGEN'!U63,"Excede capacidad PS")</f>
        <v>0</v>
      </c>
      <c r="V223" s="313">
        <f>IF(V63*'SEP ORIGEN'!V63&lt;='GENERADO PS locales'!$D223,V63*'SEP ORIGEN'!V63,"Excede capacidad PS")</f>
        <v>0</v>
      </c>
      <c r="W223" s="313">
        <f>IF(W63*'SEP ORIGEN'!W63&lt;='GENERADO PS locales'!$D223,W63*'SEP ORIGEN'!W63,"Excede capacidad PS")</f>
        <v>0</v>
      </c>
      <c r="X223" s="313">
        <f>IF(X63*'SEP ORIGEN'!X63&lt;='GENERADO PS locales'!$D223,X63*'SEP ORIGEN'!X63,"Excede capacidad PS")</f>
        <v>0</v>
      </c>
      <c r="Y223" s="313">
        <f>IF(Y63*'SEP ORIGEN'!Y63&lt;='GENERADO PS locales'!$D223,Y63*'SEP ORIGEN'!Y63,"Excede capacidad PS")</f>
        <v>0</v>
      </c>
      <c r="Z223" s="313">
        <f>IF(Z63*'SEP ORIGEN'!Z63&lt;='GENERADO PS locales'!$D223,Z63*'SEP ORIGEN'!Z63,"Excede capacidad PS")</f>
        <v>0</v>
      </c>
    </row>
    <row r="224" spans="1:26" ht="24.95" customHeight="1">
      <c r="A224" s="260" t="str">
        <f>+Pobl_adoptada!A64</f>
        <v>Exaltación de la Cruz</v>
      </c>
      <c r="B224" s="70">
        <f>+Pobl_adoptada!B64</f>
        <v>60</v>
      </c>
      <c r="C224" s="71" t="str">
        <f>+Pobl_adoptada!C64</f>
        <v>Capilla del Señor</v>
      </c>
      <c r="D224" s="311">
        <v>0</v>
      </c>
      <c r="E224" s="278"/>
      <c r="F224" s="263"/>
      <c r="G224" s="313">
        <f>IF(G64*'SEP ORIGEN'!G64&lt;='GENERADO PS locales'!$D224,G64*'SEP ORIGEN'!G64,"Excede capacidad PS")</f>
        <v>0</v>
      </c>
      <c r="H224" s="313">
        <f>IF(H64*'SEP ORIGEN'!H64&lt;='GENERADO PS locales'!$D224,H64*'SEP ORIGEN'!H64,"Excede capacidad PS")</f>
        <v>0</v>
      </c>
      <c r="I224" s="313">
        <f>IF(I64*'SEP ORIGEN'!I64&lt;='GENERADO PS locales'!$D224,I64*'SEP ORIGEN'!I64,"Excede capacidad PS")</f>
        <v>0</v>
      </c>
      <c r="J224" s="313">
        <f>IF(J64*'SEP ORIGEN'!J64&lt;='GENERADO PS locales'!$D224,J64*'SEP ORIGEN'!J64,"Excede capacidad PS")</f>
        <v>0</v>
      </c>
      <c r="K224" s="313">
        <f>IF(K64*'SEP ORIGEN'!K64&lt;='GENERADO PS locales'!$D224,K64*'SEP ORIGEN'!K64,"Excede capacidad PS")</f>
        <v>0</v>
      </c>
      <c r="L224" s="313">
        <f>IF(L64*'SEP ORIGEN'!L64&lt;='GENERADO PS locales'!$D224,L64*'SEP ORIGEN'!L64,"Excede capacidad PS")</f>
        <v>0</v>
      </c>
      <c r="M224" s="313">
        <f>IF(M64*'SEP ORIGEN'!M64&lt;='GENERADO PS locales'!$D224,M64*'SEP ORIGEN'!M64,"Excede capacidad PS")</f>
        <v>0</v>
      </c>
      <c r="N224" s="313">
        <f>IF(N64*'SEP ORIGEN'!N64&lt;='GENERADO PS locales'!$D224,N64*'SEP ORIGEN'!N64,"Excede capacidad PS")</f>
        <v>0</v>
      </c>
      <c r="O224" s="313">
        <f>IF(O64*'SEP ORIGEN'!O64&lt;='GENERADO PS locales'!$D224,O64*'SEP ORIGEN'!O64,"Excede capacidad PS")</f>
        <v>0</v>
      </c>
      <c r="P224" s="313">
        <f>IF(P64*'SEP ORIGEN'!P64&lt;='GENERADO PS locales'!$D224,P64*'SEP ORIGEN'!P64,"Excede capacidad PS")</f>
        <v>0</v>
      </c>
      <c r="Q224" s="313">
        <f>IF(Q64*'SEP ORIGEN'!Q64&lt;='GENERADO PS locales'!$D224,Q64*'SEP ORIGEN'!Q64,"Excede capacidad PS")</f>
        <v>0</v>
      </c>
      <c r="R224" s="313">
        <f>IF(R64*'SEP ORIGEN'!R64&lt;='GENERADO PS locales'!$D224,R64*'SEP ORIGEN'!R64,"Excede capacidad PS")</f>
        <v>0</v>
      </c>
      <c r="S224" s="313">
        <f>IF(S64*'SEP ORIGEN'!S64&lt;='GENERADO PS locales'!$D224,S64*'SEP ORIGEN'!S64,"Excede capacidad PS")</f>
        <v>0</v>
      </c>
      <c r="T224" s="313">
        <f>IF(T64*'SEP ORIGEN'!T64&lt;='GENERADO PS locales'!$D224,T64*'SEP ORIGEN'!T64,"Excede capacidad PS")</f>
        <v>0</v>
      </c>
      <c r="U224" s="313">
        <f>IF(U64*'SEP ORIGEN'!U64&lt;='GENERADO PS locales'!$D224,U64*'SEP ORIGEN'!U64,"Excede capacidad PS")</f>
        <v>0</v>
      </c>
      <c r="V224" s="313">
        <f>IF(V64*'SEP ORIGEN'!V64&lt;='GENERADO PS locales'!$D224,V64*'SEP ORIGEN'!V64,"Excede capacidad PS")</f>
        <v>0</v>
      </c>
      <c r="W224" s="313">
        <f>IF(W64*'SEP ORIGEN'!W64&lt;='GENERADO PS locales'!$D224,W64*'SEP ORIGEN'!W64,"Excede capacidad PS")</f>
        <v>0</v>
      </c>
      <c r="X224" s="313">
        <f>IF(X64*'SEP ORIGEN'!X64&lt;='GENERADO PS locales'!$D224,X64*'SEP ORIGEN'!X64,"Excede capacidad PS")</f>
        <v>0</v>
      </c>
      <c r="Y224" s="313">
        <f>IF(Y64*'SEP ORIGEN'!Y64&lt;='GENERADO PS locales'!$D224,Y64*'SEP ORIGEN'!Y64,"Excede capacidad PS")</f>
        <v>0</v>
      </c>
      <c r="Z224" s="313">
        <f>IF(Z64*'SEP ORIGEN'!Z64&lt;='GENERADO PS locales'!$D224,Z64*'SEP ORIGEN'!Z64,"Excede capacidad PS")</f>
        <v>0</v>
      </c>
    </row>
    <row r="225" spans="1:26" ht="24.95" customHeight="1">
      <c r="A225" s="260" t="str">
        <f>+Pobl_adoptada!A65</f>
        <v>Florentino Ameghino</v>
      </c>
      <c r="B225" s="70">
        <f>+Pobl_adoptada!B65</f>
        <v>61</v>
      </c>
      <c r="C225" s="71" t="str">
        <f>+Pobl_adoptada!C65</f>
        <v>Florentino Ameghino</v>
      </c>
      <c r="D225" s="311">
        <v>0</v>
      </c>
      <c r="E225" s="278"/>
      <c r="F225" s="263"/>
      <c r="G225" s="313">
        <f>IF(G65*'SEP ORIGEN'!G65&lt;='GENERADO PS locales'!$D225,G65*'SEP ORIGEN'!G65,"Excede capacidad PS")</f>
        <v>0</v>
      </c>
      <c r="H225" s="313">
        <f>IF(H65*'SEP ORIGEN'!H65&lt;='GENERADO PS locales'!$D225,H65*'SEP ORIGEN'!H65,"Excede capacidad PS")</f>
        <v>0</v>
      </c>
      <c r="I225" s="313">
        <f>IF(I65*'SEP ORIGEN'!I65&lt;='GENERADO PS locales'!$D225,I65*'SEP ORIGEN'!I65,"Excede capacidad PS")</f>
        <v>0</v>
      </c>
      <c r="J225" s="313">
        <f>IF(J65*'SEP ORIGEN'!J65&lt;='GENERADO PS locales'!$D225,J65*'SEP ORIGEN'!J65,"Excede capacidad PS")</f>
        <v>0</v>
      </c>
      <c r="K225" s="313">
        <f>IF(K65*'SEP ORIGEN'!K65&lt;='GENERADO PS locales'!$D225,K65*'SEP ORIGEN'!K65,"Excede capacidad PS")</f>
        <v>0</v>
      </c>
      <c r="L225" s="313">
        <f>IF(L65*'SEP ORIGEN'!L65&lt;='GENERADO PS locales'!$D225,L65*'SEP ORIGEN'!L65,"Excede capacidad PS")</f>
        <v>0</v>
      </c>
      <c r="M225" s="313">
        <f>IF(M65*'SEP ORIGEN'!M65&lt;='GENERADO PS locales'!$D225,M65*'SEP ORIGEN'!M65,"Excede capacidad PS")</f>
        <v>0</v>
      </c>
      <c r="N225" s="313">
        <f>IF(N65*'SEP ORIGEN'!N65&lt;='GENERADO PS locales'!$D225,N65*'SEP ORIGEN'!N65,"Excede capacidad PS")</f>
        <v>0</v>
      </c>
      <c r="O225" s="313">
        <f>IF(O65*'SEP ORIGEN'!O65&lt;='GENERADO PS locales'!$D225,O65*'SEP ORIGEN'!O65,"Excede capacidad PS")</f>
        <v>0</v>
      </c>
      <c r="P225" s="313">
        <f>IF(P65*'SEP ORIGEN'!P65&lt;='GENERADO PS locales'!$D225,P65*'SEP ORIGEN'!P65,"Excede capacidad PS")</f>
        <v>0</v>
      </c>
      <c r="Q225" s="313">
        <f>IF(Q65*'SEP ORIGEN'!Q65&lt;='GENERADO PS locales'!$D225,Q65*'SEP ORIGEN'!Q65,"Excede capacidad PS")</f>
        <v>0</v>
      </c>
      <c r="R225" s="313">
        <f>IF(R65*'SEP ORIGEN'!R65&lt;='GENERADO PS locales'!$D225,R65*'SEP ORIGEN'!R65,"Excede capacidad PS")</f>
        <v>0</v>
      </c>
      <c r="S225" s="313">
        <f>IF(S65*'SEP ORIGEN'!S65&lt;='GENERADO PS locales'!$D225,S65*'SEP ORIGEN'!S65,"Excede capacidad PS")</f>
        <v>0</v>
      </c>
      <c r="T225" s="313">
        <f>IF(T65*'SEP ORIGEN'!T65&lt;='GENERADO PS locales'!$D225,T65*'SEP ORIGEN'!T65,"Excede capacidad PS")</f>
        <v>0</v>
      </c>
      <c r="U225" s="313">
        <f>IF(U65*'SEP ORIGEN'!U65&lt;='GENERADO PS locales'!$D225,U65*'SEP ORIGEN'!U65,"Excede capacidad PS")</f>
        <v>0</v>
      </c>
      <c r="V225" s="313">
        <f>IF(V65*'SEP ORIGEN'!V65&lt;='GENERADO PS locales'!$D225,V65*'SEP ORIGEN'!V65,"Excede capacidad PS")</f>
        <v>0</v>
      </c>
      <c r="W225" s="313">
        <f>IF(W65*'SEP ORIGEN'!W65&lt;='GENERADO PS locales'!$D225,W65*'SEP ORIGEN'!W65,"Excede capacidad PS")</f>
        <v>0</v>
      </c>
      <c r="X225" s="313">
        <f>IF(X65*'SEP ORIGEN'!X65&lt;='GENERADO PS locales'!$D225,X65*'SEP ORIGEN'!X65,"Excede capacidad PS")</f>
        <v>0</v>
      </c>
      <c r="Y225" s="313">
        <f>IF(Y65*'SEP ORIGEN'!Y65&lt;='GENERADO PS locales'!$D225,Y65*'SEP ORIGEN'!Y65,"Excede capacidad PS")</f>
        <v>0</v>
      </c>
      <c r="Z225" s="313">
        <f>IF(Z65*'SEP ORIGEN'!Z65&lt;='GENERADO PS locales'!$D225,Z65*'SEP ORIGEN'!Z65,"Excede capacidad PS")</f>
        <v>0</v>
      </c>
    </row>
    <row r="226" spans="1:26" ht="24.95" customHeight="1">
      <c r="A226" s="260" t="str">
        <f>+Pobl_adoptada!A66</f>
        <v>General Alvarado</v>
      </c>
      <c r="B226" s="70">
        <f>+Pobl_adoptada!B66</f>
        <v>62</v>
      </c>
      <c r="C226" s="71" t="str">
        <f>+Pobl_adoptada!C66</f>
        <v>Miramar</v>
      </c>
      <c r="D226" s="311">
        <v>0</v>
      </c>
      <c r="E226" s="278"/>
      <c r="F226" s="263"/>
      <c r="G226" s="313">
        <f>IF(G66*'SEP ORIGEN'!G66&lt;='GENERADO PS locales'!$D226,G66*'SEP ORIGEN'!G66,"Excede capacidad PS")</f>
        <v>0</v>
      </c>
      <c r="H226" s="313">
        <f>IF(H66*'SEP ORIGEN'!H66&lt;='GENERADO PS locales'!$D226,H66*'SEP ORIGEN'!H66,"Excede capacidad PS")</f>
        <v>0</v>
      </c>
      <c r="I226" s="313">
        <f>IF(I66*'SEP ORIGEN'!I66&lt;='GENERADO PS locales'!$D226,I66*'SEP ORIGEN'!I66,"Excede capacidad PS")</f>
        <v>0</v>
      </c>
      <c r="J226" s="313">
        <f>IF(J66*'SEP ORIGEN'!J66&lt;='GENERADO PS locales'!$D226,J66*'SEP ORIGEN'!J66,"Excede capacidad PS")</f>
        <v>0</v>
      </c>
      <c r="K226" s="313">
        <f>IF(K66*'SEP ORIGEN'!K66&lt;='GENERADO PS locales'!$D226,K66*'SEP ORIGEN'!K66,"Excede capacidad PS")</f>
        <v>0</v>
      </c>
      <c r="L226" s="313">
        <f>IF(L66*'SEP ORIGEN'!L66&lt;='GENERADO PS locales'!$D226,L66*'SEP ORIGEN'!L66,"Excede capacidad PS")</f>
        <v>0</v>
      </c>
      <c r="M226" s="313">
        <f>IF(M66*'SEP ORIGEN'!M66&lt;='GENERADO PS locales'!$D226,M66*'SEP ORIGEN'!M66,"Excede capacidad PS")</f>
        <v>0</v>
      </c>
      <c r="N226" s="313">
        <f>IF(N66*'SEP ORIGEN'!N66&lt;='GENERADO PS locales'!$D226,N66*'SEP ORIGEN'!N66,"Excede capacidad PS")</f>
        <v>0</v>
      </c>
      <c r="O226" s="313">
        <f>IF(O66*'SEP ORIGEN'!O66&lt;='GENERADO PS locales'!$D226,O66*'SEP ORIGEN'!O66,"Excede capacidad PS")</f>
        <v>0</v>
      </c>
      <c r="P226" s="313">
        <f>IF(P66*'SEP ORIGEN'!P66&lt;='GENERADO PS locales'!$D226,P66*'SEP ORIGEN'!P66,"Excede capacidad PS")</f>
        <v>0</v>
      </c>
      <c r="Q226" s="313">
        <f>IF(Q66*'SEP ORIGEN'!Q66&lt;='GENERADO PS locales'!$D226,Q66*'SEP ORIGEN'!Q66,"Excede capacidad PS")</f>
        <v>0</v>
      </c>
      <c r="R226" s="313">
        <f>IF(R66*'SEP ORIGEN'!R66&lt;='GENERADO PS locales'!$D226,R66*'SEP ORIGEN'!R66,"Excede capacidad PS")</f>
        <v>0</v>
      </c>
      <c r="S226" s="313">
        <f>IF(S66*'SEP ORIGEN'!S66&lt;='GENERADO PS locales'!$D226,S66*'SEP ORIGEN'!S66,"Excede capacidad PS")</f>
        <v>0</v>
      </c>
      <c r="T226" s="313">
        <f>IF(T66*'SEP ORIGEN'!T66&lt;='GENERADO PS locales'!$D226,T66*'SEP ORIGEN'!T66,"Excede capacidad PS")</f>
        <v>0</v>
      </c>
      <c r="U226" s="313">
        <f>IF(U66*'SEP ORIGEN'!U66&lt;='GENERADO PS locales'!$D226,U66*'SEP ORIGEN'!U66,"Excede capacidad PS")</f>
        <v>0</v>
      </c>
      <c r="V226" s="313">
        <f>IF(V66*'SEP ORIGEN'!V66&lt;='GENERADO PS locales'!$D226,V66*'SEP ORIGEN'!V66,"Excede capacidad PS")</f>
        <v>0</v>
      </c>
      <c r="W226" s="313">
        <f>IF(W66*'SEP ORIGEN'!W66&lt;='GENERADO PS locales'!$D226,W66*'SEP ORIGEN'!W66,"Excede capacidad PS")</f>
        <v>0</v>
      </c>
      <c r="X226" s="313">
        <f>IF(X66*'SEP ORIGEN'!X66&lt;='GENERADO PS locales'!$D226,X66*'SEP ORIGEN'!X66,"Excede capacidad PS")</f>
        <v>0</v>
      </c>
      <c r="Y226" s="313">
        <f>IF(Y66*'SEP ORIGEN'!Y66&lt;='GENERADO PS locales'!$D226,Y66*'SEP ORIGEN'!Y66,"Excede capacidad PS")</f>
        <v>0</v>
      </c>
      <c r="Z226" s="313">
        <f>IF(Z66*'SEP ORIGEN'!Z66&lt;='GENERADO PS locales'!$D226,Z66*'SEP ORIGEN'!Z66,"Excede capacidad PS")</f>
        <v>0</v>
      </c>
    </row>
    <row r="227" spans="1:26" ht="24.95" customHeight="1">
      <c r="A227" s="260" t="str">
        <f>+Pobl_adoptada!A67</f>
        <v>General Alvear</v>
      </c>
      <c r="B227" s="70">
        <f>+Pobl_adoptada!B67</f>
        <v>63</v>
      </c>
      <c r="C227" s="71" t="str">
        <f>+Pobl_adoptada!C67</f>
        <v>General Alvear</v>
      </c>
      <c r="D227" s="311">
        <v>0</v>
      </c>
      <c r="E227" s="278"/>
      <c r="F227" s="263"/>
      <c r="G227" s="313">
        <f>IF(G67*'SEP ORIGEN'!G67&lt;='GENERADO PS locales'!$D227,G67*'SEP ORIGEN'!G67,"Excede capacidad PS")</f>
        <v>0</v>
      </c>
      <c r="H227" s="313">
        <f>IF(H67*'SEP ORIGEN'!H67&lt;='GENERADO PS locales'!$D227,H67*'SEP ORIGEN'!H67,"Excede capacidad PS")</f>
        <v>0</v>
      </c>
      <c r="I227" s="313">
        <f>IF(I67*'SEP ORIGEN'!I67&lt;='GENERADO PS locales'!$D227,I67*'SEP ORIGEN'!I67,"Excede capacidad PS")</f>
        <v>0</v>
      </c>
      <c r="J227" s="313">
        <f>IF(J67*'SEP ORIGEN'!J67&lt;='GENERADO PS locales'!$D227,J67*'SEP ORIGEN'!J67,"Excede capacidad PS")</f>
        <v>0</v>
      </c>
      <c r="K227" s="313">
        <f>IF(K67*'SEP ORIGEN'!K67&lt;='GENERADO PS locales'!$D227,K67*'SEP ORIGEN'!K67,"Excede capacidad PS")</f>
        <v>0</v>
      </c>
      <c r="L227" s="313">
        <f>IF(L67*'SEP ORIGEN'!L67&lt;='GENERADO PS locales'!$D227,L67*'SEP ORIGEN'!L67,"Excede capacidad PS")</f>
        <v>0</v>
      </c>
      <c r="M227" s="313">
        <f>IF(M67*'SEP ORIGEN'!M67&lt;='GENERADO PS locales'!$D227,M67*'SEP ORIGEN'!M67,"Excede capacidad PS")</f>
        <v>0</v>
      </c>
      <c r="N227" s="313">
        <f>IF(N67*'SEP ORIGEN'!N67&lt;='GENERADO PS locales'!$D227,N67*'SEP ORIGEN'!N67,"Excede capacidad PS")</f>
        <v>0</v>
      </c>
      <c r="O227" s="313">
        <f>IF(O67*'SEP ORIGEN'!O67&lt;='GENERADO PS locales'!$D227,O67*'SEP ORIGEN'!O67,"Excede capacidad PS")</f>
        <v>0</v>
      </c>
      <c r="P227" s="313">
        <f>IF(P67*'SEP ORIGEN'!P67&lt;='GENERADO PS locales'!$D227,P67*'SEP ORIGEN'!P67,"Excede capacidad PS")</f>
        <v>0</v>
      </c>
      <c r="Q227" s="313">
        <f>IF(Q67*'SEP ORIGEN'!Q67&lt;='GENERADO PS locales'!$D227,Q67*'SEP ORIGEN'!Q67,"Excede capacidad PS")</f>
        <v>0</v>
      </c>
      <c r="R227" s="313">
        <f>IF(R67*'SEP ORIGEN'!R67&lt;='GENERADO PS locales'!$D227,R67*'SEP ORIGEN'!R67,"Excede capacidad PS")</f>
        <v>0</v>
      </c>
      <c r="S227" s="313">
        <f>IF(S67*'SEP ORIGEN'!S67&lt;='GENERADO PS locales'!$D227,S67*'SEP ORIGEN'!S67,"Excede capacidad PS")</f>
        <v>0</v>
      </c>
      <c r="T227" s="313">
        <f>IF(T67*'SEP ORIGEN'!T67&lt;='GENERADO PS locales'!$D227,T67*'SEP ORIGEN'!T67,"Excede capacidad PS")</f>
        <v>0</v>
      </c>
      <c r="U227" s="313">
        <f>IF(U67*'SEP ORIGEN'!U67&lt;='GENERADO PS locales'!$D227,U67*'SEP ORIGEN'!U67,"Excede capacidad PS")</f>
        <v>0</v>
      </c>
      <c r="V227" s="313">
        <f>IF(V67*'SEP ORIGEN'!V67&lt;='GENERADO PS locales'!$D227,V67*'SEP ORIGEN'!V67,"Excede capacidad PS")</f>
        <v>0</v>
      </c>
      <c r="W227" s="313">
        <f>IF(W67*'SEP ORIGEN'!W67&lt;='GENERADO PS locales'!$D227,W67*'SEP ORIGEN'!W67,"Excede capacidad PS")</f>
        <v>0</v>
      </c>
      <c r="X227" s="313">
        <f>IF(X67*'SEP ORIGEN'!X67&lt;='GENERADO PS locales'!$D227,X67*'SEP ORIGEN'!X67,"Excede capacidad PS")</f>
        <v>0</v>
      </c>
      <c r="Y227" s="313">
        <f>IF(Y67*'SEP ORIGEN'!Y67&lt;='GENERADO PS locales'!$D227,Y67*'SEP ORIGEN'!Y67,"Excede capacidad PS")</f>
        <v>0</v>
      </c>
      <c r="Z227" s="313">
        <f>IF(Z67*'SEP ORIGEN'!Z67&lt;='GENERADO PS locales'!$D227,Z67*'SEP ORIGEN'!Z67,"Excede capacidad PS")</f>
        <v>0</v>
      </c>
    </row>
    <row r="228" spans="1:26" ht="24.95" customHeight="1">
      <c r="A228" s="260" t="str">
        <f>+Pobl_adoptada!A68</f>
        <v>General Arenales</v>
      </c>
      <c r="B228" s="70">
        <f>+Pobl_adoptada!B68</f>
        <v>64</v>
      </c>
      <c r="C228" s="71" t="str">
        <f>+Pobl_adoptada!C68</f>
        <v>General Arenales</v>
      </c>
      <c r="D228" s="311">
        <v>0</v>
      </c>
      <c r="E228" s="278"/>
      <c r="F228" s="263"/>
      <c r="G228" s="313">
        <f>IF(G68*'SEP ORIGEN'!G68&lt;='GENERADO PS locales'!$D228,G68*'SEP ORIGEN'!G68,"Excede capacidad PS")</f>
        <v>0</v>
      </c>
      <c r="H228" s="313">
        <f>IF(H68*'SEP ORIGEN'!H68&lt;='GENERADO PS locales'!$D228,H68*'SEP ORIGEN'!H68,"Excede capacidad PS")</f>
        <v>0</v>
      </c>
      <c r="I228" s="313">
        <f>IF(I68*'SEP ORIGEN'!I68&lt;='GENERADO PS locales'!$D228,I68*'SEP ORIGEN'!I68,"Excede capacidad PS")</f>
        <v>0</v>
      </c>
      <c r="J228" s="313">
        <f>IF(J68*'SEP ORIGEN'!J68&lt;='GENERADO PS locales'!$D228,J68*'SEP ORIGEN'!J68,"Excede capacidad PS")</f>
        <v>0</v>
      </c>
      <c r="K228" s="313">
        <f>IF(K68*'SEP ORIGEN'!K68&lt;='GENERADO PS locales'!$D228,K68*'SEP ORIGEN'!K68,"Excede capacidad PS")</f>
        <v>0</v>
      </c>
      <c r="L228" s="313">
        <f>IF(L68*'SEP ORIGEN'!L68&lt;='GENERADO PS locales'!$D228,L68*'SEP ORIGEN'!L68,"Excede capacidad PS")</f>
        <v>0</v>
      </c>
      <c r="M228" s="313">
        <f>IF(M68*'SEP ORIGEN'!M68&lt;='GENERADO PS locales'!$D228,M68*'SEP ORIGEN'!M68,"Excede capacidad PS")</f>
        <v>0</v>
      </c>
      <c r="N228" s="313">
        <f>IF(N68*'SEP ORIGEN'!N68&lt;='GENERADO PS locales'!$D228,N68*'SEP ORIGEN'!N68,"Excede capacidad PS")</f>
        <v>0</v>
      </c>
      <c r="O228" s="313">
        <f>IF(O68*'SEP ORIGEN'!O68&lt;='GENERADO PS locales'!$D228,O68*'SEP ORIGEN'!O68,"Excede capacidad PS")</f>
        <v>0</v>
      </c>
      <c r="P228" s="313">
        <f>IF(P68*'SEP ORIGEN'!P68&lt;='GENERADO PS locales'!$D228,P68*'SEP ORIGEN'!P68,"Excede capacidad PS")</f>
        <v>0</v>
      </c>
      <c r="Q228" s="313">
        <f>IF(Q68*'SEP ORIGEN'!Q68&lt;='GENERADO PS locales'!$D228,Q68*'SEP ORIGEN'!Q68,"Excede capacidad PS")</f>
        <v>0</v>
      </c>
      <c r="R228" s="313">
        <f>IF(R68*'SEP ORIGEN'!R68&lt;='GENERADO PS locales'!$D228,R68*'SEP ORIGEN'!R68,"Excede capacidad PS")</f>
        <v>0</v>
      </c>
      <c r="S228" s="313">
        <f>IF(S68*'SEP ORIGEN'!S68&lt;='GENERADO PS locales'!$D228,S68*'SEP ORIGEN'!S68,"Excede capacidad PS")</f>
        <v>0</v>
      </c>
      <c r="T228" s="313">
        <f>IF(T68*'SEP ORIGEN'!T68&lt;='GENERADO PS locales'!$D228,T68*'SEP ORIGEN'!T68,"Excede capacidad PS")</f>
        <v>0</v>
      </c>
      <c r="U228" s="313">
        <f>IF(U68*'SEP ORIGEN'!U68&lt;='GENERADO PS locales'!$D228,U68*'SEP ORIGEN'!U68,"Excede capacidad PS")</f>
        <v>0</v>
      </c>
      <c r="V228" s="313">
        <f>IF(V68*'SEP ORIGEN'!V68&lt;='GENERADO PS locales'!$D228,V68*'SEP ORIGEN'!V68,"Excede capacidad PS")</f>
        <v>0</v>
      </c>
      <c r="W228" s="313">
        <f>IF(W68*'SEP ORIGEN'!W68&lt;='GENERADO PS locales'!$D228,W68*'SEP ORIGEN'!W68,"Excede capacidad PS")</f>
        <v>0</v>
      </c>
      <c r="X228" s="313">
        <f>IF(X68*'SEP ORIGEN'!X68&lt;='GENERADO PS locales'!$D228,X68*'SEP ORIGEN'!X68,"Excede capacidad PS")</f>
        <v>0</v>
      </c>
      <c r="Y228" s="313">
        <f>IF(Y68*'SEP ORIGEN'!Y68&lt;='GENERADO PS locales'!$D228,Y68*'SEP ORIGEN'!Y68,"Excede capacidad PS")</f>
        <v>0</v>
      </c>
      <c r="Z228" s="313">
        <f>IF(Z68*'SEP ORIGEN'!Z68&lt;='GENERADO PS locales'!$D228,Z68*'SEP ORIGEN'!Z68,"Excede capacidad PS")</f>
        <v>0</v>
      </c>
    </row>
    <row r="229" spans="1:26" ht="24.95" customHeight="1">
      <c r="A229" s="260" t="str">
        <f>+Pobl_adoptada!A69</f>
        <v>General Belgrano</v>
      </c>
      <c r="B229" s="70">
        <f>+Pobl_adoptada!B69</f>
        <v>65</v>
      </c>
      <c r="C229" s="71" t="str">
        <f>+Pobl_adoptada!C69</f>
        <v>General Belgrano</v>
      </c>
      <c r="D229" s="311">
        <v>0</v>
      </c>
      <c r="E229" s="278"/>
      <c r="F229" s="263"/>
      <c r="G229" s="313">
        <f>IF(G69*'SEP ORIGEN'!G69&lt;='GENERADO PS locales'!$D229,G69*'SEP ORIGEN'!G69,"Excede capacidad PS")</f>
        <v>0</v>
      </c>
      <c r="H229" s="313">
        <f>IF(H69*'SEP ORIGEN'!H69&lt;='GENERADO PS locales'!$D229,H69*'SEP ORIGEN'!H69,"Excede capacidad PS")</f>
        <v>0</v>
      </c>
      <c r="I229" s="313">
        <f>IF(I69*'SEP ORIGEN'!I69&lt;='GENERADO PS locales'!$D229,I69*'SEP ORIGEN'!I69,"Excede capacidad PS")</f>
        <v>0</v>
      </c>
      <c r="J229" s="313">
        <f>IF(J69*'SEP ORIGEN'!J69&lt;='GENERADO PS locales'!$D229,J69*'SEP ORIGEN'!J69,"Excede capacidad PS")</f>
        <v>0</v>
      </c>
      <c r="K229" s="313">
        <f>IF(K69*'SEP ORIGEN'!K69&lt;='GENERADO PS locales'!$D229,K69*'SEP ORIGEN'!K69,"Excede capacidad PS")</f>
        <v>0</v>
      </c>
      <c r="L229" s="313">
        <f>IF(L69*'SEP ORIGEN'!L69&lt;='GENERADO PS locales'!$D229,L69*'SEP ORIGEN'!L69,"Excede capacidad PS")</f>
        <v>0</v>
      </c>
      <c r="M229" s="313">
        <f>IF(M69*'SEP ORIGEN'!M69&lt;='GENERADO PS locales'!$D229,M69*'SEP ORIGEN'!M69,"Excede capacidad PS")</f>
        <v>0</v>
      </c>
      <c r="N229" s="313">
        <f>IF(N69*'SEP ORIGEN'!N69&lt;='GENERADO PS locales'!$D229,N69*'SEP ORIGEN'!N69,"Excede capacidad PS")</f>
        <v>0</v>
      </c>
      <c r="O229" s="313">
        <f>IF(O69*'SEP ORIGEN'!O69&lt;='GENERADO PS locales'!$D229,O69*'SEP ORIGEN'!O69,"Excede capacidad PS")</f>
        <v>0</v>
      </c>
      <c r="P229" s="313">
        <f>IF(P69*'SEP ORIGEN'!P69&lt;='GENERADO PS locales'!$D229,P69*'SEP ORIGEN'!P69,"Excede capacidad PS")</f>
        <v>0</v>
      </c>
      <c r="Q229" s="313">
        <f>IF(Q69*'SEP ORIGEN'!Q69&lt;='GENERADO PS locales'!$D229,Q69*'SEP ORIGEN'!Q69,"Excede capacidad PS")</f>
        <v>0</v>
      </c>
      <c r="R229" s="313">
        <f>IF(R69*'SEP ORIGEN'!R69&lt;='GENERADO PS locales'!$D229,R69*'SEP ORIGEN'!R69,"Excede capacidad PS")</f>
        <v>0</v>
      </c>
      <c r="S229" s="313">
        <f>IF(S69*'SEP ORIGEN'!S69&lt;='GENERADO PS locales'!$D229,S69*'SEP ORIGEN'!S69,"Excede capacidad PS")</f>
        <v>0</v>
      </c>
      <c r="T229" s="313">
        <f>IF(T69*'SEP ORIGEN'!T69&lt;='GENERADO PS locales'!$D229,T69*'SEP ORIGEN'!T69,"Excede capacidad PS")</f>
        <v>0</v>
      </c>
      <c r="U229" s="313">
        <f>IF(U69*'SEP ORIGEN'!U69&lt;='GENERADO PS locales'!$D229,U69*'SEP ORIGEN'!U69,"Excede capacidad PS")</f>
        <v>0</v>
      </c>
      <c r="V229" s="313">
        <f>IF(V69*'SEP ORIGEN'!V69&lt;='GENERADO PS locales'!$D229,V69*'SEP ORIGEN'!V69,"Excede capacidad PS")</f>
        <v>0</v>
      </c>
      <c r="W229" s="313">
        <f>IF(W69*'SEP ORIGEN'!W69&lt;='GENERADO PS locales'!$D229,W69*'SEP ORIGEN'!W69,"Excede capacidad PS")</f>
        <v>0</v>
      </c>
      <c r="X229" s="313">
        <f>IF(X69*'SEP ORIGEN'!X69&lt;='GENERADO PS locales'!$D229,X69*'SEP ORIGEN'!X69,"Excede capacidad PS")</f>
        <v>0</v>
      </c>
      <c r="Y229" s="313">
        <f>IF(Y69*'SEP ORIGEN'!Y69&lt;='GENERADO PS locales'!$D229,Y69*'SEP ORIGEN'!Y69,"Excede capacidad PS")</f>
        <v>0</v>
      </c>
      <c r="Z229" s="313">
        <f>IF(Z69*'SEP ORIGEN'!Z69&lt;='GENERADO PS locales'!$D229,Z69*'SEP ORIGEN'!Z69,"Excede capacidad PS")</f>
        <v>0</v>
      </c>
    </row>
    <row r="230" spans="1:26" ht="24.95" customHeight="1">
      <c r="A230" s="260" t="str">
        <f>+Pobl_adoptada!A70</f>
        <v>General Guido</v>
      </c>
      <c r="B230" s="70">
        <f>+Pobl_adoptada!B70</f>
        <v>66</v>
      </c>
      <c r="C230" s="71" t="str">
        <f>+Pobl_adoptada!C70</f>
        <v>General Guido</v>
      </c>
      <c r="D230" s="311">
        <v>0</v>
      </c>
      <c r="E230" s="278"/>
      <c r="F230" s="263"/>
      <c r="G230" s="313">
        <f>IF(G70*'SEP ORIGEN'!G70&lt;='GENERADO PS locales'!$D230,G70*'SEP ORIGEN'!G70,"Excede capacidad PS")</f>
        <v>0</v>
      </c>
      <c r="H230" s="313">
        <f>IF(H70*'SEP ORIGEN'!H70&lt;='GENERADO PS locales'!$D230,H70*'SEP ORIGEN'!H70,"Excede capacidad PS")</f>
        <v>0</v>
      </c>
      <c r="I230" s="313">
        <f>IF(I70*'SEP ORIGEN'!I70&lt;='GENERADO PS locales'!$D230,I70*'SEP ORIGEN'!I70,"Excede capacidad PS")</f>
        <v>0</v>
      </c>
      <c r="J230" s="313">
        <f>IF(J70*'SEP ORIGEN'!J70&lt;='GENERADO PS locales'!$D230,J70*'SEP ORIGEN'!J70,"Excede capacidad PS")</f>
        <v>0</v>
      </c>
      <c r="K230" s="313">
        <f>IF(K70*'SEP ORIGEN'!K70&lt;='GENERADO PS locales'!$D230,K70*'SEP ORIGEN'!K70,"Excede capacidad PS")</f>
        <v>0</v>
      </c>
      <c r="L230" s="313">
        <f>IF(L70*'SEP ORIGEN'!L70&lt;='GENERADO PS locales'!$D230,L70*'SEP ORIGEN'!L70,"Excede capacidad PS")</f>
        <v>0</v>
      </c>
      <c r="M230" s="313">
        <f>IF(M70*'SEP ORIGEN'!M70&lt;='GENERADO PS locales'!$D230,M70*'SEP ORIGEN'!M70,"Excede capacidad PS")</f>
        <v>0</v>
      </c>
      <c r="N230" s="313">
        <f>IF(N70*'SEP ORIGEN'!N70&lt;='GENERADO PS locales'!$D230,N70*'SEP ORIGEN'!N70,"Excede capacidad PS")</f>
        <v>0</v>
      </c>
      <c r="O230" s="313">
        <f>IF(O70*'SEP ORIGEN'!O70&lt;='GENERADO PS locales'!$D230,O70*'SEP ORIGEN'!O70,"Excede capacidad PS")</f>
        <v>0</v>
      </c>
      <c r="P230" s="313">
        <f>IF(P70*'SEP ORIGEN'!P70&lt;='GENERADO PS locales'!$D230,P70*'SEP ORIGEN'!P70,"Excede capacidad PS")</f>
        <v>0</v>
      </c>
      <c r="Q230" s="313">
        <f>IF(Q70*'SEP ORIGEN'!Q70&lt;='GENERADO PS locales'!$D230,Q70*'SEP ORIGEN'!Q70,"Excede capacidad PS")</f>
        <v>0</v>
      </c>
      <c r="R230" s="313">
        <f>IF(R70*'SEP ORIGEN'!R70&lt;='GENERADO PS locales'!$D230,R70*'SEP ORIGEN'!R70,"Excede capacidad PS")</f>
        <v>0</v>
      </c>
      <c r="S230" s="313">
        <f>IF(S70*'SEP ORIGEN'!S70&lt;='GENERADO PS locales'!$D230,S70*'SEP ORIGEN'!S70,"Excede capacidad PS")</f>
        <v>0</v>
      </c>
      <c r="T230" s="313">
        <f>IF(T70*'SEP ORIGEN'!T70&lt;='GENERADO PS locales'!$D230,T70*'SEP ORIGEN'!T70,"Excede capacidad PS")</f>
        <v>0</v>
      </c>
      <c r="U230" s="313">
        <f>IF(U70*'SEP ORIGEN'!U70&lt;='GENERADO PS locales'!$D230,U70*'SEP ORIGEN'!U70,"Excede capacidad PS")</f>
        <v>0</v>
      </c>
      <c r="V230" s="313">
        <f>IF(V70*'SEP ORIGEN'!V70&lt;='GENERADO PS locales'!$D230,V70*'SEP ORIGEN'!V70,"Excede capacidad PS")</f>
        <v>0</v>
      </c>
      <c r="W230" s="313">
        <f>IF(W70*'SEP ORIGEN'!W70&lt;='GENERADO PS locales'!$D230,W70*'SEP ORIGEN'!W70,"Excede capacidad PS")</f>
        <v>0</v>
      </c>
      <c r="X230" s="313">
        <f>IF(X70*'SEP ORIGEN'!X70&lt;='GENERADO PS locales'!$D230,X70*'SEP ORIGEN'!X70,"Excede capacidad PS")</f>
        <v>0</v>
      </c>
      <c r="Y230" s="313">
        <f>IF(Y70*'SEP ORIGEN'!Y70&lt;='GENERADO PS locales'!$D230,Y70*'SEP ORIGEN'!Y70,"Excede capacidad PS")</f>
        <v>0</v>
      </c>
      <c r="Z230" s="313">
        <f>IF(Z70*'SEP ORIGEN'!Z70&lt;='GENERADO PS locales'!$D230,Z70*'SEP ORIGEN'!Z70,"Excede capacidad PS")</f>
        <v>0</v>
      </c>
    </row>
    <row r="231" spans="1:26" ht="24.95" customHeight="1">
      <c r="A231" s="260" t="str">
        <f>+Pobl_adoptada!A71</f>
        <v>General Juan Madariaga</v>
      </c>
      <c r="B231" s="70">
        <f>+Pobl_adoptada!B71</f>
        <v>67</v>
      </c>
      <c r="C231" s="71" t="str">
        <f>+Pobl_adoptada!C71</f>
        <v>General Juan Madariaga</v>
      </c>
      <c r="D231" s="311">
        <v>0</v>
      </c>
      <c r="E231" s="278"/>
      <c r="F231" s="263"/>
      <c r="G231" s="313">
        <f>IF(G71*'SEP ORIGEN'!G71&lt;='GENERADO PS locales'!$D231,G71*'SEP ORIGEN'!G71,"Excede capacidad PS")</f>
        <v>0</v>
      </c>
      <c r="H231" s="313">
        <f>IF(H71*'SEP ORIGEN'!H71&lt;='GENERADO PS locales'!$D231,H71*'SEP ORIGEN'!H71,"Excede capacidad PS")</f>
        <v>0</v>
      </c>
      <c r="I231" s="313">
        <f>IF(I71*'SEP ORIGEN'!I71&lt;='GENERADO PS locales'!$D231,I71*'SEP ORIGEN'!I71,"Excede capacidad PS")</f>
        <v>0</v>
      </c>
      <c r="J231" s="313">
        <f>IF(J71*'SEP ORIGEN'!J71&lt;='GENERADO PS locales'!$D231,J71*'SEP ORIGEN'!J71,"Excede capacidad PS")</f>
        <v>0</v>
      </c>
      <c r="K231" s="313">
        <f>IF(K71*'SEP ORIGEN'!K71&lt;='GENERADO PS locales'!$D231,K71*'SEP ORIGEN'!K71,"Excede capacidad PS")</f>
        <v>0</v>
      </c>
      <c r="L231" s="313">
        <f>IF(L71*'SEP ORIGEN'!L71&lt;='GENERADO PS locales'!$D231,L71*'SEP ORIGEN'!L71,"Excede capacidad PS")</f>
        <v>0</v>
      </c>
      <c r="M231" s="313">
        <f>IF(M71*'SEP ORIGEN'!M71&lt;='GENERADO PS locales'!$D231,M71*'SEP ORIGEN'!M71,"Excede capacidad PS")</f>
        <v>0</v>
      </c>
      <c r="N231" s="313">
        <f>IF(N71*'SEP ORIGEN'!N71&lt;='GENERADO PS locales'!$D231,N71*'SEP ORIGEN'!N71,"Excede capacidad PS")</f>
        <v>0</v>
      </c>
      <c r="O231" s="313">
        <f>IF(O71*'SEP ORIGEN'!O71&lt;='GENERADO PS locales'!$D231,O71*'SEP ORIGEN'!O71,"Excede capacidad PS")</f>
        <v>0</v>
      </c>
      <c r="P231" s="313">
        <f>IF(P71*'SEP ORIGEN'!P71&lt;='GENERADO PS locales'!$D231,P71*'SEP ORIGEN'!P71,"Excede capacidad PS")</f>
        <v>0</v>
      </c>
      <c r="Q231" s="313">
        <f>IF(Q71*'SEP ORIGEN'!Q71&lt;='GENERADO PS locales'!$D231,Q71*'SEP ORIGEN'!Q71,"Excede capacidad PS")</f>
        <v>0</v>
      </c>
      <c r="R231" s="313">
        <f>IF(R71*'SEP ORIGEN'!R71&lt;='GENERADO PS locales'!$D231,R71*'SEP ORIGEN'!R71,"Excede capacidad PS")</f>
        <v>0</v>
      </c>
      <c r="S231" s="313">
        <f>IF(S71*'SEP ORIGEN'!S71&lt;='GENERADO PS locales'!$D231,S71*'SEP ORIGEN'!S71,"Excede capacidad PS")</f>
        <v>0</v>
      </c>
      <c r="T231" s="313">
        <f>IF(T71*'SEP ORIGEN'!T71&lt;='GENERADO PS locales'!$D231,T71*'SEP ORIGEN'!T71,"Excede capacidad PS")</f>
        <v>0</v>
      </c>
      <c r="U231" s="313">
        <f>IF(U71*'SEP ORIGEN'!U71&lt;='GENERADO PS locales'!$D231,U71*'SEP ORIGEN'!U71,"Excede capacidad PS")</f>
        <v>0</v>
      </c>
      <c r="V231" s="313">
        <f>IF(V71*'SEP ORIGEN'!V71&lt;='GENERADO PS locales'!$D231,V71*'SEP ORIGEN'!V71,"Excede capacidad PS")</f>
        <v>0</v>
      </c>
      <c r="W231" s="313">
        <f>IF(W71*'SEP ORIGEN'!W71&lt;='GENERADO PS locales'!$D231,W71*'SEP ORIGEN'!W71,"Excede capacidad PS")</f>
        <v>0</v>
      </c>
      <c r="X231" s="313">
        <f>IF(X71*'SEP ORIGEN'!X71&lt;='GENERADO PS locales'!$D231,X71*'SEP ORIGEN'!X71,"Excede capacidad PS")</f>
        <v>0</v>
      </c>
      <c r="Y231" s="313">
        <f>IF(Y71*'SEP ORIGEN'!Y71&lt;='GENERADO PS locales'!$D231,Y71*'SEP ORIGEN'!Y71,"Excede capacidad PS")</f>
        <v>0</v>
      </c>
      <c r="Z231" s="313">
        <f>IF(Z71*'SEP ORIGEN'!Z71&lt;='GENERADO PS locales'!$D231,Z71*'SEP ORIGEN'!Z71,"Excede capacidad PS")</f>
        <v>0</v>
      </c>
    </row>
    <row r="232" spans="1:26" ht="24.95" customHeight="1">
      <c r="A232" s="260" t="str">
        <f>+Pobl_adoptada!A72</f>
        <v>General La Madrid</v>
      </c>
      <c r="B232" s="70">
        <f>+Pobl_adoptada!B72</f>
        <v>68</v>
      </c>
      <c r="C232" s="71" t="str">
        <f>+Pobl_adoptada!C72</f>
        <v>General La Madrid</v>
      </c>
      <c r="D232" s="311">
        <v>0</v>
      </c>
      <c r="E232" s="278"/>
      <c r="F232" s="263"/>
      <c r="G232" s="313">
        <f>IF(G72*'SEP ORIGEN'!G72&lt;='GENERADO PS locales'!$D232,G72*'SEP ORIGEN'!G72,"Excede capacidad PS")</f>
        <v>0</v>
      </c>
      <c r="H232" s="313">
        <f>IF(H72*'SEP ORIGEN'!H72&lt;='GENERADO PS locales'!$D232,H72*'SEP ORIGEN'!H72,"Excede capacidad PS")</f>
        <v>0</v>
      </c>
      <c r="I232" s="313">
        <f>IF(I72*'SEP ORIGEN'!I72&lt;='GENERADO PS locales'!$D232,I72*'SEP ORIGEN'!I72,"Excede capacidad PS")</f>
        <v>0</v>
      </c>
      <c r="J232" s="313">
        <f>IF(J72*'SEP ORIGEN'!J72&lt;='GENERADO PS locales'!$D232,J72*'SEP ORIGEN'!J72,"Excede capacidad PS")</f>
        <v>0</v>
      </c>
      <c r="K232" s="313">
        <f>IF(K72*'SEP ORIGEN'!K72&lt;='GENERADO PS locales'!$D232,K72*'SEP ORIGEN'!K72,"Excede capacidad PS")</f>
        <v>0</v>
      </c>
      <c r="L232" s="313">
        <f>IF(L72*'SEP ORIGEN'!L72&lt;='GENERADO PS locales'!$D232,L72*'SEP ORIGEN'!L72,"Excede capacidad PS")</f>
        <v>0</v>
      </c>
      <c r="M232" s="313">
        <f>IF(M72*'SEP ORIGEN'!M72&lt;='GENERADO PS locales'!$D232,M72*'SEP ORIGEN'!M72,"Excede capacidad PS")</f>
        <v>0</v>
      </c>
      <c r="N232" s="313">
        <f>IF(N72*'SEP ORIGEN'!N72&lt;='GENERADO PS locales'!$D232,N72*'SEP ORIGEN'!N72,"Excede capacidad PS")</f>
        <v>0</v>
      </c>
      <c r="O232" s="313">
        <f>IF(O72*'SEP ORIGEN'!O72&lt;='GENERADO PS locales'!$D232,O72*'SEP ORIGEN'!O72,"Excede capacidad PS")</f>
        <v>0</v>
      </c>
      <c r="P232" s="313">
        <f>IF(P72*'SEP ORIGEN'!P72&lt;='GENERADO PS locales'!$D232,P72*'SEP ORIGEN'!P72,"Excede capacidad PS")</f>
        <v>0</v>
      </c>
      <c r="Q232" s="313">
        <f>IF(Q72*'SEP ORIGEN'!Q72&lt;='GENERADO PS locales'!$D232,Q72*'SEP ORIGEN'!Q72,"Excede capacidad PS")</f>
        <v>0</v>
      </c>
      <c r="R232" s="313">
        <f>IF(R72*'SEP ORIGEN'!R72&lt;='GENERADO PS locales'!$D232,R72*'SEP ORIGEN'!R72,"Excede capacidad PS")</f>
        <v>0</v>
      </c>
      <c r="S232" s="313">
        <f>IF(S72*'SEP ORIGEN'!S72&lt;='GENERADO PS locales'!$D232,S72*'SEP ORIGEN'!S72,"Excede capacidad PS")</f>
        <v>0</v>
      </c>
      <c r="T232" s="313">
        <f>IF(T72*'SEP ORIGEN'!T72&lt;='GENERADO PS locales'!$D232,T72*'SEP ORIGEN'!T72,"Excede capacidad PS")</f>
        <v>0</v>
      </c>
      <c r="U232" s="313">
        <f>IF(U72*'SEP ORIGEN'!U72&lt;='GENERADO PS locales'!$D232,U72*'SEP ORIGEN'!U72,"Excede capacidad PS")</f>
        <v>0</v>
      </c>
      <c r="V232" s="313">
        <f>IF(V72*'SEP ORIGEN'!V72&lt;='GENERADO PS locales'!$D232,V72*'SEP ORIGEN'!V72,"Excede capacidad PS")</f>
        <v>0</v>
      </c>
      <c r="W232" s="313">
        <f>IF(W72*'SEP ORIGEN'!W72&lt;='GENERADO PS locales'!$D232,W72*'SEP ORIGEN'!W72,"Excede capacidad PS")</f>
        <v>0</v>
      </c>
      <c r="X232" s="313">
        <f>IF(X72*'SEP ORIGEN'!X72&lt;='GENERADO PS locales'!$D232,X72*'SEP ORIGEN'!X72,"Excede capacidad PS")</f>
        <v>0</v>
      </c>
      <c r="Y232" s="313">
        <f>IF(Y72*'SEP ORIGEN'!Y72&lt;='GENERADO PS locales'!$D232,Y72*'SEP ORIGEN'!Y72,"Excede capacidad PS")</f>
        <v>0</v>
      </c>
      <c r="Z232" s="313">
        <f>IF(Z72*'SEP ORIGEN'!Z72&lt;='GENERADO PS locales'!$D232,Z72*'SEP ORIGEN'!Z72,"Excede capacidad PS")</f>
        <v>0</v>
      </c>
    </row>
    <row r="233" spans="1:26" ht="24.95" customHeight="1">
      <c r="A233" s="260" t="str">
        <f>+Pobl_adoptada!A73</f>
        <v>General Las Heras</v>
      </c>
      <c r="B233" s="70">
        <f>+Pobl_adoptada!B73</f>
        <v>69</v>
      </c>
      <c r="C233" s="71" t="str">
        <f>+Pobl_adoptada!C73</f>
        <v>General Las Heras</v>
      </c>
      <c r="D233" s="311">
        <v>0</v>
      </c>
      <c r="E233" s="278"/>
      <c r="F233" s="263"/>
      <c r="G233" s="313">
        <f>IF(G73*'SEP ORIGEN'!G73&lt;='GENERADO PS locales'!$D233,G73*'SEP ORIGEN'!G73,"Excede capacidad PS")</f>
        <v>0</v>
      </c>
      <c r="H233" s="313">
        <f>IF(H73*'SEP ORIGEN'!H73&lt;='GENERADO PS locales'!$D233,H73*'SEP ORIGEN'!H73,"Excede capacidad PS")</f>
        <v>0</v>
      </c>
      <c r="I233" s="313">
        <f>IF(I73*'SEP ORIGEN'!I73&lt;='GENERADO PS locales'!$D233,I73*'SEP ORIGEN'!I73,"Excede capacidad PS")</f>
        <v>0</v>
      </c>
      <c r="J233" s="313">
        <f>IF(J73*'SEP ORIGEN'!J73&lt;='GENERADO PS locales'!$D233,J73*'SEP ORIGEN'!J73,"Excede capacidad PS")</f>
        <v>0</v>
      </c>
      <c r="K233" s="313">
        <f>IF(K73*'SEP ORIGEN'!K73&lt;='GENERADO PS locales'!$D233,K73*'SEP ORIGEN'!K73,"Excede capacidad PS")</f>
        <v>0</v>
      </c>
      <c r="L233" s="313">
        <f>IF(L73*'SEP ORIGEN'!L73&lt;='GENERADO PS locales'!$D233,L73*'SEP ORIGEN'!L73,"Excede capacidad PS")</f>
        <v>0</v>
      </c>
      <c r="M233" s="313">
        <f>IF(M73*'SEP ORIGEN'!M73&lt;='GENERADO PS locales'!$D233,M73*'SEP ORIGEN'!M73,"Excede capacidad PS")</f>
        <v>0</v>
      </c>
      <c r="N233" s="313">
        <f>IF(N73*'SEP ORIGEN'!N73&lt;='GENERADO PS locales'!$D233,N73*'SEP ORIGEN'!N73,"Excede capacidad PS")</f>
        <v>0</v>
      </c>
      <c r="O233" s="313">
        <f>IF(O73*'SEP ORIGEN'!O73&lt;='GENERADO PS locales'!$D233,O73*'SEP ORIGEN'!O73,"Excede capacidad PS")</f>
        <v>0</v>
      </c>
      <c r="P233" s="313">
        <f>IF(P73*'SEP ORIGEN'!P73&lt;='GENERADO PS locales'!$D233,P73*'SEP ORIGEN'!P73,"Excede capacidad PS")</f>
        <v>0</v>
      </c>
      <c r="Q233" s="313">
        <f>IF(Q73*'SEP ORIGEN'!Q73&lt;='GENERADO PS locales'!$D233,Q73*'SEP ORIGEN'!Q73,"Excede capacidad PS")</f>
        <v>0</v>
      </c>
      <c r="R233" s="313">
        <f>IF(R73*'SEP ORIGEN'!R73&lt;='GENERADO PS locales'!$D233,R73*'SEP ORIGEN'!R73,"Excede capacidad PS")</f>
        <v>0</v>
      </c>
      <c r="S233" s="313">
        <f>IF(S73*'SEP ORIGEN'!S73&lt;='GENERADO PS locales'!$D233,S73*'SEP ORIGEN'!S73,"Excede capacidad PS")</f>
        <v>0</v>
      </c>
      <c r="T233" s="313">
        <f>IF(T73*'SEP ORIGEN'!T73&lt;='GENERADO PS locales'!$D233,T73*'SEP ORIGEN'!T73,"Excede capacidad PS")</f>
        <v>0</v>
      </c>
      <c r="U233" s="313">
        <f>IF(U73*'SEP ORIGEN'!U73&lt;='GENERADO PS locales'!$D233,U73*'SEP ORIGEN'!U73,"Excede capacidad PS")</f>
        <v>0</v>
      </c>
      <c r="V233" s="313">
        <f>IF(V73*'SEP ORIGEN'!V73&lt;='GENERADO PS locales'!$D233,V73*'SEP ORIGEN'!V73,"Excede capacidad PS")</f>
        <v>0</v>
      </c>
      <c r="W233" s="313">
        <f>IF(W73*'SEP ORIGEN'!W73&lt;='GENERADO PS locales'!$D233,W73*'SEP ORIGEN'!W73,"Excede capacidad PS")</f>
        <v>0</v>
      </c>
      <c r="X233" s="313">
        <f>IF(X73*'SEP ORIGEN'!X73&lt;='GENERADO PS locales'!$D233,X73*'SEP ORIGEN'!X73,"Excede capacidad PS")</f>
        <v>0</v>
      </c>
      <c r="Y233" s="313">
        <f>IF(Y73*'SEP ORIGEN'!Y73&lt;='GENERADO PS locales'!$D233,Y73*'SEP ORIGEN'!Y73,"Excede capacidad PS")</f>
        <v>0</v>
      </c>
      <c r="Z233" s="313">
        <f>IF(Z73*'SEP ORIGEN'!Z73&lt;='GENERADO PS locales'!$D233,Z73*'SEP ORIGEN'!Z73,"Excede capacidad PS")</f>
        <v>0</v>
      </c>
    </row>
    <row r="234" spans="1:26" ht="24.95" customHeight="1">
      <c r="A234" s="260" t="str">
        <f>+Pobl_adoptada!A74</f>
        <v>General Lavalle</v>
      </c>
      <c r="B234" s="70">
        <f>+Pobl_adoptada!B74</f>
        <v>70</v>
      </c>
      <c r="C234" s="71" t="str">
        <f>+Pobl_adoptada!C74</f>
        <v>General Lavalle</v>
      </c>
      <c r="D234" s="311">
        <v>0</v>
      </c>
      <c r="E234" s="278"/>
      <c r="F234" s="263"/>
      <c r="G234" s="313">
        <f>IF(G74*'SEP ORIGEN'!G74&lt;='GENERADO PS locales'!$D234,G74*'SEP ORIGEN'!G74,"Excede capacidad PS")</f>
        <v>0</v>
      </c>
      <c r="H234" s="313">
        <f>IF(H74*'SEP ORIGEN'!H74&lt;='GENERADO PS locales'!$D234,H74*'SEP ORIGEN'!H74,"Excede capacidad PS")</f>
        <v>0</v>
      </c>
      <c r="I234" s="313">
        <f>IF(I74*'SEP ORIGEN'!I74&lt;='GENERADO PS locales'!$D234,I74*'SEP ORIGEN'!I74,"Excede capacidad PS")</f>
        <v>0</v>
      </c>
      <c r="J234" s="313">
        <f>IF(J74*'SEP ORIGEN'!J74&lt;='GENERADO PS locales'!$D234,J74*'SEP ORIGEN'!J74,"Excede capacidad PS")</f>
        <v>0</v>
      </c>
      <c r="K234" s="313">
        <f>IF(K74*'SEP ORIGEN'!K74&lt;='GENERADO PS locales'!$D234,K74*'SEP ORIGEN'!K74,"Excede capacidad PS")</f>
        <v>0</v>
      </c>
      <c r="L234" s="313">
        <f>IF(L74*'SEP ORIGEN'!L74&lt;='GENERADO PS locales'!$D234,L74*'SEP ORIGEN'!L74,"Excede capacidad PS")</f>
        <v>0</v>
      </c>
      <c r="M234" s="313">
        <f>IF(M74*'SEP ORIGEN'!M74&lt;='GENERADO PS locales'!$D234,M74*'SEP ORIGEN'!M74,"Excede capacidad PS")</f>
        <v>0</v>
      </c>
      <c r="N234" s="313">
        <f>IF(N74*'SEP ORIGEN'!N74&lt;='GENERADO PS locales'!$D234,N74*'SEP ORIGEN'!N74,"Excede capacidad PS")</f>
        <v>0</v>
      </c>
      <c r="O234" s="313">
        <f>IF(O74*'SEP ORIGEN'!O74&lt;='GENERADO PS locales'!$D234,O74*'SEP ORIGEN'!O74,"Excede capacidad PS")</f>
        <v>0</v>
      </c>
      <c r="P234" s="313">
        <f>IF(P74*'SEP ORIGEN'!P74&lt;='GENERADO PS locales'!$D234,P74*'SEP ORIGEN'!P74,"Excede capacidad PS")</f>
        <v>0</v>
      </c>
      <c r="Q234" s="313">
        <f>IF(Q74*'SEP ORIGEN'!Q74&lt;='GENERADO PS locales'!$D234,Q74*'SEP ORIGEN'!Q74,"Excede capacidad PS")</f>
        <v>0</v>
      </c>
      <c r="R234" s="313">
        <f>IF(R74*'SEP ORIGEN'!R74&lt;='GENERADO PS locales'!$D234,R74*'SEP ORIGEN'!R74,"Excede capacidad PS")</f>
        <v>0</v>
      </c>
      <c r="S234" s="313">
        <f>IF(S74*'SEP ORIGEN'!S74&lt;='GENERADO PS locales'!$D234,S74*'SEP ORIGEN'!S74,"Excede capacidad PS")</f>
        <v>0</v>
      </c>
      <c r="T234" s="313">
        <f>IF(T74*'SEP ORIGEN'!T74&lt;='GENERADO PS locales'!$D234,T74*'SEP ORIGEN'!T74,"Excede capacidad PS")</f>
        <v>0</v>
      </c>
      <c r="U234" s="313">
        <f>IF(U74*'SEP ORIGEN'!U74&lt;='GENERADO PS locales'!$D234,U74*'SEP ORIGEN'!U74,"Excede capacidad PS")</f>
        <v>0</v>
      </c>
      <c r="V234" s="313">
        <f>IF(V74*'SEP ORIGEN'!V74&lt;='GENERADO PS locales'!$D234,V74*'SEP ORIGEN'!V74,"Excede capacidad PS")</f>
        <v>0</v>
      </c>
      <c r="W234" s="313">
        <f>IF(W74*'SEP ORIGEN'!W74&lt;='GENERADO PS locales'!$D234,W74*'SEP ORIGEN'!W74,"Excede capacidad PS")</f>
        <v>0</v>
      </c>
      <c r="X234" s="313">
        <f>IF(X74*'SEP ORIGEN'!X74&lt;='GENERADO PS locales'!$D234,X74*'SEP ORIGEN'!X74,"Excede capacidad PS")</f>
        <v>0</v>
      </c>
      <c r="Y234" s="313">
        <f>IF(Y74*'SEP ORIGEN'!Y74&lt;='GENERADO PS locales'!$D234,Y74*'SEP ORIGEN'!Y74,"Excede capacidad PS")</f>
        <v>0</v>
      </c>
      <c r="Z234" s="313">
        <f>IF(Z74*'SEP ORIGEN'!Z74&lt;='GENERADO PS locales'!$D234,Z74*'SEP ORIGEN'!Z74,"Excede capacidad PS")</f>
        <v>0</v>
      </c>
    </row>
    <row r="235" spans="1:26" ht="24.95" customHeight="1">
      <c r="A235" s="260" t="str">
        <f>+Pobl_adoptada!A75</f>
        <v>General Paz</v>
      </c>
      <c r="B235" s="70">
        <f>+Pobl_adoptada!B75</f>
        <v>71</v>
      </c>
      <c r="C235" s="71" t="str">
        <f>+Pobl_adoptada!C75</f>
        <v>Ranchos</v>
      </c>
      <c r="D235" s="311">
        <v>0</v>
      </c>
      <c r="E235" s="278"/>
      <c r="F235" s="263"/>
      <c r="G235" s="313">
        <f>IF(G75*'SEP ORIGEN'!G75&lt;='GENERADO PS locales'!$D235,G75*'SEP ORIGEN'!G75,"Excede capacidad PS")</f>
        <v>0</v>
      </c>
      <c r="H235" s="313">
        <f>IF(H75*'SEP ORIGEN'!H75&lt;='GENERADO PS locales'!$D235,H75*'SEP ORIGEN'!H75,"Excede capacidad PS")</f>
        <v>0</v>
      </c>
      <c r="I235" s="313">
        <f>IF(I75*'SEP ORIGEN'!I75&lt;='GENERADO PS locales'!$D235,I75*'SEP ORIGEN'!I75,"Excede capacidad PS")</f>
        <v>0</v>
      </c>
      <c r="J235" s="313">
        <f>IF(J75*'SEP ORIGEN'!J75&lt;='GENERADO PS locales'!$D235,J75*'SEP ORIGEN'!J75,"Excede capacidad PS")</f>
        <v>0</v>
      </c>
      <c r="K235" s="313">
        <f>IF(K75*'SEP ORIGEN'!K75&lt;='GENERADO PS locales'!$D235,K75*'SEP ORIGEN'!K75,"Excede capacidad PS")</f>
        <v>0</v>
      </c>
      <c r="L235" s="313">
        <f>IF(L75*'SEP ORIGEN'!L75&lt;='GENERADO PS locales'!$D235,L75*'SEP ORIGEN'!L75,"Excede capacidad PS")</f>
        <v>0</v>
      </c>
      <c r="M235" s="313">
        <f>IF(M75*'SEP ORIGEN'!M75&lt;='GENERADO PS locales'!$D235,M75*'SEP ORIGEN'!M75,"Excede capacidad PS")</f>
        <v>0</v>
      </c>
      <c r="N235" s="313">
        <f>IF(N75*'SEP ORIGEN'!N75&lt;='GENERADO PS locales'!$D235,N75*'SEP ORIGEN'!N75,"Excede capacidad PS")</f>
        <v>0</v>
      </c>
      <c r="O235" s="313">
        <f>IF(O75*'SEP ORIGEN'!O75&lt;='GENERADO PS locales'!$D235,O75*'SEP ORIGEN'!O75,"Excede capacidad PS")</f>
        <v>0</v>
      </c>
      <c r="P235" s="313">
        <f>IF(P75*'SEP ORIGEN'!P75&lt;='GENERADO PS locales'!$D235,P75*'SEP ORIGEN'!P75,"Excede capacidad PS")</f>
        <v>0</v>
      </c>
      <c r="Q235" s="313">
        <f>IF(Q75*'SEP ORIGEN'!Q75&lt;='GENERADO PS locales'!$D235,Q75*'SEP ORIGEN'!Q75,"Excede capacidad PS")</f>
        <v>0</v>
      </c>
      <c r="R235" s="313">
        <f>IF(R75*'SEP ORIGEN'!R75&lt;='GENERADO PS locales'!$D235,R75*'SEP ORIGEN'!R75,"Excede capacidad PS")</f>
        <v>0</v>
      </c>
      <c r="S235" s="313">
        <f>IF(S75*'SEP ORIGEN'!S75&lt;='GENERADO PS locales'!$D235,S75*'SEP ORIGEN'!S75,"Excede capacidad PS")</f>
        <v>0</v>
      </c>
      <c r="T235" s="313">
        <f>IF(T75*'SEP ORIGEN'!T75&lt;='GENERADO PS locales'!$D235,T75*'SEP ORIGEN'!T75,"Excede capacidad PS")</f>
        <v>0</v>
      </c>
      <c r="U235" s="313">
        <f>IF(U75*'SEP ORIGEN'!U75&lt;='GENERADO PS locales'!$D235,U75*'SEP ORIGEN'!U75,"Excede capacidad PS")</f>
        <v>0</v>
      </c>
      <c r="V235" s="313">
        <f>IF(V75*'SEP ORIGEN'!V75&lt;='GENERADO PS locales'!$D235,V75*'SEP ORIGEN'!V75,"Excede capacidad PS")</f>
        <v>0</v>
      </c>
      <c r="W235" s="313">
        <f>IF(W75*'SEP ORIGEN'!W75&lt;='GENERADO PS locales'!$D235,W75*'SEP ORIGEN'!W75,"Excede capacidad PS")</f>
        <v>0</v>
      </c>
      <c r="X235" s="313">
        <f>IF(X75*'SEP ORIGEN'!X75&lt;='GENERADO PS locales'!$D235,X75*'SEP ORIGEN'!X75,"Excede capacidad PS")</f>
        <v>0</v>
      </c>
      <c r="Y235" s="313">
        <f>IF(Y75*'SEP ORIGEN'!Y75&lt;='GENERADO PS locales'!$D235,Y75*'SEP ORIGEN'!Y75,"Excede capacidad PS")</f>
        <v>0</v>
      </c>
      <c r="Z235" s="313">
        <f>IF(Z75*'SEP ORIGEN'!Z75&lt;='GENERADO PS locales'!$D235,Z75*'SEP ORIGEN'!Z75,"Excede capacidad PS")</f>
        <v>0</v>
      </c>
    </row>
    <row r="236" spans="1:26" ht="24.95" customHeight="1">
      <c r="A236" s="260" t="str">
        <f>+Pobl_adoptada!A76</f>
        <v>General Pinto</v>
      </c>
      <c r="B236" s="70">
        <f>+Pobl_adoptada!B76</f>
        <v>72</v>
      </c>
      <c r="C236" s="71" t="str">
        <f>+Pobl_adoptada!C76</f>
        <v>General Pinto</v>
      </c>
      <c r="D236" s="311">
        <v>0</v>
      </c>
      <c r="E236" s="278"/>
      <c r="F236" s="263"/>
      <c r="G236" s="313">
        <f>IF(G76*'SEP ORIGEN'!G76&lt;='GENERADO PS locales'!$D236,G76*'SEP ORIGEN'!G76,"Excede capacidad PS")</f>
        <v>0</v>
      </c>
      <c r="H236" s="313">
        <f>IF(H76*'SEP ORIGEN'!H76&lt;='GENERADO PS locales'!$D236,H76*'SEP ORIGEN'!H76,"Excede capacidad PS")</f>
        <v>0</v>
      </c>
      <c r="I236" s="313">
        <f>IF(I76*'SEP ORIGEN'!I76&lt;='GENERADO PS locales'!$D236,I76*'SEP ORIGEN'!I76,"Excede capacidad PS")</f>
        <v>0</v>
      </c>
      <c r="J236" s="313">
        <f>IF(J76*'SEP ORIGEN'!J76&lt;='GENERADO PS locales'!$D236,J76*'SEP ORIGEN'!J76,"Excede capacidad PS")</f>
        <v>0</v>
      </c>
      <c r="K236" s="313">
        <f>IF(K76*'SEP ORIGEN'!K76&lt;='GENERADO PS locales'!$D236,K76*'SEP ORIGEN'!K76,"Excede capacidad PS")</f>
        <v>0</v>
      </c>
      <c r="L236" s="313">
        <f>IF(L76*'SEP ORIGEN'!L76&lt;='GENERADO PS locales'!$D236,L76*'SEP ORIGEN'!L76,"Excede capacidad PS")</f>
        <v>0</v>
      </c>
      <c r="M236" s="313">
        <f>IF(M76*'SEP ORIGEN'!M76&lt;='GENERADO PS locales'!$D236,M76*'SEP ORIGEN'!M76,"Excede capacidad PS")</f>
        <v>0</v>
      </c>
      <c r="N236" s="313">
        <f>IF(N76*'SEP ORIGEN'!N76&lt;='GENERADO PS locales'!$D236,N76*'SEP ORIGEN'!N76,"Excede capacidad PS")</f>
        <v>0</v>
      </c>
      <c r="O236" s="313">
        <f>IF(O76*'SEP ORIGEN'!O76&lt;='GENERADO PS locales'!$D236,O76*'SEP ORIGEN'!O76,"Excede capacidad PS")</f>
        <v>0</v>
      </c>
      <c r="P236" s="313">
        <f>IF(P76*'SEP ORIGEN'!P76&lt;='GENERADO PS locales'!$D236,P76*'SEP ORIGEN'!P76,"Excede capacidad PS")</f>
        <v>0</v>
      </c>
      <c r="Q236" s="313">
        <f>IF(Q76*'SEP ORIGEN'!Q76&lt;='GENERADO PS locales'!$D236,Q76*'SEP ORIGEN'!Q76,"Excede capacidad PS")</f>
        <v>0</v>
      </c>
      <c r="R236" s="313">
        <f>IF(R76*'SEP ORIGEN'!R76&lt;='GENERADO PS locales'!$D236,R76*'SEP ORIGEN'!R76,"Excede capacidad PS")</f>
        <v>0</v>
      </c>
      <c r="S236" s="313">
        <f>IF(S76*'SEP ORIGEN'!S76&lt;='GENERADO PS locales'!$D236,S76*'SEP ORIGEN'!S76,"Excede capacidad PS")</f>
        <v>0</v>
      </c>
      <c r="T236" s="313">
        <f>IF(T76*'SEP ORIGEN'!T76&lt;='GENERADO PS locales'!$D236,T76*'SEP ORIGEN'!T76,"Excede capacidad PS")</f>
        <v>0</v>
      </c>
      <c r="U236" s="313">
        <f>IF(U76*'SEP ORIGEN'!U76&lt;='GENERADO PS locales'!$D236,U76*'SEP ORIGEN'!U76,"Excede capacidad PS")</f>
        <v>0</v>
      </c>
      <c r="V236" s="313">
        <f>IF(V76*'SEP ORIGEN'!V76&lt;='GENERADO PS locales'!$D236,V76*'SEP ORIGEN'!V76,"Excede capacidad PS")</f>
        <v>0</v>
      </c>
      <c r="W236" s="313">
        <f>IF(W76*'SEP ORIGEN'!W76&lt;='GENERADO PS locales'!$D236,W76*'SEP ORIGEN'!W76,"Excede capacidad PS")</f>
        <v>0</v>
      </c>
      <c r="X236" s="313">
        <f>IF(X76*'SEP ORIGEN'!X76&lt;='GENERADO PS locales'!$D236,X76*'SEP ORIGEN'!X76,"Excede capacidad PS")</f>
        <v>0</v>
      </c>
      <c r="Y236" s="313">
        <f>IF(Y76*'SEP ORIGEN'!Y76&lt;='GENERADO PS locales'!$D236,Y76*'SEP ORIGEN'!Y76,"Excede capacidad PS")</f>
        <v>0</v>
      </c>
      <c r="Z236" s="313">
        <f>IF(Z76*'SEP ORIGEN'!Z76&lt;='GENERADO PS locales'!$D236,Z76*'SEP ORIGEN'!Z76,"Excede capacidad PS")</f>
        <v>0</v>
      </c>
    </row>
    <row r="237" spans="1:26" ht="24.95" customHeight="1">
      <c r="A237" s="260" t="str">
        <f>+Pobl_adoptada!A77</f>
        <v>General Pueyrredón</v>
      </c>
      <c r="B237" s="70">
        <f>+Pobl_adoptada!B77</f>
        <v>73</v>
      </c>
      <c r="C237" s="71" t="str">
        <f>+Pobl_adoptada!C77</f>
        <v>Mar del Plata</v>
      </c>
      <c r="D237" s="311">
        <v>0</v>
      </c>
      <c r="E237" s="278"/>
      <c r="F237" s="263"/>
      <c r="G237" s="313">
        <f>IF(G77*'SEP ORIGEN'!G77&lt;='GENERADO PS locales'!$D237,G77*'SEP ORIGEN'!G77,"Excede capacidad PS")</f>
        <v>0</v>
      </c>
      <c r="H237" s="313">
        <f>IF(H77*'SEP ORIGEN'!H77&lt;='GENERADO PS locales'!$D237,H77*'SEP ORIGEN'!H77,"Excede capacidad PS")</f>
        <v>0</v>
      </c>
      <c r="I237" s="313">
        <f>IF(I77*'SEP ORIGEN'!I77&lt;='GENERADO PS locales'!$D237,I77*'SEP ORIGEN'!I77,"Excede capacidad PS")</f>
        <v>0</v>
      </c>
      <c r="J237" s="313">
        <f>IF(J77*'SEP ORIGEN'!J77&lt;='GENERADO PS locales'!$D237,J77*'SEP ORIGEN'!J77,"Excede capacidad PS")</f>
        <v>0</v>
      </c>
      <c r="K237" s="313">
        <f>IF(K77*'SEP ORIGEN'!K77&lt;='GENERADO PS locales'!$D237,K77*'SEP ORIGEN'!K77,"Excede capacidad PS")</f>
        <v>0</v>
      </c>
      <c r="L237" s="313">
        <f>IF(L77*'SEP ORIGEN'!L77&lt;='GENERADO PS locales'!$D237,L77*'SEP ORIGEN'!L77,"Excede capacidad PS")</f>
        <v>0</v>
      </c>
      <c r="M237" s="313">
        <f>IF(M77*'SEP ORIGEN'!M77&lt;='GENERADO PS locales'!$D237,M77*'SEP ORIGEN'!M77,"Excede capacidad PS")</f>
        <v>0</v>
      </c>
      <c r="N237" s="313">
        <f>IF(N77*'SEP ORIGEN'!N77&lt;='GENERADO PS locales'!$D237,N77*'SEP ORIGEN'!N77,"Excede capacidad PS")</f>
        <v>0</v>
      </c>
      <c r="O237" s="313">
        <f>IF(O77*'SEP ORIGEN'!O77&lt;='GENERADO PS locales'!$D237,O77*'SEP ORIGEN'!O77,"Excede capacidad PS")</f>
        <v>0</v>
      </c>
      <c r="P237" s="313">
        <f>IF(P77*'SEP ORIGEN'!P77&lt;='GENERADO PS locales'!$D237,P77*'SEP ORIGEN'!P77,"Excede capacidad PS")</f>
        <v>0</v>
      </c>
      <c r="Q237" s="313">
        <f>IF(Q77*'SEP ORIGEN'!Q77&lt;='GENERADO PS locales'!$D237,Q77*'SEP ORIGEN'!Q77,"Excede capacidad PS")</f>
        <v>0</v>
      </c>
      <c r="R237" s="313">
        <f>IF(R77*'SEP ORIGEN'!R77&lt;='GENERADO PS locales'!$D237,R77*'SEP ORIGEN'!R77,"Excede capacidad PS")</f>
        <v>0</v>
      </c>
      <c r="S237" s="313">
        <f>IF(S77*'SEP ORIGEN'!S77&lt;='GENERADO PS locales'!$D237,S77*'SEP ORIGEN'!S77,"Excede capacidad PS")</f>
        <v>0</v>
      </c>
      <c r="T237" s="313">
        <f>IF(T77*'SEP ORIGEN'!T77&lt;='GENERADO PS locales'!$D237,T77*'SEP ORIGEN'!T77,"Excede capacidad PS")</f>
        <v>0</v>
      </c>
      <c r="U237" s="313">
        <f>IF(U77*'SEP ORIGEN'!U77&lt;='GENERADO PS locales'!$D237,U77*'SEP ORIGEN'!U77,"Excede capacidad PS")</f>
        <v>0</v>
      </c>
      <c r="V237" s="313">
        <f>IF(V77*'SEP ORIGEN'!V77&lt;='GENERADO PS locales'!$D237,V77*'SEP ORIGEN'!V77,"Excede capacidad PS")</f>
        <v>0</v>
      </c>
      <c r="W237" s="313">
        <f>IF(W77*'SEP ORIGEN'!W77&lt;='GENERADO PS locales'!$D237,W77*'SEP ORIGEN'!W77,"Excede capacidad PS")</f>
        <v>0</v>
      </c>
      <c r="X237" s="313">
        <f>IF(X77*'SEP ORIGEN'!X77&lt;='GENERADO PS locales'!$D237,X77*'SEP ORIGEN'!X77,"Excede capacidad PS")</f>
        <v>0</v>
      </c>
      <c r="Y237" s="313">
        <f>IF(Y77*'SEP ORIGEN'!Y77&lt;='GENERADO PS locales'!$D237,Y77*'SEP ORIGEN'!Y77,"Excede capacidad PS")</f>
        <v>0</v>
      </c>
      <c r="Z237" s="313">
        <f>IF(Z77*'SEP ORIGEN'!Z77&lt;='GENERADO PS locales'!$D237,Z77*'SEP ORIGEN'!Z77,"Excede capacidad PS")</f>
        <v>0</v>
      </c>
    </row>
    <row r="238" spans="1:26" ht="24.95" customHeight="1">
      <c r="A238" s="260" t="str">
        <f>+Pobl_adoptada!A78</f>
        <v>General Rodríguez</v>
      </c>
      <c r="B238" s="70">
        <f>+Pobl_adoptada!B78</f>
        <v>74</v>
      </c>
      <c r="C238" s="71" t="str">
        <f>+Pobl_adoptada!C78</f>
        <v>General Rodríguez</v>
      </c>
      <c r="D238" s="311">
        <v>0</v>
      </c>
      <c r="E238" s="278"/>
      <c r="F238" s="263"/>
      <c r="G238" s="313">
        <f>IF(G78*'SEP ORIGEN'!G78&lt;='GENERADO PS locales'!$D238,G78*'SEP ORIGEN'!G78,"Excede capacidad PS")</f>
        <v>0</v>
      </c>
      <c r="H238" s="313">
        <f>IF(H78*'SEP ORIGEN'!H78&lt;='GENERADO PS locales'!$D238,H78*'SEP ORIGEN'!H78,"Excede capacidad PS")</f>
        <v>0</v>
      </c>
      <c r="I238" s="313">
        <f>IF(I78*'SEP ORIGEN'!I78&lt;='GENERADO PS locales'!$D238,I78*'SEP ORIGEN'!I78,"Excede capacidad PS")</f>
        <v>0</v>
      </c>
      <c r="J238" s="313">
        <f>IF(J78*'SEP ORIGEN'!J78&lt;='GENERADO PS locales'!$D238,J78*'SEP ORIGEN'!J78,"Excede capacidad PS")</f>
        <v>0</v>
      </c>
      <c r="K238" s="313">
        <f>IF(K78*'SEP ORIGEN'!K78&lt;='GENERADO PS locales'!$D238,K78*'SEP ORIGEN'!K78,"Excede capacidad PS")</f>
        <v>0</v>
      </c>
      <c r="L238" s="313">
        <f>IF(L78*'SEP ORIGEN'!L78&lt;='GENERADO PS locales'!$D238,L78*'SEP ORIGEN'!L78,"Excede capacidad PS")</f>
        <v>0</v>
      </c>
      <c r="M238" s="313">
        <f>IF(M78*'SEP ORIGEN'!M78&lt;='GENERADO PS locales'!$D238,M78*'SEP ORIGEN'!M78,"Excede capacidad PS")</f>
        <v>0</v>
      </c>
      <c r="N238" s="313">
        <f>IF(N78*'SEP ORIGEN'!N78&lt;='GENERADO PS locales'!$D238,N78*'SEP ORIGEN'!N78,"Excede capacidad PS")</f>
        <v>0</v>
      </c>
      <c r="O238" s="313">
        <f>IF(O78*'SEP ORIGEN'!O78&lt;='GENERADO PS locales'!$D238,O78*'SEP ORIGEN'!O78,"Excede capacidad PS")</f>
        <v>0</v>
      </c>
      <c r="P238" s="313">
        <f>IF(P78*'SEP ORIGEN'!P78&lt;='GENERADO PS locales'!$D238,P78*'SEP ORIGEN'!P78,"Excede capacidad PS")</f>
        <v>0</v>
      </c>
      <c r="Q238" s="313">
        <f>IF(Q78*'SEP ORIGEN'!Q78&lt;='GENERADO PS locales'!$D238,Q78*'SEP ORIGEN'!Q78,"Excede capacidad PS")</f>
        <v>0</v>
      </c>
      <c r="R238" s="313">
        <f>IF(R78*'SEP ORIGEN'!R78&lt;='GENERADO PS locales'!$D238,R78*'SEP ORIGEN'!R78,"Excede capacidad PS")</f>
        <v>0</v>
      </c>
      <c r="S238" s="313">
        <f>IF(S78*'SEP ORIGEN'!S78&lt;='GENERADO PS locales'!$D238,S78*'SEP ORIGEN'!S78,"Excede capacidad PS")</f>
        <v>0</v>
      </c>
      <c r="T238" s="313">
        <f>IF(T78*'SEP ORIGEN'!T78&lt;='GENERADO PS locales'!$D238,T78*'SEP ORIGEN'!T78,"Excede capacidad PS")</f>
        <v>0</v>
      </c>
      <c r="U238" s="313">
        <f>IF(U78*'SEP ORIGEN'!U78&lt;='GENERADO PS locales'!$D238,U78*'SEP ORIGEN'!U78,"Excede capacidad PS")</f>
        <v>0</v>
      </c>
      <c r="V238" s="313">
        <f>IF(V78*'SEP ORIGEN'!V78&lt;='GENERADO PS locales'!$D238,V78*'SEP ORIGEN'!V78,"Excede capacidad PS")</f>
        <v>0</v>
      </c>
      <c r="W238" s="313">
        <f>IF(W78*'SEP ORIGEN'!W78&lt;='GENERADO PS locales'!$D238,W78*'SEP ORIGEN'!W78,"Excede capacidad PS")</f>
        <v>0</v>
      </c>
      <c r="X238" s="313">
        <f>IF(X78*'SEP ORIGEN'!X78&lt;='GENERADO PS locales'!$D238,X78*'SEP ORIGEN'!X78,"Excede capacidad PS")</f>
        <v>0</v>
      </c>
      <c r="Y238" s="313">
        <f>IF(Y78*'SEP ORIGEN'!Y78&lt;='GENERADO PS locales'!$D238,Y78*'SEP ORIGEN'!Y78,"Excede capacidad PS")</f>
        <v>0</v>
      </c>
      <c r="Z238" s="313">
        <f>IF(Z78*'SEP ORIGEN'!Z78&lt;='GENERADO PS locales'!$D238,Z78*'SEP ORIGEN'!Z78,"Excede capacidad PS")</f>
        <v>0</v>
      </c>
    </row>
    <row r="239" spans="1:26" ht="24.95" customHeight="1">
      <c r="A239" s="260" t="str">
        <f>+Pobl_adoptada!A79</f>
        <v>General Viamonte</v>
      </c>
      <c r="B239" s="70">
        <f>+Pobl_adoptada!B79</f>
        <v>75</v>
      </c>
      <c r="C239" s="71" t="str">
        <f>+Pobl_adoptada!C79</f>
        <v>Los Toldos</v>
      </c>
      <c r="D239" s="311">
        <v>0</v>
      </c>
      <c r="E239" s="278"/>
      <c r="F239" s="263"/>
      <c r="G239" s="313">
        <f>IF(G79*'SEP ORIGEN'!G79&lt;='GENERADO PS locales'!$D239,G79*'SEP ORIGEN'!G79,"Excede capacidad PS")</f>
        <v>0</v>
      </c>
      <c r="H239" s="313">
        <f>IF(H79*'SEP ORIGEN'!H79&lt;='GENERADO PS locales'!$D239,H79*'SEP ORIGEN'!H79,"Excede capacidad PS")</f>
        <v>0</v>
      </c>
      <c r="I239" s="313">
        <f>IF(I79*'SEP ORIGEN'!I79&lt;='GENERADO PS locales'!$D239,I79*'SEP ORIGEN'!I79,"Excede capacidad PS")</f>
        <v>0</v>
      </c>
      <c r="J239" s="313">
        <f>IF(J79*'SEP ORIGEN'!J79&lt;='GENERADO PS locales'!$D239,J79*'SEP ORIGEN'!J79,"Excede capacidad PS")</f>
        <v>0</v>
      </c>
      <c r="K239" s="313">
        <f>IF(K79*'SEP ORIGEN'!K79&lt;='GENERADO PS locales'!$D239,K79*'SEP ORIGEN'!K79,"Excede capacidad PS")</f>
        <v>0</v>
      </c>
      <c r="L239" s="313">
        <f>IF(L79*'SEP ORIGEN'!L79&lt;='GENERADO PS locales'!$D239,L79*'SEP ORIGEN'!L79,"Excede capacidad PS")</f>
        <v>0</v>
      </c>
      <c r="M239" s="313">
        <f>IF(M79*'SEP ORIGEN'!M79&lt;='GENERADO PS locales'!$D239,M79*'SEP ORIGEN'!M79,"Excede capacidad PS")</f>
        <v>0</v>
      </c>
      <c r="N239" s="313">
        <f>IF(N79*'SEP ORIGEN'!N79&lt;='GENERADO PS locales'!$D239,N79*'SEP ORIGEN'!N79,"Excede capacidad PS")</f>
        <v>0</v>
      </c>
      <c r="O239" s="313">
        <f>IF(O79*'SEP ORIGEN'!O79&lt;='GENERADO PS locales'!$D239,O79*'SEP ORIGEN'!O79,"Excede capacidad PS")</f>
        <v>0</v>
      </c>
      <c r="P239" s="313">
        <f>IF(P79*'SEP ORIGEN'!P79&lt;='GENERADO PS locales'!$D239,P79*'SEP ORIGEN'!P79,"Excede capacidad PS")</f>
        <v>0</v>
      </c>
      <c r="Q239" s="313">
        <f>IF(Q79*'SEP ORIGEN'!Q79&lt;='GENERADO PS locales'!$D239,Q79*'SEP ORIGEN'!Q79,"Excede capacidad PS")</f>
        <v>0</v>
      </c>
      <c r="R239" s="313">
        <f>IF(R79*'SEP ORIGEN'!R79&lt;='GENERADO PS locales'!$D239,R79*'SEP ORIGEN'!R79,"Excede capacidad PS")</f>
        <v>0</v>
      </c>
      <c r="S239" s="313">
        <f>IF(S79*'SEP ORIGEN'!S79&lt;='GENERADO PS locales'!$D239,S79*'SEP ORIGEN'!S79,"Excede capacidad PS")</f>
        <v>0</v>
      </c>
      <c r="T239" s="313">
        <f>IF(T79*'SEP ORIGEN'!T79&lt;='GENERADO PS locales'!$D239,T79*'SEP ORIGEN'!T79,"Excede capacidad PS")</f>
        <v>0</v>
      </c>
      <c r="U239" s="313">
        <f>IF(U79*'SEP ORIGEN'!U79&lt;='GENERADO PS locales'!$D239,U79*'SEP ORIGEN'!U79,"Excede capacidad PS")</f>
        <v>0</v>
      </c>
      <c r="V239" s="313">
        <f>IF(V79*'SEP ORIGEN'!V79&lt;='GENERADO PS locales'!$D239,V79*'SEP ORIGEN'!V79,"Excede capacidad PS")</f>
        <v>0</v>
      </c>
      <c r="W239" s="313">
        <f>IF(W79*'SEP ORIGEN'!W79&lt;='GENERADO PS locales'!$D239,W79*'SEP ORIGEN'!W79,"Excede capacidad PS")</f>
        <v>0</v>
      </c>
      <c r="X239" s="313">
        <f>IF(X79*'SEP ORIGEN'!X79&lt;='GENERADO PS locales'!$D239,X79*'SEP ORIGEN'!X79,"Excede capacidad PS")</f>
        <v>0</v>
      </c>
      <c r="Y239" s="313">
        <f>IF(Y79*'SEP ORIGEN'!Y79&lt;='GENERADO PS locales'!$D239,Y79*'SEP ORIGEN'!Y79,"Excede capacidad PS")</f>
        <v>0</v>
      </c>
      <c r="Z239" s="313">
        <f>IF(Z79*'SEP ORIGEN'!Z79&lt;='GENERADO PS locales'!$D239,Z79*'SEP ORIGEN'!Z79,"Excede capacidad PS")</f>
        <v>0</v>
      </c>
    </row>
    <row r="240" spans="1:26" ht="24.95" customHeight="1">
      <c r="A240" s="260" t="str">
        <f>+Pobl_adoptada!A80</f>
        <v>General Villegas</v>
      </c>
      <c r="B240" s="70">
        <f>+Pobl_adoptada!B80</f>
        <v>76</v>
      </c>
      <c r="C240" s="71" t="str">
        <f>+Pobl_adoptada!C80</f>
        <v>General Villegas</v>
      </c>
      <c r="D240" s="311">
        <v>0</v>
      </c>
      <c r="E240" s="278"/>
      <c r="F240" s="263"/>
      <c r="G240" s="313">
        <f>IF(G80*'SEP ORIGEN'!G80&lt;='GENERADO PS locales'!$D240,G80*'SEP ORIGEN'!G80,"Excede capacidad PS")</f>
        <v>0</v>
      </c>
      <c r="H240" s="313">
        <f>IF(H80*'SEP ORIGEN'!H80&lt;='GENERADO PS locales'!$D240,H80*'SEP ORIGEN'!H80,"Excede capacidad PS")</f>
        <v>0</v>
      </c>
      <c r="I240" s="313">
        <f>IF(I80*'SEP ORIGEN'!I80&lt;='GENERADO PS locales'!$D240,I80*'SEP ORIGEN'!I80,"Excede capacidad PS")</f>
        <v>0</v>
      </c>
      <c r="J240" s="313">
        <f>IF(J80*'SEP ORIGEN'!J80&lt;='GENERADO PS locales'!$D240,J80*'SEP ORIGEN'!J80,"Excede capacidad PS")</f>
        <v>0</v>
      </c>
      <c r="K240" s="313">
        <f>IF(K80*'SEP ORIGEN'!K80&lt;='GENERADO PS locales'!$D240,K80*'SEP ORIGEN'!K80,"Excede capacidad PS")</f>
        <v>0</v>
      </c>
      <c r="L240" s="313">
        <f>IF(L80*'SEP ORIGEN'!L80&lt;='GENERADO PS locales'!$D240,L80*'SEP ORIGEN'!L80,"Excede capacidad PS")</f>
        <v>0</v>
      </c>
      <c r="M240" s="313">
        <f>IF(M80*'SEP ORIGEN'!M80&lt;='GENERADO PS locales'!$D240,M80*'SEP ORIGEN'!M80,"Excede capacidad PS")</f>
        <v>0</v>
      </c>
      <c r="N240" s="313">
        <f>IF(N80*'SEP ORIGEN'!N80&lt;='GENERADO PS locales'!$D240,N80*'SEP ORIGEN'!N80,"Excede capacidad PS")</f>
        <v>0</v>
      </c>
      <c r="O240" s="313">
        <f>IF(O80*'SEP ORIGEN'!O80&lt;='GENERADO PS locales'!$D240,O80*'SEP ORIGEN'!O80,"Excede capacidad PS")</f>
        <v>0</v>
      </c>
      <c r="P240" s="313">
        <f>IF(P80*'SEP ORIGEN'!P80&lt;='GENERADO PS locales'!$D240,P80*'SEP ORIGEN'!P80,"Excede capacidad PS")</f>
        <v>0</v>
      </c>
      <c r="Q240" s="313">
        <f>IF(Q80*'SEP ORIGEN'!Q80&lt;='GENERADO PS locales'!$D240,Q80*'SEP ORIGEN'!Q80,"Excede capacidad PS")</f>
        <v>0</v>
      </c>
      <c r="R240" s="313">
        <f>IF(R80*'SEP ORIGEN'!R80&lt;='GENERADO PS locales'!$D240,R80*'SEP ORIGEN'!R80,"Excede capacidad PS")</f>
        <v>0</v>
      </c>
      <c r="S240" s="313">
        <f>IF(S80*'SEP ORIGEN'!S80&lt;='GENERADO PS locales'!$D240,S80*'SEP ORIGEN'!S80,"Excede capacidad PS")</f>
        <v>0</v>
      </c>
      <c r="T240" s="313">
        <f>IF(T80*'SEP ORIGEN'!T80&lt;='GENERADO PS locales'!$D240,T80*'SEP ORIGEN'!T80,"Excede capacidad PS")</f>
        <v>0</v>
      </c>
      <c r="U240" s="313">
        <f>IF(U80*'SEP ORIGEN'!U80&lt;='GENERADO PS locales'!$D240,U80*'SEP ORIGEN'!U80,"Excede capacidad PS")</f>
        <v>0</v>
      </c>
      <c r="V240" s="313">
        <f>IF(V80*'SEP ORIGEN'!V80&lt;='GENERADO PS locales'!$D240,V80*'SEP ORIGEN'!V80,"Excede capacidad PS")</f>
        <v>0</v>
      </c>
      <c r="W240" s="313">
        <f>IF(W80*'SEP ORIGEN'!W80&lt;='GENERADO PS locales'!$D240,W80*'SEP ORIGEN'!W80,"Excede capacidad PS")</f>
        <v>0</v>
      </c>
      <c r="X240" s="313">
        <f>IF(X80*'SEP ORIGEN'!X80&lt;='GENERADO PS locales'!$D240,X80*'SEP ORIGEN'!X80,"Excede capacidad PS")</f>
        <v>0</v>
      </c>
      <c r="Y240" s="313">
        <f>IF(Y80*'SEP ORIGEN'!Y80&lt;='GENERADO PS locales'!$D240,Y80*'SEP ORIGEN'!Y80,"Excede capacidad PS")</f>
        <v>0</v>
      </c>
      <c r="Z240" s="313">
        <f>IF(Z80*'SEP ORIGEN'!Z80&lt;='GENERADO PS locales'!$D240,Z80*'SEP ORIGEN'!Z80,"Excede capacidad PS")</f>
        <v>0</v>
      </c>
    </row>
    <row r="241" spans="1:26" ht="24.95" customHeight="1">
      <c r="A241" s="260" t="str">
        <f>+Pobl_adoptada!A81</f>
        <v>Guaminí</v>
      </c>
      <c r="B241" s="70">
        <f>+Pobl_adoptada!B81</f>
        <v>77</v>
      </c>
      <c r="C241" s="71" t="str">
        <f>+Pobl_adoptada!C81</f>
        <v>Guaminí</v>
      </c>
      <c r="D241" s="311">
        <v>0</v>
      </c>
      <c r="E241" s="278"/>
      <c r="F241" s="263"/>
      <c r="G241" s="313">
        <f>IF(G81*'SEP ORIGEN'!G81&lt;='GENERADO PS locales'!$D241,G81*'SEP ORIGEN'!G81,"Excede capacidad PS")</f>
        <v>0</v>
      </c>
      <c r="H241" s="313">
        <f>IF(H81*'SEP ORIGEN'!H81&lt;='GENERADO PS locales'!$D241,H81*'SEP ORIGEN'!H81,"Excede capacidad PS")</f>
        <v>0</v>
      </c>
      <c r="I241" s="313">
        <f>IF(I81*'SEP ORIGEN'!I81&lt;='GENERADO PS locales'!$D241,I81*'SEP ORIGEN'!I81,"Excede capacidad PS")</f>
        <v>0</v>
      </c>
      <c r="J241" s="313">
        <f>IF(J81*'SEP ORIGEN'!J81&lt;='GENERADO PS locales'!$D241,J81*'SEP ORIGEN'!J81,"Excede capacidad PS")</f>
        <v>0</v>
      </c>
      <c r="K241" s="313">
        <f>IF(K81*'SEP ORIGEN'!K81&lt;='GENERADO PS locales'!$D241,K81*'SEP ORIGEN'!K81,"Excede capacidad PS")</f>
        <v>0</v>
      </c>
      <c r="L241" s="313">
        <f>IF(L81*'SEP ORIGEN'!L81&lt;='GENERADO PS locales'!$D241,L81*'SEP ORIGEN'!L81,"Excede capacidad PS")</f>
        <v>0</v>
      </c>
      <c r="M241" s="313">
        <f>IF(M81*'SEP ORIGEN'!M81&lt;='GENERADO PS locales'!$D241,M81*'SEP ORIGEN'!M81,"Excede capacidad PS")</f>
        <v>0</v>
      </c>
      <c r="N241" s="313">
        <f>IF(N81*'SEP ORIGEN'!N81&lt;='GENERADO PS locales'!$D241,N81*'SEP ORIGEN'!N81,"Excede capacidad PS")</f>
        <v>0</v>
      </c>
      <c r="O241" s="313">
        <f>IF(O81*'SEP ORIGEN'!O81&lt;='GENERADO PS locales'!$D241,O81*'SEP ORIGEN'!O81,"Excede capacidad PS")</f>
        <v>0</v>
      </c>
      <c r="P241" s="313">
        <f>IF(P81*'SEP ORIGEN'!P81&lt;='GENERADO PS locales'!$D241,P81*'SEP ORIGEN'!P81,"Excede capacidad PS")</f>
        <v>0</v>
      </c>
      <c r="Q241" s="313">
        <f>IF(Q81*'SEP ORIGEN'!Q81&lt;='GENERADO PS locales'!$D241,Q81*'SEP ORIGEN'!Q81,"Excede capacidad PS")</f>
        <v>0</v>
      </c>
      <c r="R241" s="313">
        <f>IF(R81*'SEP ORIGEN'!R81&lt;='GENERADO PS locales'!$D241,R81*'SEP ORIGEN'!R81,"Excede capacidad PS")</f>
        <v>0</v>
      </c>
      <c r="S241" s="313">
        <f>IF(S81*'SEP ORIGEN'!S81&lt;='GENERADO PS locales'!$D241,S81*'SEP ORIGEN'!S81,"Excede capacidad PS")</f>
        <v>0</v>
      </c>
      <c r="T241" s="313">
        <f>IF(T81*'SEP ORIGEN'!T81&lt;='GENERADO PS locales'!$D241,T81*'SEP ORIGEN'!T81,"Excede capacidad PS")</f>
        <v>0</v>
      </c>
      <c r="U241" s="313">
        <f>IF(U81*'SEP ORIGEN'!U81&lt;='GENERADO PS locales'!$D241,U81*'SEP ORIGEN'!U81,"Excede capacidad PS")</f>
        <v>0</v>
      </c>
      <c r="V241" s="313">
        <f>IF(V81*'SEP ORIGEN'!V81&lt;='GENERADO PS locales'!$D241,V81*'SEP ORIGEN'!V81,"Excede capacidad PS")</f>
        <v>0</v>
      </c>
      <c r="W241" s="313">
        <f>IF(W81*'SEP ORIGEN'!W81&lt;='GENERADO PS locales'!$D241,W81*'SEP ORIGEN'!W81,"Excede capacidad PS")</f>
        <v>0</v>
      </c>
      <c r="X241" s="313">
        <f>IF(X81*'SEP ORIGEN'!X81&lt;='GENERADO PS locales'!$D241,X81*'SEP ORIGEN'!X81,"Excede capacidad PS")</f>
        <v>0</v>
      </c>
      <c r="Y241" s="313">
        <f>IF(Y81*'SEP ORIGEN'!Y81&lt;='GENERADO PS locales'!$D241,Y81*'SEP ORIGEN'!Y81,"Excede capacidad PS")</f>
        <v>0</v>
      </c>
      <c r="Z241" s="313">
        <f>IF(Z81*'SEP ORIGEN'!Z81&lt;='GENERADO PS locales'!$D241,Z81*'SEP ORIGEN'!Z81,"Excede capacidad PS")</f>
        <v>0</v>
      </c>
    </row>
    <row r="242" spans="1:26" ht="24.95" customHeight="1">
      <c r="A242" s="260" t="str">
        <f>+Pobl_adoptada!A82</f>
        <v>Hipólito Yrigoyen</v>
      </c>
      <c r="B242" s="70">
        <f>+Pobl_adoptada!B82</f>
        <v>78</v>
      </c>
      <c r="C242" s="71" t="str">
        <f>+Pobl_adoptada!C82</f>
        <v>Henderson</v>
      </c>
      <c r="D242" s="311">
        <v>0</v>
      </c>
      <c r="E242" s="278"/>
      <c r="F242" s="263"/>
      <c r="G242" s="313">
        <f>IF(G82*'SEP ORIGEN'!G82&lt;='GENERADO PS locales'!$D242,G82*'SEP ORIGEN'!G82,"Excede capacidad PS")</f>
        <v>0</v>
      </c>
      <c r="H242" s="313">
        <f>IF(H82*'SEP ORIGEN'!H82&lt;='GENERADO PS locales'!$D242,H82*'SEP ORIGEN'!H82,"Excede capacidad PS")</f>
        <v>0</v>
      </c>
      <c r="I242" s="313">
        <f>IF(I82*'SEP ORIGEN'!I82&lt;='GENERADO PS locales'!$D242,I82*'SEP ORIGEN'!I82,"Excede capacidad PS")</f>
        <v>0</v>
      </c>
      <c r="J242" s="313">
        <f>IF(J82*'SEP ORIGEN'!J82&lt;='GENERADO PS locales'!$D242,J82*'SEP ORIGEN'!J82,"Excede capacidad PS")</f>
        <v>0</v>
      </c>
      <c r="K242" s="313">
        <f>IF(K82*'SEP ORIGEN'!K82&lt;='GENERADO PS locales'!$D242,K82*'SEP ORIGEN'!K82,"Excede capacidad PS")</f>
        <v>0</v>
      </c>
      <c r="L242" s="313">
        <f>IF(L82*'SEP ORIGEN'!L82&lt;='GENERADO PS locales'!$D242,L82*'SEP ORIGEN'!L82,"Excede capacidad PS")</f>
        <v>0</v>
      </c>
      <c r="M242" s="313">
        <f>IF(M82*'SEP ORIGEN'!M82&lt;='GENERADO PS locales'!$D242,M82*'SEP ORIGEN'!M82,"Excede capacidad PS")</f>
        <v>0</v>
      </c>
      <c r="N242" s="313">
        <f>IF(N82*'SEP ORIGEN'!N82&lt;='GENERADO PS locales'!$D242,N82*'SEP ORIGEN'!N82,"Excede capacidad PS")</f>
        <v>0</v>
      </c>
      <c r="O242" s="313">
        <f>IF(O82*'SEP ORIGEN'!O82&lt;='GENERADO PS locales'!$D242,O82*'SEP ORIGEN'!O82,"Excede capacidad PS")</f>
        <v>0</v>
      </c>
      <c r="P242" s="313">
        <f>IF(P82*'SEP ORIGEN'!P82&lt;='GENERADO PS locales'!$D242,P82*'SEP ORIGEN'!P82,"Excede capacidad PS")</f>
        <v>0</v>
      </c>
      <c r="Q242" s="313">
        <f>IF(Q82*'SEP ORIGEN'!Q82&lt;='GENERADO PS locales'!$D242,Q82*'SEP ORIGEN'!Q82,"Excede capacidad PS")</f>
        <v>0</v>
      </c>
      <c r="R242" s="313">
        <f>IF(R82*'SEP ORIGEN'!R82&lt;='GENERADO PS locales'!$D242,R82*'SEP ORIGEN'!R82,"Excede capacidad PS")</f>
        <v>0</v>
      </c>
      <c r="S242" s="313">
        <f>IF(S82*'SEP ORIGEN'!S82&lt;='GENERADO PS locales'!$D242,S82*'SEP ORIGEN'!S82,"Excede capacidad PS")</f>
        <v>0</v>
      </c>
      <c r="T242" s="313">
        <f>IF(T82*'SEP ORIGEN'!T82&lt;='GENERADO PS locales'!$D242,T82*'SEP ORIGEN'!T82,"Excede capacidad PS")</f>
        <v>0</v>
      </c>
      <c r="U242" s="313">
        <f>IF(U82*'SEP ORIGEN'!U82&lt;='GENERADO PS locales'!$D242,U82*'SEP ORIGEN'!U82,"Excede capacidad PS")</f>
        <v>0</v>
      </c>
      <c r="V242" s="313">
        <f>IF(V82*'SEP ORIGEN'!V82&lt;='GENERADO PS locales'!$D242,V82*'SEP ORIGEN'!V82,"Excede capacidad PS")</f>
        <v>0</v>
      </c>
      <c r="W242" s="313">
        <f>IF(W82*'SEP ORIGEN'!W82&lt;='GENERADO PS locales'!$D242,W82*'SEP ORIGEN'!W82,"Excede capacidad PS")</f>
        <v>0</v>
      </c>
      <c r="X242" s="313">
        <f>IF(X82*'SEP ORIGEN'!X82&lt;='GENERADO PS locales'!$D242,X82*'SEP ORIGEN'!X82,"Excede capacidad PS")</f>
        <v>0</v>
      </c>
      <c r="Y242" s="313">
        <f>IF(Y82*'SEP ORIGEN'!Y82&lt;='GENERADO PS locales'!$D242,Y82*'SEP ORIGEN'!Y82,"Excede capacidad PS")</f>
        <v>0</v>
      </c>
      <c r="Z242" s="313">
        <f>IF(Z82*'SEP ORIGEN'!Z82&lt;='GENERADO PS locales'!$D242,Z82*'SEP ORIGEN'!Z82,"Excede capacidad PS")</f>
        <v>0</v>
      </c>
    </row>
    <row r="243" spans="1:26" ht="24.95" customHeight="1">
      <c r="A243" s="260" t="str">
        <f>+Pobl_adoptada!A83</f>
        <v>Junín</v>
      </c>
      <c r="B243" s="70">
        <f>+Pobl_adoptada!B83</f>
        <v>79</v>
      </c>
      <c r="C243" s="71" t="str">
        <f>+Pobl_adoptada!C83</f>
        <v>Junín</v>
      </c>
      <c r="D243" s="311">
        <v>0</v>
      </c>
      <c r="E243" s="278"/>
      <c r="F243" s="263"/>
      <c r="G243" s="313">
        <f>IF(G83*'SEP ORIGEN'!G83&lt;='GENERADO PS locales'!$D243,G83*'SEP ORIGEN'!G83,"Excede capacidad PS")</f>
        <v>0</v>
      </c>
      <c r="H243" s="313">
        <f>IF(H83*'SEP ORIGEN'!H83&lt;='GENERADO PS locales'!$D243,H83*'SEP ORIGEN'!H83,"Excede capacidad PS")</f>
        <v>0</v>
      </c>
      <c r="I243" s="313">
        <f>IF(I83*'SEP ORIGEN'!I83&lt;='GENERADO PS locales'!$D243,I83*'SEP ORIGEN'!I83,"Excede capacidad PS")</f>
        <v>0</v>
      </c>
      <c r="J243" s="313">
        <f>IF(J83*'SEP ORIGEN'!J83&lt;='GENERADO PS locales'!$D243,J83*'SEP ORIGEN'!J83,"Excede capacidad PS")</f>
        <v>0</v>
      </c>
      <c r="K243" s="313">
        <f>IF(K83*'SEP ORIGEN'!K83&lt;='GENERADO PS locales'!$D243,K83*'SEP ORIGEN'!K83,"Excede capacidad PS")</f>
        <v>0</v>
      </c>
      <c r="L243" s="313">
        <f>IF(L83*'SEP ORIGEN'!L83&lt;='GENERADO PS locales'!$D243,L83*'SEP ORIGEN'!L83,"Excede capacidad PS")</f>
        <v>0</v>
      </c>
      <c r="M243" s="313">
        <f>IF(M83*'SEP ORIGEN'!M83&lt;='GENERADO PS locales'!$D243,M83*'SEP ORIGEN'!M83,"Excede capacidad PS")</f>
        <v>0</v>
      </c>
      <c r="N243" s="313">
        <f>IF(N83*'SEP ORIGEN'!N83&lt;='GENERADO PS locales'!$D243,N83*'SEP ORIGEN'!N83,"Excede capacidad PS")</f>
        <v>0</v>
      </c>
      <c r="O243" s="313">
        <f>IF(O83*'SEP ORIGEN'!O83&lt;='GENERADO PS locales'!$D243,O83*'SEP ORIGEN'!O83,"Excede capacidad PS")</f>
        <v>0</v>
      </c>
      <c r="P243" s="313">
        <f>IF(P83*'SEP ORIGEN'!P83&lt;='GENERADO PS locales'!$D243,P83*'SEP ORIGEN'!P83,"Excede capacidad PS")</f>
        <v>0</v>
      </c>
      <c r="Q243" s="313">
        <f>IF(Q83*'SEP ORIGEN'!Q83&lt;='GENERADO PS locales'!$D243,Q83*'SEP ORIGEN'!Q83,"Excede capacidad PS")</f>
        <v>0</v>
      </c>
      <c r="R243" s="313">
        <f>IF(R83*'SEP ORIGEN'!R83&lt;='GENERADO PS locales'!$D243,R83*'SEP ORIGEN'!R83,"Excede capacidad PS")</f>
        <v>0</v>
      </c>
      <c r="S243" s="313">
        <f>IF(S83*'SEP ORIGEN'!S83&lt;='GENERADO PS locales'!$D243,S83*'SEP ORIGEN'!S83,"Excede capacidad PS")</f>
        <v>0</v>
      </c>
      <c r="T243" s="313">
        <f>IF(T83*'SEP ORIGEN'!T83&lt;='GENERADO PS locales'!$D243,T83*'SEP ORIGEN'!T83,"Excede capacidad PS")</f>
        <v>0</v>
      </c>
      <c r="U243" s="313">
        <f>IF(U83*'SEP ORIGEN'!U83&lt;='GENERADO PS locales'!$D243,U83*'SEP ORIGEN'!U83,"Excede capacidad PS")</f>
        <v>0</v>
      </c>
      <c r="V243" s="313">
        <f>IF(V83*'SEP ORIGEN'!V83&lt;='GENERADO PS locales'!$D243,V83*'SEP ORIGEN'!V83,"Excede capacidad PS")</f>
        <v>0</v>
      </c>
      <c r="W243" s="313">
        <f>IF(W83*'SEP ORIGEN'!W83&lt;='GENERADO PS locales'!$D243,W83*'SEP ORIGEN'!W83,"Excede capacidad PS")</f>
        <v>0</v>
      </c>
      <c r="X243" s="313">
        <f>IF(X83*'SEP ORIGEN'!X83&lt;='GENERADO PS locales'!$D243,X83*'SEP ORIGEN'!X83,"Excede capacidad PS")</f>
        <v>0</v>
      </c>
      <c r="Y243" s="313">
        <f>IF(Y83*'SEP ORIGEN'!Y83&lt;='GENERADO PS locales'!$D243,Y83*'SEP ORIGEN'!Y83,"Excede capacidad PS")</f>
        <v>0</v>
      </c>
      <c r="Z243" s="313">
        <f>IF(Z83*'SEP ORIGEN'!Z83&lt;='GENERADO PS locales'!$D243,Z83*'SEP ORIGEN'!Z83,"Excede capacidad PS")</f>
        <v>0</v>
      </c>
    </row>
    <row r="244" spans="1:26" ht="24.95" customHeight="1">
      <c r="A244" s="260" t="str">
        <f>+Pobl_adoptada!A84</f>
        <v>La Costa</v>
      </c>
      <c r="B244" s="70">
        <f>+Pobl_adoptada!B84</f>
        <v>80</v>
      </c>
      <c r="C244" s="71" t="str">
        <f>+Pobl_adoptada!C84</f>
        <v>Mar de Ajó - San Bernardo</v>
      </c>
      <c r="D244" s="311">
        <v>0</v>
      </c>
      <c r="E244" s="278"/>
      <c r="F244" s="263"/>
      <c r="G244" s="313">
        <f>IF(G84*'SEP ORIGEN'!G84&lt;='GENERADO PS locales'!$D244,G84*'SEP ORIGEN'!G84,"Excede capacidad PS")</f>
        <v>0</v>
      </c>
      <c r="H244" s="313">
        <f>IF(H84*'SEP ORIGEN'!H84&lt;='GENERADO PS locales'!$D244,H84*'SEP ORIGEN'!H84,"Excede capacidad PS")</f>
        <v>0</v>
      </c>
      <c r="I244" s="313">
        <f>IF(I84*'SEP ORIGEN'!I84&lt;='GENERADO PS locales'!$D244,I84*'SEP ORIGEN'!I84,"Excede capacidad PS")</f>
        <v>0</v>
      </c>
      <c r="J244" s="313">
        <f>IF(J84*'SEP ORIGEN'!J84&lt;='GENERADO PS locales'!$D244,J84*'SEP ORIGEN'!J84,"Excede capacidad PS")</f>
        <v>0</v>
      </c>
      <c r="K244" s="313">
        <f>IF(K84*'SEP ORIGEN'!K84&lt;='GENERADO PS locales'!$D244,K84*'SEP ORIGEN'!K84,"Excede capacidad PS")</f>
        <v>0</v>
      </c>
      <c r="L244" s="313">
        <f>IF(L84*'SEP ORIGEN'!L84&lt;='GENERADO PS locales'!$D244,L84*'SEP ORIGEN'!L84,"Excede capacidad PS")</f>
        <v>0</v>
      </c>
      <c r="M244" s="313">
        <f>IF(M84*'SEP ORIGEN'!M84&lt;='GENERADO PS locales'!$D244,M84*'SEP ORIGEN'!M84,"Excede capacidad PS")</f>
        <v>0</v>
      </c>
      <c r="N244" s="313">
        <f>IF(N84*'SEP ORIGEN'!N84&lt;='GENERADO PS locales'!$D244,N84*'SEP ORIGEN'!N84,"Excede capacidad PS")</f>
        <v>0</v>
      </c>
      <c r="O244" s="313">
        <f>IF(O84*'SEP ORIGEN'!O84&lt;='GENERADO PS locales'!$D244,O84*'SEP ORIGEN'!O84,"Excede capacidad PS")</f>
        <v>0</v>
      </c>
      <c r="P244" s="313">
        <f>IF(P84*'SEP ORIGEN'!P84&lt;='GENERADO PS locales'!$D244,P84*'SEP ORIGEN'!P84,"Excede capacidad PS")</f>
        <v>0</v>
      </c>
      <c r="Q244" s="313">
        <f>IF(Q84*'SEP ORIGEN'!Q84&lt;='GENERADO PS locales'!$D244,Q84*'SEP ORIGEN'!Q84,"Excede capacidad PS")</f>
        <v>0</v>
      </c>
      <c r="R244" s="313">
        <f>IF(R84*'SEP ORIGEN'!R84&lt;='GENERADO PS locales'!$D244,R84*'SEP ORIGEN'!R84,"Excede capacidad PS")</f>
        <v>0</v>
      </c>
      <c r="S244" s="313">
        <f>IF(S84*'SEP ORIGEN'!S84&lt;='GENERADO PS locales'!$D244,S84*'SEP ORIGEN'!S84,"Excede capacidad PS")</f>
        <v>0</v>
      </c>
      <c r="T244" s="313">
        <f>IF(T84*'SEP ORIGEN'!T84&lt;='GENERADO PS locales'!$D244,T84*'SEP ORIGEN'!T84,"Excede capacidad PS")</f>
        <v>0</v>
      </c>
      <c r="U244" s="313">
        <f>IF(U84*'SEP ORIGEN'!U84&lt;='GENERADO PS locales'!$D244,U84*'SEP ORIGEN'!U84,"Excede capacidad PS")</f>
        <v>0</v>
      </c>
      <c r="V244" s="313">
        <f>IF(V84*'SEP ORIGEN'!V84&lt;='GENERADO PS locales'!$D244,V84*'SEP ORIGEN'!V84,"Excede capacidad PS")</f>
        <v>0</v>
      </c>
      <c r="W244" s="313">
        <f>IF(W84*'SEP ORIGEN'!W84&lt;='GENERADO PS locales'!$D244,W84*'SEP ORIGEN'!W84,"Excede capacidad PS")</f>
        <v>0</v>
      </c>
      <c r="X244" s="313">
        <f>IF(X84*'SEP ORIGEN'!X84&lt;='GENERADO PS locales'!$D244,X84*'SEP ORIGEN'!X84,"Excede capacidad PS")</f>
        <v>0</v>
      </c>
      <c r="Y244" s="313">
        <f>IF(Y84*'SEP ORIGEN'!Y84&lt;='GENERADO PS locales'!$D244,Y84*'SEP ORIGEN'!Y84,"Excede capacidad PS")</f>
        <v>0</v>
      </c>
      <c r="Z244" s="313">
        <f>IF(Z84*'SEP ORIGEN'!Z84&lt;='GENERADO PS locales'!$D244,Z84*'SEP ORIGEN'!Z84,"Excede capacidad PS")</f>
        <v>0</v>
      </c>
    </row>
    <row r="245" spans="1:26" ht="24.95" customHeight="1">
      <c r="A245" s="260" t="str">
        <f>+Pobl_adoptada!A85</f>
        <v>La Costa</v>
      </c>
      <c r="B245" s="70">
        <f>+Pobl_adoptada!B85</f>
        <v>81</v>
      </c>
      <c r="C245" s="71" t="str">
        <f>+Pobl_adoptada!C85</f>
        <v>Santa Teresita - Mar del Tuyú</v>
      </c>
      <c r="D245" s="311">
        <v>0</v>
      </c>
      <c r="E245" s="278"/>
      <c r="F245" s="263"/>
      <c r="G245" s="313">
        <f>IF(G85*'SEP ORIGEN'!G85&lt;='GENERADO PS locales'!$D245,G85*'SEP ORIGEN'!G85,"Excede capacidad PS")</f>
        <v>0</v>
      </c>
      <c r="H245" s="313">
        <f>IF(H85*'SEP ORIGEN'!H85&lt;='GENERADO PS locales'!$D245,H85*'SEP ORIGEN'!H85,"Excede capacidad PS")</f>
        <v>0</v>
      </c>
      <c r="I245" s="313">
        <f>IF(I85*'SEP ORIGEN'!I85&lt;='GENERADO PS locales'!$D245,I85*'SEP ORIGEN'!I85,"Excede capacidad PS")</f>
        <v>0</v>
      </c>
      <c r="J245" s="313">
        <f>IF(J85*'SEP ORIGEN'!J85&lt;='GENERADO PS locales'!$D245,J85*'SEP ORIGEN'!J85,"Excede capacidad PS")</f>
        <v>0</v>
      </c>
      <c r="K245" s="313">
        <f>IF(K85*'SEP ORIGEN'!K85&lt;='GENERADO PS locales'!$D245,K85*'SEP ORIGEN'!K85,"Excede capacidad PS")</f>
        <v>0</v>
      </c>
      <c r="L245" s="313">
        <f>IF(L85*'SEP ORIGEN'!L85&lt;='GENERADO PS locales'!$D245,L85*'SEP ORIGEN'!L85,"Excede capacidad PS")</f>
        <v>0</v>
      </c>
      <c r="M245" s="313">
        <f>IF(M85*'SEP ORIGEN'!M85&lt;='GENERADO PS locales'!$D245,M85*'SEP ORIGEN'!M85,"Excede capacidad PS")</f>
        <v>0</v>
      </c>
      <c r="N245" s="313">
        <f>IF(N85*'SEP ORIGEN'!N85&lt;='GENERADO PS locales'!$D245,N85*'SEP ORIGEN'!N85,"Excede capacidad PS")</f>
        <v>0</v>
      </c>
      <c r="O245" s="313">
        <f>IF(O85*'SEP ORIGEN'!O85&lt;='GENERADO PS locales'!$D245,O85*'SEP ORIGEN'!O85,"Excede capacidad PS")</f>
        <v>0</v>
      </c>
      <c r="P245" s="313">
        <f>IF(P85*'SEP ORIGEN'!P85&lt;='GENERADO PS locales'!$D245,P85*'SEP ORIGEN'!P85,"Excede capacidad PS")</f>
        <v>0</v>
      </c>
      <c r="Q245" s="313">
        <f>IF(Q85*'SEP ORIGEN'!Q85&lt;='GENERADO PS locales'!$D245,Q85*'SEP ORIGEN'!Q85,"Excede capacidad PS")</f>
        <v>0</v>
      </c>
      <c r="R245" s="313">
        <f>IF(R85*'SEP ORIGEN'!R85&lt;='GENERADO PS locales'!$D245,R85*'SEP ORIGEN'!R85,"Excede capacidad PS")</f>
        <v>0</v>
      </c>
      <c r="S245" s="313">
        <f>IF(S85*'SEP ORIGEN'!S85&lt;='GENERADO PS locales'!$D245,S85*'SEP ORIGEN'!S85,"Excede capacidad PS")</f>
        <v>0</v>
      </c>
      <c r="T245" s="313">
        <f>IF(T85*'SEP ORIGEN'!T85&lt;='GENERADO PS locales'!$D245,T85*'SEP ORIGEN'!T85,"Excede capacidad PS")</f>
        <v>0</v>
      </c>
      <c r="U245" s="313">
        <f>IF(U85*'SEP ORIGEN'!U85&lt;='GENERADO PS locales'!$D245,U85*'SEP ORIGEN'!U85,"Excede capacidad PS")</f>
        <v>0</v>
      </c>
      <c r="V245" s="313">
        <f>IF(V85*'SEP ORIGEN'!V85&lt;='GENERADO PS locales'!$D245,V85*'SEP ORIGEN'!V85,"Excede capacidad PS")</f>
        <v>0</v>
      </c>
      <c r="W245" s="313">
        <f>IF(W85*'SEP ORIGEN'!W85&lt;='GENERADO PS locales'!$D245,W85*'SEP ORIGEN'!W85,"Excede capacidad PS")</f>
        <v>0</v>
      </c>
      <c r="X245" s="313">
        <f>IF(X85*'SEP ORIGEN'!X85&lt;='GENERADO PS locales'!$D245,X85*'SEP ORIGEN'!X85,"Excede capacidad PS")</f>
        <v>0</v>
      </c>
      <c r="Y245" s="313">
        <f>IF(Y85*'SEP ORIGEN'!Y85&lt;='GENERADO PS locales'!$D245,Y85*'SEP ORIGEN'!Y85,"Excede capacidad PS")</f>
        <v>0</v>
      </c>
      <c r="Z245" s="313">
        <f>IF(Z85*'SEP ORIGEN'!Z85&lt;='GENERADO PS locales'!$D245,Z85*'SEP ORIGEN'!Z85,"Excede capacidad PS")</f>
        <v>0</v>
      </c>
    </row>
    <row r="246" spans="1:26" ht="24.95" customHeight="1">
      <c r="A246" s="260" t="str">
        <f>+Pobl_adoptada!A86</f>
        <v>La Plata</v>
      </c>
      <c r="B246" s="70">
        <f>+Pobl_adoptada!B86</f>
        <v>82</v>
      </c>
      <c r="C246" s="71" t="str">
        <f>+Pobl_adoptada!C86</f>
        <v>La Plata</v>
      </c>
      <c r="D246" s="311">
        <v>0</v>
      </c>
      <c r="E246" s="278"/>
      <c r="F246" s="263"/>
      <c r="G246" s="313">
        <f>IF(G86*'SEP ORIGEN'!G86&lt;='GENERADO PS locales'!$D246,G86*'SEP ORIGEN'!G86,"Excede capacidad PS")</f>
        <v>0</v>
      </c>
      <c r="H246" s="313">
        <f>IF(H86*'SEP ORIGEN'!H86&lt;='GENERADO PS locales'!$D246,H86*'SEP ORIGEN'!H86,"Excede capacidad PS")</f>
        <v>0</v>
      </c>
      <c r="I246" s="313">
        <f>IF(I86*'SEP ORIGEN'!I86&lt;='GENERADO PS locales'!$D246,I86*'SEP ORIGEN'!I86,"Excede capacidad PS")</f>
        <v>0</v>
      </c>
      <c r="J246" s="313">
        <f>IF(J86*'SEP ORIGEN'!J86&lt;='GENERADO PS locales'!$D246,J86*'SEP ORIGEN'!J86,"Excede capacidad PS")</f>
        <v>0</v>
      </c>
      <c r="K246" s="313">
        <f>IF(K86*'SEP ORIGEN'!K86&lt;='GENERADO PS locales'!$D246,K86*'SEP ORIGEN'!K86,"Excede capacidad PS")</f>
        <v>0</v>
      </c>
      <c r="L246" s="313">
        <f>IF(L86*'SEP ORIGEN'!L86&lt;='GENERADO PS locales'!$D246,L86*'SEP ORIGEN'!L86,"Excede capacidad PS")</f>
        <v>0</v>
      </c>
      <c r="M246" s="313">
        <f>IF(M86*'SEP ORIGEN'!M86&lt;='GENERADO PS locales'!$D246,M86*'SEP ORIGEN'!M86,"Excede capacidad PS")</f>
        <v>0</v>
      </c>
      <c r="N246" s="313">
        <f>IF(N86*'SEP ORIGEN'!N86&lt;='GENERADO PS locales'!$D246,N86*'SEP ORIGEN'!N86,"Excede capacidad PS")</f>
        <v>0</v>
      </c>
      <c r="O246" s="313">
        <f>IF(O86*'SEP ORIGEN'!O86&lt;='GENERADO PS locales'!$D246,O86*'SEP ORIGEN'!O86,"Excede capacidad PS")</f>
        <v>0</v>
      </c>
      <c r="P246" s="313">
        <f>IF(P86*'SEP ORIGEN'!P86&lt;='GENERADO PS locales'!$D246,P86*'SEP ORIGEN'!P86,"Excede capacidad PS")</f>
        <v>0</v>
      </c>
      <c r="Q246" s="313">
        <f>IF(Q86*'SEP ORIGEN'!Q86&lt;='GENERADO PS locales'!$D246,Q86*'SEP ORIGEN'!Q86,"Excede capacidad PS")</f>
        <v>0</v>
      </c>
      <c r="R246" s="313">
        <f>IF(R86*'SEP ORIGEN'!R86&lt;='GENERADO PS locales'!$D246,R86*'SEP ORIGEN'!R86,"Excede capacidad PS")</f>
        <v>0</v>
      </c>
      <c r="S246" s="313">
        <f>IF(S86*'SEP ORIGEN'!S86&lt;='GENERADO PS locales'!$D246,S86*'SEP ORIGEN'!S86,"Excede capacidad PS")</f>
        <v>0</v>
      </c>
      <c r="T246" s="313">
        <f>IF(T86*'SEP ORIGEN'!T86&lt;='GENERADO PS locales'!$D246,T86*'SEP ORIGEN'!T86,"Excede capacidad PS")</f>
        <v>0</v>
      </c>
      <c r="U246" s="313">
        <f>IF(U86*'SEP ORIGEN'!U86&lt;='GENERADO PS locales'!$D246,U86*'SEP ORIGEN'!U86,"Excede capacidad PS")</f>
        <v>0</v>
      </c>
      <c r="V246" s="313">
        <f>IF(V86*'SEP ORIGEN'!V86&lt;='GENERADO PS locales'!$D246,V86*'SEP ORIGEN'!V86,"Excede capacidad PS")</f>
        <v>0</v>
      </c>
      <c r="W246" s="313">
        <f>IF(W86*'SEP ORIGEN'!W86&lt;='GENERADO PS locales'!$D246,W86*'SEP ORIGEN'!W86,"Excede capacidad PS")</f>
        <v>0</v>
      </c>
      <c r="X246" s="313">
        <f>IF(X86*'SEP ORIGEN'!X86&lt;='GENERADO PS locales'!$D246,X86*'SEP ORIGEN'!X86,"Excede capacidad PS")</f>
        <v>0</v>
      </c>
      <c r="Y246" s="313">
        <f>IF(Y86*'SEP ORIGEN'!Y86&lt;='GENERADO PS locales'!$D246,Y86*'SEP ORIGEN'!Y86,"Excede capacidad PS")</f>
        <v>0</v>
      </c>
      <c r="Z246" s="313">
        <f>IF(Z86*'SEP ORIGEN'!Z86&lt;='GENERADO PS locales'!$D246,Z86*'SEP ORIGEN'!Z86,"Excede capacidad PS")</f>
        <v>0</v>
      </c>
    </row>
    <row r="247" spans="1:26" ht="24.95" customHeight="1">
      <c r="A247" s="260" t="str">
        <f>+Pobl_adoptada!A87</f>
        <v>Laprida</v>
      </c>
      <c r="B247" s="70">
        <f>+Pobl_adoptada!B87</f>
        <v>83</v>
      </c>
      <c r="C247" s="71" t="str">
        <f>+Pobl_adoptada!C87</f>
        <v>Laprida</v>
      </c>
      <c r="D247" s="311">
        <v>0</v>
      </c>
      <c r="E247" s="278"/>
      <c r="F247" s="263"/>
      <c r="G247" s="313">
        <f>IF(G87*'SEP ORIGEN'!G87&lt;='GENERADO PS locales'!$D247,G87*'SEP ORIGEN'!G87,"Excede capacidad PS")</f>
        <v>0</v>
      </c>
      <c r="H247" s="313">
        <f>IF(H87*'SEP ORIGEN'!H87&lt;='GENERADO PS locales'!$D247,H87*'SEP ORIGEN'!H87,"Excede capacidad PS")</f>
        <v>0</v>
      </c>
      <c r="I247" s="313">
        <f>IF(I87*'SEP ORIGEN'!I87&lt;='GENERADO PS locales'!$D247,I87*'SEP ORIGEN'!I87,"Excede capacidad PS")</f>
        <v>0</v>
      </c>
      <c r="J247" s="313">
        <f>IF(J87*'SEP ORIGEN'!J87&lt;='GENERADO PS locales'!$D247,J87*'SEP ORIGEN'!J87,"Excede capacidad PS")</f>
        <v>0</v>
      </c>
      <c r="K247" s="313">
        <f>IF(K87*'SEP ORIGEN'!K87&lt;='GENERADO PS locales'!$D247,K87*'SEP ORIGEN'!K87,"Excede capacidad PS")</f>
        <v>0</v>
      </c>
      <c r="L247" s="313">
        <f>IF(L87*'SEP ORIGEN'!L87&lt;='GENERADO PS locales'!$D247,L87*'SEP ORIGEN'!L87,"Excede capacidad PS")</f>
        <v>0</v>
      </c>
      <c r="M247" s="313">
        <f>IF(M87*'SEP ORIGEN'!M87&lt;='GENERADO PS locales'!$D247,M87*'SEP ORIGEN'!M87,"Excede capacidad PS")</f>
        <v>0</v>
      </c>
      <c r="N247" s="313">
        <f>IF(N87*'SEP ORIGEN'!N87&lt;='GENERADO PS locales'!$D247,N87*'SEP ORIGEN'!N87,"Excede capacidad PS")</f>
        <v>0</v>
      </c>
      <c r="O247" s="313">
        <f>IF(O87*'SEP ORIGEN'!O87&lt;='GENERADO PS locales'!$D247,O87*'SEP ORIGEN'!O87,"Excede capacidad PS")</f>
        <v>0</v>
      </c>
      <c r="P247" s="313">
        <f>IF(P87*'SEP ORIGEN'!P87&lt;='GENERADO PS locales'!$D247,P87*'SEP ORIGEN'!P87,"Excede capacidad PS")</f>
        <v>0</v>
      </c>
      <c r="Q247" s="313">
        <f>IF(Q87*'SEP ORIGEN'!Q87&lt;='GENERADO PS locales'!$D247,Q87*'SEP ORIGEN'!Q87,"Excede capacidad PS")</f>
        <v>0</v>
      </c>
      <c r="R247" s="313">
        <f>IF(R87*'SEP ORIGEN'!R87&lt;='GENERADO PS locales'!$D247,R87*'SEP ORIGEN'!R87,"Excede capacidad PS")</f>
        <v>0</v>
      </c>
      <c r="S247" s="313">
        <f>IF(S87*'SEP ORIGEN'!S87&lt;='GENERADO PS locales'!$D247,S87*'SEP ORIGEN'!S87,"Excede capacidad PS")</f>
        <v>0</v>
      </c>
      <c r="T247" s="313">
        <f>IF(T87*'SEP ORIGEN'!T87&lt;='GENERADO PS locales'!$D247,T87*'SEP ORIGEN'!T87,"Excede capacidad PS")</f>
        <v>0</v>
      </c>
      <c r="U247" s="313">
        <f>IF(U87*'SEP ORIGEN'!U87&lt;='GENERADO PS locales'!$D247,U87*'SEP ORIGEN'!U87,"Excede capacidad PS")</f>
        <v>0</v>
      </c>
      <c r="V247" s="313">
        <f>IF(V87*'SEP ORIGEN'!V87&lt;='GENERADO PS locales'!$D247,V87*'SEP ORIGEN'!V87,"Excede capacidad PS")</f>
        <v>0</v>
      </c>
      <c r="W247" s="313">
        <f>IF(W87*'SEP ORIGEN'!W87&lt;='GENERADO PS locales'!$D247,W87*'SEP ORIGEN'!W87,"Excede capacidad PS")</f>
        <v>0</v>
      </c>
      <c r="X247" s="313">
        <f>IF(X87*'SEP ORIGEN'!X87&lt;='GENERADO PS locales'!$D247,X87*'SEP ORIGEN'!X87,"Excede capacidad PS")</f>
        <v>0</v>
      </c>
      <c r="Y247" s="313">
        <f>IF(Y87*'SEP ORIGEN'!Y87&lt;='GENERADO PS locales'!$D247,Y87*'SEP ORIGEN'!Y87,"Excede capacidad PS")</f>
        <v>0</v>
      </c>
      <c r="Z247" s="313">
        <f>IF(Z87*'SEP ORIGEN'!Z87&lt;='GENERADO PS locales'!$D247,Z87*'SEP ORIGEN'!Z87,"Excede capacidad PS")</f>
        <v>0</v>
      </c>
    </row>
    <row r="248" spans="1:26" ht="24.95" customHeight="1">
      <c r="A248" s="260" t="str">
        <f>+Pobl_adoptada!A88</f>
        <v>Las Flores</v>
      </c>
      <c r="B248" s="70">
        <f>+Pobl_adoptada!B88</f>
        <v>84</v>
      </c>
      <c r="C248" s="71" t="str">
        <f>+Pobl_adoptada!C88</f>
        <v>Las Flores</v>
      </c>
      <c r="D248" s="311">
        <v>0</v>
      </c>
      <c r="E248" s="278"/>
      <c r="F248" s="263"/>
      <c r="G248" s="313">
        <f>IF(G88*'SEP ORIGEN'!G88&lt;='GENERADO PS locales'!$D248,G88*'SEP ORIGEN'!G88,"Excede capacidad PS")</f>
        <v>0</v>
      </c>
      <c r="H248" s="313">
        <f>IF(H88*'SEP ORIGEN'!H88&lt;='GENERADO PS locales'!$D248,H88*'SEP ORIGEN'!H88,"Excede capacidad PS")</f>
        <v>0</v>
      </c>
      <c r="I248" s="313">
        <f>IF(I88*'SEP ORIGEN'!I88&lt;='GENERADO PS locales'!$D248,I88*'SEP ORIGEN'!I88,"Excede capacidad PS")</f>
        <v>0</v>
      </c>
      <c r="J248" s="313">
        <f>IF(J88*'SEP ORIGEN'!J88&lt;='GENERADO PS locales'!$D248,J88*'SEP ORIGEN'!J88,"Excede capacidad PS")</f>
        <v>0</v>
      </c>
      <c r="K248" s="313">
        <f>IF(K88*'SEP ORIGEN'!K88&lt;='GENERADO PS locales'!$D248,K88*'SEP ORIGEN'!K88,"Excede capacidad PS")</f>
        <v>0</v>
      </c>
      <c r="L248" s="313">
        <f>IF(L88*'SEP ORIGEN'!L88&lt;='GENERADO PS locales'!$D248,L88*'SEP ORIGEN'!L88,"Excede capacidad PS")</f>
        <v>0</v>
      </c>
      <c r="M248" s="313">
        <f>IF(M88*'SEP ORIGEN'!M88&lt;='GENERADO PS locales'!$D248,M88*'SEP ORIGEN'!M88,"Excede capacidad PS")</f>
        <v>0</v>
      </c>
      <c r="N248" s="313">
        <f>IF(N88*'SEP ORIGEN'!N88&lt;='GENERADO PS locales'!$D248,N88*'SEP ORIGEN'!N88,"Excede capacidad PS")</f>
        <v>0</v>
      </c>
      <c r="O248" s="313">
        <f>IF(O88*'SEP ORIGEN'!O88&lt;='GENERADO PS locales'!$D248,O88*'SEP ORIGEN'!O88,"Excede capacidad PS")</f>
        <v>0</v>
      </c>
      <c r="P248" s="313">
        <f>IF(P88*'SEP ORIGEN'!P88&lt;='GENERADO PS locales'!$D248,P88*'SEP ORIGEN'!P88,"Excede capacidad PS")</f>
        <v>0</v>
      </c>
      <c r="Q248" s="313">
        <f>IF(Q88*'SEP ORIGEN'!Q88&lt;='GENERADO PS locales'!$D248,Q88*'SEP ORIGEN'!Q88,"Excede capacidad PS")</f>
        <v>0</v>
      </c>
      <c r="R248" s="313">
        <f>IF(R88*'SEP ORIGEN'!R88&lt;='GENERADO PS locales'!$D248,R88*'SEP ORIGEN'!R88,"Excede capacidad PS")</f>
        <v>0</v>
      </c>
      <c r="S248" s="313">
        <f>IF(S88*'SEP ORIGEN'!S88&lt;='GENERADO PS locales'!$D248,S88*'SEP ORIGEN'!S88,"Excede capacidad PS")</f>
        <v>0</v>
      </c>
      <c r="T248" s="313">
        <f>IF(T88*'SEP ORIGEN'!T88&lt;='GENERADO PS locales'!$D248,T88*'SEP ORIGEN'!T88,"Excede capacidad PS")</f>
        <v>0</v>
      </c>
      <c r="U248" s="313">
        <f>IF(U88*'SEP ORIGEN'!U88&lt;='GENERADO PS locales'!$D248,U88*'SEP ORIGEN'!U88,"Excede capacidad PS")</f>
        <v>0</v>
      </c>
      <c r="V248" s="313">
        <f>IF(V88*'SEP ORIGEN'!V88&lt;='GENERADO PS locales'!$D248,V88*'SEP ORIGEN'!V88,"Excede capacidad PS")</f>
        <v>0</v>
      </c>
      <c r="W248" s="313">
        <f>IF(W88*'SEP ORIGEN'!W88&lt;='GENERADO PS locales'!$D248,W88*'SEP ORIGEN'!W88,"Excede capacidad PS")</f>
        <v>0</v>
      </c>
      <c r="X248" s="313">
        <f>IF(X88*'SEP ORIGEN'!X88&lt;='GENERADO PS locales'!$D248,X88*'SEP ORIGEN'!X88,"Excede capacidad PS")</f>
        <v>0</v>
      </c>
      <c r="Y248" s="313">
        <f>IF(Y88*'SEP ORIGEN'!Y88&lt;='GENERADO PS locales'!$D248,Y88*'SEP ORIGEN'!Y88,"Excede capacidad PS")</f>
        <v>0</v>
      </c>
      <c r="Z248" s="313">
        <f>IF(Z88*'SEP ORIGEN'!Z88&lt;='GENERADO PS locales'!$D248,Z88*'SEP ORIGEN'!Z88,"Excede capacidad PS")</f>
        <v>0</v>
      </c>
    </row>
    <row r="249" spans="1:26" ht="24.95" customHeight="1">
      <c r="A249" s="260" t="str">
        <f>+Pobl_adoptada!A89</f>
        <v>Leandro N. Alem</v>
      </c>
      <c r="B249" s="70">
        <f>+Pobl_adoptada!B89</f>
        <v>85</v>
      </c>
      <c r="C249" s="71" t="str">
        <f>+Pobl_adoptada!C89</f>
        <v>Vedia</v>
      </c>
      <c r="D249" s="311">
        <v>0</v>
      </c>
      <c r="E249" s="278"/>
      <c r="F249" s="263"/>
      <c r="G249" s="313">
        <f>IF(G89*'SEP ORIGEN'!G89&lt;='GENERADO PS locales'!$D249,G89*'SEP ORIGEN'!G89,"Excede capacidad PS")</f>
        <v>0</v>
      </c>
      <c r="H249" s="313">
        <f>IF(H89*'SEP ORIGEN'!H89&lt;='GENERADO PS locales'!$D249,H89*'SEP ORIGEN'!H89,"Excede capacidad PS")</f>
        <v>0</v>
      </c>
      <c r="I249" s="313">
        <f>IF(I89*'SEP ORIGEN'!I89&lt;='GENERADO PS locales'!$D249,I89*'SEP ORIGEN'!I89,"Excede capacidad PS")</f>
        <v>0</v>
      </c>
      <c r="J249" s="313">
        <f>IF(J89*'SEP ORIGEN'!J89&lt;='GENERADO PS locales'!$D249,J89*'SEP ORIGEN'!J89,"Excede capacidad PS")</f>
        <v>0</v>
      </c>
      <c r="K249" s="313">
        <f>IF(K89*'SEP ORIGEN'!K89&lt;='GENERADO PS locales'!$D249,K89*'SEP ORIGEN'!K89,"Excede capacidad PS")</f>
        <v>0</v>
      </c>
      <c r="L249" s="313">
        <f>IF(L89*'SEP ORIGEN'!L89&lt;='GENERADO PS locales'!$D249,L89*'SEP ORIGEN'!L89,"Excede capacidad PS")</f>
        <v>0</v>
      </c>
      <c r="M249" s="313">
        <f>IF(M89*'SEP ORIGEN'!M89&lt;='GENERADO PS locales'!$D249,M89*'SEP ORIGEN'!M89,"Excede capacidad PS")</f>
        <v>0</v>
      </c>
      <c r="N249" s="313">
        <f>IF(N89*'SEP ORIGEN'!N89&lt;='GENERADO PS locales'!$D249,N89*'SEP ORIGEN'!N89,"Excede capacidad PS")</f>
        <v>0</v>
      </c>
      <c r="O249" s="313">
        <f>IF(O89*'SEP ORIGEN'!O89&lt;='GENERADO PS locales'!$D249,O89*'SEP ORIGEN'!O89,"Excede capacidad PS")</f>
        <v>0</v>
      </c>
      <c r="P249" s="313">
        <f>IF(P89*'SEP ORIGEN'!P89&lt;='GENERADO PS locales'!$D249,P89*'SEP ORIGEN'!P89,"Excede capacidad PS")</f>
        <v>0</v>
      </c>
      <c r="Q249" s="313">
        <f>IF(Q89*'SEP ORIGEN'!Q89&lt;='GENERADO PS locales'!$D249,Q89*'SEP ORIGEN'!Q89,"Excede capacidad PS")</f>
        <v>0</v>
      </c>
      <c r="R249" s="313">
        <f>IF(R89*'SEP ORIGEN'!R89&lt;='GENERADO PS locales'!$D249,R89*'SEP ORIGEN'!R89,"Excede capacidad PS")</f>
        <v>0</v>
      </c>
      <c r="S249" s="313">
        <f>IF(S89*'SEP ORIGEN'!S89&lt;='GENERADO PS locales'!$D249,S89*'SEP ORIGEN'!S89,"Excede capacidad PS")</f>
        <v>0</v>
      </c>
      <c r="T249" s="313">
        <f>IF(T89*'SEP ORIGEN'!T89&lt;='GENERADO PS locales'!$D249,T89*'SEP ORIGEN'!T89,"Excede capacidad PS")</f>
        <v>0</v>
      </c>
      <c r="U249" s="313">
        <f>IF(U89*'SEP ORIGEN'!U89&lt;='GENERADO PS locales'!$D249,U89*'SEP ORIGEN'!U89,"Excede capacidad PS")</f>
        <v>0</v>
      </c>
      <c r="V249" s="313">
        <f>IF(V89*'SEP ORIGEN'!V89&lt;='GENERADO PS locales'!$D249,V89*'SEP ORIGEN'!V89,"Excede capacidad PS")</f>
        <v>0</v>
      </c>
      <c r="W249" s="313">
        <f>IF(W89*'SEP ORIGEN'!W89&lt;='GENERADO PS locales'!$D249,W89*'SEP ORIGEN'!W89,"Excede capacidad PS")</f>
        <v>0</v>
      </c>
      <c r="X249" s="313">
        <f>IF(X89*'SEP ORIGEN'!X89&lt;='GENERADO PS locales'!$D249,X89*'SEP ORIGEN'!X89,"Excede capacidad PS")</f>
        <v>0</v>
      </c>
      <c r="Y249" s="313">
        <f>IF(Y89*'SEP ORIGEN'!Y89&lt;='GENERADO PS locales'!$D249,Y89*'SEP ORIGEN'!Y89,"Excede capacidad PS")</f>
        <v>0</v>
      </c>
      <c r="Z249" s="313">
        <f>IF(Z89*'SEP ORIGEN'!Z89&lt;='GENERADO PS locales'!$D249,Z89*'SEP ORIGEN'!Z89,"Excede capacidad PS")</f>
        <v>0</v>
      </c>
    </row>
    <row r="250" spans="1:26" ht="24.95" customHeight="1">
      <c r="A250" s="260" t="str">
        <f>+Pobl_adoptada!A90</f>
        <v>Lincoln</v>
      </c>
      <c r="B250" s="70">
        <f>+Pobl_adoptada!B90</f>
        <v>86</v>
      </c>
      <c r="C250" s="71" t="str">
        <f>+Pobl_adoptada!C90</f>
        <v>Lincoln</v>
      </c>
      <c r="D250" s="311">
        <v>0</v>
      </c>
      <c r="E250" s="278"/>
      <c r="F250" s="263"/>
      <c r="G250" s="313">
        <f>IF(G90*'SEP ORIGEN'!G90&lt;='GENERADO PS locales'!$D250,G90*'SEP ORIGEN'!G90,"Excede capacidad PS")</f>
        <v>0</v>
      </c>
      <c r="H250" s="313">
        <f>IF(H90*'SEP ORIGEN'!H90&lt;='GENERADO PS locales'!$D250,H90*'SEP ORIGEN'!H90,"Excede capacidad PS")</f>
        <v>0</v>
      </c>
      <c r="I250" s="313">
        <f>IF(I90*'SEP ORIGEN'!I90&lt;='GENERADO PS locales'!$D250,I90*'SEP ORIGEN'!I90,"Excede capacidad PS")</f>
        <v>0</v>
      </c>
      <c r="J250" s="313">
        <f>IF(J90*'SEP ORIGEN'!J90&lt;='GENERADO PS locales'!$D250,J90*'SEP ORIGEN'!J90,"Excede capacidad PS")</f>
        <v>0</v>
      </c>
      <c r="K250" s="313">
        <f>IF(K90*'SEP ORIGEN'!K90&lt;='GENERADO PS locales'!$D250,K90*'SEP ORIGEN'!K90,"Excede capacidad PS")</f>
        <v>0</v>
      </c>
      <c r="L250" s="313">
        <f>IF(L90*'SEP ORIGEN'!L90&lt;='GENERADO PS locales'!$D250,L90*'SEP ORIGEN'!L90,"Excede capacidad PS")</f>
        <v>0</v>
      </c>
      <c r="M250" s="313">
        <f>IF(M90*'SEP ORIGEN'!M90&lt;='GENERADO PS locales'!$D250,M90*'SEP ORIGEN'!M90,"Excede capacidad PS")</f>
        <v>0</v>
      </c>
      <c r="N250" s="313">
        <f>IF(N90*'SEP ORIGEN'!N90&lt;='GENERADO PS locales'!$D250,N90*'SEP ORIGEN'!N90,"Excede capacidad PS")</f>
        <v>0</v>
      </c>
      <c r="O250" s="313">
        <f>IF(O90*'SEP ORIGEN'!O90&lt;='GENERADO PS locales'!$D250,O90*'SEP ORIGEN'!O90,"Excede capacidad PS")</f>
        <v>0</v>
      </c>
      <c r="P250" s="313">
        <f>IF(P90*'SEP ORIGEN'!P90&lt;='GENERADO PS locales'!$D250,P90*'SEP ORIGEN'!P90,"Excede capacidad PS")</f>
        <v>0</v>
      </c>
      <c r="Q250" s="313">
        <f>IF(Q90*'SEP ORIGEN'!Q90&lt;='GENERADO PS locales'!$D250,Q90*'SEP ORIGEN'!Q90,"Excede capacidad PS")</f>
        <v>0</v>
      </c>
      <c r="R250" s="313">
        <f>IF(R90*'SEP ORIGEN'!R90&lt;='GENERADO PS locales'!$D250,R90*'SEP ORIGEN'!R90,"Excede capacidad PS")</f>
        <v>0</v>
      </c>
      <c r="S250" s="313">
        <f>IF(S90*'SEP ORIGEN'!S90&lt;='GENERADO PS locales'!$D250,S90*'SEP ORIGEN'!S90,"Excede capacidad PS")</f>
        <v>0</v>
      </c>
      <c r="T250" s="313">
        <f>IF(T90*'SEP ORIGEN'!T90&lt;='GENERADO PS locales'!$D250,T90*'SEP ORIGEN'!T90,"Excede capacidad PS")</f>
        <v>0</v>
      </c>
      <c r="U250" s="313">
        <f>IF(U90*'SEP ORIGEN'!U90&lt;='GENERADO PS locales'!$D250,U90*'SEP ORIGEN'!U90,"Excede capacidad PS")</f>
        <v>0</v>
      </c>
      <c r="V250" s="313">
        <f>IF(V90*'SEP ORIGEN'!V90&lt;='GENERADO PS locales'!$D250,V90*'SEP ORIGEN'!V90,"Excede capacidad PS")</f>
        <v>0</v>
      </c>
      <c r="W250" s="313">
        <f>IF(W90*'SEP ORIGEN'!W90&lt;='GENERADO PS locales'!$D250,W90*'SEP ORIGEN'!W90,"Excede capacidad PS")</f>
        <v>0</v>
      </c>
      <c r="X250" s="313">
        <f>IF(X90*'SEP ORIGEN'!X90&lt;='GENERADO PS locales'!$D250,X90*'SEP ORIGEN'!X90,"Excede capacidad PS")</f>
        <v>0</v>
      </c>
      <c r="Y250" s="313">
        <f>IF(Y90*'SEP ORIGEN'!Y90&lt;='GENERADO PS locales'!$D250,Y90*'SEP ORIGEN'!Y90,"Excede capacidad PS")</f>
        <v>0</v>
      </c>
      <c r="Z250" s="313">
        <f>IF(Z90*'SEP ORIGEN'!Z90&lt;='GENERADO PS locales'!$D250,Z90*'SEP ORIGEN'!Z90,"Excede capacidad PS")</f>
        <v>0</v>
      </c>
    </row>
    <row r="251" spans="1:26" ht="24.95" customHeight="1">
      <c r="A251" s="260" t="str">
        <f>+Pobl_adoptada!A91</f>
        <v>Lobería</v>
      </c>
      <c r="B251" s="70">
        <f>+Pobl_adoptada!B91</f>
        <v>87</v>
      </c>
      <c r="C251" s="71" t="str">
        <f>+Pobl_adoptada!C91</f>
        <v>Lobería</v>
      </c>
      <c r="D251" s="311">
        <v>0</v>
      </c>
      <c r="E251" s="278"/>
      <c r="F251" s="263"/>
      <c r="G251" s="313">
        <f>IF(G91*'SEP ORIGEN'!G91&lt;='GENERADO PS locales'!$D251,G91*'SEP ORIGEN'!G91,"Excede capacidad PS")</f>
        <v>0</v>
      </c>
      <c r="H251" s="313">
        <f>IF(H91*'SEP ORIGEN'!H91&lt;='GENERADO PS locales'!$D251,H91*'SEP ORIGEN'!H91,"Excede capacidad PS")</f>
        <v>0</v>
      </c>
      <c r="I251" s="313">
        <f>IF(I91*'SEP ORIGEN'!I91&lt;='GENERADO PS locales'!$D251,I91*'SEP ORIGEN'!I91,"Excede capacidad PS")</f>
        <v>0</v>
      </c>
      <c r="J251" s="313">
        <f>IF(J91*'SEP ORIGEN'!J91&lt;='GENERADO PS locales'!$D251,J91*'SEP ORIGEN'!J91,"Excede capacidad PS")</f>
        <v>0</v>
      </c>
      <c r="K251" s="313">
        <f>IF(K91*'SEP ORIGEN'!K91&lt;='GENERADO PS locales'!$D251,K91*'SEP ORIGEN'!K91,"Excede capacidad PS")</f>
        <v>0</v>
      </c>
      <c r="L251" s="313">
        <f>IF(L91*'SEP ORIGEN'!L91&lt;='GENERADO PS locales'!$D251,L91*'SEP ORIGEN'!L91,"Excede capacidad PS")</f>
        <v>0</v>
      </c>
      <c r="M251" s="313">
        <f>IF(M91*'SEP ORIGEN'!M91&lt;='GENERADO PS locales'!$D251,M91*'SEP ORIGEN'!M91,"Excede capacidad PS")</f>
        <v>0</v>
      </c>
      <c r="N251" s="313">
        <f>IF(N91*'SEP ORIGEN'!N91&lt;='GENERADO PS locales'!$D251,N91*'SEP ORIGEN'!N91,"Excede capacidad PS")</f>
        <v>0</v>
      </c>
      <c r="O251" s="313">
        <f>IF(O91*'SEP ORIGEN'!O91&lt;='GENERADO PS locales'!$D251,O91*'SEP ORIGEN'!O91,"Excede capacidad PS")</f>
        <v>0</v>
      </c>
      <c r="P251" s="313">
        <f>IF(P91*'SEP ORIGEN'!P91&lt;='GENERADO PS locales'!$D251,P91*'SEP ORIGEN'!P91,"Excede capacidad PS")</f>
        <v>0</v>
      </c>
      <c r="Q251" s="313">
        <f>IF(Q91*'SEP ORIGEN'!Q91&lt;='GENERADO PS locales'!$D251,Q91*'SEP ORIGEN'!Q91,"Excede capacidad PS")</f>
        <v>0</v>
      </c>
      <c r="R251" s="313">
        <f>IF(R91*'SEP ORIGEN'!R91&lt;='GENERADO PS locales'!$D251,R91*'SEP ORIGEN'!R91,"Excede capacidad PS")</f>
        <v>0</v>
      </c>
      <c r="S251" s="313">
        <f>IF(S91*'SEP ORIGEN'!S91&lt;='GENERADO PS locales'!$D251,S91*'SEP ORIGEN'!S91,"Excede capacidad PS")</f>
        <v>0</v>
      </c>
      <c r="T251" s="313">
        <f>IF(T91*'SEP ORIGEN'!T91&lt;='GENERADO PS locales'!$D251,T91*'SEP ORIGEN'!T91,"Excede capacidad PS")</f>
        <v>0</v>
      </c>
      <c r="U251" s="313">
        <f>IF(U91*'SEP ORIGEN'!U91&lt;='GENERADO PS locales'!$D251,U91*'SEP ORIGEN'!U91,"Excede capacidad PS")</f>
        <v>0</v>
      </c>
      <c r="V251" s="313">
        <f>IF(V91*'SEP ORIGEN'!V91&lt;='GENERADO PS locales'!$D251,V91*'SEP ORIGEN'!V91,"Excede capacidad PS")</f>
        <v>0</v>
      </c>
      <c r="W251" s="313">
        <f>IF(W91*'SEP ORIGEN'!W91&lt;='GENERADO PS locales'!$D251,W91*'SEP ORIGEN'!W91,"Excede capacidad PS")</f>
        <v>0</v>
      </c>
      <c r="X251" s="313">
        <f>IF(X91*'SEP ORIGEN'!X91&lt;='GENERADO PS locales'!$D251,X91*'SEP ORIGEN'!X91,"Excede capacidad PS")</f>
        <v>0</v>
      </c>
      <c r="Y251" s="313">
        <f>IF(Y91*'SEP ORIGEN'!Y91&lt;='GENERADO PS locales'!$D251,Y91*'SEP ORIGEN'!Y91,"Excede capacidad PS")</f>
        <v>0</v>
      </c>
      <c r="Z251" s="313">
        <f>IF(Z91*'SEP ORIGEN'!Z91&lt;='GENERADO PS locales'!$D251,Z91*'SEP ORIGEN'!Z91,"Excede capacidad PS")</f>
        <v>0</v>
      </c>
    </row>
    <row r="252" spans="1:26" ht="24.95" customHeight="1">
      <c r="A252" s="260" t="str">
        <f>+Pobl_adoptada!A92</f>
        <v>Lobos</v>
      </c>
      <c r="B252" s="70">
        <f>+Pobl_adoptada!B92</f>
        <v>88</v>
      </c>
      <c r="C252" s="71" t="str">
        <f>+Pobl_adoptada!C92</f>
        <v>Lobos</v>
      </c>
      <c r="D252" s="311">
        <v>0</v>
      </c>
      <c r="E252" s="278"/>
      <c r="F252" s="263"/>
      <c r="G252" s="313">
        <f>IF(G92*'SEP ORIGEN'!G92&lt;='GENERADO PS locales'!$D252,G92*'SEP ORIGEN'!G92,"Excede capacidad PS")</f>
        <v>0</v>
      </c>
      <c r="H252" s="313">
        <f>IF(H92*'SEP ORIGEN'!H92&lt;='GENERADO PS locales'!$D252,H92*'SEP ORIGEN'!H92,"Excede capacidad PS")</f>
        <v>0</v>
      </c>
      <c r="I252" s="313">
        <f>IF(I92*'SEP ORIGEN'!I92&lt;='GENERADO PS locales'!$D252,I92*'SEP ORIGEN'!I92,"Excede capacidad PS")</f>
        <v>0</v>
      </c>
      <c r="J252" s="313">
        <f>IF(J92*'SEP ORIGEN'!J92&lt;='GENERADO PS locales'!$D252,J92*'SEP ORIGEN'!J92,"Excede capacidad PS")</f>
        <v>0</v>
      </c>
      <c r="K252" s="313">
        <f>IF(K92*'SEP ORIGEN'!K92&lt;='GENERADO PS locales'!$D252,K92*'SEP ORIGEN'!K92,"Excede capacidad PS")</f>
        <v>0</v>
      </c>
      <c r="L252" s="313">
        <f>IF(L92*'SEP ORIGEN'!L92&lt;='GENERADO PS locales'!$D252,L92*'SEP ORIGEN'!L92,"Excede capacidad PS")</f>
        <v>0</v>
      </c>
      <c r="M252" s="313">
        <f>IF(M92*'SEP ORIGEN'!M92&lt;='GENERADO PS locales'!$D252,M92*'SEP ORIGEN'!M92,"Excede capacidad PS")</f>
        <v>0</v>
      </c>
      <c r="N252" s="313">
        <f>IF(N92*'SEP ORIGEN'!N92&lt;='GENERADO PS locales'!$D252,N92*'SEP ORIGEN'!N92,"Excede capacidad PS")</f>
        <v>0</v>
      </c>
      <c r="O252" s="313">
        <f>IF(O92*'SEP ORIGEN'!O92&lt;='GENERADO PS locales'!$D252,O92*'SEP ORIGEN'!O92,"Excede capacidad PS")</f>
        <v>0</v>
      </c>
      <c r="P252" s="313">
        <f>IF(P92*'SEP ORIGEN'!P92&lt;='GENERADO PS locales'!$D252,P92*'SEP ORIGEN'!P92,"Excede capacidad PS")</f>
        <v>0</v>
      </c>
      <c r="Q252" s="313">
        <f>IF(Q92*'SEP ORIGEN'!Q92&lt;='GENERADO PS locales'!$D252,Q92*'SEP ORIGEN'!Q92,"Excede capacidad PS")</f>
        <v>0</v>
      </c>
      <c r="R252" s="313">
        <f>IF(R92*'SEP ORIGEN'!R92&lt;='GENERADO PS locales'!$D252,R92*'SEP ORIGEN'!R92,"Excede capacidad PS")</f>
        <v>0</v>
      </c>
      <c r="S252" s="313">
        <f>IF(S92*'SEP ORIGEN'!S92&lt;='GENERADO PS locales'!$D252,S92*'SEP ORIGEN'!S92,"Excede capacidad PS")</f>
        <v>0</v>
      </c>
      <c r="T252" s="313">
        <f>IF(T92*'SEP ORIGEN'!T92&lt;='GENERADO PS locales'!$D252,T92*'SEP ORIGEN'!T92,"Excede capacidad PS")</f>
        <v>0</v>
      </c>
      <c r="U252" s="313">
        <f>IF(U92*'SEP ORIGEN'!U92&lt;='GENERADO PS locales'!$D252,U92*'SEP ORIGEN'!U92,"Excede capacidad PS")</f>
        <v>0</v>
      </c>
      <c r="V252" s="313">
        <f>IF(V92*'SEP ORIGEN'!V92&lt;='GENERADO PS locales'!$D252,V92*'SEP ORIGEN'!V92,"Excede capacidad PS")</f>
        <v>0</v>
      </c>
      <c r="W252" s="313">
        <f>IF(W92*'SEP ORIGEN'!W92&lt;='GENERADO PS locales'!$D252,W92*'SEP ORIGEN'!W92,"Excede capacidad PS")</f>
        <v>0</v>
      </c>
      <c r="X252" s="313">
        <f>IF(X92*'SEP ORIGEN'!X92&lt;='GENERADO PS locales'!$D252,X92*'SEP ORIGEN'!X92,"Excede capacidad PS")</f>
        <v>0</v>
      </c>
      <c r="Y252" s="313">
        <f>IF(Y92*'SEP ORIGEN'!Y92&lt;='GENERADO PS locales'!$D252,Y92*'SEP ORIGEN'!Y92,"Excede capacidad PS")</f>
        <v>0</v>
      </c>
      <c r="Z252" s="313">
        <f>IF(Z92*'SEP ORIGEN'!Z92&lt;='GENERADO PS locales'!$D252,Z92*'SEP ORIGEN'!Z92,"Excede capacidad PS")</f>
        <v>0</v>
      </c>
    </row>
    <row r="253" spans="1:26" ht="24.95" customHeight="1">
      <c r="A253" s="260" t="str">
        <f>+Pobl_adoptada!A93</f>
        <v>Luján</v>
      </c>
      <c r="B253" s="70">
        <f>+Pobl_adoptada!B93</f>
        <v>89</v>
      </c>
      <c r="C253" s="71" t="str">
        <f>+Pobl_adoptada!C93</f>
        <v>Luján</v>
      </c>
      <c r="D253" s="311">
        <v>0</v>
      </c>
      <c r="E253" s="278"/>
      <c r="F253" s="263"/>
      <c r="G253" s="313">
        <f>IF(G93*'SEP ORIGEN'!G93&lt;='GENERADO PS locales'!$D253,G93*'SEP ORIGEN'!G93,"Excede capacidad PS")</f>
        <v>0</v>
      </c>
      <c r="H253" s="313">
        <f>IF(H93*'SEP ORIGEN'!H93&lt;='GENERADO PS locales'!$D253,H93*'SEP ORIGEN'!H93,"Excede capacidad PS")</f>
        <v>0</v>
      </c>
      <c r="I253" s="313">
        <f>IF(I93*'SEP ORIGEN'!I93&lt;='GENERADO PS locales'!$D253,I93*'SEP ORIGEN'!I93,"Excede capacidad PS")</f>
        <v>0</v>
      </c>
      <c r="J253" s="313">
        <f>IF(J93*'SEP ORIGEN'!J93&lt;='GENERADO PS locales'!$D253,J93*'SEP ORIGEN'!J93,"Excede capacidad PS")</f>
        <v>0</v>
      </c>
      <c r="K253" s="313">
        <f>IF(K93*'SEP ORIGEN'!K93&lt;='GENERADO PS locales'!$D253,K93*'SEP ORIGEN'!K93,"Excede capacidad PS")</f>
        <v>0</v>
      </c>
      <c r="L253" s="313">
        <f>IF(L93*'SEP ORIGEN'!L93&lt;='GENERADO PS locales'!$D253,L93*'SEP ORIGEN'!L93,"Excede capacidad PS")</f>
        <v>0</v>
      </c>
      <c r="M253" s="313">
        <f>IF(M93*'SEP ORIGEN'!M93&lt;='GENERADO PS locales'!$D253,M93*'SEP ORIGEN'!M93,"Excede capacidad PS")</f>
        <v>0</v>
      </c>
      <c r="N253" s="313">
        <f>IF(N93*'SEP ORIGEN'!N93&lt;='GENERADO PS locales'!$D253,N93*'SEP ORIGEN'!N93,"Excede capacidad PS")</f>
        <v>0</v>
      </c>
      <c r="O253" s="313">
        <f>IF(O93*'SEP ORIGEN'!O93&lt;='GENERADO PS locales'!$D253,O93*'SEP ORIGEN'!O93,"Excede capacidad PS")</f>
        <v>0</v>
      </c>
      <c r="P253" s="313">
        <f>IF(P93*'SEP ORIGEN'!P93&lt;='GENERADO PS locales'!$D253,P93*'SEP ORIGEN'!P93,"Excede capacidad PS")</f>
        <v>0</v>
      </c>
      <c r="Q253" s="313">
        <f>IF(Q93*'SEP ORIGEN'!Q93&lt;='GENERADO PS locales'!$D253,Q93*'SEP ORIGEN'!Q93,"Excede capacidad PS")</f>
        <v>0</v>
      </c>
      <c r="R253" s="313">
        <f>IF(R93*'SEP ORIGEN'!R93&lt;='GENERADO PS locales'!$D253,R93*'SEP ORIGEN'!R93,"Excede capacidad PS")</f>
        <v>0</v>
      </c>
      <c r="S253" s="313">
        <f>IF(S93*'SEP ORIGEN'!S93&lt;='GENERADO PS locales'!$D253,S93*'SEP ORIGEN'!S93,"Excede capacidad PS")</f>
        <v>0</v>
      </c>
      <c r="T253" s="313">
        <f>IF(T93*'SEP ORIGEN'!T93&lt;='GENERADO PS locales'!$D253,T93*'SEP ORIGEN'!T93,"Excede capacidad PS")</f>
        <v>0</v>
      </c>
      <c r="U253" s="313">
        <f>IF(U93*'SEP ORIGEN'!U93&lt;='GENERADO PS locales'!$D253,U93*'SEP ORIGEN'!U93,"Excede capacidad PS")</f>
        <v>0</v>
      </c>
      <c r="V253" s="313">
        <f>IF(V93*'SEP ORIGEN'!V93&lt;='GENERADO PS locales'!$D253,V93*'SEP ORIGEN'!V93,"Excede capacidad PS")</f>
        <v>0</v>
      </c>
      <c r="W253" s="313">
        <f>IF(W93*'SEP ORIGEN'!W93&lt;='GENERADO PS locales'!$D253,W93*'SEP ORIGEN'!W93,"Excede capacidad PS")</f>
        <v>0</v>
      </c>
      <c r="X253" s="313">
        <f>IF(X93*'SEP ORIGEN'!X93&lt;='GENERADO PS locales'!$D253,X93*'SEP ORIGEN'!X93,"Excede capacidad PS")</f>
        <v>0</v>
      </c>
      <c r="Y253" s="313">
        <f>IF(Y93*'SEP ORIGEN'!Y93&lt;='GENERADO PS locales'!$D253,Y93*'SEP ORIGEN'!Y93,"Excede capacidad PS")</f>
        <v>0</v>
      </c>
      <c r="Z253" s="313">
        <f>IF(Z93*'SEP ORIGEN'!Z93&lt;='GENERADO PS locales'!$D253,Z93*'SEP ORIGEN'!Z93,"Excede capacidad PS")</f>
        <v>0</v>
      </c>
    </row>
    <row r="254" spans="1:26" ht="24.95" customHeight="1">
      <c r="A254" s="260" t="str">
        <f>+Pobl_adoptada!A94</f>
        <v>Magdalena</v>
      </c>
      <c r="B254" s="70">
        <f>+Pobl_adoptada!B94</f>
        <v>90</v>
      </c>
      <c r="C254" s="71" t="str">
        <f>+Pobl_adoptada!C94</f>
        <v>Magdalena</v>
      </c>
      <c r="D254" s="311">
        <v>0</v>
      </c>
      <c r="E254" s="278"/>
      <c r="F254" s="263"/>
      <c r="G254" s="313">
        <f>IF(G94*'SEP ORIGEN'!G94&lt;='GENERADO PS locales'!$D254,G94*'SEP ORIGEN'!G94,"Excede capacidad PS")</f>
        <v>0</v>
      </c>
      <c r="H254" s="313">
        <f>IF(H94*'SEP ORIGEN'!H94&lt;='GENERADO PS locales'!$D254,H94*'SEP ORIGEN'!H94,"Excede capacidad PS")</f>
        <v>0</v>
      </c>
      <c r="I254" s="313">
        <f>IF(I94*'SEP ORIGEN'!I94&lt;='GENERADO PS locales'!$D254,I94*'SEP ORIGEN'!I94,"Excede capacidad PS")</f>
        <v>0</v>
      </c>
      <c r="J254" s="313">
        <f>IF(J94*'SEP ORIGEN'!J94&lt;='GENERADO PS locales'!$D254,J94*'SEP ORIGEN'!J94,"Excede capacidad PS")</f>
        <v>0</v>
      </c>
      <c r="K254" s="313">
        <f>IF(K94*'SEP ORIGEN'!K94&lt;='GENERADO PS locales'!$D254,K94*'SEP ORIGEN'!K94,"Excede capacidad PS")</f>
        <v>0</v>
      </c>
      <c r="L254" s="313">
        <f>IF(L94*'SEP ORIGEN'!L94&lt;='GENERADO PS locales'!$D254,L94*'SEP ORIGEN'!L94,"Excede capacidad PS")</f>
        <v>0</v>
      </c>
      <c r="M254" s="313">
        <f>IF(M94*'SEP ORIGEN'!M94&lt;='GENERADO PS locales'!$D254,M94*'SEP ORIGEN'!M94,"Excede capacidad PS")</f>
        <v>0</v>
      </c>
      <c r="N254" s="313">
        <f>IF(N94*'SEP ORIGEN'!N94&lt;='GENERADO PS locales'!$D254,N94*'SEP ORIGEN'!N94,"Excede capacidad PS")</f>
        <v>0</v>
      </c>
      <c r="O254" s="313">
        <f>IF(O94*'SEP ORIGEN'!O94&lt;='GENERADO PS locales'!$D254,O94*'SEP ORIGEN'!O94,"Excede capacidad PS")</f>
        <v>0</v>
      </c>
      <c r="P254" s="313">
        <f>IF(P94*'SEP ORIGEN'!P94&lt;='GENERADO PS locales'!$D254,P94*'SEP ORIGEN'!P94,"Excede capacidad PS")</f>
        <v>0</v>
      </c>
      <c r="Q254" s="313">
        <f>IF(Q94*'SEP ORIGEN'!Q94&lt;='GENERADO PS locales'!$D254,Q94*'SEP ORIGEN'!Q94,"Excede capacidad PS")</f>
        <v>0</v>
      </c>
      <c r="R254" s="313">
        <f>IF(R94*'SEP ORIGEN'!R94&lt;='GENERADO PS locales'!$D254,R94*'SEP ORIGEN'!R94,"Excede capacidad PS")</f>
        <v>0</v>
      </c>
      <c r="S254" s="313">
        <f>IF(S94*'SEP ORIGEN'!S94&lt;='GENERADO PS locales'!$D254,S94*'SEP ORIGEN'!S94,"Excede capacidad PS")</f>
        <v>0</v>
      </c>
      <c r="T254" s="313">
        <f>IF(T94*'SEP ORIGEN'!T94&lt;='GENERADO PS locales'!$D254,T94*'SEP ORIGEN'!T94,"Excede capacidad PS")</f>
        <v>0</v>
      </c>
      <c r="U254" s="313">
        <f>IF(U94*'SEP ORIGEN'!U94&lt;='GENERADO PS locales'!$D254,U94*'SEP ORIGEN'!U94,"Excede capacidad PS")</f>
        <v>0</v>
      </c>
      <c r="V254" s="313">
        <f>IF(V94*'SEP ORIGEN'!V94&lt;='GENERADO PS locales'!$D254,V94*'SEP ORIGEN'!V94,"Excede capacidad PS")</f>
        <v>0</v>
      </c>
      <c r="W254" s="313">
        <f>IF(W94*'SEP ORIGEN'!W94&lt;='GENERADO PS locales'!$D254,W94*'SEP ORIGEN'!W94,"Excede capacidad PS")</f>
        <v>0</v>
      </c>
      <c r="X254" s="313">
        <f>IF(X94*'SEP ORIGEN'!X94&lt;='GENERADO PS locales'!$D254,X94*'SEP ORIGEN'!X94,"Excede capacidad PS")</f>
        <v>0</v>
      </c>
      <c r="Y254" s="313">
        <f>IF(Y94*'SEP ORIGEN'!Y94&lt;='GENERADO PS locales'!$D254,Y94*'SEP ORIGEN'!Y94,"Excede capacidad PS")</f>
        <v>0</v>
      </c>
      <c r="Z254" s="313">
        <f>IF(Z94*'SEP ORIGEN'!Z94&lt;='GENERADO PS locales'!$D254,Z94*'SEP ORIGEN'!Z94,"Excede capacidad PS")</f>
        <v>0</v>
      </c>
    </row>
    <row r="255" spans="1:26" ht="24.95" customHeight="1">
      <c r="A255" s="260" t="str">
        <f>+Pobl_adoptada!A95</f>
        <v>Maipú</v>
      </c>
      <c r="B255" s="70">
        <f>+Pobl_adoptada!B95</f>
        <v>91</v>
      </c>
      <c r="C255" s="71" t="str">
        <f>+Pobl_adoptada!C95</f>
        <v>Maipú</v>
      </c>
      <c r="D255" s="311">
        <v>0</v>
      </c>
      <c r="E255" s="278"/>
      <c r="F255" s="263"/>
      <c r="G255" s="313">
        <f>IF(G95*'SEP ORIGEN'!G95&lt;='GENERADO PS locales'!$D255,G95*'SEP ORIGEN'!G95,"Excede capacidad PS")</f>
        <v>0</v>
      </c>
      <c r="H255" s="313">
        <f>IF(H95*'SEP ORIGEN'!H95&lt;='GENERADO PS locales'!$D255,H95*'SEP ORIGEN'!H95,"Excede capacidad PS")</f>
        <v>0</v>
      </c>
      <c r="I255" s="313">
        <f>IF(I95*'SEP ORIGEN'!I95&lt;='GENERADO PS locales'!$D255,I95*'SEP ORIGEN'!I95,"Excede capacidad PS")</f>
        <v>0</v>
      </c>
      <c r="J255" s="313">
        <f>IF(J95*'SEP ORIGEN'!J95&lt;='GENERADO PS locales'!$D255,J95*'SEP ORIGEN'!J95,"Excede capacidad PS")</f>
        <v>0</v>
      </c>
      <c r="K255" s="313">
        <f>IF(K95*'SEP ORIGEN'!K95&lt;='GENERADO PS locales'!$D255,K95*'SEP ORIGEN'!K95,"Excede capacidad PS")</f>
        <v>0</v>
      </c>
      <c r="L255" s="313">
        <f>IF(L95*'SEP ORIGEN'!L95&lt;='GENERADO PS locales'!$D255,L95*'SEP ORIGEN'!L95,"Excede capacidad PS")</f>
        <v>0</v>
      </c>
      <c r="M255" s="313">
        <f>IF(M95*'SEP ORIGEN'!M95&lt;='GENERADO PS locales'!$D255,M95*'SEP ORIGEN'!M95,"Excede capacidad PS")</f>
        <v>0</v>
      </c>
      <c r="N255" s="313">
        <f>IF(N95*'SEP ORIGEN'!N95&lt;='GENERADO PS locales'!$D255,N95*'SEP ORIGEN'!N95,"Excede capacidad PS")</f>
        <v>0</v>
      </c>
      <c r="O255" s="313">
        <f>IF(O95*'SEP ORIGEN'!O95&lt;='GENERADO PS locales'!$D255,O95*'SEP ORIGEN'!O95,"Excede capacidad PS")</f>
        <v>0</v>
      </c>
      <c r="P255" s="313">
        <f>IF(P95*'SEP ORIGEN'!P95&lt;='GENERADO PS locales'!$D255,P95*'SEP ORIGEN'!P95,"Excede capacidad PS")</f>
        <v>0</v>
      </c>
      <c r="Q255" s="313">
        <f>IF(Q95*'SEP ORIGEN'!Q95&lt;='GENERADO PS locales'!$D255,Q95*'SEP ORIGEN'!Q95,"Excede capacidad PS")</f>
        <v>0</v>
      </c>
      <c r="R255" s="313">
        <f>IF(R95*'SEP ORIGEN'!R95&lt;='GENERADO PS locales'!$D255,R95*'SEP ORIGEN'!R95,"Excede capacidad PS")</f>
        <v>0</v>
      </c>
      <c r="S255" s="313">
        <f>IF(S95*'SEP ORIGEN'!S95&lt;='GENERADO PS locales'!$D255,S95*'SEP ORIGEN'!S95,"Excede capacidad PS")</f>
        <v>0</v>
      </c>
      <c r="T255" s="313">
        <f>IF(T95*'SEP ORIGEN'!T95&lt;='GENERADO PS locales'!$D255,T95*'SEP ORIGEN'!T95,"Excede capacidad PS")</f>
        <v>0</v>
      </c>
      <c r="U255" s="313">
        <f>IF(U95*'SEP ORIGEN'!U95&lt;='GENERADO PS locales'!$D255,U95*'SEP ORIGEN'!U95,"Excede capacidad PS")</f>
        <v>0</v>
      </c>
      <c r="V255" s="313">
        <f>IF(V95*'SEP ORIGEN'!V95&lt;='GENERADO PS locales'!$D255,V95*'SEP ORIGEN'!V95,"Excede capacidad PS")</f>
        <v>0</v>
      </c>
      <c r="W255" s="313">
        <f>IF(W95*'SEP ORIGEN'!W95&lt;='GENERADO PS locales'!$D255,W95*'SEP ORIGEN'!W95,"Excede capacidad PS")</f>
        <v>0</v>
      </c>
      <c r="X255" s="313">
        <f>IF(X95*'SEP ORIGEN'!X95&lt;='GENERADO PS locales'!$D255,X95*'SEP ORIGEN'!X95,"Excede capacidad PS")</f>
        <v>0</v>
      </c>
      <c r="Y255" s="313">
        <f>IF(Y95*'SEP ORIGEN'!Y95&lt;='GENERADO PS locales'!$D255,Y95*'SEP ORIGEN'!Y95,"Excede capacidad PS")</f>
        <v>0</v>
      </c>
      <c r="Z255" s="313">
        <f>IF(Z95*'SEP ORIGEN'!Z95&lt;='GENERADO PS locales'!$D255,Z95*'SEP ORIGEN'!Z95,"Excede capacidad PS")</f>
        <v>0</v>
      </c>
    </row>
    <row r="256" spans="1:26" ht="24.95" customHeight="1">
      <c r="A256" s="260" t="str">
        <f>+Pobl_adoptada!A96</f>
        <v>Mar Chiquita</v>
      </c>
      <c r="B256" s="70">
        <f>+Pobl_adoptada!B96</f>
        <v>92</v>
      </c>
      <c r="C256" s="71" t="str">
        <f>+Pobl_adoptada!C96</f>
        <v>Coronel Vidal</v>
      </c>
      <c r="D256" s="311">
        <v>0</v>
      </c>
      <c r="E256" s="278"/>
      <c r="F256" s="263"/>
      <c r="G256" s="313">
        <f>IF(G96*'SEP ORIGEN'!G96&lt;='GENERADO PS locales'!$D256,G96*'SEP ORIGEN'!G96,"Excede capacidad PS")</f>
        <v>0</v>
      </c>
      <c r="H256" s="313">
        <f>IF(H96*'SEP ORIGEN'!H96&lt;='GENERADO PS locales'!$D256,H96*'SEP ORIGEN'!H96,"Excede capacidad PS")</f>
        <v>0</v>
      </c>
      <c r="I256" s="313">
        <f>IF(I96*'SEP ORIGEN'!I96&lt;='GENERADO PS locales'!$D256,I96*'SEP ORIGEN'!I96,"Excede capacidad PS")</f>
        <v>0</v>
      </c>
      <c r="J256" s="313">
        <f>IF(J96*'SEP ORIGEN'!J96&lt;='GENERADO PS locales'!$D256,J96*'SEP ORIGEN'!J96,"Excede capacidad PS")</f>
        <v>0</v>
      </c>
      <c r="K256" s="313">
        <f>IF(K96*'SEP ORIGEN'!K96&lt;='GENERADO PS locales'!$D256,K96*'SEP ORIGEN'!K96,"Excede capacidad PS")</f>
        <v>0</v>
      </c>
      <c r="L256" s="313">
        <f>IF(L96*'SEP ORIGEN'!L96&lt;='GENERADO PS locales'!$D256,L96*'SEP ORIGEN'!L96,"Excede capacidad PS")</f>
        <v>0</v>
      </c>
      <c r="M256" s="313">
        <f>IF(M96*'SEP ORIGEN'!M96&lt;='GENERADO PS locales'!$D256,M96*'SEP ORIGEN'!M96,"Excede capacidad PS")</f>
        <v>0</v>
      </c>
      <c r="N256" s="313">
        <f>IF(N96*'SEP ORIGEN'!N96&lt;='GENERADO PS locales'!$D256,N96*'SEP ORIGEN'!N96,"Excede capacidad PS")</f>
        <v>0</v>
      </c>
      <c r="O256" s="313">
        <f>IF(O96*'SEP ORIGEN'!O96&lt;='GENERADO PS locales'!$D256,O96*'SEP ORIGEN'!O96,"Excede capacidad PS")</f>
        <v>0</v>
      </c>
      <c r="P256" s="313">
        <f>IF(P96*'SEP ORIGEN'!P96&lt;='GENERADO PS locales'!$D256,P96*'SEP ORIGEN'!P96,"Excede capacidad PS")</f>
        <v>0</v>
      </c>
      <c r="Q256" s="313">
        <f>IF(Q96*'SEP ORIGEN'!Q96&lt;='GENERADO PS locales'!$D256,Q96*'SEP ORIGEN'!Q96,"Excede capacidad PS")</f>
        <v>0</v>
      </c>
      <c r="R256" s="313">
        <f>IF(R96*'SEP ORIGEN'!R96&lt;='GENERADO PS locales'!$D256,R96*'SEP ORIGEN'!R96,"Excede capacidad PS")</f>
        <v>0</v>
      </c>
      <c r="S256" s="313">
        <f>IF(S96*'SEP ORIGEN'!S96&lt;='GENERADO PS locales'!$D256,S96*'SEP ORIGEN'!S96,"Excede capacidad PS")</f>
        <v>0</v>
      </c>
      <c r="T256" s="313">
        <f>IF(T96*'SEP ORIGEN'!T96&lt;='GENERADO PS locales'!$D256,T96*'SEP ORIGEN'!T96,"Excede capacidad PS")</f>
        <v>0</v>
      </c>
      <c r="U256" s="313">
        <f>IF(U96*'SEP ORIGEN'!U96&lt;='GENERADO PS locales'!$D256,U96*'SEP ORIGEN'!U96,"Excede capacidad PS")</f>
        <v>0</v>
      </c>
      <c r="V256" s="313">
        <f>IF(V96*'SEP ORIGEN'!V96&lt;='GENERADO PS locales'!$D256,V96*'SEP ORIGEN'!V96,"Excede capacidad PS")</f>
        <v>0</v>
      </c>
      <c r="W256" s="313">
        <f>IF(W96*'SEP ORIGEN'!W96&lt;='GENERADO PS locales'!$D256,W96*'SEP ORIGEN'!W96,"Excede capacidad PS")</f>
        <v>0</v>
      </c>
      <c r="X256" s="313">
        <f>IF(X96*'SEP ORIGEN'!X96&lt;='GENERADO PS locales'!$D256,X96*'SEP ORIGEN'!X96,"Excede capacidad PS")</f>
        <v>0</v>
      </c>
      <c r="Y256" s="313">
        <f>IF(Y96*'SEP ORIGEN'!Y96&lt;='GENERADO PS locales'!$D256,Y96*'SEP ORIGEN'!Y96,"Excede capacidad PS")</f>
        <v>0</v>
      </c>
      <c r="Z256" s="313">
        <f>IF(Z96*'SEP ORIGEN'!Z96&lt;='GENERADO PS locales'!$D256,Z96*'SEP ORIGEN'!Z96,"Excede capacidad PS")</f>
        <v>0</v>
      </c>
    </row>
    <row r="257" spans="1:26" ht="24.95" customHeight="1">
      <c r="A257" s="260" t="str">
        <f>+Pobl_adoptada!A97</f>
        <v>Marcos Paz</v>
      </c>
      <c r="B257" s="70">
        <f>+Pobl_adoptada!B97</f>
        <v>93</v>
      </c>
      <c r="C257" s="71" t="str">
        <f>+Pobl_adoptada!C97</f>
        <v>Marcos Paz</v>
      </c>
      <c r="D257" s="311">
        <v>0</v>
      </c>
      <c r="E257" s="278"/>
      <c r="F257" s="263"/>
      <c r="G257" s="313">
        <f>IF(G97*'SEP ORIGEN'!G97&lt;='GENERADO PS locales'!$D257,G97*'SEP ORIGEN'!G97,"Excede capacidad PS")</f>
        <v>0</v>
      </c>
      <c r="H257" s="313">
        <f>IF(H97*'SEP ORIGEN'!H97&lt;='GENERADO PS locales'!$D257,H97*'SEP ORIGEN'!H97,"Excede capacidad PS")</f>
        <v>0</v>
      </c>
      <c r="I257" s="313">
        <f>IF(I97*'SEP ORIGEN'!I97&lt;='GENERADO PS locales'!$D257,I97*'SEP ORIGEN'!I97,"Excede capacidad PS")</f>
        <v>0</v>
      </c>
      <c r="J257" s="313">
        <f>IF(J97*'SEP ORIGEN'!J97&lt;='GENERADO PS locales'!$D257,J97*'SEP ORIGEN'!J97,"Excede capacidad PS")</f>
        <v>0</v>
      </c>
      <c r="K257" s="313">
        <f>IF(K97*'SEP ORIGEN'!K97&lt;='GENERADO PS locales'!$D257,K97*'SEP ORIGEN'!K97,"Excede capacidad PS")</f>
        <v>0</v>
      </c>
      <c r="L257" s="313">
        <f>IF(L97*'SEP ORIGEN'!L97&lt;='GENERADO PS locales'!$D257,L97*'SEP ORIGEN'!L97,"Excede capacidad PS")</f>
        <v>0</v>
      </c>
      <c r="M257" s="313">
        <f>IF(M97*'SEP ORIGEN'!M97&lt;='GENERADO PS locales'!$D257,M97*'SEP ORIGEN'!M97,"Excede capacidad PS")</f>
        <v>0</v>
      </c>
      <c r="N257" s="313">
        <f>IF(N97*'SEP ORIGEN'!N97&lt;='GENERADO PS locales'!$D257,N97*'SEP ORIGEN'!N97,"Excede capacidad PS")</f>
        <v>0</v>
      </c>
      <c r="O257" s="313">
        <f>IF(O97*'SEP ORIGEN'!O97&lt;='GENERADO PS locales'!$D257,O97*'SEP ORIGEN'!O97,"Excede capacidad PS")</f>
        <v>0</v>
      </c>
      <c r="P257" s="313">
        <f>IF(P97*'SEP ORIGEN'!P97&lt;='GENERADO PS locales'!$D257,P97*'SEP ORIGEN'!P97,"Excede capacidad PS")</f>
        <v>0</v>
      </c>
      <c r="Q257" s="313">
        <f>IF(Q97*'SEP ORIGEN'!Q97&lt;='GENERADO PS locales'!$D257,Q97*'SEP ORIGEN'!Q97,"Excede capacidad PS")</f>
        <v>0</v>
      </c>
      <c r="R257" s="313">
        <f>IF(R97*'SEP ORIGEN'!R97&lt;='GENERADO PS locales'!$D257,R97*'SEP ORIGEN'!R97,"Excede capacidad PS")</f>
        <v>0</v>
      </c>
      <c r="S257" s="313">
        <f>IF(S97*'SEP ORIGEN'!S97&lt;='GENERADO PS locales'!$D257,S97*'SEP ORIGEN'!S97,"Excede capacidad PS")</f>
        <v>0</v>
      </c>
      <c r="T257" s="313">
        <f>IF(T97*'SEP ORIGEN'!T97&lt;='GENERADO PS locales'!$D257,T97*'SEP ORIGEN'!T97,"Excede capacidad PS")</f>
        <v>0</v>
      </c>
      <c r="U257" s="313">
        <f>IF(U97*'SEP ORIGEN'!U97&lt;='GENERADO PS locales'!$D257,U97*'SEP ORIGEN'!U97,"Excede capacidad PS")</f>
        <v>0</v>
      </c>
      <c r="V257" s="313">
        <f>IF(V97*'SEP ORIGEN'!V97&lt;='GENERADO PS locales'!$D257,V97*'SEP ORIGEN'!V97,"Excede capacidad PS")</f>
        <v>0</v>
      </c>
      <c r="W257" s="313">
        <f>IF(W97*'SEP ORIGEN'!W97&lt;='GENERADO PS locales'!$D257,W97*'SEP ORIGEN'!W97,"Excede capacidad PS")</f>
        <v>0</v>
      </c>
      <c r="X257" s="313">
        <f>IF(X97*'SEP ORIGEN'!X97&lt;='GENERADO PS locales'!$D257,X97*'SEP ORIGEN'!X97,"Excede capacidad PS")</f>
        <v>0</v>
      </c>
      <c r="Y257" s="313">
        <f>IF(Y97*'SEP ORIGEN'!Y97&lt;='GENERADO PS locales'!$D257,Y97*'SEP ORIGEN'!Y97,"Excede capacidad PS")</f>
        <v>0</v>
      </c>
      <c r="Z257" s="313">
        <f>IF(Z97*'SEP ORIGEN'!Z97&lt;='GENERADO PS locales'!$D257,Z97*'SEP ORIGEN'!Z97,"Excede capacidad PS")</f>
        <v>0</v>
      </c>
    </row>
    <row r="258" spans="1:26" ht="24.95" customHeight="1">
      <c r="A258" s="260" t="str">
        <f>+Pobl_adoptada!A98</f>
        <v>Mercedes</v>
      </c>
      <c r="B258" s="70">
        <f>+Pobl_adoptada!B98</f>
        <v>94</v>
      </c>
      <c r="C258" s="71" t="str">
        <f>+Pobl_adoptada!C98</f>
        <v>Mercedes</v>
      </c>
      <c r="D258" s="311">
        <v>0</v>
      </c>
      <c r="E258" s="278"/>
      <c r="F258" s="263"/>
      <c r="G258" s="313">
        <f>IF(G98*'SEP ORIGEN'!G98&lt;='GENERADO PS locales'!$D258,G98*'SEP ORIGEN'!G98,"Excede capacidad PS")</f>
        <v>0</v>
      </c>
      <c r="H258" s="313">
        <f>IF(H98*'SEP ORIGEN'!H98&lt;='GENERADO PS locales'!$D258,H98*'SEP ORIGEN'!H98,"Excede capacidad PS")</f>
        <v>0</v>
      </c>
      <c r="I258" s="313">
        <f>IF(I98*'SEP ORIGEN'!I98&lt;='GENERADO PS locales'!$D258,I98*'SEP ORIGEN'!I98,"Excede capacidad PS")</f>
        <v>0</v>
      </c>
      <c r="J258" s="313">
        <f>IF(J98*'SEP ORIGEN'!J98&lt;='GENERADO PS locales'!$D258,J98*'SEP ORIGEN'!J98,"Excede capacidad PS")</f>
        <v>0</v>
      </c>
      <c r="K258" s="313">
        <f>IF(K98*'SEP ORIGEN'!K98&lt;='GENERADO PS locales'!$D258,K98*'SEP ORIGEN'!K98,"Excede capacidad PS")</f>
        <v>0</v>
      </c>
      <c r="L258" s="313">
        <f>IF(L98*'SEP ORIGEN'!L98&lt;='GENERADO PS locales'!$D258,L98*'SEP ORIGEN'!L98,"Excede capacidad PS")</f>
        <v>0</v>
      </c>
      <c r="M258" s="313">
        <f>IF(M98*'SEP ORIGEN'!M98&lt;='GENERADO PS locales'!$D258,M98*'SEP ORIGEN'!M98,"Excede capacidad PS")</f>
        <v>0</v>
      </c>
      <c r="N258" s="313">
        <f>IF(N98*'SEP ORIGEN'!N98&lt;='GENERADO PS locales'!$D258,N98*'SEP ORIGEN'!N98,"Excede capacidad PS")</f>
        <v>0</v>
      </c>
      <c r="O258" s="313">
        <f>IF(O98*'SEP ORIGEN'!O98&lt;='GENERADO PS locales'!$D258,O98*'SEP ORIGEN'!O98,"Excede capacidad PS")</f>
        <v>0</v>
      </c>
      <c r="P258" s="313">
        <f>IF(P98*'SEP ORIGEN'!P98&lt;='GENERADO PS locales'!$D258,P98*'SEP ORIGEN'!P98,"Excede capacidad PS")</f>
        <v>0</v>
      </c>
      <c r="Q258" s="313">
        <f>IF(Q98*'SEP ORIGEN'!Q98&lt;='GENERADO PS locales'!$D258,Q98*'SEP ORIGEN'!Q98,"Excede capacidad PS")</f>
        <v>0</v>
      </c>
      <c r="R258" s="313">
        <f>IF(R98*'SEP ORIGEN'!R98&lt;='GENERADO PS locales'!$D258,R98*'SEP ORIGEN'!R98,"Excede capacidad PS")</f>
        <v>0</v>
      </c>
      <c r="S258" s="313">
        <f>IF(S98*'SEP ORIGEN'!S98&lt;='GENERADO PS locales'!$D258,S98*'SEP ORIGEN'!S98,"Excede capacidad PS")</f>
        <v>0</v>
      </c>
      <c r="T258" s="313">
        <f>IF(T98*'SEP ORIGEN'!T98&lt;='GENERADO PS locales'!$D258,T98*'SEP ORIGEN'!T98,"Excede capacidad PS")</f>
        <v>0</v>
      </c>
      <c r="U258" s="313">
        <f>IF(U98*'SEP ORIGEN'!U98&lt;='GENERADO PS locales'!$D258,U98*'SEP ORIGEN'!U98,"Excede capacidad PS")</f>
        <v>0</v>
      </c>
      <c r="V258" s="313">
        <f>IF(V98*'SEP ORIGEN'!V98&lt;='GENERADO PS locales'!$D258,V98*'SEP ORIGEN'!V98,"Excede capacidad PS")</f>
        <v>0</v>
      </c>
      <c r="W258" s="313">
        <f>IF(W98*'SEP ORIGEN'!W98&lt;='GENERADO PS locales'!$D258,W98*'SEP ORIGEN'!W98,"Excede capacidad PS")</f>
        <v>0</v>
      </c>
      <c r="X258" s="313">
        <f>IF(X98*'SEP ORIGEN'!X98&lt;='GENERADO PS locales'!$D258,X98*'SEP ORIGEN'!X98,"Excede capacidad PS")</f>
        <v>0</v>
      </c>
      <c r="Y258" s="313">
        <f>IF(Y98*'SEP ORIGEN'!Y98&lt;='GENERADO PS locales'!$D258,Y98*'SEP ORIGEN'!Y98,"Excede capacidad PS")</f>
        <v>0</v>
      </c>
      <c r="Z258" s="313">
        <f>IF(Z98*'SEP ORIGEN'!Z98&lt;='GENERADO PS locales'!$D258,Z98*'SEP ORIGEN'!Z98,"Excede capacidad PS")</f>
        <v>0</v>
      </c>
    </row>
    <row r="259" spans="1:26" ht="24.95" customHeight="1">
      <c r="A259" s="260" t="str">
        <f>+Pobl_adoptada!A99</f>
        <v>Monte</v>
      </c>
      <c r="B259" s="70">
        <f>+Pobl_adoptada!B99</f>
        <v>95</v>
      </c>
      <c r="C259" s="71" t="str">
        <f>+Pobl_adoptada!C99</f>
        <v>San Miguel del Monte</v>
      </c>
      <c r="D259" s="311">
        <v>0</v>
      </c>
      <c r="E259" s="278"/>
      <c r="F259" s="263"/>
      <c r="G259" s="313">
        <f>IF(G99*'SEP ORIGEN'!G99&lt;='GENERADO PS locales'!$D259,G99*'SEP ORIGEN'!G99,"Excede capacidad PS")</f>
        <v>0</v>
      </c>
      <c r="H259" s="313">
        <f>IF(H99*'SEP ORIGEN'!H99&lt;='GENERADO PS locales'!$D259,H99*'SEP ORIGEN'!H99,"Excede capacidad PS")</f>
        <v>0</v>
      </c>
      <c r="I259" s="313">
        <f>IF(I99*'SEP ORIGEN'!I99&lt;='GENERADO PS locales'!$D259,I99*'SEP ORIGEN'!I99,"Excede capacidad PS")</f>
        <v>0</v>
      </c>
      <c r="J259" s="313">
        <f>IF(J99*'SEP ORIGEN'!J99&lt;='GENERADO PS locales'!$D259,J99*'SEP ORIGEN'!J99,"Excede capacidad PS")</f>
        <v>0</v>
      </c>
      <c r="K259" s="313">
        <f>IF(K99*'SEP ORIGEN'!K99&lt;='GENERADO PS locales'!$D259,K99*'SEP ORIGEN'!K99,"Excede capacidad PS")</f>
        <v>0</v>
      </c>
      <c r="L259" s="313">
        <f>IF(L99*'SEP ORIGEN'!L99&lt;='GENERADO PS locales'!$D259,L99*'SEP ORIGEN'!L99,"Excede capacidad PS")</f>
        <v>0</v>
      </c>
      <c r="M259" s="313">
        <f>IF(M99*'SEP ORIGEN'!M99&lt;='GENERADO PS locales'!$D259,M99*'SEP ORIGEN'!M99,"Excede capacidad PS")</f>
        <v>0</v>
      </c>
      <c r="N259" s="313">
        <f>IF(N99*'SEP ORIGEN'!N99&lt;='GENERADO PS locales'!$D259,N99*'SEP ORIGEN'!N99,"Excede capacidad PS")</f>
        <v>0</v>
      </c>
      <c r="O259" s="313">
        <f>IF(O99*'SEP ORIGEN'!O99&lt;='GENERADO PS locales'!$D259,O99*'SEP ORIGEN'!O99,"Excede capacidad PS")</f>
        <v>0</v>
      </c>
      <c r="P259" s="313">
        <f>IF(P99*'SEP ORIGEN'!P99&lt;='GENERADO PS locales'!$D259,P99*'SEP ORIGEN'!P99,"Excede capacidad PS")</f>
        <v>0</v>
      </c>
      <c r="Q259" s="313">
        <f>IF(Q99*'SEP ORIGEN'!Q99&lt;='GENERADO PS locales'!$D259,Q99*'SEP ORIGEN'!Q99,"Excede capacidad PS")</f>
        <v>0</v>
      </c>
      <c r="R259" s="313">
        <f>IF(R99*'SEP ORIGEN'!R99&lt;='GENERADO PS locales'!$D259,R99*'SEP ORIGEN'!R99,"Excede capacidad PS")</f>
        <v>0</v>
      </c>
      <c r="S259" s="313">
        <f>IF(S99*'SEP ORIGEN'!S99&lt;='GENERADO PS locales'!$D259,S99*'SEP ORIGEN'!S99,"Excede capacidad PS")</f>
        <v>0</v>
      </c>
      <c r="T259" s="313">
        <f>IF(T99*'SEP ORIGEN'!T99&lt;='GENERADO PS locales'!$D259,T99*'SEP ORIGEN'!T99,"Excede capacidad PS")</f>
        <v>0</v>
      </c>
      <c r="U259" s="313">
        <f>IF(U99*'SEP ORIGEN'!U99&lt;='GENERADO PS locales'!$D259,U99*'SEP ORIGEN'!U99,"Excede capacidad PS")</f>
        <v>0</v>
      </c>
      <c r="V259" s="313">
        <f>IF(V99*'SEP ORIGEN'!V99&lt;='GENERADO PS locales'!$D259,V99*'SEP ORIGEN'!V99,"Excede capacidad PS")</f>
        <v>0</v>
      </c>
      <c r="W259" s="313">
        <f>IF(W99*'SEP ORIGEN'!W99&lt;='GENERADO PS locales'!$D259,W99*'SEP ORIGEN'!W99,"Excede capacidad PS")</f>
        <v>0</v>
      </c>
      <c r="X259" s="313">
        <f>IF(X99*'SEP ORIGEN'!X99&lt;='GENERADO PS locales'!$D259,X99*'SEP ORIGEN'!X99,"Excede capacidad PS")</f>
        <v>0</v>
      </c>
      <c r="Y259" s="313">
        <f>IF(Y99*'SEP ORIGEN'!Y99&lt;='GENERADO PS locales'!$D259,Y99*'SEP ORIGEN'!Y99,"Excede capacidad PS")</f>
        <v>0</v>
      </c>
      <c r="Z259" s="313">
        <f>IF(Z99*'SEP ORIGEN'!Z99&lt;='GENERADO PS locales'!$D259,Z99*'SEP ORIGEN'!Z99,"Excede capacidad PS")</f>
        <v>0</v>
      </c>
    </row>
    <row r="260" spans="1:26" ht="24.95" customHeight="1">
      <c r="A260" s="260" t="str">
        <f>+Pobl_adoptada!A100</f>
        <v>Monte Hermoso</v>
      </c>
      <c r="B260" s="70">
        <f>+Pobl_adoptada!B100</f>
        <v>96</v>
      </c>
      <c r="C260" s="71" t="str">
        <f>+Pobl_adoptada!C100</f>
        <v>Monte Hermoso</v>
      </c>
      <c r="D260" s="311">
        <v>0</v>
      </c>
      <c r="E260" s="278"/>
      <c r="F260" s="263"/>
      <c r="G260" s="313">
        <f>IF(G100*'SEP ORIGEN'!G100&lt;='GENERADO PS locales'!$D260,G100*'SEP ORIGEN'!G100,"Excede capacidad PS")</f>
        <v>0</v>
      </c>
      <c r="H260" s="313">
        <f>IF(H100*'SEP ORIGEN'!H100&lt;='GENERADO PS locales'!$D260,H100*'SEP ORIGEN'!H100,"Excede capacidad PS")</f>
        <v>0</v>
      </c>
      <c r="I260" s="313">
        <f>IF(I100*'SEP ORIGEN'!I100&lt;='GENERADO PS locales'!$D260,I100*'SEP ORIGEN'!I100,"Excede capacidad PS")</f>
        <v>0</v>
      </c>
      <c r="J260" s="313">
        <f>IF(J100*'SEP ORIGEN'!J100&lt;='GENERADO PS locales'!$D260,J100*'SEP ORIGEN'!J100,"Excede capacidad PS")</f>
        <v>0</v>
      </c>
      <c r="K260" s="313">
        <f>IF(K100*'SEP ORIGEN'!K100&lt;='GENERADO PS locales'!$D260,K100*'SEP ORIGEN'!K100,"Excede capacidad PS")</f>
        <v>0</v>
      </c>
      <c r="L260" s="313">
        <f>IF(L100*'SEP ORIGEN'!L100&lt;='GENERADO PS locales'!$D260,L100*'SEP ORIGEN'!L100,"Excede capacidad PS")</f>
        <v>0</v>
      </c>
      <c r="M260" s="313">
        <f>IF(M100*'SEP ORIGEN'!M100&lt;='GENERADO PS locales'!$D260,M100*'SEP ORIGEN'!M100,"Excede capacidad PS")</f>
        <v>0</v>
      </c>
      <c r="N260" s="313">
        <f>IF(N100*'SEP ORIGEN'!N100&lt;='GENERADO PS locales'!$D260,N100*'SEP ORIGEN'!N100,"Excede capacidad PS")</f>
        <v>0</v>
      </c>
      <c r="O260" s="313">
        <f>IF(O100*'SEP ORIGEN'!O100&lt;='GENERADO PS locales'!$D260,O100*'SEP ORIGEN'!O100,"Excede capacidad PS")</f>
        <v>0</v>
      </c>
      <c r="P260" s="313">
        <f>IF(P100*'SEP ORIGEN'!P100&lt;='GENERADO PS locales'!$D260,P100*'SEP ORIGEN'!P100,"Excede capacidad PS")</f>
        <v>0</v>
      </c>
      <c r="Q260" s="313">
        <f>IF(Q100*'SEP ORIGEN'!Q100&lt;='GENERADO PS locales'!$D260,Q100*'SEP ORIGEN'!Q100,"Excede capacidad PS")</f>
        <v>0</v>
      </c>
      <c r="R260" s="313">
        <f>IF(R100*'SEP ORIGEN'!R100&lt;='GENERADO PS locales'!$D260,R100*'SEP ORIGEN'!R100,"Excede capacidad PS")</f>
        <v>0</v>
      </c>
      <c r="S260" s="313">
        <f>IF(S100*'SEP ORIGEN'!S100&lt;='GENERADO PS locales'!$D260,S100*'SEP ORIGEN'!S100,"Excede capacidad PS")</f>
        <v>0</v>
      </c>
      <c r="T260" s="313">
        <f>IF(T100*'SEP ORIGEN'!T100&lt;='GENERADO PS locales'!$D260,T100*'SEP ORIGEN'!T100,"Excede capacidad PS")</f>
        <v>0</v>
      </c>
      <c r="U260" s="313">
        <f>IF(U100*'SEP ORIGEN'!U100&lt;='GENERADO PS locales'!$D260,U100*'SEP ORIGEN'!U100,"Excede capacidad PS")</f>
        <v>0</v>
      </c>
      <c r="V260" s="313">
        <f>IF(V100*'SEP ORIGEN'!V100&lt;='GENERADO PS locales'!$D260,V100*'SEP ORIGEN'!V100,"Excede capacidad PS")</f>
        <v>0</v>
      </c>
      <c r="W260" s="313">
        <f>IF(W100*'SEP ORIGEN'!W100&lt;='GENERADO PS locales'!$D260,W100*'SEP ORIGEN'!W100,"Excede capacidad PS")</f>
        <v>0</v>
      </c>
      <c r="X260" s="313">
        <f>IF(X100*'SEP ORIGEN'!X100&lt;='GENERADO PS locales'!$D260,X100*'SEP ORIGEN'!X100,"Excede capacidad PS")</f>
        <v>0</v>
      </c>
      <c r="Y260" s="313">
        <f>IF(Y100*'SEP ORIGEN'!Y100&lt;='GENERADO PS locales'!$D260,Y100*'SEP ORIGEN'!Y100,"Excede capacidad PS")</f>
        <v>0</v>
      </c>
      <c r="Z260" s="313">
        <f>IF(Z100*'SEP ORIGEN'!Z100&lt;='GENERADO PS locales'!$D260,Z100*'SEP ORIGEN'!Z100,"Excede capacidad PS")</f>
        <v>0</v>
      </c>
    </row>
    <row r="261" spans="1:26" ht="24.95" customHeight="1">
      <c r="A261" s="260" t="str">
        <f>+Pobl_adoptada!A101</f>
        <v>Navarro</v>
      </c>
      <c r="B261" s="70">
        <f>+Pobl_adoptada!B101</f>
        <v>97</v>
      </c>
      <c r="C261" s="71" t="str">
        <f>+Pobl_adoptada!C101</f>
        <v>Navarro</v>
      </c>
      <c r="D261" s="311">
        <v>0</v>
      </c>
      <c r="E261" s="278"/>
      <c r="F261" s="263"/>
      <c r="G261" s="313">
        <f>IF(G101*'SEP ORIGEN'!G101&lt;='GENERADO PS locales'!$D261,G101*'SEP ORIGEN'!G101,"Excede capacidad PS")</f>
        <v>0</v>
      </c>
      <c r="H261" s="313">
        <f>IF(H101*'SEP ORIGEN'!H101&lt;='GENERADO PS locales'!$D261,H101*'SEP ORIGEN'!H101,"Excede capacidad PS")</f>
        <v>0</v>
      </c>
      <c r="I261" s="313">
        <f>IF(I101*'SEP ORIGEN'!I101&lt;='GENERADO PS locales'!$D261,I101*'SEP ORIGEN'!I101,"Excede capacidad PS")</f>
        <v>0</v>
      </c>
      <c r="J261" s="313">
        <f>IF(J101*'SEP ORIGEN'!J101&lt;='GENERADO PS locales'!$D261,J101*'SEP ORIGEN'!J101,"Excede capacidad PS")</f>
        <v>0</v>
      </c>
      <c r="K261" s="313">
        <f>IF(K101*'SEP ORIGEN'!K101&lt;='GENERADO PS locales'!$D261,K101*'SEP ORIGEN'!K101,"Excede capacidad PS")</f>
        <v>0</v>
      </c>
      <c r="L261" s="313">
        <f>IF(L101*'SEP ORIGEN'!L101&lt;='GENERADO PS locales'!$D261,L101*'SEP ORIGEN'!L101,"Excede capacidad PS")</f>
        <v>0</v>
      </c>
      <c r="M261" s="313">
        <f>IF(M101*'SEP ORIGEN'!M101&lt;='GENERADO PS locales'!$D261,M101*'SEP ORIGEN'!M101,"Excede capacidad PS")</f>
        <v>0</v>
      </c>
      <c r="N261" s="313">
        <f>IF(N101*'SEP ORIGEN'!N101&lt;='GENERADO PS locales'!$D261,N101*'SEP ORIGEN'!N101,"Excede capacidad PS")</f>
        <v>0</v>
      </c>
      <c r="O261" s="313">
        <f>IF(O101*'SEP ORIGEN'!O101&lt;='GENERADO PS locales'!$D261,O101*'SEP ORIGEN'!O101,"Excede capacidad PS")</f>
        <v>0</v>
      </c>
      <c r="P261" s="313">
        <f>IF(P101*'SEP ORIGEN'!P101&lt;='GENERADO PS locales'!$D261,P101*'SEP ORIGEN'!P101,"Excede capacidad PS")</f>
        <v>0</v>
      </c>
      <c r="Q261" s="313">
        <f>IF(Q101*'SEP ORIGEN'!Q101&lt;='GENERADO PS locales'!$D261,Q101*'SEP ORIGEN'!Q101,"Excede capacidad PS")</f>
        <v>0</v>
      </c>
      <c r="R261" s="313">
        <f>IF(R101*'SEP ORIGEN'!R101&lt;='GENERADO PS locales'!$D261,R101*'SEP ORIGEN'!R101,"Excede capacidad PS")</f>
        <v>0</v>
      </c>
      <c r="S261" s="313">
        <f>IF(S101*'SEP ORIGEN'!S101&lt;='GENERADO PS locales'!$D261,S101*'SEP ORIGEN'!S101,"Excede capacidad PS")</f>
        <v>0</v>
      </c>
      <c r="T261" s="313">
        <f>IF(T101*'SEP ORIGEN'!T101&lt;='GENERADO PS locales'!$D261,T101*'SEP ORIGEN'!T101,"Excede capacidad PS")</f>
        <v>0</v>
      </c>
      <c r="U261" s="313">
        <f>IF(U101*'SEP ORIGEN'!U101&lt;='GENERADO PS locales'!$D261,U101*'SEP ORIGEN'!U101,"Excede capacidad PS")</f>
        <v>0</v>
      </c>
      <c r="V261" s="313">
        <f>IF(V101*'SEP ORIGEN'!V101&lt;='GENERADO PS locales'!$D261,V101*'SEP ORIGEN'!V101,"Excede capacidad PS")</f>
        <v>0</v>
      </c>
      <c r="W261" s="313">
        <f>IF(W101*'SEP ORIGEN'!W101&lt;='GENERADO PS locales'!$D261,W101*'SEP ORIGEN'!W101,"Excede capacidad PS")</f>
        <v>0</v>
      </c>
      <c r="X261" s="313">
        <f>IF(X101*'SEP ORIGEN'!X101&lt;='GENERADO PS locales'!$D261,X101*'SEP ORIGEN'!X101,"Excede capacidad PS")</f>
        <v>0</v>
      </c>
      <c r="Y261" s="313">
        <f>IF(Y101*'SEP ORIGEN'!Y101&lt;='GENERADO PS locales'!$D261,Y101*'SEP ORIGEN'!Y101,"Excede capacidad PS")</f>
        <v>0</v>
      </c>
      <c r="Z261" s="313">
        <f>IF(Z101*'SEP ORIGEN'!Z101&lt;='GENERADO PS locales'!$D261,Z101*'SEP ORIGEN'!Z101,"Excede capacidad PS")</f>
        <v>0</v>
      </c>
    </row>
    <row r="262" spans="1:26" ht="24.95" customHeight="1">
      <c r="A262" s="260" t="str">
        <f>+Pobl_adoptada!A102</f>
        <v>Necochea</v>
      </c>
      <c r="B262" s="70">
        <f>+Pobl_adoptada!B102</f>
        <v>98</v>
      </c>
      <c r="C262" s="71" t="str">
        <f>+Pobl_adoptada!C102</f>
        <v>Necochea - Quequén</v>
      </c>
      <c r="D262" s="311">
        <v>0</v>
      </c>
      <c r="E262" s="278"/>
      <c r="F262" s="263"/>
      <c r="G262" s="313">
        <f>IF(G102*'SEP ORIGEN'!G102&lt;='GENERADO PS locales'!$D262,G102*'SEP ORIGEN'!G102,"Excede capacidad PS")</f>
        <v>0</v>
      </c>
      <c r="H262" s="313">
        <f>IF(H102*'SEP ORIGEN'!H102&lt;='GENERADO PS locales'!$D262,H102*'SEP ORIGEN'!H102,"Excede capacidad PS")</f>
        <v>0</v>
      </c>
      <c r="I262" s="313">
        <f>IF(I102*'SEP ORIGEN'!I102&lt;='GENERADO PS locales'!$D262,I102*'SEP ORIGEN'!I102,"Excede capacidad PS")</f>
        <v>0</v>
      </c>
      <c r="J262" s="313">
        <f>IF(J102*'SEP ORIGEN'!J102&lt;='GENERADO PS locales'!$D262,J102*'SEP ORIGEN'!J102,"Excede capacidad PS")</f>
        <v>0</v>
      </c>
      <c r="K262" s="313">
        <f>IF(K102*'SEP ORIGEN'!K102&lt;='GENERADO PS locales'!$D262,K102*'SEP ORIGEN'!K102,"Excede capacidad PS")</f>
        <v>0</v>
      </c>
      <c r="L262" s="313">
        <f>IF(L102*'SEP ORIGEN'!L102&lt;='GENERADO PS locales'!$D262,L102*'SEP ORIGEN'!L102,"Excede capacidad PS")</f>
        <v>0</v>
      </c>
      <c r="M262" s="313">
        <f>IF(M102*'SEP ORIGEN'!M102&lt;='GENERADO PS locales'!$D262,M102*'SEP ORIGEN'!M102,"Excede capacidad PS")</f>
        <v>0</v>
      </c>
      <c r="N262" s="313">
        <f>IF(N102*'SEP ORIGEN'!N102&lt;='GENERADO PS locales'!$D262,N102*'SEP ORIGEN'!N102,"Excede capacidad PS")</f>
        <v>0</v>
      </c>
      <c r="O262" s="313">
        <f>IF(O102*'SEP ORIGEN'!O102&lt;='GENERADO PS locales'!$D262,O102*'SEP ORIGEN'!O102,"Excede capacidad PS")</f>
        <v>0</v>
      </c>
      <c r="P262" s="313">
        <f>IF(P102*'SEP ORIGEN'!P102&lt;='GENERADO PS locales'!$D262,P102*'SEP ORIGEN'!P102,"Excede capacidad PS")</f>
        <v>0</v>
      </c>
      <c r="Q262" s="313">
        <f>IF(Q102*'SEP ORIGEN'!Q102&lt;='GENERADO PS locales'!$D262,Q102*'SEP ORIGEN'!Q102,"Excede capacidad PS")</f>
        <v>0</v>
      </c>
      <c r="R262" s="313">
        <f>IF(R102*'SEP ORIGEN'!R102&lt;='GENERADO PS locales'!$D262,R102*'SEP ORIGEN'!R102,"Excede capacidad PS")</f>
        <v>0</v>
      </c>
      <c r="S262" s="313">
        <f>IF(S102*'SEP ORIGEN'!S102&lt;='GENERADO PS locales'!$D262,S102*'SEP ORIGEN'!S102,"Excede capacidad PS")</f>
        <v>0</v>
      </c>
      <c r="T262" s="313">
        <f>IF(T102*'SEP ORIGEN'!T102&lt;='GENERADO PS locales'!$D262,T102*'SEP ORIGEN'!T102,"Excede capacidad PS")</f>
        <v>0</v>
      </c>
      <c r="U262" s="313">
        <f>IF(U102*'SEP ORIGEN'!U102&lt;='GENERADO PS locales'!$D262,U102*'SEP ORIGEN'!U102,"Excede capacidad PS")</f>
        <v>0</v>
      </c>
      <c r="V262" s="313">
        <f>IF(V102*'SEP ORIGEN'!V102&lt;='GENERADO PS locales'!$D262,V102*'SEP ORIGEN'!V102,"Excede capacidad PS")</f>
        <v>0</v>
      </c>
      <c r="W262" s="313">
        <f>IF(W102*'SEP ORIGEN'!W102&lt;='GENERADO PS locales'!$D262,W102*'SEP ORIGEN'!W102,"Excede capacidad PS")</f>
        <v>0</v>
      </c>
      <c r="X262" s="313">
        <f>IF(X102*'SEP ORIGEN'!X102&lt;='GENERADO PS locales'!$D262,X102*'SEP ORIGEN'!X102,"Excede capacidad PS")</f>
        <v>0</v>
      </c>
      <c r="Y262" s="313">
        <f>IF(Y102*'SEP ORIGEN'!Y102&lt;='GENERADO PS locales'!$D262,Y102*'SEP ORIGEN'!Y102,"Excede capacidad PS")</f>
        <v>0</v>
      </c>
      <c r="Z262" s="313">
        <f>IF(Z102*'SEP ORIGEN'!Z102&lt;='GENERADO PS locales'!$D262,Z102*'SEP ORIGEN'!Z102,"Excede capacidad PS")</f>
        <v>0</v>
      </c>
    </row>
    <row r="263" spans="1:26" ht="24.95" customHeight="1">
      <c r="A263" s="260" t="str">
        <f>+Pobl_adoptada!A103</f>
        <v>Olavarría</v>
      </c>
      <c r="B263" s="70">
        <f>+Pobl_adoptada!B103</f>
        <v>99</v>
      </c>
      <c r="C263" s="71" t="str">
        <f>+Pobl_adoptada!C103</f>
        <v>Olavarría</v>
      </c>
      <c r="D263" s="311">
        <v>0</v>
      </c>
      <c r="E263" s="278"/>
      <c r="F263" s="263"/>
      <c r="G263" s="313">
        <f>IF(G103*'SEP ORIGEN'!G103&lt;='GENERADO PS locales'!$D263,G103*'SEP ORIGEN'!G103,"Excede capacidad PS")</f>
        <v>0</v>
      </c>
      <c r="H263" s="313">
        <f>IF(H103*'SEP ORIGEN'!H103&lt;='GENERADO PS locales'!$D263,H103*'SEP ORIGEN'!H103,"Excede capacidad PS")</f>
        <v>0</v>
      </c>
      <c r="I263" s="313">
        <f>IF(I103*'SEP ORIGEN'!I103&lt;='GENERADO PS locales'!$D263,I103*'SEP ORIGEN'!I103,"Excede capacidad PS")</f>
        <v>0</v>
      </c>
      <c r="J263" s="313">
        <f>IF(J103*'SEP ORIGEN'!J103&lt;='GENERADO PS locales'!$D263,J103*'SEP ORIGEN'!J103,"Excede capacidad PS")</f>
        <v>0</v>
      </c>
      <c r="K263" s="313">
        <f>IF(K103*'SEP ORIGEN'!K103&lt;='GENERADO PS locales'!$D263,K103*'SEP ORIGEN'!K103,"Excede capacidad PS")</f>
        <v>0</v>
      </c>
      <c r="L263" s="313">
        <f>IF(L103*'SEP ORIGEN'!L103&lt;='GENERADO PS locales'!$D263,L103*'SEP ORIGEN'!L103,"Excede capacidad PS")</f>
        <v>0</v>
      </c>
      <c r="M263" s="313">
        <f>IF(M103*'SEP ORIGEN'!M103&lt;='GENERADO PS locales'!$D263,M103*'SEP ORIGEN'!M103,"Excede capacidad PS")</f>
        <v>0</v>
      </c>
      <c r="N263" s="313">
        <f>IF(N103*'SEP ORIGEN'!N103&lt;='GENERADO PS locales'!$D263,N103*'SEP ORIGEN'!N103,"Excede capacidad PS")</f>
        <v>0</v>
      </c>
      <c r="O263" s="313">
        <f>IF(O103*'SEP ORIGEN'!O103&lt;='GENERADO PS locales'!$D263,O103*'SEP ORIGEN'!O103,"Excede capacidad PS")</f>
        <v>0</v>
      </c>
      <c r="P263" s="313">
        <f>IF(P103*'SEP ORIGEN'!P103&lt;='GENERADO PS locales'!$D263,P103*'SEP ORIGEN'!P103,"Excede capacidad PS")</f>
        <v>0</v>
      </c>
      <c r="Q263" s="313">
        <f>IF(Q103*'SEP ORIGEN'!Q103&lt;='GENERADO PS locales'!$D263,Q103*'SEP ORIGEN'!Q103,"Excede capacidad PS")</f>
        <v>0</v>
      </c>
      <c r="R263" s="313">
        <f>IF(R103*'SEP ORIGEN'!R103&lt;='GENERADO PS locales'!$D263,R103*'SEP ORIGEN'!R103,"Excede capacidad PS")</f>
        <v>0</v>
      </c>
      <c r="S263" s="313">
        <f>IF(S103*'SEP ORIGEN'!S103&lt;='GENERADO PS locales'!$D263,S103*'SEP ORIGEN'!S103,"Excede capacidad PS")</f>
        <v>0</v>
      </c>
      <c r="T263" s="313">
        <f>IF(T103*'SEP ORIGEN'!T103&lt;='GENERADO PS locales'!$D263,T103*'SEP ORIGEN'!T103,"Excede capacidad PS")</f>
        <v>0</v>
      </c>
      <c r="U263" s="313">
        <f>IF(U103*'SEP ORIGEN'!U103&lt;='GENERADO PS locales'!$D263,U103*'SEP ORIGEN'!U103,"Excede capacidad PS")</f>
        <v>0</v>
      </c>
      <c r="V263" s="313">
        <f>IF(V103*'SEP ORIGEN'!V103&lt;='GENERADO PS locales'!$D263,V103*'SEP ORIGEN'!V103,"Excede capacidad PS")</f>
        <v>0</v>
      </c>
      <c r="W263" s="313">
        <f>IF(W103*'SEP ORIGEN'!W103&lt;='GENERADO PS locales'!$D263,W103*'SEP ORIGEN'!W103,"Excede capacidad PS")</f>
        <v>0</v>
      </c>
      <c r="X263" s="313">
        <f>IF(X103*'SEP ORIGEN'!X103&lt;='GENERADO PS locales'!$D263,X103*'SEP ORIGEN'!X103,"Excede capacidad PS")</f>
        <v>0</v>
      </c>
      <c r="Y263" s="313">
        <f>IF(Y103*'SEP ORIGEN'!Y103&lt;='GENERADO PS locales'!$D263,Y103*'SEP ORIGEN'!Y103,"Excede capacidad PS")</f>
        <v>0</v>
      </c>
      <c r="Z263" s="313">
        <f>IF(Z103*'SEP ORIGEN'!Z103&lt;='GENERADO PS locales'!$D263,Z103*'SEP ORIGEN'!Z103,"Excede capacidad PS")</f>
        <v>0</v>
      </c>
    </row>
    <row r="264" spans="1:26" ht="24.95" customHeight="1">
      <c r="A264" s="260" t="str">
        <f>+Pobl_adoptada!A104</f>
        <v>Patagones</v>
      </c>
      <c r="B264" s="70">
        <f>+Pobl_adoptada!B104</f>
        <v>100</v>
      </c>
      <c r="C264" s="71" t="str">
        <f>+Pobl_adoptada!C104</f>
        <v>Carmen de Patagones</v>
      </c>
      <c r="D264" s="311">
        <v>0</v>
      </c>
      <c r="E264" s="278"/>
      <c r="F264" s="263"/>
      <c r="G264" s="313">
        <f>IF(G104*'SEP ORIGEN'!G104&lt;='GENERADO PS locales'!$D264,G104*'SEP ORIGEN'!G104,"Excede capacidad PS")</f>
        <v>0</v>
      </c>
      <c r="H264" s="313">
        <f>IF(H104*'SEP ORIGEN'!H104&lt;='GENERADO PS locales'!$D264,H104*'SEP ORIGEN'!H104,"Excede capacidad PS")</f>
        <v>0</v>
      </c>
      <c r="I264" s="313">
        <f>IF(I104*'SEP ORIGEN'!I104&lt;='GENERADO PS locales'!$D264,I104*'SEP ORIGEN'!I104,"Excede capacidad PS")</f>
        <v>0</v>
      </c>
      <c r="J264" s="313">
        <f>IF(J104*'SEP ORIGEN'!J104&lt;='GENERADO PS locales'!$D264,J104*'SEP ORIGEN'!J104,"Excede capacidad PS")</f>
        <v>0</v>
      </c>
      <c r="K264" s="313">
        <f>IF(K104*'SEP ORIGEN'!K104&lt;='GENERADO PS locales'!$D264,K104*'SEP ORIGEN'!K104,"Excede capacidad PS")</f>
        <v>0</v>
      </c>
      <c r="L264" s="313">
        <f>IF(L104*'SEP ORIGEN'!L104&lt;='GENERADO PS locales'!$D264,L104*'SEP ORIGEN'!L104,"Excede capacidad PS")</f>
        <v>0</v>
      </c>
      <c r="M264" s="313">
        <f>IF(M104*'SEP ORIGEN'!M104&lt;='GENERADO PS locales'!$D264,M104*'SEP ORIGEN'!M104,"Excede capacidad PS")</f>
        <v>0</v>
      </c>
      <c r="N264" s="313">
        <f>IF(N104*'SEP ORIGEN'!N104&lt;='GENERADO PS locales'!$D264,N104*'SEP ORIGEN'!N104,"Excede capacidad PS")</f>
        <v>0</v>
      </c>
      <c r="O264" s="313">
        <f>IF(O104*'SEP ORIGEN'!O104&lt;='GENERADO PS locales'!$D264,O104*'SEP ORIGEN'!O104,"Excede capacidad PS")</f>
        <v>0</v>
      </c>
      <c r="P264" s="313">
        <f>IF(P104*'SEP ORIGEN'!P104&lt;='GENERADO PS locales'!$D264,P104*'SEP ORIGEN'!P104,"Excede capacidad PS")</f>
        <v>0</v>
      </c>
      <c r="Q264" s="313">
        <f>IF(Q104*'SEP ORIGEN'!Q104&lt;='GENERADO PS locales'!$D264,Q104*'SEP ORIGEN'!Q104,"Excede capacidad PS")</f>
        <v>0</v>
      </c>
      <c r="R264" s="313">
        <f>IF(R104*'SEP ORIGEN'!R104&lt;='GENERADO PS locales'!$D264,R104*'SEP ORIGEN'!R104,"Excede capacidad PS")</f>
        <v>0</v>
      </c>
      <c r="S264" s="313">
        <f>IF(S104*'SEP ORIGEN'!S104&lt;='GENERADO PS locales'!$D264,S104*'SEP ORIGEN'!S104,"Excede capacidad PS")</f>
        <v>0</v>
      </c>
      <c r="T264" s="313">
        <f>IF(T104*'SEP ORIGEN'!T104&lt;='GENERADO PS locales'!$D264,T104*'SEP ORIGEN'!T104,"Excede capacidad PS")</f>
        <v>0</v>
      </c>
      <c r="U264" s="313">
        <f>IF(U104*'SEP ORIGEN'!U104&lt;='GENERADO PS locales'!$D264,U104*'SEP ORIGEN'!U104,"Excede capacidad PS")</f>
        <v>0</v>
      </c>
      <c r="V264" s="313">
        <f>IF(V104*'SEP ORIGEN'!V104&lt;='GENERADO PS locales'!$D264,V104*'SEP ORIGEN'!V104,"Excede capacidad PS")</f>
        <v>0</v>
      </c>
      <c r="W264" s="313">
        <f>IF(W104*'SEP ORIGEN'!W104&lt;='GENERADO PS locales'!$D264,W104*'SEP ORIGEN'!W104,"Excede capacidad PS")</f>
        <v>0</v>
      </c>
      <c r="X264" s="313">
        <f>IF(X104*'SEP ORIGEN'!X104&lt;='GENERADO PS locales'!$D264,X104*'SEP ORIGEN'!X104,"Excede capacidad PS")</f>
        <v>0</v>
      </c>
      <c r="Y264" s="313">
        <f>IF(Y104*'SEP ORIGEN'!Y104&lt;='GENERADO PS locales'!$D264,Y104*'SEP ORIGEN'!Y104,"Excede capacidad PS")</f>
        <v>0</v>
      </c>
      <c r="Z264" s="313">
        <f>IF(Z104*'SEP ORIGEN'!Z104&lt;='GENERADO PS locales'!$D264,Z104*'SEP ORIGEN'!Z104,"Excede capacidad PS")</f>
        <v>0</v>
      </c>
    </row>
    <row r="265" spans="1:26" ht="24.95" customHeight="1">
      <c r="A265" s="260" t="str">
        <f>+Pobl_adoptada!A105</f>
        <v>Pehuajó</v>
      </c>
      <c r="B265" s="70">
        <f>+Pobl_adoptada!B105</f>
        <v>101</v>
      </c>
      <c r="C265" s="71" t="str">
        <f>+Pobl_adoptada!C105</f>
        <v>Pehuajó</v>
      </c>
      <c r="D265" s="311">
        <v>0</v>
      </c>
      <c r="E265" s="278"/>
      <c r="F265" s="263"/>
      <c r="G265" s="313">
        <f>IF(G105*'SEP ORIGEN'!G105&lt;='GENERADO PS locales'!$D265,G105*'SEP ORIGEN'!G105,"Excede capacidad PS")</f>
        <v>0</v>
      </c>
      <c r="H265" s="313">
        <f>IF(H105*'SEP ORIGEN'!H105&lt;='GENERADO PS locales'!$D265,H105*'SEP ORIGEN'!H105,"Excede capacidad PS")</f>
        <v>0</v>
      </c>
      <c r="I265" s="313">
        <f>IF(I105*'SEP ORIGEN'!I105&lt;='GENERADO PS locales'!$D265,I105*'SEP ORIGEN'!I105,"Excede capacidad PS")</f>
        <v>0</v>
      </c>
      <c r="J265" s="313">
        <f>IF(J105*'SEP ORIGEN'!J105&lt;='GENERADO PS locales'!$D265,J105*'SEP ORIGEN'!J105,"Excede capacidad PS")</f>
        <v>0</v>
      </c>
      <c r="K265" s="313">
        <f>IF(K105*'SEP ORIGEN'!K105&lt;='GENERADO PS locales'!$D265,K105*'SEP ORIGEN'!K105,"Excede capacidad PS")</f>
        <v>0</v>
      </c>
      <c r="L265" s="313">
        <f>IF(L105*'SEP ORIGEN'!L105&lt;='GENERADO PS locales'!$D265,L105*'SEP ORIGEN'!L105,"Excede capacidad PS")</f>
        <v>0</v>
      </c>
      <c r="M265" s="313">
        <f>IF(M105*'SEP ORIGEN'!M105&lt;='GENERADO PS locales'!$D265,M105*'SEP ORIGEN'!M105,"Excede capacidad PS")</f>
        <v>0</v>
      </c>
      <c r="N265" s="313">
        <f>IF(N105*'SEP ORIGEN'!N105&lt;='GENERADO PS locales'!$D265,N105*'SEP ORIGEN'!N105,"Excede capacidad PS")</f>
        <v>0</v>
      </c>
      <c r="O265" s="313">
        <f>IF(O105*'SEP ORIGEN'!O105&lt;='GENERADO PS locales'!$D265,O105*'SEP ORIGEN'!O105,"Excede capacidad PS")</f>
        <v>0</v>
      </c>
      <c r="P265" s="313">
        <f>IF(P105*'SEP ORIGEN'!P105&lt;='GENERADO PS locales'!$D265,P105*'SEP ORIGEN'!P105,"Excede capacidad PS")</f>
        <v>0</v>
      </c>
      <c r="Q265" s="313">
        <f>IF(Q105*'SEP ORIGEN'!Q105&lt;='GENERADO PS locales'!$D265,Q105*'SEP ORIGEN'!Q105,"Excede capacidad PS")</f>
        <v>0</v>
      </c>
      <c r="R265" s="313">
        <f>IF(R105*'SEP ORIGEN'!R105&lt;='GENERADO PS locales'!$D265,R105*'SEP ORIGEN'!R105,"Excede capacidad PS")</f>
        <v>0</v>
      </c>
      <c r="S265" s="313">
        <f>IF(S105*'SEP ORIGEN'!S105&lt;='GENERADO PS locales'!$D265,S105*'SEP ORIGEN'!S105,"Excede capacidad PS")</f>
        <v>0</v>
      </c>
      <c r="T265" s="313">
        <f>IF(T105*'SEP ORIGEN'!T105&lt;='GENERADO PS locales'!$D265,T105*'SEP ORIGEN'!T105,"Excede capacidad PS")</f>
        <v>0</v>
      </c>
      <c r="U265" s="313">
        <f>IF(U105*'SEP ORIGEN'!U105&lt;='GENERADO PS locales'!$D265,U105*'SEP ORIGEN'!U105,"Excede capacidad PS")</f>
        <v>0</v>
      </c>
      <c r="V265" s="313">
        <f>IF(V105*'SEP ORIGEN'!V105&lt;='GENERADO PS locales'!$D265,V105*'SEP ORIGEN'!V105,"Excede capacidad PS")</f>
        <v>0</v>
      </c>
      <c r="W265" s="313">
        <f>IF(W105*'SEP ORIGEN'!W105&lt;='GENERADO PS locales'!$D265,W105*'SEP ORIGEN'!W105,"Excede capacidad PS")</f>
        <v>0</v>
      </c>
      <c r="X265" s="313">
        <f>IF(X105*'SEP ORIGEN'!X105&lt;='GENERADO PS locales'!$D265,X105*'SEP ORIGEN'!X105,"Excede capacidad PS")</f>
        <v>0</v>
      </c>
      <c r="Y265" s="313">
        <f>IF(Y105*'SEP ORIGEN'!Y105&lt;='GENERADO PS locales'!$D265,Y105*'SEP ORIGEN'!Y105,"Excede capacidad PS")</f>
        <v>0</v>
      </c>
      <c r="Z265" s="313">
        <f>IF(Z105*'SEP ORIGEN'!Z105&lt;='GENERADO PS locales'!$D265,Z105*'SEP ORIGEN'!Z105,"Excede capacidad PS")</f>
        <v>0</v>
      </c>
    </row>
    <row r="266" spans="1:26" ht="24.95" customHeight="1">
      <c r="A266" s="260" t="str">
        <f>+Pobl_adoptada!A106</f>
        <v>Pellegrini</v>
      </c>
      <c r="B266" s="70">
        <f>+Pobl_adoptada!B106</f>
        <v>102</v>
      </c>
      <c r="C266" s="71" t="str">
        <f>+Pobl_adoptada!C106</f>
        <v>Pellegrini</v>
      </c>
      <c r="D266" s="311">
        <v>0</v>
      </c>
      <c r="E266" s="278"/>
      <c r="F266" s="263"/>
      <c r="G266" s="313">
        <f>IF(G106*'SEP ORIGEN'!G106&lt;='GENERADO PS locales'!$D266,G106*'SEP ORIGEN'!G106,"Excede capacidad PS")</f>
        <v>0</v>
      </c>
      <c r="H266" s="313">
        <f>IF(H106*'SEP ORIGEN'!H106&lt;='GENERADO PS locales'!$D266,H106*'SEP ORIGEN'!H106,"Excede capacidad PS")</f>
        <v>0</v>
      </c>
      <c r="I266" s="313">
        <f>IF(I106*'SEP ORIGEN'!I106&lt;='GENERADO PS locales'!$D266,I106*'SEP ORIGEN'!I106,"Excede capacidad PS")</f>
        <v>0</v>
      </c>
      <c r="J266" s="313">
        <f>IF(J106*'SEP ORIGEN'!J106&lt;='GENERADO PS locales'!$D266,J106*'SEP ORIGEN'!J106,"Excede capacidad PS")</f>
        <v>0</v>
      </c>
      <c r="K266" s="313">
        <f>IF(K106*'SEP ORIGEN'!K106&lt;='GENERADO PS locales'!$D266,K106*'SEP ORIGEN'!K106,"Excede capacidad PS")</f>
        <v>0</v>
      </c>
      <c r="L266" s="313">
        <f>IF(L106*'SEP ORIGEN'!L106&lt;='GENERADO PS locales'!$D266,L106*'SEP ORIGEN'!L106,"Excede capacidad PS")</f>
        <v>0</v>
      </c>
      <c r="M266" s="313">
        <f>IF(M106*'SEP ORIGEN'!M106&lt;='GENERADO PS locales'!$D266,M106*'SEP ORIGEN'!M106,"Excede capacidad PS")</f>
        <v>0</v>
      </c>
      <c r="N266" s="313">
        <f>IF(N106*'SEP ORIGEN'!N106&lt;='GENERADO PS locales'!$D266,N106*'SEP ORIGEN'!N106,"Excede capacidad PS")</f>
        <v>0</v>
      </c>
      <c r="O266" s="313">
        <f>IF(O106*'SEP ORIGEN'!O106&lt;='GENERADO PS locales'!$D266,O106*'SEP ORIGEN'!O106,"Excede capacidad PS")</f>
        <v>0</v>
      </c>
      <c r="P266" s="313">
        <f>IF(P106*'SEP ORIGEN'!P106&lt;='GENERADO PS locales'!$D266,P106*'SEP ORIGEN'!P106,"Excede capacidad PS")</f>
        <v>0</v>
      </c>
      <c r="Q266" s="313">
        <f>IF(Q106*'SEP ORIGEN'!Q106&lt;='GENERADO PS locales'!$D266,Q106*'SEP ORIGEN'!Q106,"Excede capacidad PS")</f>
        <v>0</v>
      </c>
      <c r="R266" s="313">
        <f>IF(R106*'SEP ORIGEN'!R106&lt;='GENERADO PS locales'!$D266,R106*'SEP ORIGEN'!R106,"Excede capacidad PS")</f>
        <v>0</v>
      </c>
      <c r="S266" s="313">
        <f>IF(S106*'SEP ORIGEN'!S106&lt;='GENERADO PS locales'!$D266,S106*'SEP ORIGEN'!S106,"Excede capacidad PS")</f>
        <v>0</v>
      </c>
      <c r="T266" s="313">
        <f>IF(T106*'SEP ORIGEN'!T106&lt;='GENERADO PS locales'!$D266,T106*'SEP ORIGEN'!T106,"Excede capacidad PS")</f>
        <v>0</v>
      </c>
      <c r="U266" s="313">
        <f>IF(U106*'SEP ORIGEN'!U106&lt;='GENERADO PS locales'!$D266,U106*'SEP ORIGEN'!U106,"Excede capacidad PS")</f>
        <v>0</v>
      </c>
      <c r="V266" s="313">
        <f>IF(V106*'SEP ORIGEN'!V106&lt;='GENERADO PS locales'!$D266,V106*'SEP ORIGEN'!V106,"Excede capacidad PS")</f>
        <v>0</v>
      </c>
      <c r="W266" s="313">
        <f>IF(W106*'SEP ORIGEN'!W106&lt;='GENERADO PS locales'!$D266,W106*'SEP ORIGEN'!W106,"Excede capacidad PS")</f>
        <v>0</v>
      </c>
      <c r="X266" s="313">
        <f>IF(X106*'SEP ORIGEN'!X106&lt;='GENERADO PS locales'!$D266,X106*'SEP ORIGEN'!X106,"Excede capacidad PS")</f>
        <v>0</v>
      </c>
      <c r="Y266" s="313">
        <f>IF(Y106*'SEP ORIGEN'!Y106&lt;='GENERADO PS locales'!$D266,Y106*'SEP ORIGEN'!Y106,"Excede capacidad PS")</f>
        <v>0</v>
      </c>
      <c r="Z266" s="313">
        <f>IF(Z106*'SEP ORIGEN'!Z106&lt;='GENERADO PS locales'!$D266,Z106*'SEP ORIGEN'!Z106,"Excede capacidad PS")</f>
        <v>0</v>
      </c>
    </row>
    <row r="267" spans="1:26" ht="24.95" customHeight="1">
      <c r="A267" s="260" t="str">
        <f>+Pobl_adoptada!A107</f>
        <v>Pergamino</v>
      </c>
      <c r="B267" s="70">
        <f>+Pobl_adoptada!B107</f>
        <v>103</v>
      </c>
      <c r="C267" s="71" t="str">
        <f>+Pobl_adoptada!C107</f>
        <v>Pergamino</v>
      </c>
      <c r="D267" s="311">
        <v>0</v>
      </c>
      <c r="E267" s="278"/>
      <c r="F267" s="263"/>
      <c r="G267" s="313">
        <f>IF(G107*'SEP ORIGEN'!G107&lt;='GENERADO PS locales'!$D267,G107*'SEP ORIGEN'!G107,"Excede capacidad PS")</f>
        <v>0</v>
      </c>
      <c r="H267" s="313">
        <f>IF(H107*'SEP ORIGEN'!H107&lt;='GENERADO PS locales'!$D267,H107*'SEP ORIGEN'!H107,"Excede capacidad PS")</f>
        <v>0</v>
      </c>
      <c r="I267" s="313">
        <f>IF(I107*'SEP ORIGEN'!I107&lt;='GENERADO PS locales'!$D267,I107*'SEP ORIGEN'!I107,"Excede capacidad PS")</f>
        <v>0</v>
      </c>
      <c r="J267" s="313">
        <f>IF(J107*'SEP ORIGEN'!J107&lt;='GENERADO PS locales'!$D267,J107*'SEP ORIGEN'!J107,"Excede capacidad PS")</f>
        <v>0</v>
      </c>
      <c r="K267" s="313">
        <f>IF(K107*'SEP ORIGEN'!K107&lt;='GENERADO PS locales'!$D267,K107*'SEP ORIGEN'!K107,"Excede capacidad PS")</f>
        <v>0</v>
      </c>
      <c r="L267" s="313">
        <f>IF(L107*'SEP ORIGEN'!L107&lt;='GENERADO PS locales'!$D267,L107*'SEP ORIGEN'!L107,"Excede capacidad PS")</f>
        <v>0</v>
      </c>
      <c r="M267" s="313">
        <f>IF(M107*'SEP ORIGEN'!M107&lt;='GENERADO PS locales'!$D267,M107*'SEP ORIGEN'!M107,"Excede capacidad PS")</f>
        <v>0</v>
      </c>
      <c r="N267" s="313">
        <f>IF(N107*'SEP ORIGEN'!N107&lt;='GENERADO PS locales'!$D267,N107*'SEP ORIGEN'!N107,"Excede capacidad PS")</f>
        <v>0</v>
      </c>
      <c r="O267" s="313">
        <f>IF(O107*'SEP ORIGEN'!O107&lt;='GENERADO PS locales'!$D267,O107*'SEP ORIGEN'!O107,"Excede capacidad PS")</f>
        <v>0</v>
      </c>
      <c r="P267" s="313">
        <f>IF(P107*'SEP ORIGEN'!P107&lt;='GENERADO PS locales'!$D267,P107*'SEP ORIGEN'!P107,"Excede capacidad PS")</f>
        <v>0</v>
      </c>
      <c r="Q267" s="313">
        <f>IF(Q107*'SEP ORIGEN'!Q107&lt;='GENERADO PS locales'!$D267,Q107*'SEP ORIGEN'!Q107,"Excede capacidad PS")</f>
        <v>0</v>
      </c>
      <c r="R267" s="313">
        <f>IF(R107*'SEP ORIGEN'!R107&lt;='GENERADO PS locales'!$D267,R107*'SEP ORIGEN'!R107,"Excede capacidad PS")</f>
        <v>0</v>
      </c>
      <c r="S267" s="313">
        <f>IF(S107*'SEP ORIGEN'!S107&lt;='GENERADO PS locales'!$D267,S107*'SEP ORIGEN'!S107,"Excede capacidad PS")</f>
        <v>0</v>
      </c>
      <c r="T267" s="313">
        <f>IF(T107*'SEP ORIGEN'!T107&lt;='GENERADO PS locales'!$D267,T107*'SEP ORIGEN'!T107,"Excede capacidad PS")</f>
        <v>0</v>
      </c>
      <c r="U267" s="313">
        <f>IF(U107*'SEP ORIGEN'!U107&lt;='GENERADO PS locales'!$D267,U107*'SEP ORIGEN'!U107,"Excede capacidad PS")</f>
        <v>0</v>
      </c>
      <c r="V267" s="313">
        <f>IF(V107*'SEP ORIGEN'!V107&lt;='GENERADO PS locales'!$D267,V107*'SEP ORIGEN'!V107,"Excede capacidad PS")</f>
        <v>0</v>
      </c>
      <c r="W267" s="313">
        <f>IF(W107*'SEP ORIGEN'!W107&lt;='GENERADO PS locales'!$D267,W107*'SEP ORIGEN'!W107,"Excede capacidad PS")</f>
        <v>0</v>
      </c>
      <c r="X267" s="313">
        <f>IF(X107*'SEP ORIGEN'!X107&lt;='GENERADO PS locales'!$D267,X107*'SEP ORIGEN'!X107,"Excede capacidad PS")</f>
        <v>0</v>
      </c>
      <c r="Y267" s="313">
        <f>IF(Y107*'SEP ORIGEN'!Y107&lt;='GENERADO PS locales'!$D267,Y107*'SEP ORIGEN'!Y107,"Excede capacidad PS")</f>
        <v>0</v>
      </c>
      <c r="Z267" s="313">
        <f>IF(Z107*'SEP ORIGEN'!Z107&lt;='GENERADO PS locales'!$D267,Z107*'SEP ORIGEN'!Z107,"Excede capacidad PS")</f>
        <v>0</v>
      </c>
    </row>
    <row r="268" spans="1:26" ht="24.95" customHeight="1">
      <c r="A268" s="260" t="str">
        <f>+Pobl_adoptada!A108</f>
        <v>Pila</v>
      </c>
      <c r="B268" s="70">
        <f>+Pobl_adoptada!B108</f>
        <v>104</v>
      </c>
      <c r="C268" s="71" t="str">
        <f>+Pobl_adoptada!C108</f>
        <v>Pila</v>
      </c>
      <c r="D268" s="311">
        <v>0</v>
      </c>
      <c r="E268" s="278"/>
      <c r="F268" s="263"/>
      <c r="G268" s="313">
        <f>IF(G108*'SEP ORIGEN'!G108&lt;='GENERADO PS locales'!$D268,G108*'SEP ORIGEN'!G108,"Excede capacidad PS")</f>
        <v>0</v>
      </c>
      <c r="H268" s="313">
        <f>IF(H108*'SEP ORIGEN'!H108&lt;='GENERADO PS locales'!$D268,H108*'SEP ORIGEN'!H108,"Excede capacidad PS")</f>
        <v>0</v>
      </c>
      <c r="I268" s="313">
        <f>IF(I108*'SEP ORIGEN'!I108&lt;='GENERADO PS locales'!$D268,I108*'SEP ORIGEN'!I108,"Excede capacidad PS")</f>
        <v>0</v>
      </c>
      <c r="J268" s="313">
        <f>IF(J108*'SEP ORIGEN'!J108&lt;='GENERADO PS locales'!$D268,J108*'SEP ORIGEN'!J108,"Excede capacidad PS")</f>
        <v>0</v>
      </c>
      <c r="K268" s="313">
        <f>IF(K108*'SEP ORIGEN'!K108&lt;='GENERADO PS locales'!$D268,K108*'SEP ORIGEN'!K108,"Excede capacidad PS")</f>
        <v>0</v>
      </c>
      <c r="L268" s="313">
        <f>IF(L108*'SEP ORIGEN'!L108&lt;='GENERADO PS locales'!$D268,L108*'SEP ORIGEN'!L108,"Excede capacidad PS")</f>
        <v>0</v>
      </c>
      <c r="M268" s="313">
        <f>IF(M108*'SEP ORIGEN'!M108&lt;='GENERADO PS locales'!$D268,M108*'SEP ORIGEN'!M108,"Excede capacidad PS")</f>
        <v>0</v>
      </c>
      <c r="N268" s="313">
        <f>IF(N108*'SEP ORIGEN'!N108&lt;='GENERADO PS locales'!$D268,N108*'SEP ORIGEN'!N108,"Excede capacidad PS")</f>
        <v>0</v>
      </c>
      <c r="O268" s="313">
        <f>IF(O108*'SEP ORIGEN'!O108&lt;='GENERADO PS locales'!$D268,O108*'SEP ORIGEN'!O108,"Excede capacidad PS")</f>
        <v>0</v>
      </c>
      <c r="P268" s="313">
        <f>IF(P108*'SEP ORIGEN'!P108&lt;='GENERADO PS locales'!$D268,P108*'SEP ORIGEN'!P108,"Excede capacidad PS")</f>
        <v>0</v>
      </c>
      <c r="Q268" s="313">
        <f>IF(Q108*'SEP ORIGEN'!Q108&lt;='GENERADO PS locales'!$D268,Q108*'SEP ORIGEN'!Q108,"Excede capacidad PS")</f>
        <v>0</v>
      </c>
      <c r="R268" s="313">
        <f>IF(R108*'SEP ORIGEN'!R108&lt;='GENERADO PS locales'!$D268,R108*'SEP ORIGEN'!R108,"Excede capacidad PS")</f>
        <v>0</v>
      </c>
      <c r="S268" s="313">
        <f>IF(S108*'SEP ORIGEN'!S108&lt;='GENERADO PS locales'!$D268,S108*'SEP ORIGEN'!S108,"Excede capacidad PS")</f>
        <v>0</v>
      </c>
      <c r="T268" s="313">
        <f>IF(T108*'SEP ORIGEN'!T108&lt;='GENERADO PS locales'!$D268,T108*'SEP ORIGEN'!T108,"Excede capacidad PS")</f>
        <v>0</v>
      </c>
      <c r="U268" s="313">
        <f>IF(U108*'SEP ORIGEN'!U108&lt;='GENERADO PS locales'!$D268,U108*'SEP ORIGEN'!U108,"Excede capacidad PS")</f>
        <v>0</v>
      </c>
      <c r="V268" s="313">
        <f>IF(V108*'SEP ORIGEN'!V108&lt;='GENERADO PS locales'!$D268,V108*'SEP ORIGEN'!V108,"Excede capacidad PS")</f>
        <v>0</v>
      </c>
      <c r="W268" s="313">
        <f>IF(W108*'SEP ORIGEN'!W108&lt;='GENERADO PS locales'!$D268,W108*'SEP ORIGEN'!W108,"Excede capacidad PS")</f>
        <v>0</v>
      </c>
      <c r="X268" s="313">
        <f>IF(X108*'SEP ORIGEN'!X108&lt;='GENERADO PS locales'!$D268,X108*'SEP ORIGEN'!X108,"Excede capacidad PS")</f>
        <v>0</v>
      </c>
      <c r="Y268" s="313">
        <f>IF(Y108*'SEP ORIGEN'!Y108&lt;='GENERADO PS locales'!$D268,Y108*'SEP ORIGEN'!Y108,"Excede capacidad PS")</f>
        <v>0</v>
      </c>
      <c r="Z268" s="313">
        <f>IF(Z108*'SEP ORIGEN'!Z108&lt;='GENERADO PS locales'!$D268,Z108*'SEP ORIGEN'!Z108,"Excede capacidad PS")</f>
        <v>0</v>
      </c>
    </row>
    <row r="269" spans="1:26" ht="24.95" customHeight="1">
      <c r="A269" s="260" t="str">
        <f>+Pobl_adoptada!A109</f>
        <v>Pilar</v>
      </c>
      <c r="B269" s="70">
        <f>+Pobl_adoptada!B109</f>
        <v>105</v>
      </c>
      <c r="C269" s="71" t="str">
        <f>+Pobl_adoptada!C109</f>
        <v>Pilar</v>
      </c>
      <c r="D269" s="311">
        <v>0</v>
      </c>
      <c r="E269" s="278"/>
      <c r="F269" s="263"/>
      <c r="G269" s="313">
        <f>IF(G109*'SEP ORIGEN'!G109&lt;='GENERADO PS locales'!$D269,G109*'SEP ORIGEN'!G109,"Excede capacidad PS")</f>
        <v>0</v>
      </c>
      <c r="H269" s="313">
        <f>IF(H109*'SEP ORIGEN'!H109&lt;='GENERADO PS locales'!$D269,H109*'SEP ORIGEN'!H109,"Excede capacidad PS")</f>
        <v>0</v>
      </c>
      <c r="I269" s="313">
        <f>IF(I109*'SEP ORIGEN'!I109&lt;='GENERADO PS locales'!$D269,I109*'SEP ORIGEN'!I109,"Excede capacidad PS")</f>
        <v>0</v>
      </c>
      <c r="J269" s="313">
        <f>IF(J109*'SEP ORIGEN'!J109&lt;='GENERADO PS locales'!$D269,J109*'SEP ORIGEN'!J109,"Excede capacidad PS")</f>
        <v>0</v>
      </c>
      <c r="K269" s="313">
        <f>IF(K109*'SEP ORIGEN'!K109&lt;='GENERADO PS locales'!$D269,K109*'SEP ORIGEN'!K109,"Excede capacidad PS")</f>
        <v>0</v>
      </c>
      <c r="L269" s="313">
        <f>IF(L109*'SEP ORIGEN'!L109&lt;='GENERADO PS locales'!$D269,L109*'SEP ORIGEN'!L109,"Excede capacidad PS")</f>
        <v>0</v>
      </c>
      <c r="M269" s="313">
        <f>IF(M109*'SEP ORIGEN'!M109&lt;='GENERADO PS locales'!$D269,M109*'SEP ORIGEN'!M109,"Excede capacidad PS")</f>
        <v>0</v>
      </c>
      <c r="N269" s="313">
        <f>IF(N109*'SEP ORIGEN'!N109&lt;='GENERADO PS locales'!$D269,N109*'SEP ORIGEN'!N109,"Excede capacidad PS")</f>
        <v>0</v>
      </c>
      <c r="O269" s="313">
        <f>IF(O109*'SEP ORIGEN'!O109&lt;='GENERADO PS locales'!$D269,O109*'SEP ORIGEN'!O109,"Excede capacidad PS")</f>
        <v>0</v>
      </c>
      <c r="P269" s="313">
        <f>IF(P109*'SEP ORIGEN'!P109&lt;='GENERADO PS locales'!$D269,P109*'SEP ORIGEN'!P109,"Excede capacidad PS")</f>
        <v>0</v>
      </c>
      <c r="Q269" s="313">
        <f>IF(Q109*'SEP ORIGEN'!Q109&lt;='GENERADO PS locales'!$D269,Q109*'SEP ORIGEN'!Q109,"Excede capacidad PS")</f>
        <v>0</v>
      </c>
      <c r="R269" s="313">
        <f>IF(R109*'SEP ORIGEN'!R109&lt;='GENERADO PS locales'!$D269,R109*'SEP ORIGEN'!R109,"Excede capacidad PS")</f>
        <v>0</v>
      </c>
      <c r="S269" s="313">
        <f>IF(S109*'SEP ORIGEN'!S109&lt;='GENERADO PS locales'!$D269,S109*'SEP ORIGEN'!S109,"Excede capacidad PS")</f>
        <v>0</v>
      </c>
      <c r="T269" s="313">
        <f>IF(T109*'SEP ORIGEN'!T109&lt;='GENERADO PS locales'!$D269,T109*'SEP ORIGEN'!T109,"Excede capacidad PS")</f>
        <v>0</v>
      </c>
      <c r="U269" s="313">
        <f>IF(U109*'SEP ORIGEN'!U109&lt;='GENERADO PS locales'!$D269,U109*'SEP ORIGEN'!U109,"Excede capacidad PS")</f>
        <v>0</v>
      </c>
      <c r="V269" s="313">
        <f>IF(V109*'SEP ORIGEN'!V109&lt;='GENERADO PS locales'!$D269,V109*'SEP ORIGEN'!V109,"Excede capacidad PS")</f>
        <v>0</v>
      </c>
      <c r="W269" s="313">
        <f>IF(W109*'SEP ORIGEN'!W109&lt;='GENERADO PS locales'!$D269,W109*'SEP ORIGEN'!W109,"Excede capacidad PS")</f>
        <v>0</v>
      </c>
      <c r="X269" s="313">
        <f>IF(X109*'SEP ORIGEN'!X109&lt;='GENERADO PS locales'!$D269,X109*'SEP ORIGEN'!X109,"Excede capacidad PS")</f>
        <v>0</v>
      </c>
      <c r="Y269" s="313">
        <f>IF(Y109*'SEP ORIGEN'!Y109&lt;='GENERADO PS locales'!$D269,Y109*'SEP ORIGEN'!Y109,"Excede capacidad PS")</f>
        <v>0</v>
      </c>
      <c r="Z269" s="313">
        <f>IF(Z109*'SEP ORIGEN'!Z109&lt;='GENERADO PS locales'!$D269,Z109*'SEP ORIGEN'!Z109,"Excede capacidad PS")</f>
        <v>0</v>
      </c>
    </row>
    <row r="270" spans="1:26" ht="24.95" customHeight="1">
      <c r="A270" s="260" t="str">
        <f>+Pobl_adoptada!A110</f>
        <v>Pinamar</v>
      </c>
      <c r="B270" s="70">
        <f>+Pobl_adoptada!B110</f>
        <v>106</v>
      </c>
      <c r="C270" s="71" t="str">
        <f>+Pobl_adoptada!C110</f>
        <v>Pinamar</v>
      </c>
      <c r="D270" s="311">
        <v>0</v>
      </c>
      <c r="E270" s="278"/>
      <c r="F270" s="263"/>
      <c r="G270" s="313">
        <f>IF(G110*'SEP ORIGEN'!G110&lt;='GENERADO PS locales'!$D270,G110*'SEP ORIGEN'!G110,"Excede capacidad PS")</f>
        <v>0</v>
      </c>
      <c r="H270" s="313">
        <f>IF(H110*'SEP ORIGEN'!H110&lt;='GENERADO PS locales'!$D270,H110*'SEP ORIGEN'!H110,"Excede capacidad PS")</f>
        <v>0</v>
      </c>
      <c r="I270" s="313">
        <f>IF(I110*'SEP ORIGEN'!I110&lt;='GENERADO PS locales'!$D270,I110*'SEP ORIGEN'!I110,"Excede capacidad PS")</f>
        <v>0</v>
      </c>
      <c r="J270" s="313">
        <f>IF(J110*'SEP ORIGEN'!J110&lt;='GENERADO PS locales'!$D270,J110*'SEP ORIGEN'!J110,"Excede capacidad PS")</f>
        <v>0</v>
      </c>
      <c r="K270" s="313">
        <f>IF(K110*'SEP ORIGEN'!K110&lt;='GENERADO PS locales'!$D270,K110*'SEP ORIGEN'!K110,"Excede capacidad PS")</f>
        <v>0</v>
      </c>
      <c r="L270" s="313">
        <f>IF(L110*'SEP ORIGEN'!L110&lt;='GENERADO PS locales'!$D270,L110*'SEP ORIGEN'!L110,"Excede capacidad PS")</f>
        <v>0</v>
      </c>
      <c r="M270" s="313">
        <f>IF(M110*'SEP ORIGEN'!M110&lt;='GENERADO PS locales'!$D270,M110*'SEP ORIGEN'!M110,"Excede capacidad PS")</f>
        <v>0</v>
      </c>
      <c r="N270" s="313">
        <f>IF(N110*'SEP ORIGEN'!N110&lt;='GENERADO PS locales'!$D270,N110*'SEP ORIGEN'!N110,"Excede capacidad PS")</f>
        <v>0</v>
      </c>
      <c r="O270" s="313">
        <f>IF(O110*'SEP ORIGEN'!O110&lt;='GENERADO PS locales'!$D270,O110*'SEP ORIGEN'!O110,"Excede capacidad PS")</f>
        <v>0</v>
      </c>
      <c r="P270" s="313">
        <f>IF(P110*'SEP ORIGEN'!P110&lt;='GENERADO PS locales'!$D270,P110*'SEP ORIGEN'!P110,"Excede capacidad PS")</f>
        <v>0</v>
      </c>
      <c r="Q270" s="313">
        <f>IF(Q110*'SEP ORIGEN'!Q110&lt;='GENERADO PS locales'!$D270,Q110*'SEP ORIGEN'!Q110,"Excede capacidad PS")</f>
        <v>0</v>
      </c>
      <c r="R270" s="313">
        <f>IF(R110*'SEP ORIGEN'!R110&lt;='GENERADO PS locales'!$D270,R110*'SEP ORIGEN'!R110,"Excede capacidad PS")</f>
        <v>0</v>
      </c>
      <c r="S270" s="313">
        <f>IF(S110*'SEP ORIGEN'!S110&lt;='GENERADO PS locales'!$D270,S110*'SEP ORIGEN'!S110,"Excede capacidad PS")</f>
        <v>0</v>
      </c>
      <c r="T270" s="313">
        <f>IF(T110*'SEP ORIGEN'!T110&lt;='GENERADO PS locales'!$D270,T110*'SEP ORIGEN'!T110,"Excede capacidad PS")</f>
        <v>0</v>
      </c>
      <c r="U270" s="313">
        <f>IF(U110*'SEP ORIGEN'!U110&lt;='GENERADO PS locales'!$D270,U110*'SEP ORIGEN'!U110,"Excede capacidad PS")</f>
        <v>0</v>
      </c>
      <c r="V270" s="313">
        <f>IF(V110*'SEP ORIGEN'!V110&lt;='GENERADO PS locales'!$D270,V110*'SEP ORIGEN'!V110,"Excede capacidad PS")</f>
        <v>0</v>
      </c>
      <c r="W270" s="313">
        <f>IF(W110*'SEP ORIGEN'!W110&lt;='GENERADO PS locales'!$D270,W110*'SEP ORIGEN'!W110,"Excede capacidad PS")</f>
        <v>0</v>
      </c>
      <c r="X270" s="313">
        <f>IF(X110*'SEP ORIGEN'!X110&lt;='GENERADO PS locales'!$D270,X110*'SEP ORIGEN'!X110,"Excede capacidad PS")</f>
        <v>0</v>
      </c>
      <c r="Y270" s="313">
        <f>IF(Y110*'SEP ORIGEN'!Y110&lt;='GENERADO PS locales'!$D270,Y110*'SEP ORIGEN'!Y110,"Excede capacidad PS")</f>
        <v>0</v>
      </c>
      <c r="Z270" s="313">
        <f>IF(Z110*'SEP ORIGEN'!Z110&lt;='GENERADO PS locales'!$D270,Z110*'SEP ORIGEN'!Z110,"Excede capacidad PS")</f>
        <v>0</v>
      </c>
    </row>
    <row r="271" spans="1:26" ht="24.95" customHeight="1">
      <c r="A271" s="260" t="str">
        <f>+Pobl_adoptada!A111</f>
        <v>Presidente Perón</v>
      </c>
      <c r="B271" s="70">
        <f>+Pobl_adoptada!B111</f>
        <v>107</v>
      </c>
      <c r="C271" s="71" t="str">
        <f>+Pobl_adoptada!C111</f>
        <v>Presidente Perón</v>
      </c>
      <c r="D271" s="311">
        <v>0</v>
      </c>
      <c r="E271" s="278"/>
      <c r="F271" s="263"/>
      <c r="G271" s="313">
        <f>IF(G111*'SEP ORIGEN'!G111&lt;='GENERADO PS locales'!$D271,G111*'SEP ORIGEN'!G111,"Excede capacidad PS")</f>
        <v>0</v>
      </c>
      <c r="H271" s="313">
        <f>IF(H111*'SEP ORIGEN'!H111&lt;='GENERADO PS locales'!$D271,H111*'SEP ORIGEN'!H111,"Excede capacidad PS")</f>
        <v>0</v>
      </c>
      <c r="I271" s="313">
        <f>IF(I111*'SEP ORIGEN'!I111&lt;='GENERADO PS locales'!$D271,I111*'SEP ORIGEN'!I111,"Excede capacidad PS")</f>
        <v>0</v>
      </c>
      <c r="J271" s="313">
        <f>IF(J111*'SEP ORIGEN'!J111&lt;='GENERADO PS locales'!$D271,J111*'SEP ORIGEN'!J111,"Excede capacidad PS")</f>
        <v>0</v>
      </c>
      <c r="K271" s="313">
        <f>IF(K111*'SEP ORIGEN'!K111&lt;='GENERADO PS locales'!$D271,K111*'SEP ORIGEN'!K111,"Excede capacidad PS")</f>
        <v>0</v>
      </c>
      <c r="L271" s="313">
        <f>IF(L111*'SEP ORIGEN'!L111&lt;='GENERADO PS locales'!$D271,L111*'SEP ORIGEN'!L111,"Excede capacidad PS")</f>
        <v>0</v>
      </c>
      <c r="M271" s="313">
        <f>IF(M111*'SEP ORIGEN'!M111&lt;='GENERADO PS locales'!$D271,M111*'SEP ORIGEN'!M111,"Excede capacidad PS")</f>
        <v>0</v>
      </c>
      <c r="N271" s="313">
        <f>IF(N111*'SEP ORIGEN'!N111&lt;='GENERADO PS locales'!$D271,N111*'SEP ORIGEN'!N111,"Excede capacidad PS")</f>
        <v>0</v>
      </c>
      <c r="O271" s="313">
        <f>IF(O111*'SEP ORIGEN'!O111&lt;='GENERADO PS locales'!$D271,O111*'SEP ORIGEN'!O111,"Excede capacidad PS")</f>
        <v>0</v>
      </c>
      <c r="P271" s="313">
        <f>IF(P111*'SEP ORIGEN'!P111&lt;='GENERADO PS locales'!$D271,P111*'SEP ORIGEN'!P111,"Excede capacidad PS")</f>
        <v>0</v>
      </c>
      <c r="Q271" s="313">
        <f>IF(Q111*'SEP ORIGEN'!Q111&lt;='GENERADO PS locales'!$D271,Q111*'SEP ORIGEN'!Q111,"Excede capacidad PS")</f>
        <v>0</v>
      </c>
      <c r="R271" s="313">
        <f>IF(R111*'SEP ORIGEN'!R111&lt;='GENERADO PS locales'!$D271,R111*'SEP ORIGEN'!R111,"Excede capacidad PS")</f>
        <v>0</v>
      </c>
      <c r="S271" s="313">
        <f>IF(S111*'SEP ORIGEN'!S111&lt;='GENERADO PS locales'!$D271,S111*'SEP ORIGEN'!S111,"Excede capacidad PS")</f>
        <v>0</v>
      </c>
      <c r="T271" s="313">
        <f>IF(T111*'SEP ORIGEN'!T111&lt;='GENERADO PS locales'!$D271,T111*'SEP ORIGEN'!T111,"Excede capacidad PS")</f>
        <v>0</v>
      </c>
      <c r="U271" s="313">
        <f>IF(U111*'SEP ORIGEN'!U111&lt;='GENERADO PS locales'!$D271,U111*'SEP ORIGEN'!U111,"Excede capacidad PS")</f>
        <v>0</v>
      </c>
      <c r="V271" s="313">
        <f>IF(V111*'SEP ORIGEN'!V111&lt;='GENERADO PS locales'!$D271,V111*'SEP ORIGEN'!V111,"Excede capacidad PS")</f>
        <v>0</v>
      </c>
      <c r="W271" s="313">
        <f>IF(W111*'SEP ORIGEN'!W111&lt;='GENERADO PS locales'!$D271,W111*'SEP ORIGEN'!W111,"Excede capacidad PS")</f>
        <v>0</v>
      </c>
      <c r="X271" s="313">
        <f>IF(X111*'SEP ORIGEN'!X111&lt;='GENERADO PS locales'!$D271,X111*'SEP ORIGEN'!X111,"Excede capacidad PS")</f>
        <v>0</v>
      </c>
      <c r="Y271" s="313">
        <f>IF(Y111*'SEP ORIGEN'!Y111&lt;='GENERADO PS locales'!$D271,Y111*'SEP ORIGEN'!Y111,"Excede capacidad PS")</f>
        <v>0</v>
      </c>
      <c r="Z271" s="313">
        <f>IF(Z111*'SEP ORIGEN'!Z111&lt;='GENERADO PS locales'!$D271,Z111*'SEP ORIGEN'!Z111,"Excede capacidad PS")</f>
        <v>0</v>
      </c>
    </row>
    <row r="272" spans="1:26" ht="24.95" customHeight="1">
      <c r="A272" s="260" t="str">
        <f>+Pobl_adoptada!A112</f>
        <v>Puán</v>
      </c>
      <c r="B272" s="70">
        <f>+Pobl_adoptada!B112</f>
        <v>108</v>
      </c>
      <c r="C272" s="71" t="str">
        <f>+Pobl_adoptada!C112</f>
        <v>Puán</v>
      </c>
      <c r="D272" s="311">
        <v>0</v>
      </c>
      <c r="E272" s="278"/>
      <c r="F272" s="263"/>
      <c r="G272" s="313">
        <f>IF(G112*'SEP ORIGEN'!G112&lt;='GENERADO PS locales'!$D272,G112*'SEP ORIGEN'!G112,"Excede capacidad PS")</f>
        <v>0</v>
      </c>
      <c r="H272" s="313">
        <f>IF(H112*'SEP ORIGEN'!H112&lt;='GENERADO PS locales'!$D272,H112*'SEP ORIGEN'!H112,"Excede capacidad PS")</f>
        <v>0</v>
      </c>
      <c r="I272" s="313">
        <f>IF(I112*'SEP ORIGEN'!I112&lt;='GENERADO PS locales'!$D272,I112*'SEP ORIGEN'!I112,"Excede capacidad PS")</f>
        <v>0</v>
      </c>
      <c r="J272" s="313">
        <f>IF(J112*'SEP ORIGEN'!J112&lt;='GENERADO PS locales'!$D272,J112*'SEP ORIGEN'!J112,"Excede capacidad PS")</f>
        <v>0</v>
      </c>
      <c r="K272" s="313">
        <f>IF(K112*'SEP ORIGEN'!K112&lt;='GENERADO PS locales'!$D272,K112*'SEP ORIGEN'!K112,"Excede capacidad PS")</f>
        <v>0</v>
      </c>
      <c r="L272" s="313">
        <f>IF(L112*'SEP ORIGEN'!L112&lt;='GENERADO PS locales'!$D272,L112*'SEP ORIGEN'!L112,"Excede capacidad PS")</f>
        <v>0</v>
      </c>
      <c r="M272" s="313">
        <f>IF(M112*'SEP ORIGEN'!M112&lt;='GENERADO PS locales'!$D272,M112*'SEP ORIGEN'!M112,"Excede capacidad PS")</f>
        <v>0</v>
      </c>
      <c r="N272" s="313">
        <f>IF(N112*'SEP ORIGEN'!N112&lt;='GENERADO PS locales'!$D272,N112*'SEP ORIGEN'!N112,"Excede capacidad PS")</f>
        <v>0</v>
      </c>
      <c r="O272" s="313">
        <f>IF(O112*'SEP ORIGEN'!O112&lt;='GENERADO PS locales'!$D272,O112*'SEP ORIGEN'!O112,"Excede capacidad PS")</f>
        <v>0</v>
      </c>
      <c r="P272" s="313">
        <f>IF(P112*'SEP ORIGEN'!P112&lt;='GENERADO PS locales'!$D272,P112*'SEP ORIGEN'!P112,"Excede capacidad PS")</f>
        <v>0</v>
      </c>
      <c r="Q272" s="313">
        <f>IF(Q112*'SEP ORIGEN'!Q112&lt;='GENERADO PS locales'!$D272,Q112*'SEP ORIGEN'!Q112,"Excede capacidad PS")</f>
        <v>0</v>
      </c>
      <c r="R272" s="313">
        <f>IF(R112*'SEP ORIGEN'!R112&lt;='GENERADO PS locales'!$D272,R112*'SEP ORIGEN'!R112,"Excede capacidad PS")</f>
        <v>0</v>
      </c>
      <c r="S272" s="313">
        <f>IF(S112*'SEP ORIGEN'!S112&lt;='GENERADO PS locales'!$D272,S112*'SEP ORIGEN'!S112,"Excede capacidad PS")</f>
        <v>0</v>
      </c>
      <c r="T272" s="313">
        <f>IF(T112*'SEP ORIGEN'!T112&lt;='GENERADO PS locales'!$D272,T112*'SEP ORIGEN'!T112,"Excede capacidad PS")</f>
        <v>0</v>
      </c>
      <c r="U272" s="313">
        <f>IF(U112*'SEP ORIGEN'!U112&lt;='GENERADO PS locales'!$D272,U112*'SEP ORIGEN'!U112,"Excede capacidad PS")</f>
        <v>0</v>
      </c>
      <c r="V272" s="313">
        <f>IF(V112*'SEP ORIGEN'!V112&lt;='GENERADO PS locales'!$D272,V112*'SEP ORIGEN'!V112,"Excede capacidad PS")</f>
        <v>0</v>
      </c>
      <c r="W272" s="313">
        <f>IF(W112*'SEP ORIGEN'!W112&lt;='GENERADO PS locales'!$D272,W112*'SEP ORIGEN'!W112,"Excede capacidad PS")</f>
        <v>0</v>
      </c>
      <c r="X272" s="313">
        <f>IF(X112*'SEP ORIGEN'!X112&lt;='GENERADO PS locales'!$D272,X112*'SEP ORIGEN'!X112,"Excede capacidad PS")</f>
        <v>0</v>
      </c>
      <c r="Y272" s="313">
        <f>IF(Y112*'SEP ORIGEN'!Y112&lt;='GENERADO PS locales'!$D272,Y112*'SEP ORIGEN'!Y112,"Excede capacidad PS")</f>
        <v>0</v>
      </c>
      <c r="Z272" s="313">
        <f>IF(Z112*'SEP ORIGEN'!Z112&lt;='GENERADO PS locales'!$D272,Z112*'SEP ORIGEN'!Z112,"Excede capacidad PS")</f>
        <v>0</v>
      </c>
    </row>
    <row r="273" spans="1:26" ht="24.95" customHeight="1">
      <c r="A273" s="260" t="str">
        <f>+Pobl_adoptada!A113</f>
        <v>Punta Indio</v>
      </c>
      <c r="B273" s="70">
        <f>+Pobl_adoptada!B113</f>
        <v>109</v>
      </c>
      <c r="C273" s="71" t="str">
        <f>+Pobl_adoptada!C113</f>
        <v>Verónica</v>
      </c>
      <c r="D273" s="311">
        <v>0</v>
      </c>
      <c r="E273" s="278"/>
      <c r="F273" s="263"/>
      <c r="G273" s="313">
        <f>IF(G113*'SEP ORIGEN'!G113&lt;='GENERADO PS locales'!$D273,G113*'SEP ORIGEN'!G113,"Excede capacidad PS")</f>
        <v>0</v>
      </c>
      <c r="H273" s="313">
        <f>IF(H113*'SEP ORIGEN'!H113&lt;='GENERADO PS locales'!$D273,H113*'SEP ORIGEN'!H113,"Excede capacidad PS")</f>
        <v>0</v>
      </c>
      <c r="I273" s="313">
        <f>IF(I113*'SEP ORIGEN'!I113&lt;='GENERADO PS locales'!$D273,I113*'SEP ORIGEN'!I113,"Excede capacidad PS")</f>
        <v>0</v>
      </c>
      <c r="J273" s="313">
        <f>IF(J113*'SEP ORIGEN'!J113&lt;='GENERADO PS locales'!$D273,J113*'SEP ORIGEN'!J113,"Excede capacidad PS")</f>
        <v>0</v>
      </c>
      <c r="K273" s="313">
        <f>IF(K113*'SEP ORIGEN'!K113&lt;='GENERADO PS locales'!$D273,K113*'SEP ORIGEN'!K113,"Excede capacidad PS")</f>
        <v>0</v>
      </c>
      <c r="L273" s="313">
        <f>IF(L113*'SEP ORIGEN'!L113&lt;='GENERADO PS locales'!$D273,L113*'SEP ORIGEN'!L113,"Excede capacidad PS")</f>
        <v>0</v>
      </c>
      <c r="M273" s="313">
        <f>IF(M113*'SEP ORIGEN'!M113&lt;='GENERADO PS locales'!$D273,M113*'SEP ORIGEN'!M113,"Excede capacidad PS")</f>
        <v>0</v>
      </c>
      <c r="N273" s="313">
        <f>IF(N113*'SEP ORIGEN'!N113&lt;='GENERADO PS locales'!$D273,N113*'SEP ORIGEN'!N113,"Excede capacidad PS")</f>
        <v>0</v>
      </c>
      <c r="O273" s="313">
        <f>IF(O113*'SEP ORIGEN'!O113&lt;='GENERADO PS locales'!$D273,O113*'SEP ORIGEN'!O113,"Excede capacidad PS")</f>
        <v>0</v>
      </c>
      <c r="P273" s="313">
        <f>IF(P113*'SEP ORIGEN'!P113&lt;='GENERADO PS locales'!$D273,P113*'SEP ORIGEN'!P113,"Excede capacidad PS")</f>
        <v>0</v>
      </c>
      <c r="Q273" s="313">
        <f>IF(Q113*'SEP ORIGEN'!Q113&lt;='GENERADO PS locales'!$D273,Q113*'SEP ORIGEN'!Q113,"Excede capacidad PS")</f>
        <v>0</v>
      </c>
      <c r="R273" s="313">
        <f>IF(R113*'SEP ORIGEN'!R113&lt;='GENERADO PS locales'!$D273,R113*'SEP ORIGEN'!R113,"Excede capacidad PS")</f>
        <v>0</v>
      </c>
      <c r="S273" s="313">
        <f>IF(S113*'SEP ORIGEN'!S113&lt;='GENERADO PS locales'!$D273,S113*'SEP ORIGEN'!S113,"Excede capacidad PS")</f>
        <v>0</v>
      </c>
      <c r="T273" s="313">
        <f>IF(T113*'SEP ORIGEN'!T113&lt;='GENERADO PS locales'!$D273,T113*'SEP ORIGEN'!T113,"Excede capacidad PS")</f>
        <v>0</v>
      </c>
      <c r="U273" s="313">
        <f>IF(U113*'SEP ORIGEN'!U113&lt;='GENERADO PS locales'!$D273,U113*'SEP ORIGEN'!U113,"Excede capacidad PS")</f>
        <v>0</v>
      </c>
      <c r="V273" s="313">
        <f>IF(V113*'SEP ORIGEN'!V113&lt;='GENERADO PS locales'!$D273,V113*'SEP ORIGEN'!V113,"Excede capacidad PS")</f>
        <v>0</v>
      </c>
      <c r="W273" s="313">
        <f>IF(W113*'SEP ORIGEN'!W113&lt;='GENERADO PS locales'!$D273,W113*'SEP ORIGEN'!W113,"Excede capacidad PS")</f>
        <v>0</v>
      </c>
      <c r="X273" s="313">
        <f>IF(X113*'SEP ORIGEN'!X113&lt;='GENERADO PS locales'!$D273,X113*'SEP ORIGEN'!X113,"Excede capacidad PS")</f>
        <v>0</v>
      </c>
      <c r="Y273" s="313">
        <f>IF(Y113*'SEP ORIGEN'!Y113&lt;='GENERADO PS locales'!$D273,Y113*'SEP ORIGEN'!Y113,"Excede capacidad PS")</f>
        <v>0</v>
      </c>
      <c r="Z273" s="313">
        <f>IF(Z113*'SEP ORIGEN'!Z113&lt;='GENERADO PS locales'!$D273,Z113*'SEP ORIGEN'!Z113,"Excede capacidad PS")</f>
        <v>0</v>
      </c>
    </row>
    <row r="274" spans="1:26" ht="24.95" customHeight="1">
      <c r="A274" s="260" t="str">
        <f>+Pobl_adoptada!A114</f>
        <v>Ramallo</v>
      </c>
      <c r="B274" s="70">
        <f>+Pobl_adoptada!B114</f>
        <v>110</v>
      </c>
      <c r="C274" s="71" t="str">
        <f>+Pobl_adoptada!C114</f>
        <v>Ramallo</v>
      </c>
      <c r="D274" s="311">
        <v>0</v>
      </c>
      <c r="E274" s="278"/>
      <c r="F274" s="263"/>
      <c r="G274" s="313">
        <f>IF(G114*'SEP ORIGEN'!G114&lt;='GENERADO PS locales'!$D274,G114*'SEP ORIGEN'!G114,"Excede capacidad PS")</f>
        <v>0</v>
      </c>
      <c r="H274" s="313">
        <f>IF(H114*'SEP ORIGEN'!H114&lt;='GENERADO PS locales'!$D274,H114*'SEP ORIGEN'!H114,"Excede capacidad PS")</f>
        <v>0</v>
      </c>
      <c r="I274" s="313">
        <f>IF(I114*'SEP ORIGEN'!I114&lt;='GENERADO PS locales'!$D274,I114*'SEP ORIGEN'!I114,"Excede capacidad PS")</f>
        <v>0</v>
      </c>
      <c r="J274" s="313">
        <f>IF(J114*'SEP ORIGEN'!J114&lt;='GENERADO PS locales'!$D274,J114*'SEP ORIGEN'!J114,"Excede capacidad PS")</f>
        <v>0</v>
      </c>
      <c r="K274" s="313">
        <f>IF(K114*'SEP ORIGEN'!K114&lt;='GENERADO PS locales'!$D274,K114*'SEP ORIGEN'!K114,"Excede capacidad PS")</f>
        <v>0</v>
      </c>
      <c r="L274" s="313">
        <f>IF(L114*'SEP ORIGEN'!L114&lt;='GENERADO PS locales'!$D274,L114*'SEP ORIGEN'!L114,"Excede capacidad PS")</f>
        <v>0</v>
      </c>
      <c r="M274" s="313">
        <f>IF(M114*'SEP ORIGEN'!M114&lt;='GENERADO PS locales'!$D274,M114*'SEP ORIGEN'!M114,"Excede capacidad PS")</f>
        <v>0</v>
      </c>
      <c r="N274" s="313">
        <f>IF(N114*'SEP ORIGEN'!N114&lt;='GENERADO PS locales'!$D274,N114*'SEP ORIGEN'!N114,"Excede capacidad PS")</f>
        <v>0</v>
      </c>
      <c r="O274" s="313">
        <f>IF(O114*'SEP ORIGEN'!O114&lt;='GENERADO PS locales'!$D274,O114*'SEP ORIGEN'!O114,"Excede capacidad PS")</f>
        <v>0</v>
      </c>
      <c r="P274" s="313">
        <f>IF(P114*'SEP ORIGEN'!P114&lt;='GENERADO PS locales'!$D274,P114*'SEP ORIGEN'!P114,"Excede capacidad PS")</f>
        <v>0</v>
      </c>
      <c r="Q274" s="313">
        <f>IF(Q114*'SEP ORIGEN'!Q114&lt;='GENERADO PS locales'!$D274,Q114*'SEP ORIGEN'!Q114,"Excede capacidad PS")</f>
        <v>0</v>
      </c>
      <c r="R274" s="313">
        <f>IF(R114*'SEP ORIGEN'!R114&lt;='GENERADO PS locales'!$D274,R114*'SEP ORIGEN'!R114,"Excede capacidad PS")</f>
        <v>0</v>
      </c>
      <c r="S274" s="313">
        <f>IF(S114*'SEP ORIGEN'!S114&lt;='GENERADO PS locales'!$D274,S114*'SEP ORIGEN'!S114,"Excede capacidad PS")</f>
        <v>0</v>
      </c>
      <c r="T274" s="313">
        <f>IF(T114*'SEP ORIGEN'!T114&lt;='GENERADO PS locales'!$D274,T114*'SEP ORIGEN'!T114,"Excede capacidad PS")</f>
        <v>0</v>
      </c>
      <c r="U274" s="313">
        <f>IF(U114*'SEP ORIGEN'!U114&lt;='GENERADO PS locales'!$D274,U114*'SEP ORIGEN'!U114,"Excede capacidad PS")</f>
        <v>0</v>
      </c>
      <c r="V274" s="313">
        <f>IF(V114*'SEP ORIGEN'!V114&lt;='GENERADO PS locales'!$D274,V114*'SEP ORIGEN'!V114,"Excede capacidad PS")</f>
        <v>0</v>
      </c>
      <c r="W274" s="313">
        <f>IF(W114*'SEP ORIGEN'!W114&lt;='GENERADO PS locales'!$D274,W114*'SEP ORIGEN'!W114,"Excede capacidad PS")</f>
        <v>0</v>
      </c>
      <c r="X274" s="313">
        <f>IF(X114*'SEP ORIGEN'!X114&lt;='GENERADO PS locales'!$D274,X114*'SEP ORIGEN'!X114,"Excede capacidad PS")</f>
        <v>0</v>
      </c>
      <c r="Y274" s="313">
        <f>IF(Y114*'SEP ORIGEN'!Y114&lt;='GENERADO PS locales'!$D274,Y114*'SEP ORIGEN'!Y114,"Excede capacidad PS")</f>
        <v>0</v>
      </c>
      <c r="Z274" s="313">
        <f>IF(Z114*'SEP ORIGEN'!Z114&lt;='GENERADO PS locales'!$D274,Z114*'SEP ORIGEN'!Z114,"Excede capacidad PS")</f>
        <v>0</v>
      </c>
    </row>
    <row r="275" spans="1:26" ht="24.95" customHeight="1">
      <c r="A275" s="260" t="str">
        <f>+Pobl_adoptada!A115</f>
        <v>Rauch</v>
      </c>
      <c r="B275" s="70">
        <f>+Pobl_adoptada!B115</f>
        <v>111</v>
      </c>
      <c r="C275" s="71" t="str">
        <f>+Pobl_adoptada!C115</f>
        <v>Rauch</v>
      </c>
      <c r="D275" s="311">
        <v>0</v>
      </c>
      <c r="E275" s="278"/>
      <c r="F275" s="263"/>
      <c r="G275" s="313">
        <f>IF(G115*'SEP ORIGEN'!G115&lt;='GENERADO PS locales'!$D275,G115*'SEP ORIGEN'!G115,"Excede capacidad PS")</f>
        <v>0</v>
      </c>
      <c r="H275" s="313">
        <f>IF(H115*'SEP ORIGEN'!H115&lt;='GENERADO PS locales'!$D275,H115*'SEP ORIGEN'!H115,"Excede capacidad PS")</f>
        <v>0</v>
      </c>
      <c r="I275" s="313">
        <f>IF(I115*'SEP ORIGEN'!I115&lt;='GENERADO PS locales'!$D275,I115*'SEP ORIGEN'!I115,"Excede capacidad PS")</f>
        <v>0</v>
      </c>
      <c r="J275" s="313">
        <f>IF(J115*'SEP ORIGEN'!J115&lt;='GENERADO PS locales'!$D275,J115*'SEP ORIGEN'!J115,"Excede capacidad PS")</f>
        <v>0</v>
      </c>
      <c r="K275" s="313">
        <f>IF(K115*'SEP ORIGEN'!K115&lt;='GENERADO PS locales'!$D275,K115*'SEP ORIGEN'!K115,"Excede capacidad PS")</f>
        <v>0</v>
      </c>
      <c r="L275" s="313">
        <f>IF(L115*'SEP ORIGEN'!L115&lt;='GENERADO PS locales'!$D275,L115*'SEP ORIGEN'!L115,"Excede capacidad PS")</f>
        <v>0</v>
      </c>
      <c r="M275" s="313">
        <f>IF(M115*'SEP ORIGEN'!M115&lt;='GENERADO PS locales'!$D275,M115*'SEP ORIGEN'!M115,"Excede capacidad PS")</f>
        <v>0</v>
      </c>
      <c r="N275" s="313">
        <f>IF(N115*'SEP ORIGEN'!N115&lt;='GENERADO PS locales'!$D275,N115*'SEP ORIGEN'!N115,"Excede capacidad PS")</f>
        <v>0</v>
      </c>
      <c r="O275" s="313">
        <f>IF(O115*'SEP ORIGEN'!O115&lt;='GENERADO PS locales'!$D275,O115*'SEP ORIGEN'!O115,"Excede capacidad PS")</f>
        <v>0</v>
      </c>
      <c r="P275" s="313">
        <f>IF(P115*'SEP ORIGEN'!P115&lt;='GENERADO PS locales'!$D275,P115*'SEP ORIGEN'!P115,"Excede capacidad PS")</f>
        <v>0</v>
      </c>
      <c r="Q275" s="313">
        <f>IF(Q115*'SEP ORIGEN'!Q115&lt;='GENERADO PS locales'!$D275,Q115*'SEP ORIGEN'!Q115,"Excede capacidad PS")</f>
        <v>0</v>
      </c>
      <c r="R275" s="313">
        <f>IF(R115*'SEP ORIGEN'!R115&lt;='GENERADO PS locales'!$D275,R115*'SEP ORIGEN'!R115,"Excede capacidad PS")</f>
        <v>0</v>
      </c>
      <c r="S275" s="313">
        <f>IF(S115*'SEP ORIGEN'!S115&lt;='GENERADO PS locales'!$D275,S115*'SEP ORIGEN'!S115,"Excede capacidad PS")</f>
        <v>0</v>
      </c>
      <c r="T275" s="313">
        <f>IF(T115*'SEP ORIGEN'!T115&lt;='GENERADO PS locales'!$D275,T115*'SEP ORIGEN'!T115,"Excede capacidad PS")</f>
        <v>0</v>
      </c>
      <c r="U275" s="313">
        <f>IF(U115*'SEP ORIGEN'!U115&lt;='GENERADO PS locales'!$D275,U115*'SEP ORIGEN'!U115,"Excede capacidad PS")</f>
        <v>0</v>
      </c>
      <c r="V275" s="313">
        <f>IF(V115*'SEP ORIGEN'!V115&lt;='GENERADO PS locales'!$D275,V115*'SEP ORIGEN'!V115,"Excede capacidad PS")</f>
        <v>0</v>
      </c>
      <c r="W275" s="313">
        <f>IF(W115*'SEP ORIGEN'!W115&lt;='GENERADO PS locales'!$D275,W115*'SEP ORIGEN'!W115,"Excede capacidad PS")</f>
        <v>0</v>
      </c>
      <c r="X275" s="313">
        <f>IF(X115*'SEP ORIGEN'!X115&lt;='GENERADO PS locales'!$D275,X115*'SEP ORIGEN'!X115,"Excede capacidad PS")</f>
        <v>0</v>
      </c>
      <c r="Y275" s="313">
        <f>IF(Y115*'SEP ORIGEN'!Y115&lt;='GENERADO PS locales'!$D275,Y115*'SEP ORIGEN'!Y115,"Excede capacidad PS")</f>
        <v>0</v>
      </c>
      <c r="Z275" s="313">
        <f>IF(Z115*'SEP ORIGEN'!Z115&lt;='GENERADO PS locales'!$D275,Z115*'SEP ORIGEN'!Z115,"Excede capacidad PS")</f>
        <v>0</v>
      </c>
    </row>
    <row r="276" spans="1:26" ht="24.95" customHeight="1">
      <c r="A276" s="260" t="str">
        <f>+Pobl_adoptada!A116</f>
        <v>Rivadavia</v>
      </c>
      <c r="B276" s="70">
        <f>+Pobl_adoptada!B116</f>
        <v>112</v>
      </c>
      <c r="C276" s="71" t="str">
        <f>+Pobl_adoptada!C116</f>
        <v>América</v>
      </c>
      <c r="D276" s="311">
        <v>0</v>
      </c>
      <c r="E276" s="278"/>
      <c r="F276" s="263"/>
      <c r="G276" s="313">
        <f>IF(G116*'SEP ORIGEN'!G116&lt;='GENERADO PS locales'!$D276,G116*'SEP ORIGEN'!G116,"Excede capacidad PS")</f>
        <v>0</v>
      </c>
      <c r="H276" s="313">
        <f>IF(H116*'SEP ORIGEN'!H116&lt;='GENERADO PS locales'!$D276,H116*'SEP ORIGEN'!H116,"Excede capacidad PS")</f>
        <v>0</v>
      </c>
      <c r="I276" s="313">
        <f>IF(I116*'SEP ORIGEN'!I116&lt;='GENERADO PS locales'!$D276,I116*'SEP ORIGEN'!I116,"Excede capacidad PS")</f>
        <v>0</v>
      </c>
      <c r="J276" s="313">
        <f>IF(J116*'SEP ORIGEN'!J116&lt;='GENERADO PS locales'!$D276,J116*'SEP ORIGEN'!J116,"Excede capacidad PS")</f>
        <v>0</v>
      </c>
      <c r="K276" s="313">
        <f>IF(K116*'SEP ORIGEN'!K116&lt;='GENERADO PS locales'!$D276,K116*'SEP ORIGEN'!K116,"Excede capacidad PS")</f>
        <v>0</v>
      </c>
      <c r="L276" s="313">
        <f>IF(L116*'SEP ORIGEN'!L116&lt;='GENERADO PS locales'!$D276,L116*'SEP ORIGEN'!L116,"Excede capacidad PS")</f>
        <v>0</v>
      </c>
      <c r="M276" s="313">
        <f>IF(M116*'SEP ORIGEN'!M116&lt;='GENERADO PS locales'!$D276,M116*'SEP ORIGEN'!M116,"Excede capacidad PS")</f>
        <v>0</v>
      </c>
      <c r="N276" s="313">
        <f>IF(N116*'SEP ORIGEN'!N116&lt;='GENERADO PS locales'!$D276,N116*'SEP ORIGEN'!N116,"Excede capacidad PS")</f>
        <v>0</v>
      </c>
      <c r="O276" s="313">
        <f>IF(O116*'SEP ORIGEN'!O116&lt;='GENERADO PS locales'!$D276,O116*'SEP ORIGEN'!O116,"Excede capacidad PS")</f>
        <v>0</v>
      </c>
      <c r="P276" s="313">
        <f>IF(P116*'SEP ORIGEN'!P116&lt;='GENERADO PS locales'!$D276,P116*'SEP ORIGEN'!P116,"Excede capacidad PS")</f>
        <v>0</v>
      </c>
      <c r="Q276" s="313">
        <f>IF(Q116*'SEP ORIGEN'!Q116&lt;='GENERADO PS locales'!$D276,Q116*'SEP ORIGEN'!Q116,"Excede capacidad PS")</f>
        <v>0</v>
      </c>
      <c r="R276" s="313">
        <f>IF(R116*'SEP ORIGEN'!R116&lt;='GENERADO PS locales'!$D276,R116*'SEP ORIGEN'!R116,"Excede capacidad PS")</f>
        <v>0</v>
      </c>
      <c r="S276" s="313">
        <f>IF(S116*'SEP ORIGEN'!S116&lt;='GENERADO PS locales'!$D276,S116*'SEP ORIGEN'!S116,"Excede capacidad PS")</f>
        <v>0</v>
      </c>
      <c r="T276" s="313">
        <f>IF(T116*'SEP ORIGEN'!T116&lt;='GENERADO PS locales'!$D276,T116*'SEP ORIGEN'!T116,"Excede capacidad PS")</f>
        <v>0</v>
      </c>
      <c r="U276" s="313">
        <f>IF(U116*'SEP ORIGEN'!U116&lt;='GENERADO PS locales'!$D276,U116*'SEP ORIGEN'!U116,"Excede capacidad PS")</f>
        <v>0</v>
      </c>
      <c r="V276" s="313">
        <f>IF(V116*'SEP ORIGEN'!V116&lt;='GENERADO PS locales'!$D276,V116*'SEP ORIGEN'!V116,"Excede capacidad PS")</f>
        <v>0</v>
      </c>
      <c r="W276" s="313">
        <f>IF(W116*'SEP ORIGEN'!W116&lt;='GENERADO PS locales'!$D276,W116*'SEP ORIGEN'!W116,"Excede capacidad PS")</f>
        <v>0</v>
      </c>
      <c r="X276" s="313">
        <f>IF(X116*'SEP ORIGEN'!X116&lt;='GENERADO PS locales'!$D276,X116*'SEP ORIGEN'!X116,"Excede capacidad PS")</f>
        <v>0</v>
      </c>
      <c r="Y276" s="313">
        <f>IF(Y116*'SEP ORIGEN'!Y116&lt;='GENERADO PS locales'!$D276,Y116*'SEP ORIGEN'!Y116,"Excede capacidad PS")</f>
        <v>0</v>
      </c>
      <c r="Z276" s="313">
        <f>IF(Z116*'SEP ORIGEN'!Z116&lt;='GENERADO PS locales'!$D276,Z116*'SEP ORIGEN'!Z116,"Excede capacidad PS")</f>
        <v>0</v>
      </c>
    </row>
    <row r="277" spans="1:26" ht="24.95" customHeight="1">
      <c r="A277" s="260" t="str">
        <f>+Pobl_adoptada!A117</f>
        <v>Rojas</v>
      </c>
      <c r="B277" s="70">
        <f>+Pobl_adoptada!B117</f>
        <v>113</v>
      </c>
      <c r="C277" s="71" t="str">
        <f>+Pobl_adoptada!C117</f>
        <v>Rojas</v>
      </c>
      <c r="D277" s="311">
        <v>0</v>
      </c>
      <c r="E277" s="278"/>
      <c r="F277" s="263"/>
      <c r="G277" s="313">
        <f>IF(G117*'SEP ORIGEN'!G117&lt;='GENERADO PS locales'!$D277,G117*'SEP ORIGEN'!G117,"Excede capacidad PS")</f>
        <v>0</v>
      </c>
      <c r="H277" s="313">
        <f>IF(H117*'SEP ORIGEN'!H117&lt;='GENERADO PS locales'!$D277,H117*'SEP ORIGEN'!H117,"Excede capacidad PS")</f>
        <v>0</v>
      </c>
      <c r="I277" s="313">
        <f>IF(I117*'SEP ORIGEN'!I117&lt;='GENERADO PS locales'!$D277,I117*'SEP ORIGEN'!I117,"Excede capacidad PS")</f>
        <v>0</v>
      </c>
      <c r="J277" s="313">
        <f>IF(J117*'SEP ORIGEN'!J117&lt;='GENERADO PS locales'!$D277,J117*'SEP ORIGEN'!J117,"Excede capacidad PS")</f>
        <v>0</v>
      </c>
      <c r="K277" s="313">
        <f>IF(K117*'SEP ORIGEN'!K117&lt;='GENERADO PS locales'!$D277,K117*'SEP ORIGEN'!K117,"Excede capacidad PS")</f>
        <v>0</v>
      </c>
      <c r="L277" s="313">
        <f>IF(L117*'SEP ORIGEN'!L117&lt;='GENERADO PS locales'!$D277,L117*'SEP ORIGEN'!L117,"Excede capacidad PS")</f>
        <v>0</v>
      </c>
      <c r="M277" s="313">
        <f>IF(M117*'SEP ORIGEN'!M117&lt;='GENERADO PS locales'!$D277,M117*'SEP ORIGEN'!M117,"Excede capacidad PS")</f>
        <v>0</v>
      </c>
      <c r="N277" s="313">
        <f>IF(N117*'SEP ORIGEN'!N117&lt;='GENERADO PS locales'!$D277,N117*'SEP ORIGEN'!N117,"Excede capacidad PS")</f>
        <v>0</v>
      </c>
      <c r="O277" s="313">
        <f>IF(O117*'SEP ORIGEN'!O117&lt;='GENERADO PS locales'!$D277,O117*'SEP ORIGEN'!O117,"Excede capacidad PS")</f>
        <v>0</v>
      </c>
      <c r="P277" s="313">
        <f>IF(P117*'SEP ORIGEN'!P117&lt;='GENERADO PS locales'!$D277,P117*'SEP ORIGEN'!P117,"Excede capacidad PS")</f>
        <v>0</v>
      </c>
      <c r="Q277" s="313">
        <f>IF(Q117*'SEP ORIGEN'!Q117&lt;='GENERADO PS locales'!$D277,Q117*'SEP ORIGEN'!Q117,"Excede capacidad PS")</f>
        <v>0</v>
      </c>
      <c r="R277" s="313">
        <f>IF(R117*'SEP ORIGEN'!R117&lt;='GENERADO PS locales'!$D277,R117*'SEP ORIGEN'!R117,"Excede capacidad PS")</f>
        <v>0</v>
      </c>
      <c r="S277" s="313">
        <f>IF(S117*'SEP ORIGEN'!S117&lt;='GENERADO PS locales'!$D277,S117*'SEP ORIGEN'!S117,"Excede capacidad PS")</f>
        <v>0</v>
      </c>
      <c r="T277" s="313">
        <f>IF(T117*'SEP ORIGEN'!T117&lt;='GENERADO PS locales'!$D277,T117*'SEP ORIGEN'!T117,"Excede capacidad PS")</f>
        <v>0</v>
      </c>
      <c r="U277" s="313">
        <f>IF(U117*'SEP ORIGEN'!U117&lt;='GENERADO PS locales'!$D277,U117*'SEP ORIGEN'!U117,"Excede capacidad PS")</f>
        <v>0</v>
      </c>
      <c r="V277" s="313">
        <f>IF(V117*'SEP ORIGEN'!V117&lt;='GENERADO PS locales'!$D277,V117*'SEP ORIGEN'!V117,"Excede capacidad PS")</f>
        <v>0</v>
      </c>
      <c r="W277" s="313">
        <f>IF(W117*'SEP ORIGEN'!W117&lt;='GENERADO PS locales'!$D277,W117*'SEP ORIGEN'!W117,"Excede capacidad PS")</f>
        <v>0</v>
      </c>
      <c r="X277" s="313">
        <f>IF(X117*'SEP ORIGEN'!X117&lt;='GENERADO PS locales'!$D277,X117*'SEP ORIGEN'!X117,"Excede capacidad PS")</f>
        <v>0</v>
      </c>
      <c r="Y277" s="313">
        <f>IF(Y117*'SEP ORIGEN'!Y117&lt;='GENERADO PS locales'!$D277,Y117*'SEP ORIGEN'!Y117,"Excede capacidad PS")</f>
        <v>0</v>
      </c>
      <c r="Z277" s="313">
        <f>IF(Z117*'SEP ORIGEN'!Z117&lt;='GENERADO PS locales'!$D277,Z117*'SEP ORIGEN'!Z117,"Excede capacidad PS")</f>
        <v>0</v>
      </c>
    </row>
    <row r="278" spans="1:26" ht="24.95" customHeight="1">
      <c r="A278" s="260" t="str">
        <f>+Pobl_adoptada!A118</f>
        <v>Roque Pérez</v>
      </c>
      <c r="B278" s="70">
        <f>+Pobl_adoptada!B118</f>
        <v>114</v>
      </c>
      <c r="C278" s="71" t="str">
        <f>+Pobl_adoptada!C118</f>
        <v>Roque Pérez</v>
      </c>
      <c r="D278" s="311">
        <v>0</v>
      </c>
      <c r="E278" s="278"/>
      <c r="F278" s="263"/>
      <c r="G278" s="313">
        <f>IF(G118*'SEP ORIGEN'!G118&lt;='GENERADO PS locales'!$D278,G118*'SEP ORIGEN'!G118,"Excede capacidad PS")</f>
        <v>0</v>
      </c>
      <c r="H278" s="313">
        <f>IF(H118*'SEP ORIGEN'!H118&lt;='GENERADO PS locales'!$D278,H118*'SEP ORIGEN'!H118,"Excede capacidad PS")</f>
        <v>0</v>
      </c>
      <c r="I278" s="313">
        <f>IF(I118*'SEP ORIGEN'!I118&lt;='GENERADO PS locales'!$D278,I118*'SEP ORIGEN'!I118,"Excede capacidad PS")</f>
        <v>0</v>
      </c>
      <c r="J278" s="313">
        <f>IF(J118*'SEP ORIGEN'!J118&lt;='GENERADO PS locales'!$D278,J118*'SEP ORIGEN'!J118,"Excede capacidad PS")</f>
        <v>0</v>
      </c>
      <c r="K278" s="313">
        <f>IF(K118*'SEP ORIGEN'!K118&lt;='GENERADO PS locales'!$D278,K118*'SEP ORIGEN'!K118,"Excede capacidad PS")</f>
        <v>0</v>
      </c>
      <c r="L278" s="313">
        <f>IF(L118*'SEP ORIGEN'!L118&lt;='GENERADO PS locales'!$D278,L118*'SEP ORIGEN'!L118,"Excede capacidad PS")</f>
        <v>0</v>
      </c>
      <c r="M278" s="313">
        <f>IF(M118*'SEP ORIGEN'!M118&lt;='GENERADO PS locales'!$D278,M118*'SEP ORIGEN'!M118,"Excede capacidad PS")</f>
        <v>0</v>
      </c>
      <c r="N278" s="313">
        <f>IF(N118*'SEP ORIGEN'!N118&lt;='GENERADO PS locales'!$D278,N118*'SEP ORIGEN'!N118,"Excede capacidad PS")</f>
        <v>0</v>
      </c>
      <c r="O278" s="313">
        <f>IF(O118*'SEP ORIGEN'!O118&lt;='GENERADO PS locales'!$D278,O118*'SEP ORIGEN'!O118,"Excede capacidad PS")</f>
        <v>0</v>
      </c>
      <c r="P278" s="313">
        <f>IF(P118*'SEP ORIGEN'!P118&lt;='GENERADO PS locales'!$D278,P118*'SEP ORIGEN'!P118,"Excede capacidad PS")</f>
        <v>0</v>
      </c>
      <c r="Q278" s="313">
        <f>IF(Q118*'SEP ORIGEN'!Q118&lt;='GENERADO PS locales'!$D278,Q118*'SEP ORIGEN'!Q118,"Excede capacidad PS")</f>
        <v>0</v>
      </c>
      <c r="R278" s="313">
        <f>IF(R118*'SEP ORIGEN'!R118&lt;='GENERADO PS locales'!$D278,R118*'SEP ORIGEN'!R118,"Excede capacidad PS")</f>
        <v>0</v>
      </c>
      <c r="S278" s="313">
        <f>IF(S118*'SEP ORIGEN'!S118&lt;='GENERADO PS locales'!$D278,S118*'SEP ORIGEN'!S118,"Excede capacidad PS")</f>
        <v>0</v>
      </c>
      <c r="T278" s="313">
        <f>IF(T118*'SEP ORIGEN'!T118&lt;='GENERADO PS locales'!$D278,T118*'SEP ORIGEN'!T118,"Excede capacidad PS")</f>
        <v>0</v>
      </c>
      <c r="U278" s="313">
        <f>IF(U118*'SEP ORIGEN'!U118&lt;='GENERADO PS locales'!$D278,U118*'SEP ORIGEN'!U118,"Excede capacidad PS")</f>
        <v>0</v>
      </c>
      <c r="V278" s="313">
        <f>IF(V118*'SEP ORIGEN'!V118&lt;='GENERADO PS locales'!$D278,V118*'SEP ORIGEN'!V118,"Excede capacidad PS")</f>
        <v>0</v>
      </c>
      <c r="W278" s="313">
        <f>IF(W118*'SEP ORIGEN'!W118&lt;='GENERADO PS locales'!$D278,W118*'SEP ORIGEN'!W118,"Excede capacidad PS")</f>
        <v>0</v>
      </c>
      <c r="X278" s="313">
        <f>IF(X118*'SEP ORIGEN'!X118&lt;='GENERADO PS locales'!$D278,X118*'SEP ORIGEN'!X118,"Excede capacidad PS")</f>
        <v>0</v>
      </c>
      <c r="Y278" s="313">
        <f>IF(Y118*'SEP ORIGEN'!Y118&lt;='GENERADO PS locales'!$D278,Y118*'SEP ORIGEN'!Y118,"Excede capacidad PS")</f>
        <v>0</v>
      </c>
      <c r="Z278" s="313">
        <f>IF(Z118*'SEP ORIGEN'!Z118&lt;='GENERADO PS locales'!$D278,Z118*'SEP ORIGEN'!Z118,"Excede capacidad PS")</f>
        <v>0</v>
      </c>
    </row>
    <row r="279" spans="1:26" ht="24.95" customHeight="1">
      <c r="A279" s="260" t="str">
        <f>+Pobl_adoptada!A119</f>
        <v>Saavedra</v>
      </c>
      <c r="B279" s="70">
        <f>+Pobl_adoptada!B119</f>
        <v>115</v>
      </c>
      <c r="C279" s="71" t="str">
        <f>+Pobl_adoptada!C119</f>
        <v>Pigüé</v>
      </c>
      <c r="D279" s="311">
        <v>0</v>
      </c>
      <c r="E279" s="278"/>
      <c r="F279" s="263"/>
      <c r="G279" s="313">
        <f>IF(G119*'SEP ORIGEN'!G119&lt;='GENERADO PS locales'!$D279,G119*'SEP ORIGEN'!G119,"Excede capacidad PS")</f>
        <v>0</v>
      </c>
      <c r="H279" s="313">
        <f>IF(H119*'SEP ORIGEN'!H119&lt;='GENERADO PS locales'!$D279,H119*'SEP ORIGEN'!H119,"Excede capacidad PS")</f>
        <v>0</v>
      </c>
      <c r="I279" s="313">
        <f>IF(I119*'SEP ORIGEN'!I119&lt;='GENERADO PS locales'!$D279,I119*'SEP ORIGEN'!I119,"Excede capacidad PS")</f>
        <v>0</v>
      </c>
      <c r="J279" s="313">
        <f>IF(J119*'SEP ORIGEN'!J119&lt;='GENERADO PS locales'!$D279,J119*'SEP ORIGEN'!J119,"Excede capacidad PS")</f>
        <v>0</v>
      </c>
      <c r="K279" s="313">
        <f>IF(K119*'SEP ORIGEN'!K119&lt;='GENERADO PS locales'!$D279,K119*'SEP ORIGEN'!K119,"Excede capacidad PS")</f>
        <v>0</v>
      </c>
      <c r="L279" s="313">
        <f>IF(L119*'SEP ORIGEN'!L119&lt;='GENERADO PS locales'!$D279,L119*'SEP ORIGEN'!L119,"Excede capacidad PS")</f>
        <v>0</v>
      </c>
      <c r="M279" s="313">
        <f>IF(M119*'SEP ORIGEN'!M119&lt;='GENERADO PS locales'!$D279,M119*'SEP ORIGEN'!M119,"Excede capacidad PS")</f>
        <v>0</v>
      </c>
      <c r="N279" s="313">
        <f>IF(N119*'SEP ORIGEN'!N119&lt;='GENERADO PS locales'!$D279,N119*'SEP ORIGEN'!N119,"Excede capacidad PS")</f>
        <v>0</v>
      </c>
      <c r="O279" s="313">
        <f>IF(O119*'SEP ORIGEN'!O119&lt;='GENERADO PS locales'!$D279,O119*'SEP ORIGEN'!O119,"Excede capacidad PS")</f>
        <v>0</v>
      </c>
      <c r="P279" s="313">
        <f>IF(P119*'SEP ORIGEN'!P119&lt;='GENERADO PS locales'!$D279,P119*'SEP ORIGEN'!P119,"Excede capacidad PS")</f>
        <v>0</v>
      </c>
      <c r="Q279" s="313">
        <f>IF(Q119*'SEP ORIGEN'!Q119&lt;='GENERADO PS locales'!$D279,Q119*'SEP ORIGEN'!Q119,"Excede capacidad PS")</f>
        <v>0</v>
      </c>
      <c r="R279" s="313">
        <f>IF(R119*'SEP ORIGEN'!R119&lt;='GENERADO PS locales'!$D279,R119*'SEP ORIGEN'!R119,"Excede capacidad PS")</f>
        <v>0</v>
      </c>
      <c r="S279" s="313">
        <f>IF(S119*'SEP ORIGEN'!S119&lt;='GENERADO PS locales'!$D279,S119*'SEP ORIGEN'!S119,"Excede capacidad PS")</f>
        <v>0</v>
      </c>
      <c r="T279" s="313">
        <f>IF(T119*'SEP ORIGEN'!T119&lt;='GENERADO PS locales'!$D279,T119*'SEP ORIGEN'!T119,"Excede capacidad PS")</f>
        <v>0</v>
      </c>
      <c r="U279" s="313">
        <f>IF(U119*'SEP ORIGEN'!U119&lt;='GENERADO PS locales'!$D279,U119*'SEP ORIGEN'!U119,"Excede capacidad PS")</f>
        <v>0</v>
      </c>
      <c r="V279" s="313">
        <f>IF(V119*'SEP ORIGEN'!V119&lt;='GENERADO PS locales'!$D279,V119*'SEP ORIGEN'!V119,"Excede capacidad PS")</f>
        <v>0</v>
      </c>
      <c r="W279" s="313">
        <f>IF(W119*'SEP ORIGEN'!W119&lt;='GENERADO PS locales'!$D279,W119*'SEP ORIGEN'!W119,"Excede capacidad PS")</f>
        <v>0</v>
      </c>
      <c r="X279" s="313">
        <f>IF(X119*'SEP ORIGEN'!X119&lt;='GENERADO PS locales'!$D279,X119*'SEP ORIGEN'!X119,"Excede capacidad PS")</f>
        <v>0</v>
      </c>
      <c r="Y279" s="313">
        <f>IF(Y119*'SEP ORIGEN'!Y119&lt;='GENERADO PS locales'!$D279,Y119*'SEP ORIGEN'!Y119,"Excede capacidad PS")</f>
        <v>0</v>
      </c>
      <c r="Z279" s="313">
        <f>IF(Z119*'SEP ORIGEN'!Z119&lt;='GENERADO PS locales'!$D279,Z119*'SEP ORIGEN'!Z119,"Excede capacidad PS")</f>
        <v>0</v>
      </c>
    </row>
    <row r="280" spans="1:26" ht="24.95" customHeight="1">
      <c r="A280" s="260" t="str">
        <f>+Pobl_adoptada!A120</f>
        <v>Saladillo</v>
      </c>
      <c r="B280" s="70">
        <f>+Pobl_adoptada!B120</f>
        <v>116</v>
      </c>
      <c r="C280" s="71" t="str">
        <f>+Pobl_adoptada!C120</f>
        <v>Saladillo</v>
      </c>
      <c r="D280" s="311">
        <v>0</v>
      </c>
      <c r="E280" s="278"/>
      <c r="F280" s="263"/>
      <c r="G280" s="313">
        <f>IF(G120*'SEP ORIGEN'!G120&lt;='GENERADO PS locales'!$D280,G120*'SEP ORIGEN'!G120,"Excede capacidad PS")</f>
        <v>0</v>
      </c>
      <c r="H280" s="313">
        <f>IF(H120*'SEP ORIGEN'!H120&lt;='GENERADO PS locales'!$D280,H120*'SEP ORIGEN'!H120,"Excede capacidad PS")</f>
        <v>0</v>
      </c>
      <c r="I280" s="313">
        <f>IF(I120*'SEP ORIGEN'!I120&lt;='GENERADO PS locales'!$D280,I120*'SEP ORIGEN'!I120,"Excede capacidad PS")</f>
        <v>0</v>
      </c>
      <c r="J280" s="313">
        <f>IF(J120*'SEP ORIGEN'!J120&lt;='GENERADO PS locales'!$D280,J120*'SEP ORIGEN'!J120,"Excede capacidad PS")</f>
        <v>0</v>
      </c>
      <c r="K280" s="313">
        <f>IF(K120*'SEP ORIGEN'!K120&lt;='GENERADO PS locales'!$D280,K120*'SEP ORIGEN'!K120,"Excede capacidad PS")</f>
        <v>0</v>
      </c>
      <c r="L280" s="313">
        <f>IF(L120*'SEP ORIGEN'!L120&lt;='GENERADO PS locales'!$D280,L120*'SEP ORIGEN'!L120,"Excede capacidad PS")</f>
        <v>0</v>
      </c>
      <c r="M280" s="313">
        <f>IF(M120*'SEP ORIGEN'!M120&lt;='GENERADO PS locales'!$D280,M120*'SEP ORIGEN'!M120,"Excede capacidad PS")</f>
        <v>0</v>
      </c>
      <c r="N280" s="313">
        <f>IF(N120*'SEP ORIGEN'!N120&lt;='GENERADO PS locales'!$D280,N120*'SEP ORIGEN'!N120,"Excede capacidad PS")</f>
        <v>0</v>
      </c>
      <c r="O280" s="313">
        <f>IF(O120*'SEP ORIGEN'!O120&lt;='GENERADO PS locales'!$D280,O120*'SEP ORIGEN'!O120,"Excede capacidad PS")</f>
        <v>0</v>
      </c>
      <c r="P280" s="313">
        <f>IF(P120*'SEP ORIGEN'!P120&lt;='GENERADO PS locales'!$D280,P120*'SEP ORIGEN'!P120,"Excede capacidad PS")</f>
        <v>0</v>
      </c>
      <c r="Q280" s="313">
        <f>IF(Q120*'SEP ORIGEN'!Q120&lt;='GENERADO PS locales'!$D280,Q120*'SEP ORIGEN'!Q120,"Excede capacidad PS")</f>
        <v>0</v>
      </c>
      <c r="R280" s="313">
        <f>IF(R120*'SEP ORIGEN'!R120&lt;='GENERADO PS locales'!$D280,R120*'SEP ORIGEN'!R120,"Excede capacidad PS")</f>
        <v>0</v>
      </c>
      <c r="S280" s="313">
        <f>IF(S120*'SEP ORIGEN'!S120&lt;='GENERADO PS locales'!$D280,S120*'SEP ORIGEN'!S120,"Excede capacidad PS")</f>
        <v>0</v>
      </c>
      <c r="T280" s="313">
        <f>IF(T120*'SEP ORIGEN'!T120&lt;='GENERADO PS locales'!$D280,T120*'SEP ORIGEN'!T120,"Excede capacidad PS")</f>
        <v>0</v>
      </c>
      <c r="U280" s="313">
        <f>IF(U120*'SEP ORIGEN'!U120&lt;='GENERADO PS locales'!$D280,U120*'SEP ORIGEN'!U120,"Excede capacidad PS")</f>
        <v>0</v>
      </c>
      <c r="V280" s="313">
        <f>IF(V120*'SEP ORIGEN'!V120&lt;='GENERADO PS locales'!$D280,V120*'SEP ORIGEN'!V120,"Excede capacidad PS")</f>
        <v>0</v>
      </c>
      <c r="W280" s="313">
        <f>IF(W120*'SEP ORIGEN'!W120&lt;='GENERADO PS locales'!$D280,W120*'SEP ORIGEN'!W120,"Excede capacidad PS")</f>
        <v>0</v>
      </c>
      <c r="X280" s="313">
        <f>IF(X120*'SEP ORIGEN'!X120&lt;='GENERADO PS locales'!$D280,X120*'SEP ORIGEN'!X120,"Excede capacidad PS")</f>
        <v>0</v>
      </c>
      <c r="Y280" s="313">
        <f>IF(Y120*'SEP ORIGEN'!Y120&lt;='GENERADO PS locales'!$D280,Y120*'SEP ORIGEN'!Y120,"Excede capacidad PS")</f>
        <v>0</v>
      </c>
      <c r="Z280" s="313">
        <f>IF(Z120*'SEP ORIGEN'!Z120&lt;='GENERADO PS locales'!$D280,Z120*'SEP ORIGEN'!Z120,"Excede capacidad PS")</f>
        <v>0</v>
      </c>
    </row>
    <row r="281" spans="1:26" ht="24.95" customHeight="1">
      <c r="A281" s="260" t="str">
        <f>+Pobl_adoptada!A121</f>
        <v>Salliqueló</v>
      </c>
      <c r="B281" s="70">
        <f>+Pobl_adoptada!B121</f>
        <v>117</v>
      </c>
      <c r="C281" s="71" t="str">
        <f>+Pobl_adoptada!C121</f>
        <v>Salliqueló</v>
      </c>
      <c r="D281" s="311">
        <v>0</v>
      </c>
      <c r="E281" s="278"/>
      <c r="F281" s="263"/>
      <c r="G281" s="313">
        <f>IF(G121*'SEP ORIGEN'!G121&lt;='GENERADO PS locales'!$D281,G121*'SEP ORIGEN'!G121,"Excede capacidad PS")</f>
        <v>0</v>
      </c>
      <c r="H281" s="313">
        <f>IF(H121*'SEP ORIGEN'!H121&lt;='GENERADO PS locales'!$D281,H121*'SEP ORIGEN'!H121,"Excede capacidad PS")</f>
        <v>0</v>
      </c>
      <c r="I281" s="313">
        <f>IF(I121*'SEP ORIGEN'!I121&lt;='GENERADO PS locales'!$D281,I121*'SEP ORIGEN'!I121,"Excede capacidad PS")</f>
        <v>0</v>
      </c>
      <c r="J281" s="313">
        <f>IF(J121*'SEP ORIGEN'!J121&lt;='GENERADO PS locales'!$D281,J121*'SEP ORIGEN'!J121,"Excede capacidad PS")</f>
        <v>0</v>
      </c>
      <c r="K281" s="313">
        <f>IF(K121*'SEP ORIGEN'!K121&lt;='GENERADO PS locales'!$D281,K121*'SEP ORIGEN'!K121,"Excede capacidad PS")</f>
        <v>0</v>
      </c>
      <c r="L281" s="313">
        <f>IF(L121*'SEP ORIGEN'!L121&lt;='GENERADO PS locales'!$D281,L121*'SEP ORIGEN'!L121,"Excede capacidad PS")</f>
        <v>0</v>
      </c>
      <c r="M281" s="313">
        <f>IF(M121*'SEP ORIGEN'!M121&lt;='GENERADO PS locales'!$D281,M121*'SEP ORIGEN'!M121,"Excede capacidad PS")</f>
        <v>0</v>
      </c>
      <c r="N281" s="313">
        <f>IF(N121*'SEP ORIGEN'!N121&lt;='GENERADO PS locales'!$D281,N121*'SEP ORIGEN'!N121,"Excede capacidad PS")</f>
        <v>0</v>
      </c>
      <c r="O281" s="313">
        <f>IF(O121*'SEP ORIGEN'!O121&lt;='GENERADO PS locales'!$D281,O121*'SEP ORIGEN'!O121,"Excede capacidad PS")</f>
        <v>0</v>
      </c>
      <c r="P281" s="313">
        <f>IF(P121*'SEP ORIGEN'!P121&lt;='GENERADO PS locales'!$D281,P121*'SEP ORIGEN'!P121,"Excede capacidad PS")</f>
        <v>0</v>
      </c>
      <c r="Q281" s="313">
        <f>IF(Q121*'SEP ORIGEN'!Q121&lt;='GENERADO PS locales'!$D281,Q121*'SEP ORIGEN'!Q121,"Excede capacidad PS")</f>
        <v>0</v>
      </c>
      <c r="R281" s="313">
        <f>IF(R121*'SEP ORIGEN'!R121&lt;='GENERADO PS locales'!$D281,R121*'SEP ORIGEN'!R121,"Excede capacidad PS")</f>
        <v>0</v>
      </c>
      <c r="S281" s="313">
        <f>IF(S121*'SEP ORIGEN'!S121&lt;='GENERADO PS locales'!$D281,S121*'SEP ORIGEN'!S121,"Excede capacidad PS")</f>
        <v>0</v>
      </c>
      <c r="T281" s="313">
        <f>IF(T121*'SEP ORIGEN'!T121&lt;='GENERADO PS locales'!$D281,T121*'SEP ORIGEN'!T121,"Excede capacidad PS")</f>
        <v>0</v>
      </c>
      <c r="U281" s="313">
        <f>IF(U121*'SEP ORIGEN'!U121&lt;='GENERADO PS locales'!$D281,U121*'SEP ORIGEN'!U121,"Excede capacidad PS")</f>
        <v>0</v>
      </c>
      <c r="V281" s="313">
        <f>IF(V121*'SEP ORIGEN'!V121&lt;='GENERADO PS locales'!$D281,V121*'SEP ORIGEN'!V121,"Excede capacidad PS")</f>
        <v>0</v>
      </c>
      <c r="W281" s="313">
        <f>IF(W121*'SEP ORIGEN'!W121&lt;='GENERADO PS locales'!$D281,W121*'SEP ORIGEN'!W121,"Excede capacidad PS")</f>
        <v>0</v>
      </c>
      <c r="X281" s="313">
        <f>IF(X121*'SEP ORIGEN'!X121&lt;='GENERADO PS locales'!$D281,X121*'SEP ORIGEN'!X121,"Excede capacidad PS")</f>
        <v>0</v>
      </c>
      <c r="Y281" s="313">
        <f>IF(Y121*'SEP ORIGEN'!Y121&lt;='GENERADO PS locales'!$D281,Y121*'SEP ORIGEN'!Y121,"Excede capacidad PS")</f>
        <v>0</v>
      </c>
      <c r="Z281" s="313">
        <f>IF(Z121*'SEP ORIGEN'!Z121&lt;='GENERADO PS locales'!$D281,Z121*'SEP ORIGEN'!Z121,"Excede capacidad PS")</f>
        <v>0</v>
      </c>
    </row>
    <row r="282" spans="1:26" ht="24.95" customHeight="1">
      <c r="A282" s="260" t="str">
        <f>+Pobl_adoptada!A122</f>
        <v>Salto</v>
      </c>
      <c r="B282" s="70">
        <f>+Pobl_adoptada!B122</f>
        <v>118</v>
      </c>
      <c r="C282" s="71" t="str">
        <f>+Pobl_adoptada!C122</f>
        <v>Salto</v>
      </c>
      <c r="D282" s="311">
        <v>0</v>
      </c>
      <c r="E282" s="278"/>
      <c r="F282" s="263"/>
      <c r="G282" s="313">
        <f>IF(G122*'SEP ORIGEN'!G122&lt;='GENERADO PS locales'!$D282,G122*'SEP ORIGEN'!G122,"Excede capacidad PS")</f>
        <v>0</v>
      </c>
      <c r="H282" s="313">
        <f>IF(H122*'SEP ORIGEN'!H122&lt;='GENERADO PS locales'!$D282,H122*'SEP ORIGEN'!H122,"Excede capacidad PS")</f>
        <v>0</v>
      </c>
      <c r="I282" s="313">
        <f>IF(I122*'SEP ORIGEN'!I122&lt;='GENERADO PS locales'!$D282,I122*'SEP ORIGEN'!I122,"Excede capacidad PS")</f>
        <v>0</v>
      </c>
      <c r="J282" s="313">
        <f>IF(J122*'SEP ORIGEN'!J122&lt;='GENERADO PS locales'!$D282,J122*'SEP ORIGEN'!J122,"Excede capacidad PS")</f>
        <v>0</v>
      </c>
      <c r="K282" s="313">
        <f>IF(K122*'SEP ORIGEN'!K122&lt;='GENERADO PS locales'!$D282,K122*'SEP ORIGEN'!K122,"Excede capacidad PS")</f>
        <v>0</v>
      </c>
      <c r="L282" s="313">
        <f>IF(L122*'SEP ORIGEN'!L122&lt;='GENERADO PS locales'!$D282,L122*'SEP ORIGEN'!L122,"Excede capacidad PS")</f>
        <v>0</v>
      </c>
      <c r="M282" s="313">
        <f>IF(M122*'SEP ORIGEN'!M122&lt;='GENERADO PS locales'!$D282,M122*'SEP ORIGEN'!M122,"Excede capacidad PS")</f>
        <v>0</v>
      </c>
      <c r="N282" s="313">
        <f>IF(N122*'SEP ORIGEN'!N122&lt;='GENERADO PS locales'!$D282,N122*'SEP ORIGEN'!N122,"Excede capacidad PS")</f>
        <v>0</v>
      </c>
      <c r="O282" s="313">
        <f>IF(O122*'SEP ORIGEN'!O122&lt;='GENERADO PS locales'!$D282,O122*'SEP ORIGEN'!O122,"Excede capacidad PS")</f>
        <v>0</v>
      </c>
      <c r="P282" s="313">
        <f>IF(P122*'SEP ORIGEN'!P122&lt;='GENERADO PS locales'!$D282,P122*'SEP ORIGEN'!P122,"Excede capacidad PS")</f>
        <v>0</v>
      </c>
      <c r="Q282" s="313">
        <f>IF(Q122*'SEP ORIGEN'!Q122&lt;='GENERADO PS locales'!$D282,Q122*'SEP ORIGEN'!Q122,"Excede capacidad PS")</f>
        <v>0</v>
      </c>
      <c r="R282" s="313">
        <f>IF(R122*'SEP ORIGEN'!R122&lt;='GENERADO PS locales'!$D282,R122*'SEP ORIGEN'!R122,"Excede capacidad PS")</f>
        <v>0</v>
      </c>
      <c r="S282" s="313">
        <f>IF(S122*'SEP ORIGEN'!S122&lt;='GENERADO PS locales'!$D282,S122*'SEP ORIGEN'!S122,"Excede capacidad PS")</f>
        <v>0</v>
      </c>
      <c r="T282" s="313">
        <f>IF(T122*'SEP ORIGEN'!T122&lt;='GENERADO PS locales'!$D282,T122*'SEP ORIGEN'!T122,"Excede capacidad PS")</f>
        <v>0</v>
      </c>
      <c r="U282" s="313">
        <f>IF(U122*'SEP ORIGEN'!U122&lt;='GENERADO PS locales'!$D282,U122*'SEP ORIGEN'!U122,"Excede capacidad PS")</f>
        <v>0</v>
      </c>
      <c r="V282" s="313">
        <f>IF(V122*'SEP ORIGEN'!V122&lt;='GENERADO PS locales'!$D282,V122*'SEP ORIGEN'!V122,"Excede capacidad PS")</f>
        <v>0</v>
      </c>
      <c r="W282" s="313">
        <f>IF(W122*'SEP ORIGEN'!W122&lt;='GENERADO PS locales'!$D282,W122*'SEP ORIGEN'!W122,"Excede capacidad PS")</f>
        <v>0</v>
      </c>
      <c r="X282" s="313">
        <f>IF(X122*'SEP ORIGEN'!X122&lt;='GENERADO PS locales'!$D282,X122*'SEP ORIGEN'!X122,"Excede capacidad PS")</f>
        <v>0</v>
      </c>
      <c r="Y282" s="313">
        <f>IF(Y122*'SEP ORIGEN'!Y122&lt;='GENERADO PS locales'!$D282,Y122*'SEP ORIGEN'!Y122,"Excede capacidad PS")</f>
        <v>0</v>
      </c>
      <c r="Z282" s="313">
        <f>IF(Z122*'SEP ORIGEN'!Z122&lt;='GENERADO PS locales'!$D282,Z122*'SEP ORIGEN'!Z122,"Excede capacidad PS")</f>
        <v>0</v>
      </c>
    </row>
    <row r="283" spans="1:26" ht="24.95" customHeight="1">
      <c r="A283" s="260" t="str">
        <f>+Pobl_adoptada!A123</f>
        <v>San Andrés de Giles</v>
      </c>
      <c r="B283" s="70">
        <f>+Pobl_adoptada!B123</f>
        <v>119</v>
      </c>
      <c r="C283" s="71" t="str">
        <f>+Pobl_adoptada!C123</f>
        <v>San Andrés de Giles</v>
      </c>
      <c r="D283" s="311">
        <v>0</v>
      </c>
      <c r="E283" s="278"/>
      <c r="F283" s="263"/>
      <c r="G283" s="313">
        <f>IF(G123*'SEP ORIGEN'!G123&lt;='GENERADO PS locales'!$D283,G123*'SEP ORIGEN'!G123,"Excede capacidad PS")</f>
        <v>0</v>
      </c>
      <c r="H283" s="313">
        <f>IF(H123*'SEP ORIGEN'!H123&lt;='GENERADO PS locales'!$D283,H123*'SEP ORIGEN'!H123,"Excede capacidad PS")</f>
        <v>0</v>
      </c>
      <c r="I283" s="313">
        <f>IF(I123*'SEP ORIGEN'!I123&lt;='GENERADO PS locales'!$D283,I123*'SEP ORIGEN'!I123,"Excede capacidad PS")</f>
        <v>0</v>
      </c>
      <c r="J283" s="313">
        <f>IF(J123*'SEP ORIGEN'!J123&lt;='GENERADO PS locales'!$D283,J123*'SEP ORIGEN'!J123,"Excede capacidad PS")</f>
        <v>0</v>
      </c>
      <c r="K283" s="313">
        <f>IF(K123*'SEP ORIGEN'!K123&lt;='GENERADO PS locales'!$D283,K123*'SEP ORIGEN'!K123,"Excede capacidad PS")</f>
        <v>0</v>
      </c>
      <c r="L283" s="313">
        <f>IF(L123*'SEP ORIGEN'!L123&lt;='GENERADO PS locales'!$D283,L123*'SEP ORIGEN'!L123,"Excede capacidad PS")</f>
        <v>0</v>
      </c>
      <c r="M283" s="313">
        <f>IF(M123*'SEP ORIGEN'!M123&lt;='GENERADO PS locales'!$D283,M123*'SEP ORIGEN'!M123,"Excede capacidad PS")</f>
        <v>0</v>
      </c>
      <c r="N283" s="313">
        <f>IF(N123*'SEP ORIGEN'!N123&lt;='GENERADO PS locales'!$D283,N123*'SEP ORIGEN'!N123,"Excede capacidad PS")</f>
        <v>0</v>
      </c>
      <c r="O283" s="313">
        <f>IF(O123*'SEP ORIGEN'!O123&lt;='GENERADO PS locales'!$D283,O123*'SEP ORIGEN'!O123,"Excede capacidad PS")</f>
        <v>0</v>
      </c>
      <c r="P283" s="313">
        <f>IF(P123*'SEP ORIGEN'!P123&lt;='GENERADO PS locales'!$D283,P123*'SEP ORIGEN'!P123,"Excede capacidad PS")</f>
        <v>0</v>
      </c>
      <c r="Q283" s="313">
        <f>IF(Q123*'SEP ORIGEN'!Q123&lt;='GENERADO PS locales'!$D283,Q123*'SEP ORIGEN'!Q123,"Excede capacidad PS")</f>
        <v>0</v>
      </c>
      <c r="R283" s="313">
        <f>IF(R123*'SEP ORIGEN'!R123&lt;='GENERADO PS locales'!$D283,R123*'SEP ORIGEN'!R123,"Excede capacidad PS")</f>
        <v>0</v>
      </c>
      <c r="S283" s="313">
        <f>IF(S123*'SEP ORIGEN'!S123&lt;='GENERADO PS locales'!$D283,S123*'SEP ORIGEN'!S123,"Excede capacidad PS")</f>
        <v>0</v>
      </c>
      <c r="T283" s="313">
        <f>IF(T123*'SEP ORIGEN'!T123&lt;='GENERADO PS locales'!$D283,T123*'SEP ORIGEN'!T123,"Excede capacidad PS")</f>
        <v>0</v>
      </c>
      <c r="U283" s="313">
        <f>IF(U123*'SEP ORIGEN'!U123&lt;='GENERADO PS locales'!$D283,U123*'SEP ORIGEN'!U123,"Excede capacidad PS")</f>
        <v>0</v>
      </c>
      <c r="V283" s="313">
        <f>IF(V123*'SEP ORIGEN'!V123&lt;='GENERADO PS locales'!$D283,V123*'SEP ORIGEN'!V123,"Excede capacidad PS")</f>
        <v>0</v>
      </c>
      <c r="W283" s="313">
        <f>IF(W123*'SEP ORIGEN'!W123&lt;='GENERADO PS locales'!$D283,W123*'SEP ORIGEN'!W123,"Excede capacidad PS")</f>
        <v>0</v>
      </c>
      <c r="X283" s="313">
        <f>IF(X123*'SEP ORIGEN'!X123&lt;='GENERADO PS locales'!$D283,X123*'SEP ORIGEN'!X123,"Excede capacidad PS")</f>
        <v>0</v>
      </c>
      <c r="Y283" s="313">
        <f>IF(Y123*'SEP ORIGEN'!Y123&lt;='GENERADO PS locales'!$D283,Y123*'SEP ORIGEN'!Y123,"Excede capacidad PS")</f>
        <v>0</v>
      </c>
      <c r="Z283" s="313">
        <f>IF(Z123*'SEP ORIGEN'!Z123&lt;='GENERADO PS locales'!$D283,Z123*'SEP ORIGEN'!Z123,"Excede capacidad PS")</f>
        <v>0</v>
      </c>
    </row>
    <row r="284" spans="1:26" ht="24.95" customHeight="1">
      <c r="A284" s="260" t="str">
        <f>+Pobl_adoptada!A124</f>
        <v>San Antonio de Areco</v>
      </c>
      <c r="B284" s="70">
        <f>+Pobl_adoptada!B124</f>
        <v>120</v>
      </c>
      <c r="C284" s="71" t="str">
        <f>+Pobl_adoptada!C124</f>
        <v>San Antonio de Areco</v>
      </c>
      <c r="D284" s="311">
        <v>0</v>
      </c>
      <c r="E284" s="278"/>
      <c r="F284" s="263"/>
      <c r="G284" s="313">
        <f>IF(G124*'SEP ORIGEN'!G124&lt;='GENERADO PS locales'!$D284,G124*'SEP ORIGEN'!G124,"Excede capacidad PS")</f>
        <v>0</v>
      </c>
      <c r="H284" s="313">
        <f>IF(H124*'SEP ORIGEN'!H124&lt;='GENERADO PS locales'!$D284,H124*'SEP ORIGEN'!H124,"Excede capacidad PS")</f>
        <v>0</v>
      </c>
      <c r="I284" s="313">
        <f>IF(I124*'SEP ORIGEN'!I124&lt;='GENERADO PS locales'!$D284,I124*'SEP ORIGEN'!I124,"Excede capacidad PS")</f>
        <v>0</v>
      </c>
      <c r="J284" s="313">
        <f>IF(J124*'SEP ORIGEN'!J124&lt;='GENERADO PS locales'!$D284,J124*'SEP ORIGEN'!J124,"Excede capacidad PS")</f>
        <v>0</v>
      </c>
      <c r="K284" s="313">
        <f>IF(K124*'SEP ORIGEN'!K124&lt;='GENERADO PS locales'!$D284,K124*'SEP ORIGEN'!K124,"Excede capacidad PS")</f>
        <v>0</v>
      </c>
      <c r="L284" s="313">
        <f>IF(L124*'SEP ORIGEN'!L124&lt;='GENERADO PS locales'!$D284,L124*'SEP ORIGEN'!L124,"Excede capacidad PS")</f>
        <v>0</v>
      </c>
      <c r="M284" s="313">
        <f>IF(M124*'SEP ORIGEN'!M124&lt;='GENERADO PS locales'!$D284,M124*'SEP ORIGEN'!M124,"Excede capacidad PS")</f>
        <v>0</v>
      </c>
      <c r="N284" s="313">
        <f>IF(N124*'SEP ORIGEN'!N124&lt;='GENERADO PS locales'!$D284,N124*'SEP ORIGEN'!N124,"Excede capacidad PS")</f>
        <v>0</v>
      </c>
      <c r="O284" s="313">
        <f>IF(O124*'SEP ORIGEN'!O124&lt;='GENERADO PS locales'!$D284,O124*'SEP ORIGEN'!O124,"Excede capacidad PS")</f>
        <v>0</v>
      </c>
      <c r="P284" s="313">
        <f>IF(P124*'SEP ORIGEN'!P124&lt;='GENERADO PS locales'!$D284,P124*'SEP ORIGEN'!P124,"Excede capacidad PS")</f>
        <v>0</v>
      </c>
      <c r="Q284" s="313">
        <f>IF(Q124*'SEP ORIGEN'!Q124&lt;='GENERADO PS locales'!$D284,Q124*'SEP ORIGEN'!Q124,"Excede capacidad PS")</f>
        <v>0</v>
      </c>
      <c r="R284" s="313">
        <f>IF(R124*'SEP ORIGEN'!R124&lt;='GENERADO PS locales'!$D284,R124*'SEP ORIGEN'!R124,"Excede capacidad PS")</f>
        <v>0</v>
      </c>
      <c r="S284" s="313">
        <f>IF(S124*'SEP ORIGEN'!S124&lt;='GENERADO PS locales'!$D284,S124*'SEP ORIGEN'!S124,"Excede capacidad PS")</f>
        <v>0</v>
      </c>
      <c r="T284" s="313">
        <f>IF(T124*'SEP ORIGEN'!T124&lt;='GENERADO PS locales'!$D284,T124*'SEP ORIGEN'!T124,"Excede capacidad PS")</f>
        <v>0</v>
      </c>
      <c r="U284" s="313">
        <f>IF(U124*'SEP ORIGEN'!U124&lt;='GENERADO PS locales'!$D284,U124*'SEP ORIGEN'!U124,"Excede capacidad PS")</f>
        <v>0</v>
      </c>
      <c r="V284" s="313">
        <f>IF(V124*'SEP ORIGEN'!V124&lt;='GENERADO PS locales'!$D284,V124*'SEP ORIGEN'!V124,"Excede capacidad PS")</f>
        <v>0</v>
      </c>
      <c r="W284" s="313">
        <f>IF(W124*'SEP ORIGEN'!W124&lt;='GENERADO PS locales'!$D284,W124*'SEP ORIGEN'!W124,"Excede capacidad PS")</f>
        <v>0</v>
      </c>
      <c r="X284" s="313">
        <f>IF(X124*'SEP ORIGEN'!X124&lt;='GENERADO PS locales'!$D284,X124*'SEP ORIGEN'!X124,"Excede capacidad PS")</f>
        <v>0</v>
      </c>
      <c r="Y284" s="313">
        <f>IF(Y124*'SEP ORIGEN'!Y124&lt;='GENERADO PS locales'!$D284,Y124*'SEP ORIGEN'!Y124,"Excede capacidad PS")</f>
        <v>0</v>
      </c>
      <c r="Z284" s="313">
        <f>IF(Z124*'SEP ORIGEN'!Z124&lt;='GENERADO PS locales'!$D284,Z124*'SEP ORIGEN'!Z124,"Excede capacidad PS")</f>
        <v>0</v>
      </c>
    </row>
    <row r="285" spans="1:26" ht="24.95" customHeight="1">
      <c r="A285" s="260" t="str">
        <f>+Pobl_adoptada!A125</f>
        <v>San Cayetano</v>
      </c>
      <c r="B285" s="70">
        <f>+Pobl_adoptada!B125</f>
        <v>121</v>
      </c>
      <c r="C285" s="71" t="str">
        <f>+Pobl_adoptada!C125</f>
        <v>San Cayetano</v>
      </c>
      <c r="D285" s="311">
        <v>0</v>
      </c>
      <c r="E285" s="278"/>
      <c r="F285" s="263"/>
      <c r="G285" s="313">
        <f>IF(G125*'SEP ORIGEN'!G125&lt;='GENERADO PS locales'!$D285,G125*'SEP ORIGEN'!G125,"Excede capacidad PS")</f>
        <v>0</v>
      </c>
      <c r="H285" s="313">
        <f>IF(H125*'SEP ORIGEN'!H125&lt;='GENERADO PS locales'!$D285,H125*'SEP ORIGEN'!H125,"Excede capacidad PS")</f>
        <v>0</v>
      </c>
      <c r="I285" s="313">
        <f>IF(I125*'SEP ORIGEN'!I125&lt;='GENERADO PS locales'!$D285,I125*'SEP ORIGEN'!I125,"Excede capacidad PS")</f>
        <v>0</v>
      </c>
      <c r="J285" s="313">
        <f>IF(J125*'SEP ORIGEN'!J125&lt;='GENERADO PS locales'!$D285,J125*'SEP ORIGEN'!J125,"Excede capacidad PS")</f>
        <v>0</v>
      </c>
      <c r="K285" s="313">
        <f>IF(K125*'SEP ORIGEN'!K125&lt;='GENERADO PS locales'!$D285,K125*'SEP ORIGEN'!K125,"Excede capacidad PS")</f>
        <v>0</v>
      </c>
      <c r="L285" s="313">
        <f>IF(L125*'SEP ORIGEN'!L125&lt;='GENERADO PS locales'!$D285,L125*'SEP ORIGEN'!L125,"Excede capacidad PS")</f>
        <v>0</v>
      </c>
      <c r="M285" s="313">
        <f>IF(M125*'SEP ORIGEN'!M125&lt;='GENERADO PS locales'!$D285,M125*'SEP ORIGEN'!M125,"Excede capacidad PS")</f>
        <v>0</v>
      </c>
      <c r="N285" s="313">
        <f>IF(N125*'SEP ORIGEN'!N125&lt;='GENERADO PS locales'!$D285,N125*'SEP ORIGEN'!N125,"Excede capacidad PS")</f>
        <v>0</v>
      </c>
      <c r="O285" s="313">
        <f>IF(O125*'SEP ORIGEN'!O125&lt;='GENERADO PS locales'!$D285,O125*'SEP ORIGEN'!O125,"Excede capacidad PS")</f>
        <v>0</v>
      </c>
      <c r="P285" s="313">
        <f>IF(P125*'SEP ORIGEN'!P125&lt;='GENERADO PS locales'!$D285,P125*'SEP ORIGEN'!P125,"Excede capacidad PS")</f>
        <v>0</v>
      </c>
      <c r="Q285" s="313">
        <f>IF(Q125*'SEP ORIGEN'!Q125&lt;='GENERADO PS locales'!$D285,Q125*'SEP ORIGEN'!Q125,"Excede capacidad PS")</f>
        <v>0</v>
      </c>
      <c r="R285" s="313">
        <f>IF(R125*'SEP ORIGEN'!R125&lt;='GENERADO PS locales'!$D285,R125*'SEP ORIGEN'!R125,"Excede capacidad PS")</f>
        <v>0</v>
      </c>
      <c r="S285" s="313">
        <f>IF(S125*'SEP ORIGEN'!S125&lt;='GENERADO PS locales'!$D285,S125*'SEP ORIGEN'!S125,"Excede capacidad PS")</f>
        <v>0</v>
      </c>
      <c r="T285" s="313">
        <f>IF(T125*'SEP ORIGEN'!T125&lt;='GENERADO PS locales'!$D285,T125*'SEP ORIGEN'!T125,"Excede capacidad PS")</f>
        <v>0</v>
      </c>
      <c r="U285" s="313">
        <f>IF(U125*'SEP ORIGEN'!U125&lt;='GENERADO PS locales'!$D285,U125*'SEP ORIGEN'!U125,"Excede capacidad PS")</f>
        <v>0</v>
      </c>
      <c r="V285" s="313">
        <f>IF(V125*'SEP ORIGEN'!V125&lt;='GENERADO PS locales'!$D285,V125*'SEP ORIGEN'!V125,"Excede capacidad PS")</f>
        <v>0</v>
      </c>
      <c r="W285" s="313">
        <f>IF(W125*'SEP ORIGEN'!W125&lt;='GENERADO PS locales'!$D285,W125*'SEP ORIGEN'!W125,"Excede capacidad PS")</f>
        <v>0</v>
      </c>
      <c r="X285" s="313">
        <f>IF(X125*'SEP ORIGEN'!X125&lt;='GENERADO PS locales'!$D285,X125*'SEP ORIGEN'!X125,"Excede capacidad PS")</f>
        <v>0</v>
      </c>
      <c r="Y285" s="313">
        <f>IF(Y125*'SEP ORIGEN'!Y125&lt;='GENERADO PS locales'!$D285,Y125*'SEP ORIGEN'!Y125,"Excede capacidad PS")</f>
        <v>0</v>
      </c>
      <c r="Z285" s="313">
        <f>IF(Z125*'SEP ORIGEN'!Z125&lt;='GENERADO PS locales'!$D285,Z125*'SEP ORIGEN'!Z125,"Excede capacidad PS")</f>
        <v>0</v>
      </c>
    </row>
    <row r="286" spans="1:26" ht="24.95" customHeight="1">
      <c r="A286" s="260" t="str">
        <f>+Pobl_adoptada!A126</f>
        <v>San Nicolás</v>
      </c>
      <c r="B286" s="70">
        <f>+Pobl_adoptada!B126</f>
        <v>122</v>
      </c>
      <c r="C286" s="71" t="str">
        <f>+Pobl_adoptada!C126</f>
        <v>San Nicolás de los Arroyos</v>
      </c>
      <c r="D286" s="311">
        <v>0</v>
      </c>
      <c r="E286" s="278"/>
      <c r="F286" s="263"/>
      <c r="G286" s="313">
        <f>IF(G126*'SEP ORIGEN'!G126&lt;='GENERADO PS locales'!$D286,G126*'SEP ORIGEN'!G126,"Excede capacidad PS")</f>
        <v>0</v>
      </c>
      <c r="H286" s="313">
        <f>IF(H126*'SEP ORIGEN'!H126&lt;='GENERADO PS locales'!$D286,H126*'SEP ORIGEN'!H126,"Excede capacidad PS")</f>
        <v>0</v>
      </c>
      <c r="I286" s="313">
        <f>IF(I126*'SEP ORIGEN'!I126&lt;='GENERADO PS locales'!$D286,I126*'SEP ORIGEN'!I126,"Excede capacidad PS")</f>
        <v>0</v>
      </c>
      <c r="J286" s="313">
        <f>IF(J126*'SEP ORIGEN'!J126&lt;='GENERADO PS locales'!$D286,J126*'SEP ORIGEN'!J126,"Excede capacidad PS")</f>
        <v>0</v>
      </c>
      <c r="K286" s="313">
        <f>IF(K126*'SEP ORIGEN'!K126&lt;='GENERADO PS locales'!$D286,K126*'SEP ORIGEN'!K126,"Excede capacidad PS")</f>
        <v>0</v>
      </c>
      <c r="L286" s="313">
        <f>IF(L126*'SEP ORIGEN'!L126&lt;='GENERADO PS locales'!$D286,L126*'SEP ORIGEN'!L126,"Excede capacidad PS")</f>
        <v>0</v>
      </c>
      <c r="M286" s="313">
        <f>IF(M126*'SEP ORIGEN'!M126&lt;='GENERADO PS locales'!$D286,M126*'SEP ORIGEN'!M126,"Excede capacidad PS")</f>
        <v>0</v>
      </c>
      <c r="N286" s="313">
        <f>IF(N126*'SEP ORIGEN'!N126&lt;='GENERADO PS locales'!$D286,N126*'SEP ORIGEN'!N126,"Excede capacidad PS")</f>
        <v>0</v>
      </c>
      <c r="O286" s="313">
        <f>IF(O126*'SEP ORIGEN'!O126&lt;='GENERADO PS locales'!$D286,O126*'SEP ORIGEN'!O126,"Excede capacidad PS")</f>
        <v>0</v>
      </c>
      <c r="P286" s="313">
        <f>IF(P126*'SEP ORIGEN'!P126&lt;='GENERADO PS locales'!$D286,P126*'SEP ORIGEN'!P126,"Excede capacidad PS")</f>
        <v>0</v>
      </c>
      <c r="Q286" s="313">
        <f>IF(Q126*'SEP ORIGEN'!Q126&lt;='GENERADO PS locales'!$D286,Q126*'SEP ORIGEN'!Q126,"Excede capacidad PS")</f>
        <v>0</v>
      </c>
      <c r="R286" s="313">
        <f>IF(R126*'SEP ORIGEN'!R126&lt;='GENERADO PS locales'!$D286,R126*'SEP ORIGEN'!R126,"Excede capacidad PS")</f>
        <v>0</v>
      </c>
      <c r="S286" s="313">
        <f>IF(S126*'SEP ORIGEN'!S126&lt;='GENERADO PS locales'!$D286,S126*'SEP ORIGEN'!S126,"Excede capacidad PS")</f>
        <v>0</v>
      </c>
      <c r="T286" s="313">
        <f>IF(T126*'SEP ORIGEN'!T126&lt;='GENERADO PS locales'!$D286,T126*'SEP ORIGEN'!T126,"Excede capacidad PS")</f>
        <v>0</v>
      </c>
      <c r="U286" s="313">
        <f>IF(U126*'SEP ORIGEN'!U126&lt;='GENERADO PS locales'!$D286,U126*'SEP ORIGEN'!U126,"Excede capacidad PS")</f>
        <v>0</v>
      </c>
      <c r="V286" s="313">
        <f>IF(V126*'SEP ORIGEN'!V126&lt;='GENERADO PS locales'!$D286,V126*'SEP ORIGEN'!V126,"Excede capacidad PS")</f>
        <v>0</v>
      </c>
      <c r="W286" s="313">
        <f>IF(W126*'SEP ORIGEN'!W126&lt;='GENERADO PS locales'!$D286,W126*'SEP ORIGEN'!W126,"Excede capacidad PS")</f>
        <v>0</v>
      </c>
      <c r="X286" s="313">
        <f>IF(X126*'SEP ORIGEN'!X126&lt;='GENERADO PS locales'!$D286,X126*'SEP ORIGEN'!X126,"Excede capacidad PS")</f>
        <v>0</v>
      </c>
      <c r="Y286" s="313">
        <f>IF(Y126*'SEP ORIGEN'!Y126&lt;='GENERADO PS locales'!$D286,Y126*'SEP ORIGEN'!Y126,"Excede capacidad PS")</f>
        <v>0</v>
      </c>
      <c r="Z286" s="313">
        <f>IF(Z126*'SEP ORIGEN'!Z126&lt;='GENERADO PS locales'!$D286,Z126*'SEP ORIGEN'!Z126,"Excede capacidad PS")</f>
        <v>0</v>
      </c>
    </row>
    <row r="287" spans="1:26" ht="24.95" customHeight="1">
      <c r="A287" s="260" t="str">
        <f>+Pobl_adoptada!A127</f>
        <v>San Pedro</v>
      </c>
      <c r="B287" s="70">
        <f>+Pobl_adoptada!B127</f>
        <v>123</v>
      </c>
      <c r="C287" s="71" t="str">
        <f>+Pobl_adoptada!C127</f>
        <v>San Pedro</v>
      </c>
      <c r="D287" s="311">
        <v>0</v>
      </c>
      <c r="E287" s="278"/>
      <c r="F287" s="263"/>
      <c r="G287" s="313">
        <f>IF(G127*'SEP ORIGEN'!G127&lt;='GENERADO PS locales'!$D287,G127*'SEP ORIGEN'!G127,"Excede capacidad PS")</f>
        <v>0</v>
      </c>
      <c r="H287" s="313">
        <f>IF(H127*'SEP ORIGEN'!H127&lt;='GENERADO PS locales'!$D287,H127*'SEP ORIGEN'!H127,"Excede capacidad PS")</f>
        <v>0</v>
      </c>
      <c r="I287" s="313">
        <f>IF(I127*'SEP ORIGEN'!I127&lt;='GENERADO PS locales'!$D287,I127*'SEP ORIGEN'!I127,"Excede capacidad PS")</f>
        <v>0</v>
      </c>
      <c r="J287" s="313">
        <f>IF(J127*'SEP ORIGEN'!J127&lt;='GENERADO PS locales'!$D287,J127*'SEP ORIGEN'!J127,"Excede capacidad PS")</f>
        <v>0</v>
      </c>
      <c r="K287" s="313">
        <f>IF(K127*'SEP ORIGEN'!K127&lt;='GENERADO PS locales'!$D287,K127*'SEP ORIGEN'!K127,"Excede capacidad PS")</f>
        <v>0</v>
      </c>
      <c r="L287" s="313">
        <f>IF(L127*'SEP ORIGEN'!L127&lt;='GENERADO PS locales'!$D287,L127*'SEP ORIGEN'!L127,"Excede capacidad PS")</f>
        <v>0</v>
      </c>
      <c r="M287" s="313">
        <f>IF(M127*'SEP ORIGEN'!M127&lt;='GENERADO PS locales'!$D287,M127*'SEP ORIGEN'!M127,"Excede capacidad PS")</f>
        <v>0</v>
      </c>
      <c r="N287" s="313">
        <f>IF(N127*'SEP ORIGEN'!N127&lt;='GENERADO PS locales'!$D287,N127*'SEP ORIGEN'!N127,"Excede capacidad PS")</f>
        <v>0</v>
      </c>
      <c r="O287" s="313">
        <f>IF(O127*'SEP ORIGEN'!O127&lt;='GENERADO PS locales'!$D287,O127*'SEP ORIGEN'!O127,"Excede capacidad PS")</f>
        <v>0</v>
      </c>
      <c r="P287" s="313">
        <f>IF(P127*'SEP ORIGEN'!P127&lt;='GENERADO PS locales'!$D287,P127*'SEP ORIGEN'!P127,"Excede capacidad PS")</f>
        <v>0</v>
      </c>
      <c r="Q287" s="313">
        <f>IF(Q127*'SEP ORIGEN'!Q127&lt;='GENERADO PS locales'!$D287,Q127*'SEP ORIGEN'!Q127,"Excede capacidad PS")</f>
        <v>0</v>
      </c>
      <c r="R287" s="313">
        <f>IF(R127*'SEP ORIGEN'!R127&lt;='GENERADO PS locales'!$D287,R127*'SEP ORIGEN'!R127,"Excede capacidad PS")</f>
        <v>0</v>
      </c>
      <c r="S287" s="313">
        <f>IF(S127*'SEP ORIGEN'!S127&lt;='GENERADO PS locales'!$D287,S127*'SEP ORIGEN'!S127,"Excede capacidad PS")</f>
        <v>0</v>
      </c>
      <c r="T287" s="313">
        <f>IF(T127*'SEP ORIGEN'!T127&lt;='GENERADO PS locales'!$D287,T127*'SEP ORIGEN'!T127,"Excede capacidad PS")</f>
        <v>0</v>
      </c>
      <c r="U287" s="313">
        <f>IF(U127*'SEP ORIGEN'!U127&lt;='GENERADO PS locales'!$D287,U127*'SEP ORIGEN'!U127,"Excede capacidad PS")</f>
        <v>0</v>
      </c>
      <c r="V287" s="313">
        <f>IF(V127*'SEP ORIGEN'!V127&lt;='GENERADO PS locales'!$D287,V127*'SEP ORIGEN'!V127,"Excede capacidad PS")</f>
        <v>0</v>
      </c>
      <c r="W287" s="313">
        <f>IF(W127*'SEP ORIGEN'!W127&lt;='GENERADO PS locales'!$D287,W127*'SEP ORIGEN'!W127,"Excede capacidad PS")</f>
        <v>0</v>
      </c>
      <c r="X287" s="313">
        <f>IF(X127*'SEP ORIGEN'!X127&lt;='GENERADO PS locales'!$D287,X127*'SEP ORIGEN'!X127,"Excede capacidad PS")</f>
        <v>0</v>
      </c>
      <c r="Y287" s="313">
        <f>IF(Y127*'SEP ORIGEN'!Y127&lt;='GENERADO PS locales'!$D287,Y127*'SEP ORIGEN'!Y127,"Excede capacidad PS")</f>
        <v>0</v>
      </c>
      <c r="Z287" s="313">
        <f>IF(Z127*'SEP ORIGEN'!Z127&lt;='GENERADO PS locales'!$D287,Z127*'SEP ORIGEN'!Z127,"Excede capacidad PS")</f>
        <v>0</v>
      </c>
    </row>
    <row r="288" spans="1:26" ht="24.95" customHeight="1">
      <c r="A288" s="260" t="str">
        <f>+Pobl_adoptada!A128</f>
        <v>San Vicente</v>
      </c>
      <c r="B288" s="70">
        <f>+Pobl_adoptada!B128</f>
        <v>124</v>
      </c>
      <c r="C288" s="71" t="str">
        <f>+Pobl_adoptada!C128</f>
        <v>San Vicente</v>
      </c>
      <c r="D288" s="311">
        <v>0</v>
      </c>
      <c r="E288" s="278"/>
      <c r="F288" s="263"/>
      <c r="G288" s="313">
        <f>IF(G128*'SEP ORIGEN'!G128&lt;='GENERADO PS locales'!$D288,G128*'SEP ORIGEN'!G128,"Excede capacidad PS")</f>
        <v>0</v>
      </c>
      <c r="H288" s="313">
        <f>IF(H128*'SEP ORIGEN'!H128&lt;='GENERADO PS locales'!$D288,H128*'SEP ORIGEN'!H128,"Excede capacidad PS")</f>
        <v>0</v>
      </c>
      <c r="I288" s="313">
        <f>IF(I128*'SEP ORIGEN'!I128&lt;='GENERADO PS locales'!$D288,I128*'SEP ORIGEN'!I128,"Excede capacidad PS")</f>
        <v>0</v>
      </c>
      <c r="J288" s="313">
        <f>IF(J128*'SEP ORIGEN'!J128&lt;='GENERADO PS locales'!$D288,J128*'SEP ORIGEN'!J128,"Excede capacidad PS")</f>
        <v>0</v>
      </c>
      <c r="K288" s="313">
        <f>IF(K128*'SEP ORIGEN'!K128&lt;='GENERADO PS locales'!$D288,K128*'SEP ORIGEN'!K128,"Excede capacidad PS")</f>
        <v>0</v>
      </c>
      <c r="L288" s="313">
        <f>IF(L128*'SEP ORIGEN'!L128&lt;='GENERADO PS locales'!$D288,L128*'SEP ORIGEN'!L128,"Excede capacidad PS")</f>
        <v>0</v>
      </c>
      <c r="M288" s="313">
        <f>IF(M128*'SEP ORIGEN'!M128&lt;='GENERADO PS locales'!$D288,M128*'SEP ORIGEN'!M128,"Excede capacidad PS")</f>
        <v>0</v>
      </c>
      <c r="N288" s="313">
        <f>IF(N128*'SEP ORIGEN'!N128&lt;='GENERADO PS locales'!$D288,N128*'SEP ORIGEN'!N128,"Excede capacidad PS")</f>
        <v>0</v>
      </c>
      <c r="O288" s="313">
        <f>IF(O128*'SEP ORIGEN'!O128&lt;='GENERADO PS locales'!$D288,O128*'SEP ORIGEN'!O128,"Excede capacidad PS")</f>
        <v>0</v>
      </c>
      <c r="P288" s="313">
        <f>IF(P128*'SEP ORIGEN'!P128&lt;='GENERADO PS locales'!$D288,P128*'SEP ORIGEN'!P128,"Excede capacidad PS")</f>
        <v>0</v>
      </c>
      <c r="Q288" s="313">
        <f>IF(Q128*'SEP ORIGEN'!Q128&lt;='GENERADO PS locales'!$D288,Q128*'SEP ORIGEN'!Q128,"Excede capacidad PS")</f>
        <v>0</v>
      </c>
      <c r="R288" s="313">
        <f>IF(R128*'SEP ORIGEN'!R128&lt;='GENERADO PS locales'!$D288,R128*'SEP ORIGEN'!R128,"Excede capacidad PS")</f>
        <v>0</v>
      </c>
      <c r="S288" s="313">
        <f>IF(S128*'SEP ORIGEN'!S128&lt;='GENERADO PS locales'!$D288,S128*'SEP ORIGEN'!S128,"Excede capacidad PS")</f>
        <v>0</v>
      </c>
      <c r="T288" s="313">
        <f>IF(T128*'SEP ORIGEN'!T128&lt;='GENERADO PS locales'!$D288,T128*'SEP ORIGEN'!T128,"Excede capacidad PS")</f>
        <v>0</v>
      </c>
      <c r="U288" s="313">
        <f>IF(U128*'SEP ORIGEN'!U128&lt;='GENERADO PS locales'!$D288,U128*'SEP ORIGEN'!U128,"Excede capacidad PS")</f>
        <v>0</v>
      </c>
      <c r="V288" s="313">
        <f>IF(V128*'SEP ORIGEN'!V128&lt;='GENERADO PS locales'!$D288,V128*'SEP ORIGEN'!V128,"Excede capacidad PS")</f>
        <v>0</v>
      </c>
      <c r="W288" s="313">
        <f>IF(W128*'SEP ORIGEN'!W128&lt;='GENERADO PS locales'!$D288,W128*'SEP ORIGEN'!W128,"Excede capacidad PS")</f>
        <v>0</v>
      </c>
      <c r="X288" s="313">
        <f>IF(X128*'SEP ORIGEN'!X128&lt;='GENERADO PS locales'!$D288,X128*'SEP ORIGEN'!X128,"Excede capacidad PS")</f>
        <v>0</v>
      </c>
      <c r="Y288" s="313">
        <f>IF(Y128*'SEP ORIGEN'!Y128&lt;='GENERADO PS locales'!$D288,Y128*'SEP ORIGEN'!Y128,"Excede capacidad PS")</f>
        <v>0</v>
      </c>
      <c r="Z288" s="313">
        <f>IF(Z128*'SEP ORIGEN'!Z128&lt;='GENERADO PS locales'!$D288,Z128*'SEP ORIGEN'!Z128,"Excede capacidad PS")</f>
        <v>0</v>
      </c>
    </row>
    <row r="289" spans="1:26" ht="24.95" customHeight="1">
      <c r="A289" s="260" t="str">
        <f>+Pobl_adoptada!A129</f>
        <v>Suipacha</v>
      </c>
      <c r="B289" s="70">
        <f>+Pobl_adoptada!B129</f>
        <v>125</v>
      </c>
      <c r="C289" s="71" t="str">
        <f>+Pobl_adoptada!C129</f>
        <v>Suipacha</v>
      </c>
      <c r="D289" s="311">
        <v>0</v>
      </c>
      <c r="E289" s="278"/>
      <c r="F289" s="263"/>
      <c r="G289" s="313">
        <f>IF(G129*'SEP ORIGEN'!G129&lt;='GENERADO PS locales'!$D289,G129*'SEP ORIGEN'!G129,"Excede capacidad PS")</f>
        <v>0</v>
      </c>
      <c r="H289" s="313">
        <f>IF(H129*'SEP ORIGEN'!H129&lt;='GENERADO PS locales'!$D289,H129*'SEP ORIGEN'!H129,"Excede capacidad PS")</f>
        <v>0</v>
      </c>
      <c r="I289" s="313">
        <f>IF(I129*'SEP ORIGEN'!I129&lt;='GENERADO PS locales'!$D289,I129*'SEP ORIGEN'!I129,"Excede capacidad PS")</f>
        <v>0</v>
      </c>
      <c r="J289" s="313">
        <f>IF(J129*'SEP ORIGEN'!J129&lt;='GENERADO PS locales'!$D289,J129*'SEP ORIGEN'!J129,"Excede capacidad PS")</f>
        <v>0</v>
      </c>
      <c r="K289" s="313">
        <f>IF(K129*'SEP ORIGEN'!K129&lt;='GENERADO PS locales'!$D289,K129*'SEP ORIGEN'!K129,"Excede capacidad PS")</f>
        <v>0</v>
      </c>
      <c r="L289" s="313">
        <f>IF(L129*'SEP ORIGEN'!L129&lt;='GENERADO PS locales'!$D289,L129*'SEP ORIGEN'!L129,"Excede capacidad PS")</f>
        <v>0</v>
      </c>
      <c r="M289" s="313">
        <f>IF(M129*'SEP ORIGEN'!M129&lt;='GENERADO PS locales'!$D289,M129*'SEP ORIGEN'!M129,"Excede capacidad PS")</f>
        <v>0</v>
      </c>
      <c r="N289" s="313">
        <f>IF(N129*'SEP ORIGEN'!N129&lt;='GENERADO PS locales'!$D289,N129*'SEP ORIGEN'!N129,"Excede capacidad PS")</f>
        <v>0</v>
      </c>
      <c r="O289" s="313">
        <f>IF(O129*'SEP ORIGEN'!O129&lt;='GENERADO PS locales'!$D289,O129*'SEP ORIGEN'!O129,"Excede capacidad PS")</f>
        <v>0</v>
      </c>
      <c r="P289" s="313">
        <f>IF(P129*'SEP ORIGEN'!P129&lt;='GENERADO PS locales'!$D289,P129*'SEP ORIGEN'!P129,"Excede capacidad PS")</f>
        <v>0</v>
      </c>
      <c r="Q289" s="313">
        <f>IF(Q129*'SEP ORIGEN'!Q129&lt;='GENERADO PS locales'!$D289,Q129*'SEP ORIGEN'!Q129,"Excede capacidad PS")</f>
        <v>0</v>
      </c>
      <c r="R289" s="313">
        <f>IF(R129*'SEP ORIGEN'!R129&lt;='GENERADO PS locales'!$D289,R129*'SEP ORIGEN'!R129,"Excede capacidad PS")</f>
        <v>0</v>
      </c>
      <c r="S289" s="313">
        <f>IF(S129*'SEP ORIGEN'!S129&lt;='GENERADO PS locales'!$D289,S129*'SEP ORIGEN'!S129,"Excede capacidad PS")</f>
        <v>0</v>
      </c>
      <c r="T289" s="313">
        <f>IF(T129*'SEP ORIGEN'!T129&lt;='GENERADO PS locales'!$D289,T129*'SEP ORIGEN'!T129,"Excede capacidad PS")</f>
        <v>0</v>
      </c>
      <c r="U289" s="313">
        <f>IF(U129*'SEP ORIGEN'!U129&lt;='GENERADO PS locales'!$D289,U129*'SEP ORIGEN'!U129,"Excede capacidad PS")</f>
        <v>0</v>
      </c>
      <c r="V289" s="313">
        <f>IF(V129*'SEP ORIGEN'!V129&lt;='GENERADO PS locales'!$D289,V129*'SEP ORIGEN'!V129,"Excede capacidad PS")</f>
        <v>0</v>
      </c>
      <c r="W289" s="313">
        <f>IF(W129*'SEP ORIGEN'!W129&lt;='GENERADO PS locales'!$D289,W129*'SEP ORIGEN'!W129,"Excede capacidad PS")</f>
        <v>0</v>
      </c>
      <c r="X289" s="313">
        <f>IF(X129*'SEP ORIGEN'!X129&lt;='GENERADO PS locales'!$D289,X129*'SEP ORIGEN'!X129,"Excede capacidad PS")</f>
        <v>0</v>
      </c>
      <c r="Y289" s="313">
        <f>IF(Y129*'SEP ORIGEN'!Y129&lt;='GENERADO PS locales'!$D289,Y129*'SEP ORIGEN'!Y129,"Excede capacidad PS")</f>
        <v>0</v>
      </c>
      <c r="Z289" s="313">
        <f>IF(Z129*'SEP ORIGEN'!Z129&lt;='GENERADO PS locales'!$D289,Z129*'SEP ORIGEN'!Z129,"Excede capacidad PS")</f>
        <v>0</v>
      </c>
    </row>
    <row r="290" spans="1:26" ht="24.95" customHeight="1">
      <c r="A290" s="260" t="str">
        <f>+Pobl_adoptada!A130</f>
        <v>Tandil</v>
      </c>
      <c r="B290" s="70">
        <f>+Pobl_adoptada!B130</f>
        <v>126</v>
      </c>
      <c r="C290" s="71" t="str">
        <f>+Pobl_adoptada!C130</f>
        <v>Tandil</v>
      </c>
      <c r="D290" s="311">
        <v>0</v>
      </c>
      <c r="E290" s="278"/>
      <c r="F290" s="263"/>
      <c r="G290" s="313">
        <f>IF(G130*'SEP ORIGEN'!G130&lt;='GENERADO PS locales'!$D290,G130*'SEP ORIGEN'!G130,"Excede capacidad PS")</f>
        <v>0</v>
      </c>
      <c r="H290" s="313">
        <f>IF(H130*'SEP ORIGEN'!H130&lt;='GENERADO PS locales'!$D290,H130*'SEP ORIGEN'!H130,"Excede capacidad PS")</f>
        <v>0</v>
      </c>
      <c r="I290" s="313">
        <f>IF(I130*'SEP ORIGEN'!I130&lt;='GENERADO PS locales'!$D290,I130*'SEP ORIGEN'!I130,"Excede capacidad PS")</f>
        <v>0</v>
      </c>
      <c r="J290" s="313">
        <f>IF(J130*'SEP ORIGEN'!J130&lt;='GENERADO PS locales'!$D290,J130*'SEP ORIGEN'!J130,"Excede capacidad PS")</f>
        <v>0</v>
      </c>
      <c r="K290" s="313">
        <f>IF(K130*'SEP ORIGEN'!K130&lt;='GENERADO PS locales'!$D290,K130*'SEP ORIGEN'!K130,"Excede capacidad PS")</f>
        <v>0</v>
      </c>
      <c r="L290" s="313">
        <f>IF(L130*'SEP ORIGEN'!L130&lt;='GENERADO PS locales'!$D290,L130*'SEP ORIGEN'!L130,"Excede capacidad PS")</f>
        <v>0</v>
      </c>
      <c r="M290" s="313">
        <f>IF(M130*'SEP ORIGEN'!M130&lt;='GENERADO PS locales'!$D290,M130*'SEP ORIGEN'!M130,"Excede capacidad PS")</f>
        <v>0</v>
      </c>
      <c r="N290" s="313">
        <f>IF(N130*'SEP ORIGEN'!N130&lt;='GENERADO PS locales'!$D290,N130*'SEP ORIGEN'!N130,"Excede capacidad PS")</f>
        <v>0</v>
      </c>
      <c r="O290" s="313">
        <f>IF(O130*'SEP ORIGEN'!O130&lt;='GENERADO PS locales'!$D290,O130*'SEP ORIGEN'!O130,"Excede capacidad PS")</f>
        <v>0</v>
      </c>
      <c r="P290" s="313">
        <f>IF(P130*'SEP ORIGEN'!P130&lt;='GENERADO PS locales'!$D290,P130*'SEP ORIGEN'!P130,"Excede capacidad PS")</f>
        <v>0</v>
      </c>
      <c r="Q290" s="313">
        <f>IF(Q130*'SEP ORIGEN'!Q130&lt;='GENERADO PS locales'!$D290,Q130*'SEP ORIGEN'!Q130,"Excede capacidad PS")</f>
        <v>0</v>
      </c>
      <c r="R290" s="313">
        <f>IF(R130*'SEP ORIGEN'!R130&lt;='GENERADO PS locales'!$D290,R130*'SEP ORIGEN'!R130,"Excede capacidad PS")</f>
        <v>0</v>
      </c>
      <c r="S290" s="313">
        <f>IF(S130*'SEP ORIGEN'!S130&lt;='GENERADO PS locales'!$D290,S130*'SEP ORIGEN'!S130,"Excede capacidad PS")</f>
        <v>0</v>
      </c>
      <c r="T290" s="313">
        <f>IF(T130*'SEP ORIGEN'!T130&lt;='GENERADO PS locales'!$D290,T130*'SEP ORIGEN'!T130,"Excede capacidad PS")</f>
        <v>0</v>
      </c>
      <c r="U290" s="313">
        <f>IF(U130*'SEP ORIGEN'!U130&lt;='GENERADO PS locales'!$D290,U130*'SEP ORIGEN'!U130,"Excede capacidad PS")</f>
        <v>0</v>
      </c>
      <c r="V290" s="313">
        <f>IF(V130*'SEP ORIGEN'!V130&lt;='GENERADO PS locales'!$D290,V130*'SEP ORIGEN'!V130,"Excede capacidad PS")</f>
        <v>0</v>
      </c>
      <c r="W290" s="313">
        <f>IF(W130*'SEP ORIGEN'!W130&lt;='GENERADO PS locales'!$D290,W130*'SEP ORIGEN'!W130,"Excede capacidad PS")</f>
        <v>0</v>
      </c>
      <c r="X290" s="313">
        <f>IF(X130*'SEP ORIGEN'!X130&lt;='GENERADO PS locales'!$D290,X130*'SEP ORIGEN'!X130,"Excede capacidad PS")</f>
        <v>0</v>
      </c>
      <c r="Y290" s="313">
        <f>IF(Y130*'SEP ORIGEN'!Y130&lt;='GENERADO PS locales'!$D290,Y130*'SEP ORIGEN'!Y130,"Excede capacidad PS")</f>
        <v>0</v>
      </c>
      <c r="Z290" s="313">
        <f>IF(Z130*'SEP ORIGEN'!Z130&lt;='GENERADO PS locales'!$D290,Z130*'SEP ORIGEN'!Z130,"Excede capacidad PS")</f>
        <v>0</v>
      </c>
    </row>
    <row r="291" spans="1:26" ht="24.95" customHeight="1">
      <c r="A291" s="260" t="str">
        <f>+Pobl_adoptada!A131</f>
        <v>Tapalqué</v>
      </c>
      <c r="B291" s="70">
        <f>+Pobl_adoptada!B131</f>
        <v>127</v>
      </c>
      <c r="C291" s="71" t="str">
        <f>+Pobl_adoptada!C131</f>
        <v>Tapalqué</v>
      </c>
      <c r="D291" s="311">
        <v>0</v>
      </c>
      <c r="E291" s="278"/>
      <c r="F291" s="263"/>
      <c r="G291" s="313">
        <f>IF(G131*'SEP ORIGEN'!G131&lt;='GENERADO PS locales'!$D291,G131*'SEP ORIGEN'!G131,"Excede capacidad PS")</f>
        <v>0</v>
      </c>
      <c r="H291" s="313">
        <f>IF(H131*'SEP ORIGEN'!H131&lt;='GENERADO PS locales'!$D291,H131*'SEP ORIGEN'!H131,"Excede capacidad PS")</f>
        <v>0</v>
      </c>
      <c r="I291" s="313">
        <f>IF(I131*'SEP ORIGEN'!I131&lt;='GENERADO PS locales'!$D291,I131*'SEP ORIGEN'!I131,"Excede capacidad PS")</f>
        <v>0</v>
      </c>
      <c r="J291" s="313">
        <f>IF(J131*'SEP ORIGEN'!J131&lt;='GENERADO PS locales'!$D291,J131*'SEP ORIGEN'!J131,"Excede capacidad PS")</f>
        <v>0</v>
      </c>
      <c r="K291" s="313">
        <f>IF(K131*'SEP ORIGEN'!K131&lt;='GENERADO PS locales'!$D291,K131*'SEP ORIGEN'!K131,"Excede capacidad PS")</f>
        <v>0</v>
      </c>
      <c r="L291" s="313">
        <f>IF(L131*'SEP ORIGEN'!L131&lt;='GENERADO PS locales'!$D291,L131*'SEP ORIGEN'!L131,"Excede capacidad PS")</f>
        <v>0</v>
      </c>
      <c r="M291" s="313">
        <f>IF(M131*'SEP ORIGEN'!M131&lt;='GENERADO PS locales'!$D291,M131*'SEP ORIGEN'!M131,"Excede capacidad PS")</f>
        <v>0</v>
      </c>
      <c r="N291" s="313">
        <f>IF(N131*'SEP ORIGEN'!N131&lt;='GENERADO PS locales'!$D291,N131*'SEP ORIGEN'!N131,"Excede capacidad PS")</f>
        <v>0</v>
      </c>
      <c r="O291" s="313">
        <f>IF(O131*'SEP ORIGEN'!O131&lt;='GENERADO PS locales'!$D291,O131*'SEP ORIGEN'!O131,"Excede capacidad PS")</f>
        <v>0</v>
      </c>
      <c r="P291" s="313">
        <f>IF(P131*'SEP ORIGEN'!P131&lt;='GENERADO PS locales'!$D291,P131*'SEP ORIGEN'!P131,"Excede capacidad PS")</f>
        <v>0</v>
      </c>
      <c r="Q291" s="313">
        <f>IF(Q131*'SEP ORIGEN'!Q131&lt;='GENERADO PS locales'!$D291,Q131*'SEP ORIGEN'!Q131,"Excede capacidad PS")</f>
        <v>0</v>
      </c>
      <c r="R291" s="313">
        <f>IF(R131*'SEP ORIGEN'!R131&lt;='GENERADO PS locales'!$D291,R131*'SEP ORIGEN'!R131,"Excede capacidad PS")</f>
        <v>0</v>
      </c>
      <c r="S291" s="313">
        <f>IF(S131*'SEP ORIGEN'!S131&lt;='GENERADO PS locales'!$D291,S131*'SEP ORIGEN'!S131,"Excede capacidad PS")</f>
        <v>0</v>
      </c>
      <c r="T291" s="313">
        <f>IF(T131*'SEP ORIGEN'!T131&lt;='GENERADO PS locales'!$D291,T131*'SEP ORIGEN'!T131,"Excede capacidad PS")</f>
        <v>0</v>
      </c>
      <c r="U291" s="313">
        <f>IF(U131*'SEP ORIGEN'!U131&lt;='GENERADO PS locales'!$D291,U131*'SEP ORIGEN'!U131,"Excede capacidad PS")</f>
        <v>0</v>
      </c>
      <c r="V291" s="313">
        <f>IF(V131*'SEP ORIGEN'!V131&lt;='GENERADO PS locales'!$D291,V131*'SEP ORIGEN'!V131,"Excede capacidad PS")</f>
        <v>0</v>
      </c>
      <c r="W291" s="313">
        <f>IF(W131*'SEP ORIGEN'!W131&lt;='GENERADO PS locales'!$D291,W131*'SEP ORIGEN'!W131,"Excede capacidad PS")</f>
        <v>0</v>
      </c>
      <c r="X291" s="313">
        <f>IF(X131*'SEP ORIGEN'!X131&lt;='GENERADO PS locales'!$D291,X131*'SEP ORIGEN'!X131,"Excede capacidad PS")</f>
        <v>0</v>
      </c>
      <c r="Y291" s="313">
        <f>IF(Y131*'SEP ORIGEN'!Y131&lt;='GENERADO PS locales'!$D291,Y131*'SEP ORIGEN'!Y131,"Excede capacidad PS")</f>
        <v>0</v>
      </c>
      <c r="Z291" s="313">
        <f>IF(Z131*'SEP ORIGEN'!Z131&lt;='GENERADO PS locales'!$D291,Z131*'SEP ORIGEN'!Z131,"Excede capacidad PS")</f>
        <v>0</v>
      </c>
    </row>
    <row r="292" spans="1:26" ht="24.95" customHeight="1">
      <c r="A292" s="260" t="str">
        <f>+Pobl_adoptada!A132</f>
        <v>Tordillo</v>
      </c>
      <c r="B292" s="70">
        <f>+Pobl_adoptada!B132</f>
        <v>128</v>
      </c>
      <c r="C292" s="71" t="str">
        <f>+Pobl_adoptada!C132</f>
        <v>General Conesa</v>
      </c>
      <c r="D292" s="311">
        <v>0</v>
      </c>
      <c r="E292" s="278"/>
      <c r="F292" s="263"/>
      <c r="G292" s="313">
        <f>IF(G132*'SEP ORIGEN'!G132&lt;='GENERADO PS locales'!$D292,G132*'SEP ORIGEN'!G132,"Excede capacidad PS")</f>
        <v>0</v>
      </c>
      <c r="H292" s="313">
        <f>IF(H132*'SEP ORIGEN'!H132&lt;='GENERADO PS locales'!$D292,H132*'SEP ORIGEN'!H132,"Excede capacidad PS")</f>
        <v>0</v>
      </c>
      <c r="I292" s="313">
        <f>IF(I132*'SEP ORIGEN'!I132&lt;='GENERADO PS locales'!$D292,I132*'SEP ORIGEN'!I132,"Excede capacidad PS")</f>
        <v>0</v>
      </c>
      <c r="J292" s="313">
        <f>IF(J132*'SEP ORIGEN'!J132&lt;='GENERADO PS locales'!$D292,J132*'SEP ORIGEN'!J132,"Excede capacidad PS")</f>
        <v>0</v>
      </c>
      <c r="K292" s="313">
        <f>IF(K132*'SEP ORIGEN'!K132&lt;='GENERADO PS locales'!$D292,K132*'SEP ORIGEN'!K132,"Excede capacidad PS")</f>
        <v>0</v>
      </c>
      <c r="L292" s="313">
        <f>IF(L132*'SEP ORIGEN'!L132&lt;='GENERADO PS locales'!$D292,L132*'SEP ORIGEN'!L132,"Excede capacidad PS")</f>
        <v>0</v>
      </c>
      <c r="M292" s="313">
        <f>IF(M132*'SEP ORIGEN'!M132&lt;='GENERADO PS locales'!$D292,M132*'SEP ORIGEN'!M132,"Excede capacidad PS")</f>
        <v>0</v>
      </c>
      <c r="N292" s="313">
        <f>IF(N132*'SEP ORIGEN'!N132&lt;='GENERADO PS locales'!$D292,N132*'SEP ORIGEN'!N132,"Excede capacidad PS")</f>
        <v>0</v>
      </c>
      <c r="O292" s="313">
        <f>IF(O132*'SEP ORIGEN'!O132&lt;='GENERADO PS locales'!$D292,O132*'SEP ORIGEN'!O132,"Excede capacidad PS")</f>
        <v>0</v>
      </c>
      <c r="P292" s="313">
        <f>IF(P132*'SEP ORIGEN'!P132&lt;='GENERADO PS locales'!$D292,P132*'SEP ORIGEN'!P132,"Excede capacidad PS")</f>
        <v>0</v>
      </c>
      <c r="Q292" s="313">
        <f>IF(Q132*'SEP ORIGEN'!Q132&lt;='GENERADO PS locales'!$D292,Q132*'SEP ORIGEN'!Q132,"Excede capacidad PS")</f>
        <v>0</v>
      </c>
      <c r="R292" s="313">
        <f>IF(R132*'SEP ORIGEN'!R132&lt;='GENERADO PS locales'!$D292,R132*'SEP ORIGEN'!R132,"Excede capacidad PS")</f>
        <v>0</v>
      </c>
      <c r="S292" s="313">
        <f>IF(S132*'SEP ORIGEN'!S132&lt;='GENERADO PS locales'!$D292,S132*'SEP ORIGEN'!S132,"Excede capacidad PS")</f>
        <v>0</v>
      </c>
      <c r="T292" s="313">
        <f>IF(T132*'SEP ORIGEN'!T132&lt;='GENERADO PS locales'!$D292,T132*'SEP ORIGEN'!T132,"Excede capacidad PS")</f>
        <v>0</v>
      </c>
      <c r="U292" s="313">
        <f>IF(U132*'SEP ORIGEN'!U132&lt;='GENERADO PS locales'!$D292,U132*'SEP ORIGEN'!U132,"Excede capacidad PS")</f>
        <v>0</v>
      </c>
      <c r="V292" s="313">
        <f>IF(V132*'SEP ORIGEN'!V132&lt;='GENERADO PS locales'!$D292,V132*'SEP ORIGEN'!V132,"Excede capacidad PS")</f>
        <v>0</v>
      </c>
      <c r="W292" s="313">
        <f>IF(W132*'SEP ORIGEN'!W132&lt;='GENERADO PS locales'!$D292,W132*'SEP ORIGEN'!W132,"Excede capacidad PS")</f>
        <v>0</v>
      </c>
      <c r="X292" s="313">
        <f>IF(X132*'SEP ORIGEN'!X132&lt;='GENERADO PS locales'!$D292,X132*'SEP ORIGEN'!X132,"Excede capacidad PS")</f>
        <v>0</v>
      </c>
      <c r="Y292" s="313">
        <f>IF(Y132*'SEP ORIGEN'!Y132&lt;='GENERADO PS locales'!$D292,Y132*'SEP ORIGEN'!Y132,"Excede capacidad PS")</f>
        <v>0</v>
      </c>
      <c r="Z292" s="313">
        <f>IF(Z132*'SEP ORIGEN'!Z132&lt;='GENERADO PS locales'!$D292,Z132*'SEP ORIGEN'!Z132,"Excede capacidad PS")</f>
        <v>0</v>
      </c>
    </row>
    <row r="293" spans="1:26" ht="24.95" customHeight="1">
      <c r="A293" s="260" t="str">
        <f>+Pobl_adoptada!A133</f>
        <v>Tornquist</v>
      </c>
      <c r="B293" s="70">
        <f>+Pobl_adoptada!B133</f>
        <v>129</v>
      </c>
      <c r="C293" s="71" t="str">
        <f>+Pobl_adoptada!C133</f>
        <v>Tornquist</v>
      </c>
      <c r="D293" s="311">
        <v>0</v>
      </c>
      <c r="E293" s="278"/>
      <c r="F293" s="263"/>
      <c r="G293" s="313">
        <f>IF(G133*'SEP ORIGEN'!G133&lt;='GENERADO PS locales'!$D293,G133*'SEP ORIGEN'!G133,"Excede capacidad PS")</f>
        <v>0</v>
      </c>
      <c r="H293" s="313">
        <f>IF(H133*'SEP ORIGEN'!H133&lt;='GENERADO PS locales'!$D293,H133*'SEP ORIGEN'!H133,"Excede capacidad PS")</f>
        <v>0</v>
      </c>
      <c r="I293" s="313">
        <f>IF(I133*'SEP ORIGEN'!I133&lt;='GENERADO PS locales'!$D293,I133*'SEP ORIGEN'!I133,"Excede capacidad PS")</f>
        <v>0</v>
      </c>
      <c r="J293" s="313">
        <f>IF(J133*'SEP ORIGEN'!J133&lt;='GENERADO PS locales'!$D293,J133*'SEP ORIGEN'!J133,"Excede capacidad PS")</f>
        <v>0</v>
      </c>
      <c r="K293" s="313">
        <f>IF(K133*'SEP ORIGEN'!K133&lt;='GENERADO PS locales'!$D293,K133*'SEP ORIGEN'!K133,"Excede capacidad PS")</f>
        <v>0</v>
      </c>
      <c r="L293" s="313">
        <f>IF(L133*'SEP ORIGEN'!L133&lt;='GENERADO PS locales'!$D293,L133*'SEP ORIGEN'!L133,"Excede capacidad PS")</f>
        <v>0</v>
      </c>
      <c r="M293" s="313">
        <f>IF(M133*'SEP ORIGEN'!M133&lt;='GENERADO PS locales'!$D293,M133*'SEP ORIGEN'!M133,"Excede capacidad PS")</f>
        <v>0</v>
      </c>
      <c r="N293" s="313">
        <f>IF(N133*'SEP ORIGEN'!N133&lt;='GENERADO PS locales'!$D293,N133*'SEP ORIGEN'!N133,"Excede capacidad PS")</f>
        <v>0</v>
      </c>
      <c r="O293" s="313">
        <f>IF(O133*'SEP ORIGEN'!O133&lt;='GENERADO PS locales'!$D293,O133*'SEP ORIGEN'!O133,"Excede capacidad PS")</f>
        <v>0</v>
      </c>
      <c r="P293" s="313">
        <f>IF(P133*'SEP ORIGEN'!P133&lt;='GENERADO PS locales'!$D293,P133*'SEP ORIGEN'!P133,"Excede capacidad PS")</f>
        <v>0</v>
      </c>
      <c r="Q293" s="313">
        <f>IF(Q133*'SEP ORIGEN'!Q133&lt;='GENERADO PS locales'!$D293,Q133*'SEP ORIGEN'!Q133,"Excede capacidad PS")</f>
        <v>0</v>
      </c>
      <c r="R293" s="313">
        <f>IF(R133*'SEP ORIGEN'!R133&lt;='GENERADO PS locales'!$D293,R133*'SEP ORIGEN'!R133,"Excede capacidad PS")</f>
        <v>0</v>
      </c>
      <c r="S293" s="313">
        <f>IF(S133*'SEP ORIGEN'!S133&lt;='GENERADO PS locales'!$D293,S133*'SEP ORIGEN'!S133,"Excede capacidad PS")</f>
        <v>0</v>
      </c>
      <c r="T293" s="313">
        <f>IF(T133*'SEP ORIGEN'!T133&lt;='GENERADO PS locales'!$D293,T133*'SEP ORIGEN'!T133,"Excede capacidad PS")</f>
        <v>0</v>
      </c>
      <c r="U293" s="313">
        <f>IF(U133*'SEP ORIGEN'!U133&lt;='GENERADO PS locales'!$D293,U133*'SEP ORIGEN'!U133,"Excede capacidad PS")</f>
        <v>0</v>
      </c>
      <c r="V293" s="313">
        <f>IF(V133*'SEP ORIGEN'!V133&lt;='GENERADO PS locales'!$D293,V133*'SEP ORIGEN'!V133,"Excede capacidad PS")</f>
        <v>0</v>
      </c>
      <c r="W293" s="313">
        <f>IF(W133*'SEP ORIGEN'!W133&lt;='GENERADO PS locales'!$D293,W133*'SEP ORIGEN'!W133,"Excede capacidad PS")</f>
        <v>0</v>
      </c>
      <c r="X293" s="313">
        <f>IF(X133*'SEP ORIGEN'!X133&lt;='GENERADO PS locales'!$D293,X133*'SEP ORIGEN'!X133,"Excede capacidad PS")</f>
        <v>0</v>
      </c>
      <c r="Y293" s="313">
        <f>IF(Y133*'SEP ORIGEN'!Y133&lt;='GENERADO PS locales'!$D293,Y133*'SEP ORIGEN'!Y133,"Excede capacidad PS")</f>
        <v>0</v>
      </c>
      <c r="Z293" s="313">
        <f>IF(Z133*'SEP ORIGEN'!Z133&lt;='GENERADO PS locales'!$D293,Z133*'SEP ORIGEN'!Z133,"Excede capacidad PS")</f>
        <v>0</v>
      </c>
    </row>
    <row r="294" spans="1:26" ht="24.95" customHeight="1">
      <c r="A294" s="260" t="str">
        <f>+Pobl_adoptada!A134</f>
        <v>Trenque Lauquen</v>
      </c>
      <c r="B294" s="70">
        <f>+Pobl_adoptada!B134</f>
        <v>130</v>
      </c>
      <c r="C294" s="71" t="str">
        <f>+Pobl_adoptada!C134</f>
        <v>Trenque Lauquen</v>
      </c>
      <c r="D294" s="311">
        <v>0</v>
      </c>
      <c r="E294" s="278"/>
      <c r="F294" s="263"/>
      <c r="G294" s="313">
        <f>IF(G134*'SEP ORIGEN'!G134&lt;='GENERADO PS locales'!$D294,G134*'SEP ORIGEN'!G134,"Excede capacidad PS")</f>
        <v>0</v>
      </c>
      <c r="H294" s="313">
        <f>IF(H134*'SEP ORIGEN'!H134&lt;='GENERADO PS locales'!$D294,H134*'SEP ORIGEN'!H134,"Excede capacidad PS")</f>
        <v>0</v>
      </c>
      <c r="I294" s="313">
        <f>IF(I134*'SEP ORIGEN'!I134&lt;='GENERADO PS locales'!$D294,I134*'SEP ORIGEN'!I134,"Excede capacidad PS")</f>
        <v>0</v>
      </c>
      <c r="J294" s="313">
        <f>IF(J134*'SEP ORIGEN'!J134&lt;='GENERADO PS locales'!$D294,J134*'SEP ORIGEN'!J134,"Excede capacidad PS")</f>
        <v>0</v>
      </c>
      <c r="K294" s="313">
        <f>IF(K134*'SEP ORIGEN'!K134&lt;='GENERADO PS locales'!$D294,K134*'SEP ORIGEN'!K134,"Excede capacidad PS")</f>
        <v>0</v>
      </c>
      <c r="L294" s="313">
        <f>IF(L134*'SEP ORIGEN'!L134&lt;='GENERADO PS locales'!$D294,L134*'SEP ORIGEN'!L134,"Excede capacidad PS")</f>
        <v>0</v>
      </c>
      <c r="M294" s="313">
        <f>IF(M134*'SEP ORIGEN'!M134&lt;='GENERADO PS locales'!$D294,M134*'SEP ORIGEN'!M134,"Excede capacidad PS")</f>
        <v>0</v>
      </c>
      <c r="N294" s="313">
        <f>IF(N134*'SEP ORIGEN'!N134&lt;='GENERADO PS locales'!$D294,N134*'SEP ORIGEN'!N134,"Excede capacidad PS")</f>
        <v>0</v>
      </c>
      <c r="O294" s="313">
        <f>IF(O134*'SEP ORIGEN'!O134&lt;='GENERADO PS locales'!$D294,O134*'SEP ORIGEN'!O134,"Excede capacidad PS")</f>
        <v>0</v>
      </c>
      <c r="P294" s="313">
        <f>IF(P134*'SEP ORIGEN'!P134&lt;='GENERADO PS locales'!$D294,P134*'SEP ORIGEN'!P134,"Excede capacidad PS")</f>
        <v>0</v>
      </c>
      <c r="Q294" s="313">
        <f>IF(Q134*'SEP ORIGEN'!Q134&lt;='GENERADO PS locales'!$D294,Q134*'SEP ORIGEN'!Q134,"Excede capacidad PS")</f>
        <v>0</v>
      </c>
      <c r="R294" s="313">
        <f>IF(R134*'SEP ORIGEN'!R134&lt;='GENERADO PS locales'!$D294,R134*'SEP ORIGEN'!R134,"Excede capacidad PS")</f>
        <v>0</v>
      </c>
      <c r="S294" s="313">
        <f>IF(S134*'SEP ORIGEN'!S134&lt;='GENERADO PS locales'!$D294,S134*'SEP ORIGEN'!S134,"Excede capacidad PS")</f>
        <v>0</v>
      </c>
      <c r="T294" s="313">
        <f>IF(T134*'SEP ORIGEN'!T134&lt;='GENERADO PS locales'!$D294,T134*'SEP ORIGEN'!T134,"Excede capacidad PS")</f>
        <v>0</v>
      </c>
      <c r="U294" s="313">
        <f>IF(U134*'SEP ORIGEN'!U134&lt;='GENERADO PS locales'!$D294,U134*'SEP ORIGEN'!U134,"Excede capacidad PS")</f>
        <v>0</v>
      </c>
      <c r="V294" s="313">
        <f>IF(V134*'SEP ORIGEN'!V134&lt;='GENERADO PS locales'!$D294,V134*'SEP ORIGEN'!V134,"Excede capacidad PS")</f>
        <v>0</v>
      </c>
      <c r="W294" s="313">
        <f>IF(W134*'SEP ORIGEN'!W134&lt;='GENERADO PS locales'!$D294,W134*'SEP ORIGEN'!W134,"Excede capacidad PS")</f>
        <v>0</v>
      </c>
      <c r="X294" s="313">
        <f>IF(X134*'SEP ORIGEN'!X134&lt;='GENERADO PS locales'!$D294,X134*'SEP ORIGEN'!X134,"Excede capacidad PS")</f>
        <v>0</v>
      </c>
      <c r="Y294" s="313">
        <f>IF(Y134*'SEP ORIGEN'!Y134&lt;='GENERADO PS locales'!$D294,Y134*'SEP ORIGEN'!Y134,"Excede capacidad PS")</f>
        <v>0</v>
      </c>
      <c r="Z294" s="313">
        <f>IF(Z134*'SEP ORIGEN'!Z134&lt;='GENERADO PS locales'!$D294,Z134*'SEP ORIGEN'!Z134,"Excede capacidad PS")</f>
        <v>0</v>
      </c>
    </row>
    <row r="295" spans="1:26" ht="24.95" customHeight="1">
      <c r="A295" s="260" t="str">
        <f>+Pobl_adoptada!A135</f>
        <v>Tres Arroyos</v>
      </c>
      <c r="B295" s="70">
        <f>+Pobl_adoptada!B135</f>
        <v>131</v>
      </c>
      <c r="C295" s="71" t="str">
        <f>+Pobl_adoptada!C135</f>
        <v>Tres Arroyos</v>
      </c>
      <c r="D295" s="311">
        <v>0</v>
      </c>
      <c r="E295" s="278"/>
      <c r="F295" s="263"/>
      <c r="G295" s="313">
        <f>IF(G135*'SEP ORIGEN'!G135&lt;='GENERADO PS locales'!$D295,G135*'SEP ORIGEN'!G135,"Excede capacidad PS")</f>
        <v>0</v>
      </c>
      <c r="H295" s="313">
        <f>IF(H135*'SEP ORIGEN'!H135&lt;='GENERADO PS locales'!$D295,H135*'SEP ORIGEN'!H135,"Excede capacidad PS")</f>
        <v>0</v>
      </c>
      <c r="I295" s="313">
        <f>IF(I135*'SEP ORIGEN'!I135&lt;='GENERADO PS locales'!$D295,I135*'SEP ORIGEN'!I135,"Excede capacidad PS")</f>
        <v>0</v>
      </c>
      <c r="J295" s="313">
        <f>IF(J135*'SEP ORIGEN'!J135&lt;='GENERADO PS locales'!$D295,J135*'SEP ORIGEN'!J135,"Excede capacidad PS")</f>
        <v>0</v>
      </c>
      <c r="K295" s="313">
        <f>IF(K135*'SEP ORIGEN'!K135&lt;='GENERADO PS locales'!$D295,K135*'SEP ORIGEN'!K135,"Excede capacidad PS")</f>
        <v>0</v>
      </c>
      <c r="L295" s="313">
        <f>IF(L135*'SEP ORIGEN'!L135&lt;='GENERADO PS locales'!$D295,L135*'SEP ORIGEN'!L135,"Excede capacidad PS")</f>
        <v>0</v>
      </c>
      <c r="M295" s="313">
        <f>IF(M135*'SEP ORIGEN'!M135&lt;='GENERADO PS locales'!$D295,M135*'SEP ORIGEN'!M135,"Excede capacidad PS")</f>
        <v>0</v>
      </c>
      <c r="N295" s="313">
        <f>IF(N135*'SEP ORIGEN'!N135&lt;='GENERADO PS locales'!$D295,N135*'SEP ORIGEN'!N135,"Excede capacidad PS")</f>
        <v>0</v>
      </c>
      <c r="O295" s="313">
        <f>IF(O135*'SEP ORIGEN'!O135&lt;='GENERADO PS locales'!$D295,O135*'SEP ORIGEN'!O135,"Excede capacidad PS")</f>
        <v>0</v>
      </c>
      <c r="P295" s="313">
        <f>IF(P135*'SEP ORIGEN'!P135&lt;='GENERADO PS locales'!$D295,P135*'SEP ORIGEN'!P135,"Excede capacidad PS")</f>
        <v>0</v>
      </c>
      <c r="Q295" s="313">
        <f>IF(Q135*'SEP ORIGEN'!Q135&lt;='GENERADO PS locales'!$D295,Q135*'SEP ORIGEN'!Q135,"Excede capacidad PS")</f>
        <v>0</v>
      </c>
      <c r="R295" s="313">
        <f>IF(R135*'SEP ORIGEN'!R135&lt;='GENERADO PS locales'!$D295,R135*'SEP ORIGEN'!R135,"Excede capacidad PS")</f>
        <v>0</v>
      </c>
      <c r="S295" s="313">
        <f>IF(S135*'SEP ORIGEN'!S135&lt;='GENERADO PS locales'!$D295,S135*'SEP ORIGEN'!S135,"Excede capacidad PS")</f>
        <v>0</v>
      </c>
      <c r="T295" s="313">
        <f>IF(T135*'SEP ORIGEN'!T135&lt;='GENERADO PS locales'!$D295,T135*'SEP ORIGEN'!T135,"Excede capacidad PS")</f>
        <v>0</v>
      </c>
      <c r="U295" s="313">
        <f>IF(U135*'SEP ORIGEN'!U135&lt;='GENERADO PS locales'!$D295,U135*'SEP ORIGEN'!U135,"Excede capacidad PS")</f>
        <v>0</v>
      </c>
      <c r="V295" s="313">
        <f>IF(V135*'SEP ORIGEN'!V135&lt;='GENERADO PS locales'!$D295,V135*'SEP ORIGEN'!V135,"Excede capacidad PS")</f>
        <v>0</v>
      </c>
      <c r="W295" s="313">
        <f>IF(W135*'SEP ORIGEN'!W135&lt;='GENERADO PS locales'!$D295,W135*'SEP ORIGEN'!W135,"Excede capacidad PS")</f>
        <v>0</v>
      </c>
      <c r="X295" s="313">
        <f>IF(X135*'SEP ORIGEN'!X135&lt;='GENERADO PS locales'!$D295,X135*'SEP ORIGEN'!X135,"Excede capacidad PS")</f>
        <v>0</v>
      </c>
      <c r="Y295" s="313">
        <f>IF(Y135*'SEP ORIGEN'!Y135&lt;='GENERADO PS locales'!$D295,Y135*'SEP ORIGEN'!Y135,"Excede capacidad PS")</f>
        <v>0</v>
      </c>
      <c r="Z295" s="313">
        <f>IF(Z135*'SEP ORIGEN'!Z135&lt;='GENERADO PS locales'!$D295,Z135*'SEP ORIGEN'!Z135,"Excede capacidad PS")</f>
        <v>0</v>
      </c>
    </row>
    <row r="296" spans="1:26" ht="24.95" customHeight="1">
      <c r="A296" s="260" t="str">
        <f>+Pobl_adoptada!A136</f>
        <v>Tres Lomas</v>
      </c>
      <c r="B296" s="70">
        <f>+Pobl_adoptada!B136</f>
        <v>132</v>
      </c>
      <c r="C296" s="71" t="str">
        <f>+Pobl_adoptada!C136</f>
        <v>Tres Lomas</v>
      </c>
      <c r="D296" s="311">
        <v>0</v>
      </c>
      <c r="E296" s="278"/>
      <c r="F296" s="263"/>
      <c r="G296" s="313">
        <f>IF(G136*'SEP ORIGEN'!G136&lt;='GENERADO PS locales'!$D296,G136*'SEP ORIGEN'!G136,"Excede capacidad PS")</f>
        <v>0</v>
      </c>
      <c r="H296" s="313">
        <f>IF(H136*'SEP ORIGEN'!H136&lt;='GENERADO PS locales'!$D296,H136*'SEP ORIGEN'!H136,"Excede capacidad PS")</f>
        <v>0</v>
      </c>
      <c r="I296" s="313">
        <f>IF(I136*'SEP ORIGEN'!I136&lt;='GENERADO PS locales'!$D296,I136*'SEP ORIGEN'!I136,"Excede capacidad PS")</f>
        <v>0</v>
      </c>
      <c r="J296" s="313">
        <f>IF(J136*'SEP ORIGEN'!J136&lt;='GENERADO PS locales'!$D296,J136*'SEP ORIGEN'!J136,"Excede capacidad PS")</f>
        <v>0</v>
      </c>
      <c r="K296" s="313">
        <f>IF(K136*'SEP ORIGEN'!K136&lt;='GENERADO PS locales'!$D296,K136*'SEP ORIGEN'!K136,"Excede capacidad PS")</f>
        <v>0</v>
      </c>
      <c r="L296" s="313">
        <f>IF(L136*'SEP ORIGEN'!L136&lt;='GENERADO PS locales'!$D296,L136*'SEP ORIGEN'!L136,"Excede capacidad PS")</f>
        <v>0</v>
      </c>
      <c r="M296" s="313">
        <f>IF(M136*'SEP ORIGEN'!M136&lt;='GENERADO PS locales'!$D296,M136*'SEP ORIGEN'!M136,"Excede capacidad PS")</f>
        <v>0</v>
      </c>
      <c r="N296" s="313">
        <f>IF(N136*'SEP ORIGEN'!N136&lt;='GENERADO PS locales'!$D296,N136*'SEP ORIGEN'!N136,"Excede capacidad PS")</f>
        <v>0</v>
      </c>
      <c r="O296" s="313">
        <f>IF(O136*'SEP ORIGEN'!O136&lt;='GENERADO PS locales'!$D296,O136*'SEP ORIGEN'!O136,"Excede capacidad PS")</f>
        <v>0</v>
      </c>
      <c r="P296" s="313">
        <f>IF(P136*'SEP ORIGEN'!P136&lt;='GENERADO PS locales'!$D296,P136*'SEP ORIGEN'!P136,"Excede capacidad PS")</f>
        <v>0</v>
      </c>
      <c r="Q296" s="313">
        <f>IF(Q136*'SEP ORIGEN'!Q136&lt;='GENERADO PS locales'!$D296,Q136*'SEP ORIGEN'!Q136,"Excede capacidad PS")</f>
        <v>0</v>
      </c>
      <c r="R296" s="313">
        <f>IF(R136*'SEP ORIGEN'!R136&lt;='GENERADO PS locales'!$D296,R136*'SEP ORIGEN'!R136,"Excede capacidad PS")</f>
        <v>0</v>
      </c>
      <c r="S296" s="313">
        <f>IF(S136*'SEP ORIGEN'!S136&lt;='GENERADO PS locales'!$D296,S136*'SEP ORIGEN'!S136,"Excede capacidad PS")</f>
        <v>0</v>
      </c>
      <c r="T296" s="313">
        <f>IF(T136*'SEP ORIGEN'!T136&lt;='GENERADO PS locales'!$D296,T136*'SEP ORIGEN'!T136,"Excede capacidad PS")</f>
        <v>0</v>
      </c>
      <c r="U296" s="313">
        <f>IF(U136*'SEP ORIGEN'!U136&lt;='GENERADO PS locales'!$D296,U136*'SEP ORIGEN'!U136,"Excede capacidad PS")</f>
        <v>0</v>
      </c>
      <c r="V296" s="313">
        <f>IF(V136*'SEP ORIGEN'!V136&lt;='GENERADO PS locales'!$D296,V136*'SEP ORIGEN'!V136,"Excede capacidad PS")</f>
        <v>0</v>
      </c>
      <c r="W296" s="313">
        <f>IF(W136*'SEP ORIGEN'!W136&lt;='GENERADO PS locales'!$D296,W136*'SEP ORIGEN'!W136,"Excede capacidad PS")</f>
        <v>0</v>
      </c>
      <c r="X296" s="313">
        <f>IF(X136*'SEP ORIGEN'!X136&lt;='GENERADO PS locales'!$D296,X136*'SEP ORIGEN'!X136,"Excede capacidad PS")</f>
        <v>0</v>
      </c>
      <c r="Y296" s="313">
        <f>IF(Y136*'SEP ORIGEN'!Y136&lt;='GENERADO PS locales'!$D296,Y136*'SEP ORIGEN'!Y136,"Excede capacidad PS")</f>
        <v>0</v>
      </c>
      <c r="Z296" s="313">
        <f>IF(Z136*'SEP ORIGEN'!Z136&lt;='GENERADO PS locales'!$D296,Z136*'SEP ORIGEN'!Z136,"Excede capacidad PS")</f>
        <v>0</v>
      </c>
    </row>
    <row r="297" spans="1:26" ht="24.95" customHeight="1">
      <c r="A297" s="260" t="str">
        <f>+Pobl_adoptada!A137</f>
        <v>Villa Gesell</v>
      </c>
      <c r="B297" s="70">
        <f>+Pobl_adoptada!B137</f>
        <v>133</v>
      </c>
      <c r="C297" s="71" t="str">
        <f>+Pobl_adoptada!C137</f>
        <v>Villa Gesell</v>
      </c>
      <c r="D297" s="311">
        <v>0</v>
      </c>
      <c r="E297" s="278"/>
      <c r="F297" s="263"/>
      <c r="G297" s="313">
        <f>IF(G137*'SEP ORIGEN'!G137&lt;='GENERADO PS locales'!$D297,G137*'SEP ORIGEN'!G137,"Excede capacidad PS")</f>
        <v>0</v>
      </c>
      <c r="H297" s="313">
        <f>IF(H137*'SEP ORIGEN'!H137&lt;='GENERADO PS locales'!$D297,H137*'SEP ORIGEN'!H137,"Excede capacidad PS")</f>
        <v>0</v>
      </c>
      <c r="I297" s="313">
        <f>IF(I137*'SEP ORIGEN'!I137&lt;='GENERADO PS locales'!$D297,I137*'SEP ORIGEN'!I137,"Excede capacidad PS")</f>
        <v>0</v>
      </c>
      <c r="J297" s="313">
        <f>IF(J137*'SEP ORIGEN'!J137&lt;='GENERADO PS locales'!$D297,J137*'SEP ORIGEN'!J137,"Excede capacidad PS")</f>
        <v>0</v>
      </c>
      <c r="K297" s="313">
        <f>IF(K137*'SEP ORIGEN'!K137&lt;='GENERADO PS locales'!$D297,K137*'SEP ORIGEN'!K137,"Excede capacidad PS")</f>
        <v>0</v>
      </c>
      <c r="L297" s="313">
        <f>IF(L137*'SEP ORIGEN'!L137&lt;='GENERADO PS locales'!$D297,L137*'SEP ORIGEN'!L137,"Excede capacidad PS")</f>
        <v>0</v>
      </c>
      <c r="M297" s="313">
        <f>IF(M137*'SEP ORIGEN'!M137&lt;='GENERADO PS locales'!$D297,M137*'SEP ORIGEN'!M137,"Excede capacidad PS")</f>
        <v>0</v>
      </c>
      <c r="N297" s="313">
        <f>IF(N137*'SEP ORIGEN'!N137&lt;='GENERADO PS locales'!$D297,N137*'SEP ORIGEN'!N137,"Excede capacidad PS")</f>
        <v>0</v>
      </c>
      <c r="O297" s="313">
        <f>IF(O137*'SEP ORIGEN'!O137&lt;='GENERADO PS locales'!$D297,O137*'SEP ORIGEN'!O137,"Excede capacidad PS")</f>
        <v>0</v>
      </c>
      <c r="P297" s="313">
        <f>IF(P137*'SEP ORIGEN'!P137&lt;='GENERADO PS locales'!$D297,P137*'SEP ORIGEN'!P137,"Excede capacidad PS")</f>
        <v>0</v>
      </c>
      <c r="Q297" s="313">
        <f>IF(Q137*'SEP ORIGEN'!Q137&lt;='GENERADO PS locales'!$D297,Q137*'SEP ORIGEN'!Q137,"Excede capacidad PS")</f>
        <v>0</v>
      </c>
      <c r="R297" s="313">
        <f>IF(R137*'SEP ORIGEN'!R137&lt;='GENERADO PS locales'!$D297,R137*'SEP ORIGEN'!R137,"Excede capacidad PS")</f>
        <v>0</v>
      </c>
      <c r="S297" s="313">
        <f>IF(S137*'SEP ORIGEN'!S137&lt;='GENERADO PS locales'!$D297,S137*'SEP ORIGEN'!S137,"Excede capacidad PS")</f>
        <v>0</v>
      </c>
      <c r="T297" s="313">
        <f>IF(T137*'SEP ORIGEN'!T137&lt;='GENERADO PS locales'!$D297,T137*'SEP ORIGEN'!T137,"Excede capacidad PS")</f>
        <v>0</v>
      </c>
      <c r="U297" s="313">
        <f>IF(U137*'SEP ORIGEN'!U137&lt;='GENERADO PS locales'!$D297,U137*'SEP ORIGEN'!U137,"Excede capacidad PS")</f>
        <v>0</v>
      </c>
      <c r="V297" s="313">
        <f>IF(V137*'SEP ORIGEN'!V137&lt;='GENERADO PS locales'!$D297,V137*'SEP ORIGEN'!V137,"Excede capacidad PS")</f>
        <v>0</v>
      </c>
      <c r="W297" s="313">
        <f>IF(W137*'SEP ORIGEN'!W137&lt;='GENERADO PS locales'!$D297,W137*'SEP ORIGEN'!W137,"Excede capacidad PS")</f>
        <v>0</v>
      </c>
      <c r="X297" s="313">
        <f>IF(X137*'SEP ORIGEN'!X137&lt;='GENERADO PS locales'!$D297,X137*'SEP ORIGEN'!X137,"Excede capacidad PS")</f>
        <v>0</v>
      </c>
      <c r="Y297" s="313">
        <f>IF(Y137*'SEP ORIGEN'!Y137&lt;='GENERADO PS locales'!$D297,Y137*'SEP ORIGEN'!Y137,"Excede capacidad PS")</f>
        <v>0</v>
      </c>
      <c r="Z297" s="313">
        <f>IF(Z137*'SEP ORIGEN'!Z137&lt;='GENERADO PS locales'!$D297,Z137*'SEP ORIGEN'!Z137,"Excede capacidad PS")</f>
        <v>0</v>
      </c>
    </row>
    <row r="298" spans="1:26" ht="24.95" customHeight="1">
      <c r="A298" s="260" t="str">
        <f>+Pobl_adoptada!A138</f>
        <v>Villarino</v>
      </c>
      <c r="B298" s="70">
        <f>+Pobl_adoptada!B138</f>
        <v>134</v>
      </c>
      <c r="C298" s="71" t="str">
        <f>+Pobl_adoptada!C138</f>
        <v>Médanos</v>
      </c>
      <c r="D298" s="311">
        <v>0</v>
      </c>
      <c r="E298" s="278"/>
      <c r="F298" s="263"/>
      <c r="G298" s="313">
        <f>IF(G138*'SEP ORIGEN'!G138&lt;='GENERADO PS locales'!$D298,G138*'SEP ORIGEN'!G138,"Excede capacidad PS")</f>
        <v>0</v>
      </c>
      <c r="H298" s="313">
        <f>IF(H138*'SEP ORIGEN'!H138&lt;='GENERADO PS locales'!$D298,H138*'SEP ORIGEN'!H138,"Excede capacidad PS")</f>
        <v>0</v>
      </c>
      <c r="I298" s="313">
        <f>IF(I138*'SEP ORIGEN'!I138&lt;='GENERADO PS locales'!$D298,I138*'SEP ORIGEN'!I138,"Excede capacidad PS")</f>
        <v>0</v>
      </c>
      <c r="J298" s="313">
        <f>IF(J138*'SEP ORIGEN'!J138&lt;='GENERADO PS locales'!$D298,J138*'SEP ORIGEN'!J138,"Excede capacidad PS")</f>
        <v>0</v>
      </c>
      <c r="K298" s="313">
        <f>IF(K138*'SEP ORIGEN'!K138&lt;='GENERADO PS locales'!$D298,K138*'SEP ORIGEN'!K138,"Excede capacidad PS")</f>
        <v>0</v>
      </c>
      <c r="L298" s="313">
        <f>IF(L138*'SEP ORIGEN'!L138&lt;='GENERADO PS locales'!$D298,L138*'SEP ORIGEN'!L138,"Excede capacidad PS")</f>
        <v>0</v>
      </c>
      <c r="M298" s="313">
        <f>IF(M138*'SEP ORIGEN'!M138&lt;='GENERADO PS locales'!$D298,M138*'SEP ORIGEN'!M138,"Excede capacidad PS")</f>
        <v>0</v>
      </c>
      <c r="N298" s="313">
        <f>IF(N138*'SEP ORIGEN'!N138&lt;='GENERADO PS locales'!$D298,N138*'SEP ORIGEN'!N138,"Excede capacidad PS")</f>
        <v>0</v>
      </c>
      <c r="O298" s="313">
        <f>IF(O138*'SEP ORIGEN'!O138&lt;='GENERADO PS locales'!$D298,O138*'SEP ORIGEN'!O138,"Excede capacidad PS")</f>
        <v>0</v>
      </c>
      <c r="P298" s="313">
        <f>IF(P138*'SEP ORIGEN'!P138&lt;='GENERADO PS locales'!$D298,P138*'SEP ORIGEN'!P138,"Excede capacidad PS")</f>
        <v>0</v>
      </c>
      <c r="Q298" s="313">
        <f>IF(Q138*'SEP ORIGEN'!Q138&lt;='GENERADO PS locales'!$D298,Q138*'SEP ORIGEN'!Q138,"Excede capacidad PS")</f>
        <v>0</v>
      </c>
      <c r="R298" s="313">
        <f>IF(R138*'SEP ORIGEN'!R138&lt;='GENERADO PS locales'!$D298,R138*'SEP ORIGEN'!R138,"Excede capacidad PS")</f>
        <v>0</v>
      </c>
      <c r="S298" s="313">
        <f>IF(S138*'SEP ORIGEN'!S138&lt;='GENERADO PS locales'!$D298,S138*'SEP ORIGEN'!S138,"Excede capacidad PS")</f>
        <v>0</v>
      </c>
      <c r="T298" s="313">
        <f>IF(T138*'SEP ORIGEN'!T138&lt;='GENERADO PS locales'!$D298,T138*'SEP ORIGEN'!T138,"Excede capacidad PS")</f>
        <v>0</v>
      </c>
      <c r="U298" s="313">
        <f>IF(U138*'SEP ORIGEN'!U138&lt;='GENERADO PS locales'!$D298,U138*'SEP ORIGEN'!U138,"Excede capacidad PS")</f>
        <v>0</v>
      </c>
      <c r="V298" s="313">
        <f>IF(V138*'SEP ORIGEN'!V138&lt;='GENERADO PS locales'!$D298,V138*'SEP ORIGEN'!V138,"Excede capacidad PS")</f>
        <v>0</v>
      </c>
      <c r="W298" s="313">
        <f>IF(W138*'SEP ORIGEN'!W138&lt;='GENERADO PS locales'!$D298,W138*'SEP ORIGEN'!W138,"Excede capacidad PS")</f>
        <v>0</v>
      </c>
      <c r="X298" s="313">
        <f>IF(X138*'SEP ORIGEN'!X138&lt;='GENERADO PS locales'!$D298,X138*'SEP ORIGEN'!X138,"Excede capacidad PS")</f>
        <v>0</v>
      </c>
      <c r="Y298" s="313">
        <f>IF(Y138*'SEP ORIGEN'!Y138&lt;='GENERADO PS locales'!$D298,Y138*'SEP ORIGEN'!Y138,"Excede capacidad PS")</f>
        <v>0</v>
      </c>
      <c r="Z298" s="313">
        <f>IF(Z138*'SEP ORIGEN'!Z138&lt;='GENERADO PS locales'!$D298,Z138*'SEP ORIGEN'!Z138,"Excede capacidad PS")</f>
        <v>0</v>
      </c>
    </row>
    <row r="299" spans="1:26" ht="24.95" customHeight="1">
      <c r="A299" s="260" t="str">
        <f>+Pobl_adoptada!A139</f>
        <v>Zárate</v>
      </c>
      <c r="B299" s="70">
        <f>+Pobl_adoptada!B139</f>
        <v>135</v>
      </c>
      <c r="C299" s="71" t="str">
        <f>+Pobl_adoptada!C139</f>
        <v>Zárate</v>
      </c>
      <c r="D299" s="311">
        <v>0</v>
      </c>
      <c r="E299" s="278"/>
      <c r="F299" s="263"/>
      <c r="G299" s="313">
        <f>IF(G139*'SEP ORIGEN'!G139&lt;='GENERADO PS locales'!$D299,G139*'SEP ORIGEN'!G139,"Excede capacidad PS")</f>
        <v>0</v>
      </c>
      <c r="H299" s="313">
        <f>IF(H139*'SEP ORIGEN'!H139&lt;='GENERADO PS locales'!$D299,H139*'SEP ORIGEN'!H139,"Excede capacidad PS")</f>
        <v>0</v>
      </c>
      <c r="I299" s="313">
        <f>IF(I139*'SEP ORIGEN'!I139&lt;='GENERADO PS locales'!$D299,I139*'SEP ORIGEN'!I139,"Excede capacidad PS")</f>
        <v>0</v>
      </c>
      <c r="J299" s="313">
        <f>IF(J139*'SEP ORIGEN'!J139&lt;='GENERADO PS locales'!$D299,J139*'SEP ORIGEN'!J139,"Excede capacidad PS")</f>
        <v>0</v>
      </c>
      <c r="K299" s="313">
        <f>IF(K139*'SEP ORIGEN'!K139&lt;='GENERADO PS locales'!$D299,K139*'SEP ORIGEN'!K139,"Excede capacidad PS")</f>
        <v>0</v>
      </c>
      <c r="L299" s="313">
        <f>IF(L139*'SEP ORIGEN'!L139&lt;='GENERADO PS locales'!$D299,L139*'SEP ORIGEN'!L139,"Excede capacidad PS")</f>
        <v>0</v>
      </c>
      <c r="M299" s="313">
        <f>IF(M139*'SEP ORIGEN'!M139&lt;='GENERADO PS locales'!$D299,M139*'SEP ORIGEN'!M139,"Excede capacidad PS")</f>
        <v>0</v>
      </c>
      <c r="N299" s="313">
        <f>IF(N139*'SEP ORIGEN'!N139&lt;='GENERADO PS locales'!$D299,N139*'SEP ORIGEN'!N139,"Excede capacidad PS")</f>
        <v>0</v>
      </c>
      <c r="O299" s="313">
        <f>IF(O139*'SEP ORIGEN'!O139&lt;='GENERADO PS locales'!$D299,O139*'SEP ORIGEN'!O139,"Excede capacidad PS")</f>
        <v>0</v>
      </c>
      <c r="P299" s="313">
        <f>IF(P139*'SEP ORIGEN'!P139&lt;='GENERADO PS locales'!$D299,P139*'SEP ORIGEN'!P139,"Excede capacidad PS")</f>
        <v>0</v>
      </c>
      <c r="Q299" s="313">
        <f>IF(Q139*'SEP ORIGEN'!Q139&lt;='GENERADO PS locales'!$D299,Q139*'SEP ORIGEN'!Q139,"Excede capacidad PS")</f>
        <v>0</v>
      </c>
      <c r="R299" s="313">
        <f>IF(R139*'SEP ORIGEN'!R139&lt;='GENERADO PS locales'!$D299,R139*'SEP ORIGEN'!R139,"Excede capacidad PS")</f>
        <v>0</v>
      </c>
      <c r="S299" s="313">
        <f>IF(S139*'SEP ORIGEN'!S139&lt;='GENERADO PS locales'!$D299,S139*'SEP ORIGEN'!S139,"Excede capacidad PS")</f>
        <v>0</v>
      </c>
      <c r="T299" s="313">
        <f>IF(T139*'SEP ORIGEN'!T139&lt;='GENERADO PS locales'!$D299,T139*'SEP ORIGEN'!T139,"Excede capacidad PS")</f>
        <v>0</v>
      </c>
      <c r="U299" s="313">
        <f>IF(U139*'SEP ORIGEN'!U139&lt;='GENERADO PS locales'!$D299,U139*'SEP ORIGEN'!U139,"Excede capacidad PS")</f>
        <v>0</v>
      </c>
      <c r="V299" s="313">
        <f>IF(V139*'SEP ORIGEN'!V139&lt;='GENERADO PS locales'!$D299,V139*'SEP ORIGEN'!V139,"Excede capacidad PS")</f>
        <v>0</v>
      </c>
      <c r="W299" s="313">
        <f>IF(W139*'SEP ORIGEN'!W139&lt;='GENERADO PS locales'!$D299,W139*'SEP ORIGEN'!W139,"Excede capacidad PS")</f>
        <v>0</v>
      </c>
      <c r="X299" s="313">
        <f>IF(X139*'SEP ORIGEN'!X139&lt;='GENERADO PS locales'!$D299,X139*'SEP ORIGEN'!X139,"Excede capacidad PS")</f>
        <v>0</v>
      </c>
      <c r="Y299" s="313">
        <f>IF(Y139*'SEP ORIGEN'!Y139&lt;='GENERADO PS locales'!$D299,Y139*'SEP ORIGEN'!Y139,"Excede capacidad PS")</f>
        <v>0</v>
      </c>
      <c r="Z299" s="313">
        <f>IF(Z139*'SEP ORIGEN'!Z139&lt;='GENERADO PS locales'!$D299,Z139*'SEP ORIGEN'!Z139,"Excede capacidad PS")</f>
        <v>0</v>
      </c>
    </row>
    <row r="300" spans="1:26" ht="24.95" customHeight="1">
      <c r="A300" s="260" t="str">
        <f>+Pobl_adoptada!A140</f>
        <v>CABA</v>
      </c>
      <c r="B300" s="70">
        <f>+Pobl_adoptada!B140</f>
        <v>136</v>
      </c>
      <c r="C300" s="71" t="str">
        <f>+Pobl_adoptada!C140</f>
        <v>CABA</v>
      </c>
      <c r="D300" s="311">
        <v>0</v>
      </c>
      <c r="E300" s="278"/>
      <c r="F300" s="263"/>
      <c r="G300" s="313">
        <f>IF(G140*'SEP ORIGEN'!G140&lt;='GENERADO PS locales'!$D300,G140*'SEP ORIGEN'!G140,"Excede capacidad PS")</f>
        <v>0</v>
      </c>
      <c r="H300" s="313">
        <f>IF(H140*'SEP ORIGEN'!H140&lt;='GENERADO PS locales'!$D300,H140*'SEP ORIGEN'!H140,"Excede capacidad PS")</f>
        <v>0</v>
      </c>
      <c r="I300" s="313">
        <f>IF(I140*'SEP ORIGEN'!I140&lt;='GENERADO PS locales'!$D300,I140*'SEP ORIGEN'!I140,"Excede capacidad PS")</f>
        <v>0</v>
      </c>
      <c r="J300" s="313">
        <f>IF(J140*'SEP ORIGEN'!J140&lt;='GENERADO PS locales'!$D300,J140*'SEP ORIGEN'!J140,"Excede capacidad PS")</f>
        <v>0</v>
      </c>
      <c r="K300" s="313">
        <f>IF(K140*'SEP ORIGEN'!K140&lt;='GENERADO PS locales'!$D300,K140*'SEP ORIGEN'!K140,"Excede capacidad PS")</f>
        <v>0</v>
      </c>
      <c r="L300" s="313">
        <f>IF(L140*'SEP ORIGEN'!L140&lt;='GENERADO PS locales'!$D300,L140*'SEP ORIGEN'!L140,"Excede capacidad PS")</f>
        <v>0</v>
      </c>
      <c r="M300" s="313">
        <f>IF(M140*'SEP ORIGEN'!M140&lt;='GENERADO PS locales'!$D300,M140*'SEP ORIGEN'!M140,"Excede capacidad PS")</f>
        <v>0</v>
      </c>
      <c r="N300" s="313">
        <f>IF(N140*'SEP ORIGEN'!N140&lt;='GENERADO PS locales'!$D300,N140*'SEP ORIGEN'!N140,"Excede capacidad PS")</f>
        <v>0</v>
      </c>
      <c r="O300" s="313">
        <f>IF(O140*'SEP ORIGEN'!O140&lt;='GENERADO PS locales'!$D300,O140*'SEP ORIGEN'!O140,"Excede capacidad PS")</f>
        <v>0</v>
      </c>
      <c r="P300" s="313">
        <f>IF(P140*'SEP ORIGEN'!P140&lt;='GENERADO PS locales'!$D300,P140*'SEP ORIGEN'!P140,"Excede capacidad PS")</f>
        <v>0</v>
      </c>
      <c r="Q300" s="313">
        <f>IF(Q140*'SEP ORIGEN'!Q140&lt;='GENERADO PS locales'!$D300,Q140*'SEP ORIGEN'!Q140,"Excede capacidad PS")</f>
        <v>0</v>
      </c>
      <c r="R300" s="313">
        <f>IF(R140*'SEP ORIGEN'!R140&lt;='GENERADO PS locales'!$D300,R140*'SEP ORIGEN'!R140,"Excede capacidad PS")</f>
        <v>0</v>
      </c>
      <c r="S300" s="313">
        <f>IF(S140*'SEP ORIGEN'!S140&lt;='GENERADO PS locales'!$D300,S140*'SEP ORIGEN'!S140,"Excede capacidad PS")</f>
        <v>0</v>
      </c>
      <c r="T300" s="313">
        <f>IF(T140*'SEP ORIGEN'!T140&lt;='GENERADO PS locales'!$D300,T140*'SEP ORIGEN'!T140,"Excede capacidad PS")</f>
        <v>0</v>
      </c>
      <c r="U300" s="313">
        <f>IF(U140*'SEP ORIGEN'!U140&lt;='GENERADO PS locales'!$D300,U140*'SEP ORIGEN'!U140,"Excede capacidad PS")</f>
        <v>0</v>
      </c>
      <c r="V300" s="313">
        <f>IF(V140*'SEP ORIGEN'!V140&lt;='GENERADO PS locales'!$D300,V140*'SEP ORIGEN'!V140,"Excede capacidad PS")</f>
        <v>0</v>
      </c>
      <c r="W300" s="313">
        <f>IF(W140*'SEP ORIGEN'!W140&lt;='GENERADO PS locales'!$D300,W140*'SEP ORIGEN'!W140,"Excede capacidad PS")</f>
        <v>0</v>
      </c>
      <c r="X300" s="313">
        <f>IF(X140*'SEP ORIGEN'!X140&lt;='GENERADO PS locales'!$D300,X140*'SEP ORIGEN'!X140,"Excede capacidad PS")</f>
        <v>0</v>
      </c>
      <c r="Y300" s="313">
        <f>IF(Y140*'SEP ORIGEN'!Y140&lt;='GENERADO PS locales'!$D300,Y140*'SEP ORIGEN'!Y140,"Excede capacidad PS")</f>
        <v>0</v>
      </c>
      <c r="Z300" s="313">
        <f>IF(Z140*'SEP ORIGEN'!Z140&lt;='GENERADO PS locales'!$D300,Z140*'SEP ORIGEN'!Z140,"Excede capacidad PS")</f>
        <v>0</v>
      </c>
    </row>
    <row r="301" spans="1:26" ht="24.95" customHeight="1">
      <c r="A301" s="260" t="str">
        <f>+Pobl_adoptada!A141</f>
        <v>Adolfo Alsina</v>
      </c>
      <c r="B301" s="70">
        <f>+Pobl_adoptada!B141</f>
        <v>137</v>
      </c>
      <c r="C301" s="71" t="str">
        <f>+Pobl_adoptada!C141</f>
        <v>Rivera</v>
      </c>
      <c r="D301" s="311">
        <v>0</v>
      </c>
      <c r="E301" s="278"/>
      <c r="F301" s="263"/>
      <c r="G301" s="313">
        <f>IF(G141*'SEP ORIGEN'!G141&lt;='GENERADO PS locales'!$D301,G141*'SEP ORIGEN'!G141,"Excede capacidad PS")</f>
        <v>0</v>
      </c>
      <c r="H301" s="313">
        <f>IF(H141*'SEP ORIGEN'!H141&lt;='GENERADO PS locales'!$D301,H141*'SEP ORIGEN'!H141,"Excede capacidad PS")</f>
        <v>0</v>
      </c>
      <c r="I301" s="313">
        <f>IF(I141*'SEP ORIGEN'!I141&lt;='GENERADO PS locales'!$D301,I141*'SEP ORIGEN'!I141,"Excede capacidad PS")</f>
        <v>0</v>
      </c>
      <c r="J301" s="313">
        <f>IF(J141*'SEP ORIGEN'!J141&lt;='GENERADO PS locales'!$D301,J141*'SEP ORIGEN'!J141,"Excede capacidad PS")</f>
        <v>0</v>
      </c>
      <c r="K301" s="313">
        <f>IF(K141*'SEP ORIGEN'!K141&lt;='GENERADO PS locales'!$D301,K141*'SEP ORIGEN'!K141,"Excede capacidad PS")</f>
        <v>0</v>
      </c>
      <c r="L301" s="313">
        <f>IF(L141*'SEP ORIGEN'!L141&lt;='GENERADO PS locales'!$D301,L141*'SEP ORIGEN'!L141,"Excede capacidad PS")</f>
        <v>0</v>
      </c>
      <c r="M301" s="313">
        <f>IF(M141*'SEP ORIGEN'!M141&lt;='GENERADO PS locales'!$D301,M141*'SEP ORIGEN'!M141,"Excede capacidad PS")</f>
        <v>0</v>
      </c>
      <c r="N301" s="313">
        <f>IF(N141*'SEP ORIGEN'!N141&lt;='GENERADO PS locales'!$D301,N141*'SEP ORIGEN'!N141,"Excede capacidad PS")</f>
        <v>0</v>
      </c>
      <c r="O301" s="313">
        <f>IF(O141*'SEP ORIGEN'!O141&lt;='GENERADO PS locales'!$D301,O141*'SEP ORIGEN'!O141,"Excede capacidad PS")</f>
        <v>0</v>
      </c>
      <c r="P301" s="313">
        <f>IF(P141*'SEP ORIGEN'!P141&lt;='GENERADO PS locales'!$D301,P141*'SEP ORIGEN'!P141,"Excede capacidad PS")</f>
        <v>0</v>
      </c>
      <c r="Q301" s="313">
        <f>IF(Q141*'SEP ORIGEN'!Q141&lt;='GENERADO PS locales'!$D301,Q141*'SEP ORIGEN'!Q141,"Excede capacidad PS")</f>
        <v>0</v>
      </c>
      <c r="R301" s="313">
        <f>IF(R141*'SEP ORIGEN'!R141&lt;='GENERADO PS locales'!$D301,R141*'SEP ORIGEN'!R141,"Excede capacidad PS")</f>
        <v>0</v>
      </c>
      <c r="S301" s="313">
        <f>IF(S141*'SEP ORIGEN'!S141&lt;='GENERADO PS locales'!$D301,S141*'SEP ORIGEN'!S141,"Excede capacidad PS")</f>
        <v>0</v>
      </c>
      <c r="T301" s="313">
        <f>IF(T141*'SEP ORIGEN'!T141&lt;='GENERADO PS locales'!$D301,T141*'SEP ORIGEN'!T141,"Excede capacidad PS")</f>
        <v>0</v>
      </c>
      <c r="U301" s="313">
        <f>IF(U141*'SEP ORIGEN'!U141&lt;='GENERADO PS locales'!$D301,U141*'SEP ORIGEN'!U141,"Excede capacidad PS")</f>
        <v>0</v>
      </c>
      <c r="V301" s="313">
        <f>IF(V141*'SEP ORIGEN'!V141&lt;='GENERADO PS locales'!$D301,V141*'SEP ORIGEN'!V141,"Excede capacidad PS")</f>
        <v>0</v>
      </c>
      <c r="W301" s="313">
        <f>IF(W141*'SEP ORIGEN'!W141&lt;='GENERADO PS locales'!$D301,W141*'SEP ORIGEN'!W141,"Excede capacidad PS")</f>
        <v>0</v>
      </c>
      <c r="X301" s="313">
        <f>IF(X141*'SEP ORIGEN'!X141&lt;='GENERADO PS locales'!$D301,X141*'SEP ORIGEN'!X141,"Excede capacidad PS")</f>
        <v>0</v>
      </c>
      <c r="Y301" s="313">
        <f>IF(Y141*'SEP ORIGEN'!Y141&lt;='GENERADO PS locales'!$D301,Y141*'SEP ORIGEN'!Y141,"Excede capacidad PS")</f>
        <v>0</v>
      </c>
      <c r="Z301" s="313">
        <f>IF(Z141*'SEP ORIGEN'!Z141&lt;='GENERADO PS locales'!$D301,Z141*'SEP ORIGEN'!Z141,"Excede capacidad PS")</f>
        <v>0</v>
      </c>
    </row>
    <row r="302" spans="1:26" ht="24.95" customHeight="1">
      <c r="A302" s="260" t="str">
        <f>+Pobl_adoptada!A142</f>
        <v>Carlos Tejedor</v>
      </c>
      <c r="B302" s="70">
        <f>+Pobl_adoptada!B142</f>
        <v>138</v>
      </c>
      <c r="C302" s="71" t="str">
        <f>+Pobl_adoptada!C142</f>
        <v>Tres Algarrobos</v>
      </c>
      <c r="D302" s="311">
        <v>0</v>
      </c>
      <c r="E302" s="278"/>
      <c r="F302" s="263"/>
      <c r="G302" s="313">
        <f>IF(G142*'SEP ORIGEN'!G142&lt;='GENERADO PS locales'!$D302,G142*'SEP ORIGEN'!G142,"Excede capacidad PS")</f>
        <v>0</v>
      </c>
      <c r="H302" s="313">
        <f>IF(H142*'SEP ORIGEN'!H142&lt;='GENERADO PS locales'!$D302,H142*'SEP ORIGEN'!H142,"Excede capacidad PS")</f>
        <v>0</v>
      </c>
      <c r="I302" s="313">
        <f>IF(I142*'SEP ORIGEN'!I142&lt;='GENERADO PS locales'!$D302,I142*'SEP ORIGEN'!I142,"Excede capacidad PS")</f>
        <v>0</v>
      </c>
      <c r="J302" s="313">
        <f>IF(J142*'SEP ORIGEN'!J142&lt;='GENERADO PS locales'!$D302,J142*'SEP ORIGEN'!J142,"Excede capacidad PS")</f>
        <v>0</v>
      </c>
      <c r="K302" s="313">
        <f>IF(K142*'SEP ORIGEN'!K142&lt;='GENERADO PS locales'!$D302,K142*'SEP ORIGEN'!K142,"Excede capacidad PS")</f>
        <v>0</v>
      </c>
      <c r="L302" s="313">
        <f>IF(L142*'SEP ORIGEN'!L142&lt;='GENERADO PS locales'!$D302,L142*'SEP ORIGEN'!L142,"Excede capacidad PS")</f>
        <v>0</v>
      </c>
      <c r="M302" s="313">
        <f>IF(M142*'SEP ORIGEN'!M142&lt;='GENERADO PS locales'!$D302,M142*'SEP ORIGEN'!M142,"Excede capacidad PS")</f>
        <v>0</v>
      </c>
      <c r="N302" s="313">
        <f>IF(N142*'SEP ORIGEN'!N142&lt;='GENERADO PS locales'!$D302,N142*'SEP ORIGEN'!N142,"Excede capacidad PS")</f>
        <v>0</v>
      </c>
      <c r="O302" s="313">
        <f>IF(O142*'SEP ORIGEN'!O142&lt;='GENERADO PS locales'!$D302,O142*'SEP ORIGEN'!O142,"Excede capacidad PS")</f>
        <v>0</v>
      </c>
      <c r="P302" s="313">
        <f>IF(P142*'SEP ORIGEN'!P142&lt;='GENERADO PS locales'!$D302,P142*'SEP ORIGEN'!P142,"Excede capacidad PS")</f>
        <v>0</v>
      </c>
      <c r="Q302" s="313">
        <f>IF(Q142*'SEP ORIGEN'!Q142&lt;='GENERADO PS locales'!$D302,Q142*'SEP ORIGEN'!Q142,"Excede capacidad PS")</f>
        <v>0</v>
      </c>
      <c r="R302" s="313">
        <f>IF(R142*'SEP ORIGEN'!R142&lt;='GENERADO PS locales'!$D302,R142*'SEP ORIGEN'!R142,"Excede capacidad PS")</f>
        <v>0</v>
      </c>
      <c r="S302" s="313">
        <f>IF(S142*'SEP ORIGEN'!S142&lt;='GENERADO PS locales'!$D302,S142*'SEP ORIGEN'!S142,"Excede capacidad PS")</f>
        <v>0</v>
      </c>
      <c r="T302" s="313">
        <f>IF(T142*'SEP ORIGEN'!T142&lt;='GENERADO PS locales'!$D302,T142*'SEP ORIGEN'!T142,"Excede capacidad PS")</f>
        <v>0</v>
      </c>
      <c r="U302" s="313">
        <f>IF(U142*'SEP ORIGEN'!U142&lt;='GENERADO PS locales'!$D302,U142*'SEP ORIGEN'!U142,"Excede capacidad PS")</f>
        <v>0</v>
      </c>
      <c r="V302" s="313">
        <f>IF(V142*'SEP ORIGEN'!V142&lt;='GENERADO PS locales'!$D302,V142*'SEP ORIGEN'!V142,"Excede capacidad PS")</f>
        <v>0</v>
      </c>
      <c r="W302" s="313">
        <f>IF(W142*'SEP ORIGEN'!W142&lt;='GENERADO PS locales'!$D302,W142*'SEP ORIGEN'!W142,"Excede capacidad PS")</f>
        <v>0</v>
      </c>
      <c r="X302" s="313">
        <f>IF(X142*'SEP ORIGEN'!X142&lt;='GENERADO PS locales'!$D302,X142*'SEP ORIGEN'!X142,"Excede capacidad PS")</f>
        <v>0</v>
      </c>
      <c r="Y302" s="313">
        <f>IF(Y142*'SEP ORIGEN'!Y142&lt;='GENERADO PS locales'!$D302,Y142*'SEP ORIGEN'!Y142,"Excede capacidad PS")</f>
        <v>0</v>
      </c>
      <c r="Z302" s="313">
        <f>IF(Z142*'SEP ORIGEN'!Z142&lt;='GENERADO PS locales'!$D302,Z142*'SEP ORIGEN'!Z142,"Excede capacidad PS")</f>
        <v>0</v>
      </c>
    </row>
    <row r="303" spans="1:26" ht="24.95" customHeight="1">
      <c r="A303" s="260" t="str">
        <f>+Pobl_adoptada!A143</f>
        <v>Exaltación de la Cruz</v>
      </c>
      <c r="B303" s="70">
        <f>+Pobl_adoptada!B143</f>
        <v>139</v>
      </c>
      <c r="C303" s="71" t="str">
        <f>+Pobl_adoptada!C143</f>
        <v>Los Cardales</v>
      </c>
      <c r="D303" s="311">
        <v>0</v>
      </c>
      <c r="E303" s="278"/>
      <c r="F303" s="263"/>
      <c r="G303" s="313">
        <f>IF(G143*'SEP ORIGEN'!G143&lt;='GENERADO PS locales'!$D303,G143*'SEP ORIGEN'!G143,"Excede capacidad PS")</f>
        <v>0</v>
      </c>
      <c r="H303" s="313">
        <f>IF(H143*'SEP ORIGEN'!H143&lt;='GENERADO PS locales'!$D303,H143*'SEP ORIGEN'!H143,"Excede capacidad PS")</f>
        <v>0</v>
      </c>
      <c r="I303" s="313">
        <f>IF(I143*'SEP ORIGEN'!I143&lt;='GENERADO PS locales'!$D303,I143*'SEP ORIGEN'!I143,"Excede capacidad PS")</f>
        <v>0</v>
      </c>
      <c r="J303" s="313">
        <f>IF(J143*'SEP ORIGEN'!J143&lt;='GENERADO PS locales'!$D303,J143*'SEP ORIGEN'!J143,"Excede capacidad PS")</f>
        <v>0</v>
      </c>
      <c r="K303" s="313">
        <f>IF(K143*'SEP ORIGEN'!K143&lt;='GENERADO PS locales'!$D303,K143*'SEP ORIGEN'!K143,"Excede capacidad PS")</f>
        <v>0</v>
      </c>
      <c r="L303" s="313">
        <f>IF(L143*'SEP ORIGEN'!L143&lt;='GENERADO PS locales'!$D303,L143*'SEP ORIGEN'!L143,"Excede capacidad PS")</f>
        <v>0</v>
      </c>
      <c r="M303" s="313">
        <f>IF(M143*'SEP ORIGEN'!M143&lt;='GENERADO PS locales'!$D303,M143*'SEP ORIGEN'!M143,"Excede capacidad PS")</f>
        <v>0</v>
      </c>
      <c r="N303" s="313">
        <f>IF(N143*'SEP ORIGEN'!N143&lt;='GENERADO PS locales'!$D303,N143*'SEP ORIGEN'!N143,"Excede capacidad PS")</f>
        <v>0</v>
      </c>
      <c r="O303" s="313">
        <f>IF(O143*'SEP ORIGEN'!O143&lt;='GENERADO PS locales'!$D303,O143*'SEP ORIGEN'!O143,"Excede capacidad PS")</f>
        <v>0</v>
      </c>
      <c r="P303" s="313">
        <f>IF(P143*'SEP ORIGEN'!P143&lt;='GENERADO PS locales'!$D303,P143*'SEP ORIGEN'!P143,"Excede capacidad PS")</f>
        <v>0</v>
      </c>
      <c r="Q303" s="313">
        <f>IF(Q143*'SEP ORIGEN'!Q143&lt;='GENERADO PS locales'!$D303,Q143*'SEP ORIGEN'!Q143,"Excede capacidad PS")</f>
        <v>0</v>
      </c>
      <c r="R303" s="313">
        <f>IF(R143*'SEP ORIGEN'!R143&lt;='GENERADO PS locales'!$D303,R143*'SEP ORIGEN'!R143,"Excede capacidad PS")</f>
        <v>0</v>
      </c>
      <c r="S303" s="313">
        <f>IF(S143*'SEP ORIGEN'!S143&lt;='GENERADO PS locales'!$D303,S143*'SEP ORIGEN'!S143,"Excede capacidad PS")</f>
        <v>0</v>
      </c>
      <c r="T303" s="313">
        <f>IF(T143*'SEP ORIGEN'!T143&lt;='GENERADO PS locales'!$D303,T143*'SEP ORIGEN'!T143,"Excede capacidad PS")</f>
        <v>0</v>
      </c>
      <c r="U303" s="313">
        <f>IF(U143*'SEP ORIGEN'!U143&lt;='GENERADO PS locales'!$D303,U143*'SEP ORIGEN'!U143,"Excede capacidad PS")</f>
        <v>0</v>
      </c>
      <c r="V303" s="313">
        <f>IF(V143*'SEP ORIGEN'!V143&lt;='GENERADO PS locales'!$D303,V143*'SEP ORIGEN'!V143,"Excede capacidad PS")</f>
        <v>0</v>
      </c>
      <c r="W303" s="313">
        <f>IF(W143*'SEP ORIGEN'!W143&lt;='GENERADO PS locales'!$D303,W143*'SEP ORIGEN'!W143,"Excede capacidad PS")</f>
        <v>0</v>
      </c>
      <c r="X303" s="313">
        <f>IF(X143*'SEP ORIGEN'!X143&lt;='GENERADO PS locales'!$D303,X143*'SEP ORIGEN'!X143,"Excede capacidad PS")</f>
        <v>0</v>
      </c>
      <c r="Y303" s="313">
        <f>IF(Y143*'SEP ORIGEN'!Y143&lt;='GENERADO PS locales'!$D303,Y143*'SEP ORIGEN'!Y143,"Excede capacidad PS")</f>
        <v>0</v>
      </c>
      <c r="Z303" s="313">
        <f>IF(Z143*'SEP ORIGEN'!Z143&lt;='GENERADO PS locales'!$D303,Z143*'SEP ORIGEN'!Z143,"Excede capacidad PS")</f>
        <v>0</v>
      </c>
    </row>
    <row r="304" spans="1:26" ht="24.95" customHeight="1">
      <c r="A304" s="260" t="str">
        <f>+Pobl_adoptada!A144</f>
        <v>Exaltación de la Cruz</v>
      </c>
      <c r="B304" s="70">
        <f>+Pobl_adoptada!B144</f>
        <v>140</v>
      </c>
      <c r="C304" s="71" t="str">
        <f>+Pobl_adoptada!C144</f>
        <v>Parada Robles - Pavón</v>
      </c>
      <c r="D304" s="311">
        <v>0</v>
      </c>
      <c r="E304" s="278"/>
      <c r="F304" s="263"/>
      <c r="G304" s="313">
        <f>IF(G144*'SEP ORIGEN'!G144&lt;='GENERADO PS locales'!$D304,G144*'SEP ORIGEN'!G144,"Excede capacidad PS")</f>
        <v>0</v>
      </c>
      <c r="H304" s="313">
        <f>IF(H144*'SEP ORIGEN'!H144&lt;='GENERADO PS locales'!$D304,H144*'SEP ORIGEN'!H144,"Excede capacidad PS")</f>
        <v>0</v>
      </c>
      <c r="I304" s="313">
        <f>IF(I144*'SEP ORIGEN'!I144&lt;='GENERADO PS locales'!$D304,I144*'SEP ORIGEN'!I144,"Excede capacidad PS")</f>
        <v>0</v>
      </c>
      <c r="J304" s="313">
        <f>IF(J144*'SEP ORIGEN'!J144&lt;='GENERADO PS locales'!$D304,J144*'SEP ORIGEN'!J144,"Excede capacidad PS")</f>
        <v>0</v>
      </c>
      <c r="K304" s="313">
        <f>IF(K144*'SEP ORIGEN'!K144&lt;='GENERADO PS locales'!$D304,K144*'SEP ORIGEN'!K144,"Excede capacidad PS")</f>
        <v>0</v>
      </c>
      <c r="L304" s="313">
        <f>IF(L144*'SEP ORIGEN'!L144&lt;='GENERADO PS locales'!$D304,L144*'SEP ORIGEN'!L144,"Excede capacidad PS")</f>
        <v>0</v>
      </c>
      <c r="M304" s="313">
        <f>IF(M144*'SEP ORIGEN'!M144&lt;='GENERADO PS locales'!$D304,M144*'SEP ORIGEN'!M144,"Excede capacidad PS")</f>
        <v>0</v>
      </c>
      <c r="N304" s="313">
        <f>IF(N144*'SEP ORIGEN'!N144&lt;='GENERADO PS locales'!$D304,N144*'SEP ORIGEN'!N144,"Excede capacidad PS")</f>
        <v>0</v>
      </c>
      <c r="O304" s="313">
        <f>IF(O144*'SEP ORIGEN'!O144&lt;='GENERADO PS locales'!$D304,O144*'SEP ORIGEN'!O144,"Excede capacidad PS")</f>
        <v>0</v>
      </c>
      <c r="P304" s="313">
        <f>IF(P144*'SEP ORIGEN'!P144&lt;='GENERADO PS locales'!$D304,P144*'SEP ORIGEN'!P144,"Excede capacidad PS")</f>
        <v>0</v>
      </c>
      <c r="Q304" s="313">
        <f>IF(Q144*'SEP ORIGEN'!Q144&lt;='GENERADO PS locales'!$D304,Q144*'SEP ORIGEN'!Q144,"Excede capacidad PS")</f>
        <v>0</v>
      </c>
      <c r="R304" s="313">
        <f>IF(R144*'SEP ORIGEN'!R144&lt;='GENERADO PS locales'!$D304,R144*'SEP ORIGEN'!R144,"Excede capacidad PS")</f>
        <v>0</v>
      </c>
      <c r="S304" s="313">
        <f>IF(S144*'SEP ORIGEN'!S144&lt;='GENERADO PS locales'!$D304,S144*'SEP ORIGEN'!S144,"Excede capacidad PS")</f>
        <v>0</v>
      </c>
      <c r="T304" s="313">
        <f>IF(T144*'SEP ORIGEN'!T144&lt;='GENERADO PS locales'!$D304,T144*'SEP ORIGEN'!T144,"Excede capacidad PS")</f>
        <v>0</v>
      </c>
      <c r="U304" s="313">
        <f>IF(U144*'SEP ORIGEN'!U144&lt;='GENERADO PS locales'!$D304,U144*'SEP ORIGEN'!U144,"Excede capacidad PS")</f>
        <v>0</v>
      </c>
      <c r="V304" s="313">
        <f>IF(V144*'SEP ORIGEN'!V144&lt;='GENERADO PS locales'!$D304,V144*'SEP ORIGEN'!V144,"Excede capacidad PS")</f>
        <v>0</v>
      </c>
      <c r="W304" s="313">
        <f>IF(W144*'SEP ORIGEN'!W144&lt;='GENERADO PS locales'!$D304,W144*'SEP ORIGEN'!W144,"Excede capacidad PS")</f>
        <v>0</v>
      </c>
      <c r="X304" s="313">
        <f>IF(X144*'SEP ORIGEN'!X144&lt;='GENERADO PS locales'!$D304,X144*'SEP ORIGEN'!X144,"Excede capacidad PS")</f>
        <v>0</v>
      </c>
      <c r="Y304" s="313">
        <f>IF(Y144*'SEP ORIGEN'!Y144&lt;='GENERADO PS locales'!$D304,Y144*'SEP ORIGEN'!Y144,"Excede capacidad PS")</f>
        <v>0</v>
      </c>
      <c r="Z304" s="313">
        <f>IF(Z144*'SEP ORIGEN'!Z144&lt;='GENERADO PS locales'!$D304,Z144*'SEP ORIGEN'!Z144,"Excede capacidad PS")</f>
        <v>0</v>
      </c>
    </row>
    <row r="305" spans="1:26" ht="24.95" customHeight="1">
      <c r="A305" s="260" t="str">
        <f>+Pobl_adoptada!A145</f>
        <v>General Alvarado</v>
      </c>
      <c r="B305" s="70">
        <f>+Pobl_adoptada!B145</f>
        <v>141</v>
      </c>
      <c r="C305" s="71" t="str">
        <f>+Pobl_adoptada!C145</f>
        <v>Comandante Nicanor Otamendi</v>
      </c>
      <c r="D305" s="311">
        <v>0</v>
      </c>
      <c r="E305" s="278"/>
      <c r="F305" s="263"/>
      <c r="G305" s="313">
        <f>IF(G145*'SEP ORIGEN'!G145&lt;='GENERADO PS locales'!$D305,G145*'SEP ORIGEN'!G145,"Excede capacidad PS")</f>
        <v>0</v>
      </c>
      <c r="H305" s="313">
        <f>IF(H145*'SEP ORIGEN'!H145&lt;='GENERADO PS locales'!$D305,H145*'SEP ORIGEN'!H145,"Excede capacidad PS")</f>
        <v>0</v>
      </c>
      <c r="I305" s="313">
        <f>IF(I145*'SEP ORIGEN'!I145&lt;='GENERADO PS locales'!$D305,I145*'SEP ORIGEN'!I145,"Excede capacidad PS")</f>
        <v>0</v>
      </c>
      <c r="J305" s="313">
        <f>IF(J145*'SEP ORIGEN'!J145&lt;='GENERADO PS locales'!$D305,J145*'SEP ORIGEN'!J145,"Excede capacidad PS")</f>
        <v>0</v>
      </c>
      <c r="K305" s="313">
        <f>IF(K145*'SEP ORIGEN'!K145&lt;='GENERADO PS locales'!$D305,K145*'SEP ORIGEN'!K145,"Excede capacidad PS")</f>
        <v>0</v>
      </c>
      <c r="L305" s="313">
        <f>IF(L145*'SEP ORIGEN'!L145&lt;='GENERADO PS locales'!$D305,L145*'SEP ORIGEN'!L145,"Excede capacidad PS")</f>
        <v>0</v>
      </c>
      <c r="M305" s="313">
        <f>IF(M145*'SEP ORIGEN'!M145&lt;='GENERADO PS locales'!$D305,M145*'SEP ORIGEN'!M145,"Excede capacidad PS")</f>
        <v>0</v>
      </c>
      <c r="N305" s="313">
        <f>IF(N145*'SEP ORIGEN'!N145&lt;='GENERADO PS locales'!$D305,N145*'SEP ORIGEN'!N145,"Excede capacidad PS")</f>
        <v>0</v>
      </c>
      <c r="O305" s="313">
        <f>IF(O145*'SEP ORIGEN'!O145&lt;='GENERADO PS locales'!$D305,O145*'SEP ORIGEN'!O145,"Excede capacidad PS")</f>
        <v>0</v>
      </c>
      <c r="P305" s="313">
        <f>IF(P145*'SEP ORIGEN'!P145&lt;='GENERADO PS locales'!$D305,P145*'SEP ORIGEN'!P145,"Excede capacidad PS")</f>
        <v>0</v>
      </c>
      <c r="Q305" s="313">
        <f>IF(Q145*'SEP ORIGEN'!Q145&lt;='GENERADO PS locales'!$D305,Q145*'SEP ORIGEN'!Q145,"Excede capacidad PS")</f>
        <v>0</v>
      </c>
      <c r="R305" s="313">
        <f>IF(R145*'SEP ORIGEN'!R145&lt;='GENERADO PS locales'!$D305,R145*'SEP ORIGEN'!R145,"Excede capacidad PS")</f>
        <v>0</v>
      </c>
      <c r="S305" s="313">
        <f>IF(S145*'SEP ORIGEN'!S145&lt;='GENERADO PS locales'!$D305,S145*'SEP ORIGEN'!S145,"Excede capacidad PS")</f>
        <v>0</v>
      </c>
      <c r="T305" s="313">
        <f>IF(T145*'SEP ORIGEN'!T145&lt;='GENERADO PS locales'!$D305,T145*'SEP ORIGEN'!T145,"Excede capacidad PS")</f>
        <v>0</v>
      </c>
      <c r="U305" s="313">
        <f>IF(U145*'SEP ORIGEN'!U145&lt;='GENERADO PS locales'!$D305,U145*'SEP ORIGEN'!U145,"Excede capacidad PS")</f>
        <v>0</v>
      </c>
      <c r="V305" s="313">
        <f>IF(V145*'SEP ORIGEN'!V145&lt;='GENERADO PS locales'!$D305,V145*'SEP ORIGEN'!V145,"Excede capacidad PS")</f>
        <v>0</v>
      </c>
      <c r="W305" s="313">
        <f>IF(W145*'SEP ORIGEN'!W145&lt;='GENERADO PS locales'!$D305,W145*'SEP ORIGEN'!W145,"Excede capacidad PS")</f>
        <v>0</v>
      </c>
      <c r="X305" s="313">
        <f>IF(X145*'SEP ORIGEN'!X145&lt;='GENERADO PS locales'!$D305,X145*'SEP ORIGEN'!X145,"Excede capacidad PS")</f>
        <v>0</v>
      </c>
      <c r="Y305" s="313">
        <f>IF(Y145*'SEP ORIGEN'!Y145&lt;='GENERADO PS locales'!$D305,Y145*'SEP ORIGEN'!Y145,"Excede capacidad PS")</f>
        <v>0</v>
      </c>
      <c r="Z305" s="313">
        <f>IF(Z145*'SEP ORIGEN'!Z145&lt;='GENERADO PS locales'!$D305,Z145*'SEP ORIGEN'!Z145,"Excede capacidad PS")</f>
        <v>0</v>
      </c>
    </row>
    <row r="306" spans="1:26" ht="24.95" customHeight="1">
      <c r="A306" s="260" t="str">
        <f>+Pobl_adoptada!A146</f>
        <v>General Arenales</v>
      </c>
      <c r="B306" s="70">
        <f>+Pobl_adoptada!B146</f>
        <v>142</v>
      </c>
      <c r="C306" s="71" t="str">
        <f>+Pobl_adoptada!C146</f>
        <v>Arribeños</v>
      </c>
      <c r="D306" s="311">
        <v>0</v>
      </c>
      <c r="E306" s="278"/>
      <c r="F306" s="263"/>
      <c r="G306" s="313">
        <f>IF(G146*'SEP ORIGEN'!G146&lt;='GENERADO PS locales'!$D306,G146*'SEP ORIGEN'!G146,"Excede capacidad PS")</f>
        <v>0</v>
      </c>
      <c r="H306" s="313">
        <f>IF(H146*'SEP ORIGEN'!H146&lt;='GENERADO PS locales'!$D306,H146*'SEP ORIGEN'!H146,"Excede capacidad PS")</f>
        <v>0</v>
      </c>
      <c r="I306" s="313">
        <f>IF(I146*'SEP ORIGEN'!I146&lt;='GENERADO PS locales'!$D306,I146*'SEP ORIGEN'!I146,"Excede capacidad PS")</f>
        <v>0</v>
      </c>
      <c r="J306" s="313">
        <f>IF(J146*'SEP ORIGEN'!J146&lt;='GENERADO PS locales'!$D306,J146*'SEP ORIGEN'!J146,"Excede capacidad PS")</f>
        <v>0</v>
      </c>
      <c r="K306" s="313">
        <f>IF(K146*'SEP ORIGEN'!K146&lt;='GENERADO PS locales'!$D306,K146*'SEP ORIGEN'!K146,"Excede capacidad PS")</f>
        <v>0</v>
      </c>
      <c r="L306" s="313">
        <f>IF(L146*'SEP ORIGEN'!L146&lt;='GENERADO PS locales'!$D306,L146*'SEP ORIGEN'!L146,"Excede capacidad PS")</f>
        <v>0</v>
      </c>
      <c r="M306" s="313">
        <f>IF(M146*'SEP ORIGEN'!M146&lt;='GENERADO PS locales'!$D306,M146*'SEP ORIGEN'!M146,"Excede capacidad PS")</f>
        <v>0</v>
      </c>
      <c r="N306" s="313">
        <f>IF(N146*'SEP ORIGEN'!N146&lt;='GENERADO PS locales'!$D306,N146*'SEP ORIGEN'!N146,"Excede capacidad PS")</f>
        <v>0</v>
      </c>
      <c r="O306" s="313">
        <f>IF(O146*'SEP ORIGEN'!O146&lt;='GENERADO PS locales'!$D306,O146*'SEP ORIGEN'!O146,"Excede capacidad PS")</f>
        <v>0</v>
      </c>
      <c r="P306" s="313">
        <f>IF(P146*'SEP ORIGEN'!P146&lt;='GENERADO PS locales'!$D306,P146*'SEP ORIGEN'!P146,"Excede capacidad PS")</f>
        <v>0</v>
      </c>
      <c r="Q306" s="313">
        <f>IF(Q146*'SEP ORIGEN'!Q146&lt;='GENERADO PS locales'!$D306,Q146*'SEP ORIGEN'!Q146,"Excede capacidad PS")</f>
        <v>0</v>
      </c>
      <c r="R306" s="313">
        <f>IF(R146*'SEP ORIGEN'!R146&lt;='GENERADO PS locales'!$D306,R146*'SEP ORIGEN'!R146,"Excede capacidad PS")</f>
        <v>0</v>
      </c>
      <c r="S306" s="313">
        <f>IF(S146*'SEP ORIGEN'!S146&lt;='GENERADO PS locales'!$D306,S146*'SEP ORIGEN'!S146,"Excede capacidad PS")</f>
        <v>0</v>
      </c>
      <c r="T306" s="313">
        <f>IF(T146*'SEP ORIGEN'!T146&lt;='GENERADO PS locales'!$D306,T146*'SEP ORIGEN'!T146,"Excede capacidad PS")</f>
        <v>0</v>
      </c>
      <c r="U306" s="313">
        <f>IF(U146*'SEP ORIGEN'!U146&lt;='GENERADO PS locales'!$D306,U146*'SEP ORIGEN'!U146,"Excede capacidad PS")</f>
        <v>0</v>
      </c>
      <c r="V306" s="313">
        <f>IF(V146*'SEP ORIGEN'!V146&lt;='GENERADO PS locales'!$D306,V146*'SEP ORIGEN'!V146,"Excede capacidad PS")</f>
        <v>0</v>
      </c>
      <c r="W306" s="313">
        <f>IF(W146*'SEP ORIGEN'!W146&lt;='GENERADO PS locales'!$D306,W146*'SEP ORIGEN'!W146,"Excede capacidad PS")</f>
        <v>0</v>
      </c>
      <c r="X306" s="313">
        <f>IF(X146*'SEP ORIGEN'!X146&lt;='GENERADO PS locales'!$D306,X146*'SEP ORIGEN'!X146,"Excede capacidad PS")</f>
        <v>0</v>
      </c>
      <c r="Y306" s="313">
        <f>IF(Y146*'SEP ORIGEN'!Y146&lt;='GENERADO PS locales'!$D306,Y146*'SEP ORIGEN'!Y146,"Excede capacidad PS")</f>
        <v>0</v>
      </c>
      <c r="Z306" s="313">
        <f>IF(Z146*'SEP ORIGEN'!Z146&lt;='GENERADO PS locales'!$D306,Z146*'SEP ORIGEN'!Z146,"Excede capacidad PS")</f>
        <v>0</v>
      </c>
    </row>
    <row r="307" spans="1:26" ht="24.95" customHeight="1">
      <c r="A307" s="260" t="str">
        <f>+Pobl_adoptada!A147</f>
        <v>General Arenales</v>
      </c>
      <c r="B307" s="70">
        <f>+Pobl_adoptada!B147</f>
        <v>143</v>
      </c>
      <c r="C307" s="71" t="str">
        <f>+Pobl_adoptada!C147</f>
        <v>Ascensión</v>
      </c>
      <c r="D307" s="311">
        <v>0</v>
      </c>
      <c r="E307" s="278"/>
      <c r="F307" s="263"/>
      <c r="G307" s="313">
        <f>IF(G147*'SEP ORIGEN'!G147&lt;='GENERADO PS locales'!$D307,G147*'SEP ORIGEN'!G147,"Excede capacidad PS")</f>
        <v>0</v>
      </c>
      <c r="H307" s="313">
        <f>IF(H147*'SEP ORIGEN'!H147&lt;='GENERADO PS locales'!$D307,H147*'SEP ORIGEN'!H147,"Excede capacidad PS")</f>
        <v>0</v>
      </c>
      <c r="I307" s="313">
        <f>IF(I147*'SEP ORIGEN'!I147&lt;='GENERADO PS locales'!$D307,I147*'SEP ORIGEN'!I147,"Excede capacidad PS")</f>
        <v>0</v>
      </c>
      <c r="J307" s="313">
        <f>IF(J147*'SEP ORIGEN'!J147&lt;='GENERADO PS locales'!$D307,J147*'SEP ORIGEN'!J147,"Excede capacidad PS")</f>
        <v>0</v>
      </c>
      <c r="K307" s="313">
        <f>IF(K147*'SEP ORIGEN'!K147&lt;='GENERADO PS locales'!$D307,K147*'SEP ORIGEN'!K147,"Excede capacidad PS")</f>
        <v>0</v>
      </c>
      <c r="L307" s="313">
        <f>IF(L147*'SEP ORIGEN'!L147&lt;='GENERADO PS locales'!$D307,L147*'SEP ORIGEN'!L147,"Excede capacidad PS")</f>
        <v>0</v>
      </c>
      <c r="M307" s="313">
        <f>IF(M147*'SEP ORIGEN'!M147&lt;='GENERADO PS locales'!$D307,M147*'SEP ORIGEN'!M147,"Excede capacidad PS")</f>
        <v>0</v>
      </c>
      <c r="N307" s="313">
        <f>IF(N147*'SEP ORIGEN'!N147&lt;='GENERADO PS locales'!$D307,N147*'SEP ORIGEN'!N147,"Excede capacidad PS")</f>
        <v>0</v>
      </c>
      <c r="O307" s="313">
        <f>IF(O147*'SEP ORIGEN'!O147&lt;='GENERADO PS locales'!$D307,O147*'SEP ORIGEN'!O147,"Excede capacidad PS")</f>
        <v>0</v>
      </c>
      <c r="P307" s="313">
        <f>IF(P147*'SEP ORIGEN'!P147&lt;='GENERADO PS locales'!$D307,P147*'SEP ORIGEN'!P147,"Excede capacidad PS")</f>
        <v>0</v>
      </c>
      <c r="Q307" s="313">
        <f>IF(Q147*'SEP ORIGEN'!Q147&lt;='GENERADO PS locales'!$D307,Q147*'SEP ORIGEN'!Q147,"Excede capacidad PS")</f>
        <v>0</v>
      </c>
      <c r="R307" s="313">
        <f>IF(R147*'SEP ORIGEN'!R147&lt;='GENERADO PS locales'!$D307,R147*'SEP ORIGEN'!R147,"Excede capacidad PS")</f>
        <v>0</v>
      </c>
      <c r="S307" s="313">
        <f>IF(S147*'SEP ORIGEN'!S147&lt;='GENERADO PS locales'!$D307,S147*'SEP ORIGEN'!S147,"Excede capacidad PS")</f>
        <v>0</v>
      </c>
      <c r="T307" s="313">
        <f>IF(T147*'SEP ORIGEN'!T147&lt;='GENERADO PS locales'!$D307,T147*'SEP ORIGEN'!T147,"Excede capacidad PS")</f>
        <v>0</v>
      </c>
      <c r="U307" s="313">
        <f>IF(U147*'SEP ORIGEN'!U147&lt;='GENERADO PS locales'!$D307,U147*'SEP ORIGEN'!U147,"Excede capacidad PS")</f>
        <v>0</v>
      </c>
      <c r="V307" s="313">
        <f>IF(V147*'SEP ORIGEN'!V147&lt;='GENERADO PS locales'!$D307,V147*'SEP ORIGEN'!V147,"Excede capacidad PS")</f>
        <v>0</v>
      </c>
      <c r="W307" s="313">
        <f>IF(W147*'SEP ORIGEN'!W147&lt;='GENERADO PS locales'!$D307,W147*'SEP ORIGEN'!W147,"Excede capacidad PS")</f>
        <v>0</v>
      </c>
      <c r="X307" s="313">
        <f>IF(X147*'SEP ORIGEN'!X147&lt;='GENERADO PS locales'!$D307,X147*'SEP ORIGEN'!X147,"Excede capacidad PS")</f>
        <v>0</v>
      </c>
      <c r="Y307" s="313">
        <f>IF(Y147*'SEP ORIGEN'!Y147&lt;='GENERADO PS locales'!$D307,Y147*'SEP ORIGEN'!Y147,"Excede capacidad PS")</f>
        <v>0</v>
      </c>
      <c r="Z307" s="313">
        <f>IF(Z147*'SEP ORIGEN'!Z147&lt;='GENERADO PS locales'!$D307,Z147*'SEP ORIGEN'!Z147,"Excede capacidad PS")</f>
        <v>0</v>
      </c>
    </row>
    <row r="308" spans="1:26" ht="24.95" customHeight="1">
      <c r="A308" s="260" t="str">
        <f>+Pobl_adoptada!A148</f>
        <v>General Guido</v>
      </c>
      <c r="B308" s="70">
        <f>+Pobl_adoptada!B148</f>
        <v>144</v>
      </c>
      <c r="C308" s="71" t="str">
        <f>+Pobl_adoptada!C148</f>
        <v>Labarden</v>
      </c>
      <c r="D308" s="311">
        <v>0</v>
      </c>
      <c r="E308" s="278"/>
      <c r="F308" s="263"/>
      <c r="G308" s="313">
        <f>IF(G148*'SEP ORIGEN'!G148&lt;='GENERADO PS locales'!$D308,G148*'SEP ORIGEN'!G148,"Excede capacidad PS")</f>
        <v>0</v>
      </c>
      <c r="H308" s="313">
        <f>IF(H148*'SEP ORIGEN'!H148&lt;='GENERADO PS locales'!$D308,H148*'SEP ORIGEN'!H148,"Excede capacidad PS")</f>
        <v>0</v>
      </c>
      <c r="I308" s="313">
        <f>IF(I148*'SEP ORIGEN'!I148&lt;='GENERADO PS locales'!$D308,I148*'SEP ORIGEN'!I148,"Excede capacidad PS")</f>
        <v>0</v>
      </c>
      <c r="J308" s="313">
        <f>IF(J148*'SEP ORIGEN'!J148&lt;='GENERADO PS locales'!$D308,J148*'SEP ORIGEN'!J148,"Excede capacidad PS")</f>
        <v>0</v>
      </c>
      <c r="K308" s="313">
        <f>IF(K148*'SEP ORIGEN'!K148&lt;='GENERADO PS locales'!$D308,K148*'SEP ORIGEN'!K148,"Excede capacidad PS")</f>
        <v>0</v>
      </c>
      <c r="L308" s="313">
        <f>IF(L148*'SEP ORIGEN'!L148&lt;='GENERADO PS locales'!$D308,L148*'SEP ORIGEN'!L148,"Excede capacidad PS")</f>
        <v>0</v>
      </c>
      <c r="M308" s="313">
        <f>IF(M148*'SEP ORIGEN'!M148&lt;='GENERADO PS locales'!$D308,M148*'SEP ORIGEN'!M148,"Excede capacidad PS")</f>
        <v>0</v>
      </c>
      <c r="N308" s="313">
        <f>IF(N148*'SEP ORIGEN'!N148&lt;='GENERADO PS locales'!$D308,N148*'SEP ORIGEN'!N148,"Excede capacidad PS")</f>
        <v>0</v>
      </c>
      <c r="O308" s="313">
        <f>IF(O148*'SEP ORIGEN'!O148&lt;='GENERADO PS locales'!$D308,O148*'SEP ORIGEN'!O148,"Excede capacidad PS")</f>
        <v>0</v>
      </c>
      <c r="P308" s="313">
        <f>IF(P148*'SEP ORIGEN'!P148&lt;='GENERADO PS locales'!$D308,P148*'SEP ORIGEN'!P148,"Excede capacidad PS")</f>
        <v>0</v>
      </c>
      <c r="Q308" s="313">
        <f>IF(Q148*'SEP ORIGEN'!Q148&lt;='GENERADO PS locales'!$D308,Q148*'SEP ORIGEN'!Q148,"Excede capacidad PS")</f>
        <v>0</v>
      </c>
      <c r="R308" s="313">
        <f>IF(R148*'SEP ORIGEN'!R148&lt;='GENERADO PS locales'!$D308,R148*'SEP ORIGEN'!R148,"Excede capacidad PS")</f>
        <v>0</v>
      </c>
      <c r="S308" s="313">
        <f>IF(S148*'SEP ORIGEN'!S148&lt;='GENERADO PS locales'!$D308,S148*'SEP ORIGEN'!S148,"Excede capacidad PS")</f>
        <v>0</v>
      </c>
      <c r="T308" s="313">
        <f>IF(T148*'SEP ORIGEN'!T148&lt;='GENERADO PS locales'!$D308,T148*'SEP ORIGEN'!T148,"Excede capacidad PS")</f>
        <v>0</v>
      </c>
      <c r="U308" s="313">
        <f>IF(U148*'SEP ORIGEN'!U148&lt;='GENERADO PS locales'!$D308,U148*'SEP ORIGEN'!U148,"Excede capacidad PS")</f>
        <v>0</v>
      </c>
      <c r="V308" s="313">
        <f>IF(V148*'SEP ORIGEN'!V148&lt;='GENERADO PS locales'!$D308,V148*'SEP ORIGEN'!V148,"Excede capacidad PS")</f>
        <v>0</v>
      </c>
      <c r="W308" s="313">
        <f>IF(W148*'SEP ORIGEN'!W148&lt;='GENERADO PS locales'!$D308,W148*'SEP ORIGEN'!W148,"Excede capacidad PS")</f>
        <v>0</v>
      </c>
      <c r="X308" s="313">
        <f>IF(X148*'SEP ORIGEN'!X148&lt;='GENERADO PS locales'!$D308,X148*'SEP ORIGEN'!X148,"Excede capacidad PS")</f>
        <v>0</v>
      </c>
      <c r="Y308" s="313">
        <f>IF(Y148*'SEP ORIGEN'!Y148&lt;='GENERADO PS locales'!$D308,Y148*'SEP ORIGEN'!Y148,"Excede capacidad PS")</f>
        <v>0</v>
      </c>
      <c r="Z308" s="313">
        <f>IF(Z148*'SEP ORIGEN'!Z148&lt;='GENERADO PS locales'!$D308,Z148*'SEP ORIGEN'!Z148,"Excede capacidad PS")</f>
        <v>0</v>
      </c>
    </row>
    <row r="309" spans="1:26" ht="24.95" customHeight="1">
      <c r="A309" s="260" t="str">
        <f>+Pobl_adoptada!A149</f>
        <v>General Lavalle</v>
      </c>
      <c r="B309" s="70">
        <f>+Pobl_adoptada!B149</f>
        <v>145</v>
      </c>
      <c r="C309" s="71" t="str">
        <f>+Pobl_adoptada!C149</f>
        <v>Pavón</v>
      </c>
      <c r="D309" s="311">
        <v>0</v>
      </c>
      <c r="E309" s="278"/>
      <c r="F309" s="263"/>
      <c r="G309" s="313">
        <f>IF(G149*'SEP ORIGEN'!G149&lt;='GENERADO PS locales'!$D309,G149*'SEP ORIGEN'!G149,"Excede capacidad PS")</f>
        <v>0</v>
      </c>
      <c r="H309" s="313">
        <f>IF(H149*'SEP ORIGEN'!H149&lt;='GENERADO PS locales'!$D309,H149*'SEP ORIGEN'!H149,"Excede capacidad PS")</f>
        <v>0</v>
      </c>
      <c r="I309" s="313">
        <f>IF(I149*'SEP ORIGEN'!I149&lt;='GENERADO PS locales'!$D309,I149*'SEP ORIGEN'!I149,"Excede capacidad PS")</f>
        <v>0</v>
      </c>
      <c r="J309" s="313">
        <f>IF(J149*'SEP ORIGEN'!J149&lt;='GENERADO PS locales'!$D309,J149*'SEP ORIGEN'!J149,"Excede capacidad PS")</f>
        <v>0</v>
      </c>
      <c r="K309" s="313">
        <f>IF(K149*'SEP ORIGEN'!K149&lt;='GENERADO PS locales'!$D309,K149*'SEP ORIGEN'!K149,"Excede capacidad PS")</f>
        <v>0</v>
      </c>
      <c r="L309" s="313">
        <f>IF(L149*'SEP ORIGEN'!L149&lt;='GENERADO PS locales'!$D309,L149*'SEP ORIGEN'!L149,"Excede capacidad PS")</f>
        <v>0</v>
      </c>
      <c r="M309" s="313">
        <f>IF(M149*'SEP ORIGEN'!M149&lt;='GENERADO PS locales'!$D309,M149*'SEP ORIGEN'!M149,"Excede capacidad PS")</f>
        <v>0</v>
      </c>
      <c r="N309" s="313">
        <f>IF(N149*'SEP ORIGEN'!N149&lt;='GENERADO PS locales'!$D309,N149*'SEP ORIGEN'!N149,"Excede capacidad PS")</f>
        <v>0</v>
      </c>
      <c r="O309" s="313">
        <f>IF(O149*'SEP ORIGEN'!O149&lt;='GENERADO PS locales'!$D309,O149*'SEP ORIGEN'!O149,"Excede capacidad PS")</f>
        <v>0</v>
      </c>
      <c r="P309" s="313">
        <f>IF(P149*'SEP ORIGEN'!P149&lt;='GENERADO PS locales'!$D309,P149*'SEP ORIGEN'!P149,"Excede capacidad PS")</f>
        <v>0</v>
      </c>
      <c r="Q309" s="313">
        <f>IF(Q149*'SEP ORIGEN'!Q149&lt;='GENERADO PS locales'!$D309,Q149*'SEP ORIGEN'!Q149,"Excede capacidad PS")</f>
        <v>0</v>
      </c>
      <c r="R309" s="313">
        <f>IF(R149*'SEP ORIGEN'!R149&lt;='GENERADO PS locales'!$D309,R149*'SEP ORIGEN'!R149,"Excede capacidad PS")</f>
        <v>0</v>
      </c>
      <c r="S309" s="313">
        <f>IF(S149*'SEP ORIGEN'!S149&lt;='GENERADO PS locales'!$D309,S149*'SEP ORIGEN'!S149,"Excede capacidad PS")</f>
        <v>0</v>
      </c>
      <c r="T309" s="313">
        <f>IF(T149*'SEP ORIGEN'!T149&lt;='GENERADO PS locales'!$D309,T149*'SEP ORIGEN'!T149,"Excede capacidad PS")</f>
        <v>0</v>
      </c>
      <c r="U309" s="313">
        <f>IF(U149*'SEP ORIGEN'!U149&lt;='GENERADO PS locales'!$D309,U149*'SEP ORIGEN'!U149,"Excede capacidad PS")</f>
        <v>0</v>
      </c>
      <c r="V309" s="313">
        <f>IF(V149*'SEP ORIGEN'!V149&lt;='GENERADO PS locales'!$D309,V149*'SEP ORIGEN'!V149,"Excede capacidad PS")</f>
        <v>0</v>
      </c>
      <c r="W309" s="313">
        <f>IF(W149*'SEP ORIGEN'!W149&lt;='GENERADO PS locales'!$D309,W149*'SEP ORIGEN'!W149,"Excede capacidad PS")</f>
        <v>0</v>
      </c>
      <c r="X309" s="313">
        <f>IF(X149*'SEP ORIGEN'!X149&lt;='GENERADO PS locales'!$D309,X149*'SEP ORIGEN'!X149,"Excede capacidad PS")</f>
        <v>0</v>
      </c>
      <c r="Y309" s="313">
        <f>IF(Y149*'SEP ORIGEN'!Y149&lt;='GENERADO PS locales'!$D309,Y149*'SEP ORIGEN'!Y149,"Excede capacidad PS")</f>
        <v>0</v>
      </c>
      <c r="Z309" s="313">
        <f>IF(Z149*'SEP ORIGEN'!Z149&lt;='GENERADO PS locales'!$D309,Z149*'SEP ORIGEN'!Z149,"Excede capacidad PS")</f>
        <v>0</v>
      </c>
    </row>
    <row r="310" spans="1:26" ht="24.95" customHeight="1">
      <c r="A310" s="260" t="str">
        <f>+Pobl_adoptada!A150</f>
        <v>Guaminí</v>
      </c>
      <c r="B310" s="70">
        <f>+Pobl_adoptada!B150</f>
        <v>146</v>
      </c>
      <c r="C310" s="71" t="str">
        <f>+Pobl_adoptada!C150</f>
        <v>Casbas</v>
      </c>
      <c r="D310" s="311">
        <v>0</v>
      </c>
      <c r="E310" s="278"/>
      <c r="F310" s="263"/>
      <c r="G310" s="313">
        <f>IF(G150*'SEP ORIGEN'!G150&lt;='GENERADO PS locales'!$D310,G150*'SEP ORIGEN'!G150,"Excede capacidad PS")</f>
        <v>0</v>
      </c>
      <c r="H310" s="313">
        <f>IF(H150*'SEP ORIGEN'!H150&lt;='GENERADO PS locales'!$D310,H150*'SEP ORIGEN'!H150,"Excede capacidad PS")</f>
        <v>0</v>
      </c>
      <c r="I310" s="313">
        <f>IF(I150*'SEP ORIGEN'!I150&lt;='GENERADO PS locales'!$D310,I150*'SEP ORIGEN'!I150,"Excede capacidad PS")</f>
        <v>0</v>
      </c>
      <c r="J310" s="313">
        <f>IF(J150*'SEP ORIGEN'!J150&lt;='GENERADO PS locales'!$D310,J150*'SEP ORIGEN'!J150,"Excede capacidad PS")</f>
        <v>0</v>
      </c>
      <c r="K310" s="313">
        <f>IF(K150*'SEP ORIGEN'!K150&lt;='GENERADO PS locales'!$D310,K150*'SEP ORIGEN'!K150,"Excede capacidad PS")</f>
        <v>0</v>
      </c>
      <c r="L310" s="313">
        <f>IF(L150*'SEP ORIGEN'!L150&lt;='GENERADO PS locales'!$D310,L150*'SEP ORIGEN'!L150,"Excede capacidad PS")</f>
        <v>0</v>
      </c>
      <c r="M310" s="313">
        <f>IF(M150*'SEP ORIGEN'!M150&lt;='GENERADO PS locales'!$D310,M150*'SEP ORIGEN'!M150,"Excede capacidad PS")</f>
        <v>0</v>
      </c>
      <c r="N310" s="313">
        <f>IF(N150*'SEP ORIGEN'!N150&lt;='GENERADO PS locales'!$D310,N150*'SEP ORIGEN'!N150,"Excede capacidad PS")</f>
        <v>0</v>
      </c>
      <c r="O310" s="313">
        <f>IF(O150*'SEP ORIGEN'!O150&lt;='GENERADO PS locales'!$D310,O150*'SEP ORIGEN'!O150,"Excede capacidad PS")</f>
        <v>0</v>
      </c>
      <c r="P310" s="313">
        <f>IF(P150*'SEP ORIGEN'!P150&lt;='GENERADO PS locales'!$D310,P150*'SEP ORIGEN'!P150,"Excede capacidad PS")</f>
        <v>0</v>
      </c>
      <c r="Q310" s="313">
        <f>IF(Q150*'SEP ORIGEN'!Q150&lt;='GENERADO PS locales'!$D310,Q150*'SEP ORIGEN'!Q150,"Excede capacidad PS")</f>
        <v>0</v>
      </c>
      <c r="R310" s="313">
        <f>IF(R150*'SEP ORIGEN'!R150&lt;='GENERADO PS locales'!$D310,R150*'SEP ORIGEN'!R150,"Excede capacidad PS")</f>
        <v>0</v>
      </c>
      <c r="S310" s="313">
        <f>IF(S150*'SEP ORIGEN'!S150&lt;='GENERADO PS locales'!$D310,S150*'SEP ORIGEN'!S150,"Excede capacidad PS")</f>
        <v>0</v>
      </c>
      <c r="T310" s="313">
        <f>IF(T150*'SEP ORIGEN'!T150&lt;='GENERADO PS locales'!$D310,T150*'SEP ORIGEN'!T150,"Excede capacidad PS")</f>
        <v>0</v>
      </c>
      <c r="U310" s="313">
        <f>IF(U150*'SEP ORIGEN'!U150&lt;='GENERADO PS locales'!$D310,U150*'SEP ORIGEN'!U150,"Excede capacidad PS")</f>
        <v>0</v>
      </c>
      <c r="V310" s="313">
        <f>IF(V150*'SEP ORIGEN'!V150&lt;='GENERADO PS locales'!$D310,V150*'SEP ORIGEN'!V150,"Excede capacidad PS")</f>
        <v>0</v>
      </c>
      <c r="W310" s="313">
        <f>IF(W150*'SEP ORIGEN'!W150&lt;='GENERADO PS locales'!$D310,W150*'SEP ORIGEN'!W150,"Excede capacidad PS")</f>
        <v>0</v>
      </c>
      <c r="X310" s="313">
        <f>IF(X150*'SEP ORIGEN'!X150&lt;='GENERADO PS locales'!$D310,X150*'SEP ORIGEN'!X150,"Excede capacidad PS")</f>
        <v>0</v>
      </c>
      <c r="Y310" s="313">
        <f>IF(Y150*'SEP ORIGEN'!Y150&lt;='GENERADO PS locales'!$D310,Y150*'SEP ORIGEN'!Y150,"Excede capacidad PS")</f>
        <v>0</v>
      </c>
      <c r="Z310" s="313">
        <f>IF(Z150*'SEP ORIGEN'!Z150&lt;='GENERADO PS locales'!$D310,Z150*'SEP ORIGEN'!Z150,"Excede capacidad PS")</f>
        <v>0</v>
      </c>
    </row>
    <row r="311" spans="1:26" ht="24.95" customHeight="1">
      <c r="A311" s="260" t="str">
        <f>+Pobl_adoptada!A151</f>
        <v>La Costa</v>
      </c>
      <c r="B311" s="70">
        <f>+Pobl_adoptada!B151</f>
        <v>147</v>
      </c>
      <c r="C311" s="71" t="str">
        <f>+Pobl_adoptada!C151</f>
        <v>San Clemente del Tuyú</v>
      </c>
      <c r="D311" s="311">
        <v>0</v>
      </c>
      <c r="E311" s="278"/>
      <c r="F311" s="263"/>
      <c r="G311" s="313">
        <f>IF(G151*'SEP ORIGEN'!G151&lt;='GENERADO PS locales'!$D311,G151*'SEP ORIGEN'!G151,"Excede capacidad PS")</f>
        <v>0</v>
      </c>
      <c r="H311" s="313">
        <f>IF(H151*'SEP ORIGEN'!H151&lt;='GENERADO PS locales'!$D311,H151*'SEP ORIGEN'!H151,"Excede capacidad PS")</f>
        <v>0</v>
      </c>
      <c r="I311" s="313">
        <f>IF(I151*'SEP ORIGEN'!I151&lt;='GENERADO PS locales'!$D311,I151*'SEP ORIGEN'!I151,"Excede capacidad PS")</f>
        <v>0</v>
      </c>
      <c r="J311" s="313">
        <f>IF(J151*'SEP ORIGEN'!J151&lt;='GENERADO PS locales'!$D311,J151*'SEP ORIGEN'!J151,"Excede capacidad PS")</f>
        <v>0</v>
      </c>
      <c r="K311" s="313">
        <f>IF(K151*'SEP ORIGEN'!K151&lt;='GENERADO PS locales'!$D311,K151*'SEP ORIGEN'!K151,"Excede capacidad PS")</f>
        <v>0</v>
      </c>
      <c r="L311" s="313">
        <f>IF(L151*'SEP ORIGEN'!L151&lt;='GENERADO PS locales'!$D311,L151*'SEP ORIGEN'!L151,"Excede capacidad PS")</f>
        <v>0</v>
      </c>
      <c r="M311" s="313">
        <f>IF(M151*'SEP ORIGEN'!M151&lt;='GENERADO PS locales'!$D311,M151*'SEP ORIGEN'!M151,"Excede capacidad PS")</f>
        <v>0</v>
      </c>
      <c r="N311" s="313">
        <f>IF(N151*'SEP ORIGEN'!N151&lt;='GENERADO PS locales'!$D311,N151*'SEP ORIGEN'!N151,"Excede capacidad PS")</f>
        <v>0</v>
      </c>
      <c r="O311" s="313">
        <f>IF(O151*'SEP ORIGEN'!O151&lt;='GENERADO PS locales'!$D311,O151*'SEP ORIGEN'!O151,"Excede capacidad PS")</f>
        <v>0</v>
      </c>
      <c r="P311" s="313">
        <f>IF(P151*'SEP ORIGEN'!P151&lt;='GENERADO PS locales'!$D311,P151*'SEP ORIGEN'!P151,"Excede capacidad PS")</f>
        <v>0</v>
      </c>
      <c r="Q311" s="313">
        <f>IF(Q151*'SEP ORIGEN'!Q151&lt;='GENERADO PS locales'!$D311,Q151*'SEP ORIGEN'!Q151,"Excede capacidad PS")</f>
        <v>0</v>
      </c>
      <c r="R311" s="313">
        <f>IF(R151*'SEP ORIGEN'!R151&lt;='GENERADO PS locales'!$D311,R151*'SEP ORIGEN'!R151,"Excede capacidad PS")</f>
        <v>0</v>
      </c>
      <c r="S311" s="313">
        <f>IF(S151*'SEP ORIGEN'!S151&lt;='GENERADO PS locales'!$D311,S151*'SEP ORIGEN'!S151,"Excede capacidad PS")</f>
        <v>0</v>
      </c>
      <c r="T311" s="313">
        <f>IF(T151*'SEP ORIGEN'!T151&lt;='GENERADO PS locales'!$D311,T151*'SEP ORIGEN'!T151,"Excede capacidad PS")</f>
        <v>0</v>
      </c>
      <c r="U311" s="313">
        <f>IF(U151*'SEP ORIGEN'!U151&lt;='GENERADO PS locales'!$D311,U151*'SEP ORIGEN'!U151,"Excede capacidad PS")</f>
        <v>0</v>
      </c>
      <c r="V311" s="313">
        <f>IF(V151*'SEP ORIGEN'!V151&lt;='GENERADO PS locales'!$D311,V151*'SEP ORIGEN'!V151,"Excede capacidad PS")</f>
        <v>0</v>
      </c>
      <c r="W311" s="313">
        <f>IF(W151*'SEP ORIGEN'!W151&lt;='GENERADO PS locales'!$D311,W151*'SEP ORIGEN'!W151,"Excede capacidad PS")</f>
        <v>0</v>
      </c>
      <c r="X311" s="313">
        <f>IF(X151*'SEP ORIGEN'!X151&lt;='GENERADO PS locales'!$D311,X151*'SEP ORIGEN'!X151,"Excede capacidad PS")</f>
        <v>0</v>
      </c>
      <c r="Y311" s="313">
        <f>IF(Y151*'SEP ORIGEN'!Y151&lt;='GENERADO PS locales'!$D311,Y151*'SEP ORIGEN'!Y151,"Excede capacidad PS")</f>
        <v>0</v>
      </c>
      <c r="Z311" s="313">
        <f>IF(Z151*'SEP ORIGEN'!Z151&lt;='GENERADO PS locales'!$D311,Z151*'SEP ORIGEN'!Z151,"Excede capacidad PS")</f>
        <v>0</v>
      </c>
    </row>
    <row r="312" spans="1:26" ht="24.95" customHeight="1">
      <c r="A312" s="260" t="str">
        <f>+Pobl_adoptada!A152</f>
        <v>Leandro N. Alem</v>
      </c>
      <c r="B312" s="70">
        <f>+Pobl_adoptada!B152</f>
        <v>148</v>
      </c>
      <c r="C312" s="71" t="str">
        <f>+Pobl_adoptada!C152</f>
        <v>Juan Bautista Alberdi</v>
      </c>
      <c r="D312" s="311">
        <v>0</v>
      </c>
      <c r="E312" s="278"/>
      <c r="F312" s="263"/>
      <c r="G312" s="313">
        <f>IF(G152*'SEP ORIGEN'!G152&lt;='GENERADO PS locales'!$D312,G152*'SEP ORIGEN'!G152,"Excede capacidad PS")</f>
        <v>0</v>
      </c>
      <c r="H312" s="313">
        <f>IF(H152*'SEP ORIGEN'!H152&lt;='GENERADO PS locales'!$D312,H152*'SEP ORIGEN'!H152,"Excede capacidad PS")</f>
        <v>0</v>
      </c>
      <c r="I312" s="313">
        <f>IF(I152*'SEP ORIGEN'!I152&lt;='GENERADO PS locales'!$D312,I152*'SEP ORIGEN'!I152,"Excede capacidad PS")</f>
        <v>0</v>
      </c>
      <c r="J312" s="313">
        <f>IF(J152*'SEP ORIGEN'!J152&lt;='GENERADO PS locales'!$D312,J152*'SEP ORIGEN'!J152,"Excede capacidad PS")</f>
        <v>0</v>
      </c>
      <c r="K312" s="313">
        <f>IF(K152*'SEP ORIGEN'!K152&lt;='GENERADO PS locales'!$D312,K152*'SEP ORIGEN'!K152,"Excede capacidad PS")</f>
        <v>0</v>
      </c>
      <c r="L312" s="313">
        <f>IF(L152*'SEP ORIGEN'!L152&lt;='GENERADO PS locales'!$D312,L152*'SEP ORIGEN'!L152,"Excede capacidad PS")</f>
        <v>0</v>
      </c>
      <c r="M312" s="313">
        <f>IF(M152*'SEP ORIGEN'!M152&lt;='GENERADO PS locales'!$D312,M152*'SEP ORIGEN'!M152,"Excede capacidad PS")</f>
        <v>0</v>
      </c>
      <c r="N312" s="313">
        <f>IF(N152*'SEP ORIGEN'!N152&lt;='GENERADO PS locales'!$D312,N152*'SEP ORIGEN'!N152,"Excede capacidad PS")</f>
        <v>0</v>
      </c>
      <c r="O312" s="313">
        <f>IF(O152*'SEP ORIGEN'!O152&lt;='GENERADO PS locales'!$D312,O152*'SEP ORIGEN'!O152,"Excede capacidad PS")</f>
        <v>0</v>
      </c>
      <c r="P312" s="313">
        <f>IF(P152*'SEP ORIGEN'!P152&lt;='GENERADO PS locales'!$D312,P152*'SEP ORIGEN'!P152,"Excede capacidad PS")</f>
        <v>0</v>
      </c>
      <c r="Q312" s="313">
        <f>IF(Q152*'SEP ORIGEN'!Q152&lt;='GENERADO PS locales'!$D312,Q152*'SEP ORIGEN'!Q152,"Excede capacidad PS")</f>
        <v>0</v>
      </c>
      <c r="R312" s="313">
        <f>IF(R152*'SEP ORIGEN'!R152&lt;='GENERADO PS locales'!$D312,R152*'SEP ORIGEN'!R152,"Excede capacidad PS")</f>
        <v>0</v>
      </c>
      <c r="S312" s="313">
        <f>IF(S152*'SEP ORIGEN'!S152&lt;='GENERADO PS locales'!$D312,S152*'SEP ORIGEN'!S152,"Excede capacidad PS")</f>
        <v>0</v>
      </c>
      <c r="T312" s="313">
        <f>IF(T152*'SEP ORIGEN'!T152&lt;='GENERADO PS locales'!$D312,T152*'SEP ORIGEN'!T152,"Excede capacidad PS")</f>
        <v>0</v>
      </c>
      <c r="U312" s="313">
        <f>IF(U152*'SEP ORIGEN'!U152&lt;='GENERADO PS locales'!$D312,U152*'SEP ORIGEN'!U152,"Excede capacidad PS")</f>
        <v>0</v>
      </c>
      <c r="V312" s="313">
        <f>IF(V152*'SEP ORIGEN'!V152&lt;='GENERADO PS locales'!$D312,V152*'SEP ORIGEN'!V152,"Excede capacidad PS")</f>
        <v>0</v>
      </c>
      <c r="W312" s="313">
        <f>IF(W152*'SEP ORIGEN'!W152&lt;='GENERADO PS locales'!$D312,W152*'SEP ORIGEN'!W152,"Excede capacidad PS")</f>
        <v>0</v>
      </c>
      <c r="X312" s="313">
        <f>IF(X152*'SEP ORIGEN'!X152&lt;='GENERADO PS locales'!$D312,X152*'SEP ORIGEN'!X152,"Excede capacidad PS")</f>
        <v>0</v>
      </c>
      <c r="Y312" s="313">
        <f>IF(Y152*'SEP ORIGEN'!Y152&lt;='GENERADO PS locales'!$D312,Y152*'SEP ORIGEN'!Y152,"Excede capacidad PS")</f>
        <v>0</v>
      </c>
      <c r="Z312" s="313">
        <f>IF(Z152*'SEP ORIGEN'!Z152&lt;='GENERADO PS locales'!$D312,Z152*'SEP ORIGEN'!Z152,"Excede capacidad PS")</f>
        <v>0</v>
      </c>
    </row>
    <row r="313" spans="1:26" ht="24.95" customHeight="1">
      <c r="A313" s="260" t="str">
        <f>+Pobl_adoptada!A153</f>
        <v>Mar Chiquita</v>
      </c>
      <c r="B313" s="70">
        <f>+Pobl_adoptada!B153</f>
        <v>149</v>
      </c>
      <c r="C313" s="71" t="str">
        <f>+Pobl_adoptada!C153</f>
        <v>Santa Clara del Mar</v>
      </c>
      <c r="D313" s="311">
        <v>0</v>
      </c>
      <c r="E313" s="278"/>
      <c r="F313" s="263"/>
      <c r="G313" s="313">
        <f>IF(G153*'SEP ORIGEN'!G153&lt;='GENERADO PS locales'!$D313,G153*'SEP ORIGEN'!G153,"Excede capacidad PS")</f>
        <v>0</v>
      </c>
      <c r="H313" s="313">
        <f>IF(H153*'SEP ORIGEN'!H153&lt;='GENERADO PS locales'!$D313,H153*'SEP ORIGEN'!H153,"Excede capacidad PS")</f>
        <v>0</v>
      </c>
      <c r="I313" s="313">
        <f>IF(I153*'SEP ORIGEN'!I153&lt;='GENERADO PS locales'!$D313,I153*'SEP ORIGEN'!I153,"Excede capacidad PS")</f>
        <v>0</v>
      </c>
      <c r="J313" s="313">
        <f>IF(J153*'SEP ORIGEN'!J153&lt;='GENERADO PS locales'!$D313,J153*'SEP ORIGEN'!J153,"Excede capacidad PS")</f>
        <v>0</v>
      </c>
      <c r="K313" s="313">
        <f>IF(K153*'SEP ORIGEN'!K153&lt;='GENERADO PS locales'!$D313,K153*'SEP ORIGEN'!K153,"Excede capacidad PS")</f>
        <v>0</v>
      </c>
      <c r="L313" s="313">
        <f>IF(L153*'SEP ORIGEN'!L153&lt;='GENERADO PS locales'!$D313,L153*'SEP ORIGEN'!L153,"Excede capacidad PS")</f>
        <v>0</v>
      </c>
      <c r="M313" s="313">
        <f>IF(M153*'SEP ORIGEN'!M153&lt;='GENERADO PS locales'!$D313,M153*'SEP ORIGEN'!M153,"Excede capacidad PS")</f>
        <v>0</v>
      </c>
      <c r="N313" s="313">
        <f>IF(N153*'SEP ORIGEN'!N153&lt;='GENERADO PS locales'!$D313,N153*'SEP ORIGEN'!N153,"Excede capacidad PS")</f>
        <v>0</v>
      </c>
      <c r="O313" s="313">
        <f>IF(O153*'SEP ORIGEN'!O153&lt;='GENERADO PS locales'!$D313,O153*'SEP ORIGEN'!O153,"Excede capacidad PS")</f>
        <v>0</v>
      </c>
      <c r="P313" s="313">
        <f>IF(P153*'SEP ORIGEN'!P153&lt;='GENERADO PS locales'!$D313,P153*'SEP ORIGEN'!P153,"Excede capacidad PS")</f>
        <v>0</v>
      </c>
      <c r="Q313" s="313">
        <f>IF(Q153*'SEP ORIGEN'!Q153&lt;='GENERADO PS locales'!$D313,Q153*'SEP ORIGEN'!Q153,"Excede capacidad PS")</f>
        <v>0</v>
      </c>
      <c r="R313" s="313">
        <f>IF(R153*'SEP ORIGEN'!R153&lt;='GENERADO PS locales'!$D313,R153*'SEP ORIGEN'!R153,"Excede capacidad PS")</f>
        <v>0</v>
      </c>
      <c r="S313" s="313">
        <f>IF(S153*'SEP ORIGEN'!S153&lt;='GENERADO PS locales'!$D313,S153*'SEP ORIGEN'!S153,"Excede capacidad PS")</f>
        <v>0</v>
      </c>
      <c r="T313" s="313">
        <f>IF(T153*'SEP ORIGEN'!T153&lt;='GENERADO PS locales'!$D313,T153*'SEP ORIGEN'!T153,"Excede capacidad PS")</f>
        <v>0</v>
      </c>
      <c r="U313" s="313">
        <f>IF(U153*'SEP ORIGEN'!U153&lt;='GENERADO PS locales'!$D313,U153*'SEP ORIGEN'!U153,"Excede capacidad PS")</f>
        <v>0</v>
      </c>
      <c r="V313" s="313">
        <f>IF(V153*'SEP ORIGEN'!V153&lt;='GENERADO PS locales'!$D313,V153*'SEP ORIGEN'!V153,"Excede capacidad PS")</f>
        <v>0</v>
      </c>
      <c r="W313" s="313">
        <f>IF(W153*'SEP ORIGEN'!W153&lt;='GENERADO PS locales'!$D313,W153*'SEP ORIGEN'!W153,"Excede capacidad PS")</f>
        <v>0</v>
      </c>
      <c r="X313" s="313">
        <f>IF(X153*'SEP ORIGEN'!X153&lt;='GENERADO PS locales'!$D313,X153*'SEP ORIGEN'!X153,"Excede capacidad PS")</f>
        <v>0</v>
      </c>
      <c r="Y313" s="313">
        <f>IF(Y153*'SEP ORIGEN'!Y153&lt;='GENERADO PS locales'!$D313,Y153*'SEP ORIGEN'!Y153,"Excede capacidad PS")</f>
        <v>0</v>
      </c>
      <c r="Z313" s="313">
        <f>IF(Z153*'SEP ORIGEN'!Z153&lt;='GENERADO PS locales'!$D313,Z153*'SEP ORIGEN'!Z153,"Excede capacidad PS")</f>
        <v>0</v>
      </c>
    </row>
    <row r="314" spans="1:26" ht="24.95" customHeight="1">
      <c r="A314" s="260" t="str">
        <f>+Pobl_adoptada!A154</f>
        <v>Puán</v>
      </c>
      <c r="B314" s="70">
        <f>+Pobl_adoptada!B154</f>
        <v>150</v>
      </c>
      <c r="C314" s="71" t="str">
        <f>+Pobl_adoptada!C154</f>
        <v>Darregueira</v>
      </c>
      <c r="D314" s="311">
        <v>0</v>
      </c>
      <c r="E314" s="278"/>
      <c r="F314" s="263"/>
      <c r="G314" s="313">
        <f>IF(G154*'SEP ORIGEN'!G154&lt;='GENERADO PS locales'!$D314,G154*'SEP ORIGEN'!G154,"Excede capacidad PS")</f>
        <v>0</v>
      </c>
      <c r="H314" s="313">
        <f>IF(H154*'SEP ORIGEN'!H154&lt;='GENERADO PS locales'!$D314,H154*'SEP ORIGEN'!H154,"Excede capacidad PS")</f>
        <v>0</v>
      </c>
      <c r="I314" s="313">
        <f>IF(I154*'SEP ORIGEN'!I154&lt;='GENERADO PS locales'!$D314,I154*'SEP ORIGEN'!I154,"Excede capacidad PS")</f>
        <v>0</v>
      </c>
      <c r="J314" s="313">
        <f>IF(J154*'SEP ORIGEN'!J154&lt;='GENERADO PS locales'!$D314,J154*'SEP ORIGEN'!J154,"Excede capacidad PS")</f>
        <v>0</v>
      </c>
      <c r="K314" s="313">
        <f>IF(K154*'SEP ORIGEN'!K154&lt;='GENERADO PS locales'!$D314,K154*'SEP ORIGEN'!K154,"Excede capacidad PS")</f>
        <v>0</v>
      </c>
      <c r="L314" s="313">
        <f>IF(L154*'SEP ORIGEN'!L154&lt;='GENERADO PS locales'!$D314,L154*'SEP ORIGEN'!L154,"Excede capacidad PS")</f>
        <v>0</v>
      </c>
      <c r="M314" s="313">
        <f>IF(M154*'SEP ORIGEN'!M154&lt;='GENERADO PS locales'!$D314,M154*'SEP ORIGEN'!M154,"Excede capacidad PS")</f>
        <v>0</v>
      </c>
      <c r="N314" s="313">
        <f>IF(N154*'SEP ORIGEN'!N154&lt;='GENERADO PS locales'!$D314,N154*'SEP ORIGEN'!N154,"Excede capacidad PS")</f>
        <v>0</v>
      </c>
      <c r="O314" s="313">
        <f>IF(O154*'SEP ORIGEN'!O154&lt;='GENERADO PS locales'!$D314,O154*'SEP ORIGEN'!O154,"Excede capacidad PS")</f>
        <v>0</v>
      </c>
      <c r="P314" s="313">
        <f>IF(P154*'SEP ORIGEN'!P154&lt;='GENERADO PS locales'!$D314,P154*'SEP ORIGEN'!P154,"Excede capacidad PS")</f>
        <v>0</v>
      </c>
      <c r="Q314" s="313">
        <f>IF(Q154*'SEP ORIGEN'!Q154&lt;='GENERADO PS locales'!$D314,Q154*'SEP ORIGEN'!Q154,"Excede capacidad PS")</f>
        <v>0</v>
      </c>
      <c r="R314" s="313">
        <f>IF(R154*'SEP ORIGEN'!R154&lt;='GENERADO PS locales'!$D314,R154*'SEP ORIGEN'!R154,"Excede capacidad PS")</f>
        <v>0</v>
      </c>
      <c r="S314" s="313">
        <f>IF(S154*'SEP ORIGEN'!S154&lt;='GENERADO PS locales'!$D314,S154*'SEP ORIGEN'!S154,"Excede capacidad PS")</f>
        <v>0</v>
      </c>
      <c r="T314" s="313">
        <f>IF(T154*'SEP ORIGEN'!T154&lt;='GENERADO PS locales'!$D314,T154*'SEP ORIGEN'!T154,"Excede capacidad PS")</f>
        <v>0</v>
      </c>
      <c r="U314" s="313">
        <f>IF(U154*'SEP ORIGEN'!U154&lt;='GENERADO PS locales'!$D314,U154*'SEP ORIGEN'!U154,"Excede capacidad PS")</f>
        <v>0</v>
      </c>
      <c r="V314" s="313">
        <f>IF(V154*'SEP ORIGEN'!V154&lt;='GENERADO PS locales'!$D314,V154*'SEP ORIGEN'!V154,"Excede capacidad PS")</f>
        <v>0</v>
      </c>
      <c r="W314" s="313">
        <f>IF(W154*'SEP ORIGEN'!W154&lt;='GENERADO PS locales'!$D314,W154*'SEP ORIGEN'!W154,"Excede capacidad PS")</f>
        <v>0</v>
      </c>
      <c r="X314" s="313">
        <f>IF(X154*'SEP ORIGEN'!X154&lt;='GENERADO PS locales'!$D314,X154*'SEP ORIGEN'!X154,"Excede capacidad PS")</f>
        <v>0</v>
      </c>
      <c r="Y314" s="313">
        <f>IF(Y154*'SEP ORIGEN'!Y154&lt;='GENERADO PS locales'!$D314,Y154*'SEP ORIGEN'!Y154,"Excede capacidad PS")</f>
        <v>0</v>
      </c>
      <c r="Z314" s="313">
        <f>IF(Z154*'SEP ORIGEN'!Z154&lt;='GENERADO PS locales'!$D314,Z154*'SEP ORIGEN'!Z154,"Excede capacidad PS")</f>
        <v>0</v>
      </c>
    </row>
    <row r="315" spans="1:26" ht="24.95" customHeight="1">
      <c r="A315" s="260" t="str">
        <f>+Pobl_adoptada!A155</f>
        <v>Ramallo</v>
      </c>
      <c r="B315" s="70">
        <f>+Pobl_adoptada!B155</f>
        <v>151</v>
      </c>
      <c r="C315" s="71" t="str">
        <f>+Pobl_adoptada!C155</f>
        <v>Villa Ramallo</v>
      </c>
      <c r="D315" s="311">
        <v>0</v>
      </c>
      <c r="E315" s="278"/>
      <c r="F315" s="263"/>
      <c r="G315" s="313">
        <f>IF(G155*'SEP ORIGEN'!G155&lt;='GENERADO PS locales'!$D315,G155*'SEP ORIGEN'!G155,"Excede capacidad PS")</f>
        <v>0</v>
      </c>
      <c r="H315" s="313">
        <f>IF(H155*'SEP ORIGEN'!H155&lt;='GENERADO PS locales'!$D315,H155*'SEP ORIGEN'!H155,"Excede capacidad PS")</f>
        <v>0</v>
      </c>
      <c r="I315" s="313">
        <f>IF(I155*'SEP ORIGEN'!I155&lt;='GENERADO PS locales'!$D315,I155*'SEP ORIGEN'!I155,"Excede capacidad PS")</f>
        <v>0</v>
      </c>
      <c r="J315" s="313">
        <f>IF(J155*'SEP ORIGEN'!J155&lt;='GENERADO PS locales'!$D315,J155*'SEP ORIGEN'!J155,"Excede capacidad PS")</f>
        <v>0</v>
      </c>
      <c r="K315" s="313">
        <f>IF(K155*'SEP ORIGEN'!K155&lt;='GENERADO PS locales'!$D315,K155*'SEP ORIGEN'!K155,"Excede capacidad PS")</f>
        <v>0</v>
      </c>
      <c r="L315" s="313">
        <f>IF(L155*'SEP ORIGEN'!L155&lt;='GENERADO PS locales'!$D315,L155*'SEP ORIGEN'!L155,"Excede capacidad PS")</f>
        <v>0</v>
      </c>
      <c r="M315" s="313">
        <f>IF(M155*'SEP ORIGEN'!M155&lt;='GENERADO PS locales'!$D315,M155*'SEP ORIGEN'!M155,"Excede capacidad PS")</f>
        <v>0</v>
      </c>
      <c r="N315" s="313">
        <f>IF(N155*'SEP ORIGEN'!N155&lt;='GENERADO PS locales'!$D315,N155*'SEP ORIGEN'!N155,"Excede capacidad PS")</f>
        <v>0</v>
      </c>
      <c r="O315" s="313">
        <f>IF(O155*'SEP ORIGEN'!O155&lt;='GENERADO PS locales'!$D315,O155*'SEP ORIGEN'!O155,"Excede capacidad PS")</f>
        <v>0</v>
      </c>
      <c r="P315" s="313">
        <f>IF(P155*'SEP ORIGEN'!P155&lt;='GENERADO PS locales'!$D315,P155*'SEP ORIGEN'!P155,"Excede capacidad PS")</f>
        <v>0</v>
      </c>
      <c r="Q315" s="313">
        <f>IF(Q155*'SEP ORIGEN'!Q155&lt;='GENERADO PS locales'!$D315,Q155*'SEP ORIGEN'!Q155,"Excede capacidad PS")</f>
        <v>0</v>
      </c>
      <c r="R315" s="313">
        <f>IF(R155*'SEP ORIGEN'!R155&lt;='GENERADO PS locales'!$D315,R155*'SEP ORIGEN'!R155,"Excede capacidad PS")</f>
        <v>0</v>
      </c>
      <c r="S315" s="313">
        <f>IF(S155*'SEP ORIGEN'!S155&lt;='GENERADO PS locales'!$D315,S155*'SEP ORIGEN'!S155,"Excede capacidad PS")</f>
        <v>0</v>
      </c>
      <c r="T315" s="313">
        <f>IF(T155*'SEP ORIGEN'!T155&lt;='GENERADO PS locales'!$D315,T155*'SEP ORIGEN'!T155,"Excede capacidad PS")</f>
        <v>0</v>
      </c>
      <c r="U315" s="313">
        <f>IF(U155*'SEP ORIGEN'!U155&lt;='GENERADO PS locales'!$D315,U155*'SEP ORIGEN'!U155,"Excede capacidad PS")</f>
        <v>0</v>
      </c>
      <c r="V315" s="313">
        <f>IF(V155*'SEP ORIGEN'!V155&lt;='GENERADO PS locales'!$D315,V155*'SEP ORIGEN'!V155,"Excede capacidad PS")</f>
        <v>0</v>
      </c>
      <c r="W315" s="313">
        <f>IF(W155*'SEP ORIGEN'!W155&lt;='GENERADO PS locales'!$D315,W155*'SEP ORIGEN'!W155,"Excede capacidad PS")</f>
        <v>0</v>
      </c>
      <c r="X315" s="313">
        <f>IF(X155*'SEP ORIGEN'!X155&lt;='GENERADO PS locales'!$D315,X155*'SEP ORIGEN'!X155,"Excede capacidad PS")</f>
        <v>0</v>
      </c>
      <c r="Y315" s="313">
        <f>IF(Y155*'SEP ORIGEN'!Y155&lt;='GENERADO PS locales'!$D315,Y155*'SEP ORIGEN'!Y155,"Excede capacidad PS")</f>
        <v>0</v>
      </c>
      <c r="Z315" s="313">
        <f>IF(Z155*'SEP ORIGEN'!Z155&lt;='GENERADO PS locales'!$D315,Z155*'SEP ORIGEN'!Z155,"Excede capacidad PS")</f>
        <v>0</v>
      </c>
    </row>
    <row r="316" spans="1:26" ht="24.95" customHeight="1">
      <c r="A316" s="260" t="str">
        <f>+Pobl_adoptada!A156</f>
        <v>Tornquist</v>
      </c>
      <c r="B316" s="70">
        <f>+Pobl_adoptada!B156</f>
        <v>152</v>
      </c>
      <c r="C316" s="71" t="str">
        <f>+Pobl_adoptada!C156</f>
        <v>Sierra de la Ventana</v>
      </c>
      <c r="D316" s="311">
        <v>0</v>
      </c>
      <c r="E316" s="278"/>
      <c r="F316" s="263"/>
      <c r="G316" s="313">
        <f>IF(G156*'SEP ORIGEN'!G156&lt;='GENERADO PS locales'!$D316,G156*'SEP ORIGEN'!G156,"Excede capacidad PS")</f>
        <v>0</v>
      </c>
      <c r="H316" s="313">
        <f>IF(H156*'SEP ORIGEN'!H156&lt;='GENERADO PS locales'!$D316,H156*'SEP ORIGEN'!H156,"Excede capacidad PS")</f>
        <v>0</v>
      </c>
      <c r="I316" s="313">
        <f>IF(I156*'SEP ORIGEN'!I156&lt;='GENERADO PS locales'!$D316,I156*'SEP ORIGEN'!I156,"Excede capacidad PS")</f>
        <v>0</v>
      </c>
      <c r="J316" s="313">
        <f>IF(J156*'SEP ORIGEN'!J156&lt;='GENERADO PS locales'!$D316,J156*'SEP ORIGEN'!J156,"Excede capacidad PS")</f>
        <v>0</v>
      </c>
      <c r="K316" s="313">
        <f>IF(K156*'SEP ORIGEN'!K156&lt;='GENERADO PS locales'!$D316,K156*'SEP ORIGEN'!K156,"Excede capacidad PS")</f>
        <v>0</v>
      </c>
      <c r="L316" s="313">
        <f>IF(L156*'SEP ORIGEN'!L156&lt;='GENERADO PS locales'!$D316,L156*'SEP ORIGEN'!L156,"Excede capacidad PS")</f>
        <v>0</v>
      </c>
      <c r="M316" s="313">
        <f>IF(M156*'SEP ORIGEN'!M156&lt;='GENERADO PS locales'!$D316,M156*'SEP ORIGEN'!M156,"Excede capacidad PS")</f>
        <v>0</v>
      </c>
      <c r="N316" s="313">
        <f>IF(N156*'SEP ORIGEN'!N156&lt;='GENERADO PS locales'!$D316,N156*'SEP ORIGEN'!N156,"Excede capacidad PS")</f>
        <v>0</v>
      </c>
      <c r="O316" s="313">
        <f>IF(O156*'SEP ORIGEN'!O156&lt;='GENERADO PS locales'!$D316,O156*'SEP ORIGEN'!O156,"Excede capacidad PS")</f>
        <v>0</v>
      </c>
      <c r="P316" s="313">
        <f>IF(P156*'SEP ORIGEN'!P156&lt;='GENERADO PS locales'!$D316,P156*'SEP ORIGEN'!P156,"Excede capacidad PS")</f>
        <v>0</v>
      </c>
      <c r="Q316" s="313">
        <f>IF(Q156*'SEP ORIGEN'!Q156&lt;='GENERADO PS locales'!$D316,Q156*'SEP ORIGEN'!Q156,"Excede capacidad PS")</f>
        <v>0</v>
      </c>
      <c r="R316" s="313">
        <f>IF(R156*'SEP ORIGEN'!R156&lt;='GENERADO PS locales'!$D316,R156*'SEP ORIGEN'!R156,"Excede capacidad PS")</f>
        <v>0</v>
      </c>
      <c r="S316" s="313">
        <f>IF(S156*'SEP ORIGEN'!S156&lt;='GENERADO PS locales'!$D316,S156*'SEP ORIGEN'!S156,"Excede capacidad PS")</f>
        <v>0</v>
      </c>
      <c r="T316" s="313">
        <f>IF(T156*'SEP ORIGEN'!T156&lt;='GENERADO PS locales'!$D316,T156*'SEP ORIGEN'!T156,"Excede capacidad PS")</f>
        <v>0</v>
      </c>
      <c r="U316" s="313">
        <f>IF(U156*'SEP ORIGEN'!U156&lt;='GENERADO PS locales'!$D316,U156*'SEP ORIGEN'!U156,"Excede capacidad PS")</f>
        <v>0</v>
      </c>
      <c r="V316" s="313">
        <f>IF(V156*'SEP ORIGEN'!V156&lt;='GENERADO PS locales'!$D316,V156*'SEP ORIGEN'!V156,"Excede capacidad PS")</f>
        <v>0</v>
      </c>
      <c r="W316" s="313">
        <f>IF(W156*'SEP ORIGEN'!W156&lt;='GENERADO PS locales'!$D316,W156*'SEP ORIGEN'!W156,"Excede capacidad PS")</f>
        <v>0</v>
      </c>
      <c r="X316" s="313">
        <f>IF(X156*'SEP ORIGEN'!X156&lt;='GENERADO PS locales'!$D316,X156*'SEP ORIGEN'!X156,"Excede capacidad PS")</f>
        <v>0</v>
      </c>
      <c r="Y316" s="313">
        <f>IF(Y156*'SEP ORIGEN'!Y156&lt;='GENERADO PS locales'!$D316,Y156*'SEP ORIGEN'!Y156,"Excede capacidad PS")</f>
        <v>0</v>
      </c>
      <c r="Z316" s="313">
        <f>IF(Z156*'SEP ORIGEN'!Z156&lt;='GENERADO PS locales'!$D316,Z156*'SEP ORIGEN'!Z156,"Excede capacidad PS")</f>
        <v>0</v>
      </c>
    </row>
    <row r="317" spans="1:26" ht="24.95" customHeight="1">
      <c r="A317" s="260" t="str">
        <f>+Pobl_adoptada!A157</f>
        <v>Villarino</v>
      </c>
      <c r="B317" s="70">
        <f>+Pobl_adoptada!B157</f>
        <v>153</v>
      </c>
      <c r="C317" s="71" t="str">
        <f>+Pobl_adoptada!C157</f>
        <v>Mayor Buratovich</v>
      </c>
      <c r="D317" s="311">
        <v>0</v>
      </c>
      <c r="E317" s="278"/>
      <c r="F317" s="263"/>
      <c r="G317" s="313">
        <f>IF(G157*'SEP ORIGEN'!G157&lt;='GENERADO PS locales'!$D317,G157*'SEP ORIGEN'!G157,"Excede capacidad PS")</f>
        <v>0</v>
      </c>
      <c r="H317" s="313">
        <f>IF(H157*'SEP ORIGEN'!H157&lt;='GENERADO PS locales'!$D317,H157*'SEP ORIGEN'!H157,"Excede capacidad PS")</f>
        <v>0</v>
      </c>
      <c r="I317" s="313">
        <f>IF(I157*'SEP ORIGEN'!I157&lt;='GENERADO PS locales'!$D317,I157*'SEP ORIGEN'!I157,"Excede capacidad PS")</f>
        <v>0</v>
      </c>
      <c r="J317" s="313">
        <f>IF(J157*'SEP ORIGEN'!J157&lt;='GENERADO PS locales'!$D317,J157*'SEP ORIGEN'!J157,"Excede capacidad PS")</f>
        <v>0</v>
      </c>
      <c r="K317" s="313">
        <f>IF(K157*'SEP ORIGEN'!K157&lt;='GENERADO PS locales'!$D317,K157*'SEP ORIGEN'!K157,"Excede capacidad PS")</f>
        <v>0</v>
      </c>
      <c r="L317" s="313">
        <f>IF(L157*'SEP ORIGEN'!L157&lt;='GENERADO PS locales'!$D317,L157*'SEP ORIGEN'!L157,"Excede capacidad PS")</f>
        <v>0</v>
      </c>
      <c r="M317" s="313">
        <f>IF(M157*'SEP ORIGEN'!M157&lt;='GENERADO PS locales'!$D317,M157*'SEP ORIGEN'!M157,"Excede capacidad PS")</f>
        <v>0</v>
      </c>
      <c r="N317" s="313">
        <f>IF(N157*'SEP ORIGEN'!N157&lt;='GENERADO PS locales'!$D317,N157*'SEP ORIGEN'!N157,"Excede capacidad PS")</f>
        <v>0</v>
      </c>
      <c r="O317" s="313">
        <f>IF(O157*'SEP ORIGEN'!O157&lt;='GENERADO PS locales'!$D317,O157*'SEP ORIGEN'!O157,"Excede capacidad PS")</f>
        <v>0</v>
      </c>
      <c r="P317" s="313">
        <f>IF(P157*'SEP ORIGEN'!P157&lt;='GENERADO PS locales'!$D317,P157*'SEP ORIGEN'!P157,"Excede capacidad PS")</f>
        <v>0</v>
      </c>
      <c r="Q317" s="313">
        <f>IF(Q157*'SEP ORIGEN'!Q157&lt;='GENERADO PS locales'!$D317,Q157*'SEP ORIGEN'!Q157,"Excede capacidad PS")</f>
        <v>0</v>
      </c>
      <c r="R317" s="313">
        <f>IF(R157*'SEP ORIGEN'!R157&lt;='GENERADO PS locales'!$D317,R157*'SEP ORIGEN'!R157,"Excede capacidad PS")</f>
        <v>0</v>
      </c>
      <c r="S317" s="313">
        <f>IF(S157*'SEP ORIGEN'!S157&lt;='GENERADO PS locales'!$D317,S157*'SEP ORIGEN'!S157,"Excede capacidad PS")</f>
        <v>0</v>
      </c>
      <c r="T317" s="313">
        <f>IF(T157*'SEP ORIGEN'!T157&lt;='GENERADO PS locales'!$D317,T157*'SEP ORIGEN'!T157,"Excede capacidad PS")</f>
        <v>0</v>
      </c>
      <c r="U317" s="313">
        <f>IF(U157*'SEP ORIGEN'!U157&lt;='GENERADO PS locales'!$D317,U157*'SEP ORIGEN'!U157,"Excede capacidad PS")</f>
        <v>0</v>
      </c>
      <c r="V317" s="313">
        <f>IF(V157*'SEP ORIGEN'!V157&lt;='GENERADO PS locales'!$D317,V157*'SEP ORIGEN'!V157,"Excede capacidad PS")</f>
        <v>0</v>
      </c>
      <c r="W317" s="313">
        <f>IF(W157*'SEP ORIGEN'!W157&lt;='GENERADO PS locales'!$D317,W157*'SEP ORIGEN'!W157,"Excede capacidad PS")</f>
        <v>0</v>
      </c>
      <c r="X317" s="313">
        <f>IF(X157*'SEP ORIGEN'!X157&lt;='GENERADO PS locales'!$D317,X157*'SEP ORIGEN'!X157,"Excede capacidad PS")</f>
        <v>0</v>
      </c>
      <c r="Y317" s="313">
        <f>IF(Y157*'SEP ORIGEN'!Y157&lt;='GENERADO PS locales'!$D317,Y157*'SEP ORIGEN'!Y157,"Excede capacidad PS")</f>
        <v>0</v>
      </c>
      <c r="Z317" s="313">
        <f>IF(Z157*'SEP ORIGEN'!Z157&lt;='GENERADO PS locales'!$D317,Z157*'SEP ORIGEN'!Z157,"Excede capacidad PS")</f>
        <v>0</v>
      </c>
    </row>
    <row r="318" spans="1:26" ht="24.95" customHeight="1">
      <c r="A318" s="260" t="str">
        <f>+Pobl_adoptada!A158</f>
        <v>Villarino</v>
      </c>
      <c r="B318" s="70">
        <f>+Pobl_adoptada!B158</f>
        <v>154</v>
      </c>
      <c r="C318" s="71" t="str">
        <f>+Pobl_adoptada!C158</f>
        <v>Pedro Luro</v>
      </c>
      <c r="D318" s="311">
        <v>0</v>
      </c>
      <c r="E318" s="278"/>
      <c r="F318" s="263"/>
      <c r="G318" s="313">
        <f>IF(G158*'SEP ORIGEN'!G158&lt;='GENERADO PS locales'!$D318,G158*'SEP ORIGEN'!G158,"Excede capacidad PS")</f>
        <v>0</v>
      </c>
      <c r="H318" s="313">
        <f>IF(H158*'SEP ORIGEN'!H158&lt;='GENERADO PS locales'!$D318,H158*'SEP ORIGEN'!H158,"Excede capacidad PS")</f>
        <v>0</v>
      </c>
      <c r="I318" s="313">
        <f>IF(I158*'SEP ORIGEN'!I158&lt;='GENERADO PS locales'!$D318,I158*'SEP ORIGEN'!I158,"Excede capacidad PS")</f>
        <v>0</v>
      </c>
      <c r="J318" s="313">
        <f>IF(J158*'SEP ORIGEN'!J158&lt;='GENERADO PS locales'!$D318,J158*'SEP ORIGEN'!J158,"Excede capacidad PS")</f>
        <v>0</v>
      </c>
      <c r="K318" s="313">
        <f>IF(K158*'SEP ORIGEN'!K158&lt;='GENERADO PS locales'!$D318,K158*'SEP ORIGEN'!K158,"Excede capacidad PS")</f>
        <v>0</v>
      </c>
      <c r="L318" s="313">
        <f>IF(L158*'SEP ORIGEN'!L158&lt;='GENERADO PS locales'!$D318,L158*'SEP ORIGEN'!L158,"Excede capacidad PS")</f>
        <v>0</v>
      </c>
      <c r="M318" s="313">
        <f>IF(M158*'SEP ORIGEN'!M158&lt;='GENERADO PS locales'!$D318,M158*'SEP ORIGEN'!M158,"Excede capacidad PS")</f>
        <v>0</v>
      </c>
      <c r="N318" s="313">
        <f>IF(N158*'SEP ORIGEN'!N158&lt;='GENERADO PS locales'!$D318,N158*'SEP ORIGEN'!N158,"Excede capacidad PS")</f>
        <v>0</v>
      </c>
      <c r="O318" s="313">
        <f>IF(O158*'SEP ORIGEN'!O158&lt;='GENERADO PS locales'!$D318,O158*'SEP ORIGEN'!O158,"Excede capacidad PS")</f>
        <v>0</v>
      </c>
      <c r="P318" s="313">
        <f>IF(P158*'SEP ORIGEN'!P158&lt;='GENERADO PS locales'!$D318,P158*'SEP ORIGEN'!P158,"Excede capacidad PS")</f>
        <v>0</v>
      </c>
      <c r="Q318" s="313">
        <f>IF(Q158*'SEP ORIGEN'!Q158&lt;='GENERADO PS locales'!$D318,Q158*'SEP ORIGEN'!Q158,"Excede capacidad PS")</f>
        <v>0</v>
      </c>
      <c r="R318" s="313">
        <f>IF(R158*'SEP ORIGEN'!R158&lt;='GENERADO PS locales'!$D318,R158*'SEP ORIGEN'!R158,"Excede capacidad PS")</f>
        <v>0</v>
      </c>
      <c r="S318" s="313">
        <f>IF(S158*'SEP ORIGEN'!S158&lt;='GENERADO PS locales'!$D318,S158*'SEP ORIGEN'!S158,"Excede capacidad PS")</f>
        <v>0</v>
      </c>
      <c r="T318" s="313">
        <f>IF(T158*'SEP ORIGEN'!T158&lt;='GENERADO PS locales'!$D318,T158*'SEP ORIGEN'!T158,"Excede capacidad PS")</f>
        <v>0</v>
      </c>
      <c r="U318" s="313">
        <f>IF(U158*'SEP ORIGEN'!U158&lt;='GENERADO PS locales'!$D318,U158*'SEP ORIGEN'!U158,"Excede capacidad PS")</f>
        <v>0</v>
      </c>
      <c r="V318" s="313">
        <f>IF(V158*'SEP ORIGEN'!V158&lt;='GENERADO PS locales'!$D318,V158*'SEP ORIGEN'!V158,"Excede capacidad PS")</f>
        <v>0</v>
      </c>
      <c r="W318" s="313">
        <f>IF(W158*'SEP ORIGEN'!W158&lt;='GENERADO PS locales'!$D318,W158*'SEP ORIGEN'!W158,"Excede capacidad PS")</f>
        <v>0</v>
      </c>
      <c r="X318" s="313">
        <f>IF(X158*'SEP ORIGEN'!X158&lt;='GENERADO PS locales'!$D318,X158*'SEP ORIGEN'!X158,"Excede capacidad PS")</f>
        <v>0</v>
      </c>
      <c r="Y318" s="313">
        <f>IF(Y158*'SEP ORIGEN'!Y158&lt;='GENERADO PS locales'!$D318,Y158*'SEP ORIGEN'!Y158,"Excede capacidad PS")</f>
        <v>0</v>
      </c>
      <c r="Z318" s="313">
        <f>IF(Z158*'SEP ORIGEN'!Z158&lt;='GENERADO PS locales'!$D318,Z158*'SEP ORIGEN'!Z158,"Excede capacidad PS")</f>
        <v>0</v>
      </c>
    </row>
    <row r="319" spans="1:26" s="295" customFormat="1">
      <c r="A319" s="314"/>
      <c r="B319" s="315"/>
      <c r="C319" s="314"/>
    </row>
    <row r="320" spans="1:26" s="295" customFormat="1">
      <c r="A320" s="314"/>
      <c r="B320" s="315"/>
      <c r="C320" s="314"/>
    </row>
    <row r="321" spans="1:3" s="295" customFormat="1">
      <c r="A321" s="314"/>
      <c r="B321" s="315"/>
      <c r="C321" s="314"/>
    </row>
    <row r="322" spans="1:3" s="295" customFormat="1">
      <c r="A322" s="314"/>
      <c r="B322" s="315"/>
      <c r="C322" s="314"/>
    </row>
    <row r="323" spans="1:3" s="295" customFormat="1">
      <c r="A323" s="314"/>
      <c r="B323" s="315"/>
      <c r="C323" s="314"/>
    </row>
    <row r="324" spans="1:3" s="295" customFormat="1">
      <c r="A324" s="314"/>
      <c r="B324" s="315"/>
      <c r="C324" s="314"/>
    </row>
    <row r="325" spans="1:3" s="295" customFormat="1">
      <c r="A325" s="314"/>
      <c r="B325" s="315"/>
      <c r="C325" s="314"/>
    </row>
    <row r="326" spans="1:3" s="295" customFormat="1">
      <c r="A326" s="314"/>
      <c r="B326" s="315"/>
      <c r="C326" s="314"/>
    </row>
    <row r="327" spans="1:3" s="295" customFormat="1">
      <c r="A327" s="314"/>
      <c r="B327" s="315"/>
      <c r="C327" s="314"/>
    </row>
    <row r="328" spans="1:3" s="295" customFormat="1">
      <c r="A328" s="314"/>
      <c r="B328" s="315"/>
      <c r="C328" s="314"/>
    </row>
    <row r="329" spans="1:3" s="295" customFormat="1">
      <c r="A329" s="314"/>
      <c r="B329" s="315"/>
      <c r="C329" s="314"/>
    </row>
    <row r="330" spans="1:3" s="295" customFormat="1">
      <c r="A330" s="314"/>
      <c r="B330" s="315"/>
      <c r="C330" s="314"/>
    </row>
    <row r="331" spans="1:3" s="295" customFormat="1">
      <c r="A331" s="314"/>
      <c r="B331" s="315"/>
      <c r="C331" s="314"/>
    </row>
    <row r="332" spans="1:3" s="295" customFormat="1">
      <c r="A332" s="314"/>
      <c r="B332" s="315"/>
      <c r="C332" s="314"/>
    </row>
    <row r="333" spans="1:3" s="295" customFormat="1">
      <c r="A333" s="314"/>
      <c r="B333" s="315"/>
      <c r="C333" s="314"/>
    </row>
    <row r="334" spans="1:3" s="295" customFormat="1">
      <c r="A334" s="314"/>
      <c r="B334" s="315"/>
      <c r="C334" s="314"/>
    </row>
    <row r="335" spans="1:3" s="295" customFormat="1">
      <c r="A335" s="314"/>
      <c r="B335" s="315"/>
      <c r="C335" s="314"/>
    </row>
    <row r="336" spans="1:3" s="295" customFormat="1">
      <c r="A336" s="314"/>
      <c r="B336" s="315"/>
      <c r="C336" s="314"/>
    </row>
    <row r="337" spans="1:3" s="295" customFormat="1">
      <c r="A337" s="314"/>
      <c r="B337" s="315"/>
      <c r="C337" s="314"/>
    </row>
    <row r="338" spans="1:3" s="295" customFormat="1">
      <c r="A338" s="314"/>
      <c r="B338" s="315"/>
      <c r="C338" s="314"/>
    </row>
    <row r="339" spans="1:3" s="295" customFormat="1">
      <c r="A339" s="314"/>
      <c r="B339" s="315"/>
      <c r="C339" s="314"/>
    </row>
    <row r="340" spans="1:3" s="295" customFormat="1">
      <c r="A340" s="314"/>
      <c r="B340" s="315"/>
      <c r="C340" s="314"/>
    </row>
    <row r="341" spans="1:3" s="295" customFormat="1">
      <c r="A341" s="314"/>
      <c r="B341" s="315"/>
      <c r="C341" s="314"/>
    </row>
    <row r="342" spans="1:3" s="295" customFormat="1">
      <c r="A342" s="314"/>
      <c r="B342" s="315"/>
      <c r="C342" s="314"/>
    </row>
    <row r="343" spans="1:3" s="295" customFormat="1">
      <c r="A343" s="314"/>
      <c r="B343" s="315"/>
      <c r="C343" s="314"/>
    </row>
    <row r="344" spans="1:3" s="295" customFormat="1">
      <c r="A344" s="314"/>
      <c r="B344" s="315"/>
      <c r="C344" s="314"/>
    </row>
    <row r="345" spans="1:3" s="295" customFormat="1">
      <c r="A345" s="314"/>
      <c r="B345" s="315"/>
      <c r="C345" s="314"/>
    </row>
    <row r="346" spans="1:3" s="295" customFormat="1">
      <c r="A346" s="314"/>
      <c r="B346" s="315"/>
      <c r="C346" s="314"/>
    </row>
    <row r="347" spans="1:3" s="295" customFormat="1">
      <c r="A347" s="314"/>
      <c r="B347" s="315"/>
      <c r="C347" s="314"/>
    </row>
  </sheetData>
  <autoFilter ref="A4:Z140" xr:uid="{00000000-0009-0000-0000-000014000000}">
    <filterColumn colId="1" showButton="0"/>
  </autoFilter>
  <mergeCells count="4">
    <mergeCell ref="F2:Z2"/>
    <mergeCell ref="B4:C4"/>
    <mergeCell ref="F162:Z162"/>
    <mergeCell ref="B164:C16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>
    <tabColor theme="9" tint="-0.249977111117893"/>
  </sheetPr>
  <dimension ref="A1:Z319"/>
  <sheetViews>
    <sheetView view="pageBreakPreview" zoomScale="80" zoomScaleSheetLayoutView="80" workbookViewId="0">
      <pane xSplit="3" ySplit="4" topLeftCell="D160" activePane="bottomRight" state="frozen"/>
      <selection activeCell="F10" sqref="F10"/>
      <selection pane="topRight" activeCell="F10" sqref="F10"/>
      <selection pane="bottomLeft" activeCell="F10" sqref="F10"/>
      <selection pane="bottomRight" activeCell="G165" sqref="G16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279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24" thickBot="1">
      <c r="A2" s="316"/>
      <c r="B2" s="317"/>
      <c r="C2" s="317"/>
      <c r="E2" s="273"/>
      <c r="F2" s="964" t="s">
        <v>280</v>
      </c>
      <c r="G2" s="965"/>
      <c r="H2" s="965"/>
      <c r="I2" s="965"/>
      <c r="J2" s="965"/>
      <c r="K2" s="965"/>
      <c r="L2" s="965"/>
      <c r="M2" s="965"/>
      <c r="N2" s="965"/>
      <c r="O2" s="965"/>
      <c r="P2" s="965"/>
      <c r="Q2" s="965"/>
      <c r="R2" s="965"/>
      <c r="S2" s="965"/>
      <c r="T2" s="965"/>
      <c r="U2" s="965"/>
      <c r="V2" s="965"/>
      <c r="W2" s="965"/>
      <c r="X2" s="965"/>
      <c r="Y2" s="965"/>
      <c r="Z2" s="966"/>
    </row>
    <row r="3" spans="1:26" ht="62.25" customHeight="1" thickBot="1">
      <c r="A3" s="318"/>
      <c r="B3" s="319"/>
      <c r="C3" s="319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54.75" customHeight="1" thickBot="1">
      <c r="A4" s="253" t="s">
        <v>28</v>
      </c>
      <c r="B4" s="967" t="s">
        <v>22</v>
      </c>
      <c r="C4" s="967"/>
      <c r="D4" s="290" t="s">
        <v>281</v>
      </c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20"/>
      <c r="E5" s="277"/>
      <c r="F5" s="259"/>
      <c r="G5" s="321">
        <f>(100%-$D5)*'GENERADO PS locales'!G165</f>
        <v>0</v>
      </c>
      <c r="H5" s="321">
        <f>(100%-$D5)*'GENERADO PS locales'!H165</f>
        <v>0</v>
      </c>
      <c r="I5" s="321">
        <f>(100%-$D5)*'GENERADO PS locales'!I165</f>
        <v>0</v>
      </c>
      <c r="J5" s="321">
        <f>(100%-$D5)*'GENERADO PS locales'!J165</f>
        <v>0</v>
      </c>
      <c r="K5" s="321">
        <f>(100%-$D5)*'GENERADO PS locales'!K165</f>
        <v>0</v>
      </c>
      <c r="L5" s="321">
        <f>(100%-$D5)*'GENERADO PS locales'!L165</f>
        <v>0</v>
      </c>
      <c r="M5" s="321">
        <f>(100%-$D5)*'GENERADO PS locales'!M165</f>
        <v>0</v>
      </c>
      <c r="N5" s="321">
        <f>(100%-$D5)*'GENERADO PS locales'!N165</f>
        <v>0</v>
      </c>
      <c r="O5" s="321">
        <f>(100%-$D5)*'GENERADO PS locales'!O165</f>
        <v>0</v>
      </c>
      <c r="P5" s="321">
        <f>(100%-$D5)*'GENERADO PS locales'!P165</f>
        <v>0</v>
      </c>
      <c r="Q5" s="321">
        <f>(100%-$D5)*'GENERADO PS locales'!Q165</f>
        <v>0</v>
      </c>
      <c r="R5" s="321">
        <f>(100%-$D5)*'GENERADO PS locales'!R165</f>
        <v>0</v>
      </c>
      <c r="S5" s="321">
        <f>(100%-$D5)*'GENERADO PS locales'!S165</f>
        <v>0</v>
      </c>
      <c r="T5" s="321">
        <f>(100%-$D5)*'GENERADO PS locales'!T165</f>
        <v>0</v>
      </c>
      <c r="U5" s="321">
        <f>(100%-$D5)*'GENERADO PS locales'!U165</f>
        <v>0</v>
      </c>
      <c r="V5" s="321">
        <f>(100%-$D5)*'GENERADO PS locales'!V165</f>
        <v>0</v>
      </c>
      <c r="W5" s="321">
        <f>(100%-$D5)*'GENERADO PS locales'!W165</f>
        <v>0</v>
      </c>
      <c r="X5" s="321">
        <f>(100%-$D5)*'GENERADO PS locales'!X165</f>
        <v>0</v>
      </c>
      <c r="Y5" s="321">
        <f>(100%-$D5)*'GENERADO PS locales'!Y165</f>
        <v>0</v>
      </c>
      <c r="Z5" s="321">
        <f>(100%-$D5)*'GENERADO PS locales'!Z165</f>
        <v>0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20"/>
      <c r="E6" s="278"/>
      <c r="F6" s="263"/>
      <c r="G6" s="322">
        <f>(100%-$D6)*'GENERADO PS locales'!G166</f>
        <v>0</v>
      </c>
      <c r="H6" s="322">
        <f>(100%-$D6)*'GENERADO PS locales'!H166</f>
        <v>0</v>
      </c>
      <c r="I6" s="322">
        <f>(100%-$D6)*'GENERADO PS locales'!I166</f>
        <v>0</v>
      </c>
      <c r="J6" s="322">
        <f>(100%-$D6)*'GENERADO PS locales'!J166</f>
        <v>0</v>
      </c>
      <c r="K6" s="322">
        <f>(100%-$D6)*'GENERADO PS locales'!K166</f>
        <v>0</v>
      </c>
      <c r="L6" s="322">
        <f>(100%-$D6)*'GENERADO PS locales'!L166</f>
        <v>0</v>
      </c>
      <c r="M6" s="322">
        <f>(100%-$D6)*'GENERADO PS locales'!M166</f>
        <v>0</v>
      </c>
      <c r="N6" s="322">
        <f>(100%-$D6)*'GENERADO PS locales'!N166</f>
        <v>0</v>
      </c>
      <c r="O6" s="322">
        <f>(100%-$D6)*'GENERADO PS locales'!O166</f>
        <v>0</v>
      </c>
      <c r="P6" s="322">
        <f>(100%-$D6)*'GENERADO PS locales'!P166</f>
        <v>0</v>
      </c>
      <c r="Q6" s="322">
        <f>(100%-$D6)*'GENERADO PS locales'!Q166</f>
        <v>0</v>
      </c>
      <c r="R6" s="322">
        <f>(100%-$D6)*'GENERADO PS locales'!R166</f>
        <v>0</v>
      </c>
      <c r="S6" s="322">
        <f>(100%-$D6)*'GENERADO PS locales'!S166</f>
        <v>0</v>
      </c>
      <c r="T6" s="322">
        <f>(100%-$D6)*'GENERADO PS locales'!T166</f>
        <v>0</v>
      </c>
      <c r="U6" s="322">
        <f>(100%-$D6)*'GENERADO PS locales'!U166</f>
        <v>0</v>
      </c>
      <c r="V6" s="322">
        <f>(100%-$D6)*'GENERADO PS locales'!V166</f>
        <v>0</v>
      </c>
      <c r="W6" s="322">
        <f>(100%-$D6)*'GENERADO PS locales'!W166</f>
        <v>0</v>
      </c>
      <c r="X6" s="322">
        <f>(100%-$D6)*'GENERADO PS locales'!X166</f>
        <v>0</v>
      </c>
      <c r="Y6" s="322">
        <f>(100%-$D6)*'GENERADO PS locales'!Y166</f>
        <v>0</v>
      </c>
      <c r="Z6" s="322">
        <f>(100%-$D6)*'GENERADO PS locales'!Z166</f>
        <v>0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20"/>
      <c r="E7" s="278"/>
      <c r="F7" s="263"/>
      <c r="G7" s="322">
        <f>(100%-$D7)*'GENERADO PS locales'!G167</f>
        <v>0</v>
      </c>
      <c r="H7" s="322">
        <f>(100%-$D7)*'GENERADO PS locales'!H167</f>
        <v>0</v>
      </c>
      <c r="I7" s="322">
        <f>(100%-$D7)*'GENERADO PS locales'!I167</f>
        <v>0</v>
      </c>
      <c r="J7" s="322">
        <f>(100%-$D7)*'GENERADO PS locales'!J167</f>
        <v>0</v>
      </c>
      <c r="K7" s="322">
        <f>(100%-$D7)*'GENERADO PS locales'!K167</f>
        <v>0</v>
      </c>
      <c r="L7" s="322">
        <f>(100%-$D7)*'GENERADO PS locales'!L167</f>
        <v>0</v>
      </c>
      <c r="M7" s="322">
        <f>(100%-$D7)*'GENERADO PS locales'!M167</f>
        <v>0</v>
      </c>
      <c r="N7" s="322">
        <f>(100%-$D7)*'GENERADO PS locales'!N167</f>
        <v>0</v>
      </c>
      <c r="O7" s="322">
        <f>(100%-$D7)*'GENERADO PS locales'!O167</f>
        <v>0</v>
      </c>
      <c r="P7" s="322">
        <f>(100%-$D7)*'GENERADO PS locales'!P167</f>
        <v>0</v>
      </c>
      <c r="Q7" s="322">
        <f>(100%-$D7)*'GENERADO PS locales'!Q167</f>
        <v>0</v>
      </c>
      <c r="R7" s="322">
        <f>(100%-$D7)*'GENERADO PS locales'!R167</f>
        <v>0</v>
      </c>
      <c r="S7" s="322">
        <f>(100%-$D7)*'GENERADO PS locales'!S167</f>
        <v>0</v>
      </c>
      <c r="T7" s="322">
        <f>(100%-$D7)*'GENERADO PS locales'!T167</f>
        <v>0</v>
      </c>
      <c r="U7" s="322">
        <f>(100%-$D7)*'GENERADO PS locales'!U167</f>
        <v>0</v>
      </c>
      <c r="V7" s="322">
        <f>(100%-$D7)*'GENERADO PS locales'!V167</f>
        <v>0</v>
      </c>
      <c r="W7" s="322">
        <f>(100%-$D7)*'GENERADO PS locales'!W167</f>
        <v>0</v>
      </c>
      <c r="X7" s="322">
        <f>(100%-$D7)*'GENERADO PS locales'!X167</f>
        <v>0</v>
      </c>
      <c r="Y7" s="322">
        <f>(100%-$D7)*'GENERADO PS locales'!Y167</f>
        <v>0</v>
      </c>
      <c r="Z7" s="322">
        <f>(100%-$D7)*'GENERADO PS locales'!Z167</f>
        <v>0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20"/>
      <c r="E8" s="278"/>
      <c r="F8" s="263"/>
      <c r="G8" s="322">
        <f>(100%-$D8)*'GENERADO PS locales'!G168</f>
        <v>0</v>
      </c>
      <c r="H8" s="322">
        <f>(100%-$D8)*'GENERADO PS locales'!H168</f>
        <v>0</v>
      </c>
      <c r="I8" s="322">
        <f>(100%-$D8)*'GENERADO PS locales'!I168</f>
        <v>0</v>
      </c>
      <c r="J8" s="322">
        <f>(100%-$D8)*'GENERADO PS locales'!J168</f>
        <v>0</v>
      </c>
      <c r="K8" s="322">
        <f>(100%-$D8)*'GENERADO PS locales'!K168</f>
        <v>0</v>
      </c>
      <c r="L8" s="322">
        <f>(100%-$D8)*'GENERADO PS locales'!L168</f>
        <v>0</v>
      </c>
      <c r="M8" s="322">
        <f>(100%-$D8)*'GENERADO PS locales'!M168</f>
        <v>0</v>
      </c>
      <c r="N8" s="322">
        <f>(100%-$D8)*'GENERADO PS locales'!N168</f>
        <v>0</v>
      </c>
      <c r="O8" s="322">
        <f>(100%-$D8)*'GENERADO PS locales'!O168</f>
        <v>0</v>
      </c>
      <c r="P8" s="322">
        <f>(100%-$D8)*'GENERADO PS locales'!P168</f>
        <v>0</v>
      </c>
      <c r="Q8" s="322">
        <f>(100%-$D8)*'GENERADO PS locales'!Q168</f>
        <v>0</v>
      </c>
      <c r="R8" s="322">
        <f>(100%-$D8)*'GENERADO PS locales'!R168</f>
        <v>0</v>
      </c>
      <c r="S8" s="322">
        <f>(100%-$D8)*'GENERADO PS locales'!S168</f>
        <v>0</v>
      </c>
      <c r="T8" s="322">
        <f>(100%-$D8)*'GENERADO PS locales'!T168</f>
        <v>0</v>
      </c>
      <c r="U8" s="322">
        <f>(100%-$D8)*'GENERADO PS locales'!U168</f>
        <v>0</v>
      </c>
      <c r="V8" s="322">
        <f>(100%-$D8)*'GENERADO PS locales'!V168</f>
        <v>0</v>
      </c>
      <c r="W8" s="322">
        <f>(100%-$D8)*'GENERADO PS locales'!W168</f>
        <v>0</v>
      </c>
      <c r="X8" s="322">
        <f>(100%-$D8)*'GENERADO PS locales'!X168</f>
        <v>0</v>
      </c>
      <c r="Y8" s="322">
        <f>(100%-$D8)*'GENERADO PS locales'!Y168</f>
        <v>0</v>
      </c>
      <c r="Z8" s="322">
        <f>(100%-$D8)*'GENERADO PS locales'!Z168</f>
        <v>0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20"/>
      <c r="E9" s="278"/>
      <c r="F9" s="263"/>
      <c r="G9" s="322">
        <f>(100%-$D9)*'GENERADO PS locales'!G169</f>
        <v>0</v>
      </c>
      <c r="H9" s="322">
        <f>(100%-$D9)*'GENERADO PS locales'!H169</f>
        <v>0</v>
      </c>
      <c r="I9" s="322">
        <f>(100%-$D9)*'GENERADO PS locales'!I169</f>
        <v>0</v>
      </c>
      <c r="J9" s="322">
        <f>(100%-$D9)*'GENERADO PS locales'!J169</f>
        <v>0</v>
      </c>
      <c r="K9" s="322">
        <f>(100%-$D9)*'GENERADO PS locales'!K169</f>
        <v>0</v>
      </c>
      <c r="L9" s="322">
        <f>(100%-$D9)*'GENERADO PS locales'!L169</f>
        <v>0</v>
      </c>
      <c r="M9" s="322">
        <f>(100%-$D9)*'GENERADO PS locales'!M169</f>
        <v>0</v>
      </c>
      <c r="N9" s="322">
        <f>(100%-$D9)*'GENERADO PS locales'!N169</f>
        <v>0</v>
      </c>
      <c r="O9" s="322">
        <f>(100%-$D9)*'GENERADO PS locales'!O169</f>
        <v>0</v>
      </c>
      <c r="P9" s="322">
        <f>(100%-$D9)*'GENERADO PS locales'!P169</f>
        <v>0</v>
      </c>
      <c r="Q9" s="322">
        <f>(100%-$D9)*'GENERADO PS locales'!Q169</f>
        <v>0</v>
      </c>
      <c r="R9" s="322">
        <f>(100%-$D9)*'GENERADO PS locales'!R169</f>
        <v>0</v>
      </c>
      <c r="S9" s="322">
        <f>(100%-$D9)*'GENERADO PS locales'!S169</f>
        <v>0</v>
      </c>
      <c r="T9" s="322">
        <f>(100%-$D9)*'GENERADO PS locales'!T169</f>
        <v>0</v>
      </c>
      <c r="U9" s="322">
        <f>(100%-$D9)*'GENERADO PS locales'!U169</f>
        <v>0</v>
      </c>
      <c r="V9" s="322">
        <f>(100%-$D9)*'GENERADO PS locales'!V169</f>
        <v>0</v>
      </c>
      <c r="W9" s="322">
        <f>(100%-$D9)*'GENERADO PS locales'!W169</f>
        <v>0</v>
      </c>
      <c r="X9" s="322">
        <f>(100%-$D9)*'GENERADO PS locales'!X169</f>
        <v>0</v>
      </c>
      <c r="Y9" s="322">
        <f>(100%-$D9)*'GENERADO PS locales'!Y169</f>
        <v>0</v>
      </c>
      <c r="Z9" s="322">
        <f>(100%-$D9)*'GENERADO PS locales'!Z169</f>
        <v>0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20"/>
      <c r="E10" s="278"/>
      <c r="F10" s="263"/>
      <c r="G10" s="322">
        <f>(100%-$D10)*'GENERADO PS locales'!G170</f>
        <v>0</v>
      </c>
      <c r="H10" s="322">
        <f>(100%-$D10)*'GENERADO PS locales'!H170</f>
        <v>0</v>
      </c>
      <c r="I10" s="322">
        <f>(100%-$D10)*'GENERADO PS locales'!I170</f>
        <v>0</v>
      </c>
      <c r="J10" s="322">
        <f>(100%-$D10)*'GENERADO PS locales'!J170</f>
        <v>0</v>
      </c>
      <c r="K10" s="322">
        <f>(100%-$D10)*'GENERADO PS locales'!K170</f>
        <v>0</v>
      </c>
      <c r="L10" s="322">
        <f>(100%-$D10)*'GENERADO PS locales'!L170</f>
        <v>0</v>
      </c>
      <c r="M10" s="322">
        <f>(100%-$D10)*'GENERADO PS locales'!M170</f>
        <v>0</v>
      </c>
      <c r="N10" s="322">
        <f>(100%-$D10)*'GENERADO PS locales'!N170</f>
        <v>0</v>
      </c>
      <c r="O10" s="322">
        <f>(100%-$D10)*'GENERADO PS locales'!O170</f>
        <v>0</v>
      </c>
      <c r="P10" s="322">
        <f>(100%-$D10)*'GENERADO PS locales'!P170</f>
        <v>0</v>
      </c>
      <c r="Q10" s="322">
        <f>(100%-$D10)*'GENERADO PS locales'!Q170</f>
        <v>0</v>
      </c>
      <c r="R10" s="322">
        <f>(100%-$D10)*'GENERADO PS locales'!R170</f>
        <v>0</v>
      </c>
      <c r="S10" s="322">
        <f>(100%-$D10)*'GENERADO PS locales'!S170</f>
        <v>0</v>
      </c>
      <c r="T10" s="322">
        <f>(100%-$D10)*'GENERADO PS locales'!T170</f>
        <v>0</v>
      </c>
      <c r="U10" s="322">
        <f>(100%-$D10)*'GENERADO PS locales'!U170</f>
        <v>0</v>
      </c>
      <c r="V10" s="322">
        <f>(100%-$D10)*'GENERADO PS locales'!V170</f>
        <v>0</v>
      </c>
      <c r="W10" s="322">
        <f>(100%-$D10)*'GENERADO PS locales'!W170</f>
        <v>0</v>
      </c>
      <c r="X10" s="322">
        <f>(100%-$D10)*'GENERADO PS locales'!X170</f>
        <v>0</v>
      </c>
      <c r="Y10" s="322">
        <f>(100%-$D10)*'GENERADO PS locales'!Y170</f>
        <v>0</v>
      </c>
      <c r="Z10" s="322">
        <f>(100%-$D10)*'GENERADO PS locales'!Z170</f>
        <v>0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20"/>
      <c r="E11" s="278"/>
      <c r="F11" s="263"/>
      <c r="G11" s="322">
        <f>(100%-$D11)*'GENERADO PS locales'!G171</f>
        <v>0</v>
      </c>
      <c r="H11" s="322">
        <f>(100%-$D11)*'GENERADO PS locales'!H171</f>
        <v>0</v>
      </c>
      <c r="I11" s="322">
        <f>(100%-$D11)*'GENERADO PS locales'!I171</f>
        <v>0</v>
      </c>
      <c r="J11" s="322">
        <f>(100%-$D11)*'GENERADO PS locales'!J171</f>
        <v>0</v>
      </c>
      <c r="K11" s="322">
        <f>(100%-$D11)*'GENERADO PS locales'!K171</f>
        <v>0</v>
      </c>
      <c r="L11" s="322">
        <f>(100%-$D11)*'GENERADO PS locales'!L171</f>
        <v>0</v>
      </c>
      <c r="M11" s="322">
        <f>(100%-$D11)*'GENERADO PS locales'!M171</f>
        <v>0</v>
      </c>
      <c r="N11" s="322">
        <f>(100%-$D11)*'GENERADO PS locales'!N171</f>
        <v>0</v>
      </c>
      <c r="O11" s="322">
        <f>(100%-$D11)*'GENERADO PS locales'!O171</f>
        <v>0</v>
      </c>
      <c r="P11" s="322">
        <f>(100%-$D11)*'GENERADO PS locales'!P171</f>
        <v>0</v>
      </c>
      <c r="Q11" s="322">
        <f>(100%-$D11)*'GENERADO PS locales'!Q171</f>
        <v>0</v>
      </c>
      <c r="R11" s="322">
        <f>(100%-$D11)*'GENERADO PS locales'!R171</f>
        <v>0</v>
      </c>
      <c r="S11" s="322">
        <f>(100%-$D11)*'GENERADO PS locales'!S171</f>
        <v>0</v>
      </c>
      <c r="T11" s="322">
        <f>(100%-$D11)*'GENERADO PS locales'!T171</f>
        <v>0</v>
      </c>
      <c r="U11" s="322">
        <f>(100%-$D11)*'GENERADO PS locales'!U171</f>
        <v>0</v>
      </c>
      <c r="V11" s="322">
        <f>(100%-$D11)*'GENERADO PS locales'!V171</f>
        <v>0</v>
      </c>
      <c r="W11" s="322">
        <f>(100%-$D11)*'GENERADO PS locales'!W171</f>
        <v>0</v>
      </c>
      <c r="X11" s="322">
        <f>(100%-$D11)*'GENERADO PS locales'!X171</f>
        <v>0</v>
      </c>
      <c r="Y11" s="322">
        <f>(100%-$D11)*'GENERADO PS locales'!Y171</f>
        <v>0</v>
      </c>
      <c r="Z11" s="322">
        <f>(100%-$D11)*'GENERADO PS locales'!Z171</f>
        <v>0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20"/>
      <c r="E12" s="278"/>
      <c r="F12" s="263"/>
      <c r="G12" s="322">
        <f>(100%-$D12)*'GENERADO PS locales'!G172</f>
        <v>0</v>
      </c>
      <c r="H12" s="322">
        <f>(100%-$D12)*'GENERADO PS locales'!H172</f>
        <v>0</v>
      </c>
      <c r="I12" s="322">
        <f>(100%-$D12)*'GENERADO PS locales'!I172</f>
        <v>0</v>
      </c>
      <c r="J12" s="322">
        <f>(100%-$D12)*'GENERADO PS locales'!J172</f>
        <v>0</v>
      </c>
      <c r="K12" s="322">
        <f>(100%-$D12)*'GENERADO PS locales'!K172</f>
        <v>0</v>
      </c>
      <c r="L12" s="322">
        <f>(100%-$D12)*'GENERADO PS locales'!L172</f>
        <v>0</v>
      </c>
      <c r="M12" s="322">
        <f>(100%-$D12)*'GENERADO PS locales'!M172</f>
        <v>0</v>
      </c>
      <c r="N12" s="322">
        <f>(100%-$D12)*'GENERADO PS locales'!N172</f>
        <v>0</v>
      </c>
      <c r="O12" s="322">
        <f>(100%-$D12)*'GENERADO PS locales'!O172</f>
        <v>0</v>
      </c>
      <c r="P12" s="322">
        <f>(100%-$D12)*'GENERADO PS locales'!P172</f>
        <v>0</v>
      </c>
      <c r="Q12" s="322">
        <f>(100%-$D12)*'GENERADO PS locales'!Q172</f>
        <v>0</v>
      </c>
      <c r="R12" s="322">
        <f>(100%-$D12)*'GENERADO PS locales'!R172</f>
        <v>0</v>
      </c>
      <c r="S12" s="322">
        <f>(100%-$D12)*'GENERADO PS locales'!S172</f>
        <v>0</v>
      </c>
      <c r="T12" s="322">
        <f>(100%-$D12)*'GENERADO PS locales'!T172</f>
        <v>0</v>
      </c>
      <c r="U12" s="322">
        <f>(100%-$D12)*'GENERADO PS locales'!U172</f>
        <v>0</v>
      </c>
      <c r="V12" s="322">
        <f>(100%-$D12)*'GENERADO PS locales'!V172</f>
        <v>0</v>
      </c>
      <c r="W12" s="322">
        <f>(100%-$D12)*'GENERADO PS locales'!W172</f>
        <v>0</v>
      </c>
      <c r="X12" s="322">
        <f>(100%-$D12)*'GENERADO PS locales'!X172</f>
        <v>0</v>
      </c>
      <c r="Y12" s="322">
        <f>(100%-$D12)*'GENERADO PS locales'!Y172</f>
        <v>0</v>
      </c>
      <c r="Z12" s="322">
        <f>(100%-$D12)*'GENERADO PS locales'!Z172</f>
        <v>0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20"/>
      <c r="E13" s="278"/>
      <c r="F13" s="263"/>
      <c r="G13" s="322">
        <f>(100%-$D13)*'GENERADO PS locales'!G173</f>
        <v>0</v>
      </c>
      <c r="H13" s="322">
        <f>(100%-$D13)*'GENERADO PS locales'!H173</f>
        <v>0</v>
      </c>
      <c r="I13" s="322">
        <f>(100%-$D13)*'GENERADO PS locales'!I173</f>
        <v>0</v>
      </c>
      <c r="J13" s="322">
        <f>(100%-$D13)*'GENERADO PS locales'!J173</f>
        <v>0</v>
      </c>
      <c r="K13" s="322">
        <f>(100%-$D13)*'GENERADO PS locales'!K173</f>
        <v>0</v>
      </c>
      <c r="L13" s="322">
        <f>(100%-$D13)*'GENERADO PS locales'!L173</f>
        <v>0</v>
      </c>
      <c r="M13" s="322">
        <f>(100%-$D13)*'GENERADO PS locales'!M173</f>
        <v>0</v>
      </c>
      <c r="N13" s="322">
        <f>(100%-$D13)*'GENERADO PS locales'!N173</f>
        <v>0</v>
      </c>
      <c r="O13" s="322">
        <f>(100%-$D13)*'GENERADO PS locales'!O173</f>
        <v>0</v>
      </c>
      <c r="P13" s="322">
        <f>(100%-$D13)*'GENERADO PS locales'!P173</f>
        <v>0</v>
      </c>
      <c r="Q13" s="322">
        <f>(100%-$D13)*'GENERADO PS locales'!Q173</f>
        <v>0</v>
      </c>
      <c r="R13" s="322">
        <f>(100%-$D13)*'GENERADO PS locales'!R173</f>
        <v>0</v>
      </c>
      <c r="S13" s="322">
        <f>(100%-$D13)*'GENERADO PS locales'!S173</f>
        <v>0</v>
      </c>
      <c r="T13" s="322">
        <f>(100%-$D13)*'GENERADO PS locales'!T173</f>
        <v>0</v>
      </c>
      <c r="U13" s="322">
        <f>(100%-$D13)*'GENERADO PS locales'!U173</f>
        <v>0</v>
      </c>
      <c r="V13" s="322">
        <f>(100%-$D13)*'GENERADO PS locales'!V173</f>
        <v>0</v>
      </c>
      <c r="W13" s="322">
        <f>(100%-$D13)*'GENERADO PS locales'!W173</f>
        <v>0</v>
      </c>
      <c r="X13" s="322">
        <f>(100%-$D13)*'GENERADO PS locales'!X173</f>
        <v>0</v>
      </c>
      <c r="Y13" s="322">
        <f>(100%-$D13)*'GENERADO PS locales'!Y173</f>
        <v>0</v>
      </c>
      <c r="Z13" s="322">
        <f>(100%-$D13)*'GENERADO PS locales'!Z173</f>
        <v>0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20"/>
      <c r="E14" s="278"/>
      <c r="F14" s="263"/>
      <c r="G14" s="322">
        <f>(100%-$D14)*'GENERADO PS locales'!G174</f>
        <v>0</v>
      </c>
      <c r="H14" s="322">
        <f>(100%-$D14)*'GENERADO PS locales'!H174</f>
        <v>0</v>
      </c>
      <c r="I14" s="322">
        <f>(100%-$D14)*'GENERADO PS locales'!I174</f>
        <v>0</v>
      </c>
      <c r="J14" s="322">
        <f>(100%-$D14)*'GENERADO PS locales'!J174</f>
        <v>0</v>
      </c>
      <c r="K14" s="322">
        <f>(100%-$D14)*'GENERADO PS locales'!K174</f>
        <v>0</v>
      </c>
      <c r="L14" s="322">
        <f>(100%-$D14)*'GENERADO PS locales'!L174</f>
        <v>0</v>
      </c>
      <c r="M14" s="322">
        <f>(100%-$D14)*'GENERADO PS locales'!M174</f>
        <v>0</v>
      </c>
      <c r="N14" s="322">
        <f>(100%-$D14)*'GENERADO PS locales'!N174</f>
        <v>0</v>
      </c>
      <c r="O14" s="322">
        <f>(100%-$D14)*'GENERADO PS locales'!O174</f>
        <v>0</v>
      </c>
      <c r="P14" s="322">
        <f>(100%-$D14)*'GENERADO PS locales'!P174</f>
        <v>0</v>
      </c>
      <c r="Q14" s="322">
        <f>(100%-$D14)*'GENERADO PS locales'!Q174</f>
        <v>0</v>
      </c>
      <c r="R14" s="322">
        <f>(100%-$D14)*'GENERADO PS locales'!R174</f>
        <v>0</v>
      </c>
      <c r="S14" s="322">
        <f>(100%-$D14)*'GENERADO PS locales'!S174</f>
        <v>0</v>
      </c>
      <c r="T14" s="322">
        <f>(100%-$D14)*'GENERADO PS locales'!T174</f>
        <v>0</v>
      </c>
      <c r="U14" s="322">
        <f>(100%-$D14)*'GENERADO PS locales'!U174</f>
        <v>0</v>
      </c>
      <c r="V14" s="322">
        <f>(100%-$D14)*'GENERADO PS locales'!V174</f>
        <v>0</v>
      </c>
      <c r="W14" s="322">
        <f>(100%-$D14)*'GENERADO PS locales'!W174</f>
        <v>0</v>
      </c>
      <c r="X14" s="322">
        <f>(100%-$D14)*'GENERADO PS locales'!X174</f>
        <v>0</v>
      </c>
      <c r="Y14" s="322">
        <f>(100%-$D14)*'GENERADO PS locales'!Y174</f>
        <v>0</v>
      </c>
      <c r="Z14" s="322">
        <f>(100%-$D14)*'GENERADO PS locales'!Z174</f>
        <v>0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20"/>
      <c r="E15" s="278"/>
      <c r="F15" s="263"/>
      <c r="G15" s="322">
        <f>(100%-$D15)*'GENERADO PS locales'!G175</f>
        <v>0</v>
      </c>
      <c r="H15" s="322">
        <f>(100%-$D15)*'GENERADO PS locales'!H175</f>
        <v>0</v>
      </c>
      <c r="I15" s="322">
        <f>(100%-$D15)*'GENERADO PS locales'!I175</f>
        <v>0</v>
      </c>
      <c r="J15" s="322">
        <f>(100%-$D15)*'GENERADO PS locales'!J175</f>
        <v>0</v>
      </c>
      <c r="K15" s="322">
        <f>(100%-$D15)*'GENERADO PS locales'!K175</f>
        <v>0</v>
      </c>
      <c r="L15" s="322">
        <f>(100%-$D15)*'GENERADO PS locales'!L175</f>
        <v>0</v>
      </c>
      <c r="M15" s="322">
        <f>(100%-$D15)*'GENERADO PS locales'!M175</f>
        <v>0</v>
      </c>
      <c r="N15" s="322">
        <f>(100%-$D15)*'GENERADO PS locales'!N175</f>
        <v>0</v>
      </c>
      <c r="O15" s="322">
        <f>(100%-$D15)*'GENERADO PS locales'!O175</f>
        <v>0</v>
      </c>
      <c r="P15" s="322">
        <f>(100%-$D15)*'GENERADO PS locales'!P175</f>
        <v>0</v>
      </c>
      <c r="Q15" s="322">
        <f>(100%-$D15)*'GENERADO PS locales'!Q175</f>
        <v>0</v>
      </c>
      <c r="R15" s="322">
        <f>(100%-$D15)*'GENERADO PS locales'!R175</f>
        <v>0</v>
      </c>
      <c r="S15" s="322">
        <f>(100%-$D15)*'GENERADO PS locales'!S175</f>
        <v>0</v>
      </c>
      <c r="T15" s="322">
        <f>(100%-$D15)*'GENERADO PS locales'!T175</f>
        <v>0</v>
      </c>
      <c r="U15" s="322">
        <f>(100%-$D15)*'GENERADO PS locales'!U175</f>
        <v>0</v>
      </c>
      <c r="V15" s="322">
        <f>(100%-$D15)*'GENERADO PS locales'!V175</f>
        <v>0</v>
      </c>
      <c r="W15" s="322">
        <f>(100%-$D15)*'GENERADO PS locales'!W175</f>
        <v>0</v>
      </c>
      <c r="X15" s="322">
        <f>(100%-$D15)*'GENERADO PS locales'!X175</f>
        <v>0</v>
      </c>
      <c r="Y15" s="322">
        <f>(100%-$D15)*'GENERADO PS locales'!Y175</f>
        <v>0</v>
      </c>
      <c r="Z15" s="322">
        <f>(100%-$D15)*'GENERADO PS locales'!Z175</f>
        <v>0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20"/>
      <c r="E16" s="278"/>
      <c r="F16" s="263"/>
      <c r="G16" s="322">
        <f>(100%-$D16)*'GENERADO PS locales'!G176</f>
        <v>0</v>
      </c>
      <c r="H16" s="322">
        <f>(100%-$D16)*'GENERADO PS locales'!H176</f>
        <v>0</v>
      </c>
      <c r="I16" s="322">
        <f>(100%-$D16)*'GENERADO PS locales'!I176</f>
        <v>0</v>
      </c>
      <c r="J16" s="322">
        <f>(100%-$D16)*'GENERADO PS locales'!J176</f>
        <v>0</v>
      </c>
      <c r="K16" s="322">
        <f>(100%-$D16)*'GENERADO PS locales'!K176</f>
        <v>0</v>
      </c>
      <c r="L16" s="322">
        <f>(100%-$D16)*'GENERADO PS locales'!L176</f>
        <v>0</v>
      </c>
      <c r="M16" s="322">
        <f>(100%-$D16)*'GENERADO PS locales'!M176</f>
        <v>0</v>
      </c>
      <c r="N16" s="322">
        <f>(100%-$D16)*'GENERADO PS locales'!N176</f>
        <v>0</v>
      </c>
      <c r="O16" s="322">
        <f>(100%-$D16)*'GENERADO PS locales'!O176</f>
        <v>0</v>
      </c>
      <c r="P16" s="322">
        <f>(100%-$D16)*'GENERADO PS locales'!P176</f>
        <v>0</v>
      </c>
      <c r="Q16" s="322">
        <f>(100%-$D16)*'GENERADO PS locales'!Q176</f>
        <v>0</v>
      </c>
      <c r="R16" s="322">
        <f>(100%-$D16)*'GENERADO PS locales'!R176</f>
        <v>0</v>
      </c>
      <c r="S16" s="322">
        <f>(100%-$D16)*'GENERADO PS locales'!S176</f>
        <v>0</v>
      </c>
      <c r="T16" s="322">
        <f>(100%-$D16)*'GENERADO PS locales'!T176</f>
        <v>0</v>
      </c>
      <c r="U16" s="322">
        <f>(100%-$D16)*'GENERADO PS locales'!U176</f>
        <v>0</v>
      </c>
      <c r="V16" s="322">
        <f>(100%-$D16)*'GENERADO PS locales'!V176</f>
        <v>0</v>
      </c>
      <c r="W16" s="322">
        <f>(100%-$D16)*'GENERADO PS locales'!W176</f>
        <v>0</v>
      </c>
      <c r="X16" s="322">
        <f>(100%-$D16)*'GENERADO PS locales'!X176</f>
        <v>0</v>
      </c>
      <c r="Y16" s="322">
        <f>(100%-$D16)*'GENERADO PS locales'!Y176</f>
        <v>0</v>
      </c>
      <c r="Z16" s="322">
        <f>(100%-$D16)*'GENERADO PS locales'!Z176</f>
        <v>0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20"/>
      <c r="E17" s="278"/>
      <c r="F17" s="263"/>
      <c r="G17" s="322">
        <f>(100%-$D17)*'GENERADO PS locales'!G177</f>
        <v>0</v>
      </c>
      <c r="H17" s="322">
        <f>(100%-$D17)*'GENERADO PS locales'!H177</f>
        <v>0</v>
      </c>
      <c r="I17" s="322">
        <f>(100%-$D17)*'GENERADO PS locales'!I177</f>
        <v>0</v>
      </c>
      <c r="J17" s="322">
        <f>(100%-$D17)*'GENERADO PS locales'!J177</f>
        <v>0</v>
      </c>
      <c r="K17" s="322">
        <f>(100%-$D17)*'GENERADO PS locales'!K177</f>
        <v>0</v>
      </c>
      <c r="L17" s="322">
        <f>(100%-$D17)*'GENERADO PS locales'!L177</f>
        <v>0</v>
      </c>
      <c r="M17" s="322">
        <f>(100%-$D17)*'GENERADO PS locales'!M177</f>
        <v>0</v>
      </c>
      <c r="N17" s="322">
        <f>(100%-$D17)*'GENERADO PS locales'!N177</f>
        <v>0</v>
      </c>
      <c r="O17" s="322">
        <f>(100%-$D17)*'GENERADO PS locales'!O177</f>
        <v>0</v>
      </c>
      <c r="P17" s="322">
        <f>(100%-$D17)*'GENERADO PS locales'!P177</f>
        <v>0</v>
      </c>
      <c r="Q17" s="322">
        <f>(100%-$D17)*'GENERADO PS locales'!Q177</f>
        <v>0</v>
      </c>
      <c r="R17" s="322">
        <f>(100%-$D17)*'GENERADO PS locales'!R177</f>
        <v>0</v>
      </c>
      <c r="S17" s="322">
        <f>(100%-$D17)*'GENERADO PS locales'!S177</f>
        <v>0</v>
      </c>
      <c r="T17" s="322">
        <f>(100%-$D17)*'GENERADO PS locales'!T177</f>
        <v>0</v>
      </c>
      <c r="U17" s="322">
        <f>(100%-$D17)*'GENERADO PS locales'!U177</f>
        <v>0</v>
      </c>
      <c r="V17" s="322">
        <f>(100%-$D17)*'GENERADO PS locales'!V177</f>
        <v>0</v>
      </c>
      <c r="W17" s="322">
        <f>(100%-$D17)*'GENERADO PS locales'!W177</f>
        <v>0</v>
      </c>
      <c r="X17" s="322">
        <f>(100%-$D17)*'GENERADO PS locales'!X177</f>
        <v>0</v>
      </c>
      <c r="Y17" s="322">
        <f>(100%-$D17)*'GENERADO PS locales'!Y177</f>
        <v>0</v>
      </c>
      <c r="Z17" s="322">
        <f>(100%-$D17)*'GENERADO PS locales'!Z177</f>
        <v>0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20"/>
      <c r="E18" s="278"/>
      <c r="F18" s="263"/>
      <c r="G18" s="322">
        <f>(100%-$D18)*'GENERADO PS locales'!G178</f>
        <v>0</v>
      </c>
      <c r="H18" s="322">
        <f>(100%-$D18)*'GENERADO PS locales'!H178</f>
        <v>0</v>
      </c>
      <c r="I18" s="322">
        <f>(100%-$D18)*'GENERADO PS locales'!I178</f>
        <v>0</v>
      </c>
      <c r="J18" s="322">
        <f>(100%-$D18)*'GENERADO PS locales'!J178</f>
        <v>0</v>
      </c>
      <c r="K18" s="322">
        <f>(100%-$D18)*'GENERADO PS locales'!K178</f>
        <v>0</v>
      </c>
      <c r="L18" s="322">
        <f>(100%-$D18)*'GENERADO PS locales'!L178</f>
        <v>0</v>
      </c>
      <c r="M18" s="322">
        <f>(100%-$D18)*'GENERADO PS locales'!M178</f>
        <v>0</v>
      </c>
      <c r="N18" s="322">
        <f>(100%-$D18)*'GENERADO PS locales'!N178</f>
        <v>0</v>
      </c>
      <c r="O18" s="322">
        <f>(100%-$D18)*'GENERADO PS locales'!O178</f>
        <v>0</v>
      </c>
      <c r="P18" s="322">
        <f>(100%-$D18)*'GENERADO PS locales'!P178</f>
        <v>0</v>
      </c>
      <c r="Q18" s="322">
        <f>(100%-$D18)*'GENERADO PS locales'!Q178</f>
        <v>0</v>
      </c>
      <c r="R18" s="322">
        <f>(100%-$D18)*'GENERADO PS locales'!R178</f>
        <v>0</v>
      </c>
      <c r="S18" s="322">
        <f>(100%-$D18)*'GENERADO PS locales'!S178</f>
        <v>0</v>
      </c>
      <c r="T18" s="322">
        <f>(100%-$D18)*'GENERADO PS locales'!T178</f>
        <v>0</v>
      </c>
      <c r="U18" s="322">
        <f>(100%-$D18)*'GENERADO PS locales'!U178</f>
        <v>0</v>
      </c>
      <c r="V18" s="322">
        <f>(100%-$D18)*'GENERADO PS locales'!V178</f>
        <v>0</v>
      </c>
      <c r="W18" s="322">
        <f>(100%-$D18)*'GENERADO PS locales'!W178</f>
        <v>0</v>
      </c>
      <c r="X18" s="322">
        <f>(100%-$D18)*'GENERADO PS locales'!X178</f>
        <v>0</v>
      </c>
      <c r="Y18" s="322">
        <f>(100%-$D18)*'GENERADO PS locales'!Y178</f>
        <v>0</v>
      </c>
      <c r="Z18" s="322">
        <f>(100%-$D18)*'GENERADO PS locales'!Z178</f>
        <v>0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20"/>
      <c r="E19" s="278"/>
      <c r="F19" s="263"/>
      <c r="G19" s="322">
        <f>(100%-$D19)*'GENERADO PS locales'!G179</f>
        <v>0</v>
      </c>
      <c r="H19" s="322">
        <f>(100%-$D19)*'GENERADO PS locales'!H179</f>
        <v>0</v>
      </c>
      <c r="I19" s="322">
        <f>(100%-$D19)*'GENERADO PS locales'!I179</f>
        <v>0</v>
      </c>
      <c r="J19" s="322">
        <f>(100%-$D19)*'GENERADO PS locales'!J179</f>
        <v>0</v>
      </c>
      <c r="K19" s="322">
        <f>(100%-$D19)*'GENERADO PS locales'!K179</f>
        <v>0</v>
      </c>
      <c r="L19" s="322">
        <f>(100%-$D19)*'GENERADO PS locales'!L179</f>
        <v>0</v>
      </c>
      <c r="M19" s="322">
        <f>(100%-$D19)*'GENERADO PS locales'!M179</f>
        <v>0</v>
      </c>
      <c r="N19" s="322">
        <f>(100%-$D19)*'GENERADO PS locales'!N179</f>
        <v>0</v>
      </c>
      <c r="O19" s="322">
        <f>(100%-$D19)*'GENERADO PS locales'!O179</f>
        <v>0</v>
      </c>
      <c r="P19" s="322">
        <f>(100%-$D19)*'GENERADO PS locales'!P179</f>
        <v>0</v>
      </c>
      <c r="Q19" s="322">
        <f>(100%-$D19)*'GENERADO PS locales'!Q179</f>
        <v>0</v>
      </c>
      <c r="R19" s="322">
        <f>(100%-$D19)*'GENERADO PS locales'!R179</f>
        <v>0</v>
      </c>
      <c r="S19" s="322">
        <f>(100%-$D19)*'GENERADO PS locales'!S179</f>
        <v>0</v>
      </c>
      <c r="T19" s="322">
        <f>(100%-$D19)*'GENERADO PS locales'!T179</f>
        <v>0</v>
      </c>
      <c r="U19" s="322">
        <f>(100%-$D19)*'GENERADO PS locales'!U179</f>
        <v>0</v>
      </c>
      <c r="V19" s="322">
        <f>(100%-$D19)*'GENERADO PS locales'!V179</f>
        <v>0</v>
      </c>
      <c r="W19" s="322">
        <f>(100%-$D19)*'GENERADO PS locales'!W179</f>
        <v>0</v>
      </c>
      <c r="X19" s="322">
        <f>(100%-$D19)*'GENERADO PS locales'!X179</f>
        <v>0</v>
      </c>
      <c r="Y19" s="322">
        <f>(100%-$D19)*'GENERADO PS locales'!Y179</f>
        <v>0</v>
      </c>
      <c r="Z19" s="322">
        <f>(100%-$D19)*'GENERADO PS locales'!Z179</f>
        <v>0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20"/>
      <c r="E20" s="278"/>
      <c r="F20" s="263"/>
      <c r="G20" s="322">
        <f>(100%-$D20)*'GENERADO PS locales'!G180</f>
        <v>0</v>
      </c>
      <c r="H20" s="322">
        <f>(100%-$D20)*'GENERADO PS locales'!H180</f>
        <v>0</v>
      </c>
      <c r="I20" s="322">
        <f>(100%-$D20)*'GENERADO PS locales'!I180</f>
        <v>0</v>
      </c>
      <c r="J20" s="322">
        <f>(100%-$D20)*'GENERADO PS locales'!J180</f>
        <v>0</v>
      </c>
      <c r="K20" s="322">
        <f>(100%-$D20)*'GENERADO PS locales'!K180</f>
        <v>0</v>
      </c>
      <c r="L20" s="322">
        <f>(100%-$D20)*'GENERADO PS locales'!L180</f>
        <v>0</v>
      </c>
      <c r="M20" s="322">
        <f>(100%-$D20)*'GENERADO PS locales'!M180</f>
        <v>0</v>
      </c>
      <c r="N20" s="322">
        <f>(100%-$D20)*'GENERADO PS locales'!N180</f>
        <v>0</v>
      </c>
      <c r="O20" s="322">
        <f>(100%-$D20)*'GENERADO PS locales'!O180</f>
        <v>0</v>
      </c>
      <c r="P20" s="322">
        <f>(100%-$D20)*'GENERADO PS locales'!P180</f>
        <v>0</v>
      </c>
      <c r="Q20" s="322">
        <f>(100%-$D20)*'GENERADO PS locales'!Q180</f>
        <v>0</v>
      </c>
      <c r="R20" s="322">
        <f>(100%-$D20)*'GENERADO PS locales'!R180</f>
        <v>0</v>
      </c>
      <c r="S20" s="322">
        <f>(100%-$D20)*'GENERADO PS locales'!S180</f>
        <v>0</v>
      </c>
      <c r="T20" s="322">
        <f>(100%-$D20)*'GENERADO PS locales'!T180</f>
        <v>0</v>
      </c>
      <c r="U20" s="322">
        <f>(100%-$D20)*'GENERADO PS locales'!U180</f>
        <v>0</v>
      </c>
      <c r="V20" s="322">
        <f>(100%-$D20)*'GENERADO PS locales'!V180</f>
        <v>0</v>
      </c>
      <c r="W20" s="322">
        <f>(100%-$D20)*'GENERADO PS locales'!W180</f>
        <v>0</v>
      </c>
      <c r="X20" s="322">
        <f>(100%-$D20)*'GENERADO PS locales'!X180</f>
        <v>0</v>
      </c>
      <c r="Y20" s="322">
        <f>(100%-$D20)*'GENERADO PS locales'!Y180</f>
        <v>0</v>
      </c>
      <c r="Z20" s="322">
        <f>(100%-$D20)*'GENERADO PS locales'!Z180</f>
        <v>0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20"/>
      <c r="E21" s="278"/>
      <c r="F21" s="263"/>
      <c r="G21" s="322">
        <f>(100%-$D21)*'GENERADO PS locales'!G181</f>
        <v>0</v>
      </c>
      <c r="H21" s="322">
        <f>(100%-$D21)*'GENERADO PS locales'!H181</f>
        <v>0</v>
      </c>
      <c r="I21" s="322">
        <f>(100%-$D21)*'GENERADO PS locales'!I181</f>
        <v>0</v>
      </c>
      <c r="J21" s="322">
        <f>(100%-$D21)*'GENERADO PS locales'!J181</f>
        <v>0</v>
      </c>
      <c r="K21" s="322">
        <f>(100%-$D21)*'GENERADO PS locales'!K181</f>
        <v>0</v>
      </c>
      <c r="L21" s="322">
        <f>(100%-$D21)*'GENERADO PS locales'!L181</f>
        <v>0</v>
      </c>
      <c r="M21" s="322">
        <f>(100%-$D21)*'GENERADO PS locales'!M181</f>
        <v>0</v>
      </c>
      <c r="N21" s="322">
        <f>(100%-$D21)*'GENERADO PS locales'!N181</f>
        <v>0</v>
      </c>
      <c r="O21" s="322">
        <f>(100%-$D21)*'GENERADO PS locales'!O181</f>
        <v>0</v>
      </c>
      <c r="P21" s="322">
        <f>(100%-$D21)*'GENERADO PS locales'!P181</f>
        <v>0</v>
      </c>
      <c r="Q21" s="322">
        <f>(100%-$D21)*'GENERADO PS locales'!Q181</f>
        <v>0</v>
      </c>
      <c r="R21" s="322">
        <f>(100%-$D21)*'GENERADO PS locales'!R181</f>
        <v>0</v>
      </c>
      <c r="S21" s="322">
        <f>(100%-$D21)*'GENERADO PS locales'!S181</f>
        <v>0</v>
      </c>
      <c r="T21" s="322">
        <f>(100%-$D21)*'GENERADO PS locales'!T181</f>
        <v>0</v>
      </c>
      <c r="U21" s="322">
        <f>(100%-$D21)*'GENERADO PS locales'!U181</f>
        <v>0</v>
      </c>
      <c r="V21" s="322">
        <f>(100%-$D21)*'GENERADO PS locales'!V181</f>
        <v>0</v>
      </c>
      <c r="W21" s="322">
        <f>(100%-$D21)*'GENERADO PS locales'!W181</f>
        <v>0</v>
      </c>
      <c r="X21" s="322">
        <f>(100%-$D21)*'GENERADO PS locales'!X181</f>
        <v>0</v>
      </c>
      <c r="Y21" s="322">
        <f>(100%-$D21)*'GENERADO PS locales'!Y181</f>
        <v>0</v>
      </c>
      <c r="Z21" s="322">
        <f>(100%-$D21)*'GENERADO PS locales'!Z181</f>
        <v>0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20"/>
      <c r="E22" s="278"/>
      <c r="F22" s="263"/>
      <c r="G22" s="322">
        <f>(100%-$D22)*'GENERADO PS locales'!G182</f>
        <v>0</v>
      </c>
      <c r="H22" s="322">
        <f>(100%-$D22)*'GENERADO PS locales'!H182</f>
        <v>0</v>
      </c>
      <c r="I22" s="322">
        <f>(100%-$D22)*'GENERADO PS locales'!I182</f>
        <v>0</v>
      </c>
      <c r="J22" s="322">
        <f>(100%-$D22)*'GENERADO PS locales'!J182</f>
        <v>0</v>
      </c>
      <c r="K22" s="322">
        <f>(100%-$D22)*'GENERADO PS locales'!K182</f>
        <v>0</v>
      </c>
      <c r="L22" s="322">
        <f>(100%-$D22)*'GENERADO PS locales'!L182</f>
        <v>0</v>
      </c>
      <c r="M22" s="322">
        <f>(100%-$D22)*'GENERADO PS locales'!M182</f>
        <v>0</v>
      </c>
      <c r="N22" s="322">
        <f>(100%-$D22)*'GENERADO PS locales'!N182</f>
        <v>0</v>
      </c>
      <c r="O22" s="322">
        <f>(100%-$D22)*'GENERADO PS locales'!O182</f>
        <v>0</v>
      </c>
      <c r="P22" s="322">
        <f>(100%-$D22)*'GENERADO PS locales'!P182</f>
        <v>0</v>
      </c>
      <c r="Q22" s="322">
        <f>(100%-$D22)*'GENERADO PS locales'!Q182</f>
        <v>0</v>
      </c>
      <c r="R22" s="322">
        <f>(100%-$D22)*'GENERADO PS locales'!R182</f>
        <v>0</v>
      </c>
      <c r="S22" s="322">
        <f>(100%-$D22)*'GENERADO PS locales'!S182</f>
        <v>0</v>
      </c>
      <c r="T22" s="322">
        <f>(100%-$D22)*'GENERADO PS locales'!T182</f>
        <v>0</v>
      </c>
      <c r="U22" s="322">
        <f>(100%-$D22)*'GENERADO PS locales'!U182</f>
        <v>0</v>
      </c>
      <c r="V22" s="322">
        <f>(100%-$D22)*'GENERADO PS locales'!V182</f>
        <v>0</v>
      </c>
      <c r="W22" s="322">
        <f>(100%-$D22)*'GENERADO PS locales'!W182</f>
        <v>0</v>
      </c>
      <c r="X22" s="322">
        <f>(100%-$D22)*'GENERADO PS locales'!X182</f>
        <v>0</v>
      </c>
      <c r="Y22" s="322">
        <f>(100%-$D22)*'GENERADO PS locales'!Y182</f>
        <v>0</v>
      </c>
      <c r="Z22" s="322">
        <f>(100%-$D22)*'GENERADO PS locales'!Z182</f>
        <v>0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20"/>
      <c r="E23" s="278"/>
      <c r="F23" s="263"/>
      <c r="G23" s="322">
        <f>(100%-$D23)*'GENERADO PS locales'!G183</f>
        <v>0</v>
      </c>
      <c r="H23" s="322">
        <f>(100%-$D23)*'GENERADO PS locales'!H183</f>
        <v>0</v>
      </c>
      <c r="I23" s="322">
        <f>(100%-$D23)*'GENERADO PS locales'!I183</f>
        <v>0</v>
      </c>
      <c r="J23" s="322">
        <f>(100%-$D23)*'GENERADO PS locales'!J183</f>
        <v>0</v>
      </c>
      <c r="K23" s="322">
        <f>(100%-$D23)*'GENERADO PS locales'!K183</f>
        <v>0</v>
      </c>
      <c r="L23" s="322">
        <f>(100%-$D23)*'GENERADO PS locales'!L183</f>
        <v>0</v>
      </c>
      <c r="M23" s="322">
        <f>(100%-$D23)*'GENERADO PS locales'!M183</f>
        <v>0</v>
      </c>
      <c r="N23" s="322">
        <f>(100%-$D23)*'GENERADO PS locales'!N183</f>
        <v>0</v>
      </c>
      <c r="O23" s="322">
        <f>(100%-$D23)*'GENERADO PS locales'!O183</f>
        <v>0</v>
      </c>
      <c r="P23" s="322">
        <f>(100%-$D23)*'GENERADO PS locales'!P183</f>
        <v>0</v>
      </c>
      <c r="Q23" s="322">
        <f>(100%-$D23)*'GENERADO PS locales'!Q183</f>
        <v>0</v>
      </c>
      <c r="R23" s="322">
        <f>(100%-$D23)*'GENERADO PS locales'!R183</f>
        <v>0</v>
      </c>
      <c r="S23" s="322">
        <f>(100%-$D23)*'GENERADO PS locales'!S183</f>
        <v>0</v>
      </c>
      <c r="T23" s="322">
        <f>(100%-$D23)*'GENERADO PS locales'!T183</f>
        <v>0</v>
      </c>
      <c r="U23" s="322">
        <f>(100%-$D23)*'GENERADO PS locales'!U183</f>
        <v>0</v>
      </c>
      <c r="V23" s="322">
        <f>(100%-$D23)*'GENERADO PS locales'!V183</f>
        <v>0</v>
      </c>
      <c r="W23" s="322">
        <f>(100%-$D23)*'GENERADO PS locales'!W183</f>
        <v>0</v>
      </c>
      <c r="X23" s="322">
        <f>(100%-$D23)*'GENERADO PS locales'!X183</f>
        <v>0</v>
      </c>
      <c r="Y23" s="322">
        <f>(100%-$D23)*'GENERADO PS locales'!Y183</f>
        <v>0</v>
      </c>
      <c r="Z23" s="322">
        <f>(100%-$D23)*'GENERADO PS locales'!Z183</f>
        <v>0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20"/>
      <c r="E24" s="278"/>
      <c r="F24" s="263"/>
      <c r="G24" s="322">
        <f>(100%-$D24)*'GENERADO PS locales'!G184</f>
        <v>0</v>
      </c>
      <c r="H24" s="322">
        <f>(100%-$D24)*'GENERADO PS locales'!H184</f>
        <v>0</v>
      </c>
      <c r="I24" s="322">
        <f>(100%-$D24)*'GENERADO PS locales'!I184</f>
        <v>0</v>
      </c>
      <c r="J24" s="322">
        <f>(100%-$D24)*'GENERADO PS locales'!J184</f>
        <v>0</v>
      </c>
      <c r="K24" s="322">
        <f>(100%-$D24)*'GENERADO PS locales'!K184</f>
        <v>0</v>
      </c>
      <c r="L24" s="322">
        <f>(100%-$D24)*'GENERADO PS locales'!L184</f>
        <v>0</v>
      </c>
      <c r="M24" s="322">
        <f>(100%-$D24)*'GENERADO PS locales'!M184</f>
        <v>0</v>
      </c>
      <c r="N24" s="322">
        <f>(100%-$D24)*'GENERADO PS locales'!N184</f>
        <v>0</v>
      </c>
      <c r="O24" s="322">
        <f>(100%-$D24)*'GENERADO PS locales'!O184</f>
        <v>0</v>
      </c>
      <c r="P24" s="322">
        <f>(100%-$D24)*'GENERADO PS locales'!P184</f>
        <v>0</v>
      </c>
      <c r="Q24" s="322">
        <f>(100%-$D24)*'GENERADO PS locales'!Q184</f>
        <v>0</v>
      </c>
      <c r="R24" s="322">
        <f>(100%-$D24)*'GENERADO PS locales'!R184</f>
        <v>0</v>
      </c>
      <c r="S24" s="322">
        <f>(100%-$D24)*'GENERADO PS locales'!S184</f>
        <v>0</v>
      </c>
      <c r="T24" s="322">
        <f>(100%-$D24)*'GENERADO PS locales'!T184</f>
        <v>0</v>
      </c>
      <c r="U24" s="322">
        <f>(100%-$D24)*'GENERADO PS locales'!U184</f>
        <v>0</v>
      </c>
      <c r="V24" s="322">
        <f>(100%-$D24)*'GENERADO PS locales'!V184</f>
        <v>0</v>
      </c>
      <c r="W24" s="322">
        <f>(100%-$D24)*'GENERADO PS locales'!W184</f>
        <v>0</v>
      </c>
      <c r="X24" s="322">
        <f>(100%-$D24)*'GENERADO PS locales'!X184</f>
        <v>0</v>
      </c>
      <c r="Y24" s="322">
        <f>(100%-$D24)*'GENERADO PS locales'!Y184</f>
        <v>0</v>
      </c>
      <c r="Z24" s="322">
        <f>(100%-$D24)*'GENERADO PS locales'!Z184</f>
        <v>0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20"/>
      <c r="E25" s="278"/>
      <c r="F25" s="263"/>
      <c r="G25" s="322">
        <f>(100%-$D25)*'GENERADO PS locales'!G185</f>
        <v>0</v>
      </c>
      <c r="H25" s="322">
        <f>(100%-$D25)*'GENERADO PS locales'!H185</f>
        <v>0</v>
      </c>
      <c r="I25" s="322">
        <f>(100%-$D25)*'GENERADO PS locales'!I185</f>
        <v>0</v>
      </c>
      <c r="J25" s="322">
        <f>(100%-$D25)*'GENERADO PS locales'!J185</f>
        <v>0</v>
      </c>
      <c r="K25" s="322">
        <f>(100%-$D25)*'GENERADO PS locales'!K185</f>
        <v>0</v>
      </c>
      <c r="L25" s="322">
        <f>(100%-$D25)*'GENERADO PS locales'!L185</f>
        <v>0</v>
      </c>
      <c r="M25" s="322">
        <f>(100%-$D25)*'GENERADO PS locales'!M185</f>
        <v>0</v>
      </c>
      <c r="N25" s="322">
        <f>(100%-$D25)*'GENERADO PS locales'!N185</f>
        <v>0</v>
      </c>
      <c r="O25" s="322">
        <f>(100%-$D25)*'GENERADO PS locales'!O185</f>
        <v>0</v>
      </c>
      <c r="P25" s="322">
        <f>(100%-$D25)*'GENERADO PS locales'!P185</f>
        <v>0</v>
      </c>
      <c r="Q25" s="322">
        <f>(100%-$D25)*'GENERADO PS locales'!Q185</f>
        <v>0</v>
      </c>
      <c r="R25" s="322">
        <f>(100%-$D25)*'GENERADO PS locales'!R185</f>
        <v>0</v>
      </c>
      <c r="S25" s="322">
        <f>(100%-$D25)*'GENERADO PS locales'!S185</f>
        <v>0</v>
      </c>
      <c r="T25" s="322">
        <f>(100%-$D25)*'GENERADO PS locales'!T185</f>
        <v>0</v>
      </c>
      <c r="U25" s="322">
        <f>(100%-$D25)*'GENERADO PS locales'!U185</f>
        <v>0</v>
      </c>
      <c r="V25" s="322">
        <f>(100%-$D25)*'GENERADO PS locales'!V185</f>
        <v>0</v>
      </c>
      <c r="W25" s="322">
        <f>(100%-$D25)*'GENERADO PS locales'!W185</f>
        <v>0</v>
      </c>
      <c r="X25" s="322">
        <f>(100%-$D25)*'GENERADO PS locales'!X185</f>
        <v>0</v>
      </c>
      <c r="Y25" s="322">
        <f>(100%-$D25)*'GENERADO PS locales'!Y185</f>
        <v>0</v>
      </c>
      <c r="Z25" s="322">
        <f>(100%-$D25)*'GENERADO PS locales'!Z185</f>
        <v>0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20"/>
      <c r="E26" s="278"/>
      <c r="F26" s="263"/>
      <c r="G26" s="322">
        <f>(100%-$D26)*'GENERADO PS locales'!G186</f>
        <v>0</v>
      </c>
      <c r="H26" s="322">
        <f>(100%-$D26)*'GENERADO PS locales'!H186</f>
        <v>0</v>
      </c>
      <c r="I26" s="322">
        <f>(100%-$D26)*'GENERADO PS locales'!I186</f>
        <v>0</v>
      </c>
      <c r="J26" s="322">
        <f>(100%-$D26)*'GENERADO PS locales'!J186</f>
        <v>0</v>
      </c>
      <c r="K26" s="322">
        <f>(100%-$D26)*'GENERADO PS locales'!K186</f>
        <v>0</v>
      </c>
      <c r="L26" s="322">
        <f>(100%-$D26)*'GENERADO PS locales'!L186</f>
        <v>0</v>
      </c>
      <c r="M26" s="322">
        <f>(100%-$D26)*'GENERADO PS locales'!M186</f>
        <v>0</v>
      </c>
      <c r="N26" s="322">
        <f>(100%-$D26)*'GENERADO PS locales'!N186</f>
        <v>0</v>
      </c>
      <c r="O26" s="322">
        <f>(100%-$D26)*'GENERADO PS locales'!O186</f>
        <v>0</v>
      </c>
      <c r="P26" s="322">
        <f>(100%-$D26)*'GENERADO PS locales'!P186</f>
        <v>0</v>
      </c>
      <c r="Q26" s="322">
        <f>(100%-$D26)*'GENERADO PS locales'!Q186</f>
        <v>0</v>
      </c>
      <c r="R26" s="322">
        <f>(100%-$D26)*'GENERADO PS locales'!R186</f>
        <v>0</v>
      </c>
      <c r="S26" s="322">
        <f>(100%-$D26)*'GENERADO PS locales'!S186</f>
        <v>0</v>
      </c>
      <c r="T26" s="322">
        <f>(100%-$D26)*'GENERADO PS locales'!T186</f>
        <v>0</v>
      </c>
      <c r="U26" s="322">
        <f>(100%-$D26)*'GENERADO PS locales'!U186</f>
        <v>0</v>
      </c>
      <c r="V26" s="322">
        <f>(100%-$D26)*'GENERADO PS locales'!V186</f>
        <v>0</v>
      </c>
      <c r="W26" s="322">
        <f>(100%-$D26)*'GENERADO PS locales'!W186</f>
        <v>0</v>
      </c>
      <c r="X26" s="322">
        <f>(100%-$D26)*'GENERADO PS locales'!X186</f>
        <v>0</v>
      </c>
      <c r="Y26" s="322">
        <f>(100%-$D26)*'GENERADO PS locales'!Y186</f>
        <v>0</v>
      </c>
      <c r="Z26" s="322">
        <f>(100%-$D26)*'GENERADO PS locales'!Z186</f>
        <v>0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20"/>
      <c r="E27" s="278"/>
      <c r="F27" s="263"/>
      <c r="G27" s="322">
        <f>(100%-$D27)*'GENERADO PS locales'!G187</f>
        <v>0</v>
      </c>
      <c r="H27" s="322">
        <f>(100%-$D27)*'GENERADO PS locales'!H187</f>
        <v>0</v>
      </c>
      <c r="I27" s="322">
        <f>(100%-$D27)*'GENERADO PS locales'!I187</f>
        <v>0</v>
      </c>
      <c r="J27" s="322">
        <f>(100%-$D27)*'GENERADO PS locales'!J187</f>
        <v>0</v>
      </c>
      <c r="K27" s="322">
        <f>(100%-$D27)*'GENERADO PS locales'!K187</f>
        <v>0</v>
      </c>
      <c r="L27" s="322">
        <f>(100%-$D27)*'GENERADO PS locales'!L187</f>
        <v>0</v>
      </c>
      <c r="M27" s="322">
        <f>(100%-$D27)*'GENERADO PS locales'!M187</f>
        <v>0</v>
      </c>
      <c r="N27" s="322">
        <f>(100%-$D27)*'GENERADO PS locales'!N187</f>
        <v>0</v>
      </c>
      <c r="O27" s="322">
        <f>(100%-$D27)*'GENERADO PS locales'!O187</f>
        <v>0</v>
      </c>
      <c r="P27" s="322">
        <f>(100%-$D27)*'GENERADO PS locales'!P187</f>
        <v>0</v>
      </c>
      <c r="Q27" s="322">
        <f>(100%-$D27)*'GENERADO PS locales'!Q187</f>
        <v>0</v>
      </c>
      <c r="R27" s="322">
        <f>(100%-$D27)*'GENERADO PS locales'!R187</f>
        <v>0</v>
      </c>
      <c r="S27" s="322">
        <f>(100%-$D27)*'GENERADO PS locales'!S187</f>
        <v>0</v>
      </c>
      <c r="T27" s="322">
        <f>(100%-$D27)*'GENERADO PS locales'!T187</f>
        <v>0</v>
      </c>
      <c r="U27" s="322">
        <f>(100%-$D27)*'GENERADO PS locales'!U187</f>
        <v>0</v>
      </c>
      <c r="V27" s="322">
        <f>(100%-$D27)*'GENERADO PS locales'!V187</f>
        <v>0</v>
      </c>
      <c r="W27" s="322">
        <f>(100%-$D27)*'GENERADO PS locales'!W187</f>
        <v>0</v>
      </c>
      <c r="X27" s="322">
        <f>(100%-$D27)*'GENERADO PS locales'!X187</f>
        <v>0</v>
      </c>
      <c r="Y27" s="322">
        <f>(100%-$D27)*'GENERADO PS locales'!Y187</f>
        <v>0</v>
      </c>
      <c r="Z27" s="322">
        <f>(100%-$D27)*'GENERADO PS locales'!Z187</f>
        <v>0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20"/>
      <c r="E28" s="278"/>
      <c r="F28" s="263"/>
      <c r="G28" s="322">
        <f>(100%-$D28)*'GENERADO PS locales'!G188</f>
        <v>0</v>
      </c>
      <c r="H28" s="322">
        <f>(100%-$D28)*'GENERADO PS locales'!H188</f>
        <v>0</v>
      </c>
      <c r="I28" s="322">
        <f>(100%-$D28)*'GENERADO PS locales'!I188</f>
        <v>0</v>
      </c>
      <c r="J28" s="322">
        <f>(100%-$D28)*'GENERADO PS locales'!J188</f>
        <v>0</v>
      </c>
      <c r="K28" s="322">
        <f>(100%-$D28)*'GENERADO PS locales'!K188</f>
        <v>0</v>
      </c>
      <c r="L28" s="322">
        <f>(100%-$D28)*'GENERADO PS locales'!L188</f>
        <v>0</v>
      </c>
      <c r="M28" s="322">
        <f>(100%-$D28)*'GENERADO PS locales'!M188</f>
        <v>0</v>
      </c>
      <c r="N28" s="322">
        <f>(100%-$D28)*'GENERADO PS locales'!N188</f>
        <v>0</v>
      </c>
      <c r="O28" s="322">
        <f>(100%-$D28)*'GENERADO PS locales'!O188</f>
        <v>0</v>
      </c>
      <c r="P28" s="322">
        <f>(100%-$D28)*'GENERADO PS locales'!P188</f>
        <v>0</v>
      </c>
      <c r="Q28" s="322">
        <f>(100%-$D28)*'GENERADO PS locales'!Q188</f>
        <v>0</v>
      </c>
      <c r="R28" s="322">
        <f>(100%-$D28)*'GENERADO PS locales'!R188</f>
        <v>0</v>
      </c>
      <c r="S28" s="322">
        <f>(100%-$D28)*'GENERADO PS locales'!S188</f>
        <v>0</v>
      </c>
      <c r="T28" s="322">
        <f>(100%-$D28)*'GENERADO PS locales'!T188</f>
        <v>0</v>
      </c>
      <c r="U28" s="322">
        <f>(100%-$D28)*'GENERADO PS locales'!U188</f>
        <v>0</v>
      </c>
      <c r="V28" s="322">
        <f>(100%-$D28)*'GENERADO PS locales'!V188</f>
        <v>0</v>
      </c>
      <c r="W28" s="322">
        <f>(100%-$D28)*'GENERADO PS locales'!W188</f>
        <v>0</v>
      </c>
      <c r="X28" s="322">
        <f>(100%-$D28)*'GENERADO PS locales'!X188</f>
        <v>0</v>
      </c>
      <c r="Y28" s="322">
        <f>(100%-$D28)*'GENERADO PS locales'!Y188</f>
        <v>0</v>
      </c>
      <c r="Z28" s="322">
        <f>(100%-$D28)*'GENERADO PS locales'!Z188</f>
        <v>0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20"/>
      <c r="E29" s="278"/>
      <c r="F29" s="263"/>
      <c r="G29" s="322">
        <f>(100%-$D29)*'GENERADO PS locales'!G189</f>
        <v>0</v>
      </c>
      <c r="H29" s="322">
        <f>(100%-$D29)*'GENERADO PS locales'!H189</f>
        <v>0</v>
      </c>
      <c r="I29" s="322">
        <f>(100%-$D29)*'GENERADO PS locales'!I189</f>
        <v>0</v>
      </c>
      <c r="J29" s="322">
        <f>(100%-$D29)*'GENERADO PS locales'!J189</f>
        <v>0</v>
      </c>
      <c r="K29" s="322">
        <f>(100%-$D29)*'GENERADO PS locales'!K189</f>
        <v>0</v>
      </c>
      <c r="L29" s="322">
        <f>(100%-$D29)*'GENERADO PS locales'!L189</f>
        <v>0</v>
      </c>
      <c r="M29" s="322">
        <f>(100%-$D29)*'GENERADO PS locales'!M189</f>
        <v>0</v>
      </c>
      <c r="N29" s="322">
        <f>(100%-$D29)*'GENERADO PS locales'!N189</f>
        <v>0</v>
      </c>
      <c r="O29" s="322">
        <f>(100%-$D29)*'GENERADO PS locales'!O189</f>
        <v>0</v>
      </c>
      <c r="P29" s="322">
        <f>(100%-$D29)*'GENERADO PS locales'!P189</f>
        <v>0</v>
      </c>
      <c r="Q29" s="322">
        <f>(100%-$D29)*'GENERADO PS locales'!Q189</f>
        <v>0</v>
      </c>
      <c r="R29" s="322">
        <f>(100%-$D29)*'GENERADO PS locales'!R189</f>
        <v>0</v>
      </c>
      <c r="S29" s="322">
        <f>(100%-$D29)*'GENERADO PS locales'!S189</f>
        <v>0</v>
      </c>
      <c r="T29" s="322">
        <f>(100%-$D29)*'GENERADO PS locales'!T189</f>
        <v>0</v>
      </c>
      <c r="U29" s="322">
        <f>(100%-$D29)*'GENERADO PS locales'!U189</f>
        <v>0</v>
      </c>
      <c r="V29" s="322">
        <f>(100%-$D29)*'GENERADO PS locales'!V189</f>
        <v>0</v>
      </c>
      <c r="W29" s="322">
        <f>(100%-$D29)*'GENERADO PS locales'!W189</f>
        <v>0</v>
      </c>
      <c r="X29" s="322">
        <f>(100%-$D29)*'GENERADO PS locales'!X189</f>
        <v>0</v>
      </c>
      <c r="Y29" s="322">
        <f>(100%-$D29)*'GENERADO PS locales'!Y189</f>
        <v>0</v>
      </c>
      <c r="Z29" s="322">
        <f>(100%-$D29)*'GENERADO PS locales'!Z189</f>
        <v>0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20"/>
      <c r="E30" s="278"/>
      <c r="F30" s="263"/>
      <c r="G30" s="322">
        <f>(100%-$D30)*'GENERADO PS locales'!G190</f>
        <v>0</v>
      </c>
      <c r="H30" s="322">
        <f>(100%-$D30)*'GENERADO PS locales'!H190</f>
        <v>0</v>
      </c>
      <c r="I30" s="322">
        <f>(100%-$D30)*'GENERADO PS locales'!I190</f>
        <v>0</v>
      </c>
      <c r="J30" s="322">
        <f>(100%-$D30)*'GENERADO PS locales'!J190</f>
        <v>0</v>
      </c>
      <c r="K30" s="322">
        <f>(100%-$D30)*'GENERADO PS locales'!K190</f>
        <v>0</v>
      </c>
      <c r="L30" s="322">
        <f>(100%-$D30)*'GENERADO PS locales'!L190</f>
        <v>0</v>
      </c>
      <c r="M30" s="322">
        <f>(100%-$D30)*'GENERADO PS locales'!M190</f>
        <v>0</v>
      </c>
      <c r="N30" s="322">
        <f>(100%-$D30)*'GENERADO PS locales'!N190</f>
        <v>0</v>
      </c>
      <c r="O30" s="322">
        <f>(100%-$D30)*'GENERADO PS locales'!O190</f>
        <v>0</v>
      </c>
      <c r="P30" s="322">
        <f>(100%-$D30)*'GENERADO PS locales'!P190</f>
        <v>0</v>
      </c>
      <c r="Q30" s="322">
        <f>(100%-$D30)*'GENERADO PS locales'!Q190</f>
        <v>0</v>
      </c>
      <c r="R30" s="322">
        <f>(100%-$D30)*'GENERADO PS locales'!R190</f>
        <v>0</v>
      </c>
      <c r="S30" s="322">
        <f>(100%-$D30)*'GENERADO PS locales'!S190</f>
        <v>0</v>
      </c>
      <c r="T30" s="322">
        <f>(100%-$D30)*'GENERADO PS locales'!T190</f>
        <v>0</v>
      </c>
      <c r="U30" s="322">
        <f>(100%-$D30)*'GENERADO PS locales'!U190</f>
        <v>0</v>
      </c>
      <c r="V30" s="322">
        <f>(100%-$D30)*'GENERADO PS locales'!V190</f>
        <v>0</v>
      </c>
      <c r="W30" s="322">
        <f>(100%-$D30)*'GENERADO PS locales'!W190</f>
        <v>0</v>
      </c>
      <c r="X30" s="322">
        <f>(100%-$D30)*'GENERADO PS locales'!X190</f>
        <v>0</v>
      </c>
      <c r="Y30" s="322">
        <f>(100%-$D30)*'GENERADO PS locales'!Y190</f>
        <v>0</v>
      </c>
      <c r="Z30" s="322">
        <f>(100%-$D30)*'GENERADO PS locales'!Z190</f>
        <v>0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20"/>
      <c r="E31" s="278"/>
      <c r="F31" s="263"/>
      <c r="G31" s="322">
        <f>(100%-$D31)*'GENERADO PS locales'!G191</f>
        <v>0</v>
      </c>
      <c r="H31" s="322">
        <f>(100%-$D31)*'GENERADO PS locales'!H191</f>
        <v>0</v>
      </c>
      <c r="I31" s="322">
        <f>(100%-$D31)*'GENERADO PS locales'!I191</f>
        <v>0</v>
      </c>
      <c r="J31" s="322">
        <f>(100%-$D31)*'GENERADO PS locales'!J191</f>
        <v>0</v>
      </c>
      <c r="K31" s="322">
        <f>(100%-$D31)*'GENERADO PS locales'!K191</f>
        <v>0</v>
      </c>
      <c r="L31" s="322">
        <f>(100%-$D31)*'GENERADO PS locales'!L191</f>
        <v>0</v>
      </c>
      <c r="M31" s="322">
        <f>(100%-$D31)*'GENERADO PS locales'!M191</f>
        <v>0</v>
      </c>
      <c r="N31" s="322">
        <f>(100%-$D31)*'GENERADO PS locales'!N191</f>
        <v>0</v>
      </c>
      <c r="O31" s="322">
        <f>(100%-$D31)*'GENERADO PS locales'!O191</f>
        <v>0</v>
      </c>
      <c r="P31" s="322">
        <f>(100%-$D31)*'GENERADO PS locales'!P191</f>
        <v>0</v>
      </c>
      <c r="Q31" s="322">
        <f>(100%-$D31)*'GENERADO PS locales'!Q191</f>
        <v>0</v>
      </c>
      <c r="R31" s="322">
        <f>(100%-$D31)*'GENERADO PS locales'!R191</f>
        <v>0</v>
      </c>
      <c r="S31" s="322">
        <f>(100%-$D31)*'GENERADO PS locales'!S191</f>
        <v>0</v>
      </c>
      <c r="T31" s="322">
        <f>(100%-$D31)*'GENERADO PS locales'!T191</f>
        <v>0</v>
      </c>
      <c r="U31" s="322">
        <f>(100%-$D31)*'GENERADO PS locales'!U191</f>
        <v>0</v>
      </c>
      <c r="V31" s="322">
        <f>(100%-$D31)*'GENERADO PS locales'!V191</f>
        <v>0</v>
      </c>
      <c r="W31" s="322">
        <f>(100%-$D31)*'GENERADO PS locales'!W191</f>
        <v>0</v>
      </c>
      <c r="X31" s="322">
        <f>(100%-$D31)*'GENERADO PS locales'!X191</f>
        <v>0</v>
      </c>
      <c r="Y31" s="322">
        <f>(100%-$D31)*'GENERADO PS locales'!Y191</f>
        <v>0</v>
      </c>
      <c r="Z31" s="322">
        <f>(100%-$D31)*'GENERADO PS locales'!Z191</f>
        <v>0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20"/>
      <c r="E32" s="278"/>
      <c r="F32" s="263"/>
      <c r="G32" s="322">
        <f>(100%-$D32)*'GENERADO PS locales'!G192</f>
        <v>0</v>
      </c>
      <c r="H32" s="322">
        <f>(100%-$D32)*'GENERADO PS locales'!H192</f>
        <v>0</v>
      </c>
      <c r="I32" s="322">
        <f>(100%-$D32)*'GENERADO PS locales'!I192</f>
        <v>0</v>
      </c>
      <c r="J32" s="322">
        <f>(100%-$D32)*'GENERADO PS locales'!J192</f>
        <v>0</v>
      </c>
      <c r="K32" s="322">
        <f>(100%-$D32)*'GENERADO PS locales'!K192</f>
        <v>0</v>
      </c>
      <c r="L32" s="322">
        <f>(100%-$D32)*'GENERADO PS locales'!L192</f>
        <v>0</v>
      </c>
      <c r="M32" s="322">
        <f>(100%-$D32)*'GENERADO PS locales'!M192</f>
        <v>0</v>
      </c>
      <c r="N32" s="322">
        <f>(100%-$D32)*'GENERADO PS locales'!N192</f>
        <v>0</v>
      </c>
      <c r="O32" s="322">
        <f>(100%-$D32)*'GENERADO PS locales'!O192</f>
        <v>0</v>
      </c>
      <c r="P32" s="322">
        <f>(100%-$D32)*'GENERADO PS locales'!P192</f>
        <v>0</v>
      </c>
      <c r="Q32" s="322">
        <f>(100%-$D32)*'GENERADO PS locales'!Q192</f>
        <v>0</v>
      </c>
      <c r="R32" s="322">
        <f>(100%-$D32)*'GENERADO PS locales'!R192</f>
        <v>0</v>
      </c>
      <c r="S32" s="322">
        <f>(100%-$D32)*'GENERADO PS locales'!S192</f>
        <v>0</v>
      </c>
      <c r="T32" s="322">
        <f>(100%-$D32)*'GENERADO PS locales'!T192</f>
        <v>0</v>
      </c>
      <c r="U32" s="322">
        <f>(100%-$D32)*'GENERADO PS locales'!U192</f>
        <v>0</v>
      </c>
      <c r="V32" s="322">
        <f>(100%-$D32)*'GENERADO PS locales'!V192</f>
        <v>0</v>
      </c>
      <c r="W32" s="322">
        <f>(100%-$D32)*'GENERADO PS locales'!W192</f>
        <v>0</v>
      </c>
      <c r="X32" s="322">
        <f>(100%-$D32)*'GENERADO PS locales'!X192</f>
        <v>0</v>
      </c>
      <c r="Y32" s="322">
        <f>(100%-$D32)*'GENERADO PS locales'!Y192</f>
        <v>0</v>
      </c>
      <c r="Z32" s="322">
        <f>(100%-$D32)*'GENERADO PS locales'!Z192</f>
        <v>0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20"/>
      <c r="E33" s="278"/>
      <c r="F33" s="263"/>
      <c r="G33" s="322">
        <f>(100%-$D33)*'GENERADO PS locales'!G193</f>
        <v>0</v>
      </c>
      <c r="H33" s="322">
        <f>(100%-$D33)*'GENERADO PS locales'!H193</f>
        <v>0</v>
      </c>
      <c r="I33" s="322">
        <f>(100%-$D33)*'GENERADO PS locales'!I193</f>
        <v>0</v>
      </c>
      <c r="J33" s="322">
        <f>(100%-$D33)*'GENERADO PS locales'!J193</f>
        <v>0</v>
      </c>
      <c r="K33" s="322">
        <f>(100%-$D33)*'GENERADO PS locales'!K193</f>
        <v>0</v>
      </c>
      <c r="L33" s="322">
        <f>(100%-$D33)*'GENERADO PS locales'!L193</f>
        <v>0</v>
      </c>
      <c r="M33" s="322">
        <f>(100%-$D33)*'GENERADO PS locales'!M193</f>
        <v>0</v>
      </c>
      <c r="N33" s="322">
        <f>(100%-$D33)*'GENERADO PS locales'!N193</f>
        <v>0</v>
      </c>
      <c r="O33" s="322">
        <f>(100%-$D33)*'GENERADO PS locales'!O193</f>
        <v>0</v>
      </c>
      <c r="P33" s="322">
        <f>(100%-$D33)*'GENERADO PS locales'!P193</f>
        <v>0</v>
      </c>
      <c r="Q33" s="322">
        <f>(100%-$D33)*'GENERADO PS locales'!Q193</f>
        <v>0</v>
      </c>
      <c r="R33" s="322">
        <f>(100%-$D33)*'GENERADO PS locales'!R193</f>
        <v>0</v>
      </c>
      <c r="S33" s="322">
        <f>(100%-$D33)*'GENERADO PS locales'!S193</f>
        <v>0</v>
      </c>
      <c r="T33" s="322">
        <f>(100%-$D33)*'GENERADO PS locales'!T193</f>
        <v>0</v>
      </c>
      <c r="U33" s="322">
        <f>(100%-$D33)*'GENERADO PS locales'!U193</f>
        <v>0</v>
      </c>
      <c r="V33" s="322">
        <f>(100%-$D33)*'GENERADO PS locales'!V193</f>
        <v>0</v>
      </c>
      <c r="W33" s="322">
        <f>(100%-$D33)*'GENERADO PS locales'!W193</f>
        <v>0</v>
      </c>
      <c r="X33" s="322">
        <f>(100%-$D33)*'GENERADO PS locales'!X193</f>
        <v>0</v>
      </c>
      <c r="Y33" s="322">
        <f>(100%-$D33)*'GENERADO PS locales'!Y193</f>
        <v>0</v>
      </c>
      <c r="Z33" s="322">
        <f>(100%-$D33)*'GENERADO PS locales'!Z193</f>
        <v>0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20"/>
      <c r="E34" s="278"/>
      <c r="F34" s="263"/>
      <c r="G34" s="322">
        <f>(100%-$D34)*'GENERADO PS locales'!G194</f>
        <v>0</v>
      </c>
      <c r="H34" s="322">
        <f>(100%-$D34)*'GENERADO PS locales'!H194</f>
        <v>0</v>
      </c>
      <c r="I34" s="322">
        <f>(100%-$D34)*'GENERADO PS locales'!I194</f>
        <v>0</v>
      </c>
      <c r="J34" s="322">
        <f>(100%-$D34)*'GENERADO PS locales'!J194</f>
        <v>0</v>
      </c>
      <c r="K34" s="322">
        <f>(100%-$D34)*'GENERADO PS locales'!K194</f>
        <v>0</v>
      </c>
      <c r="L34" s="322">
        <f>(100%-$D34)*'GENERADO PS locales'!L194</f>
        <v>0</v>
      </c>
      <c r="M34" s="322">
        <f>(100%-$D34)*'GENERADO PS locales'!M194</f>
        <v>0</v>
      </c>
      <c r="N34" s="322">
        <f>(100%-$D34)*'GENERADO PS locales'!N194</f>
        <v>0</v>
      </c>
      <c r="O34" s="322">
        <f>(100%-$D34)*'GENERADO PS locales'!O194</f>
        <v>0</v>
      </c>
      <c r="P34" s="322">
        <f>(100%-$D34)*'GENERADO PS locales'!P194</f>
        <v>0</v>
      </c>
      <c r="Q34" s="322">
        <f>(100%-$D34)*'GENERADO PS locales'!Q194</f>
        <v>0</v>
      </c>
      <c r="R34" s="322">
        <f>(100%-$D34)*'GENERADO PS locales'!R194</f>
        <v>0</v>
      </c>
      <c r="S34" s="322">
        <f>(100%-$D34)*'GENERADO PS locales'!S194</f>
        <v>0</v>
      </c>
      <c r="T34" s="322">
        <f>(100%-$D34)*'GENERADO PS locales'!T194</f>
        <v>0</v>
      </c>
      <c r="U34" s="322">
        <f>(100%-$D34)*'GENERADO PS locales'!U194</f>
        <v>0</v>
      </c>
      <c r="V34" s="322">
        <f>(100%-$D34)*'GENERADO PS locales'!V194</f>
        <v>0</v>
      </c>
      <c r="W34" s="322">
        <f>(100%-$D34)*'GENERADO PS locales'!W194</f>
        <v>0</v>
      </c>
      <c r="X34" s="322">
        <f>(100%-$D34)*'GENERADO PS locales'!X194</f>
        <v>0</v>
      </c>
      <c r="Y34" s="322">
        <f>(100%-$D34)*'GENERADO PS locales'!Y194</f>
        <v>0</v>
      </c>
      <c r="Z34" s="322">
        <f>(100%-$D34)*'GENERADO PS locales'!Z194</f>
        <v>0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20"/>
      <c r="E35" s="278"/>
      <c r="F35" s="263"/>
      <c r="G35" s="322">
        <f>(100%-$D35)*'GENERADO PS locales'!G195</f>
        <v>0</v>
      </c>
      <c r="H35" s="322">
        <f>(100%-$D35)*'GENERADO PS locales'!H195</f>
        <v>0</v>
      </c>
      <c r="I35" s="322">
        <f>(100%-$D35)*'GENERADO PS locales'!I195</f>
        <v>0</v>
      </c>
      <c r="J35" s="322">
        <f>(100%-$D35)*'GENERADO PS locales'!J195</f>
        <v>0</v>
      </c>
      <c r="K35" s="322">
        <f>(100%-$D35)*'GENERADO PS locales'!K195</f>
        <v>0</v>
      </c>
      <c r="L35" s="322">
        <f>(100%-$D35)*'GENERADO PS locales'!L195</f>
        <v>0</v>
      </c>
      <c r="M35" s="322">
        <f>(100%-$D35)*'GENERADO PS locales'!M195</f>
        <v>0</v>
      </c>
      <c r="N35" s="322">
        <f>(100%-$D35)*'GENERADO PS locales'!N195</f>
        <v>0</v>
      </c>
      <c r="O35" s="322">
        <f>(100%-$D35)*'GENERADO PS locales'!O195</f>
        <v>0</v>
      </c>
      <c r="P35" s="322">
        <f>(100%-$D35)*'GENERADO PS locales'!P195</f>
        <v>0</v>
      </c>
      <c r="Q35" s="322">
        <f>(100%-$D35)*'GENERADO PS locales'!Q195</f>
        <v>0</v>
      </c>
      <c r="R35" s="322">
        <f>(100%-$D35)*'GENERADO PS locales'!R195</f>
        <v>0</v>
      </c>
      <c r="S35" s="322">
        <f>(100%-$D35)*'GENERADO PS locales'!S195</f>
        <v>0</v>
      </c>
      <c r="T35" s="322">
        <f>(100%-$D35)*'GENERADO PS locales'!T195</f>
        <v>0</v>
      </c>
      <c r="U35" s="322">
        <f>(100%-$D35)*'GENERADO PS locales'!U195</f>
        <v>0</v>
      </c>
      <c r="V35" s="322">
        <f>(100%-$D35)*'GENERADO PS locales'!V195</f>
        <v>0</v>
      </c>
      <c r="W35" s="322">
        <f>(100%-$D35)*'GENERADO PS locales'!W195</f>
        <v>0</v>
      </c>
      <c r="X35" s="322">
        <f>(100%-$D35)*'GENERADO PS locales'!X195</f>
        <v>0</v>
      </c>
      <c r="Y35" s="322">
        <f>(100%-$D35)*'GENERADO PS locales'!Y195</f>
        <v>0</v>
      </c>
      <c r="Z35" s="322">
        <f>(100%-$D35)*'GENERADO PS locales'!Z195</f>
        <v>0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20"/>
      <c r="E36" s="278"/>
      <c r="F36" s="263"/>
      <c r="G36" s="322">
        <f>(100%-$D36)*'GENERADO PS locales'!G196</f>
        <v>0</v>
      </c>
      <c r="H36" s="322">
        <f>(100%-$D36)*'GENERADO PS locales'!H196</f>
        <v>0</v>
      </c>
      <c r="I36" s="322">
        <f>(100%-$D36)*'GENERADO PS locales'!I196</f>
        <v>0</v>
      </c>
      <c r="J36" s="322">
        <f>(100%-$D36)*'GENERADO PS locales'!J196</f>
        <v>0</v>
      </c>
      <c r="K36" s="322">
        <f>(100%-$D36)*'GENERADO PS locales'!K196</f>
        <v>0</v>
      </c>
      <c r="L36" s="322">
        <f>(100%-$D36)*'GENERADO PS locales'!L196</f>
        <v>0</v>
      </c>
      <c r="M36" s="322">
        <f>(100%-$D36)*'GENERADO PS locales'!M196</f>
        <v>0</v>
      </c>
      <c r="N36" s="322">
        <f>(100%-$D36)*'GENERADO PS locales'!N196</f>
        <v>0</v>
      </c>
      <c r="O36" s="322">
        <f>(100%-$D36)*'GENERADO PS locales'!O196</f>
        <v>0</v>
      </c>
      <c r="P36" s="322">
        <f>(100%-$D36)*'GENERADO PS locales'!P196</f>
        <v>0</v>
      </c>
      <c r="Q36" s="322">
        <f>(100%-$D36)*'GENERADO PS locales'!Q196</f>
        <v>0</v>
      </c>
      <c r="R36" s="322">
        <f>(100%-$D36)*'GENERADO PS locales'!R196</f>
        <v>0</v>
      </c>
      <c r="S36" s="322">
        <f>(100%-$D36)*'GENERADO PS locales'!S196</f>
        <v>0</v>
      </c>
      <c r="T36" s="322">
        <f>(100%-$D36)*'GENERADO PS locales'!T196</f>
        <v>0</v>
      </c>
      <c r="U36" s="322">
        <f>(100%-$D36)*'GENERADO PS locales'!U196</f>
        <v>0</v>
      </c>
      <c r="V36" s="322">
        <f>(100%-$D36)*'GENERADO PS locales'!V196</f>
        <v>0</v>
      </c>
      <c r="W36" s="322">
        <f>(100%-$D36)*'GENERADO PS locales'!W196</f>
        <v>0</v>
      </c>
      <c r="X36" s="322">
        <f>(100%-$D36)*'GENERADO PS locales'!X196</f>
        <v>0</v>
      </c>
      <c r="Y36" s="322">
        <f>(100%-$D36)*'GENERADO PS locales'!Y196</f>
        <v>0</v>
      </c>
      <c r="Z36" s="322">
        <f>(100%-$D36)*'GENERADO PS locales'!Z196</f>
        <v>0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20"/>
      <c r="E37" s="278"/>
      <c r="F37" s="263"/>
      <c r="G37" s="322">
        <f>(100%-$D37)*'GENERADO PS locales'!G197</f>
        <v>0</v>
      </c>
      <c r="H37" s="322">
        <f>(100%-$D37)*'GENERADO PS locales'!H197</f>
        <v>0</v>
      </c>
      <c r="I37" s="322">
        <f>(100%-$D37)*'GENERADO PS locales'!I197</f>
        <v>0</v>
      </c>
      <c r="J37" s="322">
        <f>(100%-$D37)*'GENERADO PS locales'!J197</f>
        <v>0</v>
      </c>
      <c r="K37" s="322">
        <f>(100%-$D37)*'GENERADO PS locales'!K197</f>
        <v>0</v>
      </c>
      <c r="L37" s="322">
        <f>(100%-$D37)*'GENERADO PS locales'!L197</f>
        <v>0</v>
      </c>
      <c r="M37" s="322">
        <f>(100%-$D37)*'GENERADO PS locales'!M197</f>
        <v>0</v>
      </c>
      <c r="N37" s="322">
        <f>(100%-$D37)*'GENERADO PS locales'!N197</f>
        <v>0</v>
      </c>
      <c r="O37" s="322">
        <f>(100%-$D37)*'GENERADO PS locales'!O197</f>
        <v>0</v>
      </c>
      <c r="P37" s="322">
        <f>(100%-$D37)*'GENERADO PS locales'!P197</f>
        <v>0</v>
      </c>
      <c r="Q37" s="322">
        <f>(100%-$D37)*'GENERADO PS locales'!Q197</f>
        <v>0</v>
      </c>
      <c r="R37" s="322">
        <f>(100%-$D37)*'GENERADO PS locales'!R197</f>
        <v>0</v>
      </c>
      <c r="S37" s="322">
        <f>(100%-$D37)*'GENERADO PS locales'!S197</f>
        <v>0</v>
      </c>
      <c r="T37" s="322">
        <f>(100%-$D37)*'GENERADO PS locales'!T197</f>
        <v>0</v>
      </c>
      <c r="U37" s="322">
        <f>(100%-$D37)*'GENERADO PS locales'!U197</f>
        <v>0</v>
      </c>
      <c r="V37" s="322">
        <f>(100%-$D37)*'GENERADO PS locales'!V197</f>
        <v>0</v>
      </c>
      <c r="W37" s="322">
        <f>(100%-$D37)*'GENERADO PS locales'!W197</f>
        <v>0</v>
      </c>
      <c r="X37" s="322">
        <f>(100%-$D37)*'GENERADO PS locales'!X197</f>
        <v>0</v>
      </c>
      <c r="Y37" s="322">
        <f>(100%-$D37)*'GENERADO PS locales'!Y197</f>
        <v>0</v>
      </c>
      <c r="Z37" s="322">
        <f>(100%-$D37)*'GENERADO PS locales'!Z197</f>
        <v>0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20"/>
      <c r="E38" s="278"/>
      <c r="F38" s="263"/>
      <c r="G38" s="322">
        <f>(100%-$D38)*'GENERADO PS locales'!G198</f>
        <v>0</v>
      </c>
      <c r="H38" s="322">
        <f>(100%-$D38)*'GENERADO PS locales'!H198</f>
        <v>0</v>
      </c>
      <c r="I38" s="322">
        <f>(100%-$D38)*'GENERADO PS locales'!I198</f>
        <v>0</v>
      </c>
      <c r="J38" s="322">
        <f>(100%-$D38)*'GENERADO PS locales'!J198</f>
        <v>0</v>
      </c>
      <c r="K38" s="322">
        <f>(100%-$D38)*'GENERADO PS locales'!K198</f>
        <v>0</v>
      </c>
      <c r="L38" s="322">
        <f>(100%-$D38)*'GENERADO PS locales'!L198</f>
        <v>0</v>
      </c>
      <c r="M38" s="322">
        <f>(100%-$D38)*'GENERADO PS locales'!M198</f>
        <v>0</v>
      </c>
      <c r="N38" s="322">
        <f>(100%-$D38)*'GENERADO PS locales'!N198</f>
        <v>0</v>
      </c>
      <c r="O38" s="322">
        <f>(100%-$D38)*'GENERADO PS locales'!O198</f>
        <v>0</v>
      </c>
      <c r="P38" s="322">
        <f>(100%-$D38)*'GENERADO PS locales'!P198</f>
        <v>0</v>
      </c>
      <c r="Q38" s="322">
        <f>(100%-$D38)*'GENERADO PS locales'!Q198</f>
        <v>0</v>
      </c>
      <c r="R38" s="322">
        <f>(100%-$D38)*'GENERADO PS locales'!R198</f>
        <v>0</v>
      </c>
      <c r="S38" s="322">
        <f>(100%-$D38)*'GENERADO PS locales'!S198</f>
        <v>0</v>
      </c>
      <c r="T38" s="322">
        <f>(100%-$D38)*'GENERADO PS locales'!T198</f>
        <v>0</v>
      </c>
      <c r="U38" s="322">
        <f>(100%-$D38)*'GENERADO PS locales'!U198</f>
        <v>0</v>
      </c>
      <c r="V38" s="322">
        <f>(100%-$D38)*'GENERADO PS locales'!V198</f>
        <v>0</v>
      </c>
      <c r="W38" s="322">
        <f>(100%-$D38)*'GENERADO PS locales'!W198</f>
        <v>0</v>
      </c>
      <c r="X38" s="322">
        <f>(100%-$D38)*'GENERADO PS locales'!X198</f>
        <v>0</v>
      </c>
      <c r="Y38" s="322">
        <f>(100%-$D38)*'GENERADO PS locales'!Y198</f>
        <v>0</v>
      </c>
      <c r="Z38" s="322">
        <f>(100%-$D38)*'GENERADO PS locales'!Z198</f>
        <v>0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20"/>
      <c r="E39" s="278"/>
      <c r="F39" s="263"/>
      <c r="G39" s="322">
        <f>(100%-$D39)*'GENERADO PS locales'!G199</f>
        <v>0</v>
      </c>
      <c r="H39" s="322">
        <f>(100%-$D39)*'GENERADO PS locales'!H199</f>
        <v>0</v>
      </c>
      <c r="I39" s="322">
        <f>(100%-$D39)*'GENERADO PS locales'!I199</f>
        <v>0</v>
      </c>
      <c r="J39" s="322">
        <f>(100%-$D39)*'GENERADO PS locales'!J199</f>
        <v>0</v>
      </c>
      <c r="K39" s="322">
        <f>(100%-$D39)*'GENERADO PS locales'!K199</f>
        <v>0</v>
      </c>
      <c r="L39" s="322">
        <f>(100%-$D39)*'GENERADO PS locales'!L199</f>
        <v>0</v>
      </c>
      <c r="M39" s="322">
        <f>(100%-$D39)*'GENERADO PS locales'!M199</f>
        <v>0</v>
      </c>
      <c r="N39" s="322">
        <f>(100%-$D39)*'GENERADO PS locales'!N199</f>
        <v>0</v>
      </c>
      <c r="O39" s="322">
        <f>(100%-$D39)*'GENERADO PS locales'!O199</f>
        <v>0</v>
      </c>
      <c r="P39" s="322">
        <f>(100%-$D39)*'GENERADO PS locales'!P199</f>
        <v>0</v>
      </c>
      <c r="Q39" s="322">
        <f>(100%-$D39)*'GENERADO PS locales'!Q199</f>
        <v>0</v>
      </c>
      <c r="R39" s="322">
        <f>(100%-$D39)*'GENERADO PS locales'!R199</f>
        <v>0</v>
      </c>
      <c r="S39" s="322">
        <f>(100%-$D39)*'GENERADO PS locales'!S199</f>
        <v>0</v>
      </c>
      <c r="T39" s="322">
        <f>(100%-$D39)*'GENERADO PS locales'!T199</f>
        <v>0</v>
      </c>
      <c r="U39" s="322">
        <f>(100%-$D39)*'GENERADO PS locales'!U199</f>
        <v>0</v>
      </c>
      <c r="V39" s="322">
        <f>(100%-$D39)*'GENERADO PS locales'!V199</f>
        <v>0</v>
      </c>
      <c r="W39" s="322">
        <f>(100%-$D39)*'GENERADO PS locales'!W199</f>
        <v>0</v>
      </c>
      <c r="X39" s="322">
        <f>(100%-$D39)*'GENERADO PS locales'!X199</f>
        <v>0</v>
      </c>
      <c r="Y39" s="322">
        <f>(100%-$D39)*'GENERADO PS locales'!Y199</f>
        <v>0</v>
      </c>
      <c r="Z39" s="322">
        <f>(100%-$D39)*'GENERADO PS locales'!Z199</f>
        <v>0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20"/>
      <c r="E40" s="278"/>
      <c r="F40" s="263"/>
      <c r="G40" s="322">
        <f>(100%-$D40)*'GENERADO PS locales'!G200</f>
        <v>0</v>
      </c>
      <c r="H40" s="322">
        <f>(100%-$D40)*'GENERADO PS locales'!H200</f>
        <v>0</v>
      </c>
      <c r="I40" s="322">
        <f>(100%-$D40)*'GENERADO PS locales'!I200</f>
        <v>0</v>
      </c>
      <c r="J40" s="322">
        <f>(100%-$D40)*'GENERADO PS locales'!J200</f>
        <v>0</v>
      </c>
      <c r="K40" s="322">
        <f>(100%-$D40)*'GENERADO PS locales'!K200</f>
        <v>0</v>
      </c>
      <c r="L40" s="322">
        <f>(100%-$D40)*'GENERADO PS locales'!L200</f>
        <v>0</v>
      </c>
      <c r="M40" s="322">
        <f>(100%-$D40)*'GENERADO PS locales'!M200</f>
        <v>0</v>
      </c>
      <c r="N40" s="322">
        <f>(100%-$D40)*'GENERADO PS locales'!N200</f>
        <v>0</v>
      </c>
      <c r="O40" s="322">
        <f>(100%-$D40)*'GENERADO PS locales'!O200</f>
        <v>0</v>
      </c>
      <c r="P40" s="322">
        <f>(100%-$D40)*'GENERADO PS locales'!P200</f>
        <v>0</v>
      </c>
      <c r="Q40" s="322">
        <f>(100%-$D40)*'GENERADO PS locales'!Q200</f>
        <v>0</v>
      </c>
      <c r="R40" s="322">
        <f>(100%-$D40)*'GENERADO PS locales'!R200</f>
        <v>0</v>
      </c>
      <c r="S40" s="322">
        <f>(100%-$D40)*'GENERADO PS locales'!S200</f>
        <v>0</v>
      </c>
      <c r="T40" s="322">
        <f>(100%-$D40)*'GENERADO PS locales'!T200</f>
        <v>0</v>
      </c>
      <c r="U40" s="322">
        <f>(100%-$D40)*'GENERADO PS locales'!U200</f>
        <v>0</v>
      </c>
      <c r="V40" s="322">
        <f>(100%-$D40)*'GENERADO PS locales'!V200</f>
        <v>0</v>
      </c>
      <c r="W40" s="322">
        <f>(100%-$D40)*'GENERADO PS locales'!W200</f>
        <v>0</v>
      </c>
      <c r="X40" s="322">
        <f>(100%-$D40)*'GENERADO PS locales'!X200</f>
        <v>0</v>
      </c>
      <c r="Y40" s="322">
        <f>(100%-$D40)*'GENERADO PS locales'!Y200</f>
        <v>0</v>
      </c>
      <c r="Z40" s="322">
        <f>(100%-$D40)*'GENERADO PS locales'!Z200</f>
        <v>0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20"/>
      <c r="E41" s="278"/>
      <c r="F41" s="263"/>
      <c r="G41" s="322">
        <f>(100%-$D41)*'GENERADO PS locales'!G201</f>
        <v>0</v>
      </c>
      <c r="H41" s="322">
        <f>(100%-$D41)*'GENERADO PS locales'!H201</f>
        <v>0</v>
      </c>
      <c r="I41" s="322">
        <f>(100%-$D41)*'GENERADO PS locales'!I201</f>
        <v>0</v>
      </c>
      <c r="J41" s="322">
        <f>(100%-$D41)*'GENERADO PS locales'!J201</f>
        <v>0</v>
      </c>
      <c r="K41" s="322">
        <f>(100%-$D41)*'GENERADO PS locales'!K201</f>
        <v>0</v>
      </c>
      <c r="L41" s="322">
        <f>(100%-$D41)*'GENERADO PS locales'!L201</f>
        <v>0</v>
      </c>
      <c r="M41" s="322">
        <f>(100%-$D41)*'GENERADO PS locales'!M201</f>
        <v>0</v>
      </c>
      <c r="N41" s="322">
        <f>(100%-$D41)*'GENERADO PS locales'!N201</f>
        <v>0</v>
      </c>
      <c r="O41" s="322">
        <f>(100%-$D41)*'GENERADO PS locales'!O201</f>
        <v>0</v>
      </c>
      <c r="P41" s="322">
        <f>(100%-$D41)*'GENERADO PS locales'!P201</f>
        <v>0</v>
      </c>
      <c r="Q41" s="322">
        <f>(100%-$D41)*'GENERADO PS locales'!Q201</f>
        <v>0</v>
      </c>
      <c r="R41" s="322">
        <f>(100%-$D41)*'GENERADO PS locales'!R201</f>
        <v>0</v>
      </c>
      <c r="S41" s="322">
        <f>(100%-$D41)*'GENERADO PS locales'!S201</f>
        <v>0</v>
      </c>
      <c r="T41" s="322">
        <f>(100%-$D41)*'GENERADO PS locales'!T201</f>
        <v>0</v>
      </c>
      <c r="U41" s="322">
        <f>(100%-$D41)*'GENERADO PS locales'!U201</f>
        <v>0</v>
      </c>
      <c r="V41" s="322">
        <f>(100%-$D41)*'GENERADO PS locales'!V201</f>
        <v>0</v>
      </c>
      <c r="W41" s="322">
        <f>(100%-$D41)*'GENERADO PS locales'!W201</f>
        <v>0</v>
      </c>
      <c r="X41" s="322">
        <f>(100%-$D41)*'GENERADO PS locales'!X201</f>
        <v>0</v>
      </c>
      <c r="Y41" s="322">
        <f>(100%-$D41)*'GENERADO PS locales'!Y201</f>
        <v>0</v>
      </c>
      <c r="Z41" s="322">
        <f>(100%-$D41)*'GENERADO PS locales'!Z201</f>
        <v>0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20"/>
      <c r="E42" s="278"/>
      <c r="F42" s="263"/>
      <c r="G42" s="322">
        <f>(100%-$D42)*'GENERADO PS locales'!G202</f>
        <v>0</v>
      </c>
      <c r="H42" s="322">
        <f>(100%-$D42)*'GENERADO PS locales'!H202</f>
        <v>0</v>
      </c>
      <c r="I42" s="322">
        <f>(100%-$D42)*'GENERADO PS locales'!I202</f>
        <v>0</v>
      </c>
      <c r="J42" s="322">
        <f>(100%-$D42)*'GENERADO PS locales'!J202</f>
        <v>0</v>
      </c>
      <c r="K42" s="322">
        <f>(100%-$D42)*'GENERADO PS locales'!K202</f>
        <v>0</v>
      </c>
      <c r="L42" s="322">
        <f>(100%-$D42)*'GENERADO PS locales'!L202</f>
        <v>0</v>
      </c>
      <c r="M42" s="322">
        <f>(100%-$D42)*'GENERADO PS locales'!M202</f>
        <v>0</v>
      </c>
      <c r="N42" s="322">
        <f>(100%-$D42)*'GENERADO PS locales'!N202</f>
        <v>0</v>
      </c>
      <c r="O42" s="322">
        <f>(100%-$D42)*'GENERADO PS locales'!O202</f>
        <v>0</v>
      </c>
      <c r="P42" s="322">
        <f>(100%-$D42)*'GENERADO PS locales'!P202</f>
        <v>0</v>
      </c>
      <c r="Q42" s="322">
        <f>(100%-$D42)*'GENERADO PS locales'!Q202</f>
        <v>0</v>
      </c>
      <c r="R42" s="322">
        <f>(100%-$D42)*'GENERADO PS locales'!R202</f>
        <v>0</v>
      </c>
      <c r="S42" s="322">
        <f>(100%-$D42)*'GENERADO PS locales'!S202</f>
        <v>0</v>
      </c>
      <c r="T42" s="322">
        <f>(100%-$D42)*'GENERADO PS locales'!T202</f>
        <v>0</v>
      </c>
      <c r="U42" s="322">
        <f>(100%-$D42)*'GENERADO PS locales'!U202</f>
        <v>0</v>
      </c>
      <c r="V42" s="322">
        <f>(100%-$D42)*'GENERADO PS locales'!V202</f>
        <v>0</v>
      </c>
      <c r="W42" s="322">
        <f>(100%-$D42)*'GENERADO PS locales'!W202</f>
        <v>0</v>
      </c>
      <c r="X42" s="322">
        <f>(100%-$D42)*'GENERADO PS locales'!X202</f>
        <v>0</v>
      </c>
      <c r="Y42" s="322">
        <f>(100%-$D42)*'GENERADO PS locales'!Y202</f>
        <v>0</v>
      </c>
      <c r="Z42" s="322">
        <f>(100%-$D42)*'GENERADO PS locales'!Z202</f>
        <v>0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20"/>
      <c r="E43" s="278"/>
      <c r="F43" s="263"/>
      <c r="G43" s="322">
        <f>(100%-$D43)*'GENERADO PS locales'!G203</f>
        <v>0</v>
      </c>
      <c r="H43" s="322">
        <f>(100%-$D43)*'GENERADO PS locales'!H203</f>
        <v>0</v>
      </c>
      <c r="I43" s="322">
        <f>(100%-$D43)*'GENERADO PS locales'!I203</f>
        <v>0</v>
      </c>
      <c r="J43" s="322">
        <f>(100%-$D43)*'GENERADO PS locales'!J203</f>
        <v>0</v>
      </c>
      <c r="K43" s="322">
        <f>(100%-$D43)*'GENERADO PS locales'!K203</f>
        <v>0</v>
      </c>
      <c r="L43" s="322">
        <f>(100%-$D43)*'GENERADO PS locales'!L203</f>
        <v>0</v>
      </c>
      <c r="M43" s="322">
        <f>(100%-$D43)*'GENERADO PS locales'!M203</f>
        <v>0</v>
      </c>
      <c r="N43" s="322">
        <f>(100%-$D43)*'GENERADO PS locales'!N203</f>
        <v>0</v>
      </c>
      <c r="O43" s="322">
        <f>(100%-$D43)*'GENERADO PS locales'!O203</f>
        <v>0</v>
      </c>
      <c r="P43" s="322">
        <f>(100%-$D43)*'GENERADO PS locales'!P203</f>
        <v>0</v>
      </c>
      <c r="Q43" s="322">
        <f>(100%-$D43)*'GENERADO PS locales'!Q203</f>
        <v>0</v>
      </c>
      <c r="R43" s="322">
        <f>(100%-$D43)*'GENERADO PS locales'!R203</f>
        <v>0</v>
      </c>
      <c r="S43" s="322">
        <f>(100%-$D43)*'GENERADO PS locales'!S203</f>
        <v>0</v>
      </c>
      <c r="T43" s="322">
        <f>(100%-$D43)*'GENERADO PS locales'!T203</f>
        <v>0</v>
      </c>
      <c r="U43" s="322">
        <f>(100%-$D43)*'GENERADO PS locales'!U203</f>
        <v>0</v>
      </c>
      <c r="V43" s="322">
        <f>(100%-$D43)*'GENERADO PS locales'!V203</f>
        <v>0</v>
      </c>
      <c r="W43" s="322">
        <f>(100%-$D43)*'GENERADO PS locales'!W203</f>
        <v>0</v>
      </c>
      <c r="X43" s="322">
        <f>(100%-$D43)*'GENERADO PS locales'!X203</f>
        <v>0</v>
      </c>
      <c r="Y43" s="322">
        <f>(100%-$D43)*'GENERADO PS locales'!Y203</f>
        <v>0</v>
      </c>
      <c r="Z43" s="322">
        <f>(100%-$D43)*'GENERADO PS locales'!Z203</f>
        <v>0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20"/>
      <c r="E44" s="278"/>
      <c r="F44" s="263"/>
      <c r="G44" s="322">
        <f>(100%-$D44)*'GENERADO PS locales'!G204</f>
        <v>0</v>
      </c>
      <c r="H44" s="322">
        <f>(100%-$D44)*'GENERADO PS locales'!H204</f>
        <v>0</v>
      </c>
      <c r="I44" s="322">
        <f>(100%-$D44)*'GENERADO PS locales'!I204</f>
        <v>0</v>
      </c>
      <c r="J44" s="322">
        <f>(100%-$D44)*'GENERADO PS locales'!J204</f>
        <v>0</v>
      </c>
      <c r="K44" s="322">
        <f>(100%-$D44)*'GENERADO PS locales'!K204</f>
        <v>0</v>
      </c>
      <c r="L44" s="322">
        <f>(100%-$D44)*'GENERADO PS locales'!L204</f>
        <v>0</v>
      </c>
      <c r="M44" s="322">
        <f>(100%-$D44)*'GENERADO PS locales'!M204</f>
        <v>0</v>
      </c>
      <c r="N44" s="322">
        <f>(100%-$D44)*'GENERADO PS locales'!N204</f>
        <v>0</v>
      </c>
      <c r="O44" s="322">
        <f>(100%-$D44)*'GENERADO PS locales'!O204</f>
        <v>0</v>
      </c>
      <c r="P44" s="322">
        <f>(100%-$D44)*'GENERADO PS locales'!P204</f>
        <v>0</v>
      </c>
      <c r="Q44" s="322">
        <f>(100%-$D44)*'GENERADO PS locales'!Q204</f>
        <v>0</v>
      </c>
      <c r="R44" s="322">
        <f>(100%-$D44)*'GENERADO PS locales'!R204</f>
        <v>0</v>
      </c>
      <c r="S44" s="322">
        <f>(100%-$D44)*'GENERADO PS locales'!S204</f>
        <v>0</v>
      </c>
      <c r="T44" s="322">
        <f>(100%-$D44)*'GENERADO PS locales'!T204</f>
        <v>0</v>
      </c>
      <c r="U44" s="322">
        <f>(100%-$D44)*'GENERADO PS locales'!U204</f>
        <v>0</v>
      </c>
      <c r="V44" s="322">
        <f>(100%-$D44)*'GENERADO PS locales'!V204</f>
        <v>0</v>
      </c>
      <c r="W44" s="322">
        <f>(100%-$D44)*'GENERADO PS locales'!W204</f>
        <v>0</v>
      </c>
      <c r="X44" s="322">
        <f>(100%-$D44)*'GENERADO PS locales'!X204</f>
        <v>0</v>
      </c>
      <c r="Y44" s="322">
        <f>(100%-$D44)*'GENERADO PS locales'!Y204</f>
        <v>0</v>
      </c>
      <c r="Z44" s="322">
        <f>(100%-$D44)*'GENERADO PS locales'!Z204</f>
        <v>0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20"/>
      <c r="E45" s="278"/>
      <c r="F45" s="263"/>
      <c r="G45" s="322">
        <f>(100%-$D45)*'GENERADO PS locales'!G205</f>
        <v>0</v>
      </c>
      <c r="H45" s="322">
        <f>(100%-$D45)*'GENERADO PS locales'!H205</f>
        <v>0</v>
      </c>
      <c r="I45" s="322">
        <f>(100%-$D45)*'GENERADO PS locales'!I205</f>
        <v>0</v>
      </c>
      <c r="J45" s="322">
        <f>(100%-$D45)*'GENERADO PS locales'!J205</f>
        <v>0</v>
      </c>
      <c r="K45" s="322">
        <f>(100%-$D45)*'GENERADO PS locales'!K205</f>
        <v>0</v>
      </c>
      <c r="L45" s="322">
        <f>(100%-$D45)*'GENERADO PS locales'!L205</f>
        <v>0</v>
      </c>
      <c r="M45" s="322">
        <f>(100%-$D45)*'GENERADO PS locales'!M205</f>
        <v>0</v>
      </c>
      <c r="N45" s="322">
        <f>(100%-$D45)*'GENERADO PS locales'!N205</f>
        <v>0</v>
      </c>
      <c r="O45" s="322">
        <f>(100%-$D45)*'GENERADO PS locales'!O205</f>
        <v>0</v>
      </c>
      <c r="P45" s="322">
        <f>(100%-$D45)*'GENERADO PS locales'!P205</f>
        <v>0</v>
      </c>
      <c r="Q45" s="322">
        <f>(100%-$D45)*'GENERADO PS locales'!Q205</f>
        <v>0</v>
      </c>
      <c r="R45" s="322">
        <f>(100%-$D45)*'GENERADO PS locales'!R205</f>
        <v>0</v>
      </c>
      <c r="S45" s="322">
        <f>(100%-$D45)*'GENERADO PS locales'!S205</f>
        <v>0</v>
      </c>
      <c r="T45" s="322">
        <f>(100%-$D45)*'GENERADO PS locales'!T205</f>
        <v>0</v>
      </c>
      <c r="U45" s="322">
        <f>(100%-$D45)*'GENERADO PS locales'!U205</f>
        <v>0</v>
      </c>
      <c r="V45" s="322">
        <f>(100%-$D45)*'GENERADO PS locales'!V205</f>
        <v>0</v>
      </c>
      <c r="W45" s="322">
        <f>(100%-$D45)*'GENERADO PS locales'!W205</f>
        <v>0</v>
      </c>
      <c r="X45" s="322">
        <f>(100%-$D45)*'GENERADO PS locales'!X205</f>
        <v>0</v>
      </c>
      <c r="Y45" s="322">
        <f>(100%-$D45)*'GENERADO PS locales'!Y205</f>
        <v>0</v>
      </c>
      <c r="Z45" s="322">
        <f>(100%-$D45)*'GENERADO PS locales'!Z205</f>
        <v>0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20"/>
      <c r="E46" s="278"/>
      <c r="F46" s="263"/>
      <c r="G46" s="322">
        <f>(100%-$D46)*'GENERADO PS locales'!G206</f>
        <v>0</v>
      </c>
      <c r="H46" s="322">
        <f>(100%-$D46)*'GENERADO PS locales'!H206</f>
        <v>0</v>
      </c>
      <c r="I46" s="322">
        <f>(100%-$D46)*'GENERADO PS locales'!I206</f>
        <v>0</v>
      </c>
      <c r="J46" s="322">
        <f>(100%-$D46)*'GENERADO PS locales'!J206</f>
        <v>0</v>
      </c>
      <c r="K46" s="322">
        <f>(100%-$D46)*'GENERADO PS locales'!K206</f>
        <v>0</v>
      </c>
      <c r="L46" s="322">
        <f>(100%-$D46)*'GENERADO PS locales'!L206</f>
        <v>0</v>
      </c>
      <c r="M46" s="322">
        <f>(100%-$D46)*'GENERADO PS locales'!M206</f>
        <v>0</v>
      </c>
      <c r="N46" s="322">
        <f>(100%-$D46)*'GENERADO PS locales'!N206</f>
        <v>0</v>
      </c>
      <c r="O46" s="322">
        <f>(100%-$D46)*'GENERADO PS locales'!O206</f>
        <v>0</v>
      </c>
      <c r="P46" s="322">
        <f>(100%-$D46)*'GENERADO PS locales'!P206</f>
        <v>0</v>
      </c>
      <c r="Q46" s="322">
        <f>(100%-$D46)*'GENERADO PS locales'!Q206</f>
        <v>0</v>
      </c>
      <c r="R46" s="322">
        <f>(100%-$D46)*'GENERADO PS locales'!R206</f>
        <v>0</v>
      </c>
      <c r="S46" s="322">
        <f>(100%-$D46)*'GENERADO PS locales'!S206</f>
        <v>0</v>
      </c>
      <c r="T46" s="322">
        <f>(100%-$D46)*'GENERADO PS locales'!T206</f>
        <v>0</v>
      </c>
      <c r="U46" s="322">
        <f>(100%-$D46)*'GENERADO PS locales'!U206</f>
        <v>0</v>
      </c>
      <c r="V46" s="322">
        <f>(100%-$D46)*'GENERADO PS locales'!V206</f>
        <v>0</v>
      </c>
      <c r="W46" s="322">
        <f>(100%-$D46)*'GENERADO PS locales'!W206</f>
        <v>0</v>
      </c>
      <c r="X46" s="322">
        <f>(100%-$D46)*'GENERADO PS locales'!X206</f>
        <v>0</v>
      </c>
      <c r="Y46" s="322">
        <f>(100%-$D46)*'GENERADO PS locales'!Y206</f>
        <v>0</v>
      </c>
      <c r="Z46" s="322">
        <f>(100%-$D46)*'GENERADO PS locales'!Z206</f>
        <v>0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20"/>
      <c r="E47" s="278"/>
      <c r="F47" s="263"/>
      <c r="G47" s="322">
        <f>(100%-$D47)*'GENERADO PS locales'!G207</f>
        <v>0</v>
      </c>
      <c r="H47" s="322">
        <f>(100%-$D47)*'GENERADO PS locales'!H207</f>
        <v>0</v>
      </c>
      <c r="I47" s="322">
        <f>(100%-$D47)*'GENERADO PS locales'!I207</f>
        <v>0</v>
      </c>
      <c r="J47" s="322">
        <f>(100%-$D47)*'GENERADO PS locales'!J207</f>
        <v>0</v>
      </c>
      <c r="K47" s="322">
        <f>(100%-$D47)*'GENERADO PS locales'!K207</f>
        <v>0</v>
      </c>
      <c r="L47" s="322">
        <f>(100%-$D47)*'GENERADO PS locales'!L207</f>
        <v>0</v>
      </c>
      <c r="M47" s="322">
        <f>(100%-$D47)*'GENERADO PS locales'!M207</f>
        <v>0</v>
      </c>
      <c r="N47" s="322">
        <f>(100%-$D47)*'GENERADO PS locales'!N207</f>
        <v>0</v>
      </c>
      <c r="O47" s="322">
        <f>(100%-$D47)*'GENERADO PS locales'!O207</f>
        <v>0</v>
      </c>
      <c r="P47" s="322">
        <f>(100%-$D47)*'GENERADO PS locales'!P207</f>
        <v>0</v>
      </c>
      <c r="Q47" s="322">
        <f>(100%-$D47)*'GENERADO PS locales'!Q207</f>
        <v>0</v>
      </c>
      <c r="R47" s="322">
        <f>(100%-$D47)*'GENERADO PS locales'!R207</f>
        <v>0</v>
      </c>
      <c r="S47" s="322">
        <f>(100%-$D47)*'GENERADO PS locales'!S207</f>
        <v>0</v>
      </c>
      <c r="T47" s="322">
        <f>(100%-$D47)*'GENERADO PS locales'!T207</f>
        <v>0</v>
      </c>
      <c r="U47" s="322">
        <f>(100%-$D47)*'GENERADO PS locales'!U207</f>
        <v>0</v>
      </c>
      <c r="V47" s="322">
        <f>(100%-$D47)*'GENERADO PS locales'!V207</f>
        <v>0</v>
      </c>
      <c r="W47" s="322">
        <f>(100%-$D47)*'GENERADO PS locales'!W207</f>
        <v>0</v>
      </c>
      <c r="X47" s="322">
        <f>(100%-$D47)*'GENERADO PS locales'!X207</f>
        <v>0</v>
      </c>
      <c r="Y47" s="322">
        <f>(100%-$D47)*'GENERADO PS locales'!Y207</f>
        <v>0</v>
      </c>
      <c r="Z47" s="322">
        <f>(100%-$D47)*'GENERADO PS locales'!Z207</f>
        <v>0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20"/>
      <c r="E48" s="278"/>
      <c r="F48" s="263"/>
      <c r="G48" s="322">
        <f>(100%-$D48)*'GENERADO PS locales'!G208</f>
        <v>0</v>
      </c>
      <c r="H48" s="322">
        <f>(100%-$D48)*'GENERADO PS locales'!H208</f>
        <v>0</v>
      </c>
      <c r="I48" s="322">
        <f>(100%-$D48)*'GENERADO PS locales'!I208</f>
        <v>0</v>
      </c>
      <c r="J48" s="322">
        <f>(100%-$D48)*'GENERADO PS locales'!J208</f>
        <v>0</v>
      </c>
      <c r="K48" s="322">
        <f>(100%-$D48)*'GENERADO PS locales'!K208</f>
        <v>0</v>
      </c>
      <c r="L48" s="322">
        <f>(100%-$D48)*'GENERADO PS locales'!L208</f>
        <v>0</v>
      </c>
      <c r="M48" s="322">
        <f>(100%-$D48)*'GENERADO PS locales'!M208</f>
        <v>0</v>
      </c>
      <c r="N48" s="322">
        <f>(100%-$D48)*'GENERADO PS locales'!N208</f>
        <v>0</v>
      </c>
      <c r="O48" s="322">
        <f>(100%-$D48)*'GENERADO PS locales'!O208</f>
        <v>0</v>
      </c>
      <c r="P48" s="322">
        <f>(100%-$D48)*'GENERADO PS locales'!P208</f>
        <v>0</v>
      </c>
      <c r="Q48" s="322">
        <f>(100%-$D48)*'GENERADO PS locales'!Q208</f>
        <v>0</v>
      </c>
      <c r="R48" s="322">
        <f>(100%-$D48)*'GENERADO PS locales'!R208</f>
        <v>0</v>
      </c>
      <c r="S48" s="322">
        <f>(100%-$D48)*'GENERADO PS locales'!S208</f>
        <v>0</v>
      </c>
      <c r="T48" s="322">
        <f>(100%-$D48)*'GENERADO PS locales'!T208</f>
        <v>0</v>
      </c>
      <c r="U48" s="322">
        <f>(100%-$D48)*'GENERADO PS locales'!U208</f>
        <v>0</v>
      </c>
      <c r="V48" s="322">
        <f>(100%-$D48)*'GENERADO PS locales'!V208</f>
        <v>0</v>
      </c>
      <c r="W48" s="322">
        <f>(100%-$D48)*'GENERADO PS locales'!W208</f>
        <v>0</v>
      </c>
      <c r="X48" s="322">
        <f>(100%-$D48)*'GENERADO PS locales'!X208</f>
        <v>0</v>
      </c>
      <c r="Y48" s="322">
        <f>(100%-$D48)*'GENERADO PS locales'!Y208</f>
        <v>0</v>
      </c>
      <c r="Z48" s="322">
        <f>(100%-$D48)*'GENERADO PS locales'!Z208</f>
        <v>0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20"/>
      <c r="E49" s="278"/>
      <c r="F49" s="263"/>
      <c r="G49" s="322">
        <f>(100%-$D49)*'GENERADO PS locales'!G209</f>
        <v>0</v>
      </c>
      <c r="H49" s="322">
        <f>(100%-$D49)*'GENERADO PS locales'!H209</f>
        <v>0</v>
      </c>
      <c r="I49" s="322">
        <f>(100%-$D49)*'GENERADO PS locales'!I209</f>
        <v>0</v>
      </c>
      <c r="J49" s="322">
        <f>(100%-$D49)*'GENERADO PS locales'!J209</f>
        <v>0</v>
      </c>
      <c r="K49" s="322">
        <f>(100%-$D49)*'GENERADO PS locales'!K209</f>
        <v>0</v>
      </c>
      <c r="L49" s="322">
        <f>(100%-$D49)*'GENERADO PS locales'!L209</f>
        <v>0</v>
      </c>
      <c r="M49" s="322">
        <f>(100%-$D49)*'GENERADO PS locales'!M209</f>
        <v>0</v>
      </c>
      <c r="N49" s="322">
        <f>(100%-$D49)*'GENERADO PS locales'!N209</f>
        <v>0</v>
      </c>
      <c r="O49" s="322">
        <f>(100%-$D49)*'GENERADO PS locales'!O209</f>
        <v>0</v>
      </c>
      <c r="P49" s="322">
        <f>(100%-$D49)*'GENERADO PS locales'!P209</f>
        <v>0</v>
      </c>
      <c r="Q49" s="322">
        <f>(100%-$D49)*'GENERADO PS locales'!Q209</f>
        <v>0</v>
      </c>
      <c r="R49" s="322">
        <f>(100%-$D49)*'GENERADO PS locales'!R209</f>
        <v>0</v>
      </c>
      <c r="S49" s="322">
        <f>(100%-$D49)*'GENERADO PS locales'!S209</f>
        <v>0</v>
      </c>
      <c r="T49" s="322">
        <f>(100%-$D49)*'GENERADO PS locales'!T209</f>
        <v>0</v>
      </c>
      <c r="U49" s="322">
        <f>(100%-$D49)*'GENERADO PS locales'!U209</f>
        <v>0</v>
      </c>
      <c r="V49" s="322">
        <f>(100%-$D49)*'GENERADO PS locales'!V209</f>
        <v>0</v>
      </c>
      <c r="W49" s="322">
        <f>(100%-$D49)*'GENERADO PS locales'!W209</f>
        <v>0</v>
      </c>
      <c r="X49" s="322">
        <f>(100%-$D49)*'GENERADO PS locales'!X209</f>
        <v>0</v>
      </c>
      <c r="Y49" s="322">
        <f>(100%-$D49)*'GENERADO PS locales'!Y209</f>
        <v>0</v>
      </c>
      <c r="Z49" s="322">
        <f>(100%-$D49)*'GENERADO PS locales'!Z209</f>
        <v>0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20"/>
      <c r="E50" s="278"/>
      <c r="F50" s="263"/>
      <c r="G50" s="322">
        <f>(100%-$D50)*'GENERADO PS locales'!G210</f>
        <v>0</v>
      </c>
      <c r="H50" s="322">
        <f>(100%-$D50)*'GENERADO PS locales'!H210</f>
        <v>0</v>
      </c>
      <c r="I50" s="322">
        <f>(100%-$D50)*'GENERADO PS locales'!I210</f>
        <v>0</v>
      </c>
      <c r="J50" s="322">
        <f>(100%-$D50)*'GENERADO PS locales'!J210</f>
        <v>0</v>
      </c>
      <c r="K50" s="322">
        <f>(100%-$D50)*'GENERADO PS locales'!K210</f>
        <v>0</v>
      </c>
      <c r="L50" s="322">
        <f>(100%-$D50)*'GENERADO PS locales'!L210</f>
        <v>0</v>
      </c>
      <c r="M50" s="322">
        <f>(100%-$D50)*'GENERADO PS locales'!M210</f>
        <v>0</v>
      </c>
      <c r="N50" s="322">
        <f>(100%-$D50)*'GENERADO PS locales'!N210</f>
        <v>0</v>
      </c>
      <c r="O50" s="322">
        <f>(100%-$D50)*'GENERADO PS locales'!O210</f>
        <v>0</v>
      </c>
      <c r="P50" s="322">
        <f>(100%-$D50)*'GENERADO PS locales'!P210</f>
        <v>0</v>
      </c>
      <c r="Q50" s="322">
        <f>(100%-$D50)*'GENERADO PS locales'!Q210</f>
        <v>0</v>
      </c>
      <c r="R50" s="322">
        <f>(100%-$D50)*'GENERADO PS locales'!R210</f>
        <v>0</v>
      </c>
      <c r="S50" s="322">
        <f>(100%-$D50)*'GENERADO PS locales'!S210</f>
        <v>0</v>
      </c>
      <c r="T50" s="322">
        <f>(100%-$D50)*'GENERADO PS locales'!T210</f>
        <v>0</v>
      </c>
      <c r="U50" s="322">
        <f>(100%-$D50)*'GENERADO PS locales'!U210</f>
        <v>0</v>
      </c>
      <c r="V50" s="322">
        <f>(100%-$D50)*'GENERADO PS locales'!V210</f>
        <v>0</v>
      </c>
      <c r="W50" s="322">
        <f>(100%-$D50)*'GENERADO PS locales'!W210</f>
        <v>0</v>
      </c>
      <c r="X50" s="322">
        <f>(100%-$D50)*'GENERADO PS locales'!X210</f>
        <v>0</v>
      </c>
      <c r="Y50" s="322">
        <f>(100%-$D50)*'GENERADO PS locales'!Y210</f>
        <v>0</v>
      </c>
      <c r="Z50" s="322">
        <f>(100%-$D50)*'GENERADO PS locales'!Z210</f>
        <v>0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20"/>
      <c r="E51" s="278"/>
      <c r="F51" s="263"/>
      <c r="G51" s="322">
        <f>(100%-$D51)*'GENERADO PS locales'!G211</f>
        <v>0</v>
      </c>
      <c r="H51" s="322">
        <f>(100%-$D51)*'GENERADO PS locales'!H211</f>
        <v>0</v>
      </c>
      <c r="I51" s="322">
        <f>(100%-$D51)*'GENERADO PS locales'!I211</f>
        <v>0</v>
      </c>
      <c r="J51" s="322">
        <f>(100%-$D51)*'GENERADO PS locales'!J211</f>
        <v>0</v>
      </c>
      <c r="K51" s="322">
        <f>(100%-$D51)*'GENERADO PS locales'!K211</f>
        <v>0</v>
      </c>
      <c r="L51" s="322">
        <f>(100%-$D51)*'GENERADO PS locales'!L211</f>
        <v>0</v>
      </c>
      <c r="M51" s="322">
        <f>(100%-$D51)*'GENERADO PS locales'!M211</f>
        <v>0</v>
      </c>
      <c r="N51" s="322">
        <f>(100%-$D51)*'GENERADO PS locales'!N211</f>
        <v>0</v>
      </c>
      <c r="O51" s="322">
        <f>(100%-$D51)*'GENERADO PS locales'!O211</f>
        <v>0</v>
      </c>
      <c r="P51" s="322">
        <f>(100%-$D51)*'GENERADO PS locales'!P211</f>
        <v>0</v>
      </c>
      <c r="Q51" s="322">
        <f>(100%-$D51)*'GENERADO PS locales'!Q211</f>
        <v>0</v>
      </c>
      <c r="R51" s="322">
        <f>(100%-$D51)*'GENERADO PS locales'!R211</f>
        <v>0</v>
      </c>
      <c r="S51" s="322">
        <f>(100%-$D51)*'GENERADO PS locales'!S211</f>
        <v>0</v>
      </c>
      <c r="T51" s="322">
        <f>(100%-$D51)*'GENERADO PS locales'!T211</f>
        <v>0</v>
      </c>
      <c r="U51" s="322">
        <f>(100%-$D51)*'GENERADO PS locales'!U211</f>
        <v>0</v>
      </c>
      <c r="V51" s="322">
        <f>(100%-$D51)*'GENERADO PS locales'!V211</f>
        <v>0</v>
      </c>
      <c r="W51" s="322">
        <f>(100%-$D51)*'GENERADO PS locales'!W211</f>
        <v>0</v>
      </c>
      <c r="X51" s="322">
        <f>(100%-$D51)*'GENERADO PS locales'!X211</f>
        <v>0</v>
      </c>
      <c r="Y51" s="322">
        <f>(100%-$D51)*'GENERADO PS locales'!Y211</f>
        <v>0</v>
      </c>
      <c r="Z51" s="322">
        <f>(100%-$D51)*'GENERADO PS locales'!Z211</f>
        <v>0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20"/>
      <c r="E52" s="278"/>
      <c r="F52" s="263"/>
      <c r="G52" s="322">
        <f>(100%-$D52)*'GENERADO PS locales'!G212</f>
        <v>0</v>
      </c>
      <c r="H52" s="322">
        <f>(100%-$D52)*'GENERADO PS locales'!H212</f>
        <v>0</v>
      </c>
      <c r="I52" s="322">
        <f>(100%-$D52)*'GENERADO PS locales'!I212</f>
        <v>0</v>
      </c>
      <c r="J52" s="322">
        <f>(100%-$D52)*'GENERADO PS locales'!J212</f>
        <v>0</v>
      </c>
      <c r="K52" s="322">
        <f>(100%-$D52)*'GENERADO PS locales'!K212</f>
        <v>0</v>
      </c>
      <c r="L52" s="322">
        <f>(100%-$D52)*'GENERADO PS locales'!L212</f>
        <v>0</v>
      </c>
      <c r="M52" s="322">
        <f>(100%-$D52)*'GENERADO PS locales'!M212</f>
        <v>0</v>
      </c>
      <c r="N52" s="322">
        <f>(100%-$D52)*'GENERADO PS locales'!N212</f>
        <v>0</v>
      </c>
      <c r="O52" s="322">
        <f>(100%-$D52)*'GENERADO PS locales'!O212</f>
        <v>0</v>
      </c>
      <c r="P52" s="322">
        <f>(100%-$D52)*'GENERADO PS locales'!P212</f>
        <v>0</v>
      </c>
      <c r="Q52" s="322">
        <f>(100%-$D52)*'GENERADO PS locales'!Q212</f>
        <v>0</v>
      </c>
      <c r="R52" s="322">
        <f>(100%-$D52)*'GENERADO PS locales'!R212</f>
        <v>0</v>
      </c>
      <c r="S52" s="322">
        <f>(100%-$D52)*'GENERADO PS locales'!S212</f>
        <v>0</v>
      </c>
      <c r="T52" s="322">
        <f>(100%-$D52)*'GENERADO PS locales'!T212</f>
        <v>0</v>
      </c>
      <c r="U52" s="322">
        <f>(100%-$D52)*'GENERADO PS locales'!U212</f>
        <v>0</v>
      </c>
      <c r="V52" s="322">
        <f>(100%-$D52)*'GENERADO PS locales'!V212</f>
        <v>0</v>
      </c>
      <c r="W52" s="322">
        <f>(100%-$D52)*'GENERADO PS locales'!W212</f>
        <v>0</v>
      </c>
      <c r="X52" s="322">
        <f>(100%-$D52)*'GENERADO PS locales'!X212</f>
        <v>0</v>
      </c>
      <c r="Y52" s="322">
        <f>(100%-$D52)*'GENERADO PS locales'!Y212</f>
        <v>0</v>
      </c>
      <c r="Z52" s="322">
        <f>(100%-$D52)*'GENERADO PS locales'!Z212</f>
        <v>0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20"/>
      <c r="E53" s="278"/>
      <c r="F53" s="263"/>
      <c r="G53" s="322">
        <f>(100%-$D53)*'GENERADO PS locales'!G213</f>
        <v>0</v>
      </c>
      <c r="H53" s="322">
        <f>(100%-$D53)*'GENERADO PS locales'!H213</f>
        <v>0</v>
      </c>
      <c r="I53" s="322">
        <f>(100%-$D53)*'GENERADO PS locales'!I213</f>
        <v>0</v>
      </c>
      <c r="J53" s="322">
        <f>(100%-$D53)*'GENERADO PS locales'!J213</f>
        <v>0</v>
      </c>
      <c r="K53" s="322">
        <f>(100%-$D53)*'GENERADO PS locales'!K213</f>
        <v>0</v>
      </c>
      <c r="L53" s="322">
        <f>(100%-$D53)*'GENERADO PS locales'!L213</f>
        <v>0</v>
      </c>
      <c r="M53" s="322">
        <f>(100%-$D53)*'GENERADO PS locales'!M213</f>
        <v>0</v>
      </c>
      <c r="N53" s="322">
        <f>(100%-$D53)*'GENERADO PS locales'!N213</f>
        <v>0</v>
      </c>
      <c r="O53" s="322">
        <f>(100%-$D53)*'GENERADO PS locales'!O213</f>
        <v>0</v>
      </c>
      <c r="P53" s="322">
        <f>(100%-$D53)*'GENERADO PS locales'!P213</f>
        <v>0</v>
      </c>
      <c r="Q53" s="322">
        <f>(100%-$D53)*'GENERADO PS locales'!Q213</f>
        <v>0</v>
      </c>
      <c r="R53" s="322">
        <f>(100%-$D53)*'GENERADO PS locales'!R213</f>
        <v>0</v>
      </c>
      <c r="S53" s="322">
        <f>(100%-$D53)*'GENERADO PS locales'!S213</f>
        <v>0</v>
      </c>
      <c r="T53" s="322">
        <f>(100%-$D53)*'GENERADO PS locales'!T213</f>
        <v>0</v>
      </c>
      <c r="U53" s="322">
        <f>(100%-$D53)*'GENERADO PS locales'!U213</f>
        <v>0</v>
      </c>
      <c r="V53" s="322">
        <f>(100%-$D53)*'GENERADO PS locales'!V213</f>
        <v>0</v>
      </c>
      <c r="W53" s="322">
        <f>(100%-$D53)*'GENERADO PS locales'!W213</f>
        <v>0</v>
      </c>
      <c r="X53" s="322">
        <f>(100%-$D53)*'GENERADO PS locales'!X213</f>
        <v>0</v>
      </c>
      <c r="Y53" s="322">
        <f>(100%-$D53)*'GENERADO PS locales'!Y213</f>
        <v>0</v>
      </c>
      <c r="Z53" s="322">
        <f>(100%-$D53)*'GENERADO PS locales'!Z213</f>
        <v>0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20"/>
      <c r="E54" s="278"/>
      <c r="F54" s="263"/>
      <c r="G54" s="322">
        <f>(100%-$D54)*'GENERADO PS locales'!G214</f>
        <v>0</v>
      </c>
      <c r="H54" s="322">
        <f>(100%-$D54)*'GENERADO PS locales'!H214</f>
        <v>0</v>
      </c>
      <c r="I54" s="322">
        <f>(100%-$D54)*'GENERADO PS locales'!I214</f>
        <v>0</v>
      </c>
      <c r="J54" s="322">
        <f>(100%-$D54)*'GENERADO PS locales'!J214</f>
        <v>0</v>
      </c>
      <c r="K54" s="322">
        <f>(100%-$D54)*'GENERADO PS locales'!K214</f>
        <v>0</v>
      </c>
      <c r="L54" s="322">
        <f>(100%-$D54)*'GENERADO PS locales'!L214</f>
        <v>0</v>
      </c>
      <c r="M54" s="322">
        <f>(100%-$D54)*'GENERADO PS locales'!M214</f>
        <v>0</v>
      </c>
      <c r="N54" s="322">
        <f>(100%-$D54)*'GENERADO PS locales'!N214</f>
        <v>0</v>
      </c>
      <c r="O54" s="322">
        <f>(100%-$D54)*'GENERADO PS locales'!O214</f>
        <v>0</v>
      </c>
      <c r="P54" s="322">
        <f>(100%-$D54)*'GENERADO PS locales'!P214</f>
        <v>0</v>
      </c>
      <c r="Q54" s="322">
        <f>(100%-$D54)*'GENERADO PS locales'!Q214</f>
        <v>0</v>
      </c>
      <c r="R54" s="322">
        <f>(100%-$D54)*'GENERADO PS locales'!R214</f>
        <v>0</v>
      </c>
      <c r="S54" s="322">
        <f>(100%-$D54)*'GENERADO PS locales'!S214</f>
        <v>0</v>
      </c>
      <c r="T54" s="322">
        <f>(100%-$D54)*'GENERADO PS locales'!T214</f>
        <v>0</v>
      </c>
      <c r="U54" s="322">
        <f>(100%-$D54)*'GENERADO PS locales'!U214</f>
        <v>0</v>
      </c>
      <c r="V54" s="322">
        <f>(100%-$D54)*'GENERADO PS locales'!V214</f>
        <v>0</v>
      </c>
      <c r="W54" s="322">
        <f>(100%-$D54)*'GENERADO PS locales'!W214</f>
        <v>0</v>
      </c>
      <c r="X54" s="322">
        <f>(100%-$D54)*'GENERADO PS locales'!X214</f>
        <v>0</v>
      </c>
      <c r="Y54" s="322">
        <f>(100%-$D54)*'GENERADO PS locales'!Y214</f>
        <v>0</v>
      </c>
      <c r="Z54" s="322">
        <f>(100%-$D54)*'GENERADO PS locales'!Z214</f>
        <v>0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20"/>
      <c r="E55" s="278"/>
      <c r="F55" s="263"/>
      <c r="G55" s="322">
        <f>(100%-$D55)*'GENERADO PS locales'!G215</f>
        <v>0</v>
      </c>
      <c r="H55" s="322">
        <f>(100%-$D55)*'GENERADO PS locales'!H215</f>
        <v>0</v>
      </c>
      <c r="I55" s="322">
        <f>(100%-$D55)*'GENERADO PS locales'!I215</f>
        <v>0</v>
      </c>
      <c r="J55" s="322">
        <f>(100%-$D55)*'GENERADO PS locales'!J215</f>
        <v>0</v>
      </c>
      <c r="K55" s="322">
        <f>(100%-$D55)*'GENERADO PS locales'!K215</f>
        <v>0</v>
      </c>
      <c r="L55" s="322">
        <f>(100%-$D55)*'GENERADO PS locales'!L215</f>
        <v>0</v>
      </c>
      <c r="M55" s="322">
        <f>(100%-$D55)*'GENERADO PS locales'!M215</f>
        <v>0</v>
      </c>
      <c r="N55" s="322">
        <f>(100%-$D55)*'GENERADO PS locales'!N215</f>
        <v>0</v>
      </c>
      <c r="O55" s="322">
        <f>(100%-$D55)*'GENERADO PS locales'!O215</f>
        <v>0</v>
      </c>
      <c r="P55" s="322">
        <f>(100%-$D55)*'GENERADO PS locales'!P215</f>
        <v>0</v>
      </c>
      <c r="Q55" s="322">
        <f>(100%-$D55)*'GENERADO PS locales'!Q215</f>
        <v>0</v>
      </c>
      <c r="R55" s="322">
        <f>(100%-$D55)*'GENERADO PS locales'!R215</f>
        <v>0</v>
      </c>
      <c r="S55" s="322">
        <f>(100%-$D55)*'GENERADO PS locales'!S215</f>
        <v>0</v>
      </c>
      <c r="T55" s="322">
        <f>(100%-$D55)*'GENERADO PS locales'!T215</f>
        <v>0</v>
      </c>
      <c r="U55" s="322">
        <f>(100%-$D55)*'GENERADO PS locales'!U215</f>
        <v>0</v>
      </c>
      <c r="V55" s="322">
        <f>(100%-$D55)*'GENERADO PS locales'!V215</f>
        <v>0</v>
      </c>
      <c r="W55" s="322">
        <f>(100%-$D55)*'GENERADO PS locales'!W215</f>
        <v>0</v>
      </c>
      <c r="X55" s="322">
        <f>(100%-$D55)*'GENERADO PS locales'!X215</f>
        <v>0</v>
      </c>
      <c r="Y55" s="322">
        <f>(100%-$D55)*'GENERADO PS locales'!Y215</f>
        <v>0</v>
      </c>
      <c r="Z55" s="322">
        <f>(100%-$D55)*'GENERADO PS locales'!Z215</f>
        <v>0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20"/>
      <c r="E56" s="278"/>
      <c r="F56" s="263"/>
      <c r="G56" s="322">
        <f>(100%-$D56)*'GENERADO PS locales'!G216</f>
        <v>0</v>
      </c>
      <c r="H56" s="322">
        <f>(100%-$D56)*'GENERADO PS locales'!H216</f>
        <v>0</v>
      </c>
      <c r="I56" s="322">
        <f>(100%-$D56)*'GENERADO PS locales'!I216</f>
        <v>0</v>
      </c>
      <c r="J56" s="322">
        <f>(100%-$D56)*'GENERADO PS locales'!J216</f>
        <v>0</v>
      </c>
      <c r="K56" s="322">
        <f>(100%-$D56)*'GENERADO PS locales'!K216</f>
        <v>0</v>
      </c>
      <c r="L56" s="322">
        <f>(100%-$D56)*'GENERADO PS locales'!L216</f>
        <v>0</v>
      </c>
      <c r="M56" s="322">
        <f>(100%-$D56)*'GENERADO PS locales'!M216</f>
        <v>0</v>
      </c>
      <c r="N56" s="322">
        <f>(100%-$D56)*'GENERADO PS locales'!N216</f>
        <v>0</v>
      </c>
      <c r="O56" s="322">
        <f>(100%-$D56)*'GENERADO PS locales'!O216</f>
        <v>0</v>
      </c>
      <c r="P56" s="322">
        <f>(100%-$D56)*'GENERADO PS locales'!P216</f>
        <v>0</v>
      </c>
      <c r="Q56" s="322">
        <f>(100%-$D56)*'GENERADO PS locales'!Q216</f>
        <v>0</v>
      </c>
      <c r="R56" s="322">
        <f>(100%-$D56)*'GENERADO PS locales'!R216</f>
        <v>0</v>
      </c>
      <c r="S56" s="322">
        <f>(100%-$D56)*'GENERADO PS locales'!S216</f>
        <v>0</v>
      </c>
      <c r="T56" s="322">
        <f>(100%-$D56)*'GENERADO PS locales'!T216</f>
        <v>0</v>
      </c>
      <c r="U56" s="322">
        <f>(100%-$D56)*'GENERADO PS locales'!U216</f>
        <v>0</v>
      </c>
      <c r="V56" s="322">
        <f>(100%-$D56)*'GENERADO PS locales'!V216</f>
        <v>0</v>
      </c>
      <c r="W56" s="322">
        <f>(100%-$D56)*'GENERADO PS locales'!W216</f>
        <v>0</v>
      </c>
      <c r="X56" s="322">
        <f>(100%-$D56)*'GENERADO PS locales'!X216</f>
        <v>0</v>
      </c>
      <c r="Y56" s="322">
        <f>(100%-$D56)*'GENERADO PS locales'!Y216</f>
        <v>0</v>
      </c>
      <c r="Z56" s="322">
        <f>(100%-$D56)*'GENERADO PS locales'!Z216</f>
        <v>0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20"/>
      <c r="E57" s="278"/>
      <c r="F57" s="263"/>
      <c r="G57" s="322">
        <f>(100%-$D57)*'GENERADO PS locales'!G217</f>
        <v>0</v>
      </c>
      <c r="H57" s="322">
        <f>(100%-$D57)*'GENERADO PS locales'!H217</f>
        <v>0</v>
      </c>
      <c r="I57" s="322">
        <f>(100%-$D57)*'GENERADO PS locales'!I217</f>
        <v>0</v>
      </c>
      <c r="J57" s="322">
        <f>(100%-$D57)*'GENERADO PS locales'!J217</f>
        <v>0</v>
      </c>
      <c r="K57" s="322">
        <f>(100%-$D57)*'GENERADO PS locales'!K217</f>
        <v>0</v>
      </c>
      <c r="L57" s="322">
        <f>(100%-$D57)*'GENERADO PS locales'!L217</f>
        <v>0</v>
      </c>
      <c r="M57" s="322">
        <f>(100%-$D57)*'GENERADO PS locales'!M217</f>
        <v>0</v>
      </c>
      <c r="N57" s="322">
        <f>(100%-$D57)*'GENERADO PS locales'!N217</f>
        <v>0</v>
      </c>
      <c r="O57" s="322">
        <f>(100%-$D57)*'GENERADO PS locales'!O217</f>
        <v>0</v>
      </c>
      <c r="P57" s="322">
        <f>(100%-$D57)*'GENERADO PS locales'!P217</f>
        <v>0</v>
      </c>
      <c r="Q57" s="322">
        <f>(100%-$D57)*'GENERADO PS locales'!Q217</f>
        <v>0</v>
      </c>
      <c r="R57" s="322">
        <f>(100%-$D57)*'GENERADO PS locales'!R217</f>
        <v>0</v>
      </c>
      <c r="S57" s="322">
        <f>(100%-$D57)*'GENERADO PS locales'!S217</f>
        <v>0</v>
      </c>
      <c r="T57" s="322">
        <f>(100%-$D57)*'GENERADO PS locales'!T217</f>
        <v>0</v>
      </c>
      <c r="U57" s="322">
        <f>(100%-$D57)*'GENERADO PS locales'!U217</f>
        <v>0</v>
      </c>
      <c r="V57" s="322">
        <f>(100%-$D57)*'GENERADO PS locales'!V217</f>
        <v>0</v>
      </c>
      <c r="W57" s="322">
        <f>(100%-$D57)*'GENERADO PS locales'!W217</f>
        <v>0</v>
      </c>
      <c r="X57" s="322">
        <f>(100%-$D57)*'GENERADO PS locales'!X217</f>
        <v>0</v>
      </c>
      <c r="Y57" s="322">
        <f>(100%-$D57)*'GENERADO PS locales'!Y217</f>
        <v>0</v>
      </c>
      <c r="Z57" s="322">
        <f>(100%-$D57)*'GENERADO PS locales'!Z217</f>
        <v>0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20"/>
      <c r="E58" s="278"/>
      <c r="F58" s="263"/>
      <c r="G58" s="322">
        <f>(100%-$D58)*'GENERADO PS locales'!G218</f>
        <v>0</v>
      </c>
      <c r="H58" s="322">
        <f>(100%-$D58)*'GENERADO PS locales'!H218</f>
        <v>0</v>
      </c>
      <c r="I58" s="322">
        <f>(100%-$D58)*'GENERADO PS locales'!I218</f>
        <v>0</v>
      </c>
      <c r="J58" s="322">
        <f>(100%-$D58)*'GENERADO PS locales'!J218</f>
        <v>0</v>
      </c>
      <c r="K58" s="322">
        <f>(100%-$D58)*'GENERADO PS locales'!K218</f>
        <v>0</v>
      </c>
      <c r="L58" s="322">
        <f>(100%-$D58)*'GENERADO PS locales'!L218</f>
        <v>0</v>
      </c>
      <c r="M58" s="322">
        <f>(100%-$D58)*'GENERADO PS locales'!M218</f>
        <v>0</v>
      </c>
      <c r="N58" s="322">
        <f>(100%-$D58)*'GENERADO PS locales'!N218</f>
        <v>0</v>
      </c>
      <c r="O58" s="322">
        <f>(100%-$D58)*'GENERADO PS locales'!O218</f>
        <v>0</v>
      </c>
      <c r="P58" s="322">
        <f>(100%-$D58)*'GENERADO PS locales'!P218</f>
        <v>0</v>
      </c>
      <c r="Q58" s="322">
        <f>(100%-$D58)*'GENERADO PS locales'!Q218</f>
        <v>0</v>
      </c>
      <c r="R58" s="322">
        <f>(100%-$D58)*'GENERADO PS locales'!R218</f>
        <v>0</v>
      </c>
      <c r="S58" s="322">
        <f>(100%-$D58)*'GENERADO PS locales'!S218</f>
        <v>0</v>
      </c>
      <c r="T58" s="322">
        <f>(100%-$D58)*'GENERADO PS locales'!T218</f>
        <v>0</v>
      </c>
      <c r="U58" s="322">
        <f>(100%-$D58)*'GENERADO PS locales'!U218</f>
        <v>0</v>
      </c>
      <c r="V58" s="322">
        <f>(100%-$D58)*'GENERADO PS locales'!V218</f>
        <v>0</v>
      </c>
      <c r="W58" s="322">
        <f>(100%-$D58)*'GENERADO PS locales'!W218</f>
        <v>0</v>
      </c>
      <c r="X58" s="322">
        <f>(100%-$D58)*'GENERADO PS locales'!X218</f>
        <v>0</v>
      </c>
      <c r="Y58" s="322">
        <f>(100%-$D58)*'GENERADO PS locales'!Y218</f>
        <v>0</v>
      </c>
      <c r="Z58" s="322">
        <f>(100%-$D58)*'GENERADO PS locales'!Z218</f>
        <v>0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20"/>
      <c r="E59" s="278"/>
      <c r="F59" s="263"/>
      <c r="G59" s="322">
        <f>(100%-$D59)*'GENERADO PS locales'!G219</f>
        <v>0</v>
      </c>
      <c r="H59" s="322">
        <f>(100%-$D59)*'GENERADO PS locales'!H219</f>
        <v>0</v>
      </c>
      <c r="I59" s="322">
        <f>(100%-$D59)*'GENERADO PS locales'!I219</f>
        <v>0</v>
      </c>
      <c r="J59" s="322">
        <f>(100%-$D59)*'GENERADO PS locales'!J219</f>
        <v>0</v>
      </c>
      <c r="K59" s="322">
        <f>(100%-$D59)*'GENERADO PS locales'!K219</f>
        <v>0</v>
      </c>
      <c r="L59" s="322">
        <f>(100%-$D59)*'GENERADO PS locales'!L219</f>
        <v>0</v>
      </c>
      <c r="M59" s="322">
        <f>(100%-$D59)*'GENERADO PS locales'!M219</f>
        <v>0</v>
      </c>
      <c r="N59" s="322">
        <f>(100%-$D59)*'GENERADO PS locales'!N219</f>
        <v>0</v>
      </c>
      <c r="O59" s="322">
        <f>(100%-$D59)*'GENERADO PS locales'!O219</f>
        <v>0</v>
      </c>
      <c r="P59" s="322">
        <f>(100%-$D59)*'GENERADO PS locales'!P219</f>
        <v>0</v>
      </c>
      <c r="Q59" s="322">
        <f>(100%-$D59)*'GENERADO PS locales'!Q219</f>
        <v>0</v>
      </c>
      <c r="R59" s="322">
        <f>(100%-$D59)*'GENERADO PS locales'!R219</f>
        <v>0</v>
      </c>
      <c r="S59" s="322">
        <f>(100%-$D59)*'GENERADO PS locales'!S219</f>
        <v>0</v>
      </c>
      <c r="T59" s="322">
        <f>(100%-$D59)*'GENERADO PS locales'!T219</f>
        <v>0</v>
      </c>
      <c r="U59" s="322">
        <f>(100%-$D59)*'GENERADO PS locales'!U219</f>
        <v>0</v>
      </c>
      <c r="V59" s="322">
        <f>(100%-$D59)*'GENERADO PS locales'!V219</f>
        <v>0</v>
      </c>
      <c r="W59" s="322">
        <f>(100%-$D59)*'GENERADO PS locales'!W219</f>
        <v>0</v>
      </c>
      <c r="X59" s="322">
        <f>(100%-$D59)*'GENERADO PS locales'!X219</f>
        <v>0</v>
      </c>
      <c r="Y59" s="322">
        <f>(100%-$D59)*'GENERADO PS locales'!Y219</f>
        <v>0</v>
      </c>
      <c r="Z59" s="322">
        <f>(100%-$D59)*'GENERADO PS locales'!Z219</f>
        <v>0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20"/>
      <c r="E60" s="278"/>
      <c r="F60" s="263"/>
      <c r="G60" s="322">
        <f>(100%-$D60)*'GENERADO PS locales'!G220</f>
        <v>0</v>
      </c>
      <c r="H60" s="322">
        <f>(100%-$D60)*'GENERADO PS locales'!H220</f>
        <v>0</v>
      </c>
      <c r="I60" s="322">
        <f>(100%-$D60)*'GENERADO PS locales'!I220</f>
        <v>0</v>
      </c>
      <c r="J60" s="322">
        <f>(100%-$D60)*'GENERADO PS locales'!J220</f>
        <v>0</v>
      </c>
      <c r="K60" s="322">
        <f>(100%-$D60)*'GENERADO PS locales'!K220</f>
        <v>0</v>
      </c>
      <c r="L60" s="322">
        <f>(100%-$D60)*'GENERADO PS locales'!L220</f>
        <v>0</v>
      </c>
      <c r="M60" s="322">
        <f>(100%-$D60)*'GENERADO PS locales'!M220</f>
        <v>0</v>
      </c>
      <c r="N60" s="322">
        <f>(100%-$D60)*'GENERADO PS locales'!N220</f>
        <v>0</v>
      </c>
      <c r="O60" s="322">
        <f>(100%-$D60)*'GENERADO PS locales'!O220</f>
        <v>0</v>
      </c>
      <c r="P60" s="322">
        <f>(100%-$D60)*'GENERADO PS locales'!P220</f>
        <v>0</v>
      </c>
      <c r="Q60" s="322">
        <f>(100%-$D60)*'GENERADO PS locales'!Q220</f>
        <v>0</v>
      </c>
      <c r="R60" s="322">
        <f>(100%-$D60)*'GENERADO PS locales'!R220</f>
        <v>0</v>
      </c>
      <c r="S60" s="322">
        <f>(100%-$D60)*'GENERADO PS locales'!S220</f>
        <v>0</v>
      </c>
      <c r="T60" s="322">
        <f>(100%-$D60)*'GENERADO PS locales'!T220</f>
        <v>0</v>
      </c>
      <c r="U60" s="322">
        <f>(100%-$D60)*'GENERADO PS locales'!U220</f>
        <v>0</v>
      </c>
      <c r="V60" s="322">
        <f>(100%-$D60)*'GENERADO PS locales'!V220</f>
        <v>0</v>
      </c>
      <c r="W60" s="322">
        <f>(100%-$D60)*'GENERADO PS locales'!W220</f>
        <v>0</v>
      </c>
      <c r="X60" s="322">
        <f>(100%-$D60)*'GENERADO PS locales'!X220</f>
        <v>0</v>
      </c>
      <c r="Y60" s="322">
        <f>(100%-$D60)*'GENERADO PS locales'!Y220</f>
        <v>0</v>
      </c>
      <c r="Z60" s="322">
        <f>(100%-$D60)*'GENERADO PS locales'!Z220</f>
        <v>0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20"/>
      <c r="E61" s="278"/>
      <c r="F61" s="263"/>
      <c r="G61" s="322">
        <f>(100%-$D61)*'GENERADO PS locales'!G221</f>
        <v>0</v>
      </c>
      <c r="H61" s="322">
        <f>(100%-$D61)*'GENERADO PS locales'!H221</f>
        <v>0</v>
      </c>
      <c r="I61" s="322">
        <f>(100%-$D61)*'GENERADO PS locales'!I221</f>
        <v>0</v>
      </c>
      <c r="J61" s="322">
        <f>(100%-$D61)*'GENERADO PS locales'!J221</f>
        <v>0</v>
      </c>
      <c r="K61" s="322">
        <f>(100%-$D61)*'GENERADO PS locales'!K221</f>
        <v>0</v>
      </c>
      <c r="L61" s="322">
        <f>(100%-$D61)*'GENERADO PS locales'!L221</f>
        <v>0</v>
      </c>
      <c r="M61" s="322">
        <f>(100%-$D61)*'GENERADO PS locales'!M221</f>
        <v>0</v>
      </c>
      <c r="N61" s="322">
        <f>(100%-$D61)*'GENERADO PS locales'!N221</f>
        <v>0</v>
      </c>
      <c r="O61" s="322">
        <f>(100%-$D61)*'GENERADO PS locales'!O221</f>
        <v>0</v>
      </c>
      <c r="P61" s="322">
        <f>(100%-$D61)*'GENERADO PS locales'!P221</f>
        <v>0</v>
      </c>
      <c r="Q61" s="322">
        <f>(100%-$D61)*'GENERADO PS locales'!Q221</f>
        <v>0</v>
      </c>
      <c r="R61" s="322">
        <f>(100%-$D61)*'GENERADO PS locales'!R221</f>
        <v>0</v>
      </c>
      <c r="S61" s="322">
        <f>(100%-$D61)*'GENERADO PS locales'!S221</f>
        <v>0</v>
      </c>
      <c r="T61" s="322">
        <f>(100%-$D61)*'GENERADO PS locales'!T221</f>
        <v>0</v>
      </c>
      <c r="U61" s="322">
        <f>(100%-$D61)*'GENERADO PS locales'!U221</f>
        <v>0</v>
      </c>
      <c r="V61" s="322">
        <f>(100%-$D61)*'GENERADO PS locales'!V221</f>
        <v>0</v>
      </c>
      <c r="W61" s="322">
        <f>(100%-$D61)*'GENERADO PS locales'!W221</f>
        <v>0</v>
      </c>
      <c r="X61" s="322">
        <f>(100%-$D61)*'GENERADO PS locales'!X221</f>
        <v>0</v>
      </c>
      <c r="Y61" s="322">
        <f>(100%-$D61)*'GENERADO PS locales'!Y221</f>
        <v>0</v>
      </c>
      <c r="Z61" s="322">
        <f>(100%-$D61)*'GENERADO PS locales'!Z221</f>
        <v>0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20"/>
      <c r="E62" s="278"/>
      <c r="F62" s="263"/>
      <c r="G62" s="322">
        <f>(100%-$D62)*'GENERADO PS locales'!G222</f>
        <v>0</v>
      </c>
      <c r="H62" s="322">
        <f>(100%-$D62)*'GENERADO PS locales'!H222</f>
        <v>0</v>
      </c>
      <c r="I62" s="322">
        <f>(100%-$D62)*'GENERADO PS locales'!I222</f>
        <v>0</v>
      </c>
      <c r="J62" s="322">
        <f>(100%-$D62)*'GENERADO PS locales'!J222</f>
        <v>0</v>
      </c>
      <c r="K62" s="322">
        <f>(100%-$D62)*'GENERADO PS locales'!K222</f>
        <v>0</v>
      </c>
      <c r="L62" s="322">
        <f>(100%-$D62)*'GENERADO PS locales'!L222</f>
        <v>0</v>
      </c>
      <c r="M62" s="322">
        <f>(100%-$D62)*'GENERADO PS locales'!M222</f>
        <v>0</v>
      </c>
      <c r="N62" s="322">
        <f>(100%-$D62)*'GENERADO PS locales'!N222</f>
        <v>0</v>
      </c>
      <c r="O62" s="322">
        <f>(100%-$D62)*'GENERADO PS locales'!O222</f>
        <v>0</v>
      </c>
      <c r="P62" s="322">
        <f>(100%-$D62)*'GENERADO PS locales'!P222</f>
        <v>0</v>
      </c>
      <c r="Q62" s="322">
        <f>(100%-$D62)*'GENERADO PS locales'!Q222</f>
        <v>0</v>
      </c>
      <c r="R62" s="322">
        <f>(100%-$D62)*'GENERADO PS locales'!R222</f>
        <v>0</v>
      </c>
      <c r="S62" s="322">
        <f>(100%-$D62)*'GENERADO PS locales'!S222</f>
        <v>0</v>
      </c>
      <c r="T62" s="322">
        <f>(100%-$D62)*'GENERADO PS locales'!T222</f>
        <v>0</v>
      </c>
      <c r="U62" s="322">
        <f>(100%-$D62)*'GENERADO PS locales'!U222</f>
        <v>0</v>
      </c>
      <c r="V62" s="322">
        <f>(100%-$D62)*'GENERADO PS locales'!V222</f>
        <v>0</v>
      </c>
      <c r="W62" s="322">
        <f>(100%-$D62)*'GENERADO PS locales'!W222</f>
        <v>0</v>
      </c>
      <c r="X62" s="322">
        <f>(100%-$D62)*'GENERADO PS locales'!X222</f>
        <v>0</v>
      </c>
      <c r="Y62" s="322">
        <f>(100%-$D62)*'GENERADO PS locales'!Y222</f>
        <v>0</v>
      </c>
      <c r="Z62" s="322">
        <f>(100%-$D62)*'GENERADO PS locales'!Z222</f>
        <v>0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20"/>
      <c r="E63" s="278"/>
      <c r="F63" s="263"/>
      <c r="G63" s="322">
        <f>(100%-$D63)*'GENERADO PS locales'!G223</f>
        <v>0</v>
      </c>
      <c r="H63" s="322">
        <f>(100%-$D63)*'GENERADO PS locales'!H223</f>
        <v>0</v>
      </c>
      <c r="I63" s="322">
        <f>(100%-$D63)*'GENERADO PS locales'!I223</f>
        <v>0</v>
      </c>
      <c r="J63" s="322">
        <f>(100%-$D63)*'GENERADO PS locales'!J223</f>
        <v>0</v>
      </c>
      <c r="K63" s="322">
        <f>(100%-$D63)*'GENERADO PS locales'!K223</f>
        <v>0</v>
      </c>
      <c r="L63" s="322">
        <f>(100%-$D63)*'GENERADO PS locales'!L223</f>
        <v>0</v>
      </c>
      <c r="M63" s="322">
        <f>(100%-$D63)*'GENERADO PS locales'!M223</f>
        <v>0</v>
      </c>
      <c r="N63" s="322">
        <f>(100%-$D63)*'GENERADO PS locales'!N223</f>
        <v>0</v>
      </c>
      <c r="O63" s="322">
        <f>(100%-$D63)*'GENERADO PS locales'!O223</f>
        <v>0</v>
      </c>
      <c r="P63" s="322">
        <f>(100%-$D63)*'GENERADO PS locales'!P223</f>
        <v>0</v>
      </c>
      <c r="Q63" s="322">
        <f>(100%-$D63)*'GENERADO PS locales'!Q223</f>
        <v>0</v>
      </c>
      <c r="R63" s="322">
        <f>(100%-$D63)*'GENERADO PS locales'!R223</f>
        <v>0</v>
      </c>
      <c r="S63" s="322">
        <f>(100%-$D63)*'GENERADO PS locales'!S223</f>
        <v>0</v>
      </c>
      <c r="T63" s="322">
        <f>(100%-$D63)*'GENERADO PS locales'!T223</f>
        <v>0</v>
      </c>
      <c r="U63" s="322">
        <f>(100%-$D63)*'GENERADO PS locales'!U223</f>
        <v>0</v>
      </c>
      <c r="V63" s="322">
        <f>(100%-$D63)*'GENERADO PS locales'!V223</f>
        <v>0</v>
      </c>
      <c r="W63" s="322">
        <f>(100%-$D63)*'GENERADO PS locales'!W223</f>
        <v>0</v>
      </c>
      <c r="X63" s="322">
        <f>(100%-$D63)*'GENERADO PS locales'!X223</f>
        <v>0</v>
      </c>
      <c r="Y63" s="322">
        <f>(100%-$D63)*'GENERADO PS locales'!Y223</f>
        <v>0</v>
      </c>
      <c r="Z63" s="322">
        <f>(100%-$D63)*'GENERADO PS locales'!Z223</f>
        <v>0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20"/>
      <c r="E64" s="278"/>
      <c r="F64" s="263"/>
      <c r="G64" s="322">
        <f>(100%-$D64)*'GENERADO PS locales'!G224</f>
        <v>0</v>
      </c>
      <c r="H64" s="322">
        <f>(100%-$D64)*'GENERADO PS locales'!H224</f>
        <v>0</v>
      </c>
      <c r="I64" s="322">
        <f>(100%-$D64)*'GENERADO PS locales'!I224</f>
        <v>0</v>
      </c>
      <c r="J64" s="322">
        <f>(100%-$D64)*'GENERADO PS locales'!J224</f>
        <v>0</v>
      </c>
      <c r="K64" s="322">
        <f>(100%-$D64)*'GENERADO PS locales'!K224</f>
        <v>0</v>
      </c>
      <c r="L64" s="322">
        <f>(100%-$D64)*'GENERADO PS locales'!L224</f>
        <v>0</v>
      </c>
      <c r="M64" s="322">
        <f>(100%-$D64)*'GENERADO PS locales'!M224</f>
        <v>0</v>
      </c>
      <c r="N64" s="322">
        <f>(100%-$D64)*'GENERADO PS locales'!N224</f>
        <v>0</v>
      </c>
      <c r="O64" s="322">
        <f>(100%-$D64)*'GENERADO PS locales'!O224</f>
        <v>0</v>
      </c>
      <c r="P64" s="322">
        <f>(100%-$D64)*'GENERADO PS locales'!P224</f>
        <v>0</v>
      </c>
      <c r="Q64" s="322">
        <f>(100%-$D64)*'GENERADO PS locales'!Q224</f>
        <v>0</v>
      </c>
      <c r="R64" s="322">
        <f>(100%-$D64)*'GENERADO PS locales'!R224</f>
        <v>0</v>
      </c>
      <c r="S64" s="322">
        <f>(100%-$D64)*'GENERADO PS locales'!S224</f>
        <v>0</v>
      </c>
      <c r="T64" s="322">
        <f>(100%-$D64)*'GENERADO PS locales'!T224</f>
        <v>0</v>
      </c>
      <c r="U64" s="322">
        <f>(100%-$D64)*'GENERADO PS locales'!U224</f>
        <v>0</v>
      </c>
      <c r="V64" s="322">
        <f>(100%-$D64)*'GENERADO PS locales'!V224</f>
        <v>0</v>
      </c>
      <c r="W64" s="322">
        <f>(100%-$D64)*'GENERADO PS locales'!W224</f>
        <v>0</v>
      </c>
      <c r="X64" s="322">
        <f>(100%-$D64)*'GENERADO PS locales'!X224</f>
        <v>0</v>
      </c>
      <c r="Y64" s="322">
        <f>(100%-$D64)*'GENERADO PS locales'!Y224</f>
        <v>0</v>
      </c>
      <c r="Z64" s="322">
        <f>(100%-$D64)*'GENERADO PS locales'!Z224</f>
        <v>0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20"/>
      <c r="E65" s="278"/>
      <c r="F65" s="263"/>
      <c r="G65" s="322">
        <f>(100%-$D65)*'GENERADO PS locales'!G225</f>
        <v>0</v>
      </c>
      <c r="H65" s="322">
        <f>(100%-$D65)*'GENERADO PS locales'!H225</f>
        <v>0</v>
      </c>
      <c r="I65" s="322">
        <f>(100%-$D65)*'GENERADO PS locales'!I225</f>
        <v>0</v>
      </c>
      <c r="J65" s="322">
        <f>(100%-$D65)*'GENERADO PS locales'!J225</f>
        <v>0</v>
      </c>
      <c r="K65" s="322">
        <f>(100%-$D65)*'GENERADO PS locales'!K225</f>
        <v>0</v>
      </c>
      <c r="L65" s="322">
        <f>(100%-$D65)*'GENERADO PS locales'!L225</f>
        <v>0</v>
      </c>
      <c r="M65" s="322">
        <f>(100%-$D65)*'GENERADO PS locales'!M225</f>
        <v>0</v>
      </c>
      <c r="N65" s="322">
        <f>(100%-$D65)*'GENERADO PS locales'!N225</f>
        <v>0</v>
      </c>
      <c r="O65" s="322">
        <f>(100%-$D65)*'GENERADO PS locales'!O225</f>
        <v>0</v>
      </c>
      <c r="P65" s="322">
        <f>(100%-$D65)*'GENERADO PS locales'!P225</f>
        <v>0</v>
      </c>
      <c r="Q65" s="322">
        <f>(100%-$D65)*'GENERADO PS locales'!Q225</f>
        <v>0</v>
      </c>
      <c r="R65" s="322">
        <f>(100%-$D65)*'GENERADO PS locales'!R225</f>
        <v>0</v>
      </c>
      <c r="S65" s="322">
        <f>(100%-$D65)*'GENERADO PS locales'!S225</f>
        <v>0</v>
      </c>
      <c r="T65" s="322">
        <f>(100%-$D65)*'GENERADO PS locales'!T225</f>
        <v>0</v>
      </c>
      <c r="U65" s="322">
        <f>(100%-$D65)*'GENERADO PS locales'!U225</f>
        <v>0</v>
      </c>
      <c r="V65" s="322">
        <f>(100%-$D65)*'GENERADO PS locales'!V225</f>
        <v>0</v>
      </c>
      <c r="W65" s="322">
        <f>(100%-$D65)*'GENERADO PS locales'!W225</f>
        <v>0</v>
      </c>
      <c r="X65" s="322">
        <f>(100%-$D65)*'GENERADO PS locales'!X225</f>
        <v>0</v>
      </c>
      <c r="Y65" s="322">
        <f>(100%-$D65)*'GENERADO PS locales'!Y225</f>
        <v>0</v>
      </c>
      <c r="Z65" s="322">
        <f>(100%-$D65)*'GENERADO PS locales'!Z225</f>
        <v>0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20"/>
      <c r="E66" s="278"/>
      <c r="F66" s="263"/>
      <c r="G66" s="322">
        <f>(100%-$D66)*'GENERADO PS locales'!G226</f>
        <v>0</v>
      </c>
      <c r="H66" s="322">
        <f>(100%-$D66)*'GENERADO PS locales'!H226</f>
        <v>0</v>
      </c>
      <c r="I66" s="322">
        <f>(100%-$D66)*'GENERADO PS locales'!I226</f>
        <v>0</v>
      </c>
      <c r="J66" s="322">
        <f>(100%-$D66)*'GENERADO PS locales'!J226</f>
        <v>0</v>
      </c>
      <c r="K66" s="322">
        <f>(100%-$D66)*'GENERADO PS locales'!K226</f>
        <v>0</v>
      </c>
      <c r="L66" s="322">
        <f>(100%-$D66)*'GENERADO PS locales'!L226</f>
        <v>0</v>
      </c>
      <c r="M66" s="322">
        <f>(100%-$D66)*'GENERADO PS locales'!M226</f>
        <v>0</v>
      </c>
      <c r="N66" s="322">
        <f>(100%-$D66)*'GENERADO PS locales'!N226</f>
        <v>0</v>
      </c>
      <c r="O66" s="322">
        <f>(100%-$D66)*'GENERADO PS locales'!O226</f>
        <v>0</v>
      </c>
      <c r="P66" s="322">
        <f>(100%-$D66)*'GENERADO PS locales'!P226</f>
        <v>0</v>
      </c>
      <c r="Q66" s="322">
        <f>(100%-$D66)*'GENERADO PS locales'!Q226</f>
        <v>0</v>
      </c>
      <c r="R66" s="322">
        <f>(100%-$D66)*'GENERADO PS locales'!R226</f>
        <v>0</v>
      </c>
      <c r="S66" s="322">
        <f>(100%-$D66)*'GENERADO PS locales'!S226</f>
        <v>0</v>
      </c>
      <c r="T66" s="322">
        <f>(100%-$D66)*'GENERADO PS locales'!T226</f>
        <v>0</v>
      </c>
      <c r="U66" s="322">
        <f>(100%-$D66)*'GENERADO PS locales'!U226</f>
        <v>0</v>
      </c>
      <c r="V66" s="322">
        <f>(100%-$D66)*'GENERADO PS locales'!V226</f>
        <v>0</v>
      </c>
      <c r="W66" s="322">
        <f>(100%-$D66)*'GENERADO PS locales'!W226</f>
        <v>0</v>
      </c>
      <c r="X66" s="322">
        <f>(100%-$D66)*'GENERADO PS locales'!X226</f>
        <v>0</v>
      </c>
      <c r="Y66" s="322">
        <f>(100%-$D66)*'GENERADO PS locales'!Y226</f>
        <v>0</v>
      </c>
      <c r="Z66" s="322">
        <f>(100%-$D66)*'GENERADO PS locales'!Z226</f>
        <v>0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20"/>
      <c r="E67" s="278"/>
      <c r="F67" s="263"/>
      <c r="G67" s="322">
        <f>(100%-$D67)*'GENERADO PS locales'!G227</f>
        <v>0</v>
      </c>
      <c r="H67" s="322">
        <f>(100%-$D67)*'GENERADO PS locales'!H227</f>
        <v>0</v>
      </c>
      <c r="I67" s="322">
        <f>(100%-$D67)*'GENERADO PS locales'!I227</f>
        <v>0</v>
      </c>
      <c r="J67" s="322">
        <f>(100%-$D67)*'GENERADO PS locales'!J227</f>
        <v>0</v>
      </c>
      <c r="K67" s="322">
        <f>(100%-$D67)*'GENERADO PS locales'!K227</f>
        <v>0</v>
      </c>
      <c r="L67" s="322">
        <f>(100%-$D67)*'GENERADO PS locales'!L227</f>
        <v>0</v>
      </c>
      <c r="M67" s="322">
        <f>(100%-$D67)*'GENERADO PS locales'!M227</f>
        <v>0</v>
      </c>
      <c r="N67" s="322">
        <f>(100%-$D67)*'GENERADO PS locales'!N227</f>
        <v>0</v>
      </c>
      <c r="O67" s="322">
        <f>(100%-$D67)*'GENERADO PS locales'!O227</f>
        <v>0</v>
      </c>
      <c r="P67" s="322">
        <f>(100%-$D67)*'GENERADO PS locales'!P227</f>
        <v>0</v>
      </c>
      <c r="Q67" s="322">
        <f>(100%-$D67)*'GENERADO PS locales'!Q227</f>
        <v>0</v>
      </c>
      <c r="R67" s="322">
        <f>(100%-$D67)*'GENERADO PS locales'!R227</f>
        <v>0</v>
      </c>
      <c r="S67" s="322">
        <f>(100%-$D67)*'GENERADO PS locales'!S227</f>
        <v>0</v>
      </c>
      <c r="T67" s="322">
        <f>(100%-$D67)*'GENERADO PS locales'!T227</f>
        <v>0</v>
      </c>
      <c r="U67" s="322">
        <f>(100%-$D67)*'GENERADO PS locales'!U227</f>
        <v>0</v>
      </c>
      <c r="V67" s="322">
        <f>(100%-$D67)*'GENERADO PS locales'!V227</f>
        <v>0</v>
      </c>
      <c r="W67" s="322">
        <f>(100%-$D67)*'GENERADO PS locales'!W227</f>
        <v>0</v>
      </c>
      <c r="X67" s="322">
        <f>(100%-$D67)*'GENERADO PS locales'!X227</f>
        <v>0</v>
      </c>
      <c r="Y67" s="322">
        <f>(100%-$D67)*'GENERADO PS locales'!Y227</f>
        <v>0</v>
      </c>
      <c r="Z67" s="322">
        <f>(100%-$D67)*'GENERADO PS locales'!Z227</f>
        <v>0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20"/>
      <c r="E68" s="278"/>
      <c r="F68" s="263"/>
      <c r="G68" s="322">
        <f>(100%-$D68)*'GENERADO PS locales'!G228</f>
        <v>0</v>
      </c>
      <c r="H68" s="322">
        <f>(100%-$D68)*'GENERADO PS locales'!H228</f>
        <v>0</v>
      </c>
      <c r="I68" s="322">
        <f>(100%-$D68)*'GENERADO PS locales'!I228</f>
        <v>0</v>
      </c>
      <c r="J68" s="322">
        <f>(100%-$D68)*'GENERADO PS locales'!J228</f>
        <v>0</v>
      </c>
      <c r="K68" s="322">
        <f>(100%-$D68)*'GENERADO PS locales'!K228</f>
        <v>0</v>
      </c>
      <c r="L68" s="322">
        <f>(100%-$D68)*'GENERADO PS locales'!L228</f>
        <v>0</v>
      </c>
      <c r="M68" s="322">
        <f>(100%-$D68)*'GENERADO PS locales'!M228</f>
        <v>0</v>
      </c>
      <c r="N68" s="322">
        <f>(100%-$D68)*'GENERADO PS locales'!N228</f>
        <v>0</v>
      </c>
      <c r="O68" s="322">
        <f>(100%-$D68)*'GENERADO PS locales'!O228</f>
        <v>0</v>
      </c>
      <c r="P68" s="322">
        <f>(100%-$D68)*'GENERADO PS locales'!P228</f>
        <v>0</v>
      </c>
      <c r="Q68" s="322">
        <f>(100%-$D68)*'GENERADO PS locales'!Q228</f>
        <v>0</v>
      </c>
      <c r="R68" s="322">
        <f>(100%-$D68)*'GENERADO PS locales'!R228</f>
        <v>0</v>
      </c>
      <c r="S68" s="322">
        <f>(100%-$D68)*'GENERADO PS locales'!S228</f>
        <v>0</v>
      </c>
      <c r="T68" s="322">
        <f>(100%-$D68)*'GENERADO PS locales'!T228</f>
        <v>0</v>
      </c>
      <c r="U68" s="322">
        <f>(100%-$D68)*'GENERADO PS locales'!U228</f>
        <v>0</v>
      </c>
      <c r="V68" s="322">
        <f>(100%-$D68)*'GENERADO PS locales'!V228</f>
        <v>0</v>
      </c>
      <c r="W68" s="322">
        <f>(100%-$D68)*'GENERADO PS locales'!W228</f>
        <v>0</v>
      </c>
      <c r="X68" s="322">
        <f>(100%-$D68)*'GENERADO PS locales'!X228</f>
        <v>0</v>
      </c>
      <c r="Y68" s="322">
        <f>(100%-$D68)*'GENERADO PS locales'!Y228</f>
        <v>0</v>
      </c>
      <c r="Z68" s="322">
        <f>(100%-$D68)*'GENERADO PS locales'!Z228</f>
        <v>0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20"/>
      <c r="E69" s="278"/>
      <c r="F69" s="263"/>
      <c r="G69" s="322">
        <f>(100%-$D69)*'GENERADO PS locales'!G229</f>
        <v>0</v>
      </c>
      <c r="H69" s="322">
        <f>(100%-$D69)*'GENERADO PS locales'!H229</f>
        <v>0</v>
      </c>
      <c r="I69" s="322">
        <f>(100%-$D69)*'GENERADO PS locales'!I229</f>
        <v>0</v>
      </c>
      <c r="J69" s="322">
        <f>(100%-$D69)*'GENERADO PS locales'!J229</f>
        <v>0</v>
      </c>
      <c r="K69" s="322">
        <f>(100%-$D69)*'GENERADO PS locales'!K229</f>
        <v>0</v>
      </c>
      <c r="L69" s="322">
        <f>(100%-$D69)*'GENERADO PS locales'!L229</f>
        <v>0</v>
      </c>
      <c r="M69" s="322">
        <f>(100%-$D69)*'GENERADO PS locales'!M229</f>
        <v>0</v>
      </c>
      <c r="N69" s="322">
        <f>(100%-$D69)*'GENERADO PS locales'!N229</f>
        <v>0</v>
      </c>
      <c r="O69" s="322">
        <f>(100%-$D69)*'GENERADO PS locales'!O229</f>
        <v>0</v>
      </c>
      <c r="P69" s="322">
        <f>(100%-$D69)*'GENERADO PS locales'!P229</f>
        <v>0</v>
      </c>
      <c r="Q69" s="322">
        <f>(100%-$D69)*'GENERADO PS locales'!Q229</f>
        <v>0</v>
      </c>
      <c r="R69" s="322">
        <f>(100%-$D69)*'GENERADO PS locales'!R229</f>
        <v>0</v>
      </c>
      <c r="S69" s="322">
        <f>(100%-$D69)*'GENERADO PS locales'!S229</f>
        <v>0</v>
      </c>
      <c r="T69" s="322">
        <f>(100%-$D69)*'GENERADO PS locales'!T229</f>
        <v>0</v>
      </c>
      <c r="U69" s="322">
        <f>(100%-$D69)*'GENERADO PS locales'!U229</f>
        <v>0</v>
      </c>
      <c r="V69" s="322">
        <f>(100%-$D69)*'GENERADO PS locales'!V229</f>
        <v>0</v>
      </c>
      <c r="W69" s="322">
        <f>(100%-$D69)*'GENERADO PS locales'!W229</f>
        <v>0</v>
      </c>
      <c r="X69" s="322">
        <f>(100%-$D69)*'GENERADO PS locales'!X229</f>
        <v>0</v>
      </c>
      <c r="Y69" s="322">
        <f>(100%-$D69)*'GENERADO PS locales'!Y229</f>
        <v>0</v>
      </c>
      <c r="Z69" s="322">
        <f>(100%-$D69)*'GENERADO PS locales'!Z229</f>
        <v>0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20"/>
      <c r="E70" s="278"/>
      <c r="F70" s="263"/>
      <c r="G70" s="322">
        <f>(100%-$D70)*'GENERADO PS locales'!G230</f>
        <v>0</v>
      </c>
      <c r="H70" s="322">
        <f>(100%-$D70)*'GENERADO PS locales'!H230</f>
        <v>0</v>
      </c>
      <c r="I70" s="322">
        <f>(100%-$D70)*'GENERADO PS locales'!I230</f>
        <v>0</v>
      </c>
      <c r="J70" s="322">
        <f>(100%-$D70)*'GENERADO PS locales'!J230</f>
        <v>0</v>
      </c>
      <c r="K70" s="322">
        <f>(100%-$D70)*'GENERADO PS locales'!K230</f>
        <v>0</v>
      </c>
      <c r="L70" s="322">
        <f>(100%-$D70)*'GENERADO PS locales'!L230</f>
        <v>0</v>
      </c>
      <c r="M70" s="322">
        <f>(100%-$D70)*'GENERADO PS locales'!M230</f>
        <v>0</v>
      </c>
      <c r="N70" s="322">
        <f>(100%-$D70)*'GENERADO PS locales'!N230</f>
        <v>0</v>
      </c>
      <c r="O70" s="322">
        <f>(100%-$D70)*'GENERADO PS locales'!O230</f>
        <v>0</v>
      </c>
      <c r="P70" s="322">
        <f>(100%-$D70)*'GENERADO PS locales'!P230</f>
        <v>0</v>
      </c>
      <c r="Q70" s="322">
        <f>(100%-$D70)*'GENERADO PS locales'!Q230</f>
        <v>0</v>
      </c>
      <c r="R70" s="322">
        <f>(100%-$D70)*'GENERADO PS locales'!R230</f>
        <v>0</v>
      </c>
      <c r="S70" s="322">
        <f>(100%-$D70)*'GENERADO PS locales'!S230</f>
        <v>0</v>
      </c>
      <c r="T70" s="322">
        <f>(100%-$D70)*'GENERADO PS locales'!T230</f>
        <v>0</v>
      </c>
      <c r="U70" s="322">
        <f>(100%-$D70)*'GENERADO PS locales'!U230</f>
        <v>0</v>
      </c>
      <c r="V70" s="322">
        <f>(100%-$D70)*'GENERADO PS locales'!V230</f>
        <v>0</v>
      </c>
      <c r="W70" s="322">
        <f>(100%-$D70)*'GENERADO PS locales'!W230</f>
        <v>0</v>
      </c>
      <c r="X70" s="322">
        <f>(100%-$D70)*'GENERADO PS locales'!X230</f>
        <v>0</v>
      </c>
      <c r="Y70" s="322">
        <f>(100%-$D70)*'GENERADO PS locales'!Y230</f>
        <v>0</v>
      </c>
      <c r="Z70" s="322">
        <f>(100%-$D70)*'GENERADO PS locales'!Z230</f>
        <v>0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20"/>
      <c r="E71" s="278"/>
      <c r="F71" s="263"/>
      <c r="G71" s="322">
        <f>(100%-$D71)*'GENERADO PS locales'!G231</f>
        <v>0</v>
      </c>
      <c r="H71" s="322">
        <f>(100%-$D71)*'GENERADO PS locales'!H231</f>
        <v>0</v>
      </c>
      <c r="I71" s="322">
        <f>(100%-$D71)*'GENERADO PS locales'!I231</f>
        <v>0</v>
      </c>
      <c r="J71" s="322">
        <f>(100%-$D71)*'GENERADO PS locales'!J231</f>
        <v>0</v>
      </c>
      <c r="K71" s="322">
        <f>(100%-$D71)*'GENERADO PS locales'!K231</f>
        <v>0</v>
      </c>
      <c r="L71" s="322">
        <f>(100%-$D71)*'GENERADO PS locales'!L231</f>
        <v>0</v>
      </c>
      <c r="M71" s="322">
        <f>(100%-$D71)*'GENERADO PS locales'!M231</f>
        <v>0</v>
      </c>
      <c r="N71" s="322">
        <f>(100%-$D71)*'GENERADO PS locales'!N231</f>
        <v>0</v>
      </c>
      <c r="O71" s="322">
        <f>(100%-$D71)*'GENERADO PS locales'!O231</f>
        <v>0</v>
      </c>
      <c r="P71" s="322">
        <f>(100%-$D71)*'GENERADO PS locales'!P231</f>
        <v>0</v>
      </c>
      <c r="Q71" s="322">
        <f>(100%-$D71)*'GENERADO PS locales'!Q231</f>
        <v>0</v>
      </c>
      <c r="R71" s="322">
        <f>(100%-$D71)*'GENERADO PS locales'!R231</f>
        <v>0</v>
      </c>
      <c r="S71" s="322">
        <f>(100%-$D71)*'GENERADO PS locales'!S231</f>
        <v>0</v>
      </c>
      <c r="T71" s="322">
        <f>(100%-$D71)*'GENERADO PS locales'!T231</f>
        <v>0</v>
      </c>
      <c r="U71" s="322">
        <f>(100%-$D71)*'GENERADO PS locales'!U231</f>
        <v>0</v>
      </c>
      <c r="V71" s="322">
        <f>(100%-$D71)*'GENERADO PS locales'!V231</f>
        <v>0</v>
      </c>
      <c r="W71" s="322">
        <f>(100%-$D71)*'GENERADO PS locales'!W231</f>
        <v>0</v>
      </c>
      <c r="X71" s="322">
        <f>(100%-$D71)*'GENERADO PS locales'!X231</f>
        <v>0</v>
      </c>
      <c r="Y71" s="322">
        <f>(100%-$D71)*'GENERADO PS locales'!Y231</f>
        <v>0</v>
      </c>
      <c r="Z71" s="322">
        <f>(100%-$D71)*'GENERADO PS locales'!Z231</f>
        <v>0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20"/>
      <c r="E72" s="278"/>
      <c r="F72" s="263"/>
      <c r="G72" s="322">
        <f>(100%-$D72)*'GENERADO PS locales'!G232</f>
        <v>0</v>
      </c>
      <c r="H72" s="322">
        <f>(100%-$D72)*'GENERADO PS locales'!H232</f>
        <v>0</v>
      </c>
      <c r="I72" s="322">
        <f>(100%-$D72)*'GENERADO PS locales'!I232</f>
        <v>0</v>
      </c>
      <c r="J72" s="322">
        <f>(100%-$D72)*'GENERADO PS locales'!J232</f>
        <v>0</v>
      </c>
      <c r="K72" s="322">
        <f>(100%-$D72)*'GENERADO PS locales'!K232</f>
        <v>0</v>
      </c>
      <c r="L72" s="322">
        <f>(100%-$D72)*'GENERADO PS locales'!L232</f>
        <v>0</v>
      </c>
      <c r="M72" s="322">
        <f>(100%-$D72)*'GENERADO PS locales'!M232</f>
        <v>0</v>
      </c>
      <c r="N72" s="322">
        <f>(100%-$D72)*'GENERADO PS locales'!N232</f>
        <v>0</v>
      </c>
      <c r="O72" s="322">
        <f>(100%-$D72)*'GENERADO PS locales'!O232</f>
        <v>0</v>
      </c>
      <c r="P72" s="322">
        <f>(100%-$D72)*'GENERADO PS locales'!P232</f>
        <v>0</v>
      </c>
      <c r="Q72" s="322">
        <f>(100%-$D72)*'GENERADO PS locales'!Q232</f>
        <v>0</v>
      </c>
      <c r="R72" s="322">
        <f>(100%-$D72)*'GENERADO PS locales'!R232</f>
        <v>0</v>
      </c>
      <c r="S72" s="322">
        <f>(100%-$D72)*'GENERADO PS locales'!S232</f>
        <v>0</v>
      </c>
      <c r="T72" s="322">
        <f>(100%-$D72)*'GENERADO PS locales'!T232</f>
        <v>0</v>
      </c>
      <c r="U72" s="322">
        <f>(100%-$D72)*'GENERADO PS locales'!U232</f>
        <v>0</v>
      </c>
      <c r="V72" s="322">
        <f>(100%-$D72)*'GENERADO PS locales'!V232</f>
        <v>0</v>
      </c>
      <c r="W72" s="322">
        <f>(100%-$D72)*'GENERADO PS locales'!W232</f>
        <v>0</v>
      </c>
      <c r="X72" s="322">
        <f>(100%-$D72)*'GENERADO PS locales'!X232</f>
        <v>0</v>
      </c>
      <c r="Y72" s="322">
        <f>(100%-$D72)*'GENERADO PS locales'!Y232</f>
        <v>0</v>
      </c>
      <c r="Z72" s="322">
        <f>(100%-$D72)*'GENERADO PS locales'!Z232</f>
        <v>0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20"/>
      <c r="E73" s="278"/>
      <c r="F73" s="263"/>
      <c r="G73" s="322">
        <f>(100%-$D73)*'GENERADO PS locales'!G233</f>
        <v>0</v>
      </c>
      <c r="H73" s="322">
        <f>(100%-$D73)*'GENERADO PS locales'!H233</f>
        <v>0</v>
      </c>
      <c r="I73" s="322">
        <f>(100%-$D73)*'GENERADO PS locales'!I233</f>
        <v>0</v>
      </c>
      <c r="J73" s="322">
        <f>(100%-$D73)*'GENERADO PS locales'!J233</f>
        <v>0</v>
      </c>
      <c r="K73" s="322">
        <f>(100%-$D73)*'GENERADO PS locales'!K233</f>
        <v>0</v>
      </c>
      <c r="L73" s="322">
        <f>(100%-$D73)*'GENERADO PS locales'!L233</f>
        <v>0</v>
      </c>
      <c r="M73" s="322">
        <f>(100%-$D73)*'GENERADO PS locales'!M233</f>
        <v>0</v>
      </c>
      <c r="N73" s="322">
        <f>(100%-$D73)*'GENERADO PS locales'!N233</f>
        <v>0</v>
      </c>
      <c r="O73" s="322">
        <f>(100%-$D73)*'GENERADO PS locales'!O233</f>
        <v>0</v>
      </c>
      <c r="P73" s="322">
        <f>(100%-$D73)*'GENERADO PS locales'!P233</f>
        <v>0</v>
      </c>
      <c r="Q73" s="322">
        <f>(100%-$D73)*'GENERADO PS locales'!Q233</f>
        <v>0</v>
      </c>
      <c r="R73" s="322">
        <f>(100%-$D73)*'GENERADO PS locales'!R233</f>
        <v>0</v>
      </c>
      <c r="S73" s="322">
        <f>(100%-$D73)*'GENERADO PS locales'!S233</f>
        <v>0</v>
      </c>
      <c r="T73" s="322">
        <f>(100%-$D73)*'GENERADO PS locales'!T233</f>
        <v>0</v>
      </c>
      <c r="U73" s="322">
        <f>(100%-$D73)*'GENERADO PS locales'!U233</f>
        <v>0</v>
      </c>
      <c r="V73" s="322">
        <f>(100%-$D73)*'GENERADO PS locales'!V233</f>
        <v>0</v>
      </c>
      <c r="W73" s="322">
        <f>(100%-$D73)*'GENERADO PS locales'!W233</f>
        <v>0</v>
      </c>
      <c r="X73" s="322">
        <f>(100%-$D73)*'GENERADO PS locales'!X233</f>
        <v>0</v>
      </c>
      <c r="Y73" s="322">
        <f>(100%-$D73)*'GENERADO PS locales'!Y233</f>
        <v>0</v>
      </c>
      <c r="Z73" s="322">
        <f>(100%-$D73)*'GENERADO PS locales'!Z233</f>
        <v>0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20"/>
      <c r="E74" s="278"/>
      <c r="F74" s="263"/>
      <c r="G74" s="322">
        <f>(100%-$D74)*'GENERADO PS locales'!G234</f>
        <v>0</v>
      </c>
      <c r="H74" s="322">
        <f>(100%-$D74)*'GENERADO PS locales'!H234</f>
        <v>0</v>
      </c>
      <c r="I74" s="322">
        <f>(100%-$D74)*'GENERADO PS locales'!I234</f>
        <v>0</v>
      </c>
      <c r="J74" s="322">
        <f>(100%-$D74)*'GENERADO PS locales'!J234</f>
        <v>0</v>
      </c>
      <c r="K74" s="322">
        <f>(100%-$D74)*'GENERADO PS locales'!K234</f>
        <v>0</v>
      </c>
      <c r="L74" s="322">
        <f>(100%-$D74)*'GENERADO PS locales'!L234</f>
        <v>0</v>
      </c>
      <c r="M74" s="322">
        <f>(100%-$D74)*'GENERADO PS locales'!M234</f>
        <v>0</v>
      </c>
      <c r="N74" s="322">
        <f>(100%-$D74)*'GENERADO PS locales'!N234</f>
        <v>0</v>
      </c>
      <c r="O74" s="322">
        <f>(100%-$D74)*'GENERADO PS locales'!O234</f>
        <v>0</v>
      </c>
      <c r="P74" s="322">
        <f>(100%-$D74)*'GENERADO PS locales'!P234</f>
        <v>0</v>
      </c>
      <c r="Q74" s="322">
        <f>(100%-$D74)*'GENERADO PS locales'!Q234</f>
        <v>0</v>
      </c>
      <c r="R74" s="322">
        <f>(100%-$D74)*'GENERADO PS locales'!R234</f>
        <v>0</v>
      </c>
      <c r="S74" s="322">
        <f>(100%-$D74)*'GENERADO PS locales'!S234</f>
        <v>0</v>
      </c>
      <c r="T74" s="322">
        <f>(100%-$D74)*'GENERADO PS locales'!T234</f>
        <v>0</v>
      </c>
      <c r="U74" s="322">
        <f>(100%-$D74)*'GENERADO PS locales'!U234</f>
        <v>0</v>
      </c>
      <c r="V74" s="322">
        <f>(100%-$D74)*'GENERADO PS locales'!V234</f>
        <v>0</v>
      </c>
      <c r="W74" s="322">
        <f>(100%-$D74)*'GENERADO PS locales'!W234</f>
        <v>0</v>
      </c>
      <c r="X74" s="322">
        <f>(100%-$D74)*'GENERADO PS locales'!X234</f>
        <v>0</v>
      </c>
      <c r="Y74" s="322">
        <f>(100%-$D74)*'GENERADO PS locales'!Y234</f>
        <v>0</v>
      </c>
      <c r="Z74" s="322">
        <f>(100%-$D74)*'GENERADO PS locales'!Z234</f>
        <v>0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20"/>
      <c r="E75" s="278"/>
      <c r="F75" s="263"/>
      <c r="G75" s="322">
        <f>(100%-$D75)*'GENERADO PS locales'!G235</f>
        <v>0</v>
      </c>
      <c r="H75" s="322">
        <f>(100%-$D75)*'GENERADO PS locales'!H235</f>
        <v>0</v>
      </c>
      <c r="I75" s="322">
        <f>(100%-$D75)*'GENERADO PS locales'!I235</f>
        <v>0</v>
      </c>
      <c r="J75" s="322">
        <f>(100%-$D75)*'GENERADO PS locales'!J235</f>
        <v>0</v>
      </c>
      <c r="K75" s="322">
        <f>(100%-$D75)*'GENERADO PS locales'!K235</f>
        <v>0</v>
      </c>
      <c r="L75" s="322">
        <f>(100%-$D75)*'GENERADO PS locales'!L235</f>
        <v>0</v>
      </c>
      <c r="M75" s="322">
        <f>(100%-$D75)*'GENERADO PS locales'!M235</f>
        <v>0</v>
      </c>
      <c r="N75" s="322">
        <f>(100%-$D75)*'GENERADO PS locales'!N235</f>
        <v>0</v>
      </c>
      <c r="O75" s="322">
        <f>(100%-$D75)*'GENERADO PS locales'!O235</f>
        <v>0</v>
      </c>
      <c r="P75" s="322">
        <f>(100%-$D75)*'GENERADO PS locales'!P235</f>
        <v>0</v>
      </c>
      <c r="Q75" s="322">
        <f>(100%-$D75)*'GENERADO PS locales'!Q235</f>
        <v>0</v>
      </c>
      <c r="R75" s="322">
        <f>(100%-$D75)*'GENERADO PS locales'!R235</f>
        <v>0</v>
      </c>
      <c r="S75" s="322">
        <f>(100%-$D75)*'GENERADO PS locales'!S235</f>
        <v>0</v>
      </c>
      <c r="T75" s="322">
        <f>(100%-$D75)*'GENERADO PS locales'!T235</f>
        <v>0</v>
      </c>
      <c r="U75" s="322">
        <f>(100%-$D75)*'GENERADO PS locales'!U235</f>
        <v>0</v>
      </c>
      <c r="V75" s="322">
        <f>(100%-$D75)*'GENERADO PS locales'!V235</f>
        <v>0</v>
      </c>
      <c r="W75" s="322">
        <f>(100%-$D75)*'GENERADO PS locales'!W235</f>
        <v>0</v>
      </c>
      <c r="X75" s="322">
        <f>(100%-$D75)*'GENERADO PS locales'!X235</f>
        <v>0</v>
      </c>
      <c r="Y75" s="322">
        <f>(100%-$D75)*'GENERADO PS locales'!Y235</f>
        <v>0</v>
      </c>
      <c r="Z75" s="322">
        <f>(100%-$D75)*'GENERADO PS locales'!Z235</f>
        <v>0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20"/>
      <c r="E76" s="278"/>
      <c r="F76" s="263"/>
      <c r="G76" s="322">
        <f>(100%-$D76)*'GENERADO PS locales'!G236</f>
        <v>0</v>
      </c>
      <c r="H76" s="322">
        <f>(100%-$D76)*'GENERADO PS locales'!H236</f>
        <v>0</v>
      </c>
      <c r="I76" s="322">
        <f>(100%-$D76)*'GENERADO PS locales'!I236</f>
        <v>0</v>
      </c>
      <c r="J76" s="322">
        <f>(100%-$D76)*'GENERADO PS locales'!J236</f>
        <v>0</v>
      </c>
      <c r="K76" s="322">
        <f>(100%-$D76)*'GENERADO PS locales'!K236</f>
        <v>0</v>
      </c>
      <c r="L76" s="322">
        <f>(100%-$D76)*'GENERADO PS locales'!L236</f>
        <v>0</v>
      </c>
      <c r="M76" s="322">
        <f>(100%-$D76)*'GENERADO PS locales'!M236</f>
        <v>0</v>
      </c>
      <c r="N76" s="322">
        <f>(100%-$D76)*'GENERADO PS locales'!N236</f>
        <v>0</v>
      </c>
      <c r="O76" s="322">
        <f>(100%-$D76)*'GENERADO PS locales'!O236</f>
        <v>0</v>
      </c>
      <c r="P76" s="322">
        <f>(100%-$D76)*'GENERADO PS locales'!P236</f>
        <v>0</v>
      </c>
      <c r="Q76" s="322">
        <f>(100%-$D76)*'GENERADO PS locales'!Q236</f>
        <v>0</v>
      </c>
      <c r="R76" s="322">
        <f>(100%-$D76)*'GENERADO PS locales'!R236</f>
        <v>0</v>
      </c>
      <c r="S76" s="322">
        <f>(100%-$D76)*'GENERADO PS locales'!S236</f>
        <v>0</v>
      </c>
      <c r="T76" s="322">
        <f>(100%-$D76)*'GENERADO PS locales'!T236</f>
        <v>0</v>
      </c>
      <c r="U76" s="322">
        <f>(100%-$D76)*'GENERADO PS locales'!U236</f>
        <v>0</v>
      </c>
      <c r="V76" s="322">
        <f>(100%-$D76)*'GENERADO PS locales'!V236</f>
        <v>0</v>
      </c>
      <c r="W76" s="322">
        <f>(100%-$D76)*'GENERADO PS locales'!W236</f>
        <v>0</v>
      </c>
      <c r="X76" s="322">
        <f>(100%-$D76)*'GENERADO PS locales'!X236</f>
        <v>0</v>
      </c>
      <c r="Y76" s="322">
        <f>(100%-$D76)*'GENERADO PS locales'!Y236</f>
        <v>0</v>
      </c>
      <c r="Z76" s="322">
        <f>(100%-$D76)*'GENERADO PS locales'!Z236</f>
        <v>0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20"/>
      <c r="E77" s="278"/>
      <c r="F77" s="263"/>
      <c r="G77" s="322">
        <f>(100%-$D77)*'GENERADO PS locales'!G237</f>
        <v>0</v>
      </c>
      <c r="H77" s="322">
        <f>(100%-$D77)*'GENERADO PS locales'!H237</f>
        <v>0</v>
      </c>
      <c r="I77" s="322">
        <f>(100%-$D77)*'GENERADO PS locales'!I237</f>
        <v>0</v>
      </c>
      <c r="J77" s="322">
        <f>(100%-$D77)*'GENERADO PS locales'!J237</f>
        <v>0</v>
      </c>
      <c r="K77" s="322">
        <f>(100%-$D77)*'GENERADO PS locales'!K237</f>
        <v>0</v>
      </c>
      <c r="L77" s="322">
        <f>(100%-$D77)*'GENERADO PS locales'!L237</f>
        <v>0</v>
      </c>
      <c r="M77" s="322">
        <f>(100%-$D77)*'GENERADO PS locales'!M237</f>
        <v>0</v>
      </c>
      <c r="N77" s="322">
        <f>(100%-$D77)*'GENERADO PS locales'!N237</f>
        <v>0</v>
      </c>
      <c r="O77" s="322">
        <f>(100%-$D77)*'GENERADO PS locales'!O237</f>
        <v>0</v>
      </c>
      <c r="P77" s="322">
        <f>(100%-$D77)*'GENERADO PS locales'!P237</f>
        <v>0</v>
      </c>
      <c r="Q77" s="322">
        <f>(100%-$D77)*'GENERADO PS locales'!Q237</f>
        <v>0</v>
      </c>
      <c r="R77" s="322">
        <f>(100%-$D77)*'GENERADO PS locales'!R237</f>
        <v>0</v>
      </c>
      <c r="S77" s="322">
        <f>(100%-$D77)*'GENERADO PS locales'!S237</f>
        <v>0</v>
      </c>
      <c r="T77" s="322">
        <f>(100%-$D77)*'GENERADO PS locales'!T237</f>
        <v>0</v>
      </c>
      <c r="U77" s="322">
        <f>(100%-$D77)*'GENERADO PS locales'!U237</f>
        <v>0</v>
      </c>
      <c r="V77" s="322">
        <f>(100%-$D77)*'GENERADO PS locales'!V237</f>
        <v>0</v>
      </c>
      <c r="W77" s="322">
        <f>(100%-$D77)*'GENERADO PS locales'!W237</f>
        <v>0</v>
      </c>
      <c r="X77" s="322">
        <f>(100%-$D77)*'GENERADO PS locales'!X237</f>
        <v>0</v>
      </c>
      <c r="Y77" s="322">
        <f>(100%-$D77)*'GENERADO PS locales'!Y237</f>
        <v>0</v>
      </c>
      <c r="Z77" s="322">
        <f>(100%-$D77)*'GENERADO PS locales'!Z237</f>
        <v>0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20"/>
      <c r="E78" s="278"/>
      <c r="F78" s="263"/>
      <c r="G78" s="322">
        <f>(100%-$D78)*'GENERADO PS locales'!G238</f>
        <v>0</v>
      </c>
      <c r="H78" s="322">
        <f>(100%-$D78)*'GENERADO PS locales'!H238</f>
        <v>0</v>
      </c>
      <c r="I78" s="322">
        <f>(100%-$D78)*'GENERADO PS locales'!I238</f>
        <v>0</v>
      </c>
      <c r="J78" s="322">
        <f>(100%-$D78)*'GENERADO PS locales'!J238</f>
        <v>0</v>
      </c>
      <c r="K78" s="322">
        <f>(100%-$D78)*'GENERADO PS locales'!K238</f>
        <v>0</v>
      </c>
      <c r="L78" s="322">
        <f>(100%-$D78)*'GENERADO PS locales'!L238</f>
        <v>0</v>
      </c>
      <c r="M78" s="322">
        <f>(100%-$D78)*'GENERADO PS locales'!M238</f>
        <v>0</v>
      </c>
      <c r="N78" s="322">
        <f>(100%-$D78)*'GENERADO PS locales'!N238</f>
        <v>0</v>
      </c>
      <c r="O78" s="322">
        <f>(100%-$D78)*'GENERADO PS locales'!O238</f>
        <v>0</v>
      </c>
      <c r="P78" s="322">
        <f>(100%-$D78)*'GENERADO PS locales'!P238</f>
        <v>0</v>
      </c>
      <c r="Q78" s="322">
        <f>(100%-$D78)*'GENERADO PS locales'!Q238</f>
        <v>0</v>
      </c>
      <c r="R78" s="322">
        <f>(100%-$D78)*'GENERADO PS locales'!R238</f>
        <v>0</v>
      </c>
      <c r="S78" s="322">
        <f>(100%-$D78)*'GENERADO PS locales'!S238</f>
        <v>0</v>
      </c>
      <c r="T78" s="322">
        <f>(100%-$D78)*'GENERADO PS locales'!T238</f>
        <v>0</v>
      </c>
      <c r="U78" s="322">
        <f>(100%-$D78)*'GENERADO PS locales'!U238</f>
        <v>0</v>
      </c>
      <c r="V78" s="322">
        <f>(100%-$D78)*'GENERADO PS locales'!V238</f>
        <v>0</v>
      </c>
      <c r="W78" s="322">
        <f>(100%-$D78)*'GENERADO PS locales'!W238</f>
        <v>0</v>
      </c>
      <c r="X78" s="322">
        <f>(100%-$D78)*'GENERADO PS locales'!X238</f>
        <v>0</v>
      </c>
      <c r="Y78" s="322">
        <f>(100%-$D78)*'GENERADO PS locales'!Y238</f>
        <v>0</v>
      </c>
      <c r="Z78" s="322">
        <f>(100%-$D78)*'GENERADO PS locales'!Z238</f>
        <v>0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20"/>
      <c r="E79" s="278"/>
      <c r="F79" s="263"/>
      <c r="G79" s="322">
        <f>(100%-$D79)*'GENERADO PS locales'!G239</f>
        <v>0</v>
      </c>
      <c r="H79" s="322">
        <f>(100%-$D79)*'GENERADO PS locales'!H239</f>
        <v>0</v>
      </c>
      <c r="I79" s="322">
        <f>(100%-$D79)*'GENERADO PS locales'!I239</f>
        <v>0</v>
      </c>
      <c r="J79" s="322">
        <f>(100%-$D79)*'GENERADO PS locales'!J239</f>
        <v>0</v>
      </c>
      <c r="K79" s="322">
        <f>(100%-$D79)*'GENERADO PS locales'!K239</f>
        <v>0</v>
      </c>
      <c r="L79" s="322">
        <f>(100%-$D79)*'GENERADO PS locales'!L239</f>
        <v>0</v>
      </c>
      <c r="M79" s="322">
        <f>(100%-$D79)*'GENERADO PS locales'!M239</f>
        <v>0</v>
      </c>
      <c r="N79" s="322">
        <f>(100%-$D79)*'GENERADO PS locales'!N239</f>
        <v>0</v>
      </c>
      <c r="O79" s="322">
        <f>(100%-$D79)*'GENERADO PS locales'!O239</f>
        <v>0</v>
      </c>
      <c r="P79" s="322">
        <f>(100%-$D79)*'GENERADO PS locales'!P239</f>
        <v>0</v>
      </c>
      <c r="Q79" s="322">
        <f>(100%-$D79)*'GENERADO PS locales'!Q239</f>
        <v>0</v>
      </c>
      <c r="R79" s="322">
        <f>(100%-$D79)*'GENERADO PS locales'!R239</f>
        <v>0</v>
      </c>
      <c r="S79" s="322">
        <f>(100%-$D79)*'GENERADO PS locales'!S239</f>
        <v>0</v>
      </c>
      <c r="T79" s="322">
        <f>(100%-$D79)*'GENERADO PS locales'!T239</f>
        <v>0</v>
      </c>
      <c r="U79" s="322">
        <f>(100%-$D79)*'GENERADO PS locales'!U239</f>
        <v>0</v>
      </c>
      <c r="V79" s="322">
        <f>(100%-$D79)*'GENERADO PS locales'!V239</f>
        <v>0</v>
      </c>
      <c r="W79" s="322">
        <f>(100%-$D79)*'GENERADO PS locales'!W239</f>
        <v>0</v>
      </c>
      <c r="X79" s="322">
        <f>(100%-$D79)*'GENERADO PS locales'!X239</f>
        <v>0</v>
      </c>
      <c r="Y79" s="322">
        <f>(100%-$D79)*'GENERADO PS locales'!Y239</f>
        <v>0</v>
      </c>
      <c r="Z79" s="322">
        <f>(100%-$D79)*'GENERADO PS locales'!Z239</f>
        <v>0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20"/>
      <c r="E80" s="278"/>
      <c r="F80" s="263"/>
      <c r="G80" s="322">
        <f>(100%-$D80)*'GENERADO PS locales'!G240</f>
        <v>0</v>
      </c>
      <c r="H80" s="322">
        <f>(100%-$D80)*'GENERADO PS locales'!H240</f>
        <v>0</v>
      </c>
      <c r="I80" s="322">
        <f>(100%-$D80)*'GENERADO PS locales'!I240</f>
        <v>0</v>
      </c>
      <c r="J80" s="322">
        <f>(100%-$D80)*'GENERADO PS locales'!J240</f>
        <v>0</v>
      </c>
      <c r="K80" s="322">
        <f>(100%-$D80)*'GENERADO PS locales'!K240</f>
        <v>0</v>
      </c>
      <c r="L80" s="322">
        <f>(100%-$D80)*'GENERADO PS locales'!L240</f>
        <v>0</v>
      </c>
      <c r="M80" s="322">
        <f>(100%-$D80)*'GENERADO PS locales'!M240</f>
        <v>0</v>
      </c>
      <c r="N80" s="322">
        <f>(100%-$D80)*'GENERADO PS locales'!N240</f>
        <v>0</v>
      </c>
      <c r="O80" s="322">
        <f>(100%-$D80)*'GENERADO PS locales'!O240</f>
        <v>0</v>
      </c>
      <c r="P80" s="322">
        <f>(100%-$D80)*'GENERADO PS locales'!P240</f>
        <v>0</v>
      </c>
      <c r="Q80" s="322">
        <f>(100%-$D80)*'GENERADO PS locales'!Q240</f>
        <v>0</v>
      </c>
      <c r="R80" s="322">
        <f>(100%-$D80)*'GENERADO PS locales'!R240</f>
        <v>0</v>
      </c>
      <c r="S80" s="322">
        <f>(100%-$D80)*'GENERADO PS locales'!S240</f>
        <v>0</v>
      </c>
      <c r="T80" s="322">
        <f>(100%-$D80)*'GENERADO PS locales'!T240</f>
        <v>0</v>
      </c>
      <c r="U80" s="322">
        <f>(100%-$D80)*'GENERADO PS locales'!U240</f>
        <v>0</v>
      </c>
      <c r="V80" s="322">
        <f>(100%-$D80)*'GENERADO PS locales'!V240</f>
        <v>0</v>
      </c>
      <c r="W80" s="322">
        <f>(100%-$D80)*'GENERADO PS locales'!W240</f>
        <v>0</v>
      </c>
      <c r="X80" s="322">
        <f>(100%-$D80)*'GENERADO PS locales'!X240</f>
        <v>0</v>
      </c>
      <c r="Y80" s="322">
        <f>(100%-$D80)*'GENERADO PS locales'!Y240</f>
        <v>0</v>
      </c>
      <c r="Z80" s="322">
        <f>(100%-$D80)*'GENERADO PS locales'!Z240</f>
        <v>0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20"/>
      <c r="E81" s="278"/>
      <c r="F81" s="263"/>
      <c r="G81" s="322">
        <f>(100%-$D81)*'GENERADO PS locales'!G241</f>
        <v>0</v>
      </c>
      <c r="H81" s="322">
        <f>(100%-$D81)*'GENERADO PS locales'!H241</f>
        <v>0</v>
      </c>
      <c r="I81" s="322">
        <f>(100%-$D81)*'GENERADO PS locales'!I241</f>
        <v>0</v>
      </c>
      <c r="J81" s="322">
        <f>(100%-$D81)*'GENERADO PS locales'!J241</f>
        <v>0</v>
      </c>
      <c r="K81" s="322">
        <f>(100%-$D81)*'GENERADO PS locales'!K241</f>
        <v>0</v>
      </c>
      <c r="L81" s="322">
        <f>(100%-$D81)*'GENERADO PS locales'!L241</f>
        <v>0</v>
      </c>
      <c r="M81" s="322">
        <f>(100%-$D81)*'GENERADO PS locales'!M241</f>
        <v>0</v>
      </c>
      <c r="N81" s="322">
        <f>(100%-$D81)*'GENERADO PS locales'!N241</f>
        <v>0</v>
      </c>
      <c r="O81" s="322">
        <f>(100%-$D81)*'GENERADO PS locales'!O241</f>
        <v>0</v>
      </c>
      <c r="P81" s="322">
        <f>(100%-$D81)*'GENERADO PS locales'!P241</f>
        <v>0</v>
      </c>
      <c r="Q81" s="322">
        <f>(100%-$D81)*'GENERADO PS locales'!Q241</f>
        <v>0</v>
      </c>
      <c r="R81" s="322">
        <f>(100%-$D81)*'GENERADO PS locales'!R241</f>
        <v>0</v>
      </c>
      <c r="S81" s="322">
        <f>(100%-$D81)*'GENERADO PS locales'!S241</f>
        <v>0</v>
      </c>
      <c r="T81" s="322">
        <f>(100%-$D81)*'GENERADO PS locales'!T241</f>
        <v>0</v>
      </c>
      <c r="U81" s="322">
        <f>(100%-$D81)*'GENERADO PS locales'!U241</f>
        <v>0</v>
      </c>
      <c r="V81" s="322">
        <f>(100%-$D81)*'GENERADO PS locales'!V241</f>
        <v>0</v>
      </c>
      <c r="W81" s="322">
        <f>(100%-$D81)*'GENERADO PS locales'!W241</f>
        <v>0</v>
      </c>
      <c r="X81" s="322">
        <f>(100%-$D81)*'GENERADO PS locales'!X241</f>
        <v>0</v>
      </c>
      <c r="Y81" s="322">
        <f>(100%-$D81)*'GENERADO PS locales'!Y241</f>
        <v>0</v>
      </c>
      <c r="Z81" s="322">
        <f>(100%-$D81)*'GENERADO PS locales'!Z241</f>
        <v>0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20"/>
      <c r="E82" s="278"/>
      <c r="F82" s="263"/>
      <c r="G82" s="322">
        <f>(100%-$D82)*'GENERADO PS locales'!G242</f>
        <v>0</v>
      </c>
      <c r="H82" s="322">
        <f>(100%-$D82)*'GENERADO PS locales'!H242</f>
        <v>0</v>
      </c>
      <c r="I82" s="322">
        <f>(100%-$D82)*'GENERADO PS locales'!I242</f>
        <v>0</v>
      </c>
      <c r="J82" s="322">
        <f>(100%-$D82)*'GENERADO PS locales'!J242</f>
        <v>0</v>
      </c>
      <c r="K82" s="322">
        <f>(100%-$D82)*'GENERADO PS locales'!K242</f>
        <v>0</v>
      </c>
      <c r="L82" s="322">
        <f>(100%-$D82)*'GENERADO PS locales'!L242</f>
        <v>0</v>
      </c>
      <c r="M82" s="322">
        <f>(100%-$D82)*'GENERADO PS locales'!M242</f>
        <v>0</v>
      </c>
      <c r="N82" s="322">
        <f>(100%-$D82)*'GENERADO PS locales'!N242</f>
        <v>0</v>
      </c>
      <c r="O82" s="322">
        <f>(100%-$D82)*'GENERADO PS locales'!O242</f>
        <v>0</v>
      </c>
      <c r="P82" s="322">
        <f>(100%-$D82)*'GENERADO PS locales'!P242</f>
        <v>0</v>
      </c>
      <c r="Q82" s="322">
        <f>(100%-$D82)*'GENERADO PS locales'!Q242</f>
        <v>0</v>
      </c>
      <c r="R82" s="322">
        <f>(100%-$D82)*'GENERADO PS locales'!R242</f>
        <v>0</v>
      </c>
      <c r="S82" s="322">
        <f>(100%-$D82)*'GENERADO PS locales'!S242</f>
        <v>0</v>
      </c>
      <c r="T82" s="322">
        <f>(100%-$D82)*'GENERADO PS locales'!T242</f>
        <v>0</v>
      </c>
      <c r="U82" s="322">
        <f>(100%-$D82)*'GENERADO PS locales'!U242</f>
        <v>0</v>
      </c>
      <c r="V82" s="322">
        <f>(100%-$D82)*'GENERADO PS locales'!V242</f>
        <v>0</v>
      </c>
      <c r="W82" s="322">
        <f>(100%-$D82)*'GENERADO PS locales'!W242</f>
        <v>0</v>
      </c>
      <c r="X82" s="322">
        <f>(100%-$D82)*'GENERADO PS locales'!X242</f>
        <v>0</v>
      </c>
      <c r="Y82" s="322">
        <f>(100%-$D82)*'GENERADO PS locales'!Y242</f>
        <v>0</v>
      </c>
      <c r="Z82" s="322">
        <f>(100%-$D82)*'GENERADO PS locales'!Z242</f>
        <v>0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20"/>
      <c r="E83" s="278"/>
      <c r="F83" s="263"/>
      <c r="G83" s="322">
        <f>(100%-$D83)*'GENERADO PS locales'!G243</f>
        <v>0</v>
      </c>
      <c r="H83" s="322">
        <f>(100%-$D83)*'GENERADO PS locales'!H243</f>
        <v>0</v>
      </c>
      <c r="I83" s="322">
        <f>(100%-$D83)*'GENERADO PS locales'!I243</f>
        <v>0</v>
      </c>
      <c r="J83" s="322">
        <f>(100%-$D83)*'GENERADO PS locales'!J243</f>
        <v>0</v>
      </c>
      <c r="K83" s="322">
        <f>(100%-$D83)*'GENERADO PS locales'!K243</f>
        <v>0</v>
      </c>
      <c r="L83" s="322">
        <f>(100%-$D83)*'GENERADO PS locales'!L243</f>
        <v>0</v>
      </c>
      <c r="M83" s="322">
        <f>(100%-$D83)*'GENERADO PS locales'!M243</f>
        <v>0</v>
      </c>
      <c r="N83" s="322">
        <f>(100%-$D83)*'GENERADO PS locales'!N243</f>
        <v>0</v>
      </c>
      <c r="O83" s="322">
        <f>(100%-$D83)*'GENERADO PS locales'!O243</f>
        <v>0</v>
      </c>
      <c r="P83" s="322">
        <f>(100%-$D83)*'GENERADO PS locales'!P243</f>
        <v>0</v>
      </c>
      <c r="Q83" s="322">
        <f>(100%-$D83)*'GENERADO PS locales'!Q243</f>
        <v>0</v>
      </c>
      <c r="R83" s="322">
        <f>(100%-$D83)*'GENERADO PS locales'!R243</f>
        <v>0</v>
      </c>
      <c r="S83" s="322">
        <f>(100%-$D83)*'GENERADO PS locales'!S243</f>
        <v>0</v>
      </c>
      <c r="T83" s="322">
        <f>(100%-$D83)*'GENERADO PS locales'!T243</f>
        <v>0</v>
      </c>
      <c r="U83" s="322">
        <f>(100%-$D83)*'GENERADO PS locales'!U243</f>
        <v>0</v>
      </c>
      <c r="V83" s="322">
        <f>(100%-$D83)*'GENERADO PS locales'!V243</f>
        <v>0</v>
      </c>
      <c r="W83" s="322">
        <f>(100%-$D83)*'GENERADO PS locales'!W243</f>
        <v>0</v>
      </c>
      <c r="X83" s="322">
        <f>(100%-$D83)*'GENERADO PS locales'!X243</f>
        <v>0</v>
      </c>
      <c r="Y83" s="322">
        <f>(100%-$D83)*'GENERADO PS locales'!Y243</f>
        <v>0</v>
      </c>
      <c r="Z83" s="322">
        <f>(100%-$D83)*'GENERADO PS locales'!Z243</f>
        <v>0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20"/>
      <c r="E84" s="278"/>
      <c r="F84" s="263"/>
      <c r="G84" s="322">
        <f>(100%-$D84)*'GENERADO PS locales'!G244</f>
        <v>0</v>
      </c>
      <c r="H84" s="322">
        <f>(100%-$D84)*'GENERADO PS locales'!H244</f>
        <v>0</v>
      </c>
      <c r="I84" s="322">
        <f>(100%-$D84)*'GENERADO PS locales'!I244</f>
        <v>0</v>
      </c>
      <c r="J84" s="322">
        <f>(100%-$D84)*'GENERADO PS locales'!J244</f>
        <v>0</v>
      </c>
      <c r="K84" s="322">
        <f>(100%-$D84)*'GENERADO PS locales'!K244</f>
        <v>0</v>
      </c>
      <c r="L84" s="322">
        <f>(100%-$D84)*'GENERADO PS locales'!L244</f>
        <v>0</v>
      </c>
      <c r="M84" s="322">
        <f>(100%-$D84)*'GENERADO PS locales'!M244</f>
        <v>0</v>
      </c>
      <c r="N84" s="322">
        <f>(100%-$D84)*'GENERADO PS locales'!N244</f>
        <v>0</v>
      </c>
      <c r="O84" s="322">
        <f>(100%-$D84)*'GENERADO PS locales'!O244</f>
        <v>0</v>
      </c>
      <c r="P84" s="322">
        <f>(100%-$D84)*'GENERADO PS locales'!P244</f>
        <v>0</v>
      </c>
      <c r="Q84" s="322">
        <f>(100%-$D84)*'GENERADO PS locales'!Q244</f>
        <v>0</v>
      </c>
      <c r="R84" s="322">
        <f>(100%-$D84)*'GENERADO PS locales'!R244</f>
        <v>0</v>
      </c>
      <c r="S84" s="322">
        <f>(100%-$D84)*'GENERADO PS locales'!S244</f>
        <v>0</v>
      </c>
      <c r="T84" s="322">
        <f>(100%-$D84)*'GENERADO PS locales'!T244</f>
        <v>0</v>
      </c>
      <c r="U84" s="322">
        <f>(100%-$D84)*'GENERADO PS locales'!U244</f>
        <v>0</v>
      </c>
      <c r="V84" s="322">
        <f>(100%-$D84)*'GENERADO PS locales'!V244</f>
        <v>0</v>
      </c>
      <c r="W84" s="322">
        <f>(100%-$D84)*'GENERADO PS locales'!W244</f>
        <v>0</v>
      </c>
      <c r="X84" s="322">
        <f>(100%-$D84)*'GENERADO PS locales'!X244</f>
        <v>0</v>
      </c>
      <c r="Y84" s="322">
        <f>(100%-$D84)*'GENERADO PS locales'!Y244</f>
        <v>0</v>
      </c>
      <c r="Z84" s="322">
        <f>(100%-$D84)*'GENERADO PS locales'!Z244</f>
        <v>0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20"/>
      <c r="E85" s="278"/>
      <c r="F85" s="263"/>
      <c r="G85" s="322">
        <f>(100%-$D85)*'GENERADO PS locales'!G245</f>
        <v>0</v>
      </c>
      <c r="H85" s="322">
        <f>(100%-$D85)*'GENERADO PS locales'!H245</f>
        <v>0</v>
      </c>
      <c r="I85" s="322">
        <f>(100%-$D85)*'GENERADO PS locales'!I245</f>
        <v>0</v>
      </c>
      <c r="J85" s="322">
        <f>(100%-$D85)*'GENERADO PS locales'!J245</f>
        <v>0</v>
      </c>
      <c r="K85" s="322">
        <f>(100%-$D85)*'GENERADO PS locales'!K245</f>
        <v>0</v>
      </c>
      <c r="L85" s="322">
        <f>(100%-$D85)*'GENERADO PS locales'!L245</f>
        <v>0</v>
      </c>
      <c r="M85" s="322">
        <f>(100%-$D85)*'GENERADO PS locales'!M245</f>
        <v>0</v>
      </c>
      <c r="N85" s="322">
        <f>(100%-$D85)*'GENERADO PS locales'!N245</f>
        <v>0</v>
      </c>
      <c r="O85" s="322">
        <f>(100%-$D85)*'GENERADO PS locales'!O245</f>
        <v>0</v>
      </c>
      <c r="P85" s="322">
        <f>(100%-$D85)*'GENERADO PS locales'!P245</f>
        <v>0</v>
      </c>
      <c r="Q85" s="322">
        <f>(100%-$D85)*'GENERADO PS locales'!Q245</f>
        <v>0</v>
      </c>
      <c r="R85" s="322">
        <f>(100%-$D85)*'GENERADO PS locales'!R245</f>
        <v>0</v>
      </c>
      <c r="S85" s="322">
        <f>(100%-$D85)*'GENERADO PS locales'!S245</f>
        <v>0</v>
      </c>
      <c r="T85" s="322">
        <f>(100%-$D85)*'GENERADO PS locales'!T245</f>
        <v>0</v>
      </c>
      <c r="U85" s="322">
        <f>(100%-$D85)*'GENERADO PS locales'!U245</f>
        <v>0</v>
      </c>
      <c r="V85" s="322">
        <f>(100%-$D85)*'GENERADO PS locales'!V245</f>
        <v>0</v>
      </c>
      <c r="W85" s="322">
        <f>(100%-$D85)*'GENERADO PS locales'!W245</f>
        <v>0</v>
      </c>
      <c r="X85" s="322">
        <f>(100%-$D85)*'GENERADO PS locales'!X245</f>
        <v>0</v>
      </c>
      <c r="Y85" s="322">
        <f>(100%-$D85)*'GENERADO PS locales'!Y245</f>
        <v>0</v>
      </c>
      <c r="Z85" s="322">
        <f>(100%-$D85)*'GENERADO PS locales'!Z245</f>
        <v>0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20"/>
      <c r="E86" s="278"/>
      <c r="F86" s="263"/>
      <c r="G86" s="322">
        <f>(100%-$D86)*'GENERADO PS locales'!G246</f>
        <v>0</v>
      </c>
      <c r="H86" s="322">
        <f>(100%-$D86)*'GENERADO PS locales'!H246</f>
        <v>0</v>
      </c>
      <c r="I86" s="322">
        <f>(100%-$D86)*'GENERADO PS locales'!I246</f>
        <v>0</v>
      </c>
      <c r="J86" s="322">
        <f>(100%-$D86)*'GENERADO PS locales'!J246</f>
        <v>0</v>
      </c>
      <c r="K86" s="322">
        <f>(100%-$D86)*'GENERADO PS locales'!K246</f>
        <v>0</v>
      </c>
      <c r="L86" s="322">
        <f>(100%-$D86)*'GENERADO PS locales'!L246</f>
        <v>0</v>
      </c>
      <c r="M86" s="322">
        <f>(100%-$D86)*'GENERADO PS locales'!M246</f>
        <v>0</v>
      </c>
      <c r="N86" s="322">
        <f>(100%-$D86)*'GENERADO PS locales'!N246</f>
        <v>0</v>
      </c>
      <c r="O86" s="322">
        <f>(100%-$D86)*'GENERADO PS locales'!O246</f>
        <v>0</v>
      </c>
      <c r="P86" s="322">
        <f>(100%-$D86)*'GENERADO PS locales'!P246</f>
        <v>0</v>
      </c>
      <c r="Q86" s="322">
        <f>(100%-$D86)*'GENERADO PS locales'!Q246</f>
        <v>0</v>
      </c>
      <c r="R86" s="322">
        <f>(100%-$D86)*'GENERADO PS locales'!R246</f>
        <v>0</v>
      </c>
      <c r="S86" s="322">
        <f>(100%-$D86)*'GENERADO PS locales'!S246</f>
        <v>0</v>
      </c>
      <c r="T86" s="322">
        <f>(100%-$D86)*'GENERADO PS locales'!T246</f>
        <v>0</v>
      </c>
      <c r="U86" s="322">
        <f>(100%-$D86)*'GENERADO PS locales'!U246</f>
        <v>0</v>
      </c>
      <c r="V86" s="322">
        <f>(100%-$D86)*'GENERADO PS locales'!V246</f>
        <v>0</v>
      </c>
      <c r="W86" s="322">
        <f>(100%-$D86)*'GENERADO PS locales'!W246</f>
        <v>0</v>
      </c>
      <c r="X86" s="322">
        <f>(100%-$D86)*'GENERADO PS locales'!X246</f>
        <v>0</v>
      </c>
      <c r="Y86" s="322">
        <f>(100%-$D86)*'GENERADO PS locales'!Y246</f>
        <v>0</v>
      </c>
      <c r="Z86" s="322">
        <f>(100%-$D86)*'GENERADO PS locales'!Z246</f>
        <v>0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20"/>
      <c r="E87" s="278"/>
      <c r="F87" s="263"/>
      <c r="G87" s="322">
        <f>(100%-$D87)*'GENERADO PS locales'!G247</f>
        <v>0</v>
      </c>
      <c r="H87" s="322">
        <f>(100%-$D87)*'GENERADO PS locales'!H247</f>
        <v>0</v>
      </c>
      <c r="I87" s="322">
        <f>(100%-$D87)*'GENERADO PS locales'!I247</f>
        <v>0</v>
      </c>
      <c r="J87" s="322">
        <f>(100%-$D87)*'GENERADO PS locales'!J247</f>
        <v>0</v>
      </c>
      <c r="K87" s="322">
        <f>(100%-$D87)*'GENERADO PS locales'!K247</f>
        <v>0</v>
      </c>
      <c r="L87" s="322">
        <f>(100%-$D87)*'GENERADO PS locales'!L247</f>
        <v>0</v>
      </c>
      <c r="M87" s="322">
        <f>(100%-$D87)*'GENERADO PS locales'!M247</f>
        <v>0</v>
      </c>
      <c r="N87" s="322">
        <f>(100%-$D87)*'GENERADO PS locales'!N247</f>
        <v>0</v>
      </c>
      <c r="O87" s="322">
        <f>(100%-$D87)*'GENERADO PS locales'!O247</f>
        <v>0</v>
      </c>
      <c r="P87" s="322">
        <f>(100%-$D87)*'GENERADO PS locales'!P247</f>
        <v>0</v>
      </c>
      <c r="Q87" s="322">
        <f>(100%-$D87)*'GENERADO PS locales'!Q247</f>
        <v>0</v>
      </c>
      <c r="R87" s="322">
        <f>(100%-$D87)*'GENERADO PS locales'!R247</f>
        <v>0</v>
      </c>
      <c r="S87" s="322">
        <f>(100%-$D87)*'GENERADO PS locales'!S247</f>
        <v>0</v>
      </c>
      <c r="T87" s="322">
        <f>(100%-$D87)*'GENERADO PS locales'!T247</f>
        <v>0</v>
      </c>
      <c r="U87" s="322">
        <f>(100%-$D87)*'GENERADO PS locales'!U247</f>
        <v>0</v>
      </c>
      <c r="V87" s="322">
        <f>(100%-$D87)*'GENERADO PS locales'!V247</f>
        <v>0</v>
      </c>
      <c r="W87" s="322">
        <f>(100%-$D87)*'GENERADO PS locales'!W247</f>
        <v>0</v>
      </c>
      <c r="X87" s="322">
        <f>(100%-$D87)*'GENERADO PS locales'!X247</f>
        <v>0</v>
      </c>
      <c r="Y87" s="322">
        <f>(100%-$D87)*'GENERADO PS locales'!Y247</f>
        <v>0</v>
      </c>
      <c r="Z87" s="322">
        <f>(100%-$D87)*'GENERADO PS locales'!Z247</f>
        <v>0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20"/>
      <c r="E88" s="278"/>
      <c r="F88" s="263"/>
      <c r="G88" s="322">
        <f>(100%-$D88)*'GENERADO PS locales'!G248</f>
        <v>0</v>
      </c>
      <c r="H88" s="322">
        <f>(100%-$D88)*'GENERADO PS locales'!H248</f>
        <v>0</v>
      </c>
      <c r="I88" s="322">
        <f>(100%-$D88)*'GENERADO PS locales'!I248</f>
        <v>0</v>
      </c>
      <c r="J88" s="322">
        <f>(100%-$D88)*'GENERADO PS locales'!J248</f>
        <v>0</v>
      </c>
      <c r="K88" s="322">
        <f>(100%-$D88)*'GENERADO PS locales'!K248</f>
        <v>0</v>
      </c>
      <c r="L88" s="322">
        <f>(100%-$D88)*'GENERADO PS locales'!L248</f>
        <v>0</v>
      </c>
      <c r="M88" s="322">
        <f>(100%-$D88)*'GENERADO PS locales'!M248</f>
        <v>0</v>
      </c>
      <c r="N88" s="322">
        <f>(100%-$D88)*'GENERADO PS locales'!N248</f>
        <v>0</v>
      </c>
      <c r="O88" s="322">
        <f>(100%-$D88)*'GENERADO PS locales'!O248</f>
        <v>0</v>
      </c>
      <c r="P88" s="322">
        <f>(100%-$D88)*'GENERADO PS locales'!P248</f>
        <v>0</v>
      </c>
      <c r="Q88" s="322">
        <f>(100%-$D88)*'GENERADO PS locales'!Q248</f>
        <v>0</v>
      </c>
      <c r="R88" s="322">
        <f>(100%-$D88)*'GENERADO PS locales'!R248</f>
        <v>0</v>
      </c>
      <c r="S88" s="322">
        <f>(100%-$D88)*'GENERADO PS locales'!S248</f>
        <v>0</v>
      </c>
      <c r="T88" s="322">
        <f>(100%-$D88)*'GENERADO PS locales'!T248</f>
        <v>0</v>
      </c>
      <c r="U88" s="322">
        <f>(100%-$D88)*'GENERADO PS locales'!U248</f>
        <v>0</v>
      </c>
      <c r="V88" s="322">
        <f>(100%-$D88)*'GENERADO PS locales'!V248</f>
        <v>0</v>
      </c>
      <c r="W88" s="322">
        <f>(100%-$D88)*'GENERADO PS locales'!W248</f>
        <v>0</v>
      </c>
      <c r="X88" s="322">
        <f>(100%-$D88)*'GENERADO PS locales'!X248</f>
        <v>0</v>
      </c>
      <c r="Y88" s="322">
        <f>(100%-$D88)*'GENERADO PS locales'!Y248</f>
        <v>0</v>
      </c>
      <c r="Z88" s="322">
        <f>(100%-$D88)*'GENERADO PS locales'!Z248</f>
        <v>0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20"/>
      <c r="E89" s="278"/>
      <c r="F89" s="263"/>
      <c r="G89" s="322">
        <f>(100%-$D89)*'GENERADO PS locales'!G249</f>
        <v>0</v>
      </c>
      <c r="H89" s="322">
        <f>(100%-$D89)*'GENERADO PS locales'!H249</f>
        <v>0</v>
      </c>
      <c r="I89" s="322">
        <f>(100%-$D89)*'GENERADO PS locales'!I249</f>
        <v>0</v>
      </c>
      <c r="J89" s="322">
        <f>(100%-$D89)*'GENERADO PS locales'!J249</f>
        <v>0</v>
      </c>
      <c r="K89" s="322">
        <f>(100%-$D89)*'GENERADO PS locales'!K249</f>
        <v>0</v>
      </c>
      <c r="L89" s="322">
        <f>(100%-$D89)*'GENERADO PS locales'!L249</f>
        <v>0</v>
      </c>
      <c r="M89" s="322">
        <f>(100%-$D89)*'GENERADO PS locales'!M249</f>
        <v>0</v>
      </c>
      <c r="N89" s="322">
        <f>(100%-$D89)*'GENERADO PS locales'!N249</f>
        <v>0</v>
      </c>
      <c r="O89" s="322">
        <f>(100%-$D89)*'GENERADO PS locales'!O249</f>
        <v>0</v>
      </c>
      <c r="P89" s="322">
        <f>(100%-$D89)*'GENERADO PS locales'!P249</f>
        <v>0</v>
      </c>
      <c r="Q89" s="322">
        <f>(100%-$D89)*'GENERADO PS locales'!Q249</f>
        <v>0</v>
      </c>
      <c r="R89" s="322">
        <f>(100%-$D89)*'GENERADO PS locales'!R249</f>
        <v>0</v>
      </c>
      <c r="S89" s="322">
        <f>(100%-$D89)*'GENERADO PS locales'!S249</f>
        <v>0</v>
      </c>
      <c r="T89" s="322">
        <f>(100%-$D89)*'GENERADO PS locales'!T249</f>
        <v>0</v>
      </c>
      <c r="U89" s="322">
        <f>(100%-$D89)*'GENERADO PS locales'!U249</f>
        <v>0</v>
      </c>
      <c r="V89" s="322">
        <f>(100%-$D89)*'GENERADO PS locales'!V249</f>
        <v>0</v>
      </c>
      <c r="W89" s="322">
        <f>(100%-$D89)*'GENERADO PS locales'!W249</f>
        <v>0</v>
      </c>
      <c r="X89" s="322">
        <f>(100%-$D89)*'GENERADO PS locales'!X249</f>
        <v>0</v>
      </c>
      <c r="Y89" s="322">
        <f>(100%-$D89)*'GENERADO PS locales'!Y249</f>
        <v>0</v>
      </c>
      <c r="Z89" s="322">
        <f>(100%-$D89)*'GENERADO PS locales'!Z249</f>
        <v>0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20"/>
      <c r="E90" s="278"/>
      <c r="F90" s="263"/>
      <c r="G90" s="322">
        <f>(100%-$D90)*'GENERADO PS locales'!G250</f>
        <v>0</v>
      </c>
      <c r="H90" s="322">
        <f>(100%-$D90)*'GENERADO PS locales'!H250</f>
        <v>0</v>
      </c>
      <c r="I90" s="322">
        <f>(100%-$D90)*'GENERADO PS locales'!I250</f>
        <v>0</v>
      </c>
      <c r="J90" s="322">
        <f>(100%-$D90)*'GENERADO PS locales'!J250</f>
        <v>0</v>
      </c>
      <c r="K90" s="322">
        <f>(100%-$D90)*'GENERADO PS locales'!K250</f>
        <v>0</v>
      </c>
      <c r="L90" s="322">
        <f>(100%-$D90)*'GENERADO PS locales'!L250</f>
        <v>0</v>
      </c>
      <c r="M90" s="322">
        <f>(100%-$D90)*'GENERADO PS locales'!M250</f>
        <v>0</v>
      </c>
      <c r="N90" s="322">
        <f>(100%-$D90)*'GENERADO PS locales'!N250</f>
        <v>0</v>
      </c>
      <c r="O90" s="322">
        <f>(100%-$D90)*'GENERADO PS locales'!O250</f>
        <v>0</v>
      </c>
      <c r="P90" s="322">
        <f>(100%-$D90)*'GENERADO PS locales'!P250</f>
        <v>0</v>
      </c>
      <c r="Q90" s="322">
        <f>(100%-$D90)*'GENERADO PS locales'!Q250</f>
        <v>0</v>
      </c>
      <c r="R90" s="322">
        <f>(100%-$D90)*'GENERADO PS locales'!R250</f>
        <v>0</v>
      </c>
      <c r="S90" s="322">
        <f>(100%-$D90)*'GENERADO PS locales'!S250</f>
        <v>0</v>
      </c>
      <c r="T90" s="322">
        <f>(100%-$D90)*'GENERADO PS locales'!T250</f>
        <v>0</v>
      </c>
      <c r="U90" s="322">
        <f>(100%-$D90)*'GENERADO PS locales'!U250</f>
        <v>0</v>
      </c>
      <c r="V90" s="322">
        <f>(100%-$D90)*'GENERADO PS locales'!V250</f>
        <v>0</v>
      </c>
      <c r="W90" s="322">
        <f>(100%-$D90)*'GENERADO PS locales'!W250</f>
        <v>0</v>
      </c>
      <c r="X90" s="322">
        <f>(100%-$D90)*'GENERADO PS locales'!X250</f>
        <v>0</v>
      </c>
      <c r="Y90" s="322">
        <f>(100%-$D90)*'GENERADO PS locales'!Y250</f>
        <v>0</v>
      </c>
      <c r="Z90" s="322">
        <f>(100%-$D90)*'GENERADO PS locales'!Z250</f>
        <v>0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20"/>
      <c r="E91" s="278"/>
      <c r="F91" s="263"/>
      <c r="G91" s="322">
        <f>(100%-$D91)*'GENERADO PS locales'!G251</f>
        <v>0</v>
      </c>
      <c r="H91" s="322">
        <f>(100%-$D91)*'GENERADO PS locales'!H251</f>
        <v>0</v>
      </c>
      <c r="I91" s="322">
        <f>(100%-$D91)*'GENERADO PS locales'!I251</f>
        <v>0</v>
      </c>
      <c r="J91" s="322">
        <f>(100%-$D91)*'GENERADO PS locales'!J251</f>
        <v>0</v>
      </c>
      <c r="K91" s="322">
        <f>(100%-$D91)*'GENERADO PS locales'!K251</f>
        <v>0</v>
      </c>
      <c r="L91" s="322">
        <f>(100%-$D91)*'GENERADO PS locales'!L251</f>
        <v>0</v>
      </c>
      <c r="M91" s="322">
        <f>(100%-$D91)*'GENERADO PS locales'!M251</f>
        <v>0</v>
      </c>
      <c r="N91" s="322">
        <f>(100%-$D91)*'GENERADO PS locales'!N251</f>
        <v>0</v>
      </c>
      <c r="O91" s="322">
        <f>(100%-$D91)*'GENERADO PS locales'!O251</f>
        <v>0</v>
      </c>
      <c r="P91" s="322">
        <f>(100%-$D91)*'GENERADO PS locales'!P251</f>
        <v>0</v>
      </c>
      <c r="Q91" s="322">
        <f>(100%-$D91)*'GENERADO PS locales'!Q251</f>
        <v>0</v>
      </c>
      <c r="R91" s="322">
        <f>(100%-$D91)*'GENERADO PS locales'!R251</f>
        <v>0</v>
      </c>
      <c r="S91" s="322">
        <f>(100%-$D91)*'GENERADO PS locales'!S251</f>
        <v>0</v>
      </c>
      <c r="T91" s="322">
        <f>(100%-$D91)*'GENERADO PS locales'!T251</f>
        <v>0</v>
      </c>
      <c r="U91" s="322">
        <f>(100%-$D91)*'GENERADO PS locales'!U251</f>
        <v>0</v>
      </c>
      <c r="V91" s="322">
        <f>(100%-$D91)*'GENERADO PS locales'!V251</f>
        <v>0</v>
      </c>
      <c r="W91" s="322">
        <f>(100%-$D91)*'GENERADO PS locales'!W251</f>
        <v>0</v>
      </c>
      <c r="X91" s="322">
        <f>(100%-$D91)*'GENERADO PS locales'!X251</f>
        <v>0</v>
      </c>
      <c r="Y91" s="322">
        <f>(100%-$D91)*'GENERADO PS locales'!Y251</f>
        <v>0</v>
      </c>
      <c r="Z91" s="322">
        <f>(100%-$D91)*'GENERADO PS locales'!Z251</f>
        <v>0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20"/>
      <c r="E92" s="278"/>
      <c r="F92" s="263"/>
      <c r="G92" s="322">
        <f>(100%-$D92)*'GENERADO PS locales'!G252</f>
        <v>0</v>
      </c>
      <c r="H92" s="322">
        <f>(100%-$D92)*'GENERADO PS locales'!H252</f>
        <v>0</v>
      </c>
      <c r="I92" s="322">
        <f>(100%-$D92)*'GENERADO PS locales'!I252</f>
        <v>0</v>
      </c>
      <c r="J92" s="322">
        <f>(100%-$D92)*'GENERADO PS locales'!J252</f>
        <v>0</v>
      </c>
      <c r="K92" s="322">
        <f>(100%-$D92)*'GENERADO PS locales'!K252</f>
        <v>0</v>
      </c>
      <c r="L92" s="322">
        <f>(100%-$D92)*'GENERADO PS locales'!L252</f>
        <v>0</v>
      </c>
      <c r="M92" s="322">
        <f>(100%-$D92)*'GENERADO PS locales'!M252</f>
        <v>0</v>
      </c>
      <c r="N92" s="322">
        <f>(100%-$D92)*'GENERADO PS locales'!N252</f>
        <v>0</v>
      </c>
      <c r="O92" s="322">
        <f>(100%-$D92)*'GENERADO PS locales'!O252</f>
        <v>0</v>
      </c>
      <c r="P92" s="322">
        <f>(100%-$D92)*'GENERADO PS locales'!P252</f>
        <v>0</v>
      </c>
      <c r="Q92" s="322">
        <f>(100%-$D92)*'GENERADO PS locales'!Q252</f>
        <v>0</v>
      </c>
      <c r="R92" s="322">
        <f>(100%-$D92)*'GENERADO PS locales'!R252</f>
        <v>0</v>
      </c>
      <c r="S92" s="322">
        <f>(100%-$D92)*'GENERADO PS locales'!S252</f>
        <v>0</v>
      </c>
      <c r="T92" s="322">
        <f>(100%-$D92)*'GENERADO PS locales'!T252</f>
        <v>0</v>
      </c>
      <c r="U92" s="322">
        <f>(100%-$D92)*'GENERADO PS locales'!U252</f>
        <v>0</v>
      </c>
      <c r="V92" s="322">
        <f>(100%-$D92)*'GENERADO PS locales'!V252</f>
        <v>0</v>
      </c>
      <c r="W92" s="322">
        <f>(100%-$D92)*'GENERADO PS locales'!W252</f>
        <v>0</v>
      </c>
      <c r="X92" s="322">
        <f>(100%-$D92)*'GENERADO PS locales'!X252</f>
        <v>0</v>
      </c>
      <c r="Y92" s="322">
        <f>(100%-$D92)*'GENERADO PS locales'!Y252</f>
        <v>0</v>
      </c>
      <c r="Z92" s="322">
        <f>(100%-$D92)*'GENERADO PS locales'!Z252</f>
        <v>0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20"/>
      <c r="E93" s="278"/>
      <c r="F93" s="263"/>
      <c r="G93" s="322">
        <f>(100%-$D93)*'GENERADO PS locales'!G253</f>
        <v>0</v>
      </c>
      <c r="H93" s="322">
        <f>(100%-$D93)*'GENERADO PS locales'!H253</f>
        <v>0</v>
      </c>
      <c r="I93" s="322">
        <f>(100%-$D93)*'GENERADO PS locales'!I253</f>
        <v>0</v>
      </c>
      <c r="J93" s="322">
        <f>(100%-$D93)*'GENERADO PS locales'!J253</f>
        <v>0</v>
      </c>
      <c r="K93" s="322">
        <f>(100%-$D93)*'GENERADO PS locales'!K253</f>
        <v>0</v>
      </c>
      <c r="L93" s="322">
        <f>(100%-$D93)*'GENERADO PS locales'!L253</f>
        <v>0</v>
      </c>
      <c r="M93" s="322">
        <f>(100%-$D93)*'GENERADO PS locales'!M253</f>
        <v>0</v>
      </c>
      <c r="N93" s="322">
        <f>(100%-$D93)*'GENERADO PS locales'!N253</f>
        <v>0</v>
      </c>
      <c r="O93" s="322">
        <f>(100%-$D93)*'GENERADO PS locales'!O253</f>
        <v>0</v>
      </c>
      <c r="P93" s="322">
        <f>(100%-$D93)*'GENERADO PS locales'!P253</f>
        <v>0</v>
      </c>
      <c r="Q93" s="322">
        <f>(100%-$D93)*'GENERADO PS locales'!Q253</f>
        <v>0</v>
      </c>
      <c r="R93" s="322">
        <f>(100%-$D93)*'GENERADO PS locales'!R253</f>
        <v>0</v>
      </c>
      <c r="S93" s="322">
        <f>(100%-$D93)*'GENERADO PS locales'!S253</f>
        <v>0</v>
      </c>
      <c r="T93" s="322">
        <f>(100%-$D93)*'GENERADO PS locales'!T253</f>
        <v>0</v>
      </c>
      <c r="U93" s="322">
        <f>(100%-$D93)*'GENERADO PS locales'!U253</f>
        <v>0</v>
      </c>
      <c r="V93" s="322">
        <f>(100%-$D93)*'GENERADO PS locales'!V253</f>
        <v>0</v>
      </c>
      <c r="W93" s="322">
        <f>(100%-$D93)*'GENERADO PS locales'!W253</f>
        <v>0</v>
      </c>
      <c r="X93" s="322">
        <f>(100%-$D93)*'GENERADO PS locales'!X253</f>
        <v>0</v>
      </c>
      <c r="Y93" s="322">
        <f>(100%-$D93)*'GENERADO PS locales'!Y253</f>
        <v>0</v>
      </c>
      <c r="Z93" s="322">
        <f>(100%-$D93)*'GENERADO PS locales'!Z253</f>
        <v>0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20"/>
      <c r="E94" s="278"/>
      <c r="F94" s="263"/>
      <c r="G94" s="322">
        <f>(100%-$D94)*'GENERADO PS locales'!G254</f>
        <v>0</v>
      </c>
      <c r="H94" s="322">
        <f>(100%-$D94)*'GENERADO PS locales'!H254</f>
        <v>0</v>
      </c>
      <c r="I94" s="322">
        <f>(100%-$D94)*'GENERADO PS locales'!I254</f>
        <v>0</v>
      </c>
      <c r="J94" s="322">
        <f>(100%-$D94)*'GENERADO PS locales'!J254</f>
        <v>0</v>
      </c>
      <c r="K94" s="322">
        <f>(100%-$D94)*'GENERADO PS locales'!K254</f>
        <v>0</v>
      </c>
      <c r="L94" s="322">
        <f>(100%-$D94)*'GENERADO PS locales'!L254</f>
        <v>0</v>
      </c>
      <c r="M94" s="322">
        <f>(100%-$D94)*'GENERADO PS locales'!M254</f>
        <v>0</v>
      </c>
      <c r="N94" s="322">
        <f>(100%-$D94)*'GENERADO PS locales'!N254</f>
        <v>0</v>
      </c>
      <c r="O94" s="322">
        <f>(100%-$D94)*'GENERADO PS locales'!O254</f>
        <v>0</v>
      </c>
      <c r="P94" s="322">
        <f>(100%-$D94)*'GENERADO PS locales'!P254</f>
        <v>0</v>
      </c>
      <c r="Q94" s="322">
        <f>(100%-$D94)*'GENERADO PS locales'!Q254</f>
        <v>0</v>
      </c>
      <c r="R94" s="322">
        <f>(100%-$D94)*'GENERADO PS locales'!R254</f>
        <v>0</v>
      </c>
      <c r="S94" s="322">
        <f>(100%-$D94)*'GENERADO PS locales'!S254</f>
        <v>0</v>
      </c>
      <c r="T94" s="322">
        <f>(100%-$D94)*'GENERADO PS locales'!T254</f>
        <v>0</v>
      </c>
      <c r="U94" s="322">
        <f>(100%-$D94)*'GENERADO PS locales'!U254</f>
        <v>0</v>
      </c>
      <c r="V94" s="322">
        <f>(100%-$D94)*'GENERADO PS locales'!V254</f>
        <v>0</v>
      </c>
      <c r="W94" s="322">
        <f>(100%-$D94)*'GENERADO PS locales'!W254</f>
        <v>0</v>
      </c>
      <c r="X94" s="322">
        <f>(100%-$D94)*'GENERADO PS locales'!X254</f>
        <v>0</v>
      </c>
      <c r="Y94" s="322">
        <f>(100%-$D94)*'GENERADO PS locales'!Y254</f>
        <v>0</v>
      </c>
      <c r="Z94" s="322">
        <f>(100%-$D94)*'GENERADO PS locales'!Z254</f>
        <v>0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20"/>
      <c r="E95" s="278"/>
      <c r="F95" s="263"/>
      <c r="G95" s="322">
        <f>(100%-$D95)*'GENERADO PS locales'!G255</f>
        <v>0</v>
      </c>
      <c r="H95" s="322">
        <f>(100%-$D95)*'GENERADO PS locales'!H255</f>
        <v>0</v>
      </c>
      <c r="I95" s="322">
        <f>(100%-$D95)*'GENERADO PS locales'!I255</f>
        <v>0</v>
      </c>
      <c r="J95" s="322">
        <f>(100%-$D95)*'GENERADO PS locales'!J255</f>
        <v>0</v>
      </c>
      <c r="K95" s="322">
        <f>(100%-$D95)*'GENERADO PS locales'!K255</f>
        <v>0</v>
      </c>
      <c r="L95" s="322">
        <f>(100%-$D95)*'GENERADO PS locales'!L255</f>
        <v>0</v>
      </c>
      <c r="M95" s="322">
        <f>(100%-$D95)*'GENERADO PS locales'!M255</f>
        <v>0</v>
      </c>
      <c r="N95" s="322">
        <f>(100%-$D95)*'GENERADO PS locales'!N255</f>
        <v>0</v>
      </c>
      <c r="O95" s="322">
        <f>(100%-$D95)*'GENERADO PS locales'!O255</f>
        <v>0</v>
      </c>
      <c r="P95" s="322">
        <f>(100%-$D95)*'GENERADO PS locales'!P255</f>
        <v>0</v>
      </c>
      <c r="Q95" s="322">
        <f>(100%-$D95)*'GENERADO PS locales'!Q255</f>
        <v>0</v>
      </c>
      <c r="R95" s="322">
        <f>(100%-$D95)*'GENERADO PS locales'!R255</f>
        <v>0</v>
      </c>
      <c r="S95" s="322">
        <f>(100%-$D95)*'GENERADO PS locales'!S255</f>
        <v>0</v>
      </c>
      <c r="T95" s="322">
        <f>(100%-$D95)*'GENERADO PS locales'!T255</f>
        <v>0</v>
      </c>
      <c r="U95" s="322">
        <f>(100%-$D95)*'GENERADO PS locales'!U255</f>
        <v>0</v>
      </c>
      <c r="V95" s="322">
        <f>(100%-$D95)*'GENERADO PS locales'!V255</f>
        <v>0</v>
      </c>
      <c r="W95" s="322">
        <f>(100%-$D95)*'GENERADO PS locales'!W255</f>
        <v>0</v>
      </c>
      <c r="X95" s="322">
        <f>(100%-$D95)*'GENERADO PS locales'!X255</f>
        <v>0</v>
      </c>
      <c r="Y95" s="322">
        <f>(100%-$D95)*'GENERADO PS locales'!Y255</f>
        <v>0</v>
      </c>
      <c r="Z95" s="322">
        <f>(100%-$D95)*'GENERADO PS locales'!Z255</f>
        <v>0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20"/>
      <c r="E96" s="278"/>
      <c r="F96" s="263"/>
      <c r="G96" s="322">
        <f>(100%-$D96)*'GENERADO PS locales'!G256</f>
        <v>0</v>
      </c>
      <c r="H96" s="322">
        <f>(100%-$D96)*'GENERADO PS locales'!H256</f>
        <v>0</v>
      </c>
      <c r="I96" s="322">
        <f>(100%-$D96)*'GENERADO PS locales'!I256</f>
        <v>0</v>
      </c>
      <c r="J96" s="322">
        <f>(100%-$D96)*'GENERADO PS locales'!J256</f>
        <v>0</v>
      </c>
      <c r="K96" s="322">
        <f>(100%-$D96)*'GENERADO PS locales'!K256</f>
        <v>0</v>
      </c>
      <c r="L96" s="322">
        <f>(100%-$D96)*'GENERADO PS locales'!L256</f>
        <v>0</v>
      </c>
      <c r="M96" s="322">
        <f>(100%-$D96)*'GENERADO PS locales'!M256</f>
        <v>0</v>
      </c>
      <c r="N96" s="322">
        <f>(100%-$D96)*'GENERADO PS locales'!N256</f>
        <v>0</v>
      </c>
      <c r="O96" s="322">
        <f>(100%-$D96)*'GENERADO PS locales'!O256</f>
        <v>0</v>
      </c>
      <c r="P96" s="322">
        <f>(100%-$D96)*'GENERADO PS locales'!P256</f>
        <v>0</v>
      </c>
      <c r="Q96" s="322">
        <f>(100%-$D96)*'GENERADO PS locales'!Q256</f>
        <v>0</v>
      </c>
      <c r="R96" s="322">
        <f>(100%-$D96)*'GENERADO PS locales'!R256</f>
        <v>0</v>
      </c>
      <c r="S96" s="322">
        <f>(100%-$D96)*'GENERADO PS locales'!S256</f>
        <v>0</v>
      </c>
      <c r="T96" s="322">
        <f>(100%-$D96)*'GENERADO PS locales'!T256</f>
        <v>0</v>
      </c>
      <c r="U96" s="322">
        <f>(100%-$D96)*'GENERADO PS locales'!U256</f>
        <v>0</v>
      </c>
      <c r="V96" s="322">
        <f>(100%-$D96)*'GENERADO PS locales'!V256</f>
        <v>0</v>
      </c>
      <c r="W96" s="322">
        <f>(100%-$D96)*'GENERADO PS locales'!W256</f>
        <v>0</v>
      </c>
      <c r="X96" s="322">
        <f>(100%-$D96)*'GENERADO PS locales'!X256</f>
        <v>0</v>
      </c>
      <c r="Y96" s="322">
        <f>(100%-$D96)*'GENERADO PS locales'!Y256</f>
        <v>0</v>
      </c>
      <c r="Z96" s="322">
        <f>(100%-$D96)*'GENERADO PS locales'!Z256</f>
        <v>0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20"/>
      <c r="E97" s="278"/>
      <c r="F97" s="263"/>
      <c r="G97" s="322">
        <f>(100%-$D97)*'GENERADO PS locales'!G257</f>
        <v>0</v>
      </c>
      <c r="H97" s="322">
        <f>(100%-$D97)*'GENERADO PS locales'!H257</f>
        <v>0</v>
      </c>
      <c r="I97" s="322">
        <f>(100%-$D97)*'GENERADO PS locales'!I257</f>
        <v>0</v>
      </c>
      <c r="J97" s="322">
        <f>(100%-$D97)*'GENERADO PS locales'!J257</f>
        <v>0</v>
      </c>
      <c r="K97" s="322">
        <f>(100%-$D97)*'GENERADO PS locales'!K257</f>
        <v>0</v>
      </c>
      <c r="L97" s="322">
        <f>(100%-$D97)*'GENERADO PS locales'!L257</f>
        <v>0</v>
      </c>
      <c r="M97" s="322">
        <f>(100%-$D97)*'GENERADO PS locales'!M257</f>
        <v>0</v>
      </c>
      <c r="N97" s="322">
        <f>(100%-$D97)*'GENERADO PS locales'!N257</f>
        <v>0</v>
      </c>
      <c r="O97" s="322">
        <f>(100%-$D97)*'GENERADO PS locales'!O257</f>
        <v>0</v>
      </c>
      <c r="P97" s="322">
        <f>(100%-$D97)*'GENERADO PS locales'!P257</f>
        <v>0</v>
      </c>
      <c r="Q97" s="322">
        <f>(100%-$D97)*'GENERADO PS locales'!Q257</f>
        <v>0</v>
      </c>
      <c r="R97" s="322">
        <f>(100%-$D97)*'GENERADO PS locales'!R257</f>
        <v>0</v>
      </c>
      <c r="S97" s="322">
        <f>(100%-$D97)*'GENERADO PS locales'!S257</f>
        <v>0</v>
      </c>
      <c r="T97" s="322">
        <f>(100%-$D97)*'GENERADO PS locales'!T257</f>
        <v>0</v>
      </c>
      <c r="U97" s="322">
        <f>(100%-$D97)*'GENERADO PS locales'!U257</f>
        <v>0</v>
      </c>
      <c r="V97" s="322">
        <f>(100%-$D97)*'GENERADO PS locales'!V257</f>
        <v>0</v>
      </c>
      <c r="W97" s="322">
        <f>(100%-$D97)*'GENERADO PS locales'!W257</f>
        <v>0</v>
      </c>
      <c r="X97" s="322">
        <f>(100%-$D97)*'GENERADO PS locales'!X257</f>
        <v>0</v>
      </c>
      <c r="Y97" s="322">
        <f>(100%-$D97)*'GENERADO PS locales'!Y257</f>
        <v>0</v>
      </c>
      <c r="Z97" s="322">
        <f>(100%-$D97)*'GENERADO PS locales'!Z257</f>
        <v>0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20"/>
      <c r="E98" s="278"/>
      <c r="F98" s="263"/>
      <c r="G98" s="322">
        <f>(100%-$D98)*'GENERADO PS locales'!G258</f>
        <v>0</v>
      </c>
      <c r="H98" s="322">
        <f>(100%-$D98)*'GENERADO PS locales'!H258</f>
        <v>0</v>
      </c>
      <c r="I98" s="322">
        <f>(100%-$D98)*'GENERADO PS locales'!I258</f>
        <v>0</v>
      </c>
      <c r="J98" s="322">
        <f>(100%-$D98)*'GENERADO PS locales'!J258</f>
        <v>0</v>
      </c>
      <c r="K98" s="322">
        <f>(100%-$D98)*'GENERADO PS locales'!K258</f>
        <v>0</v>
      </c>
      <c r="L98" s="322">
        <f>(100%-$D98)*'GENERADO PS locales'!L258</f>
        <v>0</v>
      </c>
      <c r="M98" s="322">
        <f>(100%-$D98)*'GENERADO PS locales'!M258</f>
        <v>0</v>
      </c>
      <c r="N98" s="322">
        <f>(100%-$D98)*'GENERADO PS locales'!N258</f>
        <v>0</v>
      </c>
      <c r="O98" s="322">
        <f>(100%-$D98)*'GENERADO PS locales'!O258</f>
        <v>0</v>
      </c>
      <c r="P98" s="322">
        <f>(100%-$D98)*'GENERADO PS locales'!P258</f>
        <v>0</v>
      </c>
      <c r="Q98" s="322">
        <f>(100%-$D98)*'GENERADO PS locales'!Q258</f>
        <v>0</v>
      </c>
      <c r="R98" s="322">
        <f>(100%-$D98)*'GENERADO PS locales'!R258</f>
        <v>0</v>
      </c>
      <c r="S98" s="322">
        <f>(100%-$D98)*'GENERADO PS locales'!S258</f>
        <v>0</v>
      </c>
      <c r="T98" s="322">
        <f>(100%-$D98)*'GENERADO PS locales'!T258</f>
        <v>0</v>
      </c>
      <c r="U98" s="322">
        <f>(100%-$D98)*'GENERADO PS locales'!U258</f>
        <v>0</v>
      </c>
      <c r="V98" s="322">
        <f>(100%-$D98)*'GENERADO PS locales'!V258</f>
        <v>0</v>
      </c>
      <c r="W98" s="322">
        <f>(100%-$D98)*'GENERADO PS locales'!W258</f>
        <v>0</v>
      </c>
      <c r="X98" s="322">
        <f>(100%-$D98)*'GENERADO PS locales'!X258</f>
        <v>0</v>
      </c>
      <c r="Y98" s="322">
        <f>(100%-$D98)*'GENERADO PS locales'!Y258</f>
        <v>0</v>
      </c>
      <c r="Z98" s="322">
        <f>(100%-$D98)*'GENERADO PS locales'!Z258</f>
        <v>0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20"/>
      <c r="E99" s="278"/>
      <c r="F99" s="263"/>
      <c r="G99" s="322">
        <f>(100%-$D99)*'GENERADO PS locales'!G259</f>
        <v>0</v>
      </c>
      <c r="H99" s="322">
        <f>(100%-$D99)*'GENERADO PS locales'!H259</f>
        <v>0</v>
      </c>
      <c r="I99" s="322">
        <f>(100%-$D99)*'GENERADO PS locales'!I259</f>
        <v>0</v>
      </c>
      <c r="J99" s="322">
        <f>(100%-$D99)*'GENERADO PS locales'!J259</f>
        <v>0</v>
      </c>
      <c r="K99" s="322">
        <f>(100%-$D99)*'GENERADO PS locales'!K259</f>
        <v>0</v>
      </c>
      <c r="L99" s="322">
        <f>(100%-$D99)*'GENERADO PS locales'!L259</f>
        <v>0</v>
      </c>
      <c r="M99" s="322">
        <f>(100%-$D99)*'GENERADO PS locales'!M259</f>
        <v>0</v>
      </c>
      <c r="N99" s="322">
        <f>(100%-$D99)*'GENERADO PS locales'!N259</f>
        <v>0</v>
      </c>
      <c r="O99" s="322">
        <f>(100%-$D99)*'GENERADO PS locales'!O259</f>
        <v>0</v>
      </c>
      <c r="P99" s="322">
        <f>(100%-$D99)*'GENERADO PS locales'!P259</f>
        <v>0</v>
      </c>
      <c r="Q99" s="322">
        <f>(100%-$D99)*'GENERADO PS locales'!Q259</f>
        <v>0</v>
      </c>
      <c r="R99" s="322">
        <f>(100%-$D99)*'GENERADO PS locales'!R259</f>
        <v>0</v>
      </c>
      <c r="S99" s="322">
        <f>(100%-$D99)*'GENERADO PS locales'!S259</f>
        <v>0</v>
      </c>
      <c r="T99" s="322">
        <f>(100%-$D99)*'GENERADO PS locales'!T259</f>
        <v>0</v>
      </c>
      <c r="U99" s="322">
        <f>(100%-$D99)*'GENERADO PS locales'!U259</f>
        <v>0</v>
      </c>
      <c r="V99" s="322">
        <f>(100%-$D99)*'GENERADO PS locales'!V259</f>
        <v>0</v>
      </c>
      <c r="W99" s="322">
        <f>(100%-$D99)*'GENERADO PS locales'!W259</f>
        <v>0</v>
      </c>
      <c r="X99" s="322">
        <f>(100%-$D99)*'GENERADO PS locales'!X259</f>
        <v>0</v>
      </c>
      <c r="Y99" s="322">
        <f>(100%-$D99)*'GENERADO PS locales'!Y259</f>
        <v>0</v>
      </c>
      <c r="Z99" s="322">
        <f>(100%-$D99)*'GENERADO PS locales'!Z259</f>
        <v>0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20"/>
      <c r="E100" s="278"/>
      <c r="F100" s="263"/>
      <c r="G100" s="322">
        <f>(100%-$D100)*'GENERADO PS locales'!G260</f>
        <v>0</v>
      </c>
      <c r="H100" s="322">
        <f>(100%-$D100)*'GENERADO PS locales'!H260</f>
        <v>0</v>
      </c>
      <c r="I100" s="322">
        <f>(100%-$D100)*'GENERADO PS locales'!I260</f>
        <v>0</v>
      </c>
      <c r="J100" s="322">
        <f>(100%-$D100)*'GENERADO PS locales'!J260</f>
        <v>0</v>
      </c>
      <c r="K100" s="322">
        <f>(100%-$D100)*'GENERADO PS locales'!K260</f>
        <v>0</v>
      </c>
      <c r="L100" s="322">
        <f>(100%-$D100)*'GENERADO PS locales'!L260</f>
        <v>0</v>
      </c>
      <c r="M100" s="322">
        <f>(100%-$D100)*'GENERADO PS locales'!M260</f>
        <v>0</v>
      </c>
      <c r="N100" s="322">
        <f>(100%-$D100)*'GENERADO PS locales'!N260</f>
        <v>0</v>
      </c>
      <c r="O100" s="322">
        <f>(100%-$D100)*'GENERADO PS locales'!O260</f>
        <v>0</v>
      </c>
      <c r="P100" s="322">
        <f>(100%-$D100)*'GENERADO PS locales'!P260</f>
        <v>0</v>
      </c>
      <c r="Q100" s="322">
        <f>(100%-$D100)*'GENERADO PS locales'!Q260</f>
        <v>0</v>
      </c>
      <c r="R100" s="322">
        <f>(100%-$D100)*'GENERADO PS locales'!R260</f>
        <v>0</v>
      </c>
      <c r="S100" s="322">
        <f>(100%-$D100)*'GENERADO PS locales'!S260</f>
        <v>0</v>
      </c>
      <c r="T100" s="322">
        <f>(100%-$D100)*'GENERADO PS locales'!T260</f>
        <v>0</v>
      </c>
      <c r="U100" s="322">
        <f>(100%-$D100)*'GENERADO PS locales'!U260</f>
        <v>0</v>
      </c>
      <c r="V100" s="322">
        <f>(100%-$D100)*'GENERADO PS locales'!V260</f>
        <v>0</v>
      </c>
      <c r="W100" s="322">
        <f>(100%-$D100)*'GENERADO PS locales'!W260</f>
        <v>0</v>
      </c>
      <c r="X100" s="322">
        <f>(100%-$D100)*'GENERADO PS locales'!X260</f>
        <v>0</v>
      </c>
      <c r="Y100" s="322">
        <f>(100%-$D100)*'GENERADO PS locales'!Y260</f>
        <v>0</v>
      </c>
      <c r="Z100" s="322">
        <f>(100%-$D100)*'GENERADO PS locales'!Z260</f>
        <v>0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20"/>
      <c r="E101" s="278"/>
      <c r="F101" s="263"/>
      <c r="G101" s="322">
        <f>(100%-$D101)*'GENERADO PS locales'!G261</f>
        <v>0</v>
      </c>
      <c r="H101" s="322">
        <f>(100%-$D101)*'GENERADO PS locales'!H261</f>
        <v>0</v>
      </c>
      <c r="I101" s="322">
        <f>(100%-$D101)*'GENERADO PS locales'!I261</f>
        <v>0</v>
      </c>
      <c r="J101" s="322">
        <f>(100%-$D101)*'GENERADO PS locales'!J261</f>
        <v>0</v>
      </c>
      <c r="K101" s="322">
        <f>(100%-$D101)*'GENERADO PS locales'!K261</f>
        <v>0</v>
      </c>
      <c r="L101" s="322">
        <f>(100%-$D101)*'GENERADO PS locales'!L261</f>
        <v>0</v>
      </c>
      <c r="M101" s="322">
        <f>(100%-$D101)*'GENERADO PS locales'!M261</f>
        <v>0</v>
      </c>
      <c r="N101" s="322">
        <f>(100%-$D101)*'GENERADO PS locales'!N261</f>
        <v>0</v>
      </c>
      <c r="O101" s="322">
        <f>(100%-$D101)*'GENERADO PS locales'!O261</f>
        <v>0</v>
      </c>
      <c r="P101" s="322">
        <f>(100%-$D101)*'GENERADO PS locales'!P261</f>
        <v>0</v>
      </c>
      <c r="Q101" s="322">
        <f>(100%-$D101)*'GENERADO PS locales'!Q261</f>
        <v>0</v>
      </c>
      <c r="R101" s="322">
        <f>(100%-$D101)*'GENERADO PS locales'!R261</f>
        <v>0</v>
      </c>
      <c r="S101" s="322">
        <f>(100%-$D101)*'GENERADO PS locales'!S261</f>
        <v>0</v>
      </c>
      <c r="T101" s="322">
        <f>(100%-$D101)*'GENERADO PS locales'!T261</f>
        <v>0</v>
      </c>
      <c r="U101" s="322">
        <f>(100%-$D101)*'GENERADO PS locales'!U261</f>
        <v>0</v>
      </c>
      <c r="V101" s="322">
        <f>(100%-$D101)*'GENERADO PS locales'!V261</f>
        <v>0</v>
      </c>
      <c r="W101" s="322">
        <f>(100%-$D101)*'GENERADO PS locales'!W261</f>
        <v>0</v>
      </c>
      <c r="X101" s="322">
        <f>(100%-$D101)*'GENERADO PS locales'!X261</f>
        <v>0</v>
      </c>
      <c r="Y101" s="322">
        <f>(100%-$D101)*'GENERADO PS locales'!Y261</f>
        <v>0</v>
      </c>
      <c r="Z101" s="322">
        <f>(100%-$D101)*'GENERADO PS locales'!Z261</f>
        <v>0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20"/>
      <c r="E102" s="278"/>
      <c r="F102" s="263"/>
      <c r="G102" s="322">
        <f>(100%-$D102)*'GENERADO PS locales'!G262</f>
        <v>0</v>
      </c>
      <c r="H102" s="322">
        <f>(100%-$D102)*'GENERADO PS locales'!H262</f>
        <v>0</v>
      </c>
      <c r="I102" s="322">
        <f>(100%-$D102)*'GENERADO PS locales'!I262</f>
        <v>0</v>
      </c>
      <c r="J102" s="322">
        <f>(100%-$D102)*'GENERADO PS locales'!J262</f>
        <v>0</v>
      </c>
      <c r="K102" s="322">
        <f>(100%-$D102)*'GENERADO PS locales'!K262</f>
        <v>0</v>
      </c>
      <c r="L102" s="322">
        <f>(100%-$D102)*'GENERADO PS locales'!L262</f>
        <v>0</v>
      </c>
      <c r="M102" s="322">
        <f>(100%-$D102)*'GENERADO PS locales'!M262</f>
        <v>0</v>
      </c>
      <c r="N102" s="322">
        <f>(100%-$D102)*'GENERADO PS locales'!N262</f>
        <v>0</v>
      </c>
      <c r="O102" s="322">
        <f>(100%-$D102)*'GENERADO PS locales'!O262</f>
        <v>0</v>
      </c>
      <c r="P102" s="322">
        <f>(100%-$D102)*'GENERADO PS locales'!P262</f>
        <v>0</v>
      </c>
      <c r="Q102" s="322">
        <f>(100%-$D102)*'GENERADO PS locales'!Q262</f>
        <v>0</v>
      </c>
      <c r="R102" s="322">
        <f>(100%-$D102)*'GENERADO PS locales'!R262</f>
        <v>0</v>
      </c>
      <c r="S102" s="322">
        <f>(100%-$D102)*'GENERADO PS locales'!S262</f>
        <v>0</v>
      </c>
      <c r="T102" s="322">
        <f>(100%-$D102)*'GENERADO PS locales'!T262</f>
        <v>0</v>
      </c>
      <c r="U102" s="322">
        <f>(100%-$D102)*'GENERADO PS locales'!U262</f>
        <v>0</v>
      </c>
      <c r="V102" s="322">
        <f>(100%-$D102)*'GENERADO PS locales'!V262</f>
        <v>0</v>
      </c>
      <c r="W102" s="322">
        <f>(100%-$D102)*'GENERADO PS locales'!W262</f>
        <v>0</v>
      </c>
      <c r="X102" s="322">
        <f>(100%-$D102)*'GENERADO PS locales'!X262</f>
        <v>0</v>
      </c>
      <c r="Y102" s="322">
        <f>(100%-$D102)*'GENERADO PS locales'!Y262</f>
        <v>0</v>
      </c>
      <c r="Z102" s="322">
        <f>(100%-$D102)*'GENERADO PS locales'!Z262</f>
        <v>0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20"/>
      <c r="E103" s="278"/>
      <c r="F103" s="263"/>
      <c r="G103" s="322">
        <f>(100%-$D103)*'GENERADO PS locales'!G263</f>
        <v>0</v>
      </c>
      <c r="H103" s="322">
        <f>(100%-$D103)*'GENERADO PS locales'!H263</f>
        <v>0</v>
      </c>
      <c r="I103" s="322">
        <f>(100%-$D103)*'GENERADO PS locales'!I263</f>
        <v>0</v>
      </c>
      <c r="J103" s="322">
        <f>(100%-$D103)*'GENERADO PS locales'!J263</f>
        <v>0</v>
      </c>
      <c r="K103" s="322">
        <f>(100%-$D103)*'GENERADO PS locales'!K263</f>
        <v>0</v>
      </c>
      <c r="L103" s="322">
        <f>(100%-$D103)*'GENERADO PS locales'!L263</f>
        <v>0</v>
      </c>
      <c r="M103" s="322">
        <f>(100%-$D103)*'GENERADO PS locales'!M263</f>
        <v>0</v>
      </c>
      <c r="N103" s="322">
        <f>(100%-$D103)*'GENERADO PS locales'!N263</f>
        <v>0</v>
      </c>
      <c r="O103" s="322">
        <f>(100%-$D103)*'GENERADO PS locales'!O263</f>
        <v>0</v>
      </c>
      <c r="P103" s="322">
        <f>(100%-$D103)*'GENERADO PS locales'!P263</f>
        <v>0</v>
      </c>
      <c r="Q103" s="322">
        <f>(100%-$D103)*'GENERADO PS locales'!Q263</f>
        <v>0</v>
      </c>
      <c r="R103" s="322">
        <f>(100%-$D103)*'GENERADO PS locales'!R263</f>
        <v>0</v>
      </c>
      <c r="S103" s="322">
        <f>(100%-$D103)*'GENERADO PS locales'!S263</f>
        <v>0</v>
      </c>
      <c r="T103" s="322">
        <f>(100%-$D103)*'GENERADO PS locales'!T263</f>
        <v>0</v>
      </c>
      <c r="U103" s="322">
        <f>(100%-$D103)*'GENERADO PS locales'!U263</f>
        <v>0</v>
      </c>
      <c r="V103" s="322">
        <f>(100%-$D103)*'GENERADO PS locales'!V263</f>
        <v>0</v>
      </c>
      <c r="W103" s="322">
        <f>(100%-$D103)*'GENERADO PS locales'!W263</f>
        <v>0</v>
      </c>
      <c r="X103" s="322">
        <f>(100%-$D103)*'GENERADO PS locales'!X263</f>
        <v>0</v>
      </c>
      <c r="Y103" s="322">
        <f>(100%-$D103)*'GENERADO PS locales'!Y263</f>
        <v>0</v>
      </c>
      <c r="Z103" s="322">
        <f>(100%-$D103)*'GENERADO PS locales'!Z263</f>
        <v>0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20"/>
      <c r="E104" s="278"/>
      <c r="F104" s="263"/>
      <c r="G104" s="322">
        <f>(100%-$D104)*'GENERADO PS locales'!G264</f>
        <v>0</v>
      </c>
      <c r="H104" s="322">
        <f>(100%-$D104)*'GENERADO PS locales'!H264</f>
        <v>0</v>
      </c>
      <c r="I104" s="322">
        <f>(100%-$D104)*'GENERADO PS locales'!I264</f>
        <v>0</v>
      </c>
      <c r="J104" s="322">
        <f>(100%-$D104)*'GENERADO PS locales'!J264</f>
        <v>0</v>
      </c>
      <c r="K104" s="322">
        <f>(100%-$D104)*'GENERADO PS locales'!K264</f>
        <v>0</v>
      </c>
      <c r="L104" s="322">
        <f>(100%-$D104)*'GENERADO PS locales'!L264</f>
        <v>0</v>
      </c>
      <c r="M104" s="322">
        <f>(100%-$D104)*'GENERADO PS locales'!M264</f>
        <v>0</v>
      </c>
      <c r="N104" s="322">
        <f>(100%-$D104)*'GENERADO PS locales'!N264</f>
        <v>0</v>
      </c>
      <c r="O104" s="322">
        <f>(100%-$D104)*'GENERADO PS locales'!O264</f>
        <v>0</v>
      </c>
      <c r="P104" s="322">
        <f>(100%-$D104)*'GENERADO PS locales'!P264</f>
        <v>0</v>
      </c>
      <c r="Q104" s="322">
        <f>(100%-$D104)*'GENERADO PS locales'!Q264</f>
        <v>0</v>
      </c>
      <c r="R104" s="322">
        <f>(100%-$D104)*'GENERADO PS locales'!R264</f>
        <v>0</v>
      </c>
      <c r="S104" s="322">
        <f>(100%-$D104)*'GENERADO PS locales'!S264</f>
        <v>0</v>
      </c>
      <c r="T104" s="322">
        <f>(100%-$D104)*'GENERADO PS locales'!T264</f>
        <v>0</v>
      </c>
      <c r="U104" s="322">
        <f>(100%-$D104)*'GENERADO PS locales'!U264</f>
        <v>0</v>
      </c>
      <c r="V104" s="322">
        <f>(100%-$D104)*'GENERADO PS locales'!V264</f>
        <v>0</v>
      </c>
      <c r="W104" s="322">
        <f>(100%-$D104)*'GENERADO PS locales'!W264</f>
        <v>0</v>
      </c>
      <c r="X104" s="322">
        <f>(100%-$D104)*'GENERADO PS locales'!X264</f>
        <v>0</v>
      </c>
      <c r="Y104" s="322">
        <f>(100%-$D104)*'GENERADO PS locales'!Y264</f>
        <v>0</v>
      </c>
      <c r="Z104" s="322">
        <f>(100%-$D104)*'GENERADO PS locales'!Z264</f>
        <v>0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20"/>
      <c r="E105" s="278"/>
      <c r="F105" s="263"/>
      <c r="G105" s="322">
        <f>(100%-$D105)*'GENERADO PS locales'!G265</f>
        <v>0</v>
      </c>
      <c r="H105" s="322">
        <f>(100%-$D105)*'GENERADO PS locales'!H265</f>
        <v>0</v>
      </c>
      <c r="I105" s="322">
        <f>(100%-$D105)*'GENERADO PS locales'!I265</f>
        <v>0</v>
      </c>
      <c r="J105" s="322">
        <f>(100%-$D105)*'GENERADO PS locales'!J265</f>
        <v>0</v>
      </c>
      <c r="K105" s="322">
        <f>(100%-$D105)*'GENERADO PS locales'!K265</f>
        <v>0</v>
      </c>
      <c r="L105" s="322">
        <f>(100%-$D105)*'GENERADO PS locales'!L265</f>
        <v>0</v>
      </c>
      <c r="M105" s="322">
        <f>(100%-$D105)*'GENERADO PS locales'!M265</f>
        <v>0</v>
      </c>
      <c r="N105" s="322">
        <f>(100%-$D105)*'GENERADO PS locales'!N265</f>
        <v>0</v>
      </c>
      <c r="O105" s="322">
        <f>(100%-$D105)*'GENERADO PS locales'!O265</f>
        <v>0</v>
      </c>
      <c r="P105" s="322">
        <f>(100%-$D105)*'GENERADO PS locales'!P265</f>
        <v>0</v>
      </c>
      <c r="Q105" s="322">
        <f>(100%-$D105)*'GENERADO PS locales'!Q265</f>
        <v>0</v>
      </c>
      <c r="R105" s="322">
        <f>(100%-$D105)*'GENERADO PS locales'!R265</f>
        <v>0</v>
      </c>
      <c r="S105" s="322">
        <f>(100%-$D105)*'GENERADO PS locales'!S265</f>
        <v>0</v>
      </c>
      <c r="T105" s="322">
        <f>(100%-$D105)*'GENERADO PS locales'!T265</f>
        <v>0</v>
      </c>
      <c r="U105" s="322">
        <f>(100%-$D105)*'GENERADO PS locales'!U265</f>
        <v>0</v>
      </c>
      <c r="V105" s="322">
        <f>(100%-$D105)*'GENERADO PS locales'!V265</f>
        <v>0</v>
      </c>
      <c r="W105" s="322">
        <f>(100%-$D105)*'GENERADO PS locales'!W265</f>
        <v>0</v>
      </c>
      <c r="X105" s="322">
        <f>(100%-$D105)*'GENERADO PS locales'!X265</f>
        <v>0</v>
      </c>
      <c r="Y105" s="322">
        <f>(100%-$D105)*'GENERADO PS locales'!Y265</f>
        <v>0</v>
      </c>
      <c r="Z105" s="322">
        <f>(100%-$D105)*'GENERADO PS locales'!Z265</f>
        <v>0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20"/>
      <c r="E106" s="278"/>
      <c r="F106" s="263"/>
      <c r="G106" s="322">
        <f>(100%-$D106)*'GENERADO PS locales'!G266</f>
        <v>0</v>
      </c>
      <c r="H106" s="322">
        <f>(100%-$D106)*'GENERADO PS locales'!H266</f>
        <v>0</v>
      </c>
      <c r="I106" s="322">
        <f>(100%-$D106)*'GENERADO PS locales'!I266</f>
        <v>0</v>
      </c>
      <c r="J106" s="322">
        <f>(100%-$D106)*'GENERADO PS locales'!J266</f>
        <v>0</v>
      </c>
      <c r="K106" s="322">
        <f>(100%-$D106)*'GENERADO PS locales'!K266</f>
        <v>0</v>
      </c>
      <c r="L106" s="322">
        <f>(100%-$D106)*'GENERADO PS locales'!L266</f>
        <v>0</v>
      </c>
      <c r="M106" s="322">
        <f>(100%-$D106)*'GENERADO PS locales'!M266</f>
        <v>0</v>
      </c>
      <c r="N106" s="322">
        <f>(100%-$D106)*'GENERADO PS locales'!N266</f>
        <v>0</v>
      </c>
      <c r="O106" s="322">
        <f>(100%-$D106)*'GENERADO PS locales'!O266</f>
        <v>0</v>
      </c>
      <c r="P106" s="322">
        <f>(100%-$D106)*'GENERADO PS locales'!P266</f>
        <v>0</v>
      </c>
      <c r="Q106" s="322">
        <f>(100%-$D106)*'GENERADO PS locales'!Q266</f>
        <v>0</v>
      </c>
      <c r="R106" s="322">
        <f>(100%-$D106)*'GENERADO PS locales'!R266</f>
        <v>0</v>
      </c>
      <c r="S106" s="322">
        <f>(100%-$D106)*'GENERADO PS locales'!S266</f>
        <v>0</v>
      </c>
      <c r="T106" s="322">
        <f>(100%-$D106)*'GENERADO PS locales'!T266</f>
        <v>0</v>
      </c>
      <c r="U106" s="322">
        <f>(100%-$D106)*'GENERADO PS locales'!U266</f>
        <v>0</v>
      </c>
      <c r="V106" s="322">
        <f>(100%-$D106)*'GENERADO PS locales'!V266</f>
        <v>0</v>
      </c>
      <c r="W106" s="322">
        <f>(100%-$D106)*'GENERADO PS locales'!W266</f>
        <v>0</v>
      </c>
      <c r="X106" s="322">
        <f>(100%-$D106)*'GENERADO PS locales'!X266</f>
        <v>0</v>
      </c>
      <c r="Y106" s="322">
        <f>(100%-$D106)*'GENERADO PS locales'!Y266</f>
        <v>0</v>
      </c>
      <c r="Z106" s="322">
        <f>(100%-$D106)*'GENERADO PS locales'!Z266</f>
        <v>0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20"/>
      <c r="E107" s="278"/>
      <c r="F107" s="263"/>
      <c r="G107" s="322">
        <f>(100%-$D107)*'GENERADO PS locales'!G267</f>
        <v>0</v>
      </c>
      <c r="H107" s="322">
        <f>(100%-$D107)*'GENERADO PS locales'!H267</f>
        <v>0</v>
      </c>
      <c r="I107" s="322">
        <f>(100%-$D107)*'GENERADO PS locales'!I267</f>
        <v>0</v>
      </c>
      <c r="J107" s="322">
        <f>(100%-$D107)*'GENERADO PS locales'!J267</f>
        <v>0</v>
      </c>
      <c r="K107" s="322">
        <f>(100%-$D107)*'GENERADO PS locales'!K267</f>
        <v>0</v>
      </c>
      <c r="L107" s="322">
        <f>(100%-$D107)*'GENERADO PS locales'!L267</f>
        <v>0</v>
      </c>
      <c r="M107" s="322">
        <f>(100%-$D107)*'GENERADO PS locales'!M267</f>
        <v>0</v>
      </c>
      <c r="N107" s="322">
        <f>(100%-$D107)*'GENERADO PS locales'!N267</f>
        <v>0</v>
      </c>
      <c r="O107" s="322">
        <f>(100%-$D107)*'GENERADO PS locales'!O267</f>
        <v>0</v>
      </c>
      <c r="P107" s="322">
        <f>(100%-$D107)*'GENERADO PS locales'!P267</f>
        <v>0</v>
      </c>
      <c r="Q107" s="322">
        <f>(100%-$D107)*'GENERADO PS locales'!Q267</f>
        <v>0</v>
      </c>
      <c r="R107" s="322">
        <f>(100%-$D107)*'GENERADO PS locales'!R267</f>
        <v>0</v>
      </c>
      <c r="S107" s="322">
        <f>(100%-$D107)*'GENERADO PS locales'!S267</f>
        <v>0</v>
      </c>
      <c r="T107" s="322">
        <f>(100%-$D107)*'GENERADO PS locales'!T267</f>
        <v>0</v>
      </c>
      <c r="U107" s="322">
        <f>(100%-$D107)*'GENERADO PS locales'!U267</f>
        <v>0</v>
      </c>
      <c r="V107" s="322">
        <f>(100%-$D107)*'GENERADO PS locales'!V267</f>
        <v>0</v>
      </c>
      <c r="W107" s="322">
        <f>(100%-$D107)*'GENERADO PS locales'!W267</f>
        <v>0</v>
      </c>
      <c r="X107" s="322">
        <f>(100%-$D107)*'GENERADO PS locales'!X267</f>
        <v>0</v>
      </c>
      <c r="Y107" s="322">
        <f>(100%-$D107)*'GENERADO PS locales'!Y267</f>
        <v>0</v>
      </c>
      <c r="Z107" s="322">
        <f>(100%-$D107)*'GENERADO PS locales'!Z267</f>
        <v>0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20"/>
      <c r="E108" s="278"/>
      <c r="F108" s="263"/>
      <c r="G108" s="322">
        <f>(100%-$D108)*'GENERADO PS locales'!G268</f>
        <v>0</v>
      </c>
      <c r="H108" s="322">
        <f>(100%-$D108)*'GENERADO PS locales'!H268</f>
        <v>0</v>
      </c>
      <c r="I108" s="322">
        <f>(100%-$D108)*'GENERADO PS locales'!I268</f>
        <v>0</v>
      </c>
      <c r="J108" s="322">
        <f>(100%-$D108)*'GENERADO PS locales'!J268</f>
        <v>0</v>
      </c>
      <c r="K108" s="322">
        <f>(100%-$D108)*'GENERADO PS locales'!K268</f>
        <v>0</v>
      </c>
      <c r="L108" s="322">
        <f>(100%-$D108)*'GENERADO PS locales'!L268</f>
        <v>0</v>
      </c>
      <c r="M108" s="322">
        <f>(100%-$D108)*'GENERADO PS locales'!M268</f>
        <v>0</v>
      </c>
      <c r="N108" s="322">
        <f>(100%-$D108)*'GENERADO PS locales'!N268</f>
        <v>0</v>
      </c>
      <c r="O108" s="322">
        <f>(100%-$D108)*'GENERADO PS locales'!O268</f>
        <v>0</v>
      </c>
      <c r="P108" s="322">
        <f>(100%-$D108)*'GENERADO PS locales'!P268</f>
        <v>0</v>
      </c>
      <c r="Q108" s="322">
        <f>(100%-$D108)*'GENERADO PS locales'!Q268</f>
        <v>0</v>
      </c>
      <c r="R108" s="322">
        <f>(100%-$D108)*'GENERADO PS locales'!R268</f>
        <v>0</v>
      </c>
      <c r="S108" s="322">
        <f>(100%-$D108)*'GENERADO PS locales'!S268</f>
        <v>0</v>
      </c>
      <c r="T108" s="322">
        <f>(100%-$D108)*'GENERADO PS locales'!T268</f>
        <v>0</v>
      </c>
      <c r="U108" s="322">
        <f>(100%-$D108)*'GENERADO PS locales'!U268</f>
        <v>0</v>
      </c>
      <c r="V108" s="322">
        <f>(100%-$D108)*'GENERADO PS locales'!V268</f>
        <v>0</v>
      </c>
      <c r="W108" s="322">
        <f>(100%-$D108)*'GENERADO PS locales'!W268</f>
        <v>0</v>
      </c>
      <c r="X108" s="322">
        <f>(100%-$D108)*'GENERADO PS locales'!X268</f>
        <v>0</v>
      </c>
      <c r="Y108" s="322">
        <f>(100%-$D108)*'GENERADO PS locales'!Y268</f>
        <v>0</v>
      </c>
      <c r="Z108" s="322">
        <f>(100%-$D108)*'GENERADO PS locales'!Z268</f>
        <v>0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20"/>
      <c r="E109" s="278"/>
      <c r="F109" s="263"/>
      <c r="G109" s="322">
        <f>(100%-$D109)*'GENERADO PS locales'!G269</f>
        <v>0</v>
      </c>
      <c r="H109" s="322">
        <f>(100%-$D109)*'GENERADO PS locales'!H269</f>
        <v>0</v>
      </c>
      <c r="I109" s="322">
        <f>(100%-$D109)*'GENERADO PS locales'!I269</f>
        <v>0</v>
      </c>
      <c r="J109" s="322">
        <f>(100%-$D109)*'GENERADO PS locales'!J269</f>
        <v>0</v>
      </c>
      <c r="K109" s="322">
        <f>(100%-$D109)*'GENERADO PS locales'!K269</f>
        <v>0</v>
      </c>
      <c r="L109" s="322">
        <f>(100%-$D109)*'GENERADO PS locales'!L269</f>
        <v>0</v>
      </c>
      <c r="M109" s="322">
        <f>(100%-$D109)*'GENERADO PS locales'!M269</f>
        <v>0</v>
      </c>
      <c r="N109" s="322">
        <f>(100%-$D109)*'GENERADO PS locales'!N269</f>
        <v>0</v>
      </c>
      <c r="O109" s="322">
        <f>(100%-$D109)*'GENERADO PS locales'!O269</f>
        <v>0</v>
      </c>
      <c r="P109" s="322">
        <f>(100%-$D109)*'GENERADO PS locales'!P269</f>
        <v>0</v>
      </c>
      <c r="Q109" s="322">
        <f>(100%-$D109)*'GENERADO PS locales'!Q269</f>
        <v>0</v>
      </c>
      <c r="R109" s="322">
        <f>(100%-$D109)*'GENERADO PS locales'!R269</f>
        <v>0</v>
      </c>
      <c r="S109" s="322">
        <f>(100%-$D109)*'GENERADO PS locales'!S269</f>
        <v>0</v>
      </c>
      <c r="T109" s="322">
        <f>(100%-$D109)*'GENERADO PS locales'!T269</f>
        <v>0</v>
      </c>
      <c r="U109" s="322">
        <f>(100%-$D109)*'GENERADO PS locales'!U269</f>
        <v>0</v>
      </c>
      <c r="V109" s="322">
        <f>(100%-$D109)*'GENERADO PS locales'!V269</f>
        <v>0</v>
      </c>
      <c r="W109" s="322">
        <f>(100%-$D109)*'GENERADO PS locales'!W269</f>
        <v>0</v>
      </c>
      <c r="X109" s="322">
        <f>(100%-$D109)*'GENERADO PS locales'!X269</f>
        <v>0</v>
      </c>
      <c r="Y109" s="322">
        <f>(100%-$D109)*'GENERADO PS locales'!Y269</f>
        <v>0</v>
      </c>
      <c r="Z109" s="322">
        <f>(100%-$D109)*'GENERADO PS locales'!Z269</f>
        <v>0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20"/>
      <c r="E110" s="278"/>
      <c r="F110" s="263"/>
      <c r="G110" s="322">
        <f>(100%-$D110)*'GENERADO PS locales'!G270</f>
        <v>0</v>
      </c>
      <c r="H110" s="322">
        <f>(100%-$D110)*'GENERADO PS locales'!H270</f>
        <v>0</v>
      </c>
      <c r="I110" s="322">
        <f>(100%-$D110)*'GENERADO PS locales'!I270</f>
        <v>0</v>
      </c>
      <c r="J110" s="322">
        <f>(100%-$D110)*'GENERADO PS locales'!J270</f>
        <v>0</v>
      </c>
      <c r="K110" s="322">
        <f>(100%-$D110)*'GENERADO PS locales'!K270</f>
        <v>0</v>
      </c>
      <c r="L110" s="322">
        <f>(100%-$D110)*'GENERADO PS locales'!L270</f>
        <v>0</v>
      </c>
      <c r="M110" s="322">
        <f>(100%-$D110)*'GENERADO PS locales'!M270</f>
        <v>0</v>
      </c>
      <c r="N110" s="322">
        <f>(100%-$D110)*'GENERADO PS locales'!N270</f>
        <v>0</v>
      </c>
      <c r="O110" s="322">
        <f>(100%-$D110)*'GENERADO PS locales'!O270</f>
        <v>0</v>
      </c>
      <c r="P110" s="322">
        <f>(100%-$D110)*'GENERADO PS locales'!P270</f>
        <v>0</v>
      </c>
      <c r="Q110" s="322">
        <f>(100%-$D110)*'GENERADO PS locales'!Q270</f>
        <v>0</v>
      </c>
      <c r="R110" s="322">
        <f>(100%-$D110)*'GENERADO PS locales'!R270</f>
        <v>0</v>
      </c>
      <c r="S110" s="322">
        <f>(100%-$D110)*'GENERADO PS locales'!S270</f>
        <v>0</v>
      </c>
      <c r="T110" s="322">
        <f>(100%-$D110)*'GENERADO PS locales'!T270</f>
        <v>0</v>
      </c>
      <c r="U110" s="322">
        <f>(100%-$D110)*'GENERADO PS locales'!U270</f>
        <v>0</v>
      </c>
      <c r="V110" s="322">
        <f>(100%-$D110)*'GENERADO PS locales'!V270</f>
        <v>0</v>
      </c>
      <c r="W110" s="322">
        <f>(100%-$D110)*'GENERADO PS locales'!W270</f>
        <v>0</v>
      </c>
      <c r="X110" s="322">
        <f>(100%-$D110)*'GENERADO PS locales'!X270</f>
        <v>0</v>
      </c>
      <c r="Y110" s="322">
        <f>(100%-$D110)*'GENERADO PS locales'!Y270</f>
        <v>0</v>
      </c>
      <c r="Z110" s="322">
        <f>(100%-$D110)*'GENERADO PS locales'!Z270</f>
        <v>0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20"/>
      <c r="E111" s="278"/>
      <c r="F111" s="263"/>
      <c r="G111" s="322">
        <f>(100%-$D111)*'GENERADO PS locales'!G271</f>
        <v>0</v>
      </c>
      <c r="H111" s="322">
        <f>(100%-$D111)*'GENERADO PS locales'!H271</f>
        <v>0</v>
      </c>
      <c r="I111" s="322">
        <f>(100%-$D111)*'GENERADO PS locales'!I271</f>
        <v>0</v>
      </c>
      <c r="J111" s="322">
        <f>(100%-$D111)*'GENERADO PS locales'!J271</f>
        <v>0</v>
      </c>
      <c r="K111" s="322">
        <f>(100%-$D111)*'GENERADO PS locales'!K271</f>
        <v>0</v>
      </c>
      <c r="L111" s="322">
        <f>(100%-$D111)*'GENERADO PS locales'!L271</f>
        <v>0</v>
      </c>
      <c r="M111" s="322">
        <f>(100%-$D111)*'GENERADO PS locales'!M271</f>
        <v>0</v>
      </c>
      <c r="N111" s="322">
        <f>(100%-$D111)*'GENERADO PS locales'!N271</f>
        <v>0</v>
      </c>
      <c r="O111" s="322">
        <f>(100%-$D111)*'GENERADO PS locales'!O271</f>
        <v>0</v>
      </c>
      <c r="P111" s="322">
        <f>(100%-$D111)*'GENERADO PS locales'!P271</f>
        <v>0</v>
      </c>
      <c r="Q111" s="322">
        <f>(100%-$D111)*'GENERADO PS locales'!Q271</f>
        <v>0</v>
      </c>
      <c r="R111" s="322">
        <f>(100%-$D111)*'GENERADO PS locales'!R271</f>
        <v>0</v>
      </c>
      <c r="S111" s="322">
        <f>(100%-$D111)*'GENERADO PS locales'!S271</f>
        <v>0</v>
      </c>
      <c r="T111" s="322">
        <f>(100%-$D111)*'GENERADO PS locales'!T271</f>
        <v>0</v>
      </c>
      <c r="U111" s="322">
        <f>(100%-$D111)*'GENERADO PS locales'!U271</f>
        <v>0</v>
      </c>
      <c r="V111" s="322">
        <f>(100%-$D111)*'GENERADO PS locales'!V271</f>
        <v>0</v>
      </c>
      <c r="W111" s="322">
        <f>(100%-$D111)*'GENERADO PS locales'!W271</f>
        <v>0</v>
      </c>
      <c r="X111" s="322">
        <f>(100%-$D111)*'GENERADO PS locales'!X271</f>
        <v>0</v>
      </c>
      <c r="Y111" s="322">
        <f>(100%-$D111)*'GENERADO PS locales'!Y271</f>
        <v>0</v>
      </c>
      <c r="Z111" s="322">
        <f>(100%-$D111)*'GENERADO PS locales'!Z271</f>
        <v>0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20"/>
      <c r="E112" s="278"/>
      <c r="F112" s="263"/>
      <c r="G112" s="322">
        <f>(100%-$D112)*'GENERADO PS locales'!G272</f>
        <v>0</v>
      </c>
      <c r="H112" s="322">
        <f>(100%-$D112)*'GENERADO PS locales'!H272</f>
        <v>0</v>
      </c>
      <c r="I112" s="322">
        <f>(100%-$D112)*'GENERADO PS locales'!I272</f>
        <v>0</v>
      </c>
      <c r="J112" s="322">
        <f>(100%-$D112)*'GENERADO PS locales'!J272</f>
        <v>0</v>
      </c>
      <c r="K112" s="322">
        <f>(100%-$D112)*'GENERADO PS locales'!K272</f>
        <v>0</v>
      </c>
      <c r="L112" s="322">
        <f>(100%-$D112)*'GENERADO PS locales'!L272</f>
        <v>0</v>
      </c>
      <c r="M112" s="322">
        <f>(100%-$D112)*'GENERADO PS locales'!M272</f>
        <v>0</v>
      </c>
      <c r="N112" s="322">
        <f>(100%-$D112)*'GENERADO PS locales'!N272</f>
        <v>0</v>
      </c>
      <c r="O112" s="322">
        <f>(100%-$D112)*'GENERADO PS locales'!O272</f>
        <v>0</v>
      </c>
      <c r="P112" s="322">
        <f>(100%-$D112)*'GENERADO PS locales'!P272</f>
        <v>0</v>
      </c>
      <c r="Q112" s="322">
        <f>(100%-$D112)*'GENERADO PS locales'!Q272</f>
        <v>0</v>
      </c>
      <c r="R112" s="322">
        <f>(100%-$D112)*'GENERADO PS locales'!R272</f>
        <v>0</v>
      </c>
      <c r="S112" s="322">
        <f>(100%-$D112)*'GENERADO PS locales'!S272</f>
        <v>0</v>
      </c>
      <c r="T112" s="322">
        <f>(100%-$D112)*'GENERADO PS locales'!T272</f>
        <v>0</v>
      </c>
      <c r="U112" s="322">
        <f>(100%-$D112)*'GENERADO PS locales'!U272</f>
        <v>0</v>
      </c>
      <c r="V112" s="322">
        <f>(100%-$D112)*'GENERADO PS locales'!V272</f>
        <v>0</v>
      </c>
      <c r="W112" s="322">
        <f>(100%-$D112)*'GENERADO PS locales'!W272</f>
        <v>0</v>
      </c>
      <c r="X112" s="322">
        <f>(100%-$D112)*'GENERADO PS locales'!X272</f>
        <v>0</v>
      </c>
      <c r="Y112" s="322">
        <f>(100%-$D112)*'GENERADO PS locales'!Y272</f>
        <v>0</v>
      </c>
      <c r="Z112" s="322">
        <f>(100%-$D112)*'GENERADO PS locales'!Z272</f>
        <v>0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20"/>
      <c r="E113" s="278"/>
      <c r="F113" s="263"/>
      <c r="G113" s="322">
        <f>(100%-$D113)*'GENERADO PS locales'!G273</f>
        <v>0</v>
      </c>
      <c r="H113" s="322">
        <f>(100%-$D113)*'GENERADO PS locales'!H273</f>
        <v>0</v>
      </c>
      <c r="I113" s="322">
        <f>(100%-$D113)*'GENERADO PS locales'!I273</f>
        <v>0</v>
      </c>
      <c r="J113" s="322">
        <f>(100%-$D113)*'GENERADO PS locales'!J273</f>
        <v>0</v>
      </c>
      <c r="K113" s="322">
        <f>(100%-$D113)*'GENERADO PS locales'!K273</f>
        <v>0</v>
      </c>
      <c r="L113" s="322">
        <f>(100%-$D113)*'GENERADO PS locales'!L273</f>
        <v>0</v>
      </c>
      <c r="M113" s="322">
        <f>(100%-$D113)*'GENERADO PS locales'!M273</f>
        <v>0</v>
      </c>
      <c r="N113" s="322">
        <f>(100%-$D113)*'GENERADO PS locales'!N273</f>
        <v>0</v>
      </c>
      <c r="O113" s="322">
        <f>(100%-$D113)*'GENERADO PS locales'!O273</f>
        <v>0</v>
      </c>
      <c r="P113" s="322">
        <f>(100%-$D113)*'GENERADO PS locales'!P273</f>
        <v>0</v>
      </c>
      <c r="Q113" s="322">
        <f>(100%-$D113)*'GENERADO PS locales'!Q273</f>
        <v>0</v>
      </c>
      <c r="R113" s="322">
        <f>(100%-$D113)*'GENERADO PS locales'!R273</f>
        <v>0</v>
      </c>
      <c r="S113" s="322">
        <f>(100%-$D113)*'GENERADO PS locales'!S273</f>
        <v>0</v>
      </c>
      <c r="T113" s="322">
        <f>(100%-$D113)*'GENERADO PS locales'!T273</f>
        <v>0</v>
      </c>
      <c r="U113" s="322">
        <f>(100%-$D113)*'GENERADO PS locales'!U273</f>
        <v>0</v>
      </c>
      <c r="V113" s="322">
        <f>(100%-$D113)*'GENERADO PS locales'!V273</f>
        <v>0</v>
      </c>
      <c r="W113" s="322">
        <f>(100%-$D113)*'GENERADO PS locales'!W273</f>
        <v>0</v>
      </c>
      <c r="X113" s="322">
        <f>(100%-$D113)*'GENERADO PS locales'!X273</f>
        <v>0</v>
      </c>
      <c r="Y113" s="322">
        <f>(100%-$D113)*'GENERADO PS locales'!Y273</f>
        <v>0</v>
      </c>
      <c r="Z113" s="322">
        <f>(100%-$D113)*'GENERADO PS locales'!Z273</f>
        <v>0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20"/>
      <c r="E114" s="278"/>
      <c r="F114" s="263"/>
      <c r="G114" s="322">
        <f>(100%-$D114)*'GENERADO PS locales'!G274</f>
        <v>0</v>
      </c>
      <c r="H114" s="322">
        <f>(100%-$D114)*'GENERADO PS locales'!H274</f>
        <v>0</v>
      </c>
      <c r="I114" s="322">
        <f>(100%-$D114)*'GENERADO PS locales'!I274</f>
        <v>0</v>
      </c>
      <c r="J114" s="322">
        <f>(100%-$D114)*'GENERADO PS locales'!J274</f>
        <v>0</v>
      </c>
      <c r="K114" s="322">
        <f>(100%-$D114)*'GENERADO PS locales'!K274</f>
        <v>0</v>
      </c>
      <c r="L114" s="322">
        <f>(100%-$D114)*'GENERADO PS locales'!L274</f>
        <v>0</v>
      </c>
      <c r="M114" s="322">
        <f>(100%-$D114)*'GENERADO PS locales'!M274</f>
        <v>0</v>
      </c>
      <c r="N114" s="322">
        <f>(100%-$D114)*'GENERADO PS locales'!N274</f>
        <v>0</v>
      </c>
      <c r="O114" s="322">
        <f>(100%-$D114)*'GENERADO PS locales'!O274</f>
        <v>0</v>
      </c>
      <c r="P114" s="322">
        <f>(100%-$D114)*'GENERADO PS locales'!P274</f>
        <v>0</v>
      </c>
      <c r="Q114" s="322">
        <f>(100%-$D114)*'GENERADO PS locales'!Q274</f>
        <v>0</v>
      </c>
      <c r="R114" s="322">
        <f>(100%-$D114)*'GENERADO PS locales'!R274</f>
        <v>0</v>
      </c>
      <c r="S114" s="322">
        <f>(100%-$D114)*'GENERADO PS locales'!S274</f>
        <v>0</v>
      </c>
      <c r="T114" s="322">
        <f>(100%-$D114)*'GENERADO PS locales'!T274</f>
        <v>0</v>
      </c>
      <c r="U114" s="322">
        <f>(100%-$D114)*'GENERADO PS locales'!U274</f>
        <v>0</v>
      </c>
      <c r="V114" s="322">
        <f>(100%-$D114)*'GENERADO PS locales'!V274</f>
        <v>0</v>
      </c>
      <c r="W114" s="322">
        <f>(100%-$D114)*'GENERADO PS locales'!W274</f>
        <v>0</v>
      </c>
      <c r="X114" s="322">
        <f>(100%-$D114)*'GENERADO PS locales'!X274</f>
        <v>0</v>
      </c>
      <c r="Y114" s="322">
        <f>(100%-$D114)*'GENERADO PS locales'!Y274</f>
        <v>0</v>
      </c>
      <c r="Z114" s="322">
        <f>(100%-$D114)*'GENERADO PS locales'!Z274</f>
        <v>0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20"/>
      <c r="E115" s="278"/>
      <c r="F115" s="263"/>
      <c r="G115" s="322">
        <f>(100%-$D115)*'GENERADO PS locales'!G275</f>
        <v>0</v>
      </c>
      <c r="H115" s="322">
        <f>(100%-$D115)*'GENERADO PS locales'!H275</f>
        <v>0</v>
      </c>
      <c r="I115" s="322">
        <f>(100%-$D115)*'GENERADO PS locales'!I275</f>
        <v>0</v>
      </c>
      <c r="J115" s="322">
        <f>(100%-$D115)*'GENERADO PS locales'!J275</f>
        <v>0</v>
      </c>
      <c r="K115" s="322">
        <f>(100%-$D115)*'GENERADO PS locales'!K275</f>
        <v>0</v>
      </c>
      <c r="L115" s="322">
        <f>(100%-$D115)*'GENERADO PS locales'!L275</f>
        <v>0</v>
      </c>
      <c r="M115" s="322">
        <f>(100%-$D115)*'GENERADO PS locales'!M275</f>
        <v>0</v>
      </c>
      <c r="N115" s="322">
        <f>(100%-$D115)*'GENERADO PS locales'!N275</f>
        <v>0</v>
      </c>
      <c r="O115" s="322">
        <f>(100%-$D115)*'GENERADO PS locales'!O275</f>
        <v>0</v>
      </c>
      <c r="P115" s="322">
        <f>(100%-$D115)*'GENERADO PS locales'!P275</f>
        <v>0</v>
      </c>
      <c r="Q115" s="322">
        <f>(100%-$D115)*'GENERADO PS locales'!Q275</f>
        <v>0</v>
      </c>
      <c r="R115" s="322">
        <f>(100%-$D115)*'GENERADO PS locales'!R275</f>
        <v>0</v>
      </c>
      <c r="S115" s="322">
        <f>(100%-$D115)*'GENERADO PS locales'!S275</f>
        <v>0</v>
      </c>
      <c r="T115" s="322">
        <f>(100%-$D115)*'GENERADO PS locales'!T275</f>
        <v>0</v>
      </c>
      <c r="U115" s="322">
        <f>(100%-$D115)*'GENERADO PS locales'!U275</f>
        <v>0</v>
      </c>
      <c r="V115" s="322">
        <f>(100%-$D115)*'GENERADO PS locales'!V275</f>
        <v>0</v>
      </c>
      <c r="W115" s="322">
        <f>(100%-$D115)*'GENERADO PS locales'!W275</f>
        <v>0</v>
      </c>
      <c r="X115" s="322">
        <f>(100%-$D115)*'GENERADO PS locales'!X275</f>
        <v>0</v>
      </c>
      <c r="Y115" s="322">
        <f>(100%-$D115)*'GENERADO PS locales'!Y275</f>
        <v>0</v>
      </c>
      <c r="Z115" s="322">
        <f>(100%-$D115)*'GENERADO PS locales'!Z275</f>
        <v>0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20"/>
      <c r="E116" s="278"/>
      <c r="F116" s="263"/>
      <c r="G116" s="322">
        <f>(100%-$D116)*'GENERADO PS locales'!G276</f>
        <v>0</v>
      </c>
      <c r="H116" s="322">
        <f>(100%-$D116)*'GENERADO PS locales'!H276</f>
        <v>0</v>
      </c>
      <c r="I116" s="322">
        <f>(100%-$D116)*'GENERADO PS locales'!I276</f>
        <v>0</v>
      </c>
      <c r="J116" s="322">
        <f>(100%-$D116)*'GENERADO PS locales'!J276</f>
        <v>0</v>
      </c>
      <c r="K116" s="322">
        <f>(100%-$D116)*'GENERADO PS locales'!K276</f>
        <v>0</v>
      </c>
      <c r="L116" s="322">
        <f>(100%-$D116)*'GENERADO PS locales'!L276</f>
        <v>0</v>
      </c>
      <c r="M116" s="322">
        <f>(100%-$D116)*'GENERADO PS locales'!M276</f>
        <v>0</v>
      </c>
      <c r="N116" s="322">
        <f>(100%-$D116)*'GENERADO PS locales'!N276</f>
        <v>0</v>
      </c>
      <c r="O116" s="322">
        <f>(100%-$D116)*'GENERADO PS locales'!O276</f>
        <v>0</v>
      </c>
      <c r="P116" s="322">
        <f>(100%-$D116)*'GENERADO PS locales'!P276</f>
        <v>0</v>
      </c>
      <c r="Q116" s="322">
        <f>(100%-$D116)*'GENERADO PS locales'!Q276</f>
        <v>0</v>
      </c>
      <c r="R116" s="322">
        <f>(100%-$D116)*'GENERADO PS locales'!R276</f>
        <v>0</v>
      </c>
      <c r="S116" s="322">
        <f>(100%-$D116)*'GENERADO PS locales'!S276</f>
        <v>0</v>
      </c>
      <c r="T116" s="322">
        <f>(100%-$D116)*'GENERADO PS locales'!T276</f>
        <v>0</v>
      </c>
      <c r="U116" s="322">
        <f>(100%-$D116)*'GENERADO PS locales'!U276</f>
        <v>0</v>
      </c>
      <c r="V116" s="322">
        <f>(100%-$D116)*'GENERADO PS locales'!V276</f>
        <v>0</v>
      </c>
      <c r="W116" s="322">
        <f>(100%-$D116)*'GENERADO PS locales'!W276</f>
        <v>0</v>
      </c>
      <c r="X116" s="322">
        <f>(100%-$D116)*'GENERADO PS locales'!X276</f>
        <v>0</v>
      </c>
      <c r="Y116" s="322">
        <f>(100%-$D116)*'GENERADO PS locales'!Y276</f>
        <v>0</v>
      </c>
      <c r="Z116" s="322">
        <f>(100%-$D116)*'GENERADO PS locales'!Z276</f>
        <v>0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20"/>
      <c r="E117" s="278"/>
      <c r="F117" s="263"/>
      <c r="G117" s="322">
        <f>(100%-$D117)*'GENERADO PS locales'!G277</f>
        <v>0</v>
      </c>
      <c r="H117" s="322">
        <f>(100%-$D117)*'GENERADO PS locales'!H277</f>
        <v>0</v>
      </c>
      <c r="I117" s="322">
        <f>(100%-$D117)*'GENERADO PS locales'!I277</f>
        <v>0</v>
      </c>
      <c r="J117" s="322">
        <f>(100%-$D117)*'GENERADO PS locales'!J277</f>
        <v>0</v>
      </c>
      <c r="K117" s="322">
        <f>(100%-$D117)*'GENERADO PS locales'!K277</f>
        <v>0</v>
      </c>
      <c r="L117" s="322">
        <f>(100%-$D117)*'GENERADO PS locales'!L277</f>
        <v>0</v>
      </c>
      <c r="M117" s="322">
        <f>(100%-$D117)*'GENERADO PS locales'!M277</f>
        <v>0</v>
      </c>
      <c r="N117" s="322">
        <f>(100%-$D117)*'GENERADO PS locales'!N277</f>
        <v>0</v>
      </c>
      <c r="O117" s="322">
        <f>(100%-$D117)*'GENERADO PS locales'!O277</f>
        <v>0</v>
      </c>
      <c r="P117" s="322">
        <f>(100%-$D117)*'GENERADO PS locales'!P277</f>
        <v>0</v>
      </c>
      <c r="Q117" s="322">
        <f>(100%-$D117)*'GENERADO PS locales'!Q277</f>
        <v>0</v>
      </c>
      <c r="R117" s="322">
        <f>(100%-$D117)*'GENERADO PS locales'!R277</f>
        <v>0</v>
      </c>
      <c r="S117" s="322">
        <f>(100%-$D117)*'GENERADO PS locales'!S277</f>
        <v>0</v>
      </c>
      <c r="T117" s="322">
        <f>(100%-$D117)*'GENERADO PS locales'!T277</f>
        <v>0</v>
      </c>
      <c r="U117" s="322">
        <f>(100%-$D117)*'GENERADO PS locales'!U277</f>
        <v>0</v>
      </c>
      <c r="V117" s="322">
        <f>(100%-$D117)*'GENERADO PS locales'!V277</f>
        <v>0</v>
      </c>
      <c r="W117" s="322">
        <f>(100%-$D117)*'GENERADO PS locales'!W277</f>
        <v>0</v>
      </c>
      <c r="X117" s="322">
        <f>(100%-$D117)*'GENERADO PS locales'!X277</f>
        <v>0</v>
      </c>
      <c r="Y117" s="322">
        <f>(100%-$D117)*'GENERADO PS locales'!Y277</f>
        <v>0</v>
      </c>
      <c r="Z117" s="322">
        <f>(100%-$D117)*'GENERADO PS locales'!Z277</f>
        <v>0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20"/>
      <c r="E118" s="278"/>
      <c r="F118" s="263"/>
      <c r="G118" s="322">
        <f>(100%-$D118)*'GENERADO PS locales'!G278</f>
        <v>0</v>
      </c>
      <c r="H118" s="322">
        <f>(100%-$D118)*'GENERADO PS locales'!H278</f>
        <v>0</v>
      </c>
      <c r="I118" s="322">
        <f>(100%-$D118)*'GENERADO PS locales'!I278</f>
        <v>0</v>
      </c>
      <c r="J118" s="322">
        <f>(100%-$D118)*'GENERADO PS locales'!J278</f>
        <v>0</v>
      </c>
      <c r="K118" s="322">
        <f>(100%-$D118)*'GENERADO PS locales'!K278</f>
        <v>0</v>
      </c>
      <c r="L118" s="322">
        <f>(100%-$D118)*'GENERADO PS locales'!L278</f>
        <v>0</v>
      </c>
      <c r="M118" s="322">
        <f>(100%-$D118)*'GENERADO PS locales'!M278</f>
        <v>0</v>
      </c>
      <c r="N118" s="322">
        <f>(100%-$D118)*'GENERADO PS locales'!N278</f>
        <v>0</v>
      </c>
      <c r="O118" s="322">
        <f>(100%-$D118)*'GENERADO PS locales'!O278</f>
        <v>0</v>
      </c>
      <c r="P118" s="322">
        <f>(100%-$D118)*'GENERADO PS locales'!P278</f>
        <v>0</v>
      </c>
      <c r="Q118" s="322">
        <f>(100%-$D118)*'GENERADO PS locales'!Q278</f>
        <v>0</v>
      </c>
      <c r="R118" s="322">
        <f>(100%-$D118)*'GENERADO PS locales'!R278</f>
        <v>0</v>
      </c>
      <c r="S118" s="322">
        <f>(100%-$D118)*'GENERADO PS locales'!S278</f>
        <v>0</v>
      </c>
      <c r="T118" s="322">
        <f>(100%-$D118)*'GENERADO PS locales'!T278</f>
        <v>0</v>
      </c>
      <c r="U118" s="322">
        <f>(100%-$D118)*'GENERADO PS locales'!U278</f>
        <v>0</v>
      </c>
      <c r="V118" s="322">
        <f>(100%-$D118)*'GENERADO PS locales'!V278</f>
        <v>0</v>
      </c>
      <c r="W118" s="322">
        <f>(100%-$D118)*'GENERADO PS locales'!W278</f>
        <v>0</v>
      </c>
      <c r="X118" s="322">
        <f>(100%-$D118)*'GENERADO PS locales'!X278</f>
        <v>0</v>
      </c>
      <c r="Y118" s="322">
        <f>(100%-$D118)*'GENERADO PS locales'!Y278</f>
        <v>0</v>
      </c>
      <c r="Z118" s="322">
        <f>(100%-$D118)*'GENERADO PS locales'!Z278</f>
        <v>0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20"/>
      <c r="E119" s="278"/>
      <c r="F119" s="263"/>
      <c r="G119" s="322">
        <f>(100%-$D119)*'GENERADO PS locales'!G279</f>
        <v>0</v>
      </c>
      <c r="H119" s="322">
        <f>(100%-$D119)*'GENERADO PS locales'!H279</f>
        <v>0</v>
      </c>
      <c r="I119" s="322">
        <f>(100%-$D119)*'GENERADO PS locales'!I279</f>
        <v>0</v>
      </c>
      <c r="J119" s="322">
        <f>(100%-$D119)*'GENERADO PS locales'!J279</f>
        <v>0</v>
      </c>
      <c r="K119" s="322">
        <f>(100%-$D119)*'GENERADO PS locales'!K279</f>
        <v>0</v>
      </c>
      <c r="L119" s="322">
        <f>(100%-$D119)*'GENERADO PS locales'!L279</f>
        <v>0</v>
      </c>
      <c r="M119" s="322">
        <f>(100%-$D119)*'GENERADO PS locales'!M279</f>
        <v>0</v>
      </c>
      <c r="N119" s="322">
        <f>(100%-$D119)*'GENERADO PS locales'!N279</f>
        <v>0</v>
      </c>
      <c r="O119" s="322">
        <f>(100%-$D119)*'GENERADO PS locales'!O279</f>
        <v>0</v>
      </c>
      <c r="P119" s="322">
        <f>(100%-$D119)*'GENERADO PS locales'!P279</f>
        <v>0</v>
      </c>
      <c r="Q119" s="322">
        <f>(100%-$D119)*'GENERADO PS locales'!Q279</f>
        <v>0</v>
      </c>
      <c r="R119" s="322">
        <f>(100%-$D119)*'GENERADO PS locales'!R279</f>
        <v>0</v>
      </c>
      <c r="S119" s="322">
        <f>(100%-$D119)*'GENERADO PS locales'!S279</f>
        <v>0</v>
      </c>
      <c r="T119" s="322">
        <f>(100%-$D119)*'GENERADO PS locales'!T279</f>
        <v>0</v>
      </c>
      <c r="U119" s="322">
        <f>(100%-$D119)*'GENERADO PS locales'!U279</f>
        <v>0</v>
      </c>
      <c r="V119" s="322">
        <f>(100%-$D119)*'GENERADO PS locales'!V279</f>
        <v>0</v>
      </c>
      <c r="W119" s="322">
        <f>(100%-$D119)*'GENERADO PS locales'!W279</f>
        <v>0</v>
      </c>
      <c r="X119" s="322">
        <f>(100%-$D119)*'GENERADO PS locales'!X279</f>
        <v>0</v>
      </c>
      <c r="Y119" s="322">
        <f>(100%-$D119)*'GENERADO PS locales'!Y279</f>
        <v>0</v>
      </c>
      <c r="Z119" s="322">
        <f>(100%-$D119)*'GENERADO PS locales'!Z279</f>
        <v>0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20"/>
      <c r="E120" s="278"/>
      <c r="F120" s="263"/>
      <c r="G120" s="322">
        <f>(100%-$D120)*'GENERADO PS locales'!G280</f>
        <v>0</v>
      </c>
      <c r="H120" s="322">
        <f>(100%-$D120)*'GENERADO PS locales'!H280</f>
        <v>0</v>
      </c>
      <c r="I120" s="322">
        <f>(100%-$D120)*'GENERADO PS locales'!I280</f>
        <v>0</v>
      </c>
      <c r="J120" s="322">
        <f>(100%-$D120)*'GENERADO PS locales'!J280</f>
        <v>0</v>
      </c>
      <c r="K120" s="322">
        <f>(100%-$D120)*'GENERADO PS locales'!K280</f>
        <v>0</v>
      </c>
      <c r="L120" s="322">
        <f>(100%-$D120)*'GENERADO PS locales'!L280</f>
        <v>0</v>
      </c>
      <c r="M120" s="322">
        <f>(100%-$D120)*'GENERADO PS locales'!M280</f>
        <v>0</v>
      </c>
      <c r="N120" s="322">
        <f>(100%-$D120)*'GENERADO PS locales'!N280</f>
        <v>0</v>
      </c>
      <c r="O120" s="322">
        <f>(100%-$D120)*'GENERADO PS locales'!O280</f>
        <v>0</v>
      </c>
      <c r="P120" s="322">
        <f>(100%-$D120)*'GENERADO PS locales'!P280</f>
        <v>0</v>
      </c>
      <c r="Q120" s="322">
        <f>(100%-$D120)*'GENERADO PS locales'!Q280</f>
        <v>0</v>
      </c>
      <c r="R120" s="322">
        <f>(100%-$D120)*'GENERADO PS locales'!R280</f>
        <v>0</v>
      </c>
      <c r="S120" s="322">
        <f>(100%-$D120)*'GENERADO PS locales'!S280</f>
        <v>0</v>
      </c>
      <c r="T120" s="322">
        <f>(100%-$D120)*'GENERADO PS locales'!T280</f>
        <v>0</v>
      </c>
      <c r="U120" s="322">
        <f>(100%-$D120)*'GENERADO PS locales'!U280</f>
        <v>0</v>
      </c>
      <c r="V120" s="322">
        <f>(100%-$D120)*'GENERADO PS locales'!V280</f>
        <v>0</v>
      </c>
      <c r="W120" s="322">
        <f>(100%-$D120)*'GENERADO PS locales'!W280</f>
        <v>0</v>
      </c>
      <c r="X120" s="322">
        <f>(100%-$D120)*'GENERADO PS locales'!X280</f>
        <v>0</v>
      </c>
      <c r="Y120" s="322">
        <f>(100%-$D120)*'GENERADO PS locales'!Y280</f>
        <v>0</v>
      </c>
      <c r="Z120" s="322">
        <f>(100%-$D120)*'GENERADO PS locales'!Z280</f>
        <v>0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20"/>
      <c r="E121" s="278"/>
      <c r="F121" s="263"/>
      <c r="G121" s="322">
        <f>(100%-$D121)*'GENERADO PS locales'!G281</f>
        <v>0</v>
      </c>
      <c r="H121" s="322">
        <f>(100%-$D121)*'GENERADO PS locales'!H281</f>
        <v>0</v>
      </c>
      <c r="I121" s="322">
        <f>(100%-$D121)*'GENERADO PS locales'!I281</f>
        <v>0</v>
      </c>
      <c r="J121" s="322">
        <f>(100%-$D121)*'GENERADO PS locales'!J281</f>
        <v>0</v>
      </c>
      <c r="K121" s="322">
        <f>(100%-$D121)*'GENERADO PS locales'!K281</f>
        <v>0</v>
      </c>
      <c r="L121" s="322">
        <f>(100%-$D121)*'GENERADO PS locales'!L281</f>
        <v>0</v>
      </c>
      <c r="M121" s="322">
        <f>(100%-$D121)*'GENERADO PS locales'!M281</f>
        <v>0</v>
      </c>
      <c r="N121" s="322">
        <f>(100%-$D121)*'GENERADO PS locales'!N281</f>
        <v>0</v>
      </c>
      <c r="O121" s="322">
        <f>(100%-$D121)*'GENERADO PS locales'!O281</f>
        <v>0</v>
      </c>
      <c r="P121" s="322">
        <f>(100%-$D121)*'GENERADO PS locales'!P281</f>
        <v>0</v>
      </c>
      <c r="Q121" s="322">
        <f>(100%-$D121)*'GENERADO PS locales'!Q281</f>
        <v>0</v>
      </c>
      <c r="R121" s="322">
        <f>(100%-$D121)*'GENERADO PS locales'!R281</f>
        <v>0</v>
      </c>
      <c r="S121" s="322">
        <f>(100%-$D121)*'GENERADO PS locales'!S281</f>
        <v>0</v>
      </c>
      <c r="T121" s="322">
        <f>(100%-$D121)*'GENERADO PS locales'!T281</f>
        <v>0</v>
      </c>
      <c r="U121" s="322">
        <f>(100%-$D121)*'GENERADO PS locales'!U281</f>
        <v>0</v>
      </c>
      <c r="V121" s="322">
        <f>(100%-$D121)*'GENERADO PS locales'!V281</f>
        <v>0</v>
      </c>
      <c r="W121" s="322">
        <f>(100%-$D121)*'GENERADO PS locales'!W281</f>
        <v>0</v>
      </c>
      <c r="X121" s="322">
        <f>(100%-$D121)*'GENERADO PS locales'!X281</f>
        <v>0</v>
      </c>
      <c r="Y121" s="322">
        <f>(100%-$D121)*'GENERADO PS locales'!Y281</f>
        <v>0</v>
      </c>
      <c r="Z121" s="322">
        <f>(100%-$D121)*'GENERADO PS locales'!Z281</f>
        <v>0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20"/>
      <c r="E122" s="278"/>
      <c r="F122" s="263"/>
      <c r="G122" s="322">
        <f>(100%-$D122)*'GENERADO PS locales'!G282</f>
        <v>0</v>
      </c>
      <c r="H122" s="322">
        <f>(100%-$D122)*'GENERADO PS locales'!H282</f>
        <v>0</v>
      </c>
      <c r="I122" s="322">
        <f>(100%-$D122)*'GENERADO PS locales'!I282</f>
        <v>0</v>
      </c>
      <c r="J122" s="322">
        <f>(100%-$D122)*'GENERADO PS locales'!J282</f>
        <v>0</v>
      </c>
      <c r="K122" s="322">
        <f>(100%-$D122)*'GENERADO PS locales'!K282</f>
        <v>0</v>
      </c>
      <c r="L122" s="322">
        <f>(100%-$D122)*'GENERADO PS locales'!L282</f>
        <v>0</v>
      </c>
      <c r="M122" s="322">
        <f>(100%-$D122)*'GENERADO PS locales'!M282</f>
        <v>0</v>
      </c>
      <c r="N122" s="322">
        <f>(100%-$D122)*'GENERADO PS locales'!N282</f>
        <v>0</v>
      </c>
      <c r="O122" s="322">
        <f>(100%-$D122)*'GENERADO PS locales'!O282</f>
        <v>0</v>
      </c>
      <c r="P122" s="322">
        <f>(100%-$D122)*'GENERADO PS locales'!P282</f>
        <v>0</v>
      </c>
      <c r="Q122" s="322">
        <f>(100%-$D122)*'GENERADO PS locales'!Q282</f>
        <v>0</v>
      </c>
      <c r="R122" s="322">
        <f>(100%-$D122)*'GENERADO PS locales'!R282</f>
        <v>0</v>
      </c>
      <c r="S122" s="322">
        <f>(100%-$D122)*'GENERADO PS locales'!S282</f>
        <v>0</v>
      </c>
      <c r="T122" s="322">
        <f>(100%-$D122)*'GENERADO PS locales'!T282</f>
        <v>0</v>
      </c>
      <c r="U122" s="322">
        <f>(100%-$D122)*'GENERADO PS locales'!U282</f>
        <v>0</v>
      </c>
      <c r="V122" s="322">
        <f>(100%-$D122)*'GENERADO PS locales'!V282</f>
        <v>0</v>
      </c>
      <c r="W122" s="322">
        <f>(100%-$D122)*'GENERADO PS locales'!W282</f>
        <v>0</v>
      </c>
      <c r="X122" s="322">
        <f>(100%-$D122)*'GENERADO PS locales'!X282</f>
        <v>0</v>
      </c>
      <c r="Y122" s="322">
        <f>(100%-$D122)*'GENERADO PS locales'!Y282</f>
        <v>0</v>
      </c>
      <c r="Z122" s="322">
        <f>(100%-$D122)*'GENERADO PS locales'!Z282</f>
        <v>0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20"/>
      <c r="E123" s="278"/>
      <c r="F123" s="263"/>
      <c r="G123" s="322">
        <f>(100%-$D123)*'GENERADO PS locales'!G283</f>
        <v>0</v>
      </c>
      <c r="H123" s="322">
        <f>(100%-$D123)*'GENERADO PS locales'!H283</f>
        <v>0</v>
      </c>
      <c r="I123" s="322">
        <f>(100%-$D123)*'GENERADO PS locales'!I283</f>
        <v>0</v>
      </c>
      <c r="J123" s="322">
        <f>(100%-$D123)*'GENERADO PS locales'!J283</f>
        <v>0</v>
      </c>
      <c r="K123" s="322">
        <f>(100%-$D123)*'GENERADO PS locales'!K283</f>
        <v>0</v>
      </c>
      <c r="L123" s="322">
        <f>(100%-$D123)*'GENERADO PS locales'!L283</f>
        <v>0</v>
      </c>
      <c r="M123" s="322">
        <f>(100%-$D123)*'GENERADO PS locales'!M283</f>
        <v>0</v>
      </c>
      <c r="N123" s="322">
        <f>(100%-$D123)*'GENERADO PS locales'!N283</f>
        <v>0</v>
      </c>
      <c r="O123" s="322">
        <f>(100%-$D123)*'GENERADO PS locales'!O283</f>
        <v>0</v>
      </c>
      <c r="P123" s="322">
        <f>(100%-$D123)*'GENERADO PS locales'!P283</f>
        <v>0</v>
      </c>
      <c r="Q123" s="322">
        <f>(100%-$D123)*'GENERADO PS locales'!Q283</f>
        <v>0</v>
      </c>
      <c r="R123" s="322">
        <f>(100%-$D123)*'GENERADO PS locales'!R283</f>
        <v>0</v>
      </c>
      <c r="S123" s="322">
        <f>(100%-$D123)*'GENERADO PS locales'!S283</f>
        <v>0</v>
      </c>
      <c r="T123" s="322">
        <f>(100%-$D123)*'GENERADO PS locales'!T283</f>
        <v>0</v>
      </c>
      <c r="U123" s="322">
        <f>(100%-$D123)*'GENERADO PS locales'!U283</f>
        <v>0</v>
      </c>
      <c r="V123" s="322">
        <f>(100%-$D123)*'GENERADO PS locales'!V283</f>
        <v>0</v>
      </c>
      <c r="W123" s="322">
        <f>(100%-$D123)*'GENERADO PS locales'!W283</f>
        <v>0</v>
      </c>
      <c r="X123" s="322">
        <f>(100%-$D123)*'GENERADO PS locales'!X283</f>
        <v>0</v>
      </c>
      <c r="Y123" s="322">
        <f>(100%-$D123)*'GENERADO PS locales'!Y283</f>
        <v>0</v>
      </c>
      <c r="Z123" s="322">
        <f>(100%-$D123)*'GENERADO PS locales'!Z283</f>
        <v>0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20"/>
      <c r="E124" s="278"/>
      <c r="F124" s="263"/>
      <c r="G124" s="322">
        <f>(100%-$D124)*'GENERADO PS locales'!G284</f>
        <v>0</v>
      </c>
      <c r="H124" s="322">
        <f>(100%-$D124)*'GENERADO PS locales'!H284</f>
        <v>0</v>
      </c>
      <c r="I124" s="322">
        <f>(100%-$D124)*'GENERADO PS locales'!I284</f>
        <v>0</v>
      </c>
      <c r="J124" s="322">
        <f>(100%-$D124)*'GENERADO PS locales'!J284</f>
        <v>0</v>
      </c>
      <c r="K124" s="322">
        <f>(100%-$D124)*'GENERADO PS locales'!K284</f>
        <v>0</v>
      </c>
      <c r="L124" s="322">
        <f>(100%-$D124)*'GENERADO PS locales'!L284</f>
        <v>0</v>
      </c>
      <c r="M124" s="322">
        <f>(100%-$D124)*'GENERADO PS locales'!M284</f>
        <v>0</v>
      </c>
      <c r="N124" s="322">
        <f>(100%-$D124)*'GENERADO PS locales'!N284</f>
        <v>0</v>
      </c>
      <c r="O124" s="322">
        <f>(100%-$D124)*'GENERADO PS locales'!O284</f>
        <v>0</v>
      </c>
      <c r="P124" s="322">
        <f>(100%-$D124)*'GENERADO PS locales'!P284</f>
        <v>0</v>
      </c>
      <c r="Q124" s="322">
        <f>(100%-$D124)*'GENERADO PS locales'!Q284</f>
        <v>0</v>
      </c>
      <c r="R124" s="322">
        <f>(100%-$D124)*'GENERADO PS locales'!R284</f>
        <v>0</v>
      </c>
      <c r="S124" s="322">
        <f>(100%-$D124)*'GENERADO PS locales'!S284</f>
        <v>0</v>
      </c>
      <c r="T124" s="322">
        <f>(100%-$D124)*'GENERADO PS locales'!T284</f>
        <v>0</v>
      </c>
      <c r="U124" s="322">
        <f>(100%-$D124)*'GENERADO PS locales'!U284</f>
        <v>0</v>
      </c>
      <c r="V124" s="322">
        <f>(100%-$D124)*'GENERADO PS locales'!V284</f>
        <v>0</v>
      </c>
      <c r="W124" s="322">
        <f>(100%-$D124)*'GENERADO PS locales'!W284</f>
        <v>0</v>
      </c>
      <c r="X124" s="322">
        <f>(100%-$D124)*'GENERADO PS locales'!X284</f>
        <v>0</v>
      </c>
      <c r="Y124" s="322">
        <f>(100%-$D124)*'GENERADO PS locales'!Y284</f>
        <v>0</v>
      </c>
      <c r="Z124" s="322">
        <f>(100%-$D124)*'GENERADO PS locales'!Z284</f>
        <v>0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20"/>
      <c r="E125" s="278"/>
      <c r="F125" s="263"/>
      <c r="G125" s="322">
        <f>(100%-$D125)*'GENERADO PS locales'!G285</f>
        <v>0</v>
      </c>
      <c r="H125" s="322">
        <f>(100%-$D125)*'GENERADO PS locales'!H285</f>
        <v>0</v>
      </c>
      <c r="I125" s="322">
        <f>(100%-$D125)*'GENERADO PS locales'!I285</f>
        <v>0</v>
      </c>
      <c r="J125" s="322">
        <f>(100%-$D125)*'GENERADO PS locales'!J285</f>
        <v>0</v>
      </c>
      <c r="K125" s="322">
        <f>(100%-$D125)*'GENERADO PS locales'!K285</f>
        <v>0</v>
      </c>
      <c r="L125" s="322">
        <f>(100%-$D125)*'GENERADO PS locales'!L285</f>
        <v>0</v>
      </c>
      <c r="M125" s="322">
        <f>(100%-$D125)*'GENERADO PS locales'!M285</f>
        <v>0</v>
      </c>
      <c r="N125" s="322">
        <f>(100%-$D125)*'GENERADO PS locales'!N285</f>
        <v>0</v>
      </c>
      <c r="O125" s="322">
        <f>(100%-$D125)*'GENERADO PS locales'!O285</f>
        <v>0</v>
      </c>
      <c r="P125" s="322">
        <f>(100%-$D125)*'GENERADO PS locales'!P285</f>
        <v>0</v>
      </c>
      <c r="Q125" s="322">
        <f>(100%-$D125)*'GENERADO PS locales'!Q285</f>
        <v>0</v>
      </c>
      <c r="R125" s="322">
        <f>(100%-$D125)*'GENERADO PS locales'!R285</f>
        <v>0</v>
      </c>
      <c r="S125" s="322">
        <f>(100%-$D125)*'GENERADO PS locales'!S285</f>
        <v>0</v>
      </c>
      <c r="T125" s="322">
        <f>(100%-$D125)*'GENERADO PS locales'!T285</f>
        <v>0</v>
      </c>
      <c r="U125" s="322">
        <f>(100%-$D125)*'GENERADO PS locales'!U285</f>
        <v>0</v>
      </c>
      <c r="V125" s="322">
        <f>(100%-$D125)*'GENERADO PS locales'!V285</f>
        <v>0</v>
      </c>
      <c r="W125" s="322">
        <f>(100%-$D125)*'GENERADO PS locales'!W285</f>
        <v>0</v>
      </c>
      <c r="X125" s="322">
        <f>(100%-$D125)*'GENERADO PS locales'!X285</f>
        <v>0</v>
      </c>
      <c r="Y125" s="322">
        <f>(100%-$D125)*'GENERADO PS locales'!Y285</f>
        <v>0</v>
      </c>
      <c r="Z125" s="322">
        <f>(100%-$D125)*'GENERADO PS locales'!Z285</f>
        <v>0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20"/>
      <c r="E126" s="278"/>
      <c r="F126" s="263"/>
      <c r="G126" s="322">
        <f>(100%-$D126)*'GENERADO PS locales'!G286</f>
        <v>0</v>
      </c>
      <c r="H126" s="322">
        <f>(100%-$D126)*'GENERADO PS locales'!H286</f>
        <v>0</v>
      </c>
      <c r="I126" s="322">
        <f>(100%-$D126)*'GENERADO PS locales'!I286</f>
        <v>0</v>
      </c>
      <c r="J126" s="322">
        <f>(100%-$D126)*'GENERADO PS locales'!J286</f>
        <v>0</v>
      </c>
      <c r="K126" s="322">
        <f>(100%-$D126)*'GENERADO PS locales'!K286</f>
        <v>0</v>
      </c>
      <c r="L126" s="322">
        <f>(100%-$D126)*'GENERADO PS locales'!L286</f>
        <v>0</v>
      </c>
      <c r="M126" s="322">
        <f>(100%-$D126)*'GENERADO PS locales'!M286</f>
        <v>0</v>
      </c>
      <c r="N126" s="322">
        <f>(100%-$D126)*'GENERADO PS locales'!N286</f>
        <v>0</v>
      </c>
      <c r="O126" s="322">
        <f>(100%-$D126)*'GENERADO PS locales'!O286</f>
        <v>0</v>
      </c>
      <c r="P126" s="322">
        <f>(100%-$D126)*'GENERADO PS locales'!P286</f>
        <v>0</v>
      </c>
      <c r="Q126" s="322">
        <f>(100%-$D126)*'GENERADO PS locales'!Q286</f>
        <v>0</v>
      </c>
      <c r="R126" s="322">
        <f>(100%-$D126)*'GENERADO PS locales'!R286</f>
        <v>0</v>
      </c>
      <c r="S126" s="322">
        <f>(100%-$D126)*'GENERADO PS locales'!S286</f>
        <v>0</v>
      </c>
      <c r="T126" s="322">
        <f>(100%-$D126)*'GENERADO PS locales'!T286</f>
        <v>0</v>
      </c>
      <c r="U126" s="322">
        <f>(100%-$D126)*'GENERADO PS locales'!U286</f>
        <v>0</v>
      </c>
      <c r="V126" s="322">
        <f>(100%-$D126)*'GENERADO PS locales'!V286</f>
        <v>0</v>
      </c>
      <c r="W126" s="322">
        <f>(100%-$D126)*'GENERADO PS locales'!W286</f>
        <v>0</v>
      </c>
      <c r="X126" s="322">
        <f>(100%-$D126)*'GENERADO PS locales'!X286</f>
        <v>0</v>
      </c>
      <c r="Y126" s="322">
        <f>(100%-$D126)*'GENERADO PS locales'!Y286</f>
        <v>0</v>
      </c>
      <c r="Z126" s="322">
        <f>(100%-$D126)*'GENERADO PS locales'!Z286</f>
        <v>0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20"/>
      <c r="E127" s="278"/>
      <c r="F127" s="263"/>
      <c r="G127" s="322">
        <f>(100%-$D127)*'GENERADO PS locales'!G287</f>
        <v>0</v>
      </c>
      <c r="H127" s="322">
        <f>(100%-$D127)*'GENERADO PS locales'!H287</f>
        <v>0</v>
      </c>
      <c r="I127" s="322">
        <f>(100%-$D127)*'GENERADO PS locales'!I287</f>
        <v>0</v>
      </c>
      <c r="J127" s="322">
        <f>(100%-$D127)*'GENERADO PS locales'!J287</f>
        <v>0</v>
      </c>
      <c r="K127" s="322">
        <f>(100%-$D127)*'GENERADO PS locales'!K287</f>
        <v>0</v>
      </c>
      <c r="L127" s="322">
        <f>(100%-$D127)*'GENERADO PS locales'!L287</f>
        <v>0</v>
      </c>
      <c r="M127" s="322">
        <f>(100%-$D127)*'GENERADO PS locales'!M287</f>
        <v>0</v>
      </c>
      <c r="N127" s="322">
        <f>(100%-$D127)*'GENERADO PS locales'!N287</f>
        <v>0</v>
      </c>
      <c r="O127" s="322">
        <f>(100%-$D127)*'GENERADO PS locales'!O287</f>
        <v>0</v>
      </c>
      <c r="P127" s="322">
        <f>(100%-$D127)*'GENERADO PS locales'!P287</f>
        <v>0</v>
      </c>
      <c r="Q127" s="322">
        <f>(100%-$D127)*'GENERADO PS locales'!Q287</f>
        <v>0</v>
      </c>
      <c r="R127" s="322">
        <f>(100%-$D127)*'GENERADO PS locales'!R287</f>
        <v>0</v>
      </c>
      <c r="S127" s="322">
        <f>(100%-$D127)*'GENERADO PS locales'!S287</f>
        <v>0</v>
      </c>
      <c r="T127" s="322">
        <f>(100%-$D127)*'GENERADO PS locales'!T287</f>
        <v>0</v>
      </c>
      <c r="U127" s="322">
        <f>(100%-$D127)*'GENERADO PS locales'!U287</f>
        <v>0</v>
      </c>
      <c r="V127" s="322">
        <f>(100%-$D127)*'GENERADO PS locales'!V287</f>
        <v>0</v>
      </c>
      <c r="W127" s="322">
        <f>(100%-$D127)*'GENERADO PS locales'!W287</f>
        <v>0</v>
      </c>
      <c r="X127" s="322">
        <f>(100%-$D127)*'GENERADO PS locales'!X287</f>
        <v>0</v>
      </c>
      <c r="Y127" s="322">
        <f>(100%-$D127)*'GENERADO PS locales'!Y287</f>
        <v>0</v>
      </c>
      <c r="Z127" s="322">
        <f>(100%-$D127)*'GENERADO PS locales'!Z287</f>
        <v>0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20"/>
      <c r="E128" s="278"/>
      <c r="F128" s="263"/>
      <c r="G128" s="322">
        <f>(100%-$D128)*'GENERADO PS locales'!G288</f>
        <v>0</v>
      </c>
      <c r="H128" s="322">
        <f>(100%-$D128)*'GENERADO PS locales'!H288</f>
        <v>0</v>
      </c>
      <c r="I128" s="322">
        <f>(100%-$D128)*'GENERADO PS locales'!I288</f>
        <v>0</v>
      </c>
      <c r="J128" s="322">
        <f>(100%-$D128)*'GENERADO PS locales'!J288</f>
        <v>0</v>
      </c>
      <c r="K128" s="322">
        <f>(100%-$D128)*'GENERADO PS locales'!K288</f>
        <v>0</v>
      </c>
      <c r="L128" s="322">
        <f>(100%-$D128)*'GENERADO PS locales'!L288</f>
        <v>0</v>
      </c>
      <c r="M128" s="322">
        <f>(100%-$D128)*'GENERADO PS locales'!M288</f>
        <v>0</v>
      </c>
      <c r="N128" s="322">
        <f>(100%-$D128)*'GENERADO PS locales'!N288</f>
        <v>0</v>
      </c>
      <c r="O128" s="322">
        <f>(100%-$D128)*'GENERADO PS locales'!O288</f>
        <v>0</v>
      </c>
      <c r="P128" s="322">
        <f>(100%-$D128)*'GENERADO PS locales'!P288</f>
        <v>0</v>
      </c>
      <c r="Q128" s="322">
        <f>(100%-$D128)*'GENERADO PS locales'!Q288</f>
        <v>0</v>
      </c>
      <c r="R128" s="322">
        <f>(100%-$D128)*'GENERADO PS locales'!R288</f>
        <v>0</v>
      </c>
      <c r="S128" s="322">
        <f>(100%-$D128)*'GENERADO PS locales'!S288</f>
        <v>0</v>
      </c>
      <c r="T128" s="322">
        <f>(100%-$D128)*'GENERADO PS locales'!T288</f>
        <v>0</v>
      </c>
      <c r="U128" s="322">
        <f>(100%-$D128)*'GENERADO PS locales'!U288</f>
        <v>0</v>
      </c>
      <c r="V128" s="322">
        <f>(100%-$D128)*'GENERADO PS locales'!V288</f>
        <v>0</v>
      </c>
      <c r="W128" s="322">
        <f>(100%-$D128)*'GENERADO PS locales'!W288</f>
        <v>0</v>
      </c>
      <c r="X128" s="322">
        <f>(100%-$D128)*'GENERADO PS locales'!X288</f>
        <v>0</v>
      </c>
      <c r="Y128" s="322">
        <f>(100%-$D128)*'GENERADO PS locales'!Y288</f>
        <v>0</v>
      </c>
      <c r="Z128" s="322">
        <f>(100%-$D128)*'GENERADO PS locales'!Z288</f>
        <v>0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20"/>
      <c r="E129" s="278"/>
      <c r="F129" s="263"/>
      <c r="G129" s="322">
        <f>(100%-$D129)*'GENERADO PS locales'!G289</f>
        <v>0</v>
      </c>
      <c r="H129" s="322">
        <f>(100%-$D129)*'GENERADO PS locales'!H289</f>
        <v>0</v>
      </c>
      <c r="I129" s="322">
        <f>(100%-$D129)*'GENERADO PS locales'!I289</f>
        <v>0</v>
      </c>
      <c r="J129" s="322">
        <f>(100%-$D129)*'GENERADO PS locales'!J289</f>
        <v>0</v>
      </c>
      <c r="K129" s="322">
        <f>(100%-$D129)*'GENERADO PS locales'!K289</f>
        <v>0</v>
      </c>
      <c r="L129" s="322">
        <f>(100%-$D129)*'GENERADO PS locales'!L289</f>
        <v>0</v>
      </c>
      <c r="M129" s="322">
        <f>(100%-$D129)*'GENERADO PS locales'!M289</f>
        <v>0</v>
      </c>
      <c r="N129" s="322">
        <f>(100%-$D129)*'GENERADO PS locales'!N289</f>
        <v>0</v>
      </c>
      <c r="O129" s="322">
        <f>(100%-$D129)*'GENERADO PS locales'!O289</f>
        <v>0</v>
      </c>
      <c r="P129" s="322">
        <f>(100%-$D129)*'GENERADO PS locales'!P289</f>
        <v>0</v>
      </c>
      <c r="Q129" s="322">
        <f>(100%-$D129)*'GENERADO PS locales'!Q289</f>
        <v>0</v>
      </c>
      <c r="R129" s="322">
        <f>(100%-$D129)*'GENERADO PS locales'!R289</f>
        <v>0</v>
      </c>
      <c r="S129" s="322">
        <f>(100%-$D129)*'GENERADO PS locales'!S289</f>
        <v>0</v>
      </c>
      <c r="T129" s="322">
        <f>(100%-$D129)*'GENERADO PS locales'!T289</f>
        <v>0</v>
      </c>
      <c r="U129" s="322">
        <f>(100%-$D129)*'GENERADO PS locales'!U289</f>
        <v>0</v>
      </c>
      <c r="V129" s="322">
        <f>(100%-$D129)*'GENERADO PS locales'!V289</f>
        <v>0</v>
      </c>
      <c r="W129" s="322">
        <f>(100%-$D129)*'GENERADO PS locales'!W289</f>
        <v>0</v>
      </c>
      <c r="X129" s="322">
        <f>(100%-$D129)*'GENERADO PS locales'!X289</f>
        <v>0</v>
      </c>
      <c r="Y129" s="322">
        <f>(100%-$D129)*'GENERADO PS locales'!Y289</f>
        <v>0</v>
      </c>
      <c r="Z129" s="322">
        <f>(100%-$D129)*'GENERADO PS locales'!Z289</f>
        <v>0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20"/>
      <c r="E130" s="278"/>
      <c r="F130" s="263"/>
      <c r="G130" s="322">
        <f>(100%-$D130)*'GENERADO PS locales'!G290</f>
        <v>0</v>
      </c>
      <c r="H130" s="322">
        <f>(100%-$D130)*'GENERADO PS locales'!H290</f>
        <v>0</v>
      </c>
      <c r="I130" s="322">
        <f>(100%-$D130)*'GENERADO PS locales'!I290</f>
        <v>0</v>
      </c>
      <c r="J130" s="322">
        <f>(100%-$D130)*'GENERADO PS locales'!J290</f>
        <v>0</v>
      </c>
      <c r="K130" s="322">
        <f>(100%-$D130)*'GENERADO PS locales'!K290</f>
        <v>0</v>
      </c>
      <c r="L130" s="322">
        <f>(100%-$D130)*'GENERADO PS locales'!L290</f>
        <v>0</v>
      </c>
      <c r="M130" s="322">
        <f>(100%-$D130)*'GENERADO PS locales'!M290</f>
        <v>0</v>
      </c>
      <c r="N130" s="322">
        <f>(100%-$D130)*'GENERADO PS locales'!N290</f>
        <v>0</v>
      </c>
      <c r="O130" s="322">
        <f>(100%-$D130)*'GENERADO PS locales'!O290</f>
        <v>0</v>
      </c>
      <c r="P130" s="322">
        <f>(100%-$D130)*'GENERADO PS locales'!P290</f>
        <v>0</v>
      </c>
      <c r="Q130" s="322">
        <f>(100%-$D130)*'GENERADO PS locales'!Q290</f>
        <v>0</v>
      </c>
      <c r="R130" s="322">
        <f>(100%-$D130)*'GENERADO PS locales'!R290</f>
        <v>0</v>
      </c>
      <c r="S130" s="322">
        <f>(100%-$D130)*'GENERADO PS locales'!S290</f>
        <v>0</v>
      </c>
      <c r="T130" s="322">
        <f>(100%-$D130)*'GENERADO PS locales'!T290</f>
        <v>0</v>
      </c>
      <c r="U130" s="322">
        <f>(100%-$D130)*'GENERADO PS locales'!U290</f>
        <v>0</v>
      </c>
      <c r="V130" s="322">
        <f>(100%-$D130)*'GENERADO PS locales'!V290</f>
        <v>0</v>
      </c>
      <c r="W130" s="322">
        <f>(100%-$D130)*'GENERADO PS locales'!W290</f>
        <v>0</v>
      </c>
      <c r="X130" s="322">
        <f>(100%-$D130)*'GENERADO PS locales'!X290</f>
        <v>0</v>
      </c>
      <c r="Y130" s="322">
        <f>(100%-$D130)*'GENERADO PS locales'!Y290</f>
        <v>0</v>
      </c>
      <c r="Z130" s="322">
        <f>(100%-$D130)*'GENERADO PS locales'!Z290</f>
        <v>0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20"/>
      <c r="E131" s="278"/>
      <c r="F131" s="263"/>
      <c r="G131" s="322">
        <f>(100%-$D131)*'GENERADO PS locales'!G291</f>
        <v>0</v>
      </c>
      <c r="H131" s="322">
        <f>(100%-$D131)*'GENERADO PS locales'!H291</f>
        <v>0</v>
      </c>
      <c r="I131" s="322">
        <f>(100%-$D131)*'GENERADO PS locales'!I291</f>
        <v>0</v>
      </c>
      <c r="J131" s="322">
        <f>(100%-$D131)*'GENERADO PS locales'!J291</f>
        <v>0</v>
      </c>
      <c r="K131" s="322">
        <f>(100%-$D131)*'GENERADO PS locales'!K291</f>
        <v>0</v>
      </c>
      <c r="L131" s="322">
        <f>(100%-$D131)*'GENERADO PS locales'!L291</f>
        <v>0</v>
      </c>
      <c r="M131" s="322">
        <f>(100%-$D131)*'GENERADO PS locales'!M291</f>
        <v>0</v>
      </c>
      <c r="N131" s="322">
        <f>(100%-$D131)*'GENERADO PS locales'!N291</f>
        <v>0</v>
      </c>
      <c r="O131" s="322">
        <f>(100%-$D131)*'GENERADO PS locales'!O291</f>
        <v>0</v>
      </c>
      <c r="P131" s="322">
        <f>(100%-$D131)*'GENERADO PS locales'!P291</f>
        <v>0</v>
      </c>
      <c r="Q131" s="322">
        <f>(100%-$D131)*'GENERADO PS locales'!Q291</f>
        <v>0</v>
      </c>
      <c r="R131" s="322">
        <f>(100%-$D131)*'GENERADO PS locales'!R291</f>
        <v>0</v>
      </c>
      <c r="S131" s="322">
        <f>(100%-$D131)*'GENERADO PS locales'!S291</f>
        <v>0</v>
      </c>
      <c r="T131" s="322">
        <f>(100%-$D131)*'GENERADO PS locales'!T291</f>
        <v>0</v>
      </c>
      <c r="U131" s="322">
        <f>(100%-$D131)*'GENERADO PS locales'!U291</f>
        <v>0</v>
      </c>
      <c r="V131" s="322">
        <f>(100%-$D131)*'GENERADO PS locales'!V291</f>
        <v>0</v>
      </c>
      <c r="W131" s="322">
        <f>(100%-$D131)*'GENERADO PS locales'!W291</f>
        <v>0</v>
      </c>
      <c r="X131" s="322">
        <f>(100%-$D131)*'GENERADO PS locales'!X291</f>
        <v>0</v>
      </c>
      <c r="Y131" s="322">
        <f>(100%-$D131)*'GENERADO PS locales'!Y291</f>
        <v>0</v>
      </c>
      <c r="Z131" s="322">
        <f>(100%-$D131)*'GENERADO PS locales'!Z291</f>
        <v>0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20"/>
      <c r="E132" s="278"/>
      <c r="F132" s="263"/>
      <c r="G132" s="322">
        <f>(100%-$D132)*'GENERADO PS locales'!G292</f>
        <v>0</v>
      </c>
      <c r="H132" s="322">
        <f>(100%-$D132)*'GENERADO PS locales'!H292</f>
        <v>0</v>
      </c>
      <c r="I132" s="322">
        <f>(100%-$D132)*'GENERADO PS locales'!I292</f>
        <v>0</v>
      </c>
      <c r="J132" s="322">
        <f>(100%-$D132)*'GENERADO PS locales'!J292</f>
        <v>0</v>
      </c>
      <c r="K132" s="322">
        <f>(100%-$D132)*'GENERADO PS locales'!K292</f>
        <v>0</v>
      </c>
      <c r="L132" s="322">
        <f>(100%-$D132)*'GENERADO PS locales'!L292</f>
        <v>0</v>
      </c>
      <c r="M132" s="322">
        <f>(100%-$D132)*'GENERADO PS locales'!M292</f>
        <v>0</v>
      </c>
      <c r="N132" s="322">
        <f>(100%-$D132)*'GENERADO PS locales'!N292</f>
        <v>0</v>
      </c>
      <c r="O132" s="322">
        <f>(100%-$D132)*'GENERADO PS locales'!O292</f>
        <v>0</v>
      </c>
      <c r="P132" s="322">
        <f>(100%-$D132)*'GENERADO PS locales'!P292</f>
        <v>0</v>
      </c>
      <c r="Q132" s="322">
        <f>(100%-$D132)*'GENERADO PS locales'!Q292</f>
        <v>0</v>
      </c>
      <c r="R132" s="322">
        <f>(100%-$D132)*'GENERADO PS locales'!R292</f>
        <v>0</v>
      </c>
      <c r="S132" s="322">
        <f>(100%-$D132)*'GENERADO PS locales'!S292</f>
        <v>0</v>
      </c>
      <c r="T132" s="322">
        <f>(100%-$D132)*'GENERADO PS locales'!T292</f>
        <v>0</v>
      </c>
      <c r="U132" s="322">
        <f>(100%-$D132)*'GENERADO PS locales'!U292</f>
        <v>0</v>
      </c>
      <c r="V132" s="322">
        <f>(100%-$D132)*'GENERADO PS locales'!V292</f>
        <v>0</v>
      </c>
      <c r="W132" s="322">
        <f>(100%-$D132)*'GENERADO PS locales'!W292</f>
        <v>0</v>
      </c>
      <c r="X132" s="322">
        <f>(100%-$D132)*'GENERADO PS locales'!X292</f>
        <v>0</v>
      </c>
      <c r="Y132" s="322">
        <f>(100%-$D132)*'GENERADO PS locales'!Y292</f>
        <v>0</v>
      </c>
      <c r="Z132" s="322">
        <f>(100%-$D132)*'GENERADO PS locales'!Z292</f>
        <v>0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20"/>
      <c r="E133" s="278"/>
      <c r="F133" s="263"/>
      <c r="G133" s="322">
        <f>(100%-$D133)*'GENERADO PS locales'!G293</f>
        <v>0</v>
      </c>
      <c r="H133" s="322">
        <f>(100%-$D133)*'GENERADO PS locales'!H293</f>
        <v>0</v>
      </c>
      <c r="I133" s="322">
        <f>(100%-$D133)*'GENERADO PS locales'!I293</f>
        <v>0</v>
      </c>
      <c r="J133" s="322">
        <f>(100%-$D133)*'GENERADO PS locales'!J293</f>
        <v>0</v>
      </c>
      <c r="K133" s="322">
        <f>(100%-$D133)*'GENERADO PS locales'!K293</f>
        <v>0</v>
      </c>
      <c r="L133" s="322">
        <f>(100%-$D133)*'GENERADO PS locales'!L293</f>
        <v>0</v>
      </c>
      <c r="M133" s="322">
        <f>(100%-$D133)*'GENERADO PS locales'!M293</f>
        <v>0</v>
      </c>
      <c r="N133" s="322">
        <f>(100%-$D133)*'GENERADO PS locales'!N293</f>
        <v>0</v>
      </c>
      <c r="O133" s="322">
        <f>(100%-$D133)*'GENERADO PS locales'!O293</f>
        <v>0</v>
      </c>
      <c r="P133" s="322">
        <f>(100%-$D133)*'GENERADO PS locales'!P293</f>
        <v>0</v>
      </c>
      <c r="Q133" s="322">
        <f>(100%-$D133)*'GENERADO PS locales'!Q293</f>
        <v>0</v>
      </c>
      <c r="R133" s="322">
        <f>(100%-$D133)*'GENERADO PS locales'!R293</f>
        <v>0</v>
      </c>
      <c r="S133" s="322">
        <f>(100%-$D133)*'GENERADO PS locales'!S293</f>
        <v>0</v>
      </c>
      <c r="T133" s="322">
        <f>(100%-$D133)*'GENERADO PS locales'!T293</f>
        <v>0</v>
      </c>
      <c r="U133" s="322">
        <f>(100%-$D133)*'GENERADO PS locales'!U293</f>
        <v>0</v>
      </c>
      <c r="V133" s="322">
        <f>(100%-$D133)*'GENERADO PS locales'!V293</f>
        <v>0</v>
      </c>
      <c r="W133" s="322">
        <f>(100%-$D133)*'GENERADO PS locales'!W293</f>
        <v>0</v>
      </c>
      <c r="X133" s="322">
        <f>(100%-$D133)*'GENERADO PS locales'!X293</f>
        <v>0</v>
      </c>
      <c r="Y133" s="322">
        <f>(100%-$D133)*'GENERADO PS locales'!Y293</f>
        <v>0</v>
      </c>
      <c r="Z133" s="322">
        <f>(100%-$D133)*'GENERADO PS locales'!Z293</f>
        <v>0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20"/>
      <c r="E134" s="278"/>
      <c r="F134" s="263"/>
      <c r="G134" s="322">
        <f>(100%-$D134)*'GENERADO PS locales'!G294</f>
        <v>0</v>
      </c>
      <c r="H134" s="322">
        <f>(100%-$D134)*'GENERADO PS locales'!H294</f>
        <v>0</v>
      </c>
      <c r="I134" s="322">
        <f>(100%-$D134)*'GENERADO PS locales'!I294</f>
        <v>0</v>
      </c>
      <c r="J134" s="322">
        <f>(100%-$D134)*'GENERADO PS locales'!J294</f>
        <v>0</v>
      </c>
      <c r="K134" s="322">
        <f>(100%-$D134)*'GENERADO PS locales'!K294</f>
        <v>0</v>
      </c>
      <c r="L134" s="322">
        <f>(100%-$D134)*'GENERADO PS locales'!L294</f>
        <v>0</v>
      </c>
      <c r="M134" s="322">
        <f>(100%-$D134)*'GENERADO PS locales'!M294</f>
        <v>0</v>
      </c>
      <c r="N134" s="322">
        <f>(100%-$D134)*'GENERADO PS locales'!N294</f>
        <v>0</v>
      </c>
      <c r="O134" s="322">
        <f>(100%-$D134)*'GENERADO PS locales'!O294</f>
        <v>0</v>
      </c>
      <c r="P134" s="322">
        <f>(100%-$D134)*'GENERADO PS locales'!P294</f>
        <v>0</v>
      </c>
      <c r="Q134" s="322">
        <f>(100%-$D134)*'GENERADO PS locales'!Q294</f>
        <v>0</v>
      </c>
      <c r="R134" s="322">
        <f>(100%-$D134)*'GENERADO PS locales'!R294</f>
        <v>0</v>
      </c>
      <c r="S134" s="322">
        <f>(100%-$D134)*'GENERADO PS locales'!S294</f>
        <v>0</v>
      </c>
      <c r="T134" s="322">
        <f>(100%-$D134)*'GENERADO PS locales'!T294</f>
        <v>0</v>
      </c>
      <c r="U134" s="322">
        <f>(100%-$D134)*'GENERADO PS locales'!U294</f>
        <v>0</v>
      </c>
      <c r="V134" s="322">
        <f>(100%-$D134)*'GENERADO PS locales'!V294</f>
        <v>0</v>
      </c>
      <c r="W134" s="322">
        <f>(100%-$D134)*'GENERADO PS locales'!W294</f>
        <v>0</v>
      </c>
      <c r="X134" s="322">
        <f>(100%-$D134)*'GENERADO PS locales'!X294</f>
        <v>0</v>
      </c>
      <c r="Y134" s="322">
        <f>(100%-$D134)*'GENERADO PS locales'!Y294</f>
        <v>0</v>
      </c>
      <c r="Z134" s="322">
        <f>(100%-$D134)*'GENERADO PS locales'!Z294</f>
        <v>0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20"/>
      <c r="E135" s="278"/>
      <c r="F135" s="263"/>
      <c r="G135" s="322">
        <f>(100%-$D135)*'GENERADO PS locales'!G295</f>
        <v>0</v>
      </c>
      <c r="H135" s="322">
        <f>(100%-$D135)*'GENERADO PS locales'!H295</f>
        <v>0</v>
      </c>
      <c r="I135" s="322">
        <f>(100%-$D135)*'GENERADO PS locales'!I295</f>
        <v>0</v>
      </c>
      <c r="J135" s="322">
        <f>(100%-$D135)*'GENERADO PS locales'!J295</f>
        <v>0</v>
      </c>
      <c r="K135" s="322">
        <f>(100%-$D135)*'GENERADO PS locales'!K295</f>
        <v>0</v>
      </c>
      <c r="L135" s="322">
        <f>(100%-$D135)*'GENERADO PS locales'!L295</f>
        <v>0</v>
      </c>
      <c r="M135" s="322">
        <f>(100%-$D135)*'GENERADO PS locales'!M295</f>
        <v>0</v>
      </c>
      <c r="N135" s="322">
        <f>(100%-$D135)*'GENERADO PS locales'!N295</f>
        <v>0</v>
      </c>
      <c r="O135" s="322">
        <f>(100%-$D135)*'GENERADO PS locales'!O295</f>
        <v>0</v>
      </c>
      <c r="P135" s="322">
        <f>(100%-$D135)*'GENERADO PS locales'!P295</f>
        <v>0</v>
      </c>
      <c r="Q135" s="322">
        <f>(100%-$D135)*'GENERADO PS locales'!Q295</f>
        <v>0</v>
      </c>
      <c r="R135" s="322">
        <f>(100%-$D135)*'GENERADO PS locales'!R295</f>
        <v>0</v>
      </c>
      <c r="S135" s="322">
        <f>(100%-$D135)*'GENERADO PS locales'!S295</f>
        <v>0</v>
      </c>
      <c r="T135" s="322">
        <f>(100%-$D135)*'GENERADO PS locales'!T295</f>
        <v>0</v>
      </c>
      <c r="U135" s="322">
        <f>(100%-$D135)*'GENERADO PS locales'!U295</f>
        <v>0</v>
      </c>
      <c r="V135" s="322">
        <f>(100%-$D135)*'GENERADO PS locales'!V295</f>
        <v>0</v>
      </c>
      <c r="W135" s="322">
        <f>(100%-$D135)*'GENERADO PS locales'!W295</f>
        <v>0</v>
      </c>
      <c r="X135" s="322">
        <f>(100%-$D135)*'GENERADO PS locales'!X295</f>
        <v>0</v>
      </c>
      <c r="Y135" s="322">
        <f>(100%-$D135)*'GENERADO PS locales'!Y295</f>
        <v>0</v>
      </c>
      <c r="Z135" s="322">
        <f>(100%-$D135)*'GENERADO PS locales'!Z295</f>
        <v>0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20"/>
      <c r="E136" s="278"/>
      <c r="F136" s="263"/>
      <c r="G136" s="322">
        <f>(100%-$D136)*'GENERADO PS locales'!G296</f>
        <v>0</v>
      </c>
      <c r="H136" s="322">
        <f>(100%-$D136)*'GENERADO PS locales'!H296</f>
        <v>0</v>
      </c>
      <c r="I136" s="322">
        <f>(100%-$D136)*'GENERADO PS locales'!I296</f>
        <v>0</v>
      </c>
      <c r="J136" s="322">
        <f>(100%-$D136)*'GENERADO PS locales'!J296</f>
        <v>0</v>
      </c>
      <c r="K136" s="322">
        <f>(100%-$D136)*'GENERADO PS locales'!K296</f>
        <v>0</v>
      </c>
      <c r="L136" s="322">
        <f>(100%-$D136)*'GENERADO PS locales'!L296</f>
        <v>0</v>
      </c>
      <c r="M136" s="322">
        <f>(100%-$D136)*'GENERADO PS locales'!M296</f>
        <v>0</v>
      </c>
      <c r="N136" s="322">
        <f>(100%-$D136)*'GENERADO PS locales'!N296</f>
        <v>0</v>
      </c>
      <c r="O136" s="322">
        <f>(100%-$D136)*'GENERADO PS locales'!O296</f>
        <v>0</v>
      </c>
      <c r="P136" s="322">
        <f>(100%-$D136)*'GENERADO PS locales'!P296</f>
        <v>0</v>
      </c>
      <c r="Q136" s="322">
        <f>(100%-$D136)*'GENERADO PS locales'!Q296</f>
        <v>0</v>
      </c>
      <c r="R136" s="322">
        <f>(100%-$D136)*'GENERADO PS locales'!R296</f>
        <v>0</v>
      </c>
      <c r="S136" s="322">
        <f>(100%-$D136)*'GENERADO PS locales'!S296</f>
        <v>0</v>
      </c>
      <c r="T136" s="322">
        <f>(100%-$D136)*'GENERADO PS locales'!T296</f>
        <v>0</v>
      </c>
      <c r="U136" s="322">
        <f>(100%-$D136)*'GENERADO PS locales'!U296</f>
        <v>0</v>
      </c>
      <c r="V136" s="322">
        <f>(100%-$D136)*'GENERADO PS locales'!V296</f>
        <v>0</v>
      </c>
      <c r="W136" s="322">
        <f>(100%-$D136)*'GENERADO PS locales'!W296</f>
        <v>0</v>
      </c>
      <c r="X136" s="322">
        <f>(100%-$D136)*'GENERADO PS locales'!X296</f>
        <v>0</v>
      </c>
      <c r="Y136" s="322">
        <f>(100%-$D136)*'GENERADO PS locales'!Y296</f>
        <v>0</v>
      </c>
      <c r="Z136" s="322">
        <f>(100%-$D136)*'GENERADO PS locales'!Z296</f>
        <v>0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20"/>
      <c r="E137" s="278"/>
      <c r="F137" s="263"/>
      <c r="G137" s="322">
        <f>(100%-$D137)*'GENERADO PS locales'!G297</f>
        <v>0</v>
      </c>
      <c r="H137" s="322">
        <f>(100%-$D137)*'GENERADO PS locales'!H297</f>
        <v>0</v>
      </c>
      <c r="I137" s="322">
        <f>(100%-$D137)*'GENERADO PS locales'!I297</f>
        <v>0</v>
      </c>
      <c r="J137" s="322">
        <f>(100%-$D137)*'GENERADO PS locales'!J297</f>
        <v>0</v>
      </c>
      <c r="K137" s="322">
        <f>(100%-$D137)*'GENERADO PS locales'!K297</f>
        <v>0</v>
      </c>
      <c r="L137" s="322">
        <f>(100%-$D137)*'GENERADO PS locales'!L297</f>
        <v>0</v>
      </c>
      <c r="M137" s="322">
        <f>(100%-$D137)*'GENERADO PS locales'!M297</f>
        <v>0</v>
      </c>
      <c r="N137" s="322">
        <f>(100%-$D137)*'GENERADO PS locales'!N297</f>
        <v>0</v>
      </c>
      <c r="O137" s="322">
        <f>(100%-$D137)*'GENERADO PS locales'!O297</f>
        <v>0</v>
      </c>
      <c r="P137" s="322">
        <f>(100%-$D137)*'GENERADO PS locales'!P297</f>
        <v>0</v>
      </c>
      <c r="Q137" s="322">
        <f>(100%-$D137)*'GENERADO PS locales'!Q297</f>
        <v>0</v>
      </c>
      <c r="R137" s="322">
        <f>(100%-$D137)*'GENERADO PS locales'!R297</f>
        <v>0</v>
      </c>
      <c r="S137" s="322">
        <f>(100%-$D137)*'GENERADO PS locales'!S297</f>
        <v>0</v>
      </c>
      <c r="T137" s="322">
        <f>(100%-$D137)*'GENERADO PS locales'!T297</f>
        <v>0</v>
      </c>
      <c r="U137" s="322">
        <f>(100%-$D137)*'GENERADO PS locales'!U297</f>
        <v>0</v>
      </c>
      <c r="V137" s="322">
        <f>(100%-$D137)*'GENERADO PS locales'!V297</f>
        <v>0</v>
      </c>
      <c r="W137" s="322">
        <f>(100%-$D137)*'GENERADO PS locales'!W297</f>
        <v>0</v>
      </c>
      <c r="X137" s="322">
        <f>(100%-$D137)*'GENERADO PS locales'!X297</f>
        <v>0</v>
      </c>
      <c r="Y137" s="322">
        <f>(100%-$D137)*'GENERADO PS locales'!Y297</f>
        <v>0</v>
      </c>
      <c r="Z137" s="322">
        <f>(100%-$D137)*'GENERADO PS locales'!Z297</f>
        <v>0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20"/>
      <c r="E138" s="278"/>
      <c r="F138" s="263"/>
      <c r="G138" s="322">
        <f>(100%-$D138)*'GENERADO PS locales'!G298</f>
        <v>0</v>
      </c>
      <c r="H138" s="322">
        <f>(100%-$D138)*'GENERADO PS locales'!H298</f>
        <v>0</v>
      </c>
      <c r="I138" s="322">
        <f>(100%-$D138)*'GENERADO PS locales'!I298</f>
        <v>0</v>
      </c>
      <c r="J138" s="322">
        <f>(100%-$D138)*'GENERADO PS locales'!J298</f>
        <v>0</v>
      </c>
      <c r="K138" s="322">
        <f>(100%-$D138)*'GENERADO PS locales'!K298</f>
        <v>0</v>
      </c>
      <c r="L138" s="322">
        <f>(100%-$D138)*'GENERADO PS locales'!L298</f>
        <v>0</v>
      </c>
      <c r="M138" s="322">
        <f>(100%-$D138)*'GENERADO PS locales'!M298</f>
        <v>0</v>
      </c>
      <c r="N138" s="322">
        <f>(100%-$D138)*'GENERADO PS locales'!N298</f>
        <v>0</v>
      </c>
      <c r="O138" s="322">
        <f>(100%-$D138)*'GENERADO PS locales'!O298</f>
        <v>0</v>
      </c>
      <c r="P138" s="322">
        <f>(100%-$D138)*'GENERADO PS locales'!P298</f>
        <v>0</v>
      </c>
      <c r="Q138" s="322">
        <f>(100%-$D138)*'GENERADO PS locales'!Q298</f>
        <v>0</v>
      </c>
      <c r="R138" s="322">
        <f>(100%-$D138)*'GENERADO PS locales'!R298</f>
        <v>0</v>
      </c>
      <c r="S138" s="322">
        <f>(100%-$D138)*'GENERADO PS locales'!S298</f>
        <v>0</v>
      </c>
      <c r="T138" s="322">
        <f>(100%-$D138)*'GENERADO PS locales'!T298</f>
        <v>0</v>
      </c>
      <c r="U138" s="322">
        <f>(100%-$D138)*'GENERADO PS locales'!U298</f>
        <v>0</v>
      </c>
      <c r="V138" s="322">
        <f>(100%-$D138)*'GENERADO PS locales'!V298</f>
        <v>0</v>
      </c>
      <c r="W138" s="322">
        <f>(100%-$D138)*'GENERADO PS locales'!W298</f>
        <v>0</v>
      </c>
      <c r="X138" s="322">
        <f>(100%-$D138)*'GENERADO PS locales'!X298</f>
        <v>0</v>
      </c>
      <c r="Y138" s="322">
        <f>(100%-$D138)*'GENERADO PS locales'!Y298</f>
        <v>0</v>
      </c>
      <c r="Z138" s="322">
        <f>(100%-$D138)*'GENERADO PS locales'!Z298</f>
        <v>0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20"/>
      <c r="E139" s="278"/>
      <c r="F139" s="263"/>
      <c r="G139" s="322">
        <f>(100%-$D139)*'GENERADO PS locales'!G299</f>
        <v>0</v>
      </c>
      <c r="H139" s="322">
        <f>(100%-$D139)*'GENERADO PS locales'!H299</f>
        <v>0</v>
      </c>
      <c r="I139" s="322">
        <f>(100%-$D139)*'GENERADO PS locales'!I299</f>
        <v>0</v>
      </c>
      <c r="J139" s="322">
        <f>(100%-$D139)*'GENERADO PS locales'!J299</f>
        <v>0</v>
      </c>
      <c r="K139" s="322">
        <f>(100%-$D139)*'GENERADO PS locales'!K299</f>
        <v>0</v>
      </c>
      <c r="L139" s="322">
        <f>(100%-$D139)*'GENERADO PS locales'!L299</f>
        <v>0</v>
      </c>
      <c r="M139" s="322">
        <f>(100%-$D139)*'GENERADO PS locales'!M299</f>
        <v>0</v>
      </c>
      <c r="N139" s="322">
        <f>(100%-$D139)*'GENERADO PS locales'!N299</f>
        <v>0</v>
      </c>
      <c r="O139" s="322">
        <f>(100%-$D139)*'GENERADO PS locales'!O299</f>
        <v>0</v>
      </c>
      <c r="P139" s="322">
        <f>(100%-$D139)*'GENERADO PS locales'!P299</f>
        <v>0</v>
      </c>
      <c r="Q139" s="322">
        <f>(100%-$D139)*'GENERADO PS locales'!Q299</f>
        <v>0</v>
      </c>
      <c r="R139" s="322">
        <f>(100%-$D139)*'GENERADO PS locales'!R299</f>
        <v>0</v>
      </c>
      <c r="S139" s="322">
        <f>(100%-$D139)*'GENERADO PS locales'!S299</f>
        <v>0</v>
      </c>
      <c r="T139" s="322">
        <f>(100%-$D139)*'GENERADO PS locales'!T299</f>
        <v>0</v>
      </c>
      <c r="U139" s="322">
        <f>(100%-$D139)*'GENERADO PS locales'!U299</f>
        <v>0</v>
      </c>
      <c r="V139" s="322">
        <f>(100%-$D139)*'GENERADO PS locales'!V299</f>
        <v>0</v>
      </c>
      <c r="W139" s="322">
        <f>(100%-$D139)*'GENERADO PS locales'!W299</f>
        <v>0</v>
      </c>
      <c r="X139" s="322">
        <f>(100%-$D139)*'GENERADO PS locales'!X299</f>
        <v>0</v>
      </c>
      <c r="Y139" s="322">
        <f>(100%-$D139)*'GENERADO PS locales'!Y299</f>
        <v>0</v>
      </c>
      <c r="Z139" s="322">
        <f>(100%-$D139)*'GENERADO PS locales'!Z299</f>
        <v>0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20"/>
      <c r="E140" s="278"/>
      <c r="F140" s="263"/>
      <c r="G140" s="322">
        <f>(100%-$D140)*'GENERADO PS locales'!G300</f>
        <v>0</v>
      </c>
      <c r="H140" s="322">
        <f>(100%-$D140)*'GENERADO PS locales'!H300</f>
        <v>0</v>
      </c>
      <c r="I140" s="322">
        <f>(100%-$D140)*'GENERADO PS locales'!I300</f>
        <v>0</v>
      </c>
      <c r="J140" s="322">
        <f>(100%-$D140)*'GENERADO PS locales'!J300</f>
        <v>0</v>
      </c>
      <c r="K140" s="322">
        <f>(100%-$D140)*'GENERADO PS locales'!K300</f>
        <v>0</v>
      </c>
      <c r="L140" s="322">
        <f>(100%-$D140)*'GENERADO PS locales'!L300</f>
        <v>0</v>
      </c>
      <c r="M140" s="322">
        <f>(100%-$D140)*'GENERADO PS locales'!M300</f>
        <v>0</v>
      </c>
      <c r="N140" s="322">
        <f>(100%-$D140)*'GENERADO PS locales'!N300</f>
        <v>0</v>
      </c>
      <c r="O140" s="322">
        <f>(100%-$D140)*'GENERADO PS locales'!O300</f>
        <v>0</v>
      </c>
      <c r="P140" s="322">
        <f>(100%-$D140)*'GENERADO PS locales'!P300</f>
        <v>0</v>
      </c>
      <c r="Q140" s="322">
        <f>(100%-$D140)*'GENERADO PS locales'!Q300</f>
        <v>0</v>
      </c>
      <c r="R140" s="322">
        <f>(100%-$D140)*'GENERADO PS locales'!R300</f>
        <v>0</v>
      </c>
      <c r="S140" s="322">
        <f>(100%-$D140)*'GENERADO PS locales'!S300</f>
        <v>0</v>
      </c>
      <c r="T140" s="322">
        <f>(100%-$D140)*'GENERADO PS locales'!T300</f>
        <v>0</v>
      </c>
      <c r="U140" s="322">
        <f>(100%-$D140)*'GENERADO PS locales'!U300</f>
        <v>0</v>
      </c>
      <c r="V140" s="322">
        <f>(100%-$D140)*'GENERADO PS locales'!V300</f>
        <v>0</v>
      </c>
      <c r="W140" s="322">
        <f>(100%-$D140)*'GENERADO PS locales'!W300</f>
        <v>0</v>
      </c>
      <c r="X140" s="322">
        <f>(100%-$D140)*'GENERADO PS locales'!X300</f>
        <v>0</v>
      </c>
      <c r="Y140" s="322">
        <f>(100%-$D140)*'GENERADO PS locales'!Y300</f>
        <v>0</v>
      </c>
      <c r="Z140" s="322">
        <f>(100%-$D140)*'GENERADO PS locales'!Z300</f>
        <v>0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20"/>
      <c r="E141" s="278"/>
      <c r="F141" s="263"/>
      <c r="G141" s="323">
        <f>(100%-$D141)*'GENERADO PS locales'!G301</f>
        <v>0</v>
      </c>
      <c r="H141" s="323">
        <f>(100%-$D141)*'GENERADO PS locales'!H301</f>
        <v>0</v>
      </c>
      <c r="I141" s="323">
        <f>(100%-$D141)*'GENERADO PS locales'!I301</f>
        <v>0</v>
      </c>
      <c r="J141" s="323">
        <f>(100%-$D141)*'GENERADO PS locales'!J301</f>
        <v>0</v>
      </c>
      <c r="K141" s="323">
        <f>(100%-$D141)*'GENERADO PS locales'!K301</f>
        <v>0</v>
      </c>
      <c r="L141" s="323">
        <f>(100%-$D141)*'GENERADO PS locales'!L301</f>
        <v>0</v>
      </c>
      <c r="M141" s="323">
        <f>(100%-$D141)*'GENERADO PS locales'!M301</f>
        <v>0</v>
      </c>
      <c r="N141" s="323">
        <f>(100%-$D141)*'GENERADO PS locales'!N301</f>
        <v>0</v>
      </c>
      <c r="O141" s="323">
        <f>(100%-$D141)*'GENERADO PS locales'!O301</f>
        <v>0</v>
      </c>
      <c r="P141" s="323">
        <f>(100%-$D141)*'GENERADO PS locales'!P301</f>
        <v>0</v>
      </c>
      <c r="Q141" s="323">
        <f>(100%-$D141)*'GENERADO PS locales'!Q301</f>
        <v>0</v>
      </c>
      <c r="R141" s="323">
        <f>(100%-$D141)*'GENERADO PS locales'!R301</f>
        <v>0</v>
      </c>
      <c r="S141" s="323">
        <f>(100%-$D141)*'GENERADO PS locales'!S301</f>
        <v>0</v>
      </c>
      <c r="T141" s="323">
        <f>(100%-$D141)*'GENERADO PS locales'!T301</f>
        <v>0</v>
      </c>
      <c r="U141" s="323">
        <f>(100%-$D141)*'GENERADO PS locales'!U301</f>
        <v>0</v>
      </c>
      <c r="V141" s="323">
        <f>(100%-$D141)*'GENERADO PS locales'!V301</f>
        <v>0</v>
      </c>
      <c r="W141" s="323">
        <f>(100%-$D141)*'GENERADO PS locales'!W301</f>
        <v>0</v>
      </c>
      <c r="X141" s="323">
        <f>(100%-$D141)*'GENERADO PS locales'!X301</f>
        <v>0</v>
      </c>
      <c r="Y141" s="323">
        <f>(100%-$D141)*'GENERADO PS locales'!Y301</f>
        <v>0</v>
      </c>
      <c r="Z141" s="323">
        <f>(100%-$D141)*'GENERADO PS locales'!Z301</f>
        <v>0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20"/>
      <c r="E142" s="278"/>
      <c r="F142" s="263"/>
      <c r="G142" s="322">
        <f>(100%-$D142)*'GENERADO PS locales'!G302</f>
        <v>0</v>
      </c>
      <c r="H142" s="322">
        <f>(100%-$D142)*'GENERADO PS locales'!H302</f>
        <v>0</v>
      </c>
      <c r="I142" s="322">
        <f>(100%-$D142)*'GENERADO PS locales'!I302</f>
        <v>0</v>
      </c>
      <c r="J142" s="322">
        <f>(100%-$D142)*'GENERADO PS locales'!J302</f>
        <v>0</v>
      </c>
      <c r="K142" s="322">
        <f>(100%-$D142)*'GENERADO PS locales'!K302</f>
        <v>0</v>
      </c>
      <c r="L142" s="322">
        <f>(100%-$D142)*'GENERADO PS locales'!L302</f>
        <v>0</v>
      </c>
      <c r="M142" s="322">
        <f>(100%-$D142)*'GENERADO PS locales'!M302</f>
        <v>0</v>
      </c>
      <c r="N142" s="322">
        <f>(100%-$D142)*'GENERADO PS locales'!N302</f>
        <v>0</v>
      </c>
      <c r="O142" s="322">
        <f>(100%-$D142)*'GENERADO PS locales'!O302</f>
        <v>0</v>
      </c>
      <c r="P142" s="322">
        <f>(100%-$D142)*'GENERADO PS locales'!P302</f>
        <v>0</v>
      </c>
      <c r="Q142" s="322">
        <f>(100%-$D142)*'GENERADO PS locales'!Q302</f>
        <v>0</v>
      </c>
      <c r="R142" s="322">
        <f>(100%-$D142)*'GENERADO PS locales'!R302</f>
        <v>0</v>
      </c>
      <c r="S142" s="322">
        <f>(100%-$D142)*'GENERADO PS locales'!S302</f>
        <v>0</v>
      </c>
      <c r="T142" s="322">
        <f>(100%-$D142)*'GENERADO PS locales'!T302</f>
        <v>0</v>
      </c>
      <c r="U142" s="322">
        <f>(100%-$D142)*'GENERADO PS locales'!U302</f>
        <v>0</v>
      </c>
      <c r="V142" s="322">
        <f>(100%-$D142)*'GENERADO PS locales'!V302</f>
        <v>0</v>
      </c>
      <c r="W142" s="322">
        <f>(100%-$D142)*'GENERADO PS locales'!W302</f>
        <v>0</v>
      </c>
      <c r="X142" s="322">
        <f>(100%-$D142)*'GENERADO PS locales'!X302</f>
        <v>0</v>
      </c>
      <c r="Y142" s="322">
        <f>(100%-$D142)*'GENERADO PS locales'!Y302</f>
        <v>0</v>
      </c>
      <c r="Z142" s="322">
        <f>(100%-$D142)*'GENERADO PS locales'!Z302</f>
        <v>0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20"/>
      <c r="E143" s="278"/>
      <c r="F143" s="263"/>
      <c r="G143" s="322">
        <f>(100%-$D143)*'GENERADO PS locales'!G303</f>
        <v>0</v>
      </c>
      <c r="H143" s="322">
        <f>(100%-$D143)*'GENERADO PS locales'!H303</f>
        <v>0</v>
      </c>
      <c r="I143" s="322">
        <f>(100%-$D143)*'GENERADO PS locales'!I303</f>
        <v>0</v>
      </c>
      <c r="J143" s="322">
        <f>(100%-$D143)*'GENERADO PS locales'!J303</f>
        <v>0</v>
      </c>
      <c r="K143" s="322">
        <f>(100%-$D143)*'GENERADO PS locales'!K303</f>
        <v>0</v>
      </c>
      <c r="L143" s="322">
        <f>(100%-$D143)*'GENERADO PS locales'!L303</f>
        <v>0</v>
      </c>
      <c r="M143" s="322">
        <f>(100%-$D143)*'GENERADO PS locales'!M303</f>
        <v>0</v>
      </c>
      <c r="N143" s="322">
        <f>(100%-$D143)*'GENERADO PS locales'!N303</f>
        <v>0</v>
      </c>
      <c r="O143" s="322">
        <f>(100%-$D143)*'GENERADO PS locales'!O303</f>
        <v>0</v>
      </c>
      <c r="P143" s="322">
        <f>(100%-$D143)*'GENERADO PS locales'!P303</f>
        <v>0</v>
      </c>
      <c r="Q143" s="322">
        <f>(100%-$D143)*'GENERADO PS locales'!Q303</f>
        <v>0</v>
      </c>
      <c r="R143" s="322">
        <f>(100%-$D143)*'GENERADO PS locales'!R303</f>
        <v>0</v>
      </c>
      <c r="S143" s="322">
        <f>(100%-$D143)*'GENERADO PS locales'!S303</f>
        <v>0</v>
      </c>
      <c r="T143" s="322">
        <f>(100%-$D143)*'GENERADO PS locales'!T303</f>
        <v>0</v>
      </c>
      <c r="U143" s="322">
        <f>(100%-$D143)*'GENERADO PS locales'!U303</f>
        <v>0</v>
      </c>
      <c r="V143" s="322">
        <f>(100%-$D143)*'GENERADO PS locales'!V303</f>
        <v>0</v>
      </c>
      <c r="W143" s="322">
        <f>(100%-$D143)*'GENERADO PS locales'!W303</f>
        <v>0</v>
      </c>
      <c r="X143" s="322">
        <f>(100%-$D143)*'GENERADO PS locales'!X303</f>
        <v>0</v>
      </c>
      <c r="Y143" s="322">
        <f>(100%-$D143)*'GENERADO PS locales'!Y303</f>
        <v>0</v>
      </c>
      <c r="Z143" s="322">
        <f>(100%-$D143)*'GENERADO PS locales'!Z303</f>
        <v>0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20"/>
      <c r="E144" s="278"/>
      <c r="F144" s="263"/>
      <c r="G144" s="322">
        <f>(100%-$D144)*'GENERADO PS locales'!G304</f>
        <v>0</v>
      </c>
      <c r="H144" s="322">
        <f>(100%-$D144)*'GENERADO PS locales'!H304</f>
        <v>0</v>
      </c>
      <c r="I144" s="322">
        <f>(100%-$D144)*'GENERADO PS locales'!I304</f>
        <v>0</v>
      </c>
      <c r="J144" s="322">
        <f>(100%-$D144)*'GENERADO PS locales'!J304</f>
        <v>0</v>
      </c>
      <c r="K144" s="322">
        <f>(100%-$D144)*'GENERADO PS locales'!K304</f>
        <v>0</v>
      </c>
      <c r="L144" s="322">
        <f>(100%-$D144)*'GENERADO PS locales'!L304</f>
        <v>0</v>
      </c>
      <c r="M144" s="322">
        <f>(100%-$D144)*'GENERADO PS locales'!M304</f>
        <v>0</v>
      </c>
      <c r="N144" s="322">
        <f>(100%-$D144)*'GENERADO PS locales'!N304</f>
        <v>0</v>
      </c>
      <c r="O144" s="322">
        <f>(100%-$D144)*'GENERADO PS locales'!O304</f>
        <v>0</v>
      </c>
      <c r="P144" s="322">
        <f>(100%-$D144)*'GENERADO PS locales'!P304</f>
        <v>0</v>
      </c>
      <c r="Q144" s="322">
        <f>(100%-$D144)*'GENERADO PS locales'!Q304</f>
        <v>0</v>
      </c>
      <c r="R144" s="322">
        <f>(100%-$D144)*'GENERADO PS locales'!R304</f>
        <v>0</v>
      </c>
      <c r="S144" s="322">
        <f>(100%-$D144)*'GENERADO PS locales'!S304</f>
        <v>0</v>
      </c>
      <c r="T144" s="322">
        <f>(100%-$D144)*'GENERADO PS locales'!T304</f>
        <v>0</v>
      </c>
      <c r="U144" s="322">
        <f>(100%-$D144)*'GENERADO PS locales'!U304</f>
        <v>0</v>
      </c>
      <c r="V144" s="322">
        <f>(100%-$D144)*'GENERADO PS locales'!V304</f>
        <v>0</v>
      </c>
      <c r="W144" s="322">
        <f>(100%-$D144)*'GENERADO PS locales'!W304</f>
        <v>0</v>
      </c>
      <c r="X144" s="322">
        <f>(100%-$D144)*'GENERADO PS locales'!X304</f>
        <v>0</v>
      </c>
      <c r="Y144" s="322">
        <f>(100%-$D144)*'GENERADO PS locales'!Y304</f>
        <v>0</v>
      </c>
      <c r="Z144" s="322">
        <f>(100%-$D144)*'GENERADO PS locales'!Z304</f>
        <v>0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20"/>
      <c r="E145" s="278"/>
      <c r="F145" s="263"/>
      <c r="G145" s="322">
        <f>(100%-$D145)*'GENERADO PS locales'!G305</f>
        <v>0</v>
      </c>
      <c r="H145" s="322">
        <f>(100%-$D145)*'GENERADO PS locales'!H305</f>
        <v>0</v>
      </c>
      <c r="I145" s="322">
        <f>(100%-$D145)*'GENERADO PS locales'!I305</f>
        <v>0</v>
      </c>
      <c r="J145" s="322">
        <f>(100%-$D145)*'GENERADO PS locales'!J305</f>
        <v>0</v>
      </c>
      <c r="K145" s="322">
        <f>(100%-$D145)*'GENERADO PS locales'!K305</f>
        <v>0</v>
      </c>
      <c r="L145" s="322">
        <f>(100%-$D145)*'GENERADO PS locales'!L305</f>
        <v>0</v>
      </c>
      <c r="M145" s="322">
        <f>(100%-$D145)*'GENERADO PS locales'!M305</f>
        <v>0</v>
      </c>
      <c r="N145" s="322">
        <f>(100%-$D145)*'GENERADO PS locales'!N305</f>
        <v>0</v>
      </c>
      <c r="O145" s="322">
        <f>(100%-$D145)*'GENERADO PS locales'!O305</f>
        <v>0</v>
      </c>
      <c r="P145" s="322">
        <f>(100%-$D145)*'GENERADO PS locales'!P305</f>
        <v>0</v>
      </c>
      <c r="Q145" s="322">
        <f>(100%-$D145)*'GENERADO PS locales'!Q305</f>
        <v>0</v>
      </c>
      <c r="R145" s="322">
        <f>(100%-$D145)*'GENERADO PS locales'!R305</f>
        <v>0</v>
      </c>
      <c r="S145" s="322">
        <f>(100%-$D145)*'GENERADO PS locales'!S305</f>
        <v>0</v>
      </c>
      <c r="T145" s="322">
        <f>(100%-$D145)*'GENERADO PS locales'!T305</f>
        <v>0</v>
      </c>
      <c r="U145" s="322">
        <f>(100%-$D145)*'GENERADO PS locales'!U305</f>
        <v>0</v>
      </c>
      <c r="V145" s="322">
        <f>(100%-$D145)*'GENERADO PS locales'!V305</f>
        <v>0</v>
      </c>
      <c r="W145" s="322">
        <f>(100%-$D145)*'GENERADO PS locales'!W305</f>
        <v>0</v>
      </c>
      <c r="X145" s="322">
        <f>(100%-$D145)*'GENERADO PS locales'!X305</f>
        <v>0</v>
      </c>
      <c r="Y145" s="322">
        <f>(100%-$D145)*'GENERADO PS locales'!Y305</f>
        <v>0</v>
      </c>
      <c r="Z145" s="322">
        <f>(100%-$D145)*'GENERADO PS locales'!Z305</f>
        <v>0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20"/>
      <c r="E146" s="278"/>
      <c r="F146" s="263"/>
      <c r="G146" s="322">
        <f>(100%-$D146)*'GENERADO PS locales'!G306</f>
        <v>0</v>
      </c>
      <c r="H146" s="322">
        <f>(100%-$D146)*'GENERADO PS locales'!H306</f>
        <v>0</v>
      </c>
      <c r="I146" s="322">
        <f>(100%-$D146)*'GENERADO PS locales'!I306</f>
        <v>0</v>
      </c>
      <c r="J146" s="322">
        <f>(100%-$D146)*'GENERADO PS locales'!J306</f>
        <v>0</v>
      </c>
      <c r="K146" s="322">
        <f>(100%-$D146)*'GENERADO PS locales'!K306</f>
        <v>0</v>
      </c>
      <c r="L146" s="322">
        <f>(100%-$D146)*'GENERADO PS locales'!L306</f>
        <v>0</v>
      </c>
      <c r="M146" s="322">
        <f>(100%-$D146)*'GENERADO PS locales'!M306</f>
        <v>0</v>
      </c>
      <c r="N146" s="322">
        <f>(100%-$D146)*'GENERADO PS locales'!N306</f>
        <v>0</v>
      </c>
      <c r="O146" s="322">
        <f>(100%-$D146)*'GENERADO PS locales'!O306</f>
        <v>0</v>
      </c>
      <c r="P146" s="322">
        <f>(100%-$D146)*'GENERADO PS locales'!P306</f>
        <v>0</v>
      </c>
      <c r="Q146" s="322">
        <f>(100%-$D146)*'GENERADO PS locales'!Q306</f>
        <v>0</v>
      </c>
      <c r="R146" s="322">
        <f>(100%-$D146)*'GENERADO PS locales'!R306</f>
        <v>0</v>
      </c>
      <c r="S146" s="322">
        <f>(100%-$D146)*'GENERADO PS locales'!S306</f>
        <v>0</v>
      </c>
      <c r="T146" s="322">
        <f>(100%-$D146)*'GENERADO PS locales'!T306</f>
        <v>0</v>
      </c>
      <c r="U146" s="322">
        <f>(100%-$D146)*'GENERADO PS locales'!U306</f>
        <v>0</v>
      </c>
      <c r="V146" s="322">
        <f>(100%-$D146)*'GENERADO PS locales'!V306</f>
        <v>0</v>
      </c>
      <c r="W146" s="322">
        <f>(100%-$D146)*'GENERADO PS locales'!W306</f>
        <v>0</v>
      </c>
      <c r="X146" s="322">
        <f>(100%-$D146)*'GENERADO PS locales'!X306</f>
        <v>0</v>
      </c>
      <c r="Y146" s="322">
        <f>(100%-$D146)*'GENERADO PS locales'!Y306</f>
        <v>0</v>
      </c>
      <c r="Z146" s="322">
        <f>(100%-$D146)*'GENERADO PS locales'!Z306</f>
        <v>0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20"/>
      <c r="E147" s="278"/>
      <c r="F147" s="263"/>
      <c r="G147" s="322">
        <f>(100%-$D147)*'GENERADO PS locales'!G307</f>
        <v>0</v>
      </c>
      <c r="H147" s="322">
        <f>(100%-$D147)*'GENERADO PS locales'!H307</f>
        <v>0</v>
      </c>
      <c r="I147" s="322">
        <f>(100%-$D147)*'GENERADO PS locales'!I307</f>
        <v>0</v>
      </c>
      <c r="J147" s="322">
        <f>(100%-$D147)*'GENERADO PS locales'!J307</f>
        <v>0</v>
      </c>
      <c r="K147" s="322">
        <f>(100%-$D147)*'GENERADO PS locales'!K307</f>
        <v>0</v>
      </c>
      <c r="L147" s="322">
        <f>(100%-$D147)*'GENERADO PS locales'!L307</f>
        <v>0</v>
      </c>
      <c r="M147" s="322">
        <f>(100%-$D147)*'GENERADO PS locales'!M307</f>
        <v>0</v>
      </c>
      <c r="N147" s="322">
        <f>(100%-$D147)*'GENERADO PS locales'!N307</f>
        <v>0</v>
      </c>
      <c r="O147" s="322">
        <f>(100%-$D147)*'GENERADO PS locales'!O307</f>
        <v>0</v>
      </c>
      <c r="P147" s="322">
        <f>(100%-$D147)*'GENERADO PS locales'!P307</f>
        <v>0</v>
      </c>
      <c r="Q147" s="322">
        <f>(100%-$D147)*'GENERADO PS locales'!Q307</f>
        <v>0</v>
      </c>
      <c r="R147" s="322">
        <f>(100%-$D147)*'GENERADO PS locales'!R307</f>
        <v>0</v>
      </c>
      <c r="S147" s="322">
        <f>(100%-$D147)*'GENERADO PS locales'!S307</f>
        <v>0</v>
      </c>
      <c r="T147" s="322">
        <f>(100%-$D147)*'GENERADO PS locales'!T307</f>
        <v>0</v>
      </c>
      <c r="U147" s="322">
        <f>(100%-$D147)*'GENERADO PS locales'!U307</f>
        <v>0</v>
      </c>
      <c r="V147" s="322">
        <f>(100%-$D147)*'GENERADO PS locales'!V307</f>
        <v>0</v>
      </c>
      <c r="W147" s="322">
        <f>(100%-$D147)*'GENERADO PS locales'!W307</f>
        <v>0</v>
      </c>
      <c r="X147" s="322">
        <f>(100%-$D147)*'GENERADO PS locales'!X307</f>
        <v>0</v>
      </c>
      <c r="Y147" s="322">
        <f>(100%-$D147)*'GENERADO PS locales'!Y307</f>
        <v>0</v>
      </c>
      <c r="Z147" s="322">
        <f>(100%-$D147)*'GENERADO PS locales'!Z307</f>
        <v>0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20"/>
      <c r="E148" s="278"/>
      <c r="F148" s="263"/>
      <c r="G148" s="322">
        <f>(100%-$D148)*'GENERADO PS locales'!G308</f>
        <v>0</v>
      </c>
      <c r="H148" s="322">
        <f>(100%-$D148)*'GENERADO PS locales'!H308</f>
        <v>0</v>
      </c>
      <c r="I148" s="322">
        <f>(100%-$D148)*'GENERADO PS locales'!I308</f>
        <v>0</v>
      </c>
      <c r="J148" s="322">
        <f>(100%-$D148)*'GENERADO PS locales'!J308</f>
        <v>0</v>
      </c>
      <c r="K148" s="322">
        <f>(100%-$D148)*'GENERADO PS locales'!K308</f>
        <v>0</v>
      </c>
      <c r="L148" s="322">
        <f>(100%-$D148)*'GENERADO PS locales'!L308</f>
        <v>0</v>
      </c>
      <c r="M148" s="322">
        <f>(100%-$D148)*'GENERADO PS locales'!M308</f>
        <v>0</v>
      </c>
      <c r="N148" s="322">
        <f>(100%-$D148)*'GENERADO PS locales'!N308</f>
        <v>0</v>
      </c>
      <c r="O148" s="322">
        <f>(100%-$D148)*'GENERADO PS locales'!O308</f>
        <v>0</v>
      </c>
      <c r="P148" s="322">
        <f>(100%-$D148)*'GENERADO PS locales'!P308</f>
        <v>0</v>
      </c>
      <c r="Q148" s="322">
        <f>(100%-$D148)*'GENERADO PS locales'!Q308</f>
        <v>0</v>
      </c>
      <c r="R148" s="322">
        <f>(100%-$D148)*'GENERADO PS locales'!R308</f>
        <v>0</v>
      </c>
      <c r="S148" s="322">
        <f>(100%-$D148)*'GENERADO PS locales'!S308</f>
        <v>0</v>
      </c>
      <c r="T148" s="322">
        <f>(100%-$D148)*'GENERADO PS locales'!T308</f>
        <v>0</v>
      </c>
      <c r="U148" s="322">
        <f>(100%-$D148)*'GENERADO PS locales'!U308</f>
        <v>0</v>
      </c>
      <c r="V148" s="322">
        <f>(100%-$D148)*'GENERADO PS locales'!V308</f>
        <v>0</v>
      </c>
      <c r="W148" s="322">
        <f>(100%-$D148)*'GENERADO PS locales'!W308</f>
        <v>0</v>
      </c>
      <c r="X148" s="322">
        <f>(100%-$D148)*'GENERADO PS locales'!X308</f>
        <v>0</v>
      </c>
      <c r="Y148" s="322">
        <f>(100%-$D148)*'GENERADO PS locales'!Y308</f>
        <v>0</v>
      </c>
      <c r="Z148" s="322">
        <f>(100%-$D148)*'GENERADO PS locales'!Z308</f>
        <v>0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20"/>
      <c r="E149" s="278"/>
      <c r="F149" s="263"/>
      <c r="G149" s="322">
        <f>(100%-$D149)*'GENERADO PS locales'!G309</f>
        <v>0</v>
      </c>
      <c r="H149" s="322">
        <f>(100%-$D149)*'GENERADO PS locales'!H309</f>
        <v>0</v>
      </c>
      <c r="I149" s="322">
        <f>(100%-$D149)*'GENERADO PS locales'!I309</f>
        <v>0</v>
      </c>
      <c r="J149" s="322">
        <f>(100%-$D149)*'GENERADO PS locales'!J309</f>
        <v>0</v>
      </c>
      <c r="K149" s="322">
        <f>(100%-$D149)*'GENERADO PS locales'!K309</f>
        <v>0</v>
      </c>
      <c r="L149" s="322">
        <f>(100%-$D149)*'GENERADO PS locales'!L309</f>
        <v>0</v>
      </c>
      <c r="M149" s="322">
        <f>(100%-$D149)*'GENERADO PS locales'!M309</f>
        <v>0</v>
      </c>
      <c r="N149" s="322">
        <f>(100%-$D149)*'GENERADO PS locales'!N309</f>
        <v>0</v>
      </c>
      <c r="O149" s="322">
        <f>(100%-$D149)*'GENERADO PS locales'!O309</f>
        <v>0</v>
      </c>
      <c r="P149" s="322">
        <f>(100%-$D149)*'GENERADO PS locales'!P309</f>
        <v>0</v>
      </c>
      <c r="Q149" s="322">
        <f>(100%-$D149)*'GENERADO PS locales'!Q309</f>
        <v>0</v>
      </c>
      <c r="R149" s="322">
        <f>(100%-$D149)*'GENERADO PS locales'!R309</f>
        <v>0</v>
      </c>
      <c r="S149" s="322">
        <f>(100%-$D149)*'GENERADO PS locales'!S309</f>
        <v>0</v>
      </c>
      <c r="T149" s="322">
        <f>(100%-$D149)*'GENERADO PS locales'!T309</f>
        <v>0</v>
      </c>
      <c r="U149" s="322">
        <f>(100%-$D149)*'GENERADO PS locales'!U309</f>
        <v>0</v>
      </c>
      <c r="V149" s="322">
        <f>(100%-$D149)*'GENERADO PS locales'!V309</f>
        <v>0</v>
      </c>
      <c r="W149" s="322">
        <f>(100%-$D149)*'GENERADO PS locales'!W309</f>
        <v>0</v>
      </c>
      <c r="X149" s="322">
        <f>(100%-$D149)*'GENERADO PS locales'!X309</f>
        <v>0</v>
      </c>
      <c r="Y149" s="322">
        <f>(100%-$D149)*'GENERADO PS locales'!Y309</f>
        <v>0</v>
      </c>
      <c r="Z149" s="322">
        <f>(100%-$D149)*'GENERADO PS locales'!Z309</f>
        <v>0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20"/>
      <c r="E150" s="278"/>
      <c r="F150" s="263"/>
      <c r="G150" s="322">
        <f>(100%-$D150)*'GENERADO PS locales'!G310</f>
        <v>0</v>
      </c>
      <c r="H150" s="322">
        <f>(100%-$D150)*'GENERADO PS locales'!H310</f>
        <v>0</v>
      </c>
      <c r="I150" s="322">
        <f>(100%-$D150)*'GENERADO PS locales'!I310</f>
        <v>0</v>
      </c>
      <c r="J150" s="322">
        <f>(100%-$D150)*'GENERADO PS locales'!J310</f>
        <v>0</v>
      </c>
      <c r="K150" s="322">
        <f>(100%-$D150)*'GENERADO PS locales'!K310</f>
        <v>0</v>
      </c>
      <c r="L150" s="322">
        <f>(100%-$D150)*'GENERADO PS locales'!L310</f>
        <v>0</v>
      </c>
      <c r="M150" s="322">
        <f>(100%-$D150)*'GENERADO PS locales'!M310</f>
        <v>0</v>
      </c>
      <c r="N150" s="322">
        <f>(100%-$D150)*'GENERADO PS locales'!N310</f>
        <v>0</v>
      </c>
      <c r="O150" s="322">
        <f>(100%-$D150)*'GENERADO PS locales'!O310</f>
        <v>0</v>
      </c>
      <c r="P150" s="322">
        <f>(100%-$D150)*'GENERADO PS locales'!P310</f>
        <v>0</v>
      </c>
      <c r="Q150" s="322">
        <f>(100%-$D150)*'GENERADO PS locales'!Q310</f>
        <v>0</v>
      </c>
      <c r="R150" s="322">
        <f>(100%-$D150)*'GENERADO PS locales'!R310</f>
        <v>0</v>
      </c>
      <c r="S150" s="322">
        <f>(100%-$D150)*'GENERADO PS locales'!S310</f>
        <v>0</v>
      </c>
      <c r="T150" s="322">
        <f>(100%-$D150)*'GENERADO PS locales'!T310</f>
        <v>0</v>
      </c>
      <c r="U150" s="322">
        <f>(100%-$D150)*'GENERADO PS locales'!U310</f>
        <v>0</v>
      </c>
      <c r="V150" s="322">
        <f>(100%-$D150)*'GENERADO PS locales'!V310</f>
        <v>0</v>
      </c>
      <c r="W150" s="322">
        <f>(100%-$D150)*'GENERADO PS locales'!W310</f>
        <v>0</v>
      </c>
      <c r="X150" s="322">
        <f>(100%-$D150)*'GENERADO PS locales'!X310</f>
        <v>0</v>
      </c>
      <c r="Y150" s="322">
        <f>(100%-$D150)*'GENERADO PS locales'!Y310</f>
        <v>0</v>
      </c>
      <c r="Z150" s="322">
        <f>(100%-$D150)*'GENERADO PS locales'!Z310</f>
        <v>0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20"/>
      <c r="E151" s="278"/>
      <c r="F151" s="263"/>
      <c r="G151" s="322">
        <f>(100%-$D151)*'GENERADO PS locales'!G311</f>
        <v>0</v>
      </c>
      <c r="H151" s="322">
        <f>(100%-$D151)*'GENERADO PS locales'!H311</f>
        <v>0</v>
      </c>
      <c r="I151" s="322">
        <f>(100%-$D151)*'GENERADO PS locales'!I311</f>
        <v>0</v>
      </c>
      <c r="J151" s="322">
        <f>(100%-$D151)*'GENERADO PS locales'!J311</f>
        <v>0</v>
      </c>
      <c r="K151" s="322">
        <f>(100%-$D151)*'GENERADO PS locales'!K311</f>
        <v>0</v>
      </c>
      <c r="L151" s="322">
        <f>(100%-$D151)*'GENERADO PS locales'!L311</f>
        <v>0</v>
      </c>
      <c r="M151" s="322">
        <f>(100%-$D151)*'GENERADO PS locales'!M311</f>
        <v>0</v>
      </c>
      <c r="N151" s="322">
        <f>(100%-$D151)*'GENERADO PS locales'!N311</f>
        <v>0</v>
      </c>
      <c r="O151" s="322">
        <f>(100%-$D151)*'GENERADO PS locales'!O311</f>
        <v>0</v>
      </c>
      <c r="P151" s="322">
        <f>(100%-$D151)*'GENERADO PS locales'!P311</f>
        <v>0</v>
      </c>
      <c r="Q151" s="322">
        <f>(100%-$D151)*'GENERADO PS locales'!Q311</f>
        <v>0</v>
      </c>
      <c r="R151" s="322">
        <f>(100%-$D151)*'GENERADO PS locales'!R311</f>
        <v>0</v>
      </c>
      <c r="S151" s="322">
        <f>(100%-$D151)*'GENERADO PS locales'!S311</f>
        <v>0</v>
      </c>
      <c r="T151" s="322">
        <f>(100%-$D151)*'GENERADO PS locales'!T311</f>
        <v>0</v>
      </c>
      <c r="U151" s="322">
        <f>(100%-$D151)*'GENERADO PS locales'!U311</f>
        <v>0</v>
      </c>
      <c r="V151" s="322">
        <f>(100%-$D151)*'GENERADO PS locales'!V311</f>
        <v>0</v>
      </c>
      <c r="W151" s="322">
        <f>(100%-$D151)*'GENERADO PS locales'!W311</f>
        <v>0</v>
      </c>
      <c r="X151" s="322">
        <f>(100%-$D151)*'GENERADO PS locales'!X311</f>
        <v>0</v>
      </c>
      <c r="Y151" s="322">
        <f>(100%-$D151)*'GENERADO PS locales'!Y311</f>
        <v>0</v>
      </c>
      <c r="Z151" s="322">
        <f>(100%-$D151)*'GENERADO PS locales'!Z311</f>
        <v>0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20"/>
      <c r="E152" s="278"/>
      <c r="F152" s="263"/>
      <c r="G152" s="322">
        <f>(100%-$D152)*'GENERADO PS locales'!G312</f>
        <v>0</v>
      </c>
      <c r="H152" s="322">
        <f>(100%-$D152)*'GENERADO PS locales'!H312</f>
        <v>0</v>
      </c>
      <c r="I152" s="322">
        <f>(100%-$D152)*'GENERADO PS locales'!I312</f>
        <v>0</v>
      </c>
      <c r="J152" s="322">
        <f>(100%-$D152)*'GENERADO PS locales'!J312</f>
        <v>0</v>
      </c>
      <c r="K152" s="322">
        <f>(100%-$D152)*'GENERADO PS locales'!K312</f>
        <v>0</v>
      </c>
      <c r="L152" s="322">
        <f>(100%-$D152)*'GENERADO PS locales'!L312</f>
        <v>0</v>
      </c>
      <c r="M152" s="322">
        <f>(100%-$D152)*'GENERADO PS locales'!M312</f>
        <v>0</v>
      </c>
      <c r="N152" s="322">
        <f>(100%-$D152)*'GENERADO PS locales'!N312</f>
        <v>0</v>
      </c>
      <c r="O152" s="322">
        <f>(100%-$D152)*'GENERADO PS locales'!O312</f>
        <v>0</v>
      </c>
      <c r="P152" s="322">
        <f>(100%-$D152)*'GENERADO PS locales'!P312</f>
        <v>0</v>
      </c>
      <c r="Q152" s="322">
        <f>(100%-$D152)*'GENERADO PS locales'!Q312</f>
        <v>0</v>
      </c>
      <c r="R152" s="322">
        <f>(100%-$D152)*'GENERADO PS locales'!R312</f>
        <v>0</v>
      </c>
      <c r="S152" s="322">
        <f>(100%-$D152)*'GENERADO PS locales'!S312</f>
        <v>0</v>
      </c>
      <c r="T152" s="322">
        <f>(100%-$D152)*'GENERADO PS locales'!T312</f>
        <v>0</v>
      </c>
      <c r="U152" s="322">
        <f>(100%-$D152)*'GENERADO PS locales'!U312</f>
        <v>0</v>
      </c>
      <c r="V152" s="322">
        <f>(100%-$D152)*'GENERADO PS locales'!V312</f>
        <v>0</v>
      </c>
      <c r="W152" s="322">
        <f>(100%-$D152)*'GENERADO PS locales'!W312</f>
        <v>0</v>
      </c>
      <c r="X152" s="322">
        <f>(100%-$D152)*'GENERADO PS locales'!X312</f>
        <v>0</v>
      </c>
      <c r="Y152" s="322">
        <f>(100%-$D152)*'GENERADO PS locales'!Y312</f>
        <v>0</v>
      </c>
      <c r="Z152" s="322">
        <f>(100%-$D152)*'GENERADO PS locales'!Z312</f>
        <v>0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20"/>
      <c r="E153" s="278"/>
      <c r="F153" s="263"/>
      <c r="G153" s="322">
        <f>(100%-$D153)*'GENERADO PS locales'!G313</f>
        <v>0</v>
      </c>
      <c r="H153" s="322">
        <f>(100%-$D153)*'GENERADO PS locales'!H313</f>
        <v>0</v>
      </c>
      <c r="I153" s="322">
        <f>(100%-$D153)*'GENERADO PS locales'!I313</f>
        <v>0</v>
      </c>
      <c r="J153" s="322">
        <f>(100%-$D153)*'GENERADO PS locales'!J313</f>
        <v>0</v>
      </c>
      <c r="K153" s="322">
        <f>(100%-$D153)*'GENERADO PS locales'!K313</f>
        <v>0</v>
      </c>
      <c r="L153" s="322">
        <f>(100%-$D153)*'GENERADO PS locales'!L313</f>
        <v>0</v>
      </c>
      <c r="M153" s="322">
        <f>(100%-$D153)*'GENERADO PS locales'!M313</f>
        <v>0</v>
      </c>
      <c r="N153" s="322">
        <f>(100%-$D153)*'GENERADO PS locales'!N313</f>
        <v>0</v>
      </c>
      <c r="O153" s="322">
        <f>(100%-$D153)*'GENERADO PS locales'!O313</f>
        <v>0</v>
      </c>
      <c r="P153" s="322">
        <f>(100%-$D153)*'GENERADO PS locales'!P313</f>
        <v>0</v>
      </c>
      <c r="Q153" s="322">
        <f>(100%-$D153)*'GENERADO PS locales'!Q313</f>
        <v>0</v>
      </c>
      <c r="R153" s="322">
        <f>(100%-$D153)*'GENERADO PS locales'!R313</f>
        <v>0</v>
      </c>
      <c r="S153" s="322">
        <f>(100%-$D153)*'GENERADO PS locales'!S313</f>
        <v>0</v>
      </c>
      <c r="T153" s="322">
        <f>(100%-$D153)*'GENERADO PS locales'!T313</f>
        <v>0</v>
      </c>
      <c r="U153" s="322">
        <f>(100%-$D153)*'GENERADO PS locales'!U313</f>
        <v>0</v>
      </c>
      <c r="V153" s="322">
        <f>(100%-$D153)*'GENERADO PS locales'!V313</f>
        <v>0</v>
      </c>
      <c r="W153" s="322">
        <f>(100%-$D153)*'GENERADO PS locales'!W313</f>
        <v>0</v>
      </c>
      <c r="X153" s="322">
        <f>(100%-$D153)*'GENERADO PS locales'!X313</f>
        <v>0</v>
      </c>
      <c r="Y153" s="322">
        <f>(100%-$D153)*'GENERADO PS locales'!Y313</f>
        <v>0</v>
      </c>
      <c r="Z153" s="322">
        <f>(100%-$D153)*'GENERADO PS locales'!Z313</f>
        <v>0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20"/>
      <c r="E154" s="278"/>
      <c r="F154" s="263"/>
      <c r="G154" s="322">
        <f>(100%-$D154)*'GENERADO PS locales'!G314</f>
        <v>0</v>
      </c>
      <c r="H154" s="322">
        <f>(100%-$D154)*'GENERADO PS locales'!H314</f>
        <v>0</v>
      </c>
      <c r="I154" s="322">
        <f>(100%-$D154)*'GENERADO PS locales'!I314</f>
        <v>0</v>
      </c>
      <c r="J154" s="322">
        <f>(100%-$D154)*'GENERADO PS locales'!J314</f>
        <v>0</v>
      </c>
      <c r="K154" s="322">
        <f>(100%-$D154)*'GENERADO PS locales'!K314</f>
        <v>0</v>
      </c>
      <c r="L154" s="322">
        <f>(100%-$D154)*'GENERADO PS locales'!L314</f>
        <v>0</v>
      </c>
      <c r="M154" s="322">
        <f>(100%-$D154)*'GENERADO PS locales'!M314</f>
        <v>0</v>
      </c>
      <c r="N154" s="322">
        <f>(100%-$D154)*'GENERADO PS locales'!N314</f>
        <v>0</v>
      </c>
      <c r="O154" s="322">
        <f>(100%-$D154)*'GENERADO PS locales'!O314</f>
        <v>0</v>
      </c>
      <c r="P154" s="322">
        <f>(100%-$D154)*'GENERADO PS locales'!P314</f>
        <v>0</v>
      </c>
      <c r="Q154" s="322">
        <f>(100%-$D154)*'GENERADO PS locales'!Q314</f>
        <v>0</v>
      </c>
      <c r="R154" s="322">
        <f>(100%-$D154)*'GENERADO PS locales'!R314</f>
        <v>0</v>
      </c>
      <c r="S154" s="322">
        <f>(100%-$D154)*'GENERADO PS locales'!S314</f>
        <v>0</v>
      </c>
      <c r="T154" s="322">
        <f>(100%-$D154)*'GENERADO PS locales'!T314</f>
        <v>0</v>
      </c>
      <c r="U154" s="322">
        <f>(100%-$D154)*'GENERADO PS locales'!U314</f>
        <v>0</v>
      </c>
      <c r="V154" s="322">
        <f>(100%-$D154)*'GENERADO PS locales'!V314</f>
        <v>0</v>
      </c>
      <c r="W154" s="322">
        <f>(100%-$D154)*'GENERADO PS locales'!W314</f>
        <v>0</v>
      </c>
      <c r="X154" s="322">
        <f>(100%-$D154)*'GENERADO PS locales'!X314</f>
        <v>0</v>
      </c>
      <c r="Y154" s="322">
        <f>(100%-$D154)*'GENERADO PS locales'!Y314</f>
        <v>0</v>
      </c>
      <c r="Z154" s="322">
        <f>(100%-$D154)*'GENERADO PS locales'!Z314</f>
        <v>0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20"/>
      <c r="E155" s="278"/>
      <c r="F155" s="263"/>
      <c r="G155" s="322">
        <f>(100%-$D155)*'GENERADO PS locales'!G315</f>
        <v>0</v>
      </c>
      <c r="H155" s="322">
        <f>(100%-$D155)*'GENERADO PS locales'!H315</f>
        <v>0</v>
      </c>
      <c r="I155" s="322">
        <f>(100%-$D155)*'GENERADO PS locales'!I315</f>
        <v>0</v>
      </c>
      <c r="J155" s="322">
        <f>(100%-$D155)*'GENERADO PS locales'!J315</f>
        <v>0</v>
      </c>
      <c r="K155" s="322">
        <f>(100%-$D155)*'GENERADO PS locales'!K315</f>
        <v>0</v>
      </c>
      <c r="L155" s="322">
        <f>(100%-$D155)*'GENERADO PS locales'!L315</f>
        <v>0</v>
      </c>
      <c r="M155" s="322">
        <f>(100%-$D155)*'GENERADO PS locales'!M315</f>
        <v>0</v>
      </c>
      <c r="N155" s="322">
        <f>(100%-$D155)*'GENERADO PS locales'!N315</f>
        <v>0</v>
      </c>
      <c r="O155" s="322">
        <f>(100%-$D155)*'GENERADO PS locales'!O315</f>
        <v>0</v>
      </c>
      <c r="P155" s="322">
        <f>(100%-$D155)*'GENERADO PS locales'!P315</f>
        <v>0</v>
      </c>
      <c r="Q155" s="322">
        <f>(100%-$D155)*'GENERADO PS locales'!Q315</f>
        <v>0</v>
      </c>
      <c r="R155" s="322">
        <f>(100%-$D155)*'GENERADO PS locales'!R315</f>
        <v>0</v>
      </c>
      <c r="S155" s="322">
        <f>(100%-$D155)*'GENERADO PS locales'!S315</f>
        <v>0</v>
      </c>
      <c r="T155" s="322">
        <f>(100%-$D155)*'GENERADO PS locales'!T315</f>
        <v>0</v>
      </c>
      <c r="U155" s="322">
        <f>(100%-$D155)*'GENERADO PS locales'!U315</f>
        <v>0</v>
      </c>
      <c r="V155" s="322">
        <f>(100%-$D155)*'GENERADO PS locales'!V315</f>
        <v>0</v>
      </c>
      <c r="W155" s="322">
        <f>(100%-$D155)*'GENERADO PS locales'!W315</f>
        <v>0</v>
      </c>
      <c r="X155" s="322">
        <f>(100%-$D155)*'GENERADO PS locales'!X315</f>
        <v>0</v>
      </c>
      <c r="Y155" s="322">
        <f>(100%-$D155)*'GENERADO PS locales'!Y315</f>
        <v>0</v>
      </c>
      <c r="Z155" s="322">
        <f>(100%-$D155)*'GENERADO PS locales'!Z315</f>
        <v>0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20"/>
      <c r="E156" s="278"/>
      <c r="F156" s="263"/>
      <c r="G156" s="322">
        <f>(100%-$D156)*'GENERADO PS locales'!G316</f>
        <v>0</v>
      </c>
      <c r="H156" s="322">
        <f>(100%-$D156)*'GENERADO PS locales'!H316</f>
        <v>0</v>
      </c>
      <c r="I156" s="322">
        <f>(100%-$D156)*'GENERADO PS locales'!I316</f>
        <v>0</v>
      </c>
      <c r="J156" s="322">
        <f>(100%-$D156)*'GENERADO PS locales'!J316</f>
        <v>0</v>
      </c>
      <c r="K156" s="322">
        <f>(100%-$D156)*'GENERADO PS locales'!K316</f>
        <v>0</v>
      </c>
      <c r="L156" s="322">
        <f>(100%-$D156)*'GENERADO PS locales'!L316</f>
        <v>0</v>
      </c>
      <c r="M156" s="322">
        <f>(100%-$D156)*'GENERADO PS locales'!M316</f>
        <v>0</v>
      </c>
      <c r="N156" s="322">
        <f>(100%-$D156)*'GENERADO PS locales'!N316</f>
        <v>0</v>
      </c>
      <c r="O156" s="322">
        <f>(100%-$D156)*'GENERADO PS locales'!O316</f>
        <v>0</v>
      </c>
      <c r="P156" s="322">
        <f>(100%-$D156)*'GENERADO PS locales'!P316</f>
        <v>0</v>
      </c>
      <c r="Q156" s="322">
        <f>(100%-$D156)*'GENERADO PS locales'!Q316</f>
        <v>0</v>
      </c>
      <c r="R156" s="322">
        <f>(100%-$D156)*'GENERADO PS locales'!R316</f>
        <v>0</v>
      </c>
      <c r="S156" s="322">
        <f>(100%-$D156)*'GENERADO PS locales'!S316</f>
        <v>0</v>
      </c>
      <c r="T156" s="322">
        <f>(100%-$D156)*'GENERADO PS locales'!T316</f>
        <v>0</v>
      </c>
      <c r="U156" s="322">
        <f>(100%-$D156)*'GENERADO PS locales'!U316</f>
        <v>0</v>
      </c>
      <c r="V156" s="322">
        <f>(100%-$D156)*'GENERADO PS locales'!V316</f>
        <v>0</v>
      </c>
      <c r="W156" s="322">
        <f>(100%-$D156)*'GENERADO PS locales'!W316</f>
        <v>0</v>
      </c>
      <c r="X156" s="322">
        <f>(100%-$D156)*'GENERADO PS locales'!X316</f>
        <v>0</v>
      </c>
      <c r="Y156" s="322">
        <f>(100%-$D156)*'GENERADO PS locales'!Y316</f>
        <v>0</v>
      </c>
      <c r="Z156" s="322">
        <f>(100%-$D156)*'GENERADO PS locales'!Z316</f>
        <v>0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20"/>
      <c r="E157" s="278"/>
      <c r="F157" s="263"/>
      <c r="G157" s="322">
        <f>(100%-$D157)*'GENERADO PS locales'!G317</f>
        <v>0</v>
      </c>
      <c r="H157" s="322">
        <f>(100%-$D157)*'GENERADO PS locales'!H317</f>
        <v>0</v>
      </c>
      <c r="I157" s="322">
        <f>(100%-$D157)*'GENERADO PS locales'!I317</f>
        <v>0</v>
      </c>
      <c r="J157" s="322">
        <f>(100%-$D157)*'GENERADO PS locales'!J317</f>
        <v>0</v>
      </c>
      <c r="K157" s="322">
        <f>(100%-$D157)*'GENERADO PS locales'!K317</f>
        <v>0</v>
      </c>
      <c r="L157" s="322">
        <f>(100%-$D157)*'GENERADO PS locales'!L317</f>
        <v>0</v>
      </c>
      <c r="M157" s="322">
        <f>(100%-$D157)*'GENERADO PS locales'!M317</f>
        <v>0</v>
      </c>
      <c r="N157" s="322">
        <f>(100%-$D157)*'GENERADO PS locales'!N317</f>
        <v>0</v>
      </c>
      <c r="O157" s="322">
        <f>(100%-$D157)*'GENERADO PS locales'!O317</f>
        <v>0</v>
      </c>
      <c r="P157" s="322">
        <f>(100%-$D157)*'GENERADO PS locales'!P317</f>
        <v>0</v>
      </c>
      <c r="Q157" s="322">
        <f>(100%-$D157)*'GENERADO PS locales'!Q317</f>
        <v>0</v>
      </c>
      <c r="R157" s="322">
        <f>(100%-$D157)*'GENERADO PS locales'!R317</f>
        <v>0</v>
      </c>
      <c r="S157" s="322">
        <f>(100%-$D157)*'GENERADO PS locales'!S317</f>
        <v>0</v>
      </c>
      <c r="T157" s="322">
        <f>(100%-$D157)*'GENERADO PS locales'!T317</f>
        <v>0</v>
      </c>
      <c r="U157" s="322">
        <f>(100%-$D157)*'GENERADO PS locales'!U317</f>
        <v>0</v>
      </c>
      <c r="V157" s="322">
        <f>(100%-$D157)*'GENERADO PS locales'!V317</f>
        <v>0</v>
      </c>
      <c r="W157" s="322">
        <f>(100%-$D157)*'GENERADO PS locales'!W317</f>
        <v>0</v>
      </c>
      <c r="X157" s="322">
        <f>(100%-$D157)*'GENERADO PS locales'!X317</f>
        <v>0</v>
      </c>
      <c r="Y157" s="322">
        <f>(100%-$D157)*'GENERADO PS locales'!Y317</f>
        <v>0</v>
      </c>
      <c r="Z157" s="322">
        <f>(100%-$D157)*'GENERADO PS locales'!Z317</f>
        <v>0</v>
      </c>
    </row>
    <row r="158" spans="1:26" ht="24.95" customHeight="1" thickBo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20"/>
      <c r="E158" s="278"/>
      <c r="F158" s="263"/>
      <c r="G158" s="322">
        <f>(100%-$D158)*'GENERADO PS locales'!G318</f>
        <v>0</v>
      </c>
      <c r="H158" s="322">
        <f>(100%-$D158)*'GENERADO PS locales'!H318</f>
        <v>0</v>
      </c>
      <c r="I158" s="322">
        <f>(100%-$D158)*'GENERADO PS locales'!I318</f>
        <v>0</v>
      </c>
      <c r="J158" s="322">
        <f>(100%-$D158)*'GENERADO PS locales'!J318</f>
        <v>0</v>
      </c>
      <c r="K158" s="322">
        <f>(100%-$D158)*'GENERADO PS locales'!K318</f>
        <v>0</v>
      </c>
      <c r="L158" s="322">
        <f>(100%-$D158)*'GENERADO PS locales'!L318</f>
        <v>0</v>
      </c>
      <c r="M158" s="322">
        <f>(100%-$D158)*'GENERADO PS locales'!M318</f>
        <v>0</v>
      </c>
      <c r="N158" s="322">
        <f>(100%-$D158)*'GENERADO PS locales'!N318</f>
        <v>0</v>
      </c>
      <c r="O158" s="322">
        <f>(100%-$D158)*'GENERADO PS locales'!O318</f>
        <v>0</v>
      </c>
      <c r="P158" s="322">
        <f>(100%-$D158)*'GENERADO PS locales'!P318</f>
        <v>0</v>
      </c>
      <c r="Q158" s="322">
        <f>(100%-$D158)*'GENERADO PS locales'!Q318</f>
        <v>0</v>
      </c>
      <c r="R158" s="322">
        <f>(100%-$D158)*'GENERADO PS locales'!R318</f>
        <v>0</v>
      </c>
      <c r="S158" s="322">
        <f>(100%-$D158)*'GENERADO PS locales'!S318</f>
        <v>0</v>
      </c>
      <c r="T158" s="322">
        <f>(100%-$D158)*'GENERADO PS locales'!T318</f>
        <v>0</v>
      </c>
      <c r="U158" s="322">
        <f>(100%-$D158)*'GENERADO PS locales'!U318</f>
        <v>0</v>
      </c>
      <c r="V158" s="322">
        <f>(100%-$D158)*'GENERADO PS locales'!V318</f>
        <v>0</v>
      </c>
      <c r="W158" s="322">
        <f>(100%-$D158)*'GENERADO PS locales'!W318</f>
        <v>0</v>
      </c>
      <c r="X158" s="322">
        <f>(100%-$D158)*'GENERADO PS locales'!X318</f>
        <v>0</v>
      </c>
      <c r="Y158" s="322">
        <f>(100%-$D158)*'GENERADO PS locales'!Y318</f>
        <v>0</v>
      </c>
      <c r="Z158" s="322">
        <f>(100%-$D158)*'GENERADO PS locales'!Z318</f>
        <v>0</v>
      </c>
    </row>
    <row r="159" spans="1:26">
      <c r="E159" s="109"/>
      <c r="F159" s="109"/>
      <c r="G159" s="109"/>
      <c r="H159" s="110"/>
      <c r="I159" s="110"/>
      <c r="J159" s="110"/>
      <c r="K159" s="110"/>
      <c r="L159" s="110"/>
      <c r="M159" s="110"/>
      <c r="N159" s="110"/>
      <c r="O159" s="110"/>
      <c r="P159" s="110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E160" s="295"/>
      <c r="F160" s="295"/>
      <c r="G160" s="295"/>
      <c r="H160" s="297"/>
      <c r="I160" s="297"/>
      <c r="J160" s="297"/>
      <c r="K160" s="297"/>
      <c r="L160" s="297"/>
      <c r="M160" s="297"/>
      <c r="N160" s="297"/>
      <c r="O160" s="297"/>
      <c r="P160" s="297"/>
      <c r="Q160" s="295"/>
      <c r="R160" s="295"/>
      <c r="S160" s="295"/>
      <c r="T160" s="295"/>
      <c r="U160" s="295"/>
      <c r="V160" s="295"/>
      <c r="W160" s="295"/>
      <c r="X160" s="295"/>
      <c r="Y160" s="295"/>
      <c r="Z160" s="295"/>
    </row>
    <row r="161" spans="1:26" ht="15.75" thickBot="1">
      <c r="C161" s="108"/>
      <c r="E161" s="112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</row>
    <row r="162" spans="1:26" ht="33.75" customHeight="1" thickBot="1">
      <c r="A162" s="41"/>
      <c r="E162" s="273"/>
      <c r="F162" s="964" t="s">
        <v>282</v>
      </c>
      <c r="G162" s="965"/>
      <c r="H162" s="965"/>
      <c r="I162" s="965"/>
      <c r="J162" s="965"/>
      <c r="K162" s="965"/>
      <c r="L162" s="965"/>
      <c r="M162" s="965"/>
      <c r="N162" s="965"/>
      <c r="O162" s="965"/>
      <c r="P162" s="965"/>
      <c r="Q162" s="965"/>
      <c r="R162" s="965"/>
      <c r="S162" s="965"/>
      <c r="T162" s="965"/>
      <c r="U162" s="965"/>
      <c r="V162" s="965"/>
      <c r="W162" s="965"/>
      <c r="X162" s="965"/>
      <c r="Y162" s="965"/>
      <c r="Z162" s="966"/>
    </row>
    <row r="163" spans="1:26" ht="48" customHeight="1" thickBot="1">
      <c r="A163" s="300"/>
      <c r="B163" s="301"/>
      <c r="C163" s="302"/>
      <c r="D163" s="301"/>
      <c r="E163" s="303"/>
      <c r="F163" s="304"/>
      <c r="G163" s="305"/>
      <c r="H163" s="305"/>
      <c r="I163" s="305"/>
      <c r="J163" s="305"/>
      <c r="K163" s="305"/>
      <c r="L163" s="305"/>
      <c r="M163" s="305"/>
      <c r="N163" s="305"/>
      <c r="O163" s="305"/>
      <c r="P163" s="305"/>
      <c r="Q163" s="305"/>
      <c r="R163" s="305"/>
      <c r="S163" s="305"/>
      <c r="T163" s="305"/>
      <c r="U163" s="305"/>
      <c r="V163" s="305"/>
      <c r="W163" s="305"/>
      <c r="X163" s="305"/>
      <c r="Y163" s="305"/>
      <c r="Z163" s="305"/>
    </row>
    <row r="164" spans="1:26" ht="15.75" thickBot="1">
      <c r="A164" s="306" t="s">
        <v>28</v>
      </c>
      <c r="B164" s="971" t="s">
        <v>22</v>
      </c>
      <c r="C164" s="971"/>
      <c r="D164" s="324"/>
      <c r="E164" s="308"/>
      <c r="F164" s="309"/>
      <c r="G164" s="310">
        <v>2026</v>
      </c>
      <c r="H164" s="310">
        <v>2027</v>
      </c>
      <c r="I164" s="310">
        <f t="shared" ref="I164:Z164" si="1">+H164+1</f>
        <v>2028</v>
      </c>
      <c r="J164" s="310">
        <f t="shared" si="1"/>
        <v>2029</v>
      </c>
      <c r="K164" s="310">
        <f t="shared" si="1"/>
        <v>2030</v>
      </c>
      <c r="L164" s="310">
        <f t="shared" si="1"/>
        <v>2031</v>
      </c>
      <c r="M164" s="310">
        <f t="shared" si="1"/>
        <v>2032</v>
      </c>
      <c r="N164" s="310">
        <f t="shared" si="1"/>
        <v>2033</v>
      </c>
      <c r="O164" s="310">
        <f t="shared" si="1"/>
        <v>2034</v>
      </c>
      <c r="P164" s="310">
        <f t="shared" si="1"/>
        <v>2035</v>
      </c>
      <c r="Q164" s="310">
        <f t="shared" si="1"/>
        <v>2036</v>
      </c>
      <c r="R164" s="310">
        <f t="shared" si="1"/>
        <v>2037</v>
      </c>
      <c r="S164" s="310">
        <f t="shared" si="1"/>
        <v>2038</v>
      </c>
      <c r="T164" s="310">
        <f t="shared" si="1"/>
        <v>2039</v>
      </c>
      <c r="U164" s="310">
        <f t="shared" si="1"/>
        <v>2040</v>
      </c>
      <c r="V164" s="310">
        <f t="shared" si="1"/>
        <v>2041</v>
      </c>
      <c r="W164" s="310">
        <f t="shared" si="1"/>
        <v>2042</v>
      </c>
      <c r="X164" s="310">
        <f t="shared" si="1"/>
        <v>2043</v>
      </c>
      <c r="Y164" s="310">
        <f t="shared" si="1"/>
        <v>2044</v>
      </c>
      <c r="Z164" s="310">
        <f t="shared" si="1"/>
        <v>2045</v>
      </c>
    </row>
    <row r="165" spans="1:26" ht="24.95" customHeight="1">
      <c r="A165" s="256" t="str">
        <f>+Pobl_adoptada!A5</f>
        <v>Almirante Brown</v>
      </c>
      <c r="B165" s="63">
        <f>+Pobl_adoptada!B5</f>
        <v>1</v>
      </c>
      <c r="C165" s="64" t="str">
        <f>+Pobl_adoptada!C5</f>
        <v>Almirante Brown</v>
      </c>
      <c r="D165" s="291"/>
      <c r="E165" s="277"/>
      <c r="F165" s="259"/>
      <c r="G165" s="321">
        <f>($D5)*'GENERADO PS locales'!G165</f>
        <v>0</v>
      </c>
      <c r="H165" s="321">
        <f>($D5)*'GENERADO PS locales'!H165</f>
        <v>0</v>
      </c>
      <c r="I165" s="321">
        <f>($D5)*'GENERADO PS locales'!I165</f>
        <v>0</v>
      </c>
      <c r="J165" s="321">
        <f>($D5)*'GENERADO PS locales'!J165</f>
        <v>0</v>
      </c>
      <c r="K165" s="321">
        <f>($D5)*'GENERADO PS locales'!K165</f>
        <v>0</v>
      </c>
      <c r="L165" s="321">
        <f>($D5)*'GENERADO PS locales'!L165</f>
        <v>0</v>
      </c>
      <c r="M165" s="321">
        <f>($D5)*'GENERADO PS locales'!M165</f>
        <v>0</v>
      </c>
      <c r="N165" s="321">
        <f>($D5)*'GENERADO PS locales'!N165</f>
        <v>0</v>
      </c>
      <c r="O165" s="321">
        <f>($D5)*'GENERADO PS locales'!O165</f>
        <v>0</v>
      </c>
      <c r="P165" s="321">
        <f>($D5)*'GENERADO PS locales'!P165</f>
        <v>0</v>
      </c>
      <c r="Q165" s="321">
        <f>($D5)*'GENERADO PS locales'!Q165</f>
        <v>0</v>
      </c>
      <c r="R165" s="321">
        <f>($D5)*'GENERADO PS locales'!R165</f>
        <v>0</v>
      </c>
      <c r="S165" s="321">
        <f>($D5)*'GENERADO PS locales'!S165</f>
        <v>0</v>
      </c>
      <c r="T165" s="321">
        <f>($D5)*'GENERADO PS locales'!T165</f>
        <v>0</v>
      </c>
      <c r="U165" s="321">
        <f>($D5)*'GENERADO PS locales'!U165</f>
        <v>0</v>
      </c>
      <c r="V165" s="321">
        <f>($D5)*'GENERADO PS locales'!V165</f>
        <v>0</v>
      </c>
      <c r="W165" s="321">
        <f>($D5)*'GENERADO PS locales'!W165</f>
        <v>0</v>
      </c>
      <c r="X165" s="321">
        <f>($D5)*'GENERADO PS locales'!X165</f>
        <v>0</v>
      </c>
      <c r="Y165" s="321">
        <f>($D5)*'GENERADO PS locales'!Y165</f>
        <v>0</v>
      </c>
      <c r="Z165" s="321">
        <f>($D5)*'GENERADO PS locales'!Z165</f>
        <v>0</v>
      </c>
    </row>
    <row r="166" spans="1:26" ht="24.95" customHeight="1">
      <c r="A166" s="354" t="str">
        <f>+Pobl_adoptada!A6</f>
        <v>Avellaneda</v>
      </c>
      <c r="B166" s="355">
        <f>+Pobl_adoptada!B6</f>
        <v>2</v>
      </c>
      <c r="C166" s="356" t="str">
        <f>+Pobl_adoptada!C6</f>
        <v>Avellaneda</v>
      </c>
      <c r="D166" s="291"/>
      <c r="E166" s="278"/>
      <c r="F166" s="263"/>
      <c r="G166" s="322">
        <f>($D6)*'GENERADO PS locales'!G166</f>
        <v>0</v>
      </c>
      <c r="H166" s="322">
        <f>($D6)*'GENERADO PS locales'!H166</f>
        <v>0</v>
      </c>
      <c r="I166" s="322">
        <f>($D6)*'GENERADO PS locales'!I166</f>
        <v>0</v>
      </c>
      <c r="J166" s="322">
        <f>($D6)*'GENERADO PS locales'!J166</f>
        <v>0</v>
      </c>
      <c r="K166" s="322">
        <f>($D6)*'GENERADO PS locales'!K166</f>
        <v>0</v>
      </c>
      <c r="L166" s="322">
        <f>($D6)*'GENERADO PS locales'!L166</f>
        <v>0</v>
      </c>
      <c r="M166" s="322">
        <f>($D6)*'GENERADO PS locales'!M166</f>
        <v>0</v>
      </c>
      <c r="N166" s="322">
        <f>($D6)*'GENERADO PS locales'!N166</f>
        <v>0</v>
      </c>
      <c r="O166" s="322">
        <f>($D6)*'GENERADO PS locales'!O166</f>
        <v>0</v>
      </c>
      <c r="P166" s="322">
        <f>($D6)*'GENERADO PS locales'!P166</f>
        <v>0</v>
      </c>
      <c r="Q166" s="322">
        <f>($D6)*'GENERADO PS locales'!Q166</f>
        <v>0</v>
      </c>
      <c r="R166" s="322">
        <f>($D6)*'GENERADO PS locales'!R166</f>
        <v>0</v>
      </c>
      <c r="S166" s="322">
        <f>($D6)*'GENERADO PS locales'!S166</f>
        <v>0</v>
      </c>
      <c r="T166" s="322">
        <f>($D6)*'GENERADO PS locales'!T166</f>
        <v>0</v>
      </c>
      <c r="U166" s="322">
        <f>($D6)*'GENERADO PS locales'!U166</f>
        <v>0</v>
      </c>
      <c r="V166" s="322">
        <f>($D6)*'GENERADO PS locales'!V166</f>
        <v>0</v>
      </c>
      <c r="W166" s="322">
        <f>($D6)*'GENERADO PS locales'!W166</f>
        <v>0</v>
      </c>
      <c r="X166" s="322">
        <f>($D6)*'GENERADO PS locales'!X166</f>
        <v>0</v>
      </c>
      <c r="Y166" s="322">
        <f>($D6)*'GENERADO PS locales'!Y166</f>
        <v>0</v>
      </c>
      <c r="Z166" s="322">
        <f>($D6)*'GENERADO PS locales'!Z166</f>
        <v>0</v>
      </c>
    </row>
    <row r="167" spans="1:26" ht="24.95" customHeight="1">
      <c r="A167" s="260" t="str">
        <f>+Pobl_adoptada!A7</f>
        <v>Berazategui</v>
      </c>
      <c r="B167" s="70">
        <f>+Pobl_adoptada!B7</f>
        <v>3</v>
      </c>
      <c r="C167" s="71" t="str">
        <f>+Pobl_adoptada!C7</f>
        <v>Berazategui</v>
      </c>
      <c r="D167" s="291"/>
      <c r="E167" s="278"/>
      <c r="F167" s="263"/>
      <c r="G167" s="322">
        <f>($D7)*'GENERADO PS locales'!G167</f>
        <v>0</v>
      </c>
      <c r="H167" s="322">
        <f>($D7)*'GENERADO PS locales'!H167</f>
        <v>0</v>
      </c>
      <c r="I167" s="322">
        <f>($D7)*'GENERADO PS locales'!I167</f>
        <v>0</v>
      </c>
      <c r="J167" s="322">
        <f>($D7)*'GENERADO PS locales'!J167</f>
        <v>0</v>
      </c>
      <c r="K167" s="322">
        <f>($D7)*'GENERADO PS locales'!K167</f>
        <v>0</v>
      </c>
      <c r="L167" s="322">
        <f>($D7)*'GENERADO PS locales'!L167</f>
        <v>0</v>
      </c>
      <c r="M167" s="322">
        <f>($D7)*'GENERADO PS locales'!M167</f>
        <v>0</v>
      </c>
      <c r="N167" s="322">
        <f>($D7)*'GENERADO PS locales'!N167</f>
        <v>0</v>
      </c>
      <c r="O167" s="322">
        <f>($D7)*'GENERADO PS locales'!O167</f>
        <v>0</v>
      </c>
      <c r="P167" s="322">
        <f>($D7)*'GENERADO PS locales'!P167</f>
        <v>0</v>
      </c>
      <c r="Q167" s="322">
        <f>($D7)*'GENERADO PS locales'!Q167</f>
        <v>0</v>
      </c>
      <c r="R167" s="322">
        <f>($D7)*'GENERADO PS locales'!R167</f>
        <v>0</v>
      </c>
      <c r="S167" s="322">
        <f>($D7)*'GENERADO PS locales'!S167</f>
        <v>0</v>
      </c>
      <c r="T167" s="322">
        <f>($D7)*'GENERADO PS locales'!T167</f>
        <v>0</v>
      </c>
      <c r="U167" s="322">
        <f>($D7)*'GENERADO PS locales'!U167</f>
        <v>0</v>
      </c>
      <c r="V167" s="322">
        <f>($D7)*'GENERADO PS locales'!V167</f>
        <v>0</v>
      </c>
      <c r="W167" s="322">
        <f>($D7)*'GENERADO PS locales'!W167</f>
        <v>0</v>
      </c>
      <c r="X167" s="322">
        <f>($D7)*'GENERADO PS locales'!X167</f>
        <v>0</v>
      </c>
      <c r="Y167" s="322">
        <f>($D7)*'GENERADO PS locales'!Y167</f>
        <v>0</v>
      </c>
      <c r="Z167" s="322">
        <f>($D7)*'GENERADO PS locales'!Z167</f>
        <v>0</v>
      </c>
    </row>
    <row r="168" spans="1:26" ht="24.95" customHeight="1">
      <c r="A168" s="260" t="str">
        <f>+Pobl_adoptada!A8</f>
        <v>Esteban Echeverría</v>
      </c>
      <c r="B168" s="70">
        <f>+Pobl_adoptada!B8</f>
        <v>4</v>
      </c>
      <c r="C168" s="71" t="str">
        <f>+Pobl_adoptada!C8</f>
        <v>Esteban Echeverría</v>
      </c>
      <c r="D168" s="291"/>
      <c r="E168" s="278"/>
      <c r="F168" s="263"/>
      <c r="G168" s="322">
        <f>($D8)*'GENERADO PS locales'!G168</f>
        <v>0</v>
      </c>
      <c r="H168" s="322">
        <f>($D8)*'GENERADO PS locales'!H168</f>
        <v>0</v>
      </c>
      <c r="I168" s="322">
        <f>($D8)*'GENERADO PS locales'!I168</f>
        <v>0</v>
      </c>
      <c r="J168" s="322">
        <f>($D8)*'GENERADO PS locales'!J168</f>
        <v>0</v>
      </c>
      <c r="K168" s="322">
        <f>($D8)*'GENERADO PS locales'!K168</f>
        <v>0</v>
      </c>
      <c r="L168" s="322">
        <f>($D8)*'GENERADO PS locales'!L168</f>
        <v>0</v>
      </c>
      <c r="M168" s="322">
        <f>($D8)*'GENERADO PS locales'!M168</f>
        <v>0</v>
      </c>
      <c r="N168" s="322">
        <f>($D8)*'GENERADO PS locales'!N168</f>
        <v>0</v>
      </c>
      <c r="O168" s="322">
        <f>($D8)*'GENERADO PS locales'!O168</f>
        <v>0</v>
      </c>
      <c r="P168" s="322">
        <f>($D8)*'GENERADO PS locales'!P168</f>
        <v>0</v>
      </c>
      <c r="Q168" s="322">
        <f>($D8)*'GENERADO PS locales'!Q168</f>
        <v>0</v>
      </c>
      <c r="R168" s="322">
        <f>($D8)*'GENERADO PS locales'!R168</f>
        <v>0</v>
      </c>
      <c r="S168" s="322">
        <f>($D8)*'GENERADO PS locales'!S168</f>
        <v>0</v>
      </c>
      <c r="T168" s="322">
        <f>($D8)*'GENERADO PS locales'!T168</f>
        <v>0</v>
      </c>
      <c r="U168" s="322">
        <f>($D8)*'GENERADO PS locales'!U168</f>
        <v>0</v>
      </c>
      <c r="V168" s="322">
        <f>($D8)*'GENERADO PS locales'!V168</f>
        <v>0</v>
      </c>
      <c r="W168" s="322">
        <f>($D8)*'GENERADO PS locales'!W168</f>
        <v>0</v>
      </c>
      <c r="X168" s="322">
        <f>($D8)*'GENERADO PS locales'!X168</f>
        <v>0</v>
      </c>
      <c r="Y168" s="322">
        <f>($D8)*'GENERADO PS locales'!Y168</f>
        <v>0</v>
      </c>
      <c r="Z168" s="322">
        <f>($D8)*'GENERADO PS locales'!Z168</f>
        <v>0</v>
      </c>
    </row>
    <row r="169" spans="1:26" ht="24.95" customHeight="1">
      <c r="A169" s="260" t="str">
        <f>+Pobl_adoptada!A9</f>
        <v>Ezeiza</v>
      </c>
      <c r="B169" s="70">
        <f>+Pobl_adoptada!B9</f>
        <v>5</v>
      </c>
      <c r="C169" s="71" t="str">
        <f>+Pobl_adoptada!C9</f>
        <v>Ezeiza</v>
      </c>
      <c r="D169" s="291"/>
      <c r="E169" s="278"/>
      <c r="F169" s="263"/>
      <c r="G169" s="322">
        <f>($D9)*'GENERADO PS locales'!G169</f>
        <v>0</v>
      </c>
      <c r="H169" s="322">
        <f>($D9)*'GENERADO PS locales'!H169</f>
        <v>0</v>
      </c>
      <c r="I169" s="322">
        <f>($D9)*'GENERADO PS locales'!I169</f>
        <v>0</v>
      </c>
      <c r="J169" s="322">
        <f>($D9)*'GENERADO PS locales'!J169</f>
        <v>0</v>
      </c>
      <c r="K169" s="322">
        <f>($D9)*'GENERADO PS locales'!K169</f>
        <v>0</v>
      </c>
      <c r="L169" s="322">
        <f>($D9)*'GENERADO PS locales'!L169</f>
        <v>0</v>
      </c>
      <c r="M169" s="322">
        <f>($D9)*'GENERADO PS locales'!M169</f>
        <v>0</v>
      </c>
      <c r="N169" s="322">
        <f>($D9)*'GENERADO PS locales'!N169</f>
        <v>0</v>
      </c>
      <c r="O169" s="322">
        <f>($D9)*'GENERADO PS locales'!O169</f>
        <v>0</v>
      </c>
      <c r="P169" s="322">
        <f>($D9)*'GENERADO PS locales'!P169</f>
        <v>0</v>
      </c>
      <c r="Q169" s="322">
        <f>($D9)*'GENERADO PS locales'!Q169</f>
        <v>0</v>
      </c>
      <c r="R169" s="322">
        <f>($D9)*'GENERADO PS locales'!R169</f>
        <v>0</v>
      </c>
      <c r="S169" s="322">
        <f>($D9)*'GENERADO PS locales'!S169</f>
        <v>0</v>
      </c>
      <c r="T169" s="322">
        <f>($D9)*'GENERADO PS locales'!T169</f>
        <v>0</v>
      </c>
      <c r="U169" s="322">
        <f>($D9)*'GENERADO PS locales'!U169</f>
        <v>0</v>
      </c>
      <c r="V169" s="322">
        <f>($D9)*'GENERADO PS locales'!V169</f>
        <v>0</v>
      </c>
      <c r="W169" s="322">
        <f>($D9)*'GENERADO PS locales'!W169</f>
        <v>0</v>
      </c>
      <c r="X169" s="322">
        <f>($D9)*'GENERADO PS locales'!X169</f>
        <v>0</v>
      </c>
      <c r="Y169" s="322">
        <f>($D9)*'GENERADO PS locales'!Y169</f>
        <v>0</v>
      </c>
      <c r="Z169" s="322">
        <f>($D9)*'GENERADO PS locales'!Z169</f>
        <v>0</v>
      </c>
    </row>
    <row r="170" spans="1:26" ht="24.95" customHeight="1">
      <c r="A170" s="260" t="str">
        <f>+Pobl_adoptada!A10</f>
        <v>Florencio Varela</v>
      </c>
      <c r="B170" s="70">
        <f>+Pobl_adoptada!B10</f>
        <v>6</v>
      </c>
      <c r="C170" s="71" t="str">
        <f>+Pobl_adoptada!C10</f>
        <v>Florencio Varela</v>
      </c>
      <c r="D170" s="291"/>
      <c r="E170" s="278"/>
      <c r="F170" s="263"/>
      <c r="G170" s="322">
        <f>($D10)*'GENERADO PS locales'!G170</f>
        <v>0</v>
      </c>
      <c r="H170" s="322">
        <f>($D10)*'GENERADO PS locales'!H170</f>
        <v>0</v>
      </c>
      <c r="I170" s="322">
        <f>($D10)*'GENERADO PS locales'!I170</f>
        <v>0</v>
      </c>
      <c r="J170" s="322">
        <f>($D10)*'GENERADO PS locales'!J170</f>
        <v>0</v>
      </c>
      <c r="K170" s="322">
        <f>($D10)*'GENERADO PS locales'!K170</f>
        <v>0</v>
      </c>
      <c r="L170" s="322">
        <f>($D10)*'GENERADO PS locales'!L170</f>
        <v>0</v>
      </c>
      <c r="M170" s="322">
        <f>($D10)*'GENERADO PS locales'!M170</f>
        <v>0</v>
      </c>
      <c r="N170" s="322">
        <f>($D10)*'GENERADO PS locales'!N170</f>
        <v>0</v>
      </c>
      <c r="O170" s="322">
        <f>($D10)*'GENERADO PS locales'!O170</f>
        <v>0</v>
      </c>
      <c r="P170" s="322">
        <f>($D10)*'GENERADO PS locales'!P170</f>
        <v>0</v>
      </c>
      <c r="Q170" s="322">
        <f>($D10)*'GENERADO PS locales'!Q170</f>
        <v>0</v>
      </c>
      <c r="R170" s="322">
        <f>($D10)*'GENERADO PS locales'!R170</f>
        <v>0</v>
      </c>
      <c r="S170" s="322">
        <f>($D10)*'GENERADO PS locales'!S170</f>
        <v>0</v>
      </c>
      <c r="T170" s="322">
        <f>($D10)*'GENERADO PS locales'!T170</f>
        <v>0</v>
      </c>
      <c r="U170" s="322">
        <f>($D10)*'GENERADO PS locales'!U170</f>
        <v>0</v>
      </c>
      <c r="V170" s="322">
        <f>($D10)*'GENERADO PS locales'!V170</f>
        <v>0</v>
      </c>
      <c r="W170" s="322">
        <f>($D10)*'GENERADO PS locales'!W170</f>
        <v>0</v>
      </c>
      <c r="X170" s="322">
        <f>($D10)*'GENERADO PS locales'!X170</f>
        <v>0</v>
      </c>
      <c r="Y170" s="322">
        <f>($D10)*'GENERADO PS locales'!Y170</f>
        <v>0</v>
      </c>
      <c r="Z170" s="322">
        <f>($D10)*'GENERADO PS locales'!Z170</f>
        <v>0</v>
      </c>
    </row>
    <row r="171" spans="1:26" ht="24.95" customHeight="1">
      <c r="A171" s="260" t="str">
        <f>+Pobl_adoptada!A11</f>
        <v>General San Martín</v>
      </c>
      <c r="B171" s="70">
        <f>+Pobl_adoptada!B11</f>
        <v>7</v>
      </c>
      <c r="C171" s="71" t="str">
        <f>+Pobl_adoptada!C11</f>
        <v>General San Martín</v>
      </c>
      <c r="D171" s="291"/>
      <c r="E171" s="278"/>
      <c r="F171" s="263"/>
      <c r="G171" s="322">
        <f>($D11)*'GENERADO PS locales'!G171</f>
        <v>0</v>
      </c>
      <c r="H171" s="322">
        <f>($D11)*'GENERADO PS locales'!H171</f>
        <v>0</v>
      </c>
      <c r="I171" s="322">
        <f>($D11)*'GENERADO PS locales'!I171</f>
        <v>0</v>
      </c>
      <c r="J171" s="322">
        <f>($D11)*'GENERADO PS locales'!J171</f>
        <v>0</v>
      </c>
      <c r="K171" s="322">
        <f>($D11)*'GENERADO PS locales'!K171</f>
        <v>0</v>
      </c>
      <c r="L171" s="322">
        <f>($D11)*'GENERADO PS locales'!L171</f>
        <v>0</v>
      </c>
      <c r="M171" s="322">
        <f>($D11)*'GENERADO PS locales'!M171</f>
        <v>0</v>
      </c>
      <c r="N171" s="322">
        <f>($D11)*'GENERADO PS locales'!N171</f>
        <v>0</v>
      </c>
      <c r="O171" s="322">
        <f>($D11)*'GENERADO PS locales'!O171</f>
        <v>0</v>
      </c>
      <c r="P171" s="322">
        <f>($D11)*'GENERADO PS locales'!P171</f>
        <v>0</v>
      </c>
      <c r="Q171" s="322">
        <f>($D11)*'GENERADO PS locales'!Q171</f>
        <v>0</v>
      </c>
      <c r="R171" s="322">
        <f>($D11)*'GENERADO PS locales'!R171</f>
        <v>0</v>
      </c>
      <c r="S171" s="322">
        <f>($D11)*'GENERADO PS locales'!S171</f>
        <v>0</v>
      </c>
      <c r="T171" s="322">
        <f>($D11)*'GENERADO PS locales'!T171</f>
        <v>0</v>
      </c>
      <c r="U171" s="322">
        <f>($D11)*'GENERADO PS locales'!U171</f>
        <v>0</v>
      </c>
      <c r="V171" s="322">
        <f>($D11)*'GENERADO PS locales'!V171</f>
        <v>0</v>
      </c>
      <c r="W171" s="322">
        <f>($D11)*'GENERADO PS locales'!W171</f>
        <v>0</v>
      </c>
      <c r="X171" s="322">
        <f>($D11)*'GENERADO PS locales'!X171</f>
        <v>0</v>
      </c>
      <c r="Y171" s="322">
        <f>($D11)*'GENERADO PS locales'!Y171</f>
        <v>0</v>
      </c>
      <c r="Z171" s="322">
        <f>($D11)*'GENERADO PS locales'!Z171</f>
        <v>0</v>
      </c>
    </row>
    <row r="172" spans="1:26" ht="24.95" customHeight="1">
      <c r="A172" s="260" t="str">
        <f>+Pobl_adoptada!A12</f>
        <v>Hurlingham</v>
      </c>
      <c r="B172" s="70">
        <f>+Pobl_adoptada!B12</f>
        <v>8</v>
      </c>
      <c r="C172" s="71" t="str">
        <f>+Pobl_adoptada!C12</f>
        <v>Hurlingham</v>
      </c>
      <c r="D172" s="291"/>
      <c r="E172" s="278"/>
      <c r="F172" s="263"/>
      <c r="G172" s="322">
        <f>($D12)*'GENERADO PS locales'!G172</f>
        <v>0</v>
      </c>
      <c r="H172" s="322">
        <f>($D12)*'GENERADO PS locales'!H172</f>
        <v>0</v>
      </c>
      <c r="I172" s="322">
        <f>($D12)*'GENERADO PS locales'!I172</f>
        <v>0</v>
      </c>
      <c r="J172" s="322">
        <f>($D12)*'GENERADO PS locales'!J172</f>
        <v>0</v>
      </c>
      <c r="K172" s="322">
        <f>($D12)*'GENERADO PS locales'!K172</f>
        <v>0</v>
      </c>
      <c r="L172" s="322">
        <f>($D12)*'GENERADO PS locales'!L172</f>
        <v>0</v>
      </c>
      <c r="M172" s="322">
        <f>($D12)*'GENERADO PS locales'!M172</f>
        <v>0</v>
      </c>
      <c r="N172" s="322">
        <f>($D12)*'GENERADO PS locales'!N172</f>
        <v>0</v>
      </c>
      <c r="O172" s="322">
        <f>($D12)*'GENERADO PS locales'!O172</f>
        <v>0</v>
      </c>
      <c r="P172" s="322">
        <f>($D12)*'GENERADO PS locales'!P172</f>
        <v>0</v>
      </c>
      <c r="Q172" s="322">
        <f>($D12)*'GENERADO PS locales'!Q172</f>
        <v>0</v>
      </c>
      <c r="R172" s="322">
        <f>($D12)*'GENERADO PS locales'!R172</f>
        <v>0</v>
      </c>
      <c r="S172" s="322">
        <f>($D12)*'GENERADO PS locales'!S172</f>
        <v>0</v>
      </c>
      <c r="T172" s="322">
        <f>($D12)*'GENERADO PS locales'!T172</f>
        <v>0</v>
      </c>
      <c r="U172" s="322">
        <f>($D12)*'GENERADO PS locales'!U172</f>
        <v>0</v>
      </c>
      <c r="V172" s="322">
        <f>($D12)*'GENERADO PS locales'!V172</f>
        <v>0</v>
      </c>
      <c r="W172" s="322">
        <f>($D12)*'GENERADO PS locales'!W172</f>
        <v>0</v>
      </c>
      <c r="X172" s="322">
        <f>($D12)*'GENERADO PS locales'!X172</f>
        <v>0</v>
      </c>
      <c r="Y172" s="322">
        <f>($D12)*'GENERADO PS locales'!Y172</f>
        <v>0</v>
      </c>
      <c r="Z172" s="322">
        <f>($D12)*'GENERADO PS locales'!Z172</f>
        <v>0</v>
      </c>
    </row>
    <row r="173" spans="1:26" ht="24.95" customHeight="1">
      <c r="A173" s="260" t="str">
        <f>+Pobl_adoptada!A13</f>
        <v>Ituzaingó</v>
      </c>
      <c r="B173" s="70">
        <f>+Pobl_adoptada!B13</f>
        <v>9</v>
      </c>
      <c r="C173" s="71" t="str">
        <f>+Pobl_adoptada!C13</f>
        <v>Ituzaingó</v>
      </c>
      <c r="D173" s="291"/>
      <c r="E173" s="278"/>
      <c r="F173" s="263"/>
      <c r="G173" s="322">
        <f>($D13)*'GENERADO PS locales'!G173</f>
        <v>0</v>
      </c>
      <c r="H173" s="322">
        <f>($D13)*'GENERADO PS locales'!H173</f>
        <v>0</v>
      </c>
      <c r="I173" s="322">
        <f>($D13)*'GENERADO PS locales'!I173</f>
        <v>0</v>
      </c>
      <c r="J173" s="322">
        <f>($D13)*'GENERADO PS locales'!J173</f>
        <v>0</v>
      </c>
      <c r="K173" s="322">
        <f>($D13)*'GENERADO PS locales'!K173</f>
        <v>0</v>
      </c>
      <c r="L173" s="322">
        <f>($D13)*'GENERADO PS locales'!L173</f>
        <v>0</v>
      </c>
      <c r="M173" s="322">
        <f>($D13)*'GENERADO PS locales'!M173</f>
        <v>0</v>
      </c>
      <c r="N173" s="322">
        <f>($D13)*'GENERADO PS locales'!N173</f>
        <v>0</v>
      </c>
      <c r="O173" s="322">
        <f>($D13)*'GENERADO PS locales'!O173</f>
        <v>0</v>
      </c>
      <c r="P173" s="322">
        <f>($D13)*'GENERADO PS locales'!P173</f>
        <v>0</v>
      </c>
      <c r="Q173" s="322">
        <f>($D13)*'GENERADO PS locales'!Q173</f>
        <v>0</v>
      </c>
      <c r="R173" s="322">
        <f>($D13)*'GENERADO PS locales'!R173</f>
        <v>0</v>
      </c>
      <c r="S173" s="322">
        <f>($D13)*'GENERADO PS locales'!S173</f>
        <v>0</v>
      </c>
      <c r="T173" s="322">
        <f>($D13)*'GENERADO PS locales'!T173</f>
        <v>0</v>
      </c>
      <c r="U173" s="322">
        <f>($D13)*'GENERADO PS locales'!U173</f>
        <v>0</v>
      </c>
      <c r="V173" s="322">
        <f>($D13)*'GENERADO PS locales'!V173</f>
        <v>0</v>
      </c>
      <c r="W173" s="322">
        <f>($D13)*'GENERADO PS locales'!W173</f>
        <v>0</v>
      </c>
      <c r="X173" s="322">
        <f>($D13)*'GENERADO PS locales'!X173</f>
        <v>0</v>
      </c>
      <c r="Y173" s="322">
        <f>($D13)*'GENERADO PS locales'!Y173</f>
        <v>0</v>
      </c>
      <c r="Z173" s="322">
        <f>($D13)*'GENERADO PS locales'!Z173</f>
        <v>0</v>
      </c>
    </row>
    <row r="174" spans="1:26" ht="24.95" customHeight="1">
      <c r="A174" s="260" t="str">
        <f>+Pobl_adoptada!A14</f>
        <v>José C. Paz</v>
      </c>
      <c r="B174" s="70">
        <f>+Pobl_adoptada!B14</f>
        <v>10</v>
      </c>
      <c r="C174" s="71" t="str">
        <f>+Pobl_adoptada!C14</f>
        <v>José C. Paz</v>
      </c>
      <c r="D174" s="291"/>
      <c r="E174" s="278"/>
      <c r="F174" s="263"/>
      <c r="G174" s="322">
        <f>($D14)*'GENERADO PS locales'!G174</f>
        <v>0</v>
      </c>
      <c r="H174" s="322">
        <f>($D14)*'GENERADO PS locales'!H174</f>
        <v>0</v>
      </c>
      <c r="I174" s="322">
        <f>($D14)*'GENERADO PS locales'!I174</f>
        <v>0</v>
      </c>
      <c r="J174" s="322">
        <f>($D14)*'GENERADO PS locales'!J174</f>
        <v>0</v>
      </c>
      <c r="K174" s="322">
        <f>($D14)*'GENERADO PS locales'!K174</f>
        <v>0</v>
      </c>
      <c r="L174" s="322">
        <f>($D14)*'GENERADO PS locales'!L174</f>
        <v>0</v>
      </c>
      <c r="M174" s="322">
        <f>($D14)*'GENERADO PS locales'!M174</f>
        <v>0</v>
      </c>
      <c r="N174" s="322">
        <f>($D14)*'GENERADO PS locales'!N174</f>
        <v>0</v>
      </c>
      <c r="O174" s="322">
        <f>($D14)*'GENERADO PS locales'!O174</f>
        <v>0</v>
      </c>
      <c r="P174" s="322">
        <f>($D14)*'GENERADO PS locales'!P174</f>
        <v>0</v>
      </c>
      <c r="Q174" s="322">
        <f>($D14)*'GENERADO PS locales'!Q174</f>
        <v>0</v>
      </c>
      <c r="R174" s="322">
        <f>($D14)*'GENERADO PS locales'!R174</f>
        <v>0</v>
      </c>
      <c r="S174" s="322">
        <f>($D14)*'GENERADO PS locales'!S174</f>
        <v>0</v>
      </c>
      <c r="T174" s="322">
        <f>($D14)*'GENERADO PS locales'!T174</f>
        <v>0</v>
      </c>
      <c r="U174" s="322">
        <f>($D14)*'GENERADO PS locales'!U174</f>
        <v>0</v>
      </c>
      <c r="V174" s="322">
        <f>($D14)*'GENERADO PS locales'!V174</f>
        <v>0</v>
      </c>
      <c r="W174" s="322">
        <f>($D14)*'GENERADO PS locales'!W174</f>
        <v>0</v>
      </c>
      <c r="X174" s="322">
        <f>($D14)*'GENERADO PS locales'!X174</f>
        <v>0</v>
      </c>
      <c r="Y174" s="322">
        <f>($D14)*'GENERADO PS locales'!Y174</f>
        <v>0</v>
      </c>
      <c r="Z174" s="322">
        <f>($D14)*'GENERADO PS locales'!Z174</f>
        <v>0</v>
      </c>
    </row>
    <row r="175" spans="1:26" ht="24.95" customHeight="1">
      <c r="A175" s="260" t="str">
        <f>+Pobl_adoptada!A15</f>
        <v>La Matanza</v>
      </c>
      <c r="B175" s="70">
        <f>+Pobl_adoptada!B15</f>
        <v>11</v>
      </c>
      <c r="C175" s="71" t="str">
        <f>+Pobl_adoptada!C15</f>
        <v>La Matanza</v>
      </c>
      <c r="D175" s="291"/>
      <c r="E175" s="278"/>
      <c r="F175" s="263"/>
      <c r="G175" s="322">
        <f>($D15)*'GENERADO PS locales'!G175</f>
        <v>0</v>
      </c>
      <c r="H175" s="322">
        <f>($D15)*'GENERADO PS locales'!H175</f>
        <v>0</v>
      </c>
      <c r="I175" s="322">
        <f>($D15)*'GENERADO PS locales'!I175</f>
        <v>0</v>
      </c>
      <c r="J175" s="322">
        <f>($D15)*'GENERADO PS locales'!J175</f>
        <v>0</v>
      </c>
      <c r="K175" s="322">
        <f>($D15)*'GENERADO PS locales'!K175</f>
        <v>0</v>
      </c>
      <c r="L175" s="322">
        <f>($D15)*'GENERADO PS locales'!L175</f>
        <v>0</v>
      </c>
      <c r="M175" s="322">
        <f>($D15)*'GENERADO PS locales'!M175</f>
        <v>0</v>
      </c>
      <c r="N175" s="322">
        <f>($D15)*'GENERADO PS locales'!N175</f>
        <v>0</v>
      </c>
      <c r="O175" s="322">
        <f>($D15)*'GENERADO PS locales'!O175</f>
        <v>0</v>
      </c>
      <c r="P175" s="322">
        <f>($D15)*'GENERADO PS locales'!P175</f>
        <v>0</v>
      </c>
      <c r="Q175" s="322">
        <f>($D15)*'GENERADO PS locales'!Q175</f>
        <v>0</v>
      </c>
      <c r="R175" s="322">
        <f>($D15)*'GENERADO PS locales'!R175</f>
        <v>0</v>
      </c>
      <c r="S175" s="322">
        <f>($D15)*'GENERADO PS locales'!S175</f>
        <v>0</v>
      </c>
      <c r="T175" s="322">
        <f>($D15)*'GENERADO PS locales'!T175</f>
        <v>0</v>
      </c>
      <c r="U175" s="322">
        <f>($D15)*'GENERADO PS locales'!U175</f>
        <v>0</v>
      </c>
      <c r="V175" s="322">
        <f>($D15)*'GENERADO PS locales'!V175</f>
        <v>0</v>
      </c>
      <c r="W175" s="322">
        <f>($D15)*'GENERADO PS locales'!W175</f>
        <v>0</v>
      </c>
      <c r="X175" s="322">
        <f>($D15)*'GENERADO PS locales'!X175</f>
        <v>0</v>
      </c>
      <c r="Y175" s="322">
        <f>($D15)*'GENERADO PS locales'!Y175</f>
        <v>0</v>
      </c>
      <c r="Z175" s="322">
        <f>($D15)*'GENERADO PS locales'!Z175</f>
        <v>0</v>
      </c>
    </row>
    <row r="176" spans="1:26" ht="24.95" customHeight="1">
      <c r="A176" s="260" t="str">
        <f>+Pobl_adoptada!A16</f>
        <v>Lanús</v>
      </c>
      <c r="B176" s="70">
        <f>+Pobl_adoptada!B16</f>
        <v>12</v>
      </c>
      <c r="C176" s="71" t="str">
        <f>+Pobl_adoptada!C16</f>
        <v>Lanús</v>
      </c>
      <c r="D176" s="291"/>
      <c r="E176" s="278"/>
      <c r="F176" s="263"/>
      <c r="G176" s="322">
        <f>($D16)*'GENERADO PS locales'!G176</f>
        <v>0</v>
      </c>
      <c r="H176" s="322">
        <f>($D16)*'GENERADO PS locales'!H176</f>
        <v>0</v>
      </c>
      <c r="I176" s="322">
        <f>($D16)*'GENERADO PS locales'!I176</f>
        <v>0</v>
      </c>
      <c r="J176" s="322">
        <f>($D16)*'GENERADO PS locales'!J176</f>
        <v>0</v>
      </c>
      <c r="K176" s="322">
        <f>($D16)*'GENERADO PS locales'!K176</f>
        <v>0</v>
      </c>
      <c r="L176" s="322">
        <f>($D16)*'GENERADO PS locales'!L176</f>
        <v>0</v>
      </c>
      <c r="M176" s="322">
        <f>($D16)*'GENERADO PS locales'!M176</f>
        <v>0</v>
      </c>
      <c r="N176" s="322">
        <f>($D16)*'GENERADO PS locales'!N176</f>
        <v>0</v>
      </c>
      <c r="O176" s="322">
        <f>($D16)*'GENERADO PS locales'!O176</f>
        <v>0</v>
      </c>
      <c r="P176" s="322">
        <f>($D16)*'GENERADO PS locales'!P176</f>
        <v>0</v>
      </c>
      <c r="Q176" s="322">
        <f>($D16)*'GENERADO PS locales'!Q176</f>
        <v>0</v>
      </c>
      <c r="R176" s="322">
        <f>($D16)*'GENERADO PS locales'!R176</f>
        <v>0</v>
      </c>
      <c r="S176" s="322">
        <f>($D16)*'GENERADO PS locales'!S176</f>
        <v>0</v>
      </c>
      <c r="T176" s="322">
        <f>($D16)*'GENERADO PS locales'!T176</f>
        <v>0</v>
      </c>
      <c r="U176" s="322">
        <f>($D16)*'GENERADO PS locales'!U176</f>
        <v>0</v>
      </c>
      <c r="V176" s="322">
        <f>($D16)*'GENERADO PS locales'!V176</f>
        <v>0</v>
      </c>
      <c r="W176" s="322">
        <f>($D16)*'GENERADO PS locales'!W176</f>
        <v>0</v>
      </c>
      <c r="X176" s="322">
        <f>($D16)*'GENERADO PS locales'!X176</f>
        <v>0</v>
      </c>
      <c r="Y176" s="322">
        <f>($D16)*'GENERADO PS locales'!Y176</f>
        <v>0</v>
      </c>
      <c r="Z176" s="322">
        <f>($D16)*'GENERADO PS locales'!Z176</f>
        <v>0</v>
      </c>
    </row>
    <row r="177" spans="1:26" ht="24.95" customHeight="1">
      <c r="A177" s="260" t="str">
        <f>+Pobl_adoptada!A17</f>
        <v>Lomas de Zamora</v>
      </c>
      <c r="B177" s="70">
        <f>+Pobl_adoptada!B17</f>
        <v>13</v>
      </c>
      <c r="C177" s="71" t="str">
        <f>+Pobl_adoptada!C17</f>
        <v>Lomas de Zamora</v>
      </c>
      <c r="D177" s="291"/>
      <c r="E177" s="278"/>
      <c r="F177" s="263"/>
      <c r="G177" s="322">
        <f>($D17)*'GENERADO PS locales'!G177</f>
        <v>0</v>
      </c>
      <c r="H177" s="322">
        <f>($D17)*'GENERADO PS locales'!H177</f>
        <v>0</v>
      </c>
      <c r="I177" s="322">
        <f>($D17)*'GENERADO PS locales'!I177</f>
        <v>0</v>
      </c>
      <c r="J177" s="322">
        <f>($D17)*'GENERADO PS locales'!J177</f>
        <v>0</v>
      </c>
      <c r="K177" s="322">
        <f>($D17)*'GENERADO PS locales'!K177</f>
        <v>0</v>
      </c>
      <c r="L177" s="322">
        <f>($D17)*'GENERADO PS locales'!L177</f>
        <v>0</v>
      </c>
      <c r="M177" s="322">
        <f>($D17)*'GENERADO PS locales'!M177</f>
        <v>0</v>
      </c>
      <c r="N177" s="322">
        <f>($D17)*'GENERADO PS locales'!N177</f>
        <v>0</v>
      </c>
      <c r="O177" s="322">
        <f>($D17)*'GENERADO PS locales'!O177</f>
        <v>0</v>
      </c>
      <c r="P177" s="322">
        <f>($D17)*'GENERADO PS locales'!P177</f>
        <v>0</v>
      </c>
      <c r="Q177" s="322">
        <f>($D17)*'GENERADO PS locales'!Q177</f>
        <v>0</v>
      </c>
      <c r="R177" s="322">
        <f>($D17)*'GENERADO PS locales'!R177</f>
        <v>0</v>
      </c>
      <c r="S177" s="322">
        <f>($D17)*'GENERADO PS locales'!S177</f>
        <v>0</v>
      </c>
      <c r="T177" s="322">
        <f>($D17)*'GENERADO PS locales'!T177</f>
        <v>0</v>
      </c>
      <c r="U177" s="322">
        <f>($D17)*'GENERADO PS locales'!U177</f>
        <v>0</v>
      </c>
      <c r="V177" s="322">
        <f>($D17)*'GENERADO PS locales'!V177</f>
        <v>0</v>
      </c>
      <c r="W177" s="322">
        <f>($D17)*'GENERADO PS locales'!W177</f>
        <v>0</v>
      </c>
      <c r="X177" s="322">
        <f>($D17)*'GENERADO PS locales'!X177</f>
        <v>0</v>
      </c>
      <c r="Y177" s="322">
        <f>($D17)*'GENERADO PS locales'!Y177</f>
        <v>0</v>
      </c>
      <c r="Z177" s="322">
        <f>($D17)*'GENERADO PS locales'!Z177</f>
        <v>0</v>
      </c>
    </row>
    <row r="178" spans="1:26" ht="24.95" customHeight="1">
      <c r="A178" s="260" t="str">
        <f>+Pobl_adoptada!A18</f>
        <v>Malvinas Argentinas</v>
      </c>
      <c r="B178" s="70">
        <f>+Pobl_adoptada!B18</f>
        <v>14</v>
      </c>
      <c r="C178" s="71" t="str">
        <f>+Pobl_adoptada!C18</f>
        <v>Malvinas Argentinas</v>
      </c>
      <c r="D178" s="291"/>
      <c r="E178" s="278"/>
      <c r="F178" s="263"/>
      <c r="G178" s="322">
        <f>($D18)*'GENERADO PS locales'!G178</f>
        <v>0</v>
      </c>
      <c r="H178" s="322">
        <f>($D18)*'GENERADO PS locales'!H178</f>
        <v>0</v>
      </c>
      <c r="I178" s="322">
        <f>($D18)*'GENERADO PS locales'!I178</f>
        <v>0</v>
      </c>
      <c r="J178" s="322">
        <f>($D18)*'GENERADO PS locales'!J178</f>
        <v>0</v>
      </c>
      <c r="K178" s="322">
        <f>($D18)*'GENERADO PS locales'!K178</f>
        <v>0</v>
      </c>
      <c r="L178" s="322">
        <f>($D18)*'GENERADO PS locales'!L178</f>
        <v>0</v>
      </c>
      <c r="M178" s="322">
        <f>($D18)*'GENERADO PS locales'!M178</f>
        <v>0</v>
      </c>
      <c r="N178" s="322">
        <f>($D18)*'GENERADO PS locales'!N178</f>
        <v>0</v>
      </c>
      <c r="O178" s="322">
        <f>($D18)*'GENERADO PS locales'!O178</f>
        <v>0</v>
      </c>
      <c r="P178" s="322">
        <f>($D18)*'GENERADO PS locales'!P178</f>
        <v>0</v>
      </c>
      <c r="Q178" s="322">
        <f>($D18)*'GENERADO PS locales'!Q178</f>
        <v>0</v>
      </c>
      <c r="R178" s="322">
        <f>($D18)*'GENERADO PS locales'!R178</f>
        <v>0</v>
      </c>
      <c r="S178" s="322">
        <f>($D18)*'GENERADO PS locales'!S178</f>
        <v>0</v>
      </c>
      <c r="T178" s="322">
        <f>($D18)*'GENERADO PS locales'!T178</f>
        <v>0</v>
      </c>
      <c r="U178" s="322">
        <f>($D18)*'GENERADO PS locales'!U178</f>
        <v>0</v>
      </c>
      <c r="V178" s="322">
        <f>($D18)*'GENERADO PS locales'!V178</f>
        <v>0</v>
      </c>
      <c r="W178" s="322">
        <f>($D18)*'GENERADO PS locales'!W178</f>
        <v>0</v>
      </c>
      <c r="X178" s="322">
        <f>($D18)*'GENERADO PS locales'!X178</f>
        <v>0</v>
      </c>
      <c r="Y178" s="322">
        <f>($D18)*'GENERADO PS locales'!Y178</f>
        <v>0</v>
      </c>
      <c r="Z178" s="322">
        <f>($D18)*'GENERADO PS locales'!Z178</f>
        <v>0</v>
      </c>
    </row>
    <row r="179" spans="1:26" ht="24.95" customHeight="1">
      <c r="A179" s="260" t="str">
        <f>+Pobl_adoptada!A19</f>
        <v>Merlo</v>
      </c>
      <c r="B179" s="70">
        <f>+Pobl_adoptada!B19</f>
        <v>15</v>
      </c>
      <c r="C179" s="71" t="str">
        <f>+Pobl_adoptada!C19</f>
        <v>Merlo</v>
      </c>
      <c r="D179" s="291"/>
      <c r="E179" s="278"/>
      <c r="F179" s="263"/>
      <c r="G179" s="322">
        <f>($D19)*'GENERADO PS locales'!G179</f>
        <v>0</v>
      </c>
      <c r="H179" s="322">
        <f>($D19)*'GENERADO PS locales'!H179</f>
        <v>0</v>
      </c>
      <c r="I179" s="322">
        <f>($D19)*'GENERADO PS locales'!I179</f>
        <v>0</v>
      </c>
      <c r="J179" s="322">
        <f>($D19)*'GENERADO PS locales'!J179</f>
        <v>0</v>
      </c>
      <c r="K179" s="322">
        <f>($D19)*'GENERADO PS locales'!K179</f>
        <v>0</v>
      </c>
      <c r="L179" s="322">
        <f>($D19)*'GENERADO PS locales'!L179</f>
        <v>0</v>
      </c>
      <c r="M179" s="322">
        <f>($D19)*'GENERADO PS locales'!M179</f>
        <v>0</v>
      </c>
      <c r="N179" s="322">
        <f>($D19)*'GENERADO PS locales'!N179</f>
        <v>0</v>
      </c>
      <c r="O179" s="322">
        <f>($D19)*'GENERADO PS locales'!O179</f>
        <v>0</v>
      </c>
      <c r="P179" s="322">
        <f>($D19)*'GENERADO PS locales'!P179</f>
        <v>0</v>
      </c>
      <c r="Q179" s="322">
        <f>($D19)*'GENERADO PS locales'!Q179</f>
        <v>0</v>
      </c>
      <c r="R179" s="322">
        <f>($D19)*'GENERADO PS locales'!R179</f>
        <v>0</v>
      </c>
      <c r="S179" s="322">
        <f>($D19)*'GENERADO PS locales'!S179</f>
        <v>0</v>
      </c>
      <c r="T179" s="322">
        <f>($D19)*'GENERADO PS locales'!T179</f>
        <v>0</v>
      </c>
      <c r="U179" s="322">
        <f>($D19)*'GENERADO PS locales'!U179</f>
        <v>0</v>
      </c>
      <c r="V179" s="322">
        <f>($D19)*'GENERADO PS locales'!V179</f>
        <v>0</v>
      </c>
      <c r="W179" s="322">
        <f>($D19)*'GENERADO PS locales'!W179</f>
        <v>0</v>
      </c>
      <c r="X179" s="322">
        <f>($D19)*'GENERADO PS locales'!X179</f>
        <v>0</v>
      </c>
      <c r="Y179" s="322">
        <f>($D19)*'GENERADO PS locales'!Y179</f>
        <v>0</v>
      </c>
      <c r="Z179" s="322">
        <f>($D19)*'GENERADO PS locales'!Z179</f>
        <v>0</v>
      </c>
    </row>
    <row r="180" spans="1:26" ht="24.95" customHeight="1">
      <c r="A180" s="260" t="str">
        <f>+Pobl_adoptada!A20</f>
        <v>Moreno</v>
      </c>
      <c r="B180" s="70">
        <f>+Pobl_adoptada!B20</f>
        <v>16</v>
      </c>
      <c r="C180" s="71" t="str">
        <f>+Pobl_adoptada!C20</f>
        <v>Moreno</v>
      </c>
      <c r="D180" s="291"/>
      <c r="E180" s="278"/>
      <c r="F180" s="263"/>
      <c r="G180" s="322">
        <f>($D20)*'GENERADO PS locales'!G180</f>
        <v>0</v>
      </c>
      <c r="H180" s="322">
        <f>($D20)*'GENERADO PS locales'!H180</f>
        <v>0</v>
      </c>
      <c r="I180" s="322">
        <f>($D20)*'GENERADO PS locales'!I180</f>
        <v>0</v>
      </c>
      <c r="J180" s="322">
        <f>($D20)*'GENERADO PS locales'!J180</f>
        <v>0</v>
      </c>
      <c r="K180" s="322">
        <f>($D20)*'GENERADO PS locales'!K180</f>
        <v>0</v>
      </c>
      <c r="L180" s="322">
        <f>($D20)*'GENERADO PS locales'!L180</f>
        <v>0</v>
      </c>
      <c r="M180" s="322">
        <f>($D20)*'GENERADO PS locales'!M180</f>
        <v>0</v>
      </c>
      <c r="N180" s="322">
        <f>($D20)*'GENERADO PS locales'!N180</f>
        <v>0</v>
      </c>
      <c r="O180" s="322">
        <f>($D20)*'GENERADO PS locales'!O180</f>
        <v>0</v>
      </c>
      <c r="P180" s="322">
        <f>($D20)*'GENERADO PS locales'!P180</f>
        <v>0</v>
      </c>
      <c r="Q180" s="322">
        <f>($D20)*'GENERADO PS locales'!Q180</f>
        <v>0</v>
      </c>
      <c r="R180" s="322">
        <f>($D20)*'GENERADO PS locales'!R180</f>
        <v>0</v>
      </c>
      <c r="S180" s="322">
        <f>($D20)*'GENERADO PS locales'!S180</f>
        <v>0</v>
      </c>
      <c r="T180" s="322">
        <f>($D20)*'GENERADO PS locales'!T180</f>
        <v>0</v>
      </c>
      <c r="U180" s="322">
        <f>($D20)*'GENERADO PS locales'!U180</f>
        <v>0</v>
      </c>
      <c r="V180" s="322">
        <f>($D20)*'GENERADO PS locales'!V180</f>
        <v>0</v>
      </c>
      <c r="W180" s="322">
        <f>($D20)*'GENERADO PS locales'!W180</f>
        <v>0</v>
      </c>
      <c r="X180" s="322">
        <f>($D20)*'GENERADO PS locales'!X180</f>
        <v>0</v>
      </c>
      <c r="Y180" s="322">
        <f>($D20)*'GENERADO PS locales'!Y180</f>
        <v>0</v>
      </c>
      <c r="Z180" s="322">
        <f>($D20)*'GENERADO PS locales'!Z180</f>
        <v>0</v>
      </c>
    </row>
    <row r="181" spans="1:26" ht="24.95" customHeight="1">
      <c r="A181" s="260" t="str">
        <f>+Pobl_adoptada!A21</f>
        <v>Morón</v>
      </c>
      <c r="B181" s="70">
        <f>+Pobl_adoptada!B21</f>
        <v>17</v>
      </c>
      <c r="C181" s="71" t="str">
        <f>+Pobl_adoptada!C21</f>
        <v>Morón</v>
      </c>
      <c r="D181" s="291"/>
      <c r="E181" s="278"/>
      <c r="F181" s="263"/>
      <c r="G181" s="322">
        <f>($D21)*'GENERADO PS locales'!G181</f>
        <v>0</v>
      </c>
      <c r="H181" s="322">
        <f>($D21)*'GENERADO PS locales'!H181</f>
        <v>0</v>
      </c>
      <c r="I181" s="322">
        <f>($D21)*'GENERADO PS locales'!I181</f>
        <v>0</v>
      </c>
      <c r="J181" s="322">
        <f>($D21)*'GENERADO PS locales'!J181</f>
        <v>0</v>
      </c>
      <c r="K181" s="322">
        <f>($D21)*'GENERADO PS locales'!K181</f>
        <v>0</v>
      </c>
      <c r="L181" s="322">
        <f>($D21)*'GENERADO PS locales'!L181</f>
        <v>0</v>
      </c>
      <c r="M181" s="322">
        <f>($D21)*'GENERADO PS locales'!M181</f>
        <v>0</v>
      </c>
      <c r="N181" s="322">
        <f>($D21)*'GENERADO PS locales'!N181</f>
        <v>0</v>
      </c>
      <c r="O181" s="322">
        <f>($D21)*'GENERADO PS locales'!O181</f>
        <v>0</v>
      </c>
      <c r="P181" s="322">
        <f>($D21)*'GENERADO PS locales'!P181</f>
        <v>0</v>
      </c>
      <c r="Q181" s="322">
        <f>($D21)*'GENERADO PS locales'!Q181</f>
        <v>0</v>
      </c>
      <c r="R181" s="322">
        <f>($D21)*'GENERADO PS locales'!R181</f>
        <v>0</v>
      </c>
      <c r="S181" s="322">
        <f>($D21)*'GENERADO PS locales'!S181</f>
        <v>0</v>
      </c>
      <c r="T181" s="322">
        <f>($D21)*'GENERADO PS locales'!T181</f>
        <v>0</v>
      </c>
      <c r="U181" s="322">
        <f>($D21)*'GENERADO PS locales'!U181</f>
        <v>0</v>
      </c>
      <c r="V181" s="322">
        <f>($D21)*'GENERADO PS locales'!V181</f>
        <v>0</v>
      </c>
      <c r="W181" s="322">
        <f>($D21)*'GENERADO PS locales'!W181</f>
        <v>0</v>
      </c>
      <c r="X181" s="322">
        <f>($D21)*'GENERADO PS locales'!X181</f>
        <v>0</v>
      </c>
      <c r="Y181" s="322">
        <f>($D21)*'GENERADO PS locales'!Y181</f>
        <v>0</v>
      </c>
      <c r="Z181" s="322">
        <f>($D21)*'GENERADO PS locales'!Z181</f>
        <v>0</v>
      </c>
    </row>
    <row r="182" spans="1:26" ht="24.95" customHeight="1">
      <c r="A182" s="260" t="str">
        <f>+Pobl_adoptada!A22</f>
        <v>Quilmes</v>
      </c>
      <c r="B182" s="70">
        <f>+Pobl_adoptada!B22</f>
        <v>18</v>
      </c>
      <c r="C182" s="71" t="str">
        <f>+Pobl_adoptada!C22</f>
        <v>Quilmes</v>
      </c>
      <c r="D182" s="291"/>
      <c r="E182" s="278"/>
      <c r="F182" s="263"/>
      <c r="G182" s="322">
        <f>($D22)*'GENERADO PS locales'!G182</f>
        <v>0</v>
      </c>
      <c r="H182" s="322">
        <f>($D22)*'GENERADO PS locales'!H182</f>
        <v>0</v>
      </c>
      <c r="I182" s="322">
        <f>($D22)*'GENERADO PS locales'!I182</f>
        <v>0</v>
      </c>
      <c r="J182" s="322">
        <f>($D22)*'GENERADO PS locales'!J182</f>
        <v>0</v>
      </c>
      <c r="K182" s="322">
        <f>($D22)*'GENERADO PS locales'!K182</f>
        <v>0</v>
      </c>
      <c r="L182" s="322">
        <f>($D22)*'GENERADO PS locales'!L182</f>
        <v>0</v>
      </c>
      <c r="M182" s="322">
        <f>($D22)*'GENERADO PS locales'!M182</f>
        <v>0</v>
      </c>
      <c r="N182" s="322">
        <f>($D22)*'GENERADO PS locales'!N182</f>
        <v>0</v>
      </c>
      <c r="O182" s="322">
        <f>($D22)*'GENERADO PS locales'!O182</f>
        <v>0</v>
      </c>
      <c r="P182" s="322">
        <f>($D22)*'GENERADO PS locales'!P182</f>
        <v>0</v>
      </c>
      <c r="Q182" s="322">
        <f>($D22)*'GENERADO PS locales'!Q182</f>
        <v>0</v>
      </c>
      <c r="R182" s="322">
        <f>($D22)*'GENERADO PS locales'!R182</f>
        <v>0</v>
      </c>
      <c r="S182" s="322">
        <f>($D22)*'GENERADO PS locales'!S182</f>
        <v>0</v>
      </c>
      <c r="T182" s="322">
        <f>($D22)*'GENERADO PS locales'!T182</f>
        <v>0</v>
      </c>
      <c r="U182" s="322">
        <f>($D22)*'GENERADO PS locales'!U182</f>
        <v>0</v>
      </c>
      <c r="V182" s="322">
        <f>($D22)*'GENERADO PS locales'!V182</f>
        <v>0</v>
      </c>
      <c r="W182" s="322">
        <f>($D22)*'GENERADO PS locales'!W182</f>
        <v>0</v>
      </c>
      <c r="X182" s="322">
        <f>($D22)*'GENERADO PS locales'!X182</f>
        <v>0</v>
      </c>
      <c r="Y182" s="322">
        <f>($D22)*'GENERADO PS locales'!Y182</f>
        <v>0</v>
      </c>
      <c r="Z182" s="322">
        <f>($D22)*'GENERADO PS locales'!Z182</f>
        <v>0</v>
      </c>
    </row>
    <row r="183" spans="1:26" ht="24.95" customHeight="1">
      <c r="A183" s="260" t="str">
        <f>+Pobl_adoptada!A23</f>
        <v>San Fernando</v>
      </c>
      <c r="B183" s="70">
        <f>+Pobl_adoptada!B23</f>
        <v>19</v>
      </c>
      <c r="C183" s="71" t="str">
        <f>+Pobl_adoptada!C23</f>
        <v>San Fernando</v>
      </c>
      <c r="D183" s="291"/>
      <c r="E183" s="278"/>
      <c r="F183" s="263"/>
      <c r="G183" s="322">
        <f>($D23)*'GENERADO PS locales'!G183</f>
        <v>0</v>
      </c>
      <c r="H183" s="322">
        <f>($D23)*'GENERADO PS locales'!H183</f>
        <v>0</v>
      </c>
      <c r="I183" s="322">
        <f>($D23)*'GENERADO PS locales'!I183</f>
        <v>0</v>
      </c>
      <c r="J183" s="322">
        <f>($D23)*'GENERADO PS locales'!J183</f>
        <v>0</v>
      </c>
      <c r="K183" s="322">
        <f>($D23)*'GENERADO PS locales'!K183</f>
        <v>0</v>
      </c>
      <c r="L183" s="322">
        <f>($D23)*'GENERADO PS locales'!L183</f>
        <v>0</v>
      </c>
      <c r="M183" s="322">
        <f>($D23)*'GENERADO PS locales'!M183</f>
        <v>0</v>
      </c>
      <c r="N183" s="322">
        <f>($D23)*'GENERADO PS locales'!N183</f>
        <v>0</v>
      </c>
      <c r="O183" s="322">
        <f>($D23)*'GENERADO PS locales'!O183</f>
        <v>0</v>
      </c>
      <c r="P183" s="322">
        <f>($D23)*'GENERADO PS locales'!P183</f>
        <v>0</v>
      </c>
      <c r="Q183" s="322">
        <f>($D23)*'GENERADO PS locales'!Q183</f>
        <v>0</v>
      </c>
      <c r="R183" s="322">
        <f>($D23)*'GENERADO PS locales'!R183</f>
        <v>0</v>
      </c>
      <c r="S183" s="322">
        <f>($D23)*'GENERADO PS locales'!S183</f>
        <v>0</v>
      </c>
      <c r="T183" s="322">
        <f>($D23)*'GENERADO PS locales'!T183</f>
        <v>0</v>
      </c>
      <c r="U183" s="322">
        <f>($D23)*'GENERADO PS locales'!U183</f>
        <v>0</v>
      </c>
      <c r="V183" s="322">
        <f>($D23)*'GENERADO PS locales'!V183</f>
        <v>0</v>
      </c>
      <c r="W183" s="322">
        <f>($D23)*'GENERADO PS locales'!W183</f>
        <v>0</v>
      </c>
      <c r="X183" s="322">
        <f>($D23)*'GENERADO PS locales'!X183</f>
        <v>0</v>
      </c>
      <c r="Y183" s="322">
        <f>($D23)*'GENERADO PS locales'!Y183</f>
        <v>0</v>
      </c>
      <c r="Z183" s="322">
        <f>($D23)*'GENERADO PS locales'!Z183</f>
        <v>0</v>
      </c>
    </row>
    <row r="184" spans="1:26" ht="24.95" customHeight="1">
      <c r="A184" s="260" t="str">
        <f>+Pobl_adoptada!A24</f>
        <v>San Isidro</v>
      </c>
      <c r="B184" s="70">
        <f>+Pobl_adoptada!B24</f>
        <v>20</v>
      </c>
      <c r="C184" s="71" t="str">
        <f>+Pobl_adoptada!C24</f>
        <v>San Isidro</v>
      </c>
      <c r="D184" s="291"/>
      <c r="E184" s="278"/>
      <c r="F184" s="263"/>
      <c r="G184" s="322">
        <f>($D24)*'GENERADO PS locales'!G184</f>
        <v>0</v>
      </c>
      <c r="H184" s="322">
        <f>($D24)*'GENERADO PS locales'!H184</f>
        <v>0</v>
      </c>
      <c r="I184" s="322">
        <f>($D24)*'GENERADO PS locales'!I184</f>
        <v>0</v>
      </c>
      <c r="J184" s="322">
        <f>($D24)*'GENERADO PS locales'!J184</f>
        <v>0</v>
      </c>
      <c r="K184" s="322">
        <f>($D24)*'GENERADO PS locales'!K184</f>
        <v>0</v>
      </c>
      <c r="L184" s="322">
        <f>($D24)*'GENERADO PS locales'!L184</f>
        <v>0</v>
      </c>
      <c r="M184" s="322">
        <f>($D24)*'GENERADO PS locales'!M184</f>
        <v>0</v>
      </c>
      <c r="N184" s="322">
        <f>($D24)*'GENERADO PS locales'!N184</f>
        <v>0</v>
      </c>
      <c r="O184" s="322">
        <f>($D24)*'GENERADO PS locales'!O184</f>
        <v>0</v>
      </c>
      <c r="P184" s="322">
        <f>($D24)*'GENERADO PS locales'!P184</f>
        <v>0</v>
      </c>
      <c r="Q184" s="322">
        <f>($D24)*'GENERADO PS locales'!Q184</f>
        <v>0</v>
      </c>
      <c r="R184" s="322">
        <f>($D24)*'GENERADO PS locales'!R184</f>
        <v>0</v>
      </c>
      <c r="S184" s="322">
        <f>($D24)*'GENERADO PS locales'!S184</f>
        <v>0</v>
      </c>
      <c r="T184" s="322">
        <f>($D24)*'GENERADO PS locales'!T184</f>
        <v>0</v>
      </c>
      <c r="U184" s="322">
        <f>($D24)*'GENERADO PS locales'!U184</f>
        <v>0</v>
      </c>
      <c r="V184" s="322">
        <f>($D24)*'GENERADO PS locales'!V184</f>
        <v>0</v>
      </c>
      <c r="W184" s="322">
        <f>($D24)*'GENERADO PS locales'!W184</f>
        <v>0</v>
      </c>
      <c r="X184" s="322">
        <f>($D24)*'GENERADO PS locales'!X184</f>
        <v>0</v>
      </c>
      <c r="Y184" s="322">
        <f>($D24)*'GENERADO PS locales'!Y184</f>
        <v>0</v>
      </c>
      <c r="Z184" s="322">
        <f>($D24)*'GENERADO PS locales'!Z184</f>
        <v>0</v>
      </c>
    </row>
    <row r="185" spans="1:26" ht="24.95" customHeight="1">
      <c r="A185" s="260" t="str">
        <f>+Pobl_adoptada!A25</f>
        <v>San Miguel</v>
      </c>
      <c r="B185" s="70">
        <f>+Pobl_adoptada!B25</f>
        <v>21</v>
      </c>
      <c r="C185" s="71" t="str">
        <f>+Pobl_adoptada!C25</f>
        <v>San Miguel</v>
      </c>
      <c r="D185" s="291"/>
      <c r="E185" s="278"/>
      <c r="F185" s="263"/>
      <c r="G185" s="322">
        <f>($D25)*'GENERADO PS locales'!G185</f>
        <v>0</v>
      </c>
      <c r="H185" s="322">
        <f>($D25)*'GENERADO PS locales'!H185</f>
        <v>0</v>
      </c>
      <c r="I185" s="322">
        <f>($D25)*'GENERADO PS locales'!I185</f>
        <v>0</v>
      </c>
      <c r="J185" s="322">
        <f>($D25)*'GENERADO PS locales'!J185</f>
        <v>0</v>
      </c>
      <c r="K185" s="322">
        <f>($D25)*'GENERADO PS locales'!K185</f>
        <v>0</v>
      </c>
      <c r="L185" s="322">
        <f>($D25)*'GENERADO PS locales'!L185</f>
        <v>0</v>
      </c>
      <c r="M185" s="322">
        <f>($D25)*'GENERADO PS locales'!M185</f>
        <v>0</v>
      </c>
      <c r="N185" s="322">
        <f>($D25)*'GENERADO PS locales'!N185</f>
        <v>0</v>
      </c>
      <c r="O185" s="322">
        <f>($D25)*'GENERADO PS locales'!O185</f>
        <v>0</v>
      </c>
      <c r="P185" s="322">
        <f>($D25)*'GENERADO PS locales'!P185</f>
        <v>0</v>
      </c>
      <c r="Q185" s="322">
        <f>($D25)*'GENERADO PS locales'!Q185</f>
        <v>0</v>
      </c>
      <c r="R185" s="322">
        <f>($D25)*'GENERADO PS locales'!R185</f>
        <v>0</v>
      </c>
      <c r="S185" s="322">
        <f>($D25)*'GENERADO PS locales'!S185</f>
        <v>0</v>
      </c>
      <c r="T185" s="322">
        <f>($D25)*'GENERADO PS locales'!T185</f>
        <v>0</v>
      </c>
      <c r="U185" s="322">
        <f>($D25)*'GENERADO PS locales'!U185</f>
        <v>0</v>
      </c>
      <c r="V185" s="322">
        <f>($D25)*'GENERADO PS locales'!V185</f>
        <v>0</v>
      </c>
      <c r="W185" s="322">
        <f>($D25)*'GENERADO PS locales'!W185</f>
        <v>0</v>
      </c>
      <c r="X185" s="322">
        <f>($D25)*'GENERADO PS locales'!X185</f>
        <v>0</v>
      </c>
      <c r="Y185" s="322">
        <f>($D25)*'GENERADO PS locales'!Y185</f>
        <v>0</v>
      </c>
      <c r="Z185" s="322">
        <f>($D25)*'GENERADO PS locales'!Z185</f>
        <v>0</v>
      </c>
    </row>
    <row r="186" spans="1:26" ht="24.95" customHeight="1">
      <c r="A186" s="260" t="str">
        <f>+Pobl_adoptada!A26</f>
        <v>Tigre</v>
      </c>
      <c r="B186" s="70">
        <f>+Pobl_adoptada!B26</f>
        <v>22</v>
      </c>
      <c r="C186" s="71" t="str">
        <f>+Pobl_adoptada!C26</f>
        <v>Tigre</v>
      </c>
      <c r="D186" s="291"/>
      <c r="E186" s="278"/>
      <c r="F186" s="263"/>
      <c r="G186" s="322">
        <f>($D26)*'GENERADO PS locales'!G186</f>
        <v>0</v>
      </c>
      <c r="H186" s="322">
        <f>($D26)*'GENERADO PS locales'!H186</f>
        <v>0</v>
      </c>
      <c r="I186" s="322">
        <f>($D26)*'GENERADO PS locales'!I186</f>
        <v>0</v>
      </c>
      <c r="J186" s="322">
        <f>($D26)*'GENERADO PS locales'!J186</f>
        <v>0</v>
      </c>
      <c r="K186" s="322">
        <f>($D26)*'GENERADO PS locales'!K186</f>
        <v>0</v>
      </c>
      <c r="L186" s="322">
        <f>($D26)*'GENERADO PS locales'!L186</f>
        <v>0</v>
      </c>
      <c r="M186" s="322">
        <f>($D26)*'GENERADO PS locales'!M186</f>
        <v>0</v>
      </c>
      <c r="N186" s="322">
        <f>($D26)*'GENERADO PS locales'!N186</f>
        <v>0</v>
      </c>
      <c r="O186" s="322">
        <f>($D26)*'GENERADO PS locales'!O186</f>
        <v>0</v>
      </c>
      <c r="P186" s="322">
        <f>($D26)*'GENERADO PS locales'!P186</f>
        <v>0</v>
      </c>
      <c r="Q186" s="322">
        <f>($D26)*'GENERADO PS locales'!Q186</f>
        <v>0</v>
      </c>
      <c r="R186" s="322">
        <f>($D26)*'GENERADO PS locales'!R186</f>
        <v>0</v>
      </c>
      <c r="S186" s="322">
        <f>($D26)*'GENERADO PS locales'!S186</f>
        <v>0</v>
      </c>
      <c r="T186" s="322">
        <f>($D26)*'GENERADO PS locales'!T186</f>
        <v>0</v>
      </c>
      <c r="U186" s="322">
        <f>($D26)*'GENERADO PS locales'!U186</f>
        <v>0</v>
      </c>
      <c r="V186" s="322">
        <f>($D26)*'GENERADO PS locales'!V186</f>
        <v>0</v>
      </c>
      <c r="W186" s="322">
        <f>($D26)*'GENERADO PS locales'!W186</f>
        <v>0</v>
      </c>
      <c r="X186" s="322">
        <f>($D26)*'GENERADO PS locales'!X186</f>
        <v>0</v>
      </c>
      <c r="Y186" s="322">
        <f>($D26)*'GENERADO PS locales'!Y186</f>
        <v>0</v>
      </c>
      <c r="Z186" s="322">
        <f>($D26)*'GENERADO PS locales'!Z186</f>
        <v>0</v>
      </c>
    </row>
    <row r="187" spans="1:26" ht="24.95" customHeight="1">
      <c r="A187" s="260" t="str">
        <f>+Pobl_adoptada!A27</f>
        <v>Tres de Febrero</v>
      </c>
      <c r="B187" s="70">
        <f>+Pobl_adoptada!B27</f>
        <v>23</v>
      </c>
      <c r="C187" s="71" t="str">
        <f>+Pobl_adoptada!C27</f>
        <v>Tres de Febrero</v>
      </c>
      <c r="D187" s="291"/>
      <c r="E187" s="278"/>
      <c r="F187" s="263"/>
      <c r="G187" s="322">
        <f>($D27)*'GENERADO PS locales'!G187</f>
        <v>0</v>
      </c>
      <c r="H187" s="322">
        <f>($D27)*'GENERADO PS locales'!H187</f>
        <v>0</v>
      </c>
      <c r="I187" s="322">
        <f>($D27)*'GENERADO PS locales'!I187</f>
        <v>0</v>
      </c>
      <c r="J187" s="322">
        <f>($D27)*'GENERADO PS locales'!J187</f>
        <v>0</v>
      </c>
      <c r="K187" s="322">
        <f>($D27)*'GENERADO PS locales'!K187</f>
        <v>0</v>
      </c>
      <c r="L187" s="322">
        <f>($D27)*'GENERADO PS locales'!L187</f>
        <v>0</v>
      </c>
      <c r="M187" s="322">
        <f>($D27)*'GENERADO PS locales'!M187</f>
        <v>0</v>
      </c>
      <c r="N187" s="322">
        <f>($D27)*'GENERADO PS locales'!N187</f>
        <v>0</v>
      </c>
      <c r="O187" s="322">
        <f>($D27)*'GENERADO PS locales'!O187</f>
        <v>0</v>
      </c>
      <c r="P187" s="322">
        <f>($D27)*'GENERADO PS locales'!P187</f>
        <v>0</v>
      </c>
      <c r="Q187" s="322">
        <f>($D27)*'GENERADO PS locales'!Q187</f>
        <v>0</v>
      </c>
      <c r="R187" s="322">
        <f>($D27)*'GENERADO PS locales'!R187</f>
        <v>0</v>
      </c>
      <c r="S187" s="322">
        <f>($D27)*'GENERADO PS locales'!S187</f>
        <v>0</v>
      </c>
      <c r="T187" s="322">
        <f>($D27)*'GENERADO PS locales'!T187</f>
        <v>0</v>
      </c>
      <c r="U187" s="322">
        <f>($D27)*'GENERADO PS locales'!U187</f>
        <v>0</v>
      </c>
      <c r="V187" s="322">
        <f>($D27)*'GENERADO PS locales'!V187</f>
        <v>0</v>
      </c>
      <c r="W187" s="322">
        <f>($D27)*'GENERADO PS locales'!W187</f>
        <v>0</v>
      </c>
      <c r="X187" s="322">
        <f>($D27)*'GENERADO PS locales'!X187</f>
        <v>0</v>
      </c>
      <c r="Y187" s="322">
        <f>($D27)*'GENERADO PS locales'!Y187</f>
        <v>0</v>
      </c>
      <c r="Z187" s="322">
        <f>($D27)*'GENERADO PS locales'!Z187</f>
        <v>0</v>
      </c>
    </row>
    <row r="188" spans="1:26" ht="24.95" customHeight="1">
      <c r="A188" s="260" t="str">
        <f>+Pobl_adoptada!A28</f>
        <v>Vicente López</v>
      </c>
      <c r="B188" s="70">
        <f>+Pobl_adoptada!B28</f>
        <v>24</v>
      </c>
      <c r="C188" s="71" t="str">
        <f>+Pobl_adoptada!C28</f>
        <v>Vicente López</v>
      </c>
      <c r="D188" s="291"/>
      <c r="E188" s="278"/>
      <c r="F188" s="263"/>
      <c r="G188" s="322">
        <f>($D28)*'GENERADO PS locales'!G188</f>
        <v>0</v>
      </c>
      <c r="H188" s="322">
        <f>($D28)*'GENERADO PS locales'!H188</f>
        <v>0</v>
      </c>
      <c r="I188" s="322">
        <f>($D28)*'GENERADO PS locales'!I188</f>
        <v>0</v>
      </c>
      <c r="J188" s="322">
        <f>($D28)*'GENERADO PS locales'!J188</f>
        <v>0</v>
      </c>
      <c r="K188" s="322">
        <f>($D28)*'GENERADO PS locales'!K188</f>
        <v>0</v>
      </c>
      <c r="L188" s="322">
        <f>($D28)*'GENERADO PS locales'!L188</f>
        <v>0</v>
      </c>
      <c r="M188" s="322">
        <f>($D28)*'GENERADO PS locales'!M188</f>
        <v>0</v>
      </c>
      <c r="N188" s="322">
        <f>($D28)*'GENERADO PS locales'!N188</f>
        <v>0</v>
      </c>
      <c r="O188" s="322">
        <f>($D28)*'GENERADO PS locales'!O188</f>
        <v>0</v>
      </c>
      <c r="P188" s="322">
        <f>($D28)*'GENERADO PS locales'!P188</f>
        <v>0</v>
      </c>
      <c r="Q188" s="322">
        <f>($D28)*'GENERADO PS locales'!Q188</f>
        <v>0</v>
      </c>
      <c r="R188" s="322">
        <f>($D28)*'GENERADO PS locales'!R188</f>
        <v>0</v>
      </c>
      <c r="S188" s="322">
        <f>($D28)*'GENERADO PS locales'!S188</f>
        <v>0</v>
      </c>
      <c r="T188" s="322">
        <f>($D28)*'GENERADO PS locales'!T188</f>
        <v>0</v>
      </c>
      <c r="U188" s="322">
        <f>($D28)*'GENERADO PS locales'!U188</f>
        <v>0</v>
      </c>
      <c r="V188" s="322">
        <f>($D28)*'GENERADO PS locales'!V188</f>
        <v>0</v>
      </c>
      <c r="W188" s="322">
        <f>($D28)*'GENERADO PS locales'!W188</f>
        <v>0</v>
      </c>
      <c r="X188" s="322">
        <f>($D28)*'GENERADO PS locales'!X188</f>
        <v>0</v>
      </c>
      <c r="Y188" s="322">
        <f>($D28)*'GENERADO PS locales'!Y188</f>
        <v>0</v>
      </c>
      <c r="Z188" s="322">
        <f>($D28)*'GENERADO PS locales'!Z188</f>
        <v>0</v>
      </c>
    </row>
    <row r="189" spans="1:26" ht="24.95" customHeight="1">
      <c r="A189" s="260" t="str">
        <f>+Pobl_adoptada!A29</f>
        <v>25 de Mayo</v>
      </c>
      <c r="B189" s="70">
        <f>+Pobl_adoptada!B29</f>
        <v>25</v>
      </c>
      <c r="C189" s="71" t="str">
        <f>+Pobl_adoptada!C29</f>
        <v>25 de Mayo</v>
      </c>
      <c r="D189" s="291"/>
      <c r="E189" s="278"/>
      <c r="F189" s="263"/>
      <c r="G189" s="322">
        <f>($D29)*'GENERADO PS locales'!G189</f>
        <v>0</v>
      </c>
      <c r="H189" s="322">
        <f>($D29)*'GENERADO PS locales'!H189</f>
        <v>0</v>
      </c>
      <c r="I189" s="322">
        <f>($D29)*'GENERADO PS locales'!I189</f>
        <v>0</v>
      </c>
      <c r="J189" s="322">
        <f>($D29)*'GENERADO PS locales'!J189</f>
        <v>0</v>
      </c>
      <c r="K189" s="322">
        <f>($D29)*'GENERADO PS locales'!K189</f>
        <v>0</v>
      </c>
      <c r="L189" s="322">
        <f>($D29)*'GENERADO PS locales'!L189</f>
        <v>0</v>
      </c>
      <c r="M189" s="322">
        <f>($D29)*'GENERADO PS locales'!M189</f>
        <v>0</v>
      </c>
      <c r="N189" s="322">
        <f>($D29)*'GENERADO PS locales'!N189</f>
        <v>0</v>
      </c>
      <c r="O189" s="322">
        <f>($D29)*'GENERADO PS locales'!O189</f>
        <v>0</v>
      </c>
      <c r="P189" s="322">
        <f>($D29)*'GENERADO PS locales'!P189</f>
        <v>0</v>
      </c>
      <c r="Q189" s="322">
        <f>($D29)*'GENERADO PS locales'!Q189</f>
        <v>0</v>
      </c>
      <c r="R189" s="322">
        <f>($D29)*'GENERADO PS locales'!R189</f>
        <v>0</v>
      </c>
      <c r="S189" s="322">
        <f>($D29)*'GENERADO PS locales'!S189</f>
        <v>0</v>
      </c>
      <c r="T189" s="322">
        <f>($D29)*'GENERADO PS locales'!T189</f>
        <v>0</v>
      </c>
      <c r="U189" s="322">
        <f>($D29)*'GENERADO PS locales'!U189</f>
        <v>0</v>
      </c>
      <c r="V189" s="322">
        <f>($D29)*'GENERADO PS locales'!V189</f>
        <v>0</v>
      </c>
      <c r="W189" s="322">
        <f>($D29)*'GENERADO PS locales'!W189</f>
        <v>0</v>
      </c>
      <c r="X189" s="322">
        <f>($D29)*'GENERADO PS locales'!X189</f>
        <v>0</v>
      </c>
      <c r="Y189" s="322">
        <f>($D29)*'GENERADO PS locales'!Y189</f>
        <v>0</v>
      </c>
      <c r="Z189" s="322">
        <f>($D29)*'GENERADO PS locales'!Z189</f>
        <v>0</v>
      </c>
    </row>
    <row r="190" spans="1:26" ht="24.95" customHeight="1">
      <c r="A190" s="260" t="str">
        <f>+Pobl_adoptada!A30</f>
        <v>9 de Julio</v>
      </c>
      <c r="B190" s="70">
        <f>+Pobl_adoptada!B30</f>
        <v>26</v>
      </c>
      <c r="C190" s="71" t="str">
        <f>+Pobl_adoptada!C30</f>
        <v>9 de Julio</v>
      </c>
      <c r="D190" s="291"/>
      <c r="E190" s="278"/>
      <c r="F190" s="263"/>
      <c r="G190" s="322">
        <f>($D30)*'GENERADO PS locales'!G190</f>
        <v>0</v>
      </c>
      <c r="H190" s="322">
        <f>($D30)*'GENERADO PS locales'!H190</f>
        <v>0</v>
      </c>
      <c r="I190" s="322">
        <f>($D30)*'GENERADO PS locales'!I190</f>
        <v>0</v>
      </c>
      <c r="J190" s="322">
        <f>($D30)*'GENERADO PS locales'!J190</f>
        <v>0</v>
      </c>
      <c r="K190" s="322">
        <f>($D30)*'GENERADO PS locales'!K190</f>
        <v>0</v>
      </c>
      <c r="L190" s="322">
        <f>($D30)*'GENERADO PS locales'!L190</f>
        <v>0</v>
      </c>
      <c r="M190" s="322">
        <f>($D30)*'GENERADO PS locales'!M190</f>
        <v>0</v>
      </c>
      <c r="N190" s="322">
        <f>($D30)*'GENERADO PS locales'!N190</f>
        <v>0</v>
      </c>
      <c r="O190" s="322">
        <f>($D30)*'GENERADO PS locales'!O190</f>
        <v>0</v>
      </c>
      <c r="P190" s="322">
        <f>($D30)*'GENERADO PS locales'!P190</f>
        <v>0</v>
      </c>
      <c r="Q190" s="322">
        <f>($D30)*'GENERADO PS locales'!Q190</f>
        <v>0</v>
      </c>
      <c r="R190" s="322">
        <f>($D30)*'GENERADO PS locales'!R190</f>
        <v>0</v>
      </c>
      <c r="S190" s="322">
        <f>($D30)*'GENERADO PS locales'!S190</f>
        <v>0</v>
      </c>
      <c r="T190" s="322">
        <f>($D30)*'GENERADO PS locales'!T190</f>
        <v>0</v>
      </c>
      <c r="U190" s="322">
        <f>($D30)*'GENERADO PS locales'!U190</f>
        <v>0</v>
      </c>
      <c r="V190" s="322">
        <f>($D30)*'GENERADO PS locales'!V190</f>
        <v>0</v>
      </c>
      <c r="W190" s="322">
        <f>($D30)*'GENERADO PS locales'!W190</f>
        <v>0</v>
      </c>
      <c r="X190" s="322">
        <f>($D30)*'GENERADO PS locales'!X190</f>
        <v>0</v>
      </c>
      <c r="Y190" s="322">
        <f>($D30)*'GENERADO PS locales'!Y190</f>
        <v>0</v>
      </c>
      <c r="Z190" s="322">
        <f>($D30)*'GENERADO PS locales'!Z190</f>
        <v>0</v>
      </c>
    </row>
    <row r="191" spans="1:26" ht="24.95" customHeight="1">
      <c r="A191" s="260" t="str">
        <f>+Pobl_adoptada!A31</f>
        <v>Adolfo Alsina</v>
      </c>
      <c r="B191" s="70">
        <f>+Pobl_adoptada!B31</f>
        <v>27</v>
      </c>
      <c r="C191" s="71" t="str">
        <f>+Pobl_adoptada!C31</f>
        <v>Carhué</v>
      </c>
      <c r="D191" s="291"/>
      <c r="E191" s="278"/>
      <c r="F191" s="263"/>
      <c r="G191" s="322">
        <f>($D31)*'GENERADO PS locales'!G191</f>
        <v>0</v>
      </c>
      <c r="H191" s="322">
        <f>($D31)*'GENERADO PS locales'!H191</f>
        <v>0</v>
      </c>
      <c r="I191" s="322">
        <f>($D31)*'GENERADO PS locales'!I191</f>
        <v>0</v>
      </c>
      <c r="J191" s="322">
        <f>($D31)*'GENERADO PS locales'!J191</f>
        <v>0</v>
      </c>
      <c r="K191" s="322">
        <f>($D31)*'GENERADO PS locales'!K191</f>
        <v>0</v>
      </c>
      <c r="L191" s="322">
        <f>($D31)*'GENERADO PS locales'!L191</f>
        <v>0</v>
      </c>
      <c r="M191" s="322">
        <f>($D31)*'GENERADO PS locales'!M191</f>
        <v>0</v>
      </c>
      <c r="N191" s="322">
        <f>($D31)*'GENERADO PS locales'!N191</f>
        <v>0</v>
      </c>
      <c r="O191" s="322">
        <f>($D31)*'GENERADO PS locales'!O191</f>
        <v>0</v>
      </c>
      <c r="P191" s="322">
        <f>($D31)*'GENERADO PS locales'!P191</f>
        <v>0</v>
      </c>
      <c r="Q191" s="322">
        <f>($D31)*'GENERADO PS locales'!Q191</f>
        <v>0</v>
      </c>
      <c r="R191" s="322">
        <f>($D31)*'GENERADO PS locales'!R191</f>
        <v>0</v>
      </c>
      <c r="S191" s="322">
        <f>($D31)*'GENERADO PS locales'!S191</f>
        <v>0</v>
      </c>
      <c r="T191" s="322">
        <f>($D31)*'GENERADO PS locales'!T191</f>
        <v>0</v>
      </c>
      <c r="U191" s="322">
        <f>($D31)*'GENERADO PS locales'!U191</f>
        <v>0</v>
      </c>
      <c r="V191" s="322">
        <f>($D31)*'GENERADO PS locales'!V191</f>
        <v>0</v>
      </c>
      <c r="W191" s="322">
        <f>($D31)*'GENERADO PS locales'!W191</f>
        <v>0</v>
      </c>
      <c r="X191" s="322">
        <f>($D31)*'GENERADO PS locales'!X191</f>
        <v>0</v>
      </c>
      <c r="Y191" s="322">
        <f>($D31)*'GENERADO PS locales'!Y191</f>
        <v>0</v>
      </c>
      <c r="Z191" s="322">
        <f>($D31)*'GENERADO PS locales'!Z191</f>
        <v>0</v>
      </c>
    </row>
    <row r="192" spans="1:26" ht="24.95" customHeight="1">
      <c r="A192" s="260" t="str">
        <f>+Pobl_adoptada!A32</f>
        <v>Adolfo Gonzáles Chaves</v>
      </c>
      <c r="B192" s="70">
        <f>+Pobl_adoptada!B32</f>
        <v>28</v>
      </c>
      <c r="C192" s="71" t="str">
        <f>+Pobl_adoptada!C32</f>
        <v>Adolfo Gonzáles Chaves</v>
      </c>
      <c r="D192" s="291"/>
      <c r="E192" s="278"/>
      <c r="F192" s="263"/>
      <c r="G192" s="322">
        <f>($D32)*'GENERADO PS locales'!G192</f>
        <v>0</v>
      </c>
      <c r="H192" s="322">
        <f>($D32)*'GENERADO PS locales'!H192</f>
        <v>0</v>
      </c>
      <c r="I192" s="322">
        <f>($D32)*'GENERADO PS locales'!I192</f>
        <v>0</v>
      </c>
      <c r="J192" s="322">
        <f>($D32)*'GENERADO PS locales'!J192</f>
        <v>0</v>
      </c>
      <c r="K192" s="322">
        <f>($D32)*'GENERADO PS locales'!K192</f>
        <v>0</v>
      </c>
      <c r="L192" s="322">
        <f>($D32)*'GENERADO PS locales'!L192</f>
        <v>0</v>
      </c>
      <c r="M192" s="322">
        <f>($D32)*'GENERADO PS locales'!M192</f>
        <v>0</v>
      </c>
      <c r="N192" s="322">
        <f>($D32)*'GENERADO PS locales'!N192</f>
        <v>0</v>
      </c>
      <c r="O192" s="322">
        <f>($D32)*'GENERADO PS locales'!O192</f>
        <v>0</v>
      </c>
      <c r="P192" s="322">
        <f>($D32)*'GENERADO PS locales'!P192</f>
        <v>0</v>
      </c>
      <c r="Q192" s="322">
        <f>($D32)*'GENERADO PS locales'!Q192</f>
        <v>0</v>
      </c>
      <c r="R192" s="322">
        <f>($D32)*'GENERADO PS locales'!R192</f>
        <v>0</v>
      </c>
      <c r="S192" s="322">
        <f>($D32)*'GENERADO PS locales'!S192</f>
        <v>0</v>
      </c>
      <c r="T192" s="322">
        <f>($D32)*'GENERADO PS locales'!T192</f>
        <v>0</v>
      </c>
      <c r="U192" s="322">
        <f>($D32)*'GENERADO PS locales'!U192</f>
        <v>0</v>
      </c>
      <c r="V192" s="322">
        <f>($D32)*'GENERADO PS locales'!V192</f>
        <v>0</v>
      </c>
      <c r="W192" s="322">
        <f>($D32)*'GENERADO PS locales'!W192</f>
        <v>0</v>
      </c>
      <c r="X192" s="322">
        <f>($D32)*'GENERADO PS locales'!X192</f>
        <v>0</v>
      </c>
      <c r="Y192" s="322">
        <f>($D32)*'GENERADO PS locales'!Y192</f>
        <v>0</v>
      </c>
      <c r="Z192" s="322">
        <f>($D32)*'GENERADO PS locales'!Z192</f>
        <v>0</v>
      </c>
    </row>
    <row r="193" spans="1:26" ht="24.95" customHeight="1">
      <c r="A193" s="260" t="str">
        <f>+Pobl_adoptada!A33</f>
        <v>Alberti</v>
      </c>
      <c r="B193" s="70">
        <f>+Pobl_adoptada!B33</f>
        <v>29</v>
      </c>
      <c r="C193" s="71" t="str">
        <f>+Pobl_adoptada!C33</f>
        <v>Alberti</v>
      </c>
      <c r="D193" s="291"/>
      <c r="E193" s="278"/>
      <c r="F193" s="263"/>
      <c r="G193" s="322">
        <f>($D33)*'GENERADO PS locales'!G193</f>
        <v>0</v>
      </c>
      <c r="H193" s="322">
        <f>($D33)*'GENERADO PS locales'!H193</f>
        <v>0</v>
      </c>
      <c r="I193" s="322">
        <f>($D33)*'GENERADO PS locales'!I193</f>
        <v>0</v>
      </c>
      <c r="J193" s="322">
        <f>($D33)*'GENERADO PS locales'!J193</f>
        <v>0</v>
      </c>
      <c r="K193" s="322">
        <f>($D33)*'GENERADO PS locales'!K193</f>
        <v>0</v>
      </c>
      <c r="L193" s="322">
        <f>($D33)*'GENERADO PS locales'!L193</f>
        <v>0</v>
      </c>
      <c r="M193" s="322">
        <f>($D33)*'GENERADO PS locales'!M193</f>
        <v>0</v>
      </c>
      <c r="N193" s="322">
        <f>($D33)*'GENERADO PS locales'!N193</f>
        <v>0</v>
      </c>
      <c r="O193" s="322">
        <f>($D33)*'GENERADO PS locales'!O193</f>
        <v>0</v>
      </c>
      <c r="P193" s="322">
        <f>($D33)*'GENERADO PS locales'!P193</f>
        <v>0</v>
      </c>
      <c r="Q193" s="322">
        <f>($D33)*'GENERADO PS locales'!Q193</f>
        <v>0</v>
      </c>
      <c r="R193" s="322">
        <f>($D33)*'GENERADO PS locales'!R193</f>
        <v>0</v>
      </c>
      <c r="S193" s="322">
        <f>($D33)*'GENERADO PS locales'!S193</f>
        <v>0</v>
      </c>
      <c r="T193" s="322">
        <f>($D33)*'GENERADO PS locales'!T193</f>
        <v>0</v>
      </c>
      <c r="U193" s="322">
        <f>($D33)*'GENERADO PS locales'!U193</f>
        <v>0</v>
      </c>
      <c r="V193" s="322">
        <f>($D33)*'GENERADO PS locales'!V193</f>
        <v>0</v>
      </c>
      <c r="W193" s="322">
        <f>($D33)*'GENERADO PS locales'!W193</f>
        <v>0</v>
      </c>
      <c r="X193" s="322">
        <f>($D33)*'GENERADO PS locales'!X193</f>
        <v>0</v>
      </c>
      <c r="Y193" s="322">
        <f>($D33)*'GENERADO PS locales'!Y193</f>
        <v>0</v>
      </c>
      <c r="Z193" s="322">
        <f>($D33)*'GENERADO PS locales'!Z193</f>
        <v>0</v>
      </c>
    </row>
    <row r="194" spans="1:26" ht="24.95" customHeight="1">
      <c r="A194" s="260" t="str">
        <f>+Pobl_adoptada!A34</f>
        <v>Arrecifes</v>
      </c>
      <c r="B194" s="70">
        <f>+Pobl_adoptada!B34</f>
        <v>30</v>
      </c>
      <c r="C194" s="71" t="str">
        <f>+Pobl_adoptada!C34</f>
        <v>Arrecifes</v>
      </c>
      <c r="D194" s="291"/>
      <c r="E194" s="278"/>
      <c r="F194" s="263"/>
      <c r="G194" s="322">
        <f>($D34)*'GENERADO PS locales'!G194</f>
        <v>0</v>
      </c>
      <c r="H194" s="322">
        <f>($D34)*'GENERADO PS locales'!H194</f>
        <v>0</v>
      </c>
      <c r="I194" s="322">
        <f>($D34)*'GENERADO PS locales'!I194</f>
        <v>0</v>
      </c>
      <c r="J194" s="322">
        <f>($D34)*'GENERADO PS locales'!J194</f>
        <v>0</v>
      </c>
      <c r="K194" s="322">
        <f>($D34)*'GENERADO PS locales'!K194</f>
        <v>0</v>
      </c>
      <c r="L194" s="322">
        <f>($D34)*'GENERADO PS locales'!L194</f>
        <v>0</v>
      </c>
      <c r="M194" s="322">
        <f>($D34)*'GENERADO PS locales'!M194</f>
        <v>0</v>
      </c>
      <c r="N194" s="322">
        <f>($D34)*'GENERADO PS locales'!N194</f>
        <v>0</v>
      </c>
      <c r="O194" s="322">
        <f>($D34)*'GENERADO PS locales'!O194</f>
        <v>0</v>
      </c>
      <c r="P194" s="322">
        <f>($D34)*'GENERADO PS locales'!P194</f>
        <v>0</v>
      </c>
      <c r="Q194" s="322">
        <f>($D34)*'GENERADO PS locales'!Q194</f>
        <v>0</v>
      </c>
      <c r="R194" s="322">
        <f>($D34)*'GENERADO PS locales'!R194</f>
        <v>0</v>
      </c>
      <c r="S194" s="322">
        <f>($D34)*'GENERADO PS locales'!S194</f>
        <v>0</v>
      </c>
      <c r="T194" s="322">
        <f>($D34)*'GENERADO PS locales'!T194</f>
        <v>0</v>
      </c>
      <c r="U194" s="322">
        <f>($D34)*'GENERADO PS locales'!U194</f>
        <v>0</v>
      </c>
      <c r="V194" s="322">
        <f>($D34)*'GENERADO PS locales'!V194</f>
        <v>0</v>
      </c>
      <c r="W194" s="322">
        <f>($D34)*'GENERADO PS locales'!W194</f>
        <v>0</v>
      </c>
      <c r="X194" s="322">
        <f>($D34)*'GENERADO PS locales'!X194</f>
        <v>0</v>
      </c>
      <c r="Y194" s="322">
        <f>($D34)*'GENERADO PS locales'!Y194</f>
        <v>0</v>
      </c>
      <c r="Z194" s="322">
        <f>($D34)*'GENERADO PS locales'!Z194</f>
        <v>0</v>
      </c>
    </row>
    <row r="195" spans="1:26" ht="24.95" customHeight="1">
      <c r="A195" s="260" t="str">
        <f>+Pobl_adoptada!A35</f>
        <v>Ayacucho</v>
      </c>
      <c r="B195" s="70">
        <f>+Pobl_adoptada!B35</f>
        <v>31</v>
      </c>
      <c r="C195" s="71" t="str">
        <f>+Pobl_adoptada!C35</f>
        <v>Ayacucho</v>
      </c>
      <c r="D195" s="291"/>
      <c r="E195" s="278"/>
      <c r="F195" s="263"/>
      <c r="G195" s="322">
        <f>($D35)*'GENERADO PS locales'!G195</f>
        <v>0</v>
      </c>
      <c r="H195" s="322">
        <f>($D35)*'GENERADO PS locales'!H195</f>
        <v>0</v>
      </c>
      <c r="I195" s="322">
        <f>($D35)*'GENERADO PS locales'!I195</f>
        <v>0</v>
      </c>
      <c r="J195" s="322">
        <f>($D35)*'GENERADO PS locales'!J195</f>
        <v>0</v>
      </c>
      <c r="K195" s="322">
        <f>($D35)*'GENERADO PS locales'!K195</f>
        <v>0</v>
      </c>
      <c r="L195" s="322">
        <f>($D35)*'GENERADO PS locales'!L195</f>
        <v>0</v>
      </c>
      <c r="M195" s="322">
        <f>($D35)*'GENERADO PS locales'!M195</f>
        <v>0</v>
      </c>
      <c r="N195" s="322">
        <f>($D35)*'GENERADO PS locales'!N195</f>
        <v>0</v>
      </c>
      <c r="O195" s="322">
        <f>($D35)*'GENERADO PS locales'!O195</f>
        <v>0</v>
      </c>
      <c r="P195" s="322">
        <f>($D35)*'GENERADO PS locales'!P195</f>
        <v>0</v>
      </c>
      <c r="Q195" s="322">
        <f>($D35)*'GENERADO PS locales'!Q195</f>
        <v>0</v>
      </c>
      <c r="R195" s="322">
        <f>($D35)*'GENERADO PS locales'!R195</f>
        <v>0</v>
      </c>
      <c r="S195" s="322">
        <f>($D35)*'GENERADO PS locales'!S195</f>
        <v>0</v>
      </c>
      <c r="T195" s="322">
        <f>($D35)*'GENERADO PS locales'!T195</f>
        <v>0</v>
      </c>
      <c r="U195" s="322">
        <f>($D35)*'GENERADO PS locales'!U195</f>
        <v>0</v>
      </c>
      <c r="V195" s="322">
        <f>($D35)*'GENERADO PS locales'!V195</f>
        <v>0</v>
      </c>
      <c r="W195" s="322">
        <f>($D35)*'GENERADO PS locales'!W195</f>
        <v>0</v>
      </c>
      <c r="X195" s="322">
        <f>($D35)*'GENERADO PS locales'!X195</f>
        <v>0</v>
      </c>
      <c r="Y195" s="322">
        <f>($D35)*'GENERADO PS locales'!Y195</f>
        <v>0</v>
      </c>
      <c r="Z195" s="322">
        <f>($D35)*'GENERADO PS locales'!Z195</f>
        <v>0</v>
      </c>
    </row>
    <row r="196" spans="1:26" ht="24.95" customHeight="1">
      <c r="A196" s="260" t="str">
        <f>+Pobl_adoptada!A36</f>
        <v>Azul</v>
      </c>
      <c r="B196" s="70">
        <f>+Pobl_adoptada!B36</f>
        <v>32</v>
      </c>
      <c r="C196" s="71" t="str">
        <f>+Pobl_adoptada!C36</f>
        <v>Azul</v>
      </c>
      <c r="D196" s="291"/>
      <c r="E196" s="278"/>
      <c r="F196" s="263"/>
      <c r="G196" s="322">
        <f>($D36)*'GENERADO PS locales'!G196</f>
        <v>0</v>
      </c>
      <c r="H196" s="322">
        <f>($D36)*'GENERADO PS locales'!H196</f>
        <v>0</v>
      </c>
      <c r="I196" s="322">
        <f>($D36)*'GENERADO PS locales'!I196</f>
        <v>0</v>
      </c>
      <c r="J196" s="322">
        <f>($D36)*'GENERADO PS locales'!J196</f>
        <v>0</v>
      </c>
      <c r="K196" s="322">
        <f>($D36)*'GENERADO PS locales'!K196</f>
        <v>0</v>
      </c>
      <c r="L196" s="322">
        <f>($D36)*'GENERADO PS locales'!L196</f>
        <v>0</v>
      </c>
      <c r="M196" s="322">
        <f>($D36)*'GENERADO PS locales'!M196</f>
        <v>0</v>
      </c>
      <c r="N196" s="322">
        <f>($D36)*'GENERADO PS locales'!N196</f>
        <v>0</v>
      </c>
      <c r="O196" s="322">
        <f>($D36)*'GENERADO PS locales'!O196</f>
        <v>0</v>
      </c>
      <c r="P196" s="322">
        <f>($D36)*'GENERADO PS locales'!P196</f>
        <v>0</v>
      </c>
      <c r="Q196" s="322">
        <f>($D36)*'GENERADO PS locales'!Q196</f>
        <v>0</v>
      </c>
      <c r="R196" s="322">
        <f>($D36)*'GENERADO PS locales'!R196</f>
        <v>0</v>
      </c>
      <c r="S196" s="322">
        <f>($D36)*'GENERADO PS locales'!S196</f>
        <v>0</v>
      </c>
      <c r="T196" s="322">
        <f>($D36)*'GENERADO PS locales'!T196</f>
        <v>0</v>
      </c>
      <c r="U196" s="322">
        <f>($D36)*'GENERADO PS locales'!U196</f>
        <v>0</v>
      </c>
      <c r="V196" s="322">
        <f>($D36)*'GENERADO PS locales'!V196</f>
        <v>0</v>
      </c>
      <c r="W196" s="322">
        <f>($D36)*'GENERADO PS locales'!W196</f>
        <v>0</v>
      </c>
      <c r="X196" s="322">
        <f>($D36)*'GENERADO PS locales'!X196</f>
        <v>0</v>
      </c>
      <c r="Y196" s="322">
        <f>($D36)*'GENERADO PS locales'!Y196</f>
        <v>0</v>
      </c>
      <c r="Z196" s="322">
        <f>($D36)*'GENERADO PS locales'!Z196</f>
        <v>0</v>
      </c>
    </row>
    <row r="197" spans="1:26" ht="24.95" customHeight="1">
      <c r="A197" s="260" t="str">
        <f>+Pobl_adoptada!A37</f>
        <v>Bahía Blanca</v>
      </c>
      <c r="B197" s="70">
        <f>+Pobl_adoptada!B37</f>
        <v>33</v>
      </c>
      <c r="C197" s="71" t="str">
        <f>+Pobl_adoptada!C37</f>
        <v>Bahía Blanca</v>
      </c>
      <c r="D197" s="291"/>
      <c r="E197" s="278"/>
      <c r="F197" s="263"/>
      <c r="G197" s="322">
        <f>($D37)*'GENERADO PS locales'!G197</f>
        <v>0</v>
      </c>
      <c r="H197" s="322">
        <f>($D37)*'GENERADO PS locales'!H197</f>
        <v>0</v>
      </c>
      <c r="I197" s="322">
        <f>($D37)*'GENERADO PS locales'!I197</f>
        <v>0</v>
      </c>
      <c r="J197" s="322">
        <f>($D37)*'GENERADO PS locales'!J197</f>
        <v>0</v>
      </c>
      <c r="K197" s="322">
        <f>($D37)*'GENERADO PS locales'!K197</f>
        <v>0</v>
      </c>
      <c r="L197" s="322">
        <f>($D37)*'GENERADO PS locales'!L197</f>
        <v>0</v>
      </c>
      <c r="M197" s="322">
        <f>($D37)*'GENERADO PS locales'!M197</f>
        <v>0</v>
      </c>
      <c r="N197" s="322">
        <f>($D37)*'GENERADO PS locales'!N197</f>
        <v>0</v>
      </c>
      <c r="O197" s="322">
        <f>($D37)*'GENERADO PS locales'!O197</f>
        <v>0</v>
      </c>
      <c r="P197" s="322">
        <f>($D37)*'GENERADO PS locales'!P197</f>
        <v>0</v>
      </c>
      <c r="Q197" s="322">
        <f>($D37)*'GENERADO PS locales'!Q197</f>
        <v>0</v>
      </c>
      <c r="R197" s="322">
        <f>($D37)*'GENERADO PS locales'!R197</f>
        <v>0</v>
      </c>
      <c r="S197" s="322">
        <f>($D37)*'GENERADO PS locales'!S197</f>
        <v>0</v>
      </c>
      <c r="T197" s="322">
        <f>($D37)*'GENERADO PS locales'!T197</f>
        <v>0</v>
      </c>
      <c r="U197" s="322">
        <f>($D37)*'GENERADO PS locales'!U197</f>
        <v>0</v>
      </c>
      <c r="V197" s="322">
        <f>($D37)*'GENERADO PS locales'!V197</f>
        <v>0</v>
      </c>
      <c r="W197" s="322">
        <f>($D37)*'GENERADO PS locales'!W197</f>
        <v>0</v>
      </c>
      <c r="X197" s="322">
        <f>($D37)*'GENERADO PS locales'!X197</f>
        <v>0</v>
      </c>
      <c r="Y197" s="322">
        <f>($D37)*'GENERADO PS locales'!Y197</f>
        <v>0</v>
      </c>
      <c r="Z197" s="322">
        <f>($D37)*'GENERADO PS locales'!Z197</f>
        <v>0</v>
      </c>
    </row>
    <row r="198" spans="1:26" ht="24.95" customHeight="1">
      <c r="A198" s="260" t="str">
        <f>+Pobl_adoptada!A38</f>
        <v>Balcarce</v>
      </c>
      <c r="B198" s="70">
        <f>+Pobl_adoptada!B38</f>
        <v>34</v>
      </c>
      <c r="C198" s="71" t="str">
        <f>+Pobl_adoptada!C38</f>
        <v>Balcarce</v>
      </c>
      <c r="D198" s="291"/>
      <c r="E198" s="278"/>
      <c r="F198" s="263"/>
      <c r="G198" s="322">
        <f>($D38)*'GENERADO PS locales'!G198</f>
        <v>0</v>
      </c>
      <c r="H198" s="322">
        <f>($D38)*'GENERADO PS locales'!H198</f>
        <v>0</v>
      </c>
      <c r="I198" s="322">
        <f>($D38)*'GENERADO PS locales'!I198</f>
        <v>0</v>
      </c>
      <c r="J198" s="322">
        <f>($D38)*'GENERADO PS locales'!J198</f>
        <v>0</v>
      </c>
      <c r="K198" s="322">
        <f>($D38)*'GENERADO PS locales'!K198</f>
        <v>0</v>
      </c>
      <c r="L198" s="322">
        <f>($D38)*'GENERADO PS locales'!L198</f>
        <v>0</v>
      </c>
      <c r="M198" s="322">
        <f>($D38)*'GENERADO PS locales'!M198</f>
        <v>0</v>
      </c>
      <c r="N198" s="322">
        <f>($D38)*'GENERADO PS locales'!N198</f>
        <v>0</v>
      </c>
      <c r="O198" s="322">
        <f>($D38)*'GENERADO PS locales'!O198</f>
        <v>0</v>
      </c>
      <c r="P198" s="322">
        <f>($D38)*'GENERADO PS locales'!P198</f>
        <v>0</v>
      </c>
      <c r="Q198" s="322">
        <f>($D38)*'GENERADO PS locales'!Q198</f>
        <v>0</v>
      </c>
      <c r="R198" s="322">
        <f>($D38)*'GENERADO PS locales'!R198</f>
        <v>0</v>
      </c>
      <c r="S198" s="322">
        <f>($D38)*'GENERADO PS locales'!S198</f>
        <v>0</v>
      </c>
      <c r="T198" s="322">
        <f>($D38)*'GENERADO PS locales'!T198</f>
        <v>0</v>
      </c>
      <c r="U198" s="322">
        <f>($D38)*'GENERADO PS locales'!U198</f>
        <v>0</v>
      </c>
      <c r="V198" s="322">
        <f>($D38)*'GENERADO PS locales'!V198</f>
        <v>0</v>
      </c>
      <c r="W198" s="322">
        <f>($D38)*'GENERADO PS locales'!W198</f>
        <v>0</v>
      </c>
      <c r="X198" s="322">
        <f>($D38)*'GENERADO PS locales'!X198</f>
        <v>0</v>
      </c>
      <c r="Y198" s="322">
        <f>($D38)*'GENERADO PS locales'!Y198</f>
        <v>0</v>
      </c>
      <c r="Z198" s="322">
        <f>($D38)*'GENERADO PS locales'!Z198</f>
        <v>0</v>
      </c>
    </row>
    <row r="199" spans="1:26" ht="24.95" customHeight="1">
      <c r="A199" s="260" t="str">
        <f>+Pobl_adoptada!A39</f>
        <v>Baradero</v>
      </c>
      <c r="B199" s="70">
        <f>+Pobl_adoptada!B39</f>
        <v>35</v>
      </c>
      <c r="C199" s="71" t="str">
        <f>+Pobl_adoptada!C39</f>
        <v>Baradero</v>
      </c>
      <c r="D199" s="291"/>
      <c r="E199" s="278"/>
      <c r="F199" s="263"/>
      <c r="G199" s="322">
        <f>($D39)*'GENERADO PS locales'!G199</f>
        <v>0</v>
      </c>
      <c r="H199" s="322">
        <f>($D39)*'GENERADO PS locales'!H199</f>
        <v>0</v>
      </c>
      <c r="I199" s="322">
        <f>($D39)*'GENERADO PS locales'!I199</f>
        <v>0</v>
      </c>
      <c r="J199" s="322">
        <f>($D39)*'GENERADO PS locales'!J199</f>
        <v>0</v>
      </c>
      <c r="K199" s="322">
        <f>($D39)*'GENERADO PS locales'!K199</f>
        <v>0</v>
      </c>
      <c r="L199" s="322">
        <f>($D39)*'GENERADO PS locales'!L199</f>
        <v>0</v>
      </c>
      <c r="M199" s="322">
        <f>($D39)*'GENERADO PS locales'!M199</f>
        <v>0</v>
      </c>
      <c r="N199" s="322">
        <f>($D39)*'GENERADO PS locales'!N199</f>
        <v>0</v>
      </c>
      <c r="O199" s="322">
        <f>($D39)*'GENERADO PS locales'!O199</f>
        <v>0</v>
      </c>
      <c r="P199" s="322">
        <f>($D39)*'GENERADO PS locales'!P199</f>
        <v>0</v>
      </c>
      <c r="Q199" s="322">
        <f>($D39)*'GENERADO PS locales'!Q199</f>
        <v>0</v>
      </c>
      <c r="R199" s="322">
        <f>($D39)*'GENERADO PS locales'!R199</f>
        <v>0</v>
      </c>
      <c r="S199" s="322">
        <f>($D39)*'GENERADO PS locales'!S199</f>
        <v>0</v>
      </c>
      <c r="T199" s="322">
        <f>($D39)*'GENERADO PS locales'!T199</f>
        <v>0</v>
      </c>
      <c r="U199" s="322">
        <f>($D39)*'GENERADO PS locales'!U199</f>
        <v>0</v>
      </c>
      <c r="V199" s="322">
        <f>($D39)*'GENERADO PS locales'!V199</f>
        <v>0</v>
      </c>
      <c r="W199" s="322">
        <f>($D39)*'GENERADO PS locales'!W199</f>
        <v>0</v>
      </c>
      <c r="X199" s="322">
        <f>($D39)*'GENERADO PS locales'!X199</f>
        <v>0</v>
      </c>
      <c r="Y199" s="322">
        <f>($D39)*'GENERADO PS locales'!Y199</f>
        <v>0</v>
      </c>
      <c r="Z199" s="322">
        <f>($D39)*'GENERADO PS locales'!Z199</f>
        <v>0</v>
      </c>
    </row>
    <row r="200" spans="1:26" ht="24.95" customHeight="1">
      <c r="A200" s="260" t="str">
        <f>+Pobl_adoptada!A40</f>
        <v>Benito Juárez</v>
      </c>
      <c r="B200" s="70">
        <f>+Pobl_adoptada!B40</f>
        <v>36</v>
      </c>
      <c r="C200" s="71" t="str">
        <f>+Pobl_adoptada!C40</f>
        <v>Benito Juárez</v>
      </c>
      <c r="D200" s="291"/>
      <c r="E200" s="278"/>
      <c r="F200" s="263"/>
      <c r="G200" s="322">
        <f>($D40)*'GENERADO PS locales'!G200</f>
        <v>0</v>
      </c>
      <c r="H200" s="322">
        <f>($D40)*'GENERADO PS locales'!H200</f>
        <v>0</v>
      </c>
      <c r="I200" s="322">
        <f>($D40)*'GENERADO PS locales'!I200</f>
        <v>0</v>
      </c>
      <c r="J200" s="322">
        <f>($D40)*'GENERADO PS locales'!J200</f>
        <v>0</v>
      </c>
      <c r="K200" s="322">
        <f>($D40)*'GENERADO PS locales'!K200</f>
        <v>0</v>
      </c>
      <c r="L200" s="322">
        <f>($D40)*'GENERADO PS locales'!L200</f>
        <v>0</v>
      </c>
      <c r="M200" s="322">
        <f>($D40)*'GENERADO PS locales'!M200</f>
        <v>0</v>
      </c>
      <c r="N200" s="322">
        <f>($D40)*'GENERADO PS locales'!N200</f>
        <v>0</v>
      </c>
      <c r="O200" s="322">
        <f>($D40)*'GENERADO PS locales'!O200</f>
        <v>0</v>
      </c>
      <c r="P200" s="322">
        <f>($D40)*'GENERADO PS locales'!P200</f>
        <v>0</v>
      </c>
      <c r="Q200" s="322">
        <f>($D40)*'GENERADO PS locales'!Q200</f>
        <v>0</v>
      </c>
      <c r="R200" s="322">
        <f>($D40)*'GENERADO PS locales'!R200</f>
        <v>0</v>
      </c>
      <c r="S200" s="322">
        <f>($D40)*'GENERADO PS locales'!S200</f>
        <v>0</v>
      </c>
      <c r="T200" s="322">
        <f>($D40)*'GENERADO PS locales'!T200</f>
        <v>0</v>
      </c>
      <c r="U200" s="322">
        <f>($D40)*'GENERADO PS locales'!U200</f>
        <v>0</v>
      </c>
      <c r="V200" s="322">
        <f>($D40)*'GENERADO PS locales'!V200</f>
        <v>0</v>
      </c>
      <c r="W200" s="322">
        <f>($D40)*'GENERADO PS locales'!W200</f>
        <v>0</v>
      </c>
      <c r="X200" s="322">
        <f>($D40)*'GENERADO PS locales'!X200</f>
        <v>0</v>
      </c>
      <c r="Y200" s="322">
        <f>($D40)*'GENERADO PS locales'!Y200</f>
        <v>0</v>
      </c>
      <c r="Z200" s="322">
        <f>($D40)*'GENERADO PS locales'!Z200</f>
        <v>0</v>
      </c>
    </row>
    <row r="201" spans="1:26" ht="24.95" customHeight="1">
      <c r="A201" s="260" t="str">
        <f>+Pobl_adoptada!A41</f>
        <v>Berisso</v>
      </c>
      <c r="B201" s="70">
        <f>+Pobl_adoptada!B41</f>
        <v>37</v>
      </c>
      <c r="C201" s="71" t="str">
        <f>+Pobl_adoptada!C41</f>
        <v>Berisso</v>
      </c>
      <c r="D201" s="291"/>
      <c r="E201" s="278"/>
      <c r="F201" s="263"/>
      <c r="G201" s="322">
        <f>($D41)*'GENERADO PS locales'!G201</f>
        <v>0</v>
      </c>
      <c r="H201" s="322">
        <f>($D41)*'GENERADO PS locales'!H201</f>
        <v>0</v>
      </c>
      <c r="I201" s="322">
        <f>($D41)*'GENERADO PS locales'!I201</f>
        <v>0</v>
      </c>
      <c r="J201" s="322">
        <f>($D41)*'GENERADO PS locales'!J201</f>
        <v>0</v>
      </c>
      <c r="K201" s="322">
        <f>($D41)*'GENERADO PS locales'!K201</f>
        <v>0</v>
      </c>
      <c r="L201" s="322">
        <f>($D41)*'GENERADO PS locales'!L201</f>
        <v>0</v>
      </c>
      <c r="M201" s="322">
        <f>($D41)*'GENERADO PS locales'!M201</f>
        <v>0</v>
      </c>
      <c r="N201" s="322">
        <f>($D41)*'GENERADO PS locales'!N201</f>
        <v>0</v>
      </c>
      <c r="O201" s="322">
        <f>($D41)*'GENERADO PS locales'!O201</f>
        <v>0</v>
      </c>
      <c r="P201" s="322">
        <f>($D41)*'GENERADO PS locales'!P201</f>
        <v>0</v>
      </c>
      <c r="Q201" s="322">
        <f>($D41)*'GENERADO PS locales'!Q201</f>
        <v>0</v>
      </c>
      <c r="R201" s="322">
        <f>($D41)*'GENERADO PS locales'!R201</f>
        <v>0</v>
      </c>
      <c r="S201" s="322">
        <f>($D41)*'GENERADO PS locales'!S201</f>
        <v>0</v>
      </c>
      <c r="T201" s="322">
        <f>($D41)*'GENERADO PS locales'!T201</f>
        <v>0</v>
      </c>
      <c r="U201" s="322">
        <f>($D41)*'GENERADO PS locales'!U201</f>
        <v>0</v>
      </c>
      <c r="V201" s="322">
        <f>($D41)*'GENERADO PS locales'!V201</f>
        <v>0</v>
      </c>
      <c r="W201" s="322">
        <f>($D41)*'GENERADO PS locales'!W201</f>
        <v>0</v>
      </c>
      <c r="X201" s="322">
        <f>($D41)*'GENERADO PS locales'!X201</f>
        <v>0</v>
      </c>
      <c r="Y201" s="322">
        <f>($D41)*'GENERADO PS locales'!Y201</f>
        <v>0</v>
      </c>
      <c r="Z201" s="322">
        <f>($D41)*'GENERADO PS locales'!Z201</f>
        <v>0</v>
      </c>
    </row>
    <row r="202" spans="1:26" ht="24.95" customHeight="1">
      <c r="A202" s="260" t="str">
        <f>+Pobl_adoptada!A42</f>
        <v>Bolívar</v>
      </c>
      <c r="B202" s="70">
        <f>+Pobl_adoptada!B42</f>
        <v>38</v>
      </c>
      <c r="C202" s="71" t="str">
        <f>+Pobl_adoptada!C42</f>
        <v>San Carlos de Bolívar</v>
      </c>
      <c r="D202" s="291"/>
      <c r="E202" s="278"/>
      <c r="F202" s="263"/>
      <c r="G202" s="322">
        <f>($D42)*'GENERADO PS locales'!G202</f>
        <v>0</v>
      </c>
      <c r="H202" s="322">
        <f>($D42)*'GENERADO PS locales'!H202</f>
        <v>0</v>
      </c>
      <c r="I202" s="322">
        <f>($D42)*'GENERADO PS locales'!I202</f>
        <v>0</v>
      </c>
      <c r="J202" s="322">
        <f>($D42)*'GENERADO PS locales'!J202</f>
        <v>0</v>
      </c>
      <c r="K202" s="322">
        <f>($D42)*'GENERADO PS locales'!K202</f>
        <v>0</v>
      </c>
      <c r="L202" s="322">
        <f>($D42)*'GENERADO PS locales'!L202</f>
        <v>0</v>
      </c>
      <c r="M202" s="322">
        <f>($D42)*'GENERADO PS locales'!M202</f>
        <v>0</v>
      </c>
      <c r="N202" s="322">
        <f>($D42)*'GENERADO PS locales'!N202</f>
        <v>0</v>
      </c>
      <c r="O202" s="322">
        <f>($D42)*'GENERADO PS locales'!O202</f>
        <v>0</v>
      </c>
      <c r="P202" s="322">
        <f>($D42)*'GENERADO PS locales'!P202</f>
        <v>0</v>
      </c>
      <c r="Q202" s="322">
        <f>($D42)*'GENERADO PS locales'!Q202</f>
        <v>0</v>
      </c>
      <c r="R202" s="322">
        <f>($D42)*'GENERADO PS locales'!R202</f>
        <v>0</v>
      </c>
      <c r="S202" s="322">
        <f>($D42)*'GENERADO PS locales'!S202</f>
        <v>0</v>
      </c>
      <c r="T202" s="322">
        <f>($D42)*'GENERADO PS locales'!T202</f>
        <v>0</v>
      </c>
      <c r="U202" s="322">
        <f>($D42)*'GENERADO PS locales'!U202</f>
        <v>0</v>
      </c>
      <c r="V202" s="322">
        <f>($D42)*'GENERADO PS locales'!V202</f>
        <v>0</v>
      </c>
      <c r="W202" s="322">
        <f>($D42)*'GENERADO PS locales'!W202</f>
        <v>0</v>
      </c>
      <c r="X202" s="322">
        <f>($D42)*'GENERADO PS locales'!X202</f>
        <v>0</v>
      </c>
      <c r="Y202" s="322">
        <f>($D42)*'GENERADO PS locales'!Y202</f>
        <v>0</v>
      </c>
      <c r="Z202" s="322">
        <f>($D42)*'GENERADO PS locales'!Z202</f>
        <v>0</v>
      </c>
    </row>
    <row r="203" spans="1:26" ht="24.95" customHeight="1">
      <c r="A203" s="260" t="str">
        <f>+Pobl_adoptada!A43</f>
        <v>Bragado</v>
      </c>
      <c r="B203" s="70">
        <f>+Pobl_adoptada!B43</f>
        <v>39</v>
      </c>
      <c r="C203" s="71" t="str">
        <f>+Pobl_adoptada!C43</f>
        <v>Bragado</v>
      </c>
      <c r="D203" s="291"/>
      <c r="E203" s="278"/>
      <c r="F203" s="263"/>
      <c r="G203" s="322">
        <f>($D43)*'GENERADO PS locales'!G203</f>
        <v>0</v>
      </c>
      <c r="H203" s="322">
        <f>($D43)*'GENERADO PS locales'!H203</f>
        <v>0</v>
      </c>
      <c r="I203" s="322">
        <f>($D43)*'GENERADO PS locales'!I203</f>
        <v>0</v>
      </c>
      <c r="J203" s="322">
        <f>($D43)*'GENERADO PS locales'!J203</f>
        <v>0</v>
      </c>
      <c r="K203" s="322">
        <f>($D43)*'GENERADO PS locales'!K203</f>
        <v>0</v>
      </c>
      <c r="L203" s="322">
        <f>($D43)*'GENERADO PS locales'!L203</f>
        <v>0</v>
      </c>
      <c r="M203" s="322">
        <f>($D43)*'GENERADO PS locales'!M203</f>
        <v>0</v>
      </c>
      <c r="N203" s="322">
        <f>($D43)*'GENERADO PS locales'!N203</f>
        <v>0</v>
      </c>
      <c r="O203" s="322">
        <f>($D43)*'GENERADO PS locales'!O203</f>
        <v>0</v>
      </c>
      <c r="P203" s="322">
        <f>($D43)*'GENERADO PS locales'!P203</f>
        <v>0</v>
      </c>
      <c r="Q203" s="322">
        <f>($D43)*'GENERADO PS locales'!Q203</f>
        <v>0</v>
      </c>
      <c r="R203" s="322">
        <f>($D43)*'GENERADO PS locales'!R203</f>
        <v>0</v>
      </c>
      <c r="S203" s="322">
        <f>($D43)*'GENERADO PS locales'!S203</f>
        <v>0</v>
      </c>
      <c r="T203" s="322">
        <f>($D43)*'GENERADO PS locales'!T203</f>
        <v>0</v>
      </c>
      <c r="U203" s="322">
        <f>($D43)*'GENERADO PS locales'!U203</f>
        <v>0</v>
      </c>
      <c r="V203" s="322">
        <f>($D43)*'GENERADO PS locales'!V203</f>
        <v>0</v>
      </c>
      <c r="W203" s="322">
        <f>($D43)*'GENERADO PS locales'!W203</f>
        <v>0</v>
      </c>
      <c r="X203" s="322">
        <f>($D43)*'GENERADO PS locales'!X203</f>
        <v>0</v>
      </c>
      <c r="Y203" s="322">
        <f>($D43)*'GENERADO PS locales'!Y203</f>
        <v>0</v>
      </c>
      <c r="Z203" s="322">
        <f>($D43)*'GENERADO PS locales'!Z203</f>
        <v>0</v>
      </c>
    </row>
    <row r="204" spans="1:26" ht="24.95" customHeight="1">
      <c r="A204" s="260" t="str">
        <f>+Pobl_adoptada!A44</f>
        <v>Brandsen</v>
      </c>
      <c r="B204" s="70">
        <f>+Pobl_adoptada!B44</f>
        <v>40</v>
      </c>
      <c r="C204" s="71" t="str">
        <f>+Pobl_adoptada!C44</f>
        <v>Coronel Brandsen</v>
      </c>
      <c r="D204" s="291"/>
      <c r="E204" s="278"/>
      <c r="F204" s="263"/>
      <c r="G204" s="322">
        <f>($D44)*'GENERADO PS locales'!G204</f>
        <v>0</v>
      </c>
      <c r="H204" s="322">
        <f>($D44)*'GENERADO PS locales'!H204</f>
        <v>0</v>
      </c>
      <c r="I204" s="322">
        <f>($D44)*'GENERADO PS locales'!I204</f>
        <v>0</v>
      </c>
      <c r="J204" s="322">
        <f>($D44)*'GENERADO PS locales'!J204</f>
        <v>0</v>
      </c>
      <c r="K204" s="322">
        <f>($D44)*'GENERADO PS locales'!K204</f>
        <v>0</v>
      </c>
      <c r="L204" s="322">
        <f>($D44)*'GENERADO PS locales'!L204</f>
        <v>0</v>
      </c>
      <c r="M204" s="322">
        <f>($D44)*'GENERADO PS locales'!M204</f>
        <v>0</v>
      </c>
      <c r="N204" s="322">
        <f>($D44)*'GENERADO PS locales'!N204</f>
        <v>0</v>
      </c>
      <c r="O204" s="322">
        <f>($D44)*'GENERADO PS locales'!O204</f>
        <v>0</v>
      </c>
      <c r="P204" s="322">
        <f>($D44)*'GENERADO PS locales'!P204</f>
        <v>0</v>
      </c>
      <c r="Q204" s="322">
        <f>($D44)*'GENERADO PS locales'!Q204</f>
        <v>0</v>
      </c>
      <c r="R204" s="322">
        <f>($D44)*'GENERADO PS locales'!R204</f>
        <v>0</v>
      </c>
      <c r="S204" s="322">
        <f>($D44)*'GENERADO PS locales'!S204</f>
        <v>0</v>
      </c>
      <c r="T204" s="322">
        <f>($D44)*'GENERADO PS locales'!T204</f>
        <v>0</v>
      </c>
      <c r="U204" s="322">
        <f>($D44)*'GENERADO PS locales'!U204</f>
        <v>0</v>
      </c>
      <c r="V204" s="322">
        <f>($D44)*'GENERADO PS locales'!V204</f>
        <v>0</v>
      </c>
      <c r="W204" s="322">
        <f>($D44)*'GENERADO PS locales'!W204</f>
        <v>0</v>
      </c>
      <c r="X204" s="322">
        <f>($D44)*'GENERADO PS locales'!X204</f>
        <v>0</v>
      </c>
      <c r="Y204" s="322">
        <f>($D44)*'GENERADO PS locales'!Y204</f>
        <v>0</v>
      </c>
      <c r="Z204" s="322">
        <f>($D44)*'GENERADO PS locales'!Z204</f>
        <v>0</v>
      </c>
    </row>
    <row r="205" spans="1:26" ht="24.95" customHeight="1">
      <c r="A205" s="260" t="str">
        <f>+Pobl_adoptada!A45</f>
        <v>Campana</v>
      </c>
      <c r="B205" s="70">
        <f>+Pobl_adoptada!B45</f>
        <v>41</v>
      </c>
      <c r="C205" s="71" t="str">
        <f>+Pobl_adoptada!C45</f>
        <v>Campana</v>
      </c>
      <c r="D205" s="291"/>
      <c r="E205" s="278"/>
      <c r="F205" s="263"/>
      <c r="G205" s="322">
        <f>($D45)*'GENERADO PS locales'!G205</f>
        <v>0</v>
      </c>
      <c r="H205" s="322">
        <f>($D45)*'GENERADO PS locales'!H205</f>
        <v>0</v>
      </c>
      <c r="I205" s="322">
        <f>($D45)*'GENERADO PS locales'!I205</f>
        <v>0</v>
      </c>
      <c r="J205" s="322">
        <f>($D45)*'GENERADO PS locales'!J205</f>
        <v>0</v>
      </c>
      <c r="K205" s="322">
        <f>($D45)*'GENERADO PS locales'!K205</f>
        <v>0</v>
      </c>
      <c r="L205" s="322">
        <f>($D45)*'GENERADO PS locales'!L205</f>
        <v>0</v>
      </c>
      <c r="M205" s="322">
        <f>($D45)*'GENERADO PS locales'!M205</f>
        <v>0</v>
      </c>
      <c r="N205" s="322">
        <f>($D45)*'GENERADO PS locales'!N205</f>
        <v>0</v>
      </c>
      <c r="O205" s="322">
        <f>($D45)*'GENERADO PS locales'!O205</f>
        <v>0</v>
      </c>
      <c r="P205" s="322">
        <f>($D45)*'GENERADO PS locales'!P205</f>
        <v>0</v>
      </c>
      <c r="Q205" s="322">
        <f>($D45)*'GENERADO PS locales'!Q205</f>
        <v>0</v>
      </c>
      <c r="R205" s="322">
        <f>($D45)*'GENERADO PS locales'!R205</f>
        <v>0</v>
      </c>
      <c r="S205" s="322">
        <f>($D45)*'GENERADO PS locales'!S205</f>
        <v>0</v>
      </c>
      <c r="T205" s="322">
        <f>($D45)*'GENERADO PS locales'!T205</f>
        <v>0</v>
      </c>
      <c r="U205" s="322">
        <f>($D45)*'GENERADO PS locales'!U205</f>
        <v>0</v>
      </c>
      <c r="V205" s="322">
        <f>($D45)*'GENERADO PS locales'!V205</f>
        <v>0</v>
      </c>
      <c r="W205" s="322">
        <f>($D45)*'GENERADO PS locales'!W205</f>
        <v>0</v>
      </c>
      <c r="X205" s="322">
        <f>($D45)*'GENERADO PS locales'!X205</f>
        <v>0</v>
      </c>
      <c r="Y205" s="322">
        <f>($D45)*'GENERADO PS locales'!Y205</f>
        <v>0</v>
      </c>
      <c r="Z205" s="322">
        <f>($D45)*'GENERADO PS locales'!Z205</f>
        <v>0</v>
      </c>
    </row>
    <row r="206" spans="1:26" ht="24.95" customHeight="1">
      <c r="A206" s="260" t="str">
        <f>+Pobl_adoptada!A46</f>
        <v>Cañuelas</v>
      </c>
      <c r="B206" s="70">
        <f>+Pobl_adoptada!B46</f>
        <v>42</v>
      </c>
      <c r="C206" s="71" t="str">
        <f>+Pobl_adoptada!C46</f>
        <v>Cañuelas</v>
      </c>
      <c r="D206" s="291"/>
      <c r="E206" s="278"/>
      <c r="F206" s="263"/>
      <c r="G206" s="322">
        <f>($D46)*'GENERADO PS locales'!G206</f>
        <v>0</v>
      </c>
      <c r="H206" s="322">
        <f>($D46)*'GENERADO PS locales'!H206</f>
        <v>0</v>
      </c>
      <c r="I206" s="322">
        <f>($D46)*'GENERADO PS locales'!I206</f>
        <v>0</v>
      </c>
      <c r="J206" s="322">
        <f>($D46)*'GENERADO PS locales'!J206</f>
        <v>0</v>
      </c>
      <c r="K206" s="322">
        <f>($D46)*'GENERADO PS locales'!K206</f>
        <v>0</v>
      </c>
      <c r="L206" s="322">
        <f>($D46)*'GENERADO PS locales'!L206</f>
        <v>0</v>
      </c>
      <c r="M206" s="322">
        <f>($D46)*'GENERADO PS locales'!M206</f>
        <v>0</v>
      </c>
      <c r="N206" s="322">
        <f>($D46)*'GENERADO PS locales'!N206</f>
        <v>0</v>
      </c>
      <c r="O206" s="322">
        <f>($D46)*'GENERADO PS locales'!O206</f>
        <v>0</v>
      </c>
      <c r="P206" s="322">
        <f>($D46)*'GENERADO PS locales'!P206</f>
        <v>0</v>
      </c>
      <c r="Q206" s="322">
        <f>($D46)*'GENERADO PS locales'!Q206</f>
        <v>0</v>
      </c>
      <c r="R206" s="322">
        <f>($D46)*'GENERADO PS locales'!R206</f>
        <v>0</v>
      </c>
      <c r="S206" s="322">
        <f>($D46)*'GENERADO PS locales'!S206</f>
        <v>0</v>
      </c>
      <c r="T206" s="322">
        <f>($D46)*'GENERADO PS locales'!T206</f>
        <v>0</v>
      </c>
      <c r="U206" s="322">
        <f>($D46)*'GENERADO PS locales'!U206</f>
        <v>0</v>
      </c>
      <c r="V206" s="322">
        <f>($D46)*'GENERADO PS locales'!V206</f>
        <v>0</v>
      </c>
      <c r="W206" s="322">
        <f>($D46)*'GENERADO PS locales'!W206</f>
        <v>0</v>
      </c>
      <c r="X206" s="322">
        <f>($D46)*'GENERADO PS locales'!X206</f>
        <v>0</v>
      </c>
      <c r="Y206" s="322">
        <f>($D46)*'GENERADO PS locales'!Y206</f>
        <v>0</v>
      </c>
      <c r="Z206" s="322">
        <f>($D46)*'GENERADO PS locales'!Z206</f>
        <v>0</v>
      </c>
    </row>
    <row r="207" spans="1:26" ht="24.95" customHeight="1">
      <c r="A207" s="260" t="str">
        <f>+Pobl_adoptada!A47</f>
        <v>Capitán Sarmiento</v>
      </c>
      <c r="B207" s="70">
        <f>+Pobl_adoptada!B47</f>
        <v>43</v>
      </c>
      <c r="C207" s="71" t="str">
        <f>+Pobl_adoptada!C47</f>
        <v>Capitán Sarmiento</v>
      </c>
      <c r="D207" s="291"/>
      <c r="E207" s="278"/>
      <c r="F207" s="263"/>
      <c r="G207" s="322">
        <f>($D47)*'GENERADO PS locales'!G207</f>
        <v>0</v>
      </c>
      <c r="H207" s="322">
        <f>($D47)*'GENERADO PS locales'!H207</f>
        <v>0</v>
      </c>
      <c r="I207" s="322">
        <f>($D47)*'GENERADO PS locales'!I207</f>
        <v>0</v>
      </c>
      <c r="J207" s="322">
        <f>($D47)*'GENERADO PS locales'!J207</f>
        <v>0</v>
      </c>
      <c r="K207" s="322">
        <f>($D47)*'GENERADO PS locales'!K207</f>
        <v>0</v>
      </c>
      <c r="L207" s="322">
        <f>($D47)*'GENERADO PS locales'!L207</f>
        <v>0</v>
      </c>
      <c r="M207" s="322">
        <f>($D47)*'GENERADO PS locales'!M207</f>
        <v>0</v>
      </c>
      <c r="N207" s="322">
        <f>($D47)*'GENERADO PS locales'!N207</f>
        <v>0</v>
      </c>
      <c r="O207" s="322">
        <f>($D47)*'GENERADO PS locales'!O207</f>
        <v>0</v>
      </c>
      <c r="P207" s="322">
        <f>($D47)*'GENERADO PS locales'!P207</f>
        <v>0</v>
      </c>
      <c r="Q207" s="322">
        <f>($D47)*'GENERADO PS locales'!Q207</f>
        <v>0</v>
      </c>
      <c r="R207" s="322">
        <f>($D47)*'GENERADO PS locales'!R207</f>
        <v>0</v>
      </c>
      <c r="S207" s="322">
        <f>($D47)*'GENERADO PS locales'!S207</f>
        <v>0</v>
      </c>
      <c r="T207" s="322">
        <f>($D47)*'GENERADO PS locales'!T207</f>
        <v>0</v>
      </c>
      <c r="U207" s="322">
        <f>($D47)*'GENERADO PS locales'!U207</f>
        <v>0</v>
      </c>
      <c r="V207" s="322">
        <f>($D47)*'GENERADO PS locales'!V207</f>
        <v>0</v>
      </c>
      <c r="W207" s="322">
        <f>($D47)*'GENERADO PS locales'!W207</f>
        <v>0</v>
      </c>
      <c r="X207" s="322">
        <f>($D47)*'GENERADO PS locales'!X207</f>
        <v>0</v>
      </c>
      <c r="Y207" s="322">
        <f>($D47)*'GENERADO PS locales'!Y207</f>
        <v>0</v>
      </c>
      <c r="Z207" s="322">
        <f>($D47)*'GENERADO PS locales'!Z207</f>
        <v>0</v>
      </c>
    </row>
    <row r="208" spans="1:26" ht="24.95" customHeight="1">
      <c r="A208" s="260" t="str">
        <f>+Pobl_adoptada!A48</f>
        <v>Carlos Casares</v>
      </c>
      <c r="B208" s="70">
        <f>+Pobl_adoptada!B48</f>
        <v>44</v>
      </c>
      <c r="C208" s="71" t="str">
        <f>+Pobl_adoptada!C48</f>
        <v>Carlos Casares</v>
      </c>
      <c r="D208" s="291"/>
      <c r="E208" s="278"/>
      <c r="F208" s="263"/>
      <c r="G208" s="322">
        <f>($D48)*'GENERADO PS locales'!G208</f>
        <v>0</v>
      </c>
      <c r="H208" s="322">
        <f>($D48)*'GENERADO PS locales'!H208</f>
        <v>0</v>
      </c>
      <c r="I208" s="322">
        <f>($D48)*'GENERADO PS locales'!I208</f>
        <v>0</v>
      </c>
      <c r="J208" s="322">
        <f>($D48)*'GENERADO PS locales'!J208</f>
        <v>0</v>
      </c>
      <c r="K208" s="322">
        <f>($D48)*'GENERADO PS locales'!K208</f>
        <v>0</v>
      </c>
      <c r="L208" s="322">
        <f>($D48)*'GENERADO PS locales'!L208</f>
        <v>0</v>
      </c>
      <c r="M208" s="322">
        <f>($D48)*'GENERADO PS locales'!M208</f>
        <v>0</v>
      </c>
      <c r="N208" s="322">
        <f>($D48)*'GENERADO PS locales'!N208</f>
        <v>0</v>
      </c>
      <c r="O208" s="322">
        <f>($D48)*'GENERADO PS locales'!O208</f>
        <v>0</v>
      </c>
      <c r="P208" s="322">
        <f>($D48)*'GENERADO PS locales'!P208</f>
        <v>0</v>
      </c>
      <c r="Q208" s="322">
        <f>($D48)*'GENERADO PS locales'!Q208</f>
        <v>0</v>
      </c>
      <c r="R208" s="322">
        <f>($D48)*'GENERADO PS locales'!R208</f>
        <v>0</v>
      </c>
      <c r="S208" s="322">
        <f>($D48)*'GENERADO PS locales'!S208</f>
        <v>0</v>
      </c>
      <c r="T208" s="322">
        <f>($D48)*'GENERADO PS locales'!T208</f>
        <v>0</v>
      </c>
      <c r="U208" s="322">
        <f>($D48)*'GENERADO PS locales'!U208</f>
        <v>0</v>
      </c>
      <c r="V208" s="322">
        <f>($D48)*'GENERADO PS locales'!V208</f>
        <v>0</v>
      </c>
      <c r="W208" s="322">
        <f>($D48)*'GENERADO PS locales'!W208</f>
        <v>0</v>
      </c>
      <c r="X208" s="322">
        <f>($D48)*'GENERADO PS locales'!X208</f>
        <v>0</v>
      </c>
      <c r="Y208" s="322">
        <f>($D48)*'GENERADO PS locales'!Y208</f>
        <v>0</v>
      </c>
      <c r="Z208" s="322">
        <f>($D48)*'GENERADO PS locales'!Z208</f>
        <v>0</v>
      </c>
    </row>
    <row r="209" spans="1:26" ht="24.95" customHeight="1">
      <c r="A209" s="260" t="str">
        <f>+Pobl_adoptada!A49</f>
        <v>Carlos Tejedor</v>
      </c>
      <c r="B209" s="70">
        <f>+Pobl_adoptada!B49</f>
        <v>45</v>
      </c>
      <c r="C209" s="71" t="str">
        <f>+Pobl_adoptada!C49</f>
        <v>Carlos Tejedor</v>
      </c>
      <c r="D209" s="291"/>
      <c r="E209" s="278"/>
      <c r="F209" s="263"/>
      <c r="G209" s="322">
        <f>($D49)*'GENERADO PS locales'!G209</f>
        <v>0</v>
      </c>
      <c r="H209" s="322">
        <f>($D49)*'GENERADO PS locales'!H209</f>
        <v>0</v>
      </c>
      <c r="I209" s="322">
        <f>($D49)*'GENERADO PS locales'!I209</f>
        <v>0</v>
      </c>
      <c r="J209" s="322">
        <f>($D49)*'GENERADO PS locales'!J209</f>
        <v>0</v>
      </c>
      <c r="K209" s="322">
        <f>($D49)*'GENERADO PS locales'!K209</f>
        <v>0</v>
      </c>
      <c r="L209" s="322">
        <f>($D49)*'GENERADO PS locales'!L209</f>
        <v>0</v>
      </c>
      <c r="M209" s="322">
        <f>($D49)*'GENERADO PS locales'!M209</f>
        <v>0</v>
      </c>
      <c r="N209" s="322">
        <f>($D49)*'GENERADO PS locales'!N209</f>
        <v>0</v>
      </c>
      <c r="O209" s="322">
        <f>($D49)*'GENERADO PS locales'!O209</f>
        <v>0</v>
      </c>
      <c r="P209" s="322">
        <f>($D49)*'GENERADO PS locales'!P209</f>
        <v>0</v>
      </c>
      <c r="Q209" s="322">
        <f>($D49)*'GENERADO PS locales'!Q209</f>
        <v>0</v>
      </c>
      <c r="R209" s="322">
        <f>($D49)*'GENERADO PS locales'!R209</f>
        <v>0</v>
      </c>
      <c r="S209" s="322">
        <f>($D49)*'GENERADO PS locales'!S209</f>
        <v>0</v>
      </c>
      <c r="T209" s="322">
        <f>($D49)*'GENERADO PS locales'!T209</f>
        <v>0</v>
      </c>
      <c r="U209" s="322">
        <f>($D49)*'GENERADO PS locales'!U209</f>
        <v>0</v>
      </c>
      <c r="V209" s="322">
        <f>($D49)*'GENERADO PS locales'!V209</f>
        <v>0</v>
      </c>
      <c r="W209" s="322">
        <f>($D49)*'GENERADO PS locales'!W209</f>
        <v>0</v>
      </c>
      <c r="X209" s="322">
        <f>($D49)*'GENERADO PS locales'!X209</f>
        <v>0</v>
      </c>
      <c r="Y209" s="322">
        <f>($D49)*'GENERADO PS locales'!Y209</f>
        <v>0</v>
      </c>
      <c r="Z209" s="322">
        <f>($D49)*'GENERADO PS locales'!Z209</f>
        <v>0</v>
      </c>
    </row>
    <row r="210" spans="1:26" ht="24.95" customHeight="1">
      <c r="A210" s="260" t="str">
        <f>+Pobl_adoptada!A50</f>
        <v>Carmen de Areco</v>
      </c>
      <c r="B210" s="70">
        <f>+Pobl_adoptada!B50</f>
        <v>46</v>
      </c>
      <c r="C210" s="71" t="str">
        <f>+Pobl_adoptada!C50</f>
        <v>Carmen de Areco</v>
      </c>
      <c r="D210" s="291"/>
      <c r="E210" s="278"/>
      <c r="F210" s="263"/>
      <c r="G210" s="322">
        <f>($D50)*'GENERADO PS locales'!G210</f>
        <v>0</v>
      </c>
      <c r="H210" s="322">
        <f>($D50)*'GENERADO PS locales'!H210</f>
        <v>0</v>
      </c>
      <c r="I210" s="322">
        <f>($D50)*'GENERADO PS locales'!I210</f>
        <v>0</v>
      </c>
      <c r="J210" s="322">
        <f>($D50)*'GENERADO PS locales'!J210</f>
        <v>0</v>
      </c>
      <c r="K210" s="322">
        <f>($D50)*'GENERADO PS locales'!K210</f>
        <v>0</v>
      </c>
      <c r="L210" s="322">
        <f>($D50)*'GENERADO PS locales'!L210</f>
        <v>0</v>
      </c>
      <c r="M210" s="322">
        <f>($D50)*'GENERADO PS locales'!M210</f>
        <v>0</v>
      </c>
      <c r="N210" s="322">
        <f>($D50)*'GENERADO PS locales'!N210</f>
        <v>0</v>
      </c>
      <c r="O210" s="322">
        <f>($D50)*'GENERADO PS locales'!O210</f>
        <v>0</v>
      </c>
      <c r="P210" s="322">
        <f>($D50)*'GENERADO PS locales'!P210</f>
        <v>0</v>
      </c>
      <c r="Q210" s="322">
        <f>($D50)*'GENERADO PS locales'!Q210</f>
        <v>0</v>
      </c>
      <c r="R210" s="322">
        <f>($D50)*'GENERADO PS locales'!R210</f>
        <v>0</v>
      </c>
      <c r="S210" s="322">
        <f>($D50)*'GENERADO PS locales'!S210</f>
        <v>0</v>
      </c>
      <c r="T210" s="322">
        <f>($D50)*'GENERADO PS locales'!T210</f>
        <v>0</v>
      </c>
      <c r="U210" s="322">
        <f>($D50)*'GENERADO PS locales'!U210</f>
        <v>0</v>
      </c>
      <c r="V210" s="322">
        <f>($D50)*'GENERADO PS locales'!V210</f>
        <v>0</v>
      </c>
      <c r="W210" s="322">
        <f>($D50)*'GENERADO PS locales'!W210</f>
        <v>0</v>
      </c>
      <c r="X210" s="322">
        <f>($D50)*'GENERADO PS locales'!X210</f>
        <v>0</v>
      </c>
      <c r="Y210" s="322">
        <f>($D50)*'GENERADO PS locales'!Y210</f>
        <v>0</v>
      </c>
      <c r="Z210" s="322">
        <f>($D50)*'GENERADO PS locales'!Z210</f>
        <v>0</v>
      </c>
    </row>
    <row r="211" spans="1:26" ht="24.95" customHeight="1">
      <c r="A211" s="260" t="str">
        <f>+Pobl_adoptada!A51</f>
        <v>Castelli</v>
      </c>
      <c r="B211" s="70">
        <f>+Pobl_adoptada!B51</f>
        <v>47</v>
      </c>
      <c r="C211" s="71" t="str">
        <f>+Pobl_adoptada!C51</f>
        <v>Castelli</v>
      </c>
      <c r="D211" s="291"/>
      <c r="E211" s="278"/>
      <c r="F211" s="263"/>
      <c r="G211" s="322">
        <f>($D51)*'GENERADO PS locales'!G211</f>
        <v>0</v>
      </c>
      <c r="H211" s="322">
        <f>($D51)*'GENERADO PS locales'!H211</f>
        <v>0</v>
      </c>
      <c r="I211" s="322">
        <f>($D51)*'GENERADO PS locales'!I211</f>
        <v>0</v>
      </c>
      <c r="J211" s="322">
        <f>($D51)*'GENERADO PS locales'!J211</f>
        <v>0</v>
      </c>
      <c r="K211" s="322">
        <f>($D51)*'GENERADO PS locales'!K211</f>
        <v>0</v>
      </c>
      <c r="L211" s="322">
        <f>($D51)*'GENERADO PS locales'!L211</f>
        <v>0</v>
      </c>
      <c r="M211" s="322">
        <f>($D51)*'GENERADO PS locales'!M211</f>
        <v>0</v>
      </c>
      <c r="N211" s="322">
        <f>($D51)*'GENERADO PS locales'!N211</f>
        <v>0</v>
      </c>
      <c r="O211" s="322">
        <f>($D51)*'GENERADO PS locales'!O211</f>
        <v>0</v>
      </c>
      <c r="P211" s="322">
        <f>($D51)*'GENERADO PS locales'!P211</f>
        <v>0</v>
      </c>
      <c r="Q211" s="322">
        <f>($D51)*'GENERADO PS locales'!Q211</f>
        <v>0</v>
      </c>
      <c r="R211" s="322">
        <f>($D51)*'GENERADO PS locales'!R211</f>
        <v>0</v>
      </c>
      <c r="S211" s="322">
        <f>($D51)*'GENERADO PS locales'!S211</f>
        <v>0</v>
      </c>
      <c r="T211" s="322">
        <f>($D51)*'GENERADO PS locales'!T211</f>
        <v>0</v>
      </c>
      <c r="U211" s="322">
        <f>($D51)*'GENERADO PS locales'!U211</f>
        <v>0</v>
      </c>
      <c r="V211" s="322">
        <f>($D51)*'GENERADO PS locales'!V211</f>
        <v>0</v>
      </c>
      <c r="W211" s="322">
        <f>($D51)*'GENERADO PS locales'!W211</f>
        <v>0</v>
      </c>
      <c r="X211" s="322">
        <f>($D51)*'GENERADO PS locales'!X211</f>
        <v>0</v>
      </c>
      <c r="Y211" s="322">
        <f>($D51)*'GENERADO PS locales'!Y211</f>
        <v>0</v>
      </c>
      <c r="Z211" s="322">
        <f>($D51)*'GENERADO PS locales'!Z211</f>
        <v>0</v>
      </c>
    </row>
    <row r="212" spans="1:26" ht="24.95" customHeight="1">
      <c r="A212" s="260" t="str">
        <f>+Pobl_adoptada!A52</f>
        <v>Chacabuco</v>
      </c>
      <c r="B212" s="70">
        <f>+Pobl_adoptada!B52</f>
        <v>48</v>
      </c>
      <c r="C212" s="71" t="str">
        <f>+Pobl_adoptada!C52</f>
        <v>Chacabuco</v>
      </c>
      <c r="D212" s="291"/>
      <c r="E212" s="278"/>
      <c r="F212" s="263"/>
      <c r="G212" s="322">
        <f>($D52)*'GENERADO PS locales'!G212</f>
        <v>0</v>
      </c>
      <c r="H212" s="322">
        <f>($D52)*'GENERADO PS locales'!H212</f>
        <v>0</v>
      </c>
      <c r="I212" s="322">
        <f>($D52)*'GENERADO PS locales'!I212</f>
        <v>0</v>
      </c>
      <c r="J212" s="322">
        <f>($D52)*'GENERADO PS locales'!J212</f>
        <v>0</v>
      </c>
      <c r="K212" s="322">
        <f>($D52)*'GENERADO PS locales'!K212</f>
        <v>0</v>
      </c>
      <c r="L212" s="322">
        <f>($D52)*'GENERADO PS locales'!L212</f>
        <v>0</v>
      </c>
      <c r="M212" s="322">
        <f>($D52)*'GENERADO PS locales'!M212</f>
        <v>0</v>
      </c>
      <c r="N212" s="322">
        <f>($D52)*'GENERADO PS locales'!N212</f>
        <v>0</v>
      </c>
      <c r="O212" s="322">
        <f>($D52)*'GENERADO PS locales'!O212</f>
        <v>0</v>
      </c>
      <c r="P212" s="322">
        <f>($D52)*'GENERADO PS locales'!P212</f>
        <v>0</v>
      </c>
      <c r="Q212" s="322">
        <f>($D52)*'GENERADO PS locales'!Q212</f>
        <v>0</v>
      </c>
      <c r="R212" s="322">
        <f>($D52)*'GENERADO PS locales'!R212</f>
        <v>0</v>
      </c>
      <c r="S212" s="322">
        <f>($D52)*'GENERADO PS locales'!S212</f>
        <v>0</v>
      </c>
      <c r="T212" s="322">
        <f>($D52)*'GENERADO PS locales'!T212</f>
        <v>0</v>
      </c>
      <c r="U212" s="322">
        <f>($D52)*'GENERADO PS locales'!U212</f>
        <v>0</v>
      </c>
      <c r="V212" s="322">
        <f>($D52)*'GENERADO PS locales'!V212</f>
        <v>0</v>
      </c>
      <c r="W212" s="322">
        <f>($D52)*'GENERADO PS locales'!W212</f>
        <v>0</v>
      </c>
      <c r="X212" s="322">
        <f>($D52)*'GENERADO PS locales'!X212</f>
        <v>0</v>
      </c>
      <c r="Y212" s="322">
        <f>($D52)*'GENERADO PS locales'!Y212</f>
        <v>0</v>
      </c>
      <c r="Z212" s="322">
        <f>($D52)*'GENERADO PS locales'!Z212</f>
        <v>0</v>
      </c>
    </row>
    <row r="213" spans="1:26" ht="24.95" customHeight="1">
      <c r="A213" s="260" t="str">
        <f>+Pobl_adoptada!A53</f>
        <v>Chascomús</v>
      </c>
      <c r="B213" s="70">
        <f>+Pobl_adoptada!B53</f>
        <v>49</v>
      </c>
      <c r="C213" s="71" t="str">
        <f>+Pobl_adoptada!C53</f>
        <v>Chascomús</v>
      </c>
      <c r="D213" s="291"/>
      <c r="E213" s="278"/>
      <c r="F213" s="263"/>
      <c r="G213" s="322">
        <f>($D53)*'GENERADO PS locales'!G213</f>
        <v>0</v>
      </c>
      <c r="H213" s="322">
        <f>($D53)*'GENERADO PS locales'!H213</f>
        <v>0</v>
      </c>
      <c r="I213" s="322">
        <f>($D53)*'GENERADO PS locales'!I213</f>
        <v>0</v>
      </c>
      <c r="J213" s="322">
        <f>($D53)*'GENERADO PS locales'!J213</f>
        <v>0</v>
      </c>
      <c r="K213" s="322">
        <f>($D53)*'GENERADO PS locales'!K213</f>
        <v>0</v>
      </c>
      <c r="L213" s="322">
        <f>($D53)*'GENERADO PS locales'!L213</f>
        <v>0</v>
      </c>
      <c r="M213" s="322">
        <f>($D53)*'GENERADO PS locales'!M213</f>
        <v>0</v>
      </c>
      <c r="N213" s="322">
        <f>($D53)*'GENERADO PS locales'!N213</f>
        <v>0</v>
      </c>
      <c r="O213" s="322">
        <f>($D53)*'GENERADO PS locales'!O213</f>
        <v>0</v>
      </c>
      <c r="P213" s="322">
        <f>($D53)*'GENERADO PS locales'!P213</f>
        <v>0</v>
      </c>
      <c r="Q213" s="322">
        <f>($D53)*'GENERADO PS locales'!Q213</f>
        <v>0</v>
      </c>
      <c r="R213" s="322">
        <f>($D53)*'GENERADO PS locales'!R213</f>
        <v>0</v>
      </c>
      <c r="S213" s="322">
        <f>($D53)*'GENERADO PS locales'!S213</f>
        <v>0</v>
      </c>
      <c r="T213" s="322">
        <f>($D53)*'GENERADO PS locales'!T213</f>
        <v>0</v>
      </c>
      <c r="U213" s="322">
        <f>($D53)*'GENERADO PS locales'!U213</f>
        <v>0</v>
      </c>
      <c r="V213" s="322">
        <f>($D53)*'GENERADO PS locales'!V213</f>
        <v>0</v>
      </c>
      <c r="W213" s="322">
        <f>($D53)*'GENERADO PS locales'!W213</f>
        <v>0</v>
      </c>
      <c r="X213" s="322">
        <f>($D53)*'GENERADO PS locales'!X213</f>
        <v>0</v>
      </c>
      <c r="Y213" s="322">
        <f>($D53)*'GENERADO PS locales'!Y213</f>
        <v>0</v>
      </c>
      <c r="Z213" s="322">
        <f>($D53)*'GENERADO PS locales'!Z213</f>
        <v>0</v>
      </c>
    </row>
    <row r="214" spans="1:26" ht="24.95" customHeight="1">
      <c r="A214" s="260" t="str">
        <f>+Pobl_adoptada!A54</f>
        <v>Chivilcoy</v>
      </c>
      <c r="B214" s="70">
        <f>+Pobl_adoptada!B54</f>
        <v>50</v>
      </c>
      <c r="C214" s="71" t="str">
        <f>+Pobl_adoptada!C54</f>
        <v>Chivilcoy</v>
      </c>
      <c r="D214" s="291"/>
      <c r="E214" s="278"/>
      <c r="F214" s="263"/>
      <c r="G214" s="322">
        <f>($D54)*'GENERADO PS locales'!G214</f>
        <v>0</v>
      </c>
      <c r="H214" s="322">
        <f>($D54)*'GENERADO PS locales'!H214</f>
        <v>0</v>
      </c>
      <c r="I214" s="322">
        <f>($D54)*'GENERADO PS locales'!I214</f>
        <v>0</v>
      </c>
      <c r="J214" s="322">
        <f>($D54)*'GENERADO PS locales'!J214</f>
        <v>0</v>
      </c>
      <c r="K214" s="322">
        <f>($D54)*'GENERADO PS locales'!K214</f>
        <v>0</v>
      </c>
      <c r="L214" s="322">
        <f>($D54)*'GENERADO PS locales'!L214</f>
        <v>0</v>
      </c>
      <c r="M214" s="322">
        <f>($D54)*'GENERADO PS locales'!M214</f>
        <v>0</v>
      </c>
      <c r="N214" s="322">
        <f>($D54)*'GENERADO PS locales'!N214</f>
        <v>0</v>
      </c>
      <c r="O214" s="322">
        <f>($D54)*'GENERADO PS locales'!O214</f>
        <v>0</v>
      </c>
      <c r="P214" s="322">
        <f>($D54)*'GENERADO PS locales'!P214</f>
        <v>0</v>
      </c>
      <c r="Q214" s="322">
        <f>($D54)*'GENERADO PS locales'!Q214</f>
        <v>0</v>
      </c>
      <c r="R214" s="322">
        <f>($D54)*'GENERADO PS locales'!R214</f>
        <v>0</v>
      </c>
      <c r="S214" s="322">
        <f>($D54)*'GENERADO PS locales'!S214</f>
        <v>0</v>
      </c>
      <c r="T214" s="322">
        <f>($D54)*'GENERADO PS locales'!T214</f>
        <v>0</v>
      </c>
      <c r="U214" s="322">
        <f>($D54)*'GENERADO PS locales'!U214</f>
        <v>0</v>
      </c>
      <c r="V214" s="322">
        <f>($D54)*'GENERADO PS locales'!V214</f>
        <v>0</v>
      </c>
      <c r="W214" s="322">
        <f>($D54)*'GENERADO PS locales'!W214</f>
        <v>0</v>
      </c>
      <c r="X214" s="322">
        <f>($D54)*'GENERADO PS locales'!X214</f>
        <v>0</v>
      </c>
      <c r="Y214" s="322">
        <f>($D54)*'GENERADO PS locales'!Y214</f>
        <v>0</v>
      </c>
      <c r="Z214" s="322">
        <f>($D54)*'GENERADO PS locales'!Z214</f>
        <v>0</v>
      </c>
    </row>
    <row r="215" spans="1:26" ht="24.95" customHeight="1">
      <c r="A215" s="260" t="str">
        <f>+Pobl_adoptada!A55</f>
        <v>Colón</v>
      </c>
      <c r="B215" s="70">
        <f>+Pobl_adoptada!B55</f>
        <v>51</v>
      </c>
      <c r="C215" s="71" t="str">
        <f>+Pobl_adoptada!C55</f>
        <v>Colón</v>
      </c>
      <c r="D215" s="291"/>
      <c r="E215" s="278"/>
      <c r="F215" s="263"/>
      <c r="G215" s="322">
        <f>($D55)*'GENERADO PS locales'!G215</f>
        <v>0</v>
      </c>
      <c r="H215" s="322">
        <f>($D55)*'GENERADO PS locales'!H215</f>
        <v>0</v>
      </c>
      <c r="I215" s="322">
        <f>($D55)*'GENERADO PS locales'!I215</f>
        <v>0</v>
      </c>
      <c r="J215" s="322">
        <f>($D55)*'GENERADO PS locales'!J215</f>
        <v>0</v>
      </c>
      <c r="K215" s="322">
        <f>($D55)*'GENERADO PS locales'!K215</f>
        <v>0</v>
      </c>
      <c r="L215" s="322">
        <f>($D55)*'GENERADO PS locales'!L215</f>
        <v>0</v>
      </c>
      <c r="M215" s="322">
        <f>($D55)*'GENERADO PS locales'!M215</f>
        <v>0</v>
      </c>
      <c r="N215" s="322">
        <f>($D55)*'GENERADO PS locales'!N215</f>
        <v>0</v>
      </c>
      <c r="O215" s="322">
        <f>($D55)*'GENERADO PS locales'!O215</f>
        <v>0</v>
      </c>
      <c r="P215" s="322">
        <f>($D55)*'GENERADO PS locales'!P215</f>
        <v>0</v>
      </c>
      <c r="Q215" s="322">
        <f>($D55)*'GENERADO PS locales'!Q215</f>
        <v>0</v>
      </c>
      <c r="R215" s="322">
        <f>($D55)*'GENERADO PS locales'!R215</f>
        <v>0</v>
      </c>
      <c r="S215" s="322">
        <f>($D55)*'GENERADO PS locales'!S215</f>
        <v>0</v>
      </c>
      <c r="T215" s="322">
        <f>($D55)*'GENERADO PS locales'!T215</f>
        <v>0</v>
      </c>
      <c r="U215" s="322">
        <f>($D55)*'GENERADO PS locales'!U215</f>
        <v>0</v>
      </c>
      <c r="V215" s="322">
        <f>($D55)*'GENERADO PS locales'!V215</f>
        <v>0</v>
      </c>
      <c r="W215" s="322">
        <f>($D55)*'GENERADO PS locales'!W215</f>
        <v>0</v>
      </c>
      <c r="X215" s="322">
        <f>($D55)*'GENERADO PS locales'!X215</f>
        <v>0</v>
      </c>
      <c r="Y215" s="322">
        <f>($D55)*'GENERADO PS locales'!Y215</f>
        <v>0</v>
      </c>
      <c r="Z215" s="322">
        <f>($D55)*'GENERADO PS locales'!Z215</f>
        <v>0</v>
      </c>
    </row>
    <row r="216" spans="1:26" ht="24.95" customHeight="1">
      <c r="A216" s="260" t="str">
        <f>+Pobl_adoptada!A56</f>
        <v>Coronel de Marina L. Rosales</v>
      </c>
      <c r="B216" s="70">
        <f>+Pobl_adoptada!B56</f>
        <v>52</v>
      </c>
      <c r="C216" s="71" t="str">
        <f>+Pobl_adoptada!C56</f>
        <v>Punta Alta</v>
      </c>
      <c r="D216" s="291"/>
      <c r="E216" s="278"/>
      <c r="F216" s="263"/>
      <c r="G216" s="322">
        <f>($D56)*'GENERADO PS locales'!G216</f>
        <v>0</v>
      </c>
      <c r="H216" s="322">
        <f>($D56)*'GENERADO PS locales'!H216</f>
        <v>0</v>
      </c>
      <c r="I216" s="322">
        <f>($D56)*'GENERADO PS locales'!I216</f>
        <v>0</v>
      </c>
      <c r="J216" s="322">
        <f>($D56)*'GENERADO PS locales'!J216</f>
        <v>0</v>
      </c>
      <c r="K216" s="322">
        <f>($D56)*'GENERADO PS locales'!K216</f>
        <v>0</v>
      </c>
      <c r="L216" s="322">
        <f>($D56)*'GENERADO PS locales'!L216</f>
        <v>0</v>
      </c>
      <c r="M216" s="322">
        <f>($D56)*'GENERADO PS locales'!M216</f>
        <v>0</v>
      </c>
      <c r="N216" s="322">
        <f>($D56)*'GENERADO PS locales'!N216</f>
        <v>0</v>
      </c>
      <c r="O216" s="322">
        <f>($D56)*'GENERADO PS locales'!O216</f>
        <v>0</v>
      </c>
      <c r="P216" s="322">
        <f>($D56)*'GENERADO PS locales'!P216</f>
        <v>0</v>
      </c>
      <c r="Q216" s="322">
        <f>($D56)*'GENERADO PS locales'!Q216</f>
        <v>0</v>
      </c>
      <c r="R216" s="322">
        <f>($D56)*'GENERADO PS locales'!R216</f>
        <v>0</v>
      </c>
      <c r="S216" s="322">
        <f>($D56)*'GENERADO PS locales'!S216</f>
        <v>0</v>
      </c>
      <c r="T216" s="322">
        <f>($D56)*'GENERADO PS locales'!T216</f>
        <v>0</v>
      </c>
      <c r="U216" s="322">
        <f>($D56)*'GENERADO PS locales'!U216</f>
        <v>0</v>
      </c>
      <c r="V216" s="322">
        <f>($D56)*'GENERADO PS locales'!V216</f>
        <v>0</v>
      </c>
      <c r="W216" s="322">
        <f>($D56)*'GENERADO PS locales'!W216</f>
        <v>0</v>
      </c>
      <c r="X216" s="322">
        <f>($D56)*'GENERADO PS locales'!X216</f>
        <v>0</v>
      </c>
      <c r="Y216" s="322">
        <f>($D56)*'GENERADO PS locales'!Y216</f>
        <v>0</v>
      </c>
      <c r="Z216" s="322">
        <f>($D56)*'GENERADO PS locales'!Z216</f>
        <v>0</v>
      </c>
    </row>
    <row r="217" spans="1:26" ht="24.95" customHeight="1">
      <c r="A217" s="260" t="str">
        <f>+Pobl_adoptada!A57</f>
        <v>Coronel Dorrego</v>
      </c>
      <c r="B217" s="70">
        <f>+Pobl_adoptada!B57</f>
        <v>53</v>
      </c>
      <c r="C217" s="71" t="str">
        <f>+Pobl_adoptada!C57</f>
        <v>Coronel Dorrego</v>
      </c>
      <c r="D217" s="291"/>
      <c r="E217" s="278"/>
      <c r="F217" s="263"/>
      <c r="G217" s="322">
        <f>($D57)*'GENERADO PS locales'!G217</f>
        <v>0</v>
      </c>
      <c r="H217" s="322">
        <f>($D57)*'GENERADO PS locales'!H217</f>
        <v>0</v>
      </c>
      <c r="I217" s="322">
        <f>($D57)*'GENERADO PS locales'!I217</f>
        <v>0</v>
      </c>
      <c r="J217" s="322">
        <f>($D57)*'GENERADO PS locales'!J217</f>
        <v>0</v>
      </c>
      <c r="K217" s="322">
        <f>($D57)*'GENERADO PS locales'!K217</f>
        <v>0</v>
      </c>
      <c r="L217" s="322">
        <f>($D57)*'GENERADO PS locales'!L217</f>
        <v>0</v>
      </c>
      <c r="M217" s="322">
        <f>($D57)*'GENERADO PS locales'!M217</f>
        <v>0</v>
      </c>
      <c r="N217" s="322">
        <f>($D57)*'GENERADO PS locales'!N217</f>
        <v>0</v>
      </c>
      <c r="O217" s="322">
        <f>($D57)*'GENERADO PS locales'!O217</f>
        <v>0</v>
      </c>
      <c r="P217" s="322">
        <f>($D57)*'GENERADO PS locales'!P217</f>
        <v>0</v>
      </c>
      <c r="Q217" s="322">
        <f>($D57)*'GENERADO PS locales'!Q217</f>
        <v>0</v>
      </c>
      <c r="R217" s="322">
        <f>($D57)*'GENERADO PS locales'!R217</f>
        <v>0</v>
      </c>
      <c r="S217" s="322">
        <f>($D57)*'GENERADO PS locales'!S217</f>
        <v>0</v>
      </c>
      <c r="T217" s="322">
        <f>($D57)*'GENERADO PS locales'!T217</f>
        <v>0</v>
      </c>
      <c r="U217" s="322">
        <f>($D57)*'GENERADO PS locales'!U217</f>
        <v>0</v>
      </c>
      <c r="V217" s="322">
        <f>($D57)*'GENERADO PS locales'!V217</f>
        <v>0</v>
      </c>
      <c r="W217" s="322">
        <f>($D57)*'GENERADO PS locales'!W217</f>
        <v>0</v>
      </c>
      <c r="X217" s="322">
        <f>($D57)*'GENERADO PS locales'!X217</f>
        <v>0</v>
      </c>
      <c r="Y217" s="322">
        <f>($D57)*'GENERADO PS locales'!Y217</f>
        <v>0</v>
      </c>
      <c r="Z217" s="322">
        <f>($D57)*'GENERADO PS locales'!Z217</f>
        <v>0</v>
      </c>
    </row>
    <row r="218" spans="1:26" ht="24.95" customHeight="1">
      <c r="A218" s="260" t="str">
        <f>+Pobl_adoptada!A58</f>
        <v>Coronel Pringles</v>
      </c>
      <c r="B218" s="70">
        <f>+Pobl_adoptada!B58</f>
        <v>54</v>
      </c>
      <c r="C218" s="71" t="str">
        <f>+Pobl_adoptada!C58</f>
        <v>Coronel Pringles</v>
      </c>
      <c r="D218" s="291"/>
      <c r="E218" s="278"/>
      <c r="F218" s="263"/>
      <c r="G218" s="322">
        <f>($D58)*'GENERADO PS locales'!G218</f>
        <v>0</v>
      </c>
      <c r="H218" s="322">
        <f>($D58)*'GENERADO PS locales'!H218</f>
        <v>0</v>
      </c>
      <c r="I218" s="322">
        <f>($D58)*'GENERADO PS locales'!I218</f>
        <v>0</v>
      </c>
      <c r="J218" s="322">
        <f>($D58)*'GENERADO PS locales'!J218</f>
        <v>0</v>
      </c>
      <c r="K218" s="322">
        <f>($D58)*'GENERADO PS locales'!K218</f>
        <v>0</v>
      </c>
      <c r="L218" s="322">
        <f>($D58)*'GENERADO PS locales'!L218</f>
        <v>0</v>
      </c>
      <c r="M218" s="322">
        <f>($D58)*'GENERADO PS locales'!M218</f>
        <v>0</v>
      </c>
      <c r="N218" s="322">
        <f>($D58)*'GENERADO PS locales'!N218</f>
        <v>0</v>
      </c>
      <c r="O218" s="322">
        <f>($D58)*'GENERADO PS locales'!O218</f>
        <v>0</v>
      </c>
      <c r="P218" s="322">
        <f>($D58)*'GENERADO PS locales'!P218</f>
        <v>0</v>
      </c>
      <c r="Q218" s="322">
        <f>($D58)*'GENERADO PS locales'!Q218</f>
        <v>0</v>
      </c>
      <c r="R218" s="322">
        <f>($D58)*'GENERADO PS locales'!R218</f>
        <v>0</v>
      </c>
      <c r="S218" s="322">
        <f>($D58)*'GENERADO PS locales'!S218</f>
        <v>0</v>
      </c>
      <c r="T218" s="322">
        <f>($D58)*'GENERADO PS locales'!T218</f>
        <v>0</v>
      </c>
      <c r="U218" s="322">
        <f>($D58)*'GENERADO PS locales'!U218</f>
        <v>0</v>
      </c>
      <c r="V218" s="322">
        <f>($D58)*'GENERADO PS locales'!V218</f>
        <v>0</v>
      </c>
      <c r="W218" s="322">
        <f>($D58)*'GENERADO PS locales'!W218</f>
        <v>0</v>
      </c>
      <c r="X218" s="322">
        <f>($D58)*'GENERADO PS locales'!X218</f>
        <v>0</v>
      </c>
      <c r="Y218" s="322">
        <f>($D58)*'GENERADO PS locales'!Y218</f>
        <v>0</v>
      </c>
      <c r="Z218" s="322">
        <f>($D58)*'GENERADO PS locales'!Z218</f>
        <v>0</v>
      </c>
    </row>
    <row r="219" spans="1:26" ht="24.95" customHeight="1">
      <c r="A219" s="260" t="str">
        <f>+Pobl_adoptada!A59</f>
        <v>Coronel Suárez</v>
      </c>
      <c r="B219" s="70">
        <f>+Pobl_adoptada!B59</f>
        <v>55</v>
      </c>
      <c r="C219" s="71" t="str">
        <f>+Pobl_adoptada!C59</f>
        <v>Coronel Suárez</v>
      </c>
      <c r="D219" s="291"/>
      <c r="E219" s="278"/>
      <c r="F219" s="263"/>
      <c r="G219" s="322">
        <f>($D59)*'GENERADO PS locales'!G219</f>
        <v>0</v>
      </c>
      <c r="H219" s="322">
        <f>($D59)*'GENERADO PS locales'!H219</f>
        <v>0</v>
      </c>
      <c r="I219" s="322">
        <f>($D59)*'GENERADO PS locales'!I219</f>
        <v>0</v>
      </c>
      <c r="J219" s="322">
        <f>($D59)*'GENERADO PS locales'!J219</f>
        <v>0</v>
      </c>
      <c r="K219" s="322">
        <f>($D59)*'GENERADO PS locales'!K219</f>
        <v>0</v>
      </c>
      <c r="L219" s="322">
        <f>($D59)*'GENERADO PS locales'!L219</f>
        <v>0</v>
      </c>
      <c r="M219" s="322">
        <f>($D59)*'GENERADO PS locales'!M219</f>
        <v>0</v>
      </c>
      <c r="N219" s="322">
        <f>($D59)*'GENERADO PS locales'!N219</f>
        <v>0</v>
      </c>
      <c r="O219" s="322">
        <f>($D59)*'GENERADO PS locales'!O219</f>
        <v>0</v>
      </c>
      <c r="P219" s="322">
        <f>($D59)*'GENERADO PS locales'!P219</f>
        <v>0</v>
      </c>
      <c r="Q219" s="322">
        <f>($D59)*'GENERADO PS locales'!Q219</f>
        <v>0</v>
      </c>
      <c r="R219" s="322">
        <f>($D59)*'GENERADO PS locales'!R219</f>
        <v>0</v>
      </c>
      <c r="S219" s="322">
        <f>($D59)*'GENERADO PS locales'!S219</f>
        <v>0</v>
      </c>
      <c r="T219" s="322">
        <f>($D59)*'GENERADO PS locales'!T219</f>
        <v>0</v>
      </c>
      <c r="U219" s="322">
        <f>($D59)*'GENERADO PS locales'!U219</f>
        <v>0</v>
      </c>
      <c r="V219" s="322">
        <f>($D59)*'GENERADO PS locales'!V219</f>
        <v>0</v>
      </c>
      <c r="W219" s="322">
        <f>($D59)*'GENERADO PS locales'!W219</f>
        <v>0</v>
      </c>
      <c r="X219" s="322">
        <f>($D59)*'GENERADO PS locales'!X219</f>
        <v>0</v>
      </c>
      <c r="Y219" s="322">
        <f>($D59)*'GENERADO PS locales'!Y219</f>
        <v>0</v>
      </c>
      <c r="Z219" s="322">
        <f>($D59)*'GENERADO PS locales'!Z219</f>
        <v>0</v>
      </c>
    </row>
    <row r="220" spans="1:26" ht="24.95" customHeight="1">
      <c r="A220" s="260" t="str">
        <f>+Pobl_adoptada!A60</f>
        <v>Daireaux</v>
      </c>
      <c r="B220" s="70">
        <f>+Pobl_adoptada!B60</f>
        <v>56</v>
      </c>
      <c r="C220" s="71" t="str">
        <f>+Pobl_adoptada!C60</f>
        <v>Daireaux</v>
      </c>
      <c r="D220" s="291"/>
      <c r="E220" s="278"/>
      <c r="F220" s="263"/>
      <c r="G220" s="322">
        <f>($D60)*'GENERADO PS locales'!G220</f>
        <v>0</v>
      </c>
      <c r="H220" s="322">
        <f>($D60)*'GENERADO PS locales'!H220</f>
        <v>0</v>
      </c>
      <c r="I220" s="322">
        <f>($D60)*'GENERADO PS locales'!I220</f>
        <v>0</v>
      </c>
      <c r="J220" s="322">
        <f>($D60)*'GENERADO PS locales'!J220</f>
        <v>0</v>
      </c>
      <c r="K220" s="322">
        <f>($D60)*'GENERADO PS locales'!K220</f>
        <v>0</v>
      </c>
      <c r="L220" s="322">
        <f>($D60)*'GENERADO PS locales'!L220</f>
        <v>0</v>
      </c>
      <c r="M220" s="322">
        <f>($D60)*'GENERADO PS locales'!M220</f>
        <v>0</v>
      </c>
      <c r="N220" s="322">
        <f>($D60)*'GENERADO PS locales'!N220</f>
        <v>0</v>
      </c>
      <c r="O220" s="322">
        <f>($D60)*'GENERADO PS locales'!O220</f>
        <v>0</v>
      </c>
      <c r="P220" s="322">
        <f>($D60)*'GENERADO PS locales'!P220</f>
        <v>0</v>
      </c>
      <c r="Q220" s="322">
        <f>($D60)*'GENERADO PS locales'!Q220</f>
        <v>0</v>
      </c>
      <c r="R220" s="322">
        <f>($D60)*'GENERADO PS locales'!R220</f>
        <v>0</v>
      </c>
      <c r="S220" s="322">
        <f>($D60)*'GENERADO PS locales'!S220</f>
        <v>0</v>
      </c>
      <c r="T220" s="322">
        <f>($D60)*'GENERADO PS locales'!T220</f>
        <v>0</v>
      </c>
      <c r="U220" s="322">
        <f>($D60)*'GENERADO PS locales'!U220</f>
        <v>0</v>
      </c>
      <c r="V220" s="322">
        <f>($D60)*'GENERADO PS locales'!V220</f>
        <v>0</v>
      </c>
      <c r="W220" s="322">
        <f>($D60)*'GENERADO PS locales'!W220</f>
        <v>0</v>
      </c>
      <c r="X220" s="322">
        <f>($D60)*'GENERADO PS locales'!X220</f>
        <v>0</v>
      </c>
      <c r="Y220" s="322">
        <f>($D60)*'GENERADO PS locales'!Y220</f>
        <v>0</v>
      </c>
      <c r="Z220" s="322">
        <f>($D60)*'GENERADO PS locales'!Z220</f>
        <v>0</v>
      </c>
    </row>
    <row r="221" spans="1:26" ht="24.95" customHeight="1">
      <c r="A221" s="260" t="str">
        <f>+Pobl_adoptada!A61</f>
        <v>Dolores</v>
      </c>
      <c r="B221" s="70">
        <f>+Pobl_adoptada!B61</f>
        <v>57</v>
      </c>
      <c r="C221" s="71" t="str">
        <f>+Pobl_adoptada!C61</f>
        <v>Dolores</v>
      </c>
      <c r="D221" s="291"/>
      <c r="E221" s="278"/>
      <c r="F221" s="263"/>
      <c r="G221" s="322">
        <f>($D61)*'GENERADO PS locales'!G221</f>
        <v>0</v>
      </c>
      <c r="H221" s="322">
        <f>($D61)*'GENERADO PS locales'!H221</f>
        <v>0</v>
      </c>
      <c r="I221" s="322">
        <f>($D61)*'GENERADO PS locales'!I221</f>
        <v>0</v>
      </c>
      <c r="J221" s="322">
        <f>($D61)*'GENERADO PS locales'!J221</f>
        <v>0</v>
      </c>
      <c r="K221" s="322">
        <f>($D61)*'GENERADO PS locales'!K221</f>
        <v>0</v>
      </c>
      <c r="L221" s="322">
        <f>($D61)*'GENERADO PS locales'!L221</f>
        <v>0</v>
      </c>
      <c r="M221" s="322">
        <f>($D61)*'GENERADO PS locales'!M221</f>
        <v>0</v>
      </c>
      <c r="N221" s="322">
        <f>($D61)*'GENERADO PS locales'!N221</f>
        <v>0</v>
      </c>
      <c r="O221" s="322">
        <f>($D61)*'GENERADO PS locales'!O221</f>
        <v>0</v>
      </c>
      <c r="P221" s="322">
        <f>($D61)*'GENERADO PS locales'!P221</f>
        <v>0</v>
      </c>
      <c r="Q221" s="322">
        <f>($D61)*'GENERADO PS locales'!Q221</f>
        <v>0</v>
      </c>
      <c r="R221" s="322">
        <f>($D61)*'GENERADO PS locales'!R221</f>
        <v>0</v>
      </c>
      <c r="S221" s="322">
        <f>($D61)*'GENERADO PS locales'!S221</f>
        <v>0</v>
      </c>
      <c r="T221" s="322">
        <f>($D61)*'GENERADO PS locales'!T221</f>
        <v>0</v>
      </c>
      <c r="U221" s="322">
        <f>($D61)*'GENERADO PS locales'!U221</f>
        <v>0</v>
      </c>
      <c r="V221" s="322">
        <f>($D61)*'GENERADO PS locales'!V221</f>
        <v>0</v>
      </c>
      <c r="W221" s="322">
        <f>($D61)*'GENERADO PS locales'!W221</f>
        <v>0</v>
      </c>
      <c r="X221" s="322">
        <f>($D61)*'GENERADO PS locales'!X221</f>
        <v>0</v>
      </c>
      <c r="Y221" s="322">
        <f>($D61)*'GENERADO PS locales'!Y221</f>
        <v>0</v>
      </c>
      <c r="Z221" s="322">
        <f>($D61)*'GENERADO PS locales'!Z221</f>
        <v>0</v>
      </c>
    </row>
    <row r="222" spans="1:26" ht="24.95" customHeight="1">
      <c r="A222" s="260" t="str">
        <f>+Pobl_adoptada!A62</f>
        <v>Ensenada</v>
      </c>
      <c r="B222" s="70">
        <f>+Pobl_adoptada!B62</f>
        <v>58</v>
      </c>
      <c r="C222" s="71" t="str">
        <f>+Pobl_adoptada!C62</f>
        <v>Ensenada</v>
      </c>
      <c r="D222" s="291"/>
      <c r="E222" s="278"/>
      <c r="F222" s="263"/>
      <c r="G222" s="322">
        <f>($D62)*'GENERADO PS locales'!G222</f>
        <v>0</v>
      </c>
      <c r="H222" s="322">
        <f>($D62)*'GENERADO PS locales'!H222</f>
        <v>0</v>
      </c>
      <c r="I222" s="322">
        <f>($D62)*'GENERADO PS locales'!I222</f>
        <v>0</v>
      </c>
      <c r="J222" s="322">
        <f>($D62)*'GENERADO PS locales'!J222</f>
        <v>0</v>
      </c>
      <c r="K222" s="322">
        <f>($D62)*'GENERADO PS locales'!K222</f>
        <v>0</v>
      </c>
      <c r="L222" s="322">
        <f>($D62)*'GENERADO PS locales'!L222</f>
        <v>0</v>
      </c>
      <c r="M222" s="322">
        <f>($D62)*'GENERADO PS locales'!M222</f>
        <v>0</v>
      </c>
      <c r="N222" s="322">
        <f>($D62)*'GENERADO PS locales'!N222</f>
        <v>0</v>
      </c>
      <c r="O222" s="322">
        <f>($D62)*'GENERADO PS locales'!O222</f>
        <v>0</v>
      </c>
      <c r="P222" s="322">
        <f>($D62)*'GENERADO PS locales'!P222</f>
        <v>0</v>
      </c>
      <c r="Q222" s="322">
        <f>($D62)*'GENERADO PS locales'!Q222</f>
        <v>0</v>
      </c>
      <c r="R222" s="322">
        <f>($D62)*'GENERADO PS locales'!R222</f>
        <v>0</v>
      </c>
      <c r="S222" s="322">
        <f>($D62)*'GENERADO PS locales'!S222</f>
        <v>0</v>
      </c>
      <c r="T222" s="322">
        <f>($D62)*'GENERADO PS locales'!T222</f>
        <v>0</v>
      </c>
      <c r="U222" s="322">
        <f>($D62)*'GENERADO PS locales'!U222</f>
        <v>0</v>
      </c>
      <c r="V222" s="322">
        <f>($D62)*'GENERADO PS locales'!V222</f>
        <v>0</v>
      </c>
      <c r="W222" s="322">
        <f>($D62)*'GENERADO PS locales'!W222</f>
        <v>0</v>
      </c>
      <c r="X222" s="322">
        <f>($D62)*'GENERADO PS locales'!X222</f>
        <v>0</v>
      </c>
      <c r="Y222" s="322">
        <f>($D62)*'GENERADO PS locales'!Y222</f>
        <v>0</v>
      </c>
      <c r="Z222" s="322">
        <f>($D62)*'GENERADO PS locales'!Z222</f>
        <v>0</v>
      </c>
    </row>
    <row r="223" spans="1:26" ht="24.95" customHeight="1">
      <c r="A223" s="260" t="str">
        <f>+Pobl_adoptada!A63</f>
        <v>Escobar</v>
      </c>
      <c r="B223" s="70">
        <f>+Pobl_adoptada!B63</f>
        <v>59</v>
      </c>
      <c r="C223" s="71" t="str">
        <f>+Pobl_adoptada!C63</f>
        <v>Escobar</v>
      </c>
      <c r="D223" s="291"/>
      <c r="E223" s="278"/>
      <c r="F223" s="263"/>
      <c r="G223" s="322">
        <f>($D63)*'GENERADO PS locales'!G223</f>
        <v>0</v>
      </c>
      <c r="H223" s="322">
        <f>($D63)*'GENERADO PS locales'!H223</f>
        <v>0</v>
      </c>
      <c r="I223" s="322">
        <f>($D63)*'GENERADO PS locales'!I223</f>
        <v>0</v>
      </c>
      <c r="J223" s="322">
        <f>($D63)*'GENERADO PS locales'!J223</f>
        <v>0</v>
      </c>
      <c r="K223" s="322">
        <f>($D63)*'GENERADO PS locales'!K223</f>
        <v>0</v>
      </c>
      <c r="L223" s="322">
        <f>($D63)*'GENERADO PS locales'!L223</f>
        <v>0</v>
      </c>
      <c r="M223" s="322">
        <f>($D63)*'GENERADO PS locales'!M223</f>
        <v>0</v>
      </c>
      <c r="N223" s="322">
        <f>($D63)*'GENERADO PS locales'!N223</f>
        <v>0</v>
      </c>
      <c r="O223" s="322">
        <f>($D63)*'GENERADO PS locales'!O223</f>
        <v>0</v>
      </c>
      <c r="P223" s="322">
        <f>($D63)*'GENERADO PS locales'!P223</f>
        <v>0</v>
      </c>
      <c r="Q223" s="322">
        <f>($D63)*'GENERADO PS locales'!Q223</f>
        <v>0</v>
      </c>
      <c r="R223" s="322">
        <f>($D63)*'GENERADO PS locales'!R223</f>
        <v>0</v>
      </c>
      <c r="S223" s="322">
        <f>($D63)*'GENERADO PS locales'!S223</f>
        <v>0</v>
      </c>
      <c r="T223" s="322">
        <f>($D63)*'GENERADO PS locales'!T223</f>
        <v>0</v>
      </c>
      <c r="U223" s="322">
        <f>($D63)*'GENERADO PS locales'!U223</f>
        <v>0</v>
      </c>
      <c r="V223" s="322">
        <f>($D63)*'GENERADO PS locales'!V223</f>
        <v>0</v>
      </c>
      <c r="W223" s="322">
        <f>($D63)*'GENERADO PS locales'!W223</f>
        <v>0</v>
      </c>
      <c r="X223" s="322">
        <f>($D63)*'GENERADO PS locales'!X223</f>
        <v>0</v>
      </c>
      <c r="Y223" s="322">
        <f>($D63)*'GENERADO PS locales'!Y223</f>
        <v>0</v>
      </c>
      <c r="Z223" s="322">
        <f>($D63)*'GENERADO PS locales'!Z223</f>
        <v>0</v>
      </c>
    </row>
    <row r="224" spans="1:26" ht="24.95" customHeight="1">
      <c r="A224" s="260" t="str">
        <f>+Pobl_adoptada!A64</f>
        <v>Exaltación de la Cruz</v>
      </c>
      <c r="B224" s="70">
        <f>+Pobl_adoptada!B64</f>
        <v>60</v>
      </c>
      <c r="C224" s="71" t="str">
        <f>+Pobl_adoptada!C64</f>
        <v>Capilla del Señor</v>
      </c>
      <c r="D224" s="291"/>
      <c r="E224" s="278"/>
      <c r="F224" s="263"/>
      <c r="G224" s="322">
        <f>($D64)*'GENERADO PS locales'!G224</f>
        <v>0</v>
      </c>
      <c r="H224" s="322">
        <f>($D64)*'GENERADO PS locales'!H224</f>
        <v>0</v>
      </c>
      <c r="I224" s="322">
        <f>($D64)*'GENERADO PS locales'!I224</f>
        <v>0</v>
      </c>
      <c r="J224" s="322">
        <f>($D64)*'GENERADO PS locales'!J224</f>
        <v>0</v>
      </c>
      <c r="K224" s="322">
        <f>($D64)*'GENERADO PS locales'!K224</f>
        <v>0</v>
      </c>
      <c r="L224" s="322">
        <f>($D64)*'GENERADO PS locales'!L224</f>
        <v>0</v>
      </c>
      <c r="M224" s="322">
        <f>($D64)*'GENERADO PS locales'!M224</f>
        <v>0</v>
      </c>
      <c r="N224" s="322">
        <f>($D64)*'GENERADO PS locales'!N224</f>
        <v>0</v>
      </c>
      <c r="O224" s="322">
        <f>($D64)*'GENERADO PS locales'!O224</f>
        <v>0</v>
      </c>
      <c r="P224" s="322">
        <f>($D64)*'GENERADO PS locales'!P224</f>
        <v>0</v>
      </c>
      <c r="Q224" s="322">
        <f>($D64)*'GENERADO PS locales'!Q224</f>
        <v>0</v>
      </c>
      <c r="R224" s="322">
        <f>($D64)*'GENERADO PS locales'!R224</f>
        <v>0</v>
      </c>
      <c r="S224" s="322">
        <f>($D64)*'GENERADO PS locales'!S224</f>
        <v>0</v>
      </c>
      <c r="T224" s="322">
        <f>($D64)*'GENERADO PS locales'!T224</f>
        <v>0</v>
      </c>
      <c r="U224" s="322">
        <f>($D64)*'GENERADO PS locales'!U224</f>
        <v>0</v>
      </c>
      <c r="V224" s="322">
        <f>($D64)*'GENERADO PS locales'!V224</f>
        <v>0</v>
      </c>
      <c r="W224" s="322">
        <f>($D64)*'GENERADO PS locales'!W224</f>
        <v>0</v>
      </c>
      <c r="X224" s="322">
        <f>($D64)*'GENERADO PS locales'!X224</f>
        <v>0</v>
      </c>
      <c r="Y224" s="322">
        <f>($D64)*'GENERADO PS locales'!Y224</f>
        <v>0</v>
      </c>
      <c r="Z224" s="322">
        <f>($D64)*'GENERADO PS locales'!Z224</f>
        <v>0</v>
      </c>
    </row>
    <row r="225" spans="1:26" ht="24.95" customHeight="1">
      <c r="A225" s="260" t="str">
        <f>+Pobl_adoptada!A65</f>
        <v>Florentino Ameghino</v>
      </c>
      <c r="B225" s="70">
        <f>+Pobl_adoptada!B65</f>
        <v>61</v>
      </c>
      <c r="C225" s="71" t="str">
        <f>+Pobl_adoptada!C65</f>
        <v>Florentino Ameghino</v>
      </c>
      <c r="D225" s="291"/>
      <c r="E225" s="278"/>
      <c r="F225" s="263"/>
      <c r="G225" s="322">
        <f>($D65)*'GENERADO PS locales'!G225</f>
        <v>0</v>
      </c>
      <c r="H225" s="322">
        <f>($D65)*'GENERADO PS locales'!H225</f>
        <v>0</v>
      </c>
      <c r="I225" s="322">
        <f>($D65)*'GENERADO PS locales'!I225</f>
        <v>0</v>
      </c>
      <c r="J225" s="322">
        <f>($D65)*'GENERADO PS locales'!J225</f>
        <v>0</v>
      </c>
      <c r="K225" s="322">
        <f>($D65)*'GENERADO PS locales'!K225</f>
        <v>0</v>
      </c>
      <c r="L225" s="322">
        <f>($D65)*'GENERADO PS locales'!L225</f>
        <v>0</v>
      </c>
      <c r="M225" s="322">
        <f>($D65)*'GENERADO PS locales'!M225</f>
        <v>0</v>
      </c>
      <c r="N225" s="322">
        <f>($D65)*'GENERADO PS locales'!N225</f>
        <v>0</v>
      </c>
      <c r="O225" s="322">
        <f>($D65)*'GENERADO PS locales'!O225</f>
        <v>0</v>
      </c>
      <c r="P225" s="322">
        <f>($D65)*'GENERADO PS locales'!P225</f>
        <v>0</v>
      </c>
      <c r="Q225" s="322">
        <f>($D65)*'GENERADO PS locales'!Q225</f>
        <v>0</v>
      </c>
      <c r="R225" s="322">
        <f>($D65)*'GENERADO PS locales'!R225</f>
        <v>0</v>
      </c>
      <c r="S225" s="322">
        <f>($D65)*'GENERADO PS locales'!S225</f>
        <v>0</v>
      </c>
      <c r="T225" s="322">
        <f>($D65)*'GENERADO PS locales'!T225</f>
        <v>0</v>
      </c>
      <c r="U225" s="322">
        <f>($D65)*'GENERADO PS locales'!U225</f>
        <v>0</v>
      </c>
      <c r="V225" s="322">
        <f>($D65)*'GENERADO PS locales'!V225</f>
        <v>0</v>
      </c>
      <c r="W225" s="322">
        <f>($D65)*'GENERADO PS locales'!W225</f>
        <v>0</v>
      </c>
      <c r="X225" s="322">
        <f>($D65)*'GENERADO PS locales'!X225</f>
        <v>0</v>
      </c>
      <c r="Y225" s="322">
        <f>($D65)*'GENERADO PS locales'!Y225</f>
        <v>0</v>
      </c>
      <c r="Z225" s="322">
        <f>($D65)*'GENERADO PS locales'!Z225</f>
        <v>0</v>
      </c>
    </row>
    <row r="226" spans="1:26" ht="24.95" customHeight="1">
      <c r="A226" s="260" t="str">
        <f>+Pobl_adoptada!A66</f>
        <v>General Alvarado</v>
      </c>
      <c r="B226" s="70">
        <f>+Pobl_adoptada!B66</f>
        <v>62</v>
      </c>
      <c r="C226" s="71" t="str">
        <f>+Pobl_adoptada!C66</f>
        <v>Miramar</v>
      </c>
      <c r="D226" s="291"/>
      <c r="E226" s="278"/>
      <c r="F226" s="263"/>
      <c r="G226" s="322">
        <f>($D66)*'GENERADO PS locales'!G226</f>
        <v>0</v>
      </c>
      <c r="H226" s="322">
        <f>($D66)*'GENERADO PS locales'!H226</f>
        <v>0</v>
      </c>
      <c r="I226" s="322">
        <f>($D66)*'GENERADO PS locales'!I226</f>
        <v>0</v>
      </c>
      <c r="J226" s="322">
        <f>($D66)*'GENERADO PS locales'!J226</f>
        <v>0</v>
      </c>
      <c r="K226" s="322">
        <f>($D66)*'GENERADO PS locales'!K226</f>
        <v>0</v>
      </c>
      <c r="L226" s="322">
        <f>($D66)*'GENERADO PS locales'!L226</f>
        <v>0</v>
      </c>
      <c r="M226" s="322">
        <f>($D66)*'GENERADO PS locales'!M226</f>
        <v>0</v>
      </c>
      <c r="N226" s="322">
        <f>($D66)*'GENERADO PS locales'!N226</f>
        <v>0</v>
      </c>
      <c r="O226" s="322">
        <f>($D66)*'GENERADO PS locales'!O226</f>
        <v>0</v>
      </c>
      <c r="P226" s="322">
        <f>($D66)*'GENERADO PS locales'!P226</f>
        <v>0</v>
      </c>
      <c r="Q226" s="322">
        <f>($D66)*'GENERADO PS locales'!Q226</f>
        <v>0</v>
      </c>
      <c r="R226" s="322">
        <f>($D66)*'GENERADO PS locales'!R226</f>
        <v>0</v>
      </c>
      <c r="S226" s="322">
        <f>($D66)*'GENERADO PS locales'!S226</f>
        <v>0</v>
      </c>
      <c r="T226" s="322">
        <f>($D66)*'GENERADO PS locales'!T226</f>
        <v>0</v>
      </c>
      <c r="U226" s="322">
        <f>($D66)*'GENERADO PS locales'!U226</f>
        <v>0</v>
      </c>
      <c r="V226" s="322">
        <f>($D66)*'GENERADO PS locales'!V226</f>
        <v>0</v>
      </c>
      <c r="W226" s="322">
        <f>($D66)*'GENERADO PS locales'!W226</f>
        <v>0</v>
      </c>
      <c r="X226" s="322">
        <f>($D66)*'GENERADO PS locales'!X226</f>
        <v>0</v>
      </c>
      <c r="Y226" s="322">
        <f>($D66)*'GENERADO PS locales'!Y226</f>
        <v>0</v>
      </c>
      <c r="Z226" s="322">
        <f>($D66)*'GENERADO PS locales'!Z226</f>
        <v>0</v>
      </c>
    </row>
    <row r="227" spans="1:26" ht="24.95" customHeight="1">
      <c r="A227" s="260" t="str">
        <f>+Pobl_adoptada!A67</f>
        <v>General Alvear</v>
      </c>
      <c r="B227" s="70">
        <f>+Pobl_adoptada!B67</f>
        <v>63</v>
      </c>
      <c r="C227" s="71" t="str">
        <f>+Pobl_adoptada!C67</f>
        <v>General Alvear</v>
      </c>
      <c r="D227" s="291"/>
      <c r="E227" s="278"/>
      <c r="F227" s="263"/>
      <c r="G227" s="322">
        <f>($D67)*'GENERADO PS locales'!G227</f>
        <v>0</v>
      </c>
      <c r="H227" s="322">
        <f>($D67)*'GENERADO PS locales'!H227</f>
        <v>0</v>
      </c>
      <c r="I227" s="322">
        <f>($D67)*'GENERADO PS locales'!I227</f>
        <v>0</v>
      </c>
      <c r="J227" s="322">
        <f>($D67)*'GENERADO PS locales'!J227</f>
        <v>0</v>
      </c>
      <c r="K227" s="322">
        <f>($D67)*'GENERADO PS locales'!K227</f>
        <v>0</v>
      </c>
      <c r="L227" s="322">
        <f>($D67)*'GENERADO PS locales'!L227</f>
        <v>0</v>
      </c>
      <c r="M227" s="322">
        <f>($D67)*'GENERADO PS locales'!M227</f>
        <v>0</v>
      </c>
      <c r="N227" s="322">
        <f>($D67)*'GENERADO PS locales'!N227</f>
        <v>0</v>
      </c>
      <c r="O227" s="322">
        <f>($D67)*'GENERADO PS locales'!O227</f>
        <v>0</v>
      </c>
      <c r="P227" s="322">
        <f>($D67)*'GENERADO PS locales'!P227</f>
        <v>0</v>
      </c>
      <c r="Q227" s="322">
        <f>($D67)*'GENERADO PS locales'!Q227</f>
        <v>0</v>
      </c>
      <c r="R227" s="322">
        <f>($D67)*'GENERADO PS locales'!R227</f>
        <v>0</v>
      </c>
      <c r="S227" s="322">
        <f>($D67)*'GENERADO PS locales'!S227</f>
        <v>0</v>
      </c>
      <c r="T227" s="322">
        <f>($D67)*'GENERADO PS locales'!T227</f>
        <v>0</v>
      </c>
      <c r="U227" s="322">
        <f>($D67)*'GENERADO PS locales'!U227</f>
        <v>0</v>
      </c>
      <c r="V227" s="322">
        <f>($D67)*'GENERADO PS locales'!V227</f>
        <v>0</v>
      </c>
      <c r="W227" s="322">
        <f>($D67)*'GENERADO PS locales'!W227</f>
        <v>0</v>
      </c>
      <c r="X227" s="322">
        <f>($D67)*'GENERADO PS locales'!X227</f>
        <v>0</v>
      </c>
      <c r="Y227" s="322">
        <f>($D67)*'GENERADO PS locales'!Y227</f>
        <v>0</v>
      </c>
      <c r="Z227" s="322">
        <f>($D67)*'GENERADO PS locales'!Z227</f>
        <v>0</v>
      </c>
    </row>
    <row r="228" spans="1:26" ht="24.95" customHeight="1">
      <c r="A228" s="260" t="str">
        <f>+Pobl_adoptada!A68</f>
        <v>General Arenales</v>
      </c>
      <c r="B228" s="70">
        <f>+Pobl_adoptada!B68</f>
        <v>64</v>
      </c>
      <c r="C228" s="71" t="str">
        <f>+Pobl_adoptada!C68</f>
        <v>General Arenales</v>
      </c>
      <c r="D228" s="291"/>
      <c r="E228" s="278"/>
      <c r="F228" s="263"/>
      <c r="G228" s="322">
        <f>($D68)*'GENERADO PS locales'!G228</f>
        <v>0</v>
      </c>
      <c r="H228" s="322">
        <f>($D68)*'GENERADO PS locales'!H228</f>
        <v>0</v>
      </c>
      <c r="I228" s="322">
        <f>($D68)*'GENERADO PS locales'!I228</f>
        <v>0</v>
      </c>
      <c r="J228" s="322">
        <f>($D68)*'GENERADO PS locales'!J228</f>
        <v>0</v>
      </c>
      <c r="K228" s="322">
        <f>($D68)*'GENERADO PS locales'!K228</f>
        <v>0</v>
      </c>
      <c r="L228" s="322">
        <f>($D68)*'GENERADO PS locales'!L228</f>
        <v>0</v>
      </c>
      <c r="M228" s="322">
        <f>($D68)*'GENERADO PS locales'!M228</f>
        <v>0</v>
      </c>
      <c r="N228" s="322">
        <f>($D68)*'GENERADO PS locales'!N228</f>
        <v>0</v>
      </c>
      <c r="O228" s="322">
        <f>($D68)*'GENERADO PS locales'!O228</f>
        <v>0</v>
      </c>
      <c r="P228" s="322">
        <f>($D68)*'GENERADO PS locales'!P228</f>
        <v>0</v>
      </c>
      <c r="Q228" s="322">
        <f>($D68)*'GENERADO PS locales'!Q228</f>
        <v>0</v>
      </c>
      <c r="R228" s="322">
        <f>($D68)*'GENERADO PS locales'!R228</f>
        <v>0</v>
      </c>
      <c r="S228" s="322">
        <f>($D68)*'GENERADO PS locales'!S228</f>
        <v>0</v>
      </c>
      <c r="T228" s="322">
        <f>($D68)*'GENERADO PS locales'!T228</f>
        <v>0</v>
      </c>
      <c r="U228" s="322">
        <f>($D68)*'GENERADO PS locales'!U228</f>
        <v>0</v>
      </c>
      <c r="V228" s="322">
        <f>($D68)*'GENERADO PS locales'!V228</f>
        <v>0</v>
      </c>
      <c r="W228" s="322">
        <f>($D68)*'GENERADO PS locales'!W228</f>
        <v>0</v>
      </c>
      <c r="X228" s="322">
        <f>($D68)*'GENERADO PS locales'!X228</f>
        <v>0</v>
      </c>
      <c r="Y228" s="322">
        <f>($D68)*'GENERADO PS locales'!Y228</f>
        <v>0</v>
      </c>
      <c r="Z228" s="322">
        <f>($D68)*'GENERADO PS locales'!Z228</f>
        <v>0</v>
      </c>
    </row>
    <row r="229" spans="1:26" ht="24.95" customHeight="1">
      <c r="A229" s="260" t="str">
        <f>+Pobl_adoptada!A69</f>
        <v>General Belgrano</v>
      </c>
      <c r="B229" s="70">
        <f>+Pobl_adoptada!B69</f>
        <v>65</v>
      </c>
      <c r="C229" s="71" t="str">
        <f>+Pobl_adoptada!C69</f>
        <v>General Belgrano</v>
      </c>
      <c r="D229" s="291"/>
      <c r="E229" s="278"/>
      <c r="F229" s="263"/>
      <c r="G229" s="322">
        <f>($D69)*'GENERADO PS locales'!G229</f>
        <v>0</v>
      </c>
      <c r="H229" s="322">
        <f>($D69)*'GENERADO PS locales'!H229</f>
        <v>0</v>
      </c>
      <c r="I229" s="322">
        <f>($D69)*'GENERADO PS locales'!I229</f>
        <v>0</v>
      </c>
      <c r="J229" s="322">
        <f>($D69)*'GENERADO PS locales'!J229</f>
        <v>0</v>
      </c>
      <c r="K229" s="322">
        <f>($D69)*'GENERADO PS locales'!K229</f>
        <v>0</v>
      </c>
      <c r="L229" s="322">
        <f>($D69)*'GENERADO PS locales'!L229</f>
        <v>0</v>
      </c>
      <c r="M229" s="322">
        <f>($D69)*'GENERADO PS locales'!M229</f>
        <v>0</v>
      </c>
      <c r="N229" s="322">
        <f>($D69)*'GENERADO PS locales'!N229</f>
        <v>0</v>
      </c>
      <c r="O229" s="322">
        <f>($D69)*'GENERADO PS locales'!O229</f>
        <v>0</v>
      </c>
      <c r="P229" s="322">
        <f>($D69)*'GENERADO PS locales'!P229</f>
        <v>0</v>
      </c>
      <c r="Q229" s="322">
        <f>($D69)*'GENERADO PS locales'!Q229</f>
        <v>0</v>
      </c>
      <c r="R229" s="322">
        <f>($D69)*'GENERADO PS locales'!R229</f>
        <v>0</v>
      </c>
      <c r="S229" s="322">
        <f>($D69)*'GENERADO PS locales'!S229</f>
        <v>0</v>
      </c>
      <c r="T229" s="322">
        <f>($D69)*'GENERADO PS locales'!T229</f>
        <v>0</v>
      </c>
      <c r="U229" s="322">
        <f>($D69)*'GENERADO PS locales'!U229</f>
        <v>0</v>
      </c>
      <c r="V229" s="322">
        <f>($D69)*'GENERADO PS locales'!V229</f>
        <v>0</v>
      </c>
      <c r="W229" s="322">
        <f>($D69)*'GENERADO PS locales'!W229</f>
        <v>0</v>
      </c>
      <c r="X229" s="322">
        <f>($D69)*'GENERADO PS locales'!X229</f>
        <v>0</v>
      </c>
      <c r="Y229" s="322">
        <f>($D69)*'GENERADO PS locales'!Y229</f>
        <v>0</v>
      </c>
      <c r="Z229" s="322">
        <f>($D69)*'GENERADO PS locales'!Z229</f>
        <v>0</v>
      </c>
    </row>
    <row r="230" spans="1:26" ht="24.95" customHeight="1">
      <c r="A230" s="260" t="str">
        <f>+Pobl_adoptada!A70</f>
        <v>General Guido</v>
      </c>
      <c r="B230" s="70">
        <f>+Pobl_adoptada!B70</f>
        <v>66</v>
      </c>
      <c r="C230" s="71" t="str">
        <f>+Pobl_adoptada!C70</f>
        <v>General Guido</v>
      </c>
      <c r="D230" s="291"/>
      <c r="E230" s="278"/>
      <c r="F230" s="263"/>
      <c r="G230" s="322">
        <f>($D70)*'GENERADO PS locales'!G230</f>
        <v>0</v>
      </c>
      <c r="H230" s="322">
        <f>($D70)*'GENERADO PS locales'!H230</f>
        <v>0</v>
      </c>
      <c r="I230" s="322">
        <f>($D70)*'GENERADO PS locales'!I230</f>
        <v>0</v>
      </c>
      <c r="J230" s="322">
        <f>($D70)*'GENERADO PS locales'!J230</f>
        <v>0</v>
      </c>
      <c r="K230" s="322">
        <f>($D70)*'GENERADO PS locales'!K230</f>
        <v>0</v>
      </c>
      <c r="L230" s="322">
        <f>($D70)*'GENERADO PS locales'!L230</f>
        <v>0</v>
      </c>
      <c r="M230" s="322">
        <f>($D70)*'GENERADO PS locales'!M230</f>
        <v>0</v>
      </c>
      <c r="N230" s="322">
        <f>($D70)*'GENERADO PS locales'!N230</f>
        <v>0</v>
      </c>
      <c r="O230" s="322">
        <f>($D70)*'GENERADO PS locales'!O230</f>
        <v>0</v>
      </c>
      <c r="P230" s="322">
        <f>($D70)*'GENERADO PS locales'!P230</f>
        <v>0</v>
      </c>
      <c r="Q230" s="322">
        <f>($D70)*'GENERADO PS locales'!Q230</f>
        <v>0</v>
      </c>
      <c r="R230" s="322">
        <f>($D70)*'GENERADO PS locales'!R230</f>
        <v>0</v>
      </c>
      <c r="S230" s="322">
        <f>($D70)*'GENERADO PS locales'!S230</f>
        <v>0</v>
      </c>
      <c r="T230" s="322">
        <f>($D70)*'GENERADO PS locales'!T230</f>
        <v>0</v>
      </c>
      <c r="U230" s="322">
        <f>($D70)*'GENERADO PS locales'!U230</f>
        <v>0</v>
      </c>
      <c r="V230" s="322">
        <f>($D70)*'GENERADO PS locales'!V230</f>
        <v>0</v>
      </c>
      <c r="W230" s="322">
        <f>($D70)*'GENERADO PS locales'!W230</f>
        <v>0</v>
      </c>
      <c r="X230" s="322">
        <f>($D70)*'GENERADO PS locales'!X230</f>
        <v>0</v>
      </c>
      <c r="Y230" s="322">
        <f>($D70)*'GENERADO PS locales'!Y230</f>
        <v>0</v>
      </c>
      <c r="Z230" s="322">
        <f>($D70)*'GENERADO PS locales'!Z230</f>
        <v>0</v>
      </c>
    </row>
    <row r="231" spans="1:26" ht="24.95" customHeight="1">
      <c r="A231" s="260" t="str">
        <f>+Pobl_adoptada!A71</f>
        <v>General Juan Madariaga</v>
      </c>
      <c r="B231" s="70">
        <f>+Pobl_adoptada!B71</f>
        <v>67</v>
      </c>
      <c r="C231" s="71" t="str">
        <f>+Pobl_adoptada!C71</f>
        <v>General Juan Madariaga</v>
      </c>
      <c r="D231" s="291"/>
      <c r="E231" s="278"/>
      <c r="F231" s="263"/>
      <c r="G231" s="322">
        <f>($D71)*'GENERADO PS locales'!G231</f>
        <v>0</v>
      </c>
      <c r="H231" s="322">
        <f>($D71)*'GENERADO PS locales'!H231</f>
        <v>0</v>
      </c>
      <c r="I231" s="322">
        <f>($D71)*'GENERADO PS locales'!I231</f>
        <v>0</v>
      </c>
      <c r="J231" s="322">
        <f>($D71)*'GENERADO PS locales'!J231</f>
        <v>0</v>
      </c>
      <c r="K231" s="322">
        <f>($D71)*'GENERADO PS locales'!K231</f>
        <v>0</v>
      </c>
      <c r="L231" s="322">
        <f>($D71)*'GENERADO PS locales'!L231</f>
        <v>0</v>
      </c>
      <c r="M231" s="322">
        <f>($D71)*'GENERADO PS locales'!M231</f>
        <v>0</v>
      </c>
      <c r="N231" s="322">
        <f>($D71)*'GENERADO PS locales'!N231</f>
        <v>0</v>
      </c>
      <c r="O231" s="322">
        <f>($D71)*'GENERADO PS locales'!O231</f>
        <v>0</v>
      </c>
      <c r="P231" s="322">
        <f>($D71)*'GENERADO PS locales'!P231</f>
        <v>0</v>
      </c>
      <c r="Q231" s="322">
        <f>($D71)*'GENERADO PS locales'!Q231</f>
        <v>0</v>
      </c>
      <c r="R231" s="322">
        <f>($D71)*'GENERADO PS locales'!R231</f>
        <v>0</v>
      </c>
      <c r="S231" s="322">
        <f>($D71)*'GENERADO PS locales'!S231</f>
        <v>0</v>
      </c>
      <c r="T231" s="322">
        <f>($D71)*'GENERADO PS locales'!T231</f>
        <v>0</v>
      </c>
      <c r="U231" s="322">
        <f>($D71)*'GENERADO PS locales'!U231</f>
        <v>0</v>
      </c>
      <c r="V231" s="322">
        <f>($D71)*'GENERADO PS locales'!V231</f>
        <v>0</v>
      </c>
      <c r="W231" s="322">
        <f>($D71)*'GENERADO PS locales'!W231</f>
        <v>0</v>
      </c>
      <c r="X231" s="322">
        <f>($D71)*'GENERADO PS locales'!X231</f>
        <v>0</v>
      </c>
      <c r="Y231" s="322">
        <f>($D71)*'GENERADO PS locales'!Y231</f>
        <v>0</v>
      </c>
      <c r="Z231" s="322">
        <f>($D71)*'GENERADO PS locales'!Z231</f>
        <v>0</v>
      </c>
    </row>
    <row r="232" spans="1:26" ht="24.95" customHeight="1">
      <c r="A232" s="260" t="str">
        <f>+Pobl_adoptada!A72</f>
        <v>General La Madrid</v>
      </c>
      <c r="B232" s="70">
        <f>+Pobl_adoptada!B72</f>
        <v>68</v>
      </c>
      <c r="C232" s="71" t="str">
        <f>+Pobl_adoptada!C72</f>
        <v>General La Madrid</v>
      </c>
      <c r="D232" s="291"/>
      <c r="E232" s="278"/>
      <c r="F232" s="263"/>
      <c r="G232" s="322">
        <f>($D72)*'GENERADO PS locales'!G232</f>
        <v>0</v>
      </c>
      <c r="H232" s="322">
        <f>($D72)*'GENERADO PS locales'!H232</f>
        <v>0</v>
      </c>
      <c r="I232" s="322">
        <f>($D72)*'GENERADO PS locales'!I232</f>
        <v>0</v>
      </c>
      <c r="J232" s="322">
        <f>($D72)*'GENERADO PS locales'!J232</f>
        <v>0</v>
      </c>
      <c r="K232" s="322">
        <f>($D72)*'GENERADO PS locales'!K232</f>
        <v>0</v>
      </c>
      <c r="L232" s="322">
        <f>($D72)*'GENERADO PS locales'!L232</f>
        <v>0</v>
      </c>
      <c r="M232" s="322">
        <f>($D72)*'GENERADO PS locales'!M232</f>
        <v>0</v>
      </c>
      <c r="N232" s="322">
        <f>($D72)*'GENERADO PS locales'!N232</f>
        <v>0</v>
      </c>
      <c r="O232" s="322">
        <f>($D72)*'GENERADO PS locales'!O232</f>
        <v>0</v>
      </c>
      <c r="P232" s="322">
        <f>($D72)*'GENERADO PS locales'!P232</f>
        <v>0</v>
      </c>
      <c r="Q232" s="322">
        <f>($D72)*'GENERADO PS locales'!Q232</f>
        <v>0</v>
      </c>
      <c r="R232" s="322">
        <f>($D72)*'GENERADO PS locales'!R232</f>
        <v>0</v>
      </c>
      <c r="S232" s="322">
        <f>($D72)*'GENERADO PS locales'!S232</f>
        <v>0</v>
      </c>
      <c r="T232" s="322">
        <f>($D72)*'GENERADO PS locales'!T232</f>
        <v>0</v>
      </c>
      <c r="U232" s="322">
        <f>($D72)*'GENERADO PS locales'!U232</f>
        <v>0</v>
      </c>
      <c r="V232" s="322">
        <f>($D72)*'GENERADO PS locales'!V232</f>
        <v>0</v>
      </c>
      <c r="W232" s="322">
        <f>($D72)*'GENERADO PS locales'!W232</f>
        <v>0</v>
      </c>
      <c r="X232" s="322">
        <f>($D72)*'GENERADO PS locales'!X232</f>
        <v>0</v>
      </c>
      <c r="Y232" s="322">
        <f>($D72)*'GENERADO PS locales'!Y232</f>
        <v>0</v>
      </c>
      <c r="Z232" s="322">
        <f>($D72)*'GENERADO PS locales'!Z232</f>
        <v>0</v>
      </c>
    </row>
    <row r="233" spans="1:26" ht="24.95" customHeight="1">
      <c r="A233" s="260" t="str">
        <f>+Pobl_adoptada!A73</f>
        <v>General Las Heras</v>
      </c>
      <c r="B233" s="70">
        <f>+Pobl_adoptada!B73</f>
        <v>69</v>
      </c>
      <c r="C233" s="71" t="str">
        <f>+Pobl_adoptada!C73</f>
        <v>General Las Heras</v>
      </c>
      <c r="D233" s="291"/>
      <c r="E233" s="278"/>
      <c r="F233" s="263"/>
      <c r="G233" s="322">
        <f>($D73)*'GENERADO PS locales'!G233</f>
        <v>0</v>
      </c>
      <c r="H233" s="322">
        <f>($D73)*'GENERADO PS locales'!H233</f>
        <v>0</v>
      </c>
      <c r="I233" s="322">
        <f>($D73)*'GENERADO PS locales'!I233</f>
        <v>0</v>
      </c>
      <c r="J233" s="322">
        <f>($D73)*'GENERADO PS locales'!J233</f>
        <v>0</v>
      </c>
      <c r="K233" s="322">
        <f>($D73)*'GENERADO PS locales'!K233</f>
        <v>0</v>
      </c>
      <c r="L233" s="322">
        <f>($D73)*'GENERADO PS locales'!L233</f>
        <v>0</v>
      </c>
      <c r="M233" s="322">
        <f>($D73)*'GENERADO PS locales'!M233</f>
        <v>0</v>
      </c>
      <c r="N233" s="322">
        <f>($D73)*'GENERADO PS locales'!N233</f>
        <v>0</v>
      </c>
      <c r="O233" s="322">
        <f>($D73)*'GENERADO PS locales'!O233</f>
        <v>0</v>
      </c>
      <c r="P233" s="322">
        <f>($D73)*'GENERADO PS locales'!P233</f>
        <v>0</v>
      </c>
      <c r="Q233" s="322">
        <f>($D73)*'GENERADO PS locales'!Q233</f>
        <v>0</v>
      </c>
      <c r="R233" s="322">
        <f>($D73)*'GENERADO PS locales'!R233</f>
        <v>0</v>
      </c>
      <c r="S233" s="322">
        <f>($D73)*'GENERADO PS locales'!S233</f>
        <v>0</v>
      </c>
      <c r="T233" s="322">
        <f>($D73)*'GENERADO PS locales'!T233</f>
        <v>0</v>
      </c>
      <c r="U233" s="322">
        <f>($D73)*'GENERADO PS locales'!U233</f>
        <v>0</v>
      </c>
      <c r="V233" s="322">
        <f>($D73)*'GENERADO PS locales'!V233</f>
        <v>0</v>
      </c>
      <c r="W233" s="322">
        <f>($D73)*'GENERADO PS locales'!W233</f>
        <v>0</v>
      </c>
      <c r="X233" s="322">
        <f>($D73)*'GENERADO PS locales'!X233</f>
        <v>0</v>
      </c>
      <c r="Y233" s="322">
        <f>($D73)*'GENERADO PS locales'!Y233</f>
        <v>0</v>
      </c>
      <c r="Z233" s="322">
        <f>($D73)*'GENERADO PS locales'!Z233</f>
        <v>0</v>
      </c>
    </row>
    <row r="234" spans="1:26" ht="24.95" customHeight="1">
      <c r="A234" s="260" t="str">
        <f>+Pobl_adoptada!A74</f>
        <v>General Lavalle</v>
      </c>
      <c r="B234" s="70">
        <f>+Pobl_adoptada!B74</f>
        <v>70</v>
      </c>
      <c r="C234" s="71" t="str">
        <f>+Pobl_adoptada!C74</f>
        <v>General Lavalle</v>
      </c>
      <c r="D234" s="291"/>
      <c r="E234" s="278"/>
      <c r="F234" s="263"/>
      <c r="G234" s="322">
        <f>($D74)*'GENERADO PS locales'!G234</f>
        <v>0</v>
      </c>
      <c r="H234" s="322">
        <f>($D74)*'GENERADO PS locales'!H234</f>
        <v>0</v>
      </c>
      <c r="I234" s="322">
        <f>($D74)*'GENERADO PS locales'!I234</f>
        <v>0</v>
      </c>
      <c r="J234" s="322">
        <f>($D74)*'GENERADO PS locales'!J234</f>
        <v>0</v>
      </c>
      <c r="K234" s="322">
        <f>($D74)*'GENERADO PS locales'!K234</f>
        <v>0</v>
      </c>
      <c r="L234" s="322">
        <f>($D74)*'GENERADO PS locales'!L234</f>
        <v>0</v>
      </c>
      <c r="M234" s="322">
        <f>($D74)*'GENERADO PS locales'!M234</f>
        <v>0</v>
      </c>
      <c r="N234" s="322">
        <f>($D74)*'GENERADO PS locales'!N234</f>
        <v>0</v>
      </c>
      <c r="O234" s="322">
        <f>($D74)*'GENERADO PS locales'!O234</f>
        <v>0</v>
      </c>
      <c r="P234" s="322">
        <f>($D74)*'GENERADO PS locales'!P234</f>
        <v>0</v>
      </c>
      <c r="Q234" s="322">
        <f>($D74)*'GENERADO PS locales'!Q234</f>
        <v>0</v>
      </c>
      <c r="R234" s="322">
        <f>($D74)*'GENERADO PS locales'!R234</f>
        <v>0</v>
      </c>
      <c r="S234" s="322">
        <f>($D74)*'GENERADO PS locales'!S234</f>
        <v>0</v>
      </c>
      <c r="T234" s="322">
        <f>($D74)*'GENERADO PS locales'!T234</f>
        <v>0</v>
      </c>
      <c r="U234" s="322">
        <f>($D74)*'GENERADO PS locales'!U234</f>
        <v>0</v>
      </c>
      <c r="V234" s="322">
        <f>($D74)*'GENERADO PS locales'!V234</f>
        <v>0</v>
      </c>
      <c r="W234" s="322">
        <f>($D74)*'GENERADO PS locales'!W234</f>
        <v>0</v>
      </c>
      <c r="X234" s="322">
        <f>($D74)*'GENERADO PS locales'!X234</f>
        <v>0</v>
      </c>
      <c r="Y234" s="322">
        <f>($D74)*'GENERADO PS locales'!Y234</f>
        <v>0</v>
      </c>
      <c r="Z234" s="322">
        <f>($D74)*'GENERADO PS locales'!Z234</f>
        <v>0</v>
      </c>
    </row>
    <row r="235" spans="1:26" ht="24.95" customHeight="1">
      <c r="A235" s="260" t="str">
        <f>+Pobl_adoptada!A75</f>
        <v>General Paz</v>
      </c>
      <c r="B235" s="70">
        <f>+Pobl_adoptada!B75</f>
        <v>71</v>
      </c>
      <c r="C235" s="71" t="str">
        <f>+Pobl_adoptada!C75</f>
        <v>Ranchos</v>
      </c>
      <c r="D235" s="291"/>
      <c r="E235" s="278"/>
      <c r="F235" s="263"/>
      <c r="G235" s="322">
        <f>($D75)*'GENERADO PS locales'!G235</f>
        <v>0</v>
      </c>
      <c r="H235" s="322">
        <f>($D75)*'GENERADO PS locales'!H235</f>
        <v>0</v>
      </c>
      <c r="I235" s="322">
        <f>($D75)*'GENERADO PS locales'!I235</f>
        <v>0</v>
      </c>
      <c r="J235" s="322">
        <f>($D75)*'GENERADO PS locales'!J235</f>
        <v>0</v>
      </c>
      <c r="K235" s="322">
        <f>($D75)*'GENERADO PS locales'!K235</f>
        <v>0</v>
      </c>
      <c r="L235" s="322">
        <f>($D75)*'GENERADO PS locales'!L235</f>
        <v>0</v>
      </c>
      <c r="M235" s="322">
        <f>($D75)*'GENERADO PS locales'!M235</f>
        <v>0</v>
      </c>
      <c r="N235" s="322">
        <f>($D75)*'GENERADO PS locales'!N235</f>
        <v>0</v>
      </c>
      <c r="O235" s="322">
        <f>($D75)*'GENERADO PS locales'!O235</f>
        <v>0</v>
      </c>
      <c r="P235" s="322">
        <f>($D75)*'GENERADO PS locales'!P235</f>
        <v>0</v>
      </c>
      <c r="Q235" s="322">
        <f>($D75)*'GENERADO PS locales'!Q235</f>
        <v>0</v>
      </c>
      <c r="R235" s="322">
        <f>($D75)*'GENERADO PS locales'!R235</f>
        <v>0</v>
      </c>
      <c r="S235" s="322">
        <f>($D75)*'GENERADO PS locales'!S235</f>
        <v>0</v>
      </c>
      <c r="T235" s="322">
        <f>($D75)*'GENERADO PS locales'!T235</f>
        <v>0</v>
      </c>
      <c r="U235" s="322">
        <f>($D75)*'GENERADO PS locales'!U235</f>
        <v>0</v>
      </c>
      <c r="V235" s="322">
        <f>($D75)*'GENERADO PS locales'!V235</f>
        <v>0</v>
      </c>
      <c r="W235" s="322">
        <f>($D75)*'GENERADO PS locales'!W235</f>
        <v>0</v>
      </c>
      <c r="X235" s="322">
        <f>($D75)*'GENERADO PS locales'!X235</f>
        <v>0</v>
      </c>
      <c r="Y235" s="322">
        <f>($D75)*'GENERADO PS locales'!Y235</f>
        <v>0</v>
      </c>
      <c r="Z235" s="322">
        <f>($D75)*'GENERADO PS locales'!Z235</f>
        <v>0</v>
      </c>
    </row>
    <row r="236" spans="1:26" ht="24.95" customHeight="1">
      <c r="A236" s="260" t="str">
        <f>+Pobl_adoptada!A76</f>
        <v>General Pinto</v>
      </c>
      <c r="B236" s="70">
        <f>+Pobl_adoptada!B76</f>
        <v>72</v>
      </c>
      <c r="C236" s="71" t="str">
        <f>+Pobl_adoptada!C76</f>
        <v>General Pinto</v>
      </c>
      <c r="D236" s="291"/>
      <c r="E236" s="278"/>
      <c r="F236" s="263"/>
      <c r="G236" s="322">
        <f>($D76)*'GENERADO PS locales'!G236</f>
        <v>0</v>
      </c>
      <c r="H236" s="322">
        <f>($D76)*'GENERADO PS locales'!H236</f>
        <v>0</v>
      </c>
      <c r="I236" s="322">
        <f>($D76)*'GENERADO PS locales'!I236</f>
        <v>0</v>
      </c>
      <c r="J236" s="322">
        <f>($D76)*'GENERADO PS locales'!J236</f>
        <v>0</v>
      </c>
      <c r="K236" s="322">
        <f>($D76)*'GENERADO PS locales'!K236</f>
        <v>0</v>
      </c>
      <c r="L236" s="322">
        <f>($D76)*'GENERADO PS locales'!L236</f>
        <v>0</v>
      </c>
      <c r="M236" s="322">
        <f>($D76)*'GENERADO PS locales'!M236</f>
        <v>0</v>
      </c>
      <c r="N236" s="322">
        <f>($D76)*'GENERADO PS locales'!N236</f>
        <v>0</v>
      </c>
      <c r="O236" s="322">
        <f>($D76)*'GENERADO PS locales'!O236</f>
        <v>0</v>
      </c>
      <c r="P236" s="322">
        <f>($D76)*'GENERADO PS locales'!P236</f>
        <v>0</v>
      </c>
      <c r="Q236" s="322">
        <f>($D76)*'GENERADO PS locales'!Q236</f>
        <v>0</v>
      </c>
      <c r="R236" s="322">
        <f>($D76)*'GENERADO PS locales'!R236</f>
        <v>0</v>
      </c>
      <c r="S236" s="322">
        <f>($D76)*'GENERADO PS locales'!S236</f>
        <v>0</v>
      </c>
      <c r="T236" s="322">
        <f>($D76)*'GENERADO PS locales'!T236</f>
        <v>0</v>
      </c>
      <c r="U236" s="322">
        <f>($D76)*'GENERADO PS locales'!U236</f>
        <v>0</v>
      </c>
      <c r="V236" s="322">
        <f>($D76)*'GENERADO PS locales'!V236</f>
        <v>0</v>
      </c>
      <c r="W236" s="322">
        <f>($D76)*'GENERADO PS locales'!W236</f>
        <v>0</v>
      </c>
      <c r="X236" s="322">
        <f>($D76)*'GENERADO PS locales'!X236</f>
        <v>0</v>
      </c>
      <c r="Y236" s="322">
        <f>($D76)*'GENERADO PS locales'!Y236</f>
        <v>0</v>
      </c>
      <c r="Z236" s="322">
        <f>($D76)*'GENERADO PS locales'!Z236</f>
        <v>0</v>
      </c>
    </row>
    <row r="237" spans="1:26" ht="24.95" customHeight="1">
      <c r="A237" s="260" t="str">
        <f>+Pobl_adoptada!A77</f>
        <v>General Pueyrredón</v>
      </c>
      <c r="B237" s="70">
        <f>+Pobl_adoptada!B77</f>
        <v>73</v>
      </c>
      <c r="C237" s="71" t="str">
        <f>+Pobl_adoptada!C77</f>
        <v>Mar del Plata</v>
      </c>
      <c r="D237" s="291"/>
      <c r="E237" s="278"/>
      <c r="F237" s="263"/>
      <c r="G237" s="322">
        <f>($D77)*'GENERADO PS locales'!G237</f>
        <v>0</v>
      </c>
      <c r="H237" s="322">
        <f>($D77)*'GENERADO PS locales'!H237</f>
        <v>0</v>
      </c>
      <c r="I237" s="322">
        <f>($D77)*'GENERADO PS locales'!I237</f>
        <v>0</v>
      </c>
      <c r="J237" s="322">
        <f>($D77)*'GENERADO PS locales'!J237</f>
        <v>0</v>
      </c>
      <c r="K237" s="322">
        <f>($D77)*'GENERADO PS locales'!K237</f>
        <v>0</v>
      </c>
      <c r="L237" s="322">
        <f>($D77)*'GENERADO PS locales'!L237</f>
        <v>0</v>
      </c>
      <c r="M237" s="322">
        <f>($D77)*'GENERADO PS locales'!M237</f>
        <v>0</v>
      </c>
      <c r="N237" s="322">
        <f>($D77)*'GENERADO PS locales'!N237</f>
        <v>0</v>
      </c>
      <c r="O237" s="322">
        <f>($D77)*'GENERADO PS locales'!O237</f>
        <v>0</v>
      </c>
      <c r="P237" s="322">
        <f>($D77)*'GENERADO PS locales'!P237</f>
        <v>0</v>
      </c>
      <c r="Q237" s="322">
        <f>($D77)*'GENERADO PS locales'!Q237</f>
        <v>0</v>
      </c>
      <c r="R237" s="322">
        <f>($D77)*'GENERADO PS locales'!R237</f>
        <v>0</v>
      </c>
      <c r="S237" s="322">
        <f>($D77)*'GENERADO PS locales'!S237</f>
        <v>0</v>
      </c>
      <c r="T237" s="322">
        <f>($D77)*'GENERADO PS locales'!T237</f>
        <v>0</v>
      </c>
      <c r="U237" s="322">
        <f>($D77)*'GENERADO PS locales'!U237</f>
        <v>0</v>
      </c>
      <c r="V237" s="322">
        <f>($D77)*'GENERADO PS locales'!V237</f>
        <v>0</v>
      </c>
      <c r="W237" s="322">
        <f>($D77)*'GENERADO PS locales'!W237</f>
        <v>0</v>
      </c>
      <c r="X237" s="322">
        <f>($D77)*'GENERADO PS locales'!X237</f>
        <v>0</v>
      </c>
      <c r="Y237" s="322">
        <f>($D77)*'GENERADO PS locales'!Y237</f>
        <v>0</v>
      </c>
      <c r="Z237" s="322">
        <f>($D77)*'GENERADO PS locales'!Z237</f>
        <v>0</v>
      </c>
    </row>
    <row r="238" spans="1:26" ht="24.95" customHeight="1">
      <c r="A238" s="260" t="str">
        <f>+Pobl_adoptada!A78</f>
        <v>General Rodríguez</v>
      </c>
      <c r="B238" s="70">
        <f>+Pobl_adoptada!B78</f>
        <v>74</v>
      </c>
      <c r="C238" s="71" t="str">
        <f>+Pobl_adoptada!C78</f>
        <v>General Rodríguez</v>
      </c>
      <c r="D238" s="291"/>
      <c r="E238" s="278"/>
      <c r="F238" s="263"/>
      <c r="G238" s="322">
        <f>($D78)*'GENERADO PS locales'!G238</f>
        <v>0</v>
      </c>
      <c r="H238" s="322">
        <f>($D78)*'GENERADO PS locales'!H238</f>
        <v>0</v>
      </c>
      <c r="I238" s="322">
        <f>($D78)*'GENERADO PS locales'!I238</f>
        <v>0</v>
      </c>
      <c r="J238" s="322">
        <f>($D78)*'GENERADO PS locales'!J238</f>
        <v>0</v>
      </c>
      <c r="K238" s="322">
        <f>($D78)*'GENERADO PS locales'!K238</f>
        <v>0</v>
      </c>
      <c r="L238" s="322">
        <f>($D78)*'GENERADO PS locales'!L238</f>
        <v>0</v>
      </c>
      <c r="M238" s="322">
        <f>($D78)*'GENERADO PS locales'!M238</f>
        <v>0</v>
      </c>
      <c r="N238" s="322">
        <f>($D78)*'GENERADO PS locales'!N238</f>
        <v>0</v>
      </c>
      <c r="O238" s="322">
        <f>($D78)*'GENERADO PS locales'!O238</f>
        <v>0</v>
      </c>
      <c r="P238" s="322">
        <f>($D78)*'GENERADO PS locales'!P238</f>
        <v>0</v>
      </c>
      <c r="Q238" s="322">
        <f>($D78)*'GENERADO PS locales'!Q238</f>
        <v>0</v>
      </c>
      <c r="R238" s="322">
        <f>($D78)*'GENERADO PS locales'!R238</f>
        <v>0</v>
      </c>
      <c r="S238" s="322">
        <f>($D78)*'GENERADO PS locales'!S238</f>
        <v>0</v>
      </c>
      <c r="T238" s="322">
        <f>($D78)*'GENERADO PS locales'!T238</f>
        <v>0</v>
      </c>
      <c r="U238" s="322">
        <f>($D78)*'GENERADO PS locales'!U238</f>
        <v>0</v>
      </c>
      <c r="V238" s="322">
        <f>($D78)*'GENERADO PS locales'!V238</f>
        <v>0</v>
      </c>
      <c r="W238" s="322">
        <f>($D78)*'GENERADO PS locales'!W238</f>
        <v>0</v>
      </c>
      <c r="X238" s="322">
        <f>($D78)*'GENERADO PS locales'!X238</f>
        <v>0</v>
      </c>
      <c r="Y238" s="322">
        <f>($D78)*'GENERADO PS locales'!Y238</f>
        <v>0</v>
      </c>
      <c r="Z238" s="322">
        <f>($D78)*'GENERADO PS locales'!Z238</f>
        <v>0</v>
      </c>
    </row>
    <row r="239" spans="1:26" ht="24.95" customHeight="1">
      <c r="A239" s="260" t="str">
        <f>+Pobl_adoptada!A79</f>
        <v>General Viamonte</v>
      </c>
      <c r="B239" s="70">
        <f>+Pobl_adoptada!B79</f>
        <v>75</v>
      </c>
      <c r="C239" s="71" t="str">
        <f>+Pobl_adoptada!C79</f>
        <v>Los Toldos</v>
      </c>
      <c r="D239" s="291"/>
      <c r="E239" s="278"/>
      <c r="F239" s="263"/>
      <c r="G239" s="322">
        <f>($D79)*'GENERADO PS locales'!G239</f>
        <v>0</v>
      </c>
      <c r="H239" s="322">
        <f>($D79)*'GENERADO PS locales'!H239</f>
        <v>0</v>
      </c>
      <c r="I239" s="322">
        <f>($D79)*'GENERADO PS locales'!I239</f>
        <v>0</v>
      </c>
      <c r="J239" s="322">
        <f>($D79)*'GENERADO PS locales'!J239</f>
        <v>0</v>
      </c>
      <c r="K239" s="322">
        <f>($D79)*'GENERADO PS locales'!K239</f>
        <v>0</v>
      </c>
      <c r="L239" s="322">
        <f>($D79)*'GENERADO PS locales'!L239</f>
        <v>0</v>
      </c>
      <c r="M239" s="322">
        <f>($D79)*'GENERADO PS locales'!M239</f>
        <v>0</v>
      </c>
      <c r="N239" s="322">
        <f>($D79)*'GENERADO PS locales'!N239</f>
        <v>0</v>
      </c>
      <c r="O239" s="322">
        <f>($D79)*'GENERADO PS locales'!O239</f>
        <v>0</v>
      </c>
      <c r="P239" s="322">
        <f>($D79)*'GENERADO PS locales'!P239</f>
        <v>0</v>
      </c>
      <c r="Q239" s="322">
        <f>($D79)*'GENERADO PS locales'!Q239</f>
        <v>0</v>
      </c>
      <c r="R239" s="322">
        <f>($D79)*'GENERADO PS locales'!R239</f>
        <v>0</v>
      </c>
      <c r="S239" s="322">
        <f>($D79)*'GENERADO PS locales'!S239</f>
        <v>0</v>
      </c>
      <c r="T239" s="322">
        <f>($D79)*'GENERADO PS locales'!T239</f>
        <v>0</v>
      </c>
      <c r="U239" s="322">
        <f>($D79)*'GENERADO PS locales'!U239</f>
        <v>0</v>
      </c>
      <c r="V239" s="322">
        <f>($D79)*'GENERADO PS locales'!V239</f>
        <v>0</v>
      </c>
      <c r="W239" s="322">
        <f>($D79)*'GENERADO PS locales'!W239</f>
        <v>0</v>
      </c>
      <c r="X239" s="322">
        <f>($D79)*'GENERADO PS locales'!X239</f>
        <v>0</v>
      </c>
      <c r="Y239" s="322">
        <f>($D79)*'GENERADO PS locales'!Y239</f>
        <v>0</v>
      </c>
      <c r="Z239" s="322">
        <f>($D79)*'GENERADO PS locales'!Z239</f>
        <v>0</v>
      </c>
    </row>
    <row r="240" spans="1:26" ht="24.95" customHeight="1">
      <c r="A240" s="260" t="str">
        <f>+Pobl_adoptada!A80</f>
        <v>General Villegas</v>
      </c>
      <c r="B240" s="70">
        <f>+Pobl_adoptada!B80</f>
        <v>76</v>
      </c>
      <c r="C240" s="71" t="str">
        <f>+Pobl_adoptada!C80</f>
        <v>General Villegas</v>
      </c>
      <c r="D240" s="291"/>
      <c r="E240" s="278"/>
      <c r="F240" s="263"/>
      <c r="G240" s="322">
        <f>($D80)*'GENERADO PS locales'!G240</f>
        <v>0</v>
      </c>
      <c r="H240" s="322">
        <f>($D80)*'GENERADO PS locales'!H240</f>
        <v>0</v>
      </c>
      <c r="I240" s="322">
        <f>($D80)*'GENERADO PS locales'!I240</f>
        <v>0</v>
      </c>
      <c r="J240" s="322">
        <f>($D80)*'GENERADO PS locales'!J240</f>
        <v>0</v>
      </c>
      <c r="K240" s="322">
        <f>($D80)*'GENERADO PS locales'!K240</f>
        <v>0</v>
      </c>
      <c r="L240" s="322">
        <f>($D80)*'GENERADO PS locales'!L240</f>
        <v>0</v>
      </c>
      <c r="M240" s="322">
        <f>($D80)*'GENERADO PS locales'!M240</f>
        <v>0</v>
      </c>
      <c r="N240" s="322">
        <f>($D80)*'GENERADO PS locales'!N240</f>
        <v>0</v>
      </c>
      <c r="O240" s="322">
        <f>($D80)*'GENERADO PS locales'!O240</f>
        <v>0</v>
      </c>
      <c r="P240" s="322">
        <f>($D80)*'GENERADO PS locales'!P240</f>
        <v>0</v>
      </c>
      <c r="Q240" s="322">
        <f>($D80)*'GENERADO PS locales'!Q240</f>
        <v>0</v>
      </c>
      <c r="R240" s="322">
        <f>($D80)*'GENERADO PS locales'!R240</f>
        <v>0</v>
      </c>
      <c r="S240" s="322">
        <f>($D80)*'GENERADO PS locales'!S240</f>
        <v>0</v>
      </c>
      <c r="T240" s="322">
        <f>($D80)*'GENERADO PS locales'!T240</f>
        <v>0</v>
      </c>
      <c r="U240" s="322">
        <f>($D80)*'GENERADO PS locales'!U240</f>
        <v>0</v>
      </c>
      <c r="V240" s="322">
        <f>($D80)*'GENERADO PS locales'!V240</f>
        <v>0</v>
      </c>
      <c r="W240" s="322">
        <f>($D80)*'GENERADO PS locales'!W240</f>
        <v>0</v>
      </c>
      <c r="X240" s="322">
        <f>($D80)*'GENERADO PS locales'!X240</f>
        <v>0</v>
      </c>
      <c r="Y240" s="322">
        <f>($D80)*'GENERADO PS locales'!Y240</f>
        <v>0</v>
      </c>
      <c r="Z240" s="322">
        <f>($D80)*'GENERADO PS locales'!Z240</f>
        <v>0</v>
      </c>
    </row>
    <row r="241" spans="1:26" ht="24.95" customHeight="1">
      <c r="A241" s="260" t="str">
        <f>+Pobl_adoptada!A81</f>
        <v>Guaminí</v>
      </c>
      <c r="B241" s="70">
        <f>+Pobl_adoptada!B81</f>
        <v>77</v>
      </c>
      <c r="C241" s="71" t="str">
        <f>+Pobl_adoptada!C81</f>
        <v>Guaminí</v>
      </c>
      <c r="D241" s="291"/>
      <c r="E241" s="278"/>
      <c r="F241" s="263"/>
      <c r="G241" s="322">
        <f>($D81)*'GENERADO PS locales'!G241</f>
        <v>0</v>
      </c>
      <c r="H241" s="322">
        <f>($D81)*'GENERADO PS locales'!H241</f>
        <v>0</v>
      </c>
      <c r="I241" s="322">
        <f>($D81)*'GENERADO PS locales'!I241</f>
        <v>0</v>
      </c>
      <c r="J241" s="322">
        <f>($D81)*'GENERADO PS locales'!J241</f>
        <v>0</v>
      </c>
      <c r="K241" s="322">
        <f>($D81)*'GENERADO PS locales'!K241</f>
        <v>0</v>
      </c>
      <c r="L241" s="322">
        <f>($D81)*'GENERADO PS locales'!L241</f>
        <v>0</v>
      </c>
      <c r="M241" s="322">
        <f>($D81)*'GENERADO PS locales'!M241</f>
        <v>0</v>
      </c>
      <c r="N241" s="322">
        <f>($D81)*'GENERADO PS locales'!N241</f>
        <v>0</v>
      </c>
      <c r="O241" s="322">
        <f>($D81)*'GENERADO PS locales'!O241</f>
        <v>0</v>
      </c>
      <c r="P241" s="322">
        <f>($D81)*'GENERADO PS locales'!P241</f>
        <v>0</v>
      </c>
      <c r="Q241" s="322">
        <f>($D81)*'GENERADO PS locales'!Q241</f>
        <v>0</v>
      </c>
      <c r="R241" s="322">
        <f>($D81)*'GENERADO PS locales'!R241</f>
        <v>0</v>
      </c>
      <c r="S241" s="322">
        <f>($D81)*'GENERADO PS locales'!S241</f>
        <v>0</v>
      </c>
      <c r="T241" s="322">
        <f>($D81)*'GENERADO PS locales'!T241</f>
        <v>0</v>
      </c>
      <c r="U241" s="322">
        <f>($D81)*'GENERADO PS locales'!U241</f>
        <v>0</v>
      </c>
      <c r="V241" s="322">
        <f>($D81)*'GENERADO PS locales'!V241</f>
        <v>0</v>
      </c>
      <c r="W241" s="322">
        <f>($D81)*'GENERADO PS locales'!W241</f>
        <v>0</v>
      </c>
      <c r="X241" s="322">
        <f>($D81)*'GENERADO PS locales'!X241</f>
        <v>0</v>
      </c>
      <c r="Y241" s="322">
        <f>($D81)*'GENERADO PS locales'!Y241</f>
        <v>0</v>
      </c>
      <c r="Z241" s="322">
        <f>($D81)*'GENERADO PS locales'!Z241</f>
        <v>0</v>
      </c>
    </row>
    <row r="242" spans="1:26" ht="24.95" customHeight="1">
      <c r="A242" s="260" t="str">
        <f>+Pobl_adoptada!A82</f>
        <v>Hipólito Yrigoyen</v>
      </c>
      <c r="B242" s="70">
        <f>+Pobl_adoptada!B82</f>
        <v>78</v>
      </c>
      <c r="C242" s="71" t="str">
        <f>+Pobl_adoptada!C82</f>
        <v>Henderson</v>
      </c>
      <c r="D242" s="291"/>
      <c r="E242" s="278"/>
      <c r="F242" s="263"/>
      <c r="G242" s="322">
        <f>($D82)*'GENERADO PS locales'!G242</f>
        <v>0</v>
      </c>
      <c r="H242" s="322">
        <f>($D82)*'GENERADO PS locales'!H242</f>
        <v>0</v>
      </c>
      <c r="I242" s="322">
        <f>($D82)*'GENERADO PS locales'!I242</f>
        <v>0</v>
      </c>
      <c r="J242" s="322">
        <f>($D82)*'GENERADO PS locales'!J242</f>
        <v>0</v>
      </c>
      <c r="K242" s="322">
        <f>($D82)*'GENERADO PS locales'!K242</f>
        <v>0</v>
      </c>
      <c r="L242" s="322">
        <f>($D82)*'GENERADO PS locales'!L242</f>
        <v>0</v>
      </c>
      <c r="M242" s="322">
        <f>($D82)*'GENERADO PS locales'!M242</f>
        <v>0</v>
      </c>
      <c r="N242" s="322">
        <f>($D82)*'GENERADO PS locales'!N242</f>
        <v>0</v>
      </c>
      <c r="O242" s="322">
        <f>($D82)*'GENERADO PS locales'!O242</f>
        <v>0</v>
      </c>
      <c r="P242" s="322">
        <f>($D82)*'GENERADO PS locales'!P242</f>
        <v>0</v>
      </c>
      <c r="Q242" s="322">
        <f>($D82)*'GENERADO PS locales'!Q242</f>
        <v>0</v>
      </c>
      <c r="R242" s="322">
        <f>($D82)*'GENERADO PS locales'!R242</f>
        <v>0</v>
      </c>
      <c r="S242" s="322">
        <f>($D82)*'GENERADO PS locales'!S242</f>
        <v>0</v>
      </c>
      <c r="T242" s="322">
        <f>($D82)*'GENERADO PS locales'!T242</f>
        <v>0</v>
      </c>
      <c r="U242" s="322">
        <f>($D82)*'GENERADO PS locales'!U242</f>
        <v>0</v>
      </c>
      <c r="V242" s="322">
        <f>($D82)*'GENERADO PS locales'!V242</f>
        <v>0</v>
      </c>
      <c r="W242" s="322">
        <f>($D82)*'GENERADO PS locales'!W242</f>
        <v>0</v>
      </c>
      <c r="X242" s="322">
        <f>($D82)*'GENERADO PS locales'!X242</f>
        <v>0</v>
      </c>
      <c r="Y242" s="322">
        <f>($D82)*'GENERADO PS locales'!Y242</f>
        <v>0</v>
      </c>
      <c r="Z242" s="322">
        <f>($D82)*'GENERADO PS locales'!Z242</f>
        <v>0</v>
      </c>
    </row>
    <row r="243" spans="1:26" ht="24.95" customHeight="1">
      <c r="A243" s="260" t="str">
        <f>+Pobl_adoptada!A83</f>
        <v>Junín</v>
      </c>
      <c r="B243" s="70">
        <f>+Pobl_adoptada!B83</f>
        <v>79</v>
      </c>
      <c r="C243" s="71" t="str">
        <f>+Pobl_adoptada!C83</f>
        <v>Junín</v>
      </c>
      <c r="D243" s="291"/>
      <c r="E243" s="278"/>
      <c r="F243" s="263"/>
      <c r="G243" s="322">
        <f>($D83)*'GENERADO PS locales'!G243</f>
        <v>0</v>
      </c>
      <c r="H243" s="322">
        <f>($D83)*'GENERADO PS locales'!H243</f>
        <v>0</v>
      </c>
      <c r="I243" s="322">
        <f>($D83)*'GENERADO PS locales'!I243</f>
        <v>0</v>
      </c>
      <c r="J243" s="322">
        <f>($D83)*'GENERADO PS locales'!J243</f>
        <v>0</v>
      </c>
      <c r="K243" s="322">
        <f>($D83)*'GENERADO PS locales'!K243</f>
        <v>0</v>
      </c>
      <c r="L243" s="322">
        <f>($D83)*'GENERADO PS locales'!L243</f>
        <v>0</v>
      </c>
      <c r="M243" s="322">
        <f>($D83)*'GENERADO PS locales'!M243</f>
        <v>0</v>
      </c>
      <c r="N243" s="322">
        <f>($D83)*'GENERADO PS locales'!N243</f>
        <v>0</v>
      </c>
      <c r="O243" s="322">
        <f>($D83)*'GENERADO PS locales'!O243</f>
        <v>0</v>
      </c>
      <c r="P243" s="322">
        <f>($D83)*'GENERADO PS locales'!P243</f>
        <v>0</v>
      </c>
      <c r="Q243" s="322">
        <f>($D83)*'GENERADO PS locales'!Q243</f>
        <v>0</v>
      </c>
      <c r="R243" s="322">
        <f>($D83)*'GENERADO PS locales'!R243</f>
        <v>0</v>
      </c>
      <c r="S243" s="322">
        <f>($D83)*'GENERADO PS locales'!S243</f>
        <v>0</v>
      </c>
      <c r="T243" s="322">
        <f>($D83)*'GENERADO PS locales'!T243</f>
        <v>0</v>
      </c>
      <c r="U243" s="322">
        <f>($D83)*'GENERADO PS locales'!U243</f>
        <v>0</v>
      </c>
      <c r="V243" s="322">
        <f>($D83)*'GENERADO PS locales'!V243</f>
        <v>0</v>
      </c>
      <c r="W243" s="322">
        <f>($D83)*'GENERADO PS locales'!W243</f>
        <v>0</v>
      </c>
      <c r="X243" s="322">
        <f>($D83)*'GENERADO PS locales'!X243</f>
        <v>0</v>
      </c>
      <c r="Y243" s="322">
        <f>($D83)*'GENERADO PS locales'!Y243</f>
        <v>0</v>
      </c>
      <c r="Z243" s="322">
        <f>($D83)*'GENERADO PS locales'!Z243</f>
        <v>0</v>
      </c>
    </row>
    <row r="244" spans="1:26" ht="24.95" customHeight="1">
      <c r="A244" s="260" t="str">
        <f>+Pobl_adoptada!A84</f>
        <v>La Costa</v>
      </c>
      <c r="B244" s="70">
        <f>+Pobl_adoptada!B84</f>
        <v>80</v>
      </c>
      <c r="C244" s="71" t="str">
        <f>+Pobl_adoptada!C84</f>
        <v>Mar de Ajó - San Bernardo</v>
      </c>
      <c r="D244" s="291"/>
      <c r="E244" s="278"/>
      <c r="F244" s="263"/>
      <c r="G244" s="322">
        <f>($D84)*'GENERADO PS locales'!G244</f>
        <v>0</v>
      </c>
      <c r="H244" s="322">
        <f>($D84)*'GENERADO PS locales'!H244</f>
        <v>0</v>
      </c>
      <c r="I244" s="322">
        <f>($D84)*'GENERADO PS locales'!I244</f>
        <v>0</v>
      </c>
      <c r="J244" s="322">
        <f>($D84)*'GENERADO PS locales'!J244</f>
        <v>0</v>
      </c>
      <c r="K244" s="322">
        <f>($D84)*'GENERADO PS locales'!K244</f>
        <v>0</v>
      </c>
      <c r="L244" s="322">
        <f>($D84)*'GENERADO PS locales'!L244</f>
        <v>0</v>
      </c>
      <c r="M244" s="322">
        <f>($D84)*'GENERADO PS locales'!M244</f>
        <v>0</v>
      </c>
      <c r="N244" s="322">
        <f>($D84)*'GENERADO PS locales'!N244</f>
        <v>0</v>
      </c>
      <c r="O244" s="322">
        <f>($D84)*'GENERADO PS locales'!O244</f>
        <v>0</v>
      </c>
      <c r="P244" s="322">
        <f>($D84)*'GENERADO PS locales'!P244</f>
        <v>0</v>
      </c>
      <c r="Q244" s="322">
        <f>($D84)*'GENERADO PS locales'!Q244</f>
        <v>0</v>
      </c>
      <c r="R244" s="322">
        <f>($D84)*'GENERADO PS locales'!R244</f>
        <v>0</v>
      </c>
      <c r="S244" s="322">
        <f>($D84)*'GENERADO PS locales'!S244</f>
        <v>0</v>
      </c>
      <c r="T244" s="322">
        <f>($D84)*'GENERADO PS locales'!T244</f>
        <v>0</v>
      </c>
      <c r="U244" s="322">
        <f>($D84)*'GENERADO PS locales'!U244</f>
        <v>0</v>
      </c>
      <c r="V244" s="322">
        <f>($D84)*'GENERADO PS locales'!V244</f>
        <v>0</v>
      </c>
      <c r="W244" s="322">
        <f>($D84)*'GENERADO PS locales'!W244</f>
        <v>0</v>
      </c>
      <c r="X244" s="322">
        <f>($D84)*'GENERADO PS locales'!X244</f>
        <v>0</v>
      </c>
      <c r="Y244" s="322">
        <f>($D84)*'GENERADO PS locales'!Y244</f>
        <v>0</v>
      </c>
      <c r="Z244" s="322">
        <f>($D84)*'GENERADO PS locales'!Z244</f>
        <v>0</v>
      </c>
    </row>
    <row r="245" spans="1:26" ht="24.95" customHeight="1">
      <c r="A245" s="260" t="str">
        <f>+Pobl_adoptada!A85</f>
        <v>La Costa</v>
      </c>
      <c r="B245" s="70">
        <f>+Pobl_adoptada!B85</f>
        <v>81</v>
      </c>
      <c r="C245" s="71" t="str">
        <f>+Pobl_adoptada!C85</f>
        <v>Santa Teresita - Mar del Tuyú</v>
      </c>
      <c r="D245" s="291"/>
      <c r="E245" s="278"/>
      <c r="F245" s="263"/>
      <c r="G245" s="322">
        <f>($D85)*'GENERADO PS locales'!G245</f>
        <v>0</v>
      </c>
      <c r="H245" s="322">
        <f>($D85)*'GENERADO PS locales'!H245</f>
        <v>0</v>
      </c>
      <c r="I245" s="322">
        <f>($D85)*'GENERADO PS locales'!I245</f>
        <v>0</v>
      </c>
      <c r="J245" s="322">
        <f>($D85)*'GENERADO PS locales'!J245</f>
        <v>0</v>
      </c>
      <c r="K245" s="322">
        <f>($D85)*'GENERADO PS locales'!K245</f>
        <v>0</v>
      </c>
      <c r="L245" s="322">
        <f>($D85)*'GENERADO PS locales'!L245</f>
        <v>0</v>
      </c>
      <c r="M245" s="322">
        <f>($D85)*'GENERADO PS locales'!M245</f>
        <v>0</v>
      </c>
      <c r="N245" s="322">
        <f>($D85)*'GENERADO PS locales'!N245</f>
        <v>0</v>
      </c>
      <c r="O245" s="322">
        <f>($D85)*'GENERADO PS locales'!O245</f>
        <v>0</v>
      </c>
      <c r="P245" s="322">
        <f>($D85)*'GENERADO PS locales'!P245</f>
        <v>0</v>
      </c>
      <c r="Q245" s="322">
        <f>($D85)*'GENERADO PS locales'!Q245</f>
        <v>0</v>
      </c>
      <c r="R245" s="322">
        <f>($D85)*'GENERADO PS locales'!R245</f>
        <v>0</v>
      </c>
      <c r="S245" s="322">
        <f>($D85)*'GENERADO PS locales'!S245</f>
        <v>0</v>
      </c>
      <c r="T245" s="322">
        <f>($D85)*'GENERADO PS locales'!T245</f>
        <v>0</v>
      </c>
      <c r="U245" s="322">
        <f>($D85)*'GENERADO PS locales'!U245</f>
        <v>0</v>
      </c>
      <c r="V245" s="322">
        <f>($D85)*'GENERADO PS locales'!V245</f>
        <v>0</v>
      </c>
      <c r="W245" s="322">
        <f>($D85)*'GENERADO PS locales'!W245</f>
        <v>0</v>
      </c>
      <c r="X245" s="322">
        <f>($D85)*'GENERADO PS locales'!X245</f>
        <v>0</v>
      </c>
      <c r="Y245" s="322">
        <f>($D85)*'GENERADO PS locales'!Y245</f>
        <v>0</v>
      </c>
      <c r="Z245" s="322">
        <f>($D85)*'GENERADO PS locales'!Z245</f>
        <v>0</v>
      </c>
    </row>
    <row r="246" spans="1:26" ht="24.95" customHeight="1">
      <c r="A246" s="260" t="str">
        <f>+Pobl_adoptada!A86</f>
        <v>La Plata</v>
      </c>
      <c r="B246" s="70">
        <f>+Pobl_adoptada!B86</f>
        <v>82</v>
      </c>
      <c r="C246" s="71" t="str">
        <f>+Pobl_adoptada!C86</f>
        <v>La Plata</v>
      </c>
      <c r="D246" s="291"/>
      <c r="E246" s="278"/>
      <c r="F246" s="263"/>
      <c r="G246" s="322">
        <f>($D86)*'GENERADO PS locales'!G246</f>
        <v>0</v>
      </c>
      <c r="H246" s="322">
        <f>($D86)*'GENERADO PS locales'!H246</f>
        <v>0</v>
      </c>
      <c r="I246" s="322">
        <f>($D86)*'GENERADO PS locales'!I246</f>
        <v>0</v>
      </c>
      <c r="J246" s="322">
        <f>($D86)*'GENERADO PS locales'!J246</f>
        <v>0</v>
      </c>
      <c r="K246" s="322">
        <f>($D86)*'GENERADO PS locales'!K246</f>
        <v>0</v>
      </c>
      <c r="L246" s="322">
        <f>($D86)*'GENERADO PS locales'!L246</f>
        <v>0</v>
      </c>
      <c r="M246" s="322">
        <f>($D86)*'GENERADO PS locales'!M246</f>
        <v>0</v>
      </c>
      <c r="N246" s="322">
        <f>($D86)*'GENERADO PS locales'!N246</f>
        <v>0</v>
      </c>
      <c r="O246" s="322">
        <f>($D86)*'GENERADO PS locales'!O246</f>
        <v>0</v>
      </c>
      <c r="P246" s="322">
        <f>($D86)*'GENERADO PS locales'!P246</f>
        <v>0</v>
      </c>
      <c r="Q246" s="322">
        <f>($D86)*'GENERADO PS locales'!Q246</f>
        <v>0</v>
      </c>
      <c r="R246" s="322">
        <f>($D86)*'GENERADO PS locales'!R246</f>
        <v>0</v>
      </c>
      <c r="S246" s="322">
        <f>($D86)*'GENERADO PS locales'!S246</f>
        <v>0</v>
      </c>
      <c r="T246" s="322">
        <f>($D86)*'GENERADO PS locales'!T246</f>
        <v>0</v>
      </c>
      <c r="U246" s="322">
        <f>($D86)*'GENERADO PS locales'!U246</f>
        <v>0</v>
      </c>
      <c r="V246" s="322">
        <f>($D86)*'GENERADO PS locales'!V246</f>
        <v>0</v>
      </c>
      <c r="W246" s="322">
        <f>($D86)*'GENERADO PS locales'!W246</f>
        <v>0</v>
      </c>
      <c r="X246" s="322">
        <f>($D86)*'GENERADO PS locales'!X246</f>
        <v>0</v>
      </c>
      <c r="Y246" s="322">
        <f>($D86)*'GENERADO PS locales'!Y246</f>
        <v>0</v>
      </c>
      <c r="Z246" s="322">
        <f>($D86)*'GENERADO PS locales'!Z246</f>
        <v>0</v>
      </c>
    </row>
    <row r="247" spans="1:26" ht="24.95" customHeight="1">
      <c r="A247" s="260" t="str">
        <f>+Pobl_adoptada!A87</f>
        <v>Laprida</v>
      </c>
      <c r="B247" s="70">
        <f>+Pobl_adoptada!B87</f>
        <v>83</v>
      </c>
      <c r="C247" s="71" t="str">
        <f>+Pobl_adoptada!C87</f>
        <v>Laprida</v>
      </c>
      <c r="D247" s="291"/>
      <c r="E247" s="278"/>
      <c r="F247" s="263"/>
      <c r="G247" s="322">
        <f>($D87)*'GENERADO PS locales'!G247</f>
        <v>0</v>
      </c>
      <c r="H247" s="322">
        <f>($D87)*'GENERADO PS locales'!H247</f>
        <v>0</v>
      </c>
      <c r="I247" s="322">
        <f>($D87)*'GENERADO PS locales'!I247</f>
        <v>0</v>
      </c>
      <c r="J247" s="322">
        <f>($D87)*'GENERADO PS locales'!J247</f>
        <v>0</v>
      </c>
      <c r="K247" s="322">
        <f>($D87)*'GENERADO PS locales'!K247</f>
        <v>0</v>
      </c>
      <c r="L247" s="322">
        <f>($D87)*'GENERADO PS locales'!L247</f>
        <v>0</v>
      </c>
      <c r="M247" s="322">
        <f>($D87)*'GENERADO PS locales'!M247</f>
        <v>0</v>
      </c>
      <c r="N247" s="322">
        <f>($D87)*'GENERADO PS locales'!N247</f>
        <v>0</v>
      </c>
      <c r="O247" s="322">
        <f>($D87)*'GENERADO PS locales'!O247</f>
        <v>0</v>
      </c>
      <c r="P247" s="322">
        <f>($D87)*'GENERADO PS locales'!P247</f>
        <v>0</v>
      </c>
      <c r="Q247" s="322">
        <f>($D87)*'GENERADO PS locales'!Q247</f>
        <v>0</v>
      </c>
      <c r="R247" s="322">
        <f>($D87)*'GENERADO PS locales'!R247</f>
        <v>0</v>
      </c>
      <c r="S247" s="322">
        <f>($D87)*'GENERADO PS locales'!S247</f>
        <v>0</v>
      </c>
      <c r="T247" s="322">
        <f>($D87)*'GENERADO PS locales'!T247</f>
        <v>0</v>
      </c>
      <c r="U247" s="322">
        <f>($D87)*'GENERADO PS locales'!U247</f>
        <v>0</v>
      </c>
      <c r="V247" s="322">
        <f>($D87)*'GENERADO PS locales'!V247</f>
        <v>0</v>
      </c>
      <c r="W247" s="322">
        <f>($D87)*'GENERADO PS locales'!W247</f>
        <v>0</v>
      </c>
      <c r="X247" s="322">
        <f>($D87)*'GENERADO PS locales'!X247</f>
        <v>0</v>
      </c>
      <c r="Y247" s="322">
        <f>($D87)*'GENERADO PS locales'!Y247</f>
        <v>0</v>
      </c>
      <c r="Z247" s="322">
        <f>($D87)*'GENERADO PS locales'!Z247</f>
        <v>0</v>
      </c>
    </row>
    <row r="248" spans="1:26" ht="24.95" customHeight="1">
      <c r="A248" s="260" t="str">
        <f>+Pobl_adoptada!A88</f>
        <v>Las Flores</v>
      </c>
      <c r="B248" s="70">
        <f>+Pobl_adoptada!B88</f>
        <v>84</v>
      </c>
      <c r="C248" s="71" t="str">
        <f>+Pobl_adoptada!C88</f>
        <v>Las Flores</v>
      </c>
      <c r="D248" s="291"/>
      <c r="E248" s="278"/>
      <c r="F248" s="263"/>
      <c r="G248" s="322">
        <f>($D88)*'GENERADO PS locales'!G248</f>
        <v>0</v>
      </c>
      <c r="H248" s="322">
        <f>($D88)*'GENERADO PS locales'!H248</f>
        <v>0</v>
      </c>
      <c r="I248" s="322">
        <f>($D88)*'GENERADO PS locales'!I248</f>
        <v>0</v>
      </c>
      <c r="J248" s="322">
        <f>($D88)*'GENERADO PS locales'!J248</f>
        <v>0</v>
      </c>
      <c r="K248" s="322">
        <f>($D88)*'GENERADO PS locales'!K248</f>
        <v>0</v>
      </c>
      <c r="L248" s="322">
        <f>($D88)*'GENERADO PS locales'!L248</f>
        <v>0</v>
      </c>
      <c r="M248" s="322">
        <f>($D88)*'GENERADO PS locales'!M248</f>
        <v>0</v>
      </c>
      <c r="N248" s="322">
        <f>($D88)*'GENERADO PS locales'!N248</f>
        <v>0</v>
      </c>
      <c r="O248" s="322">
        <f>($D88)*'GENERADO PS locales'!O248</f>
        <v>0</v>
      </c>
      <c r="P248" s="322">
        <f>($D88)*'GENERADO PS locales'!P248</f>
        <v>0</v>
      </c>
      <c r="Q248" s="322">
        <f>($D88)*'GENERADO PS locales'!Q248</f>
        <v>0</v>
      </c>
      <c r="R248" s="322">
        <f>($D88)*'GENERADO PS locales'!R248</f>
        <v>0</v>
      </c>
      <c r="S248" s="322">
        <f>($D88)*'GENERADO PS locales'!S248</f>
        <v>0</v>
      </c>
      <c r="T248" s="322">
        <f>($D88)*'GENERADO PS locales'!T248</f>
        <v>0</v>
      </c>
      <c r="U248" s="322">
        <f>($D88)*'GENERADO PS locales'!U248</f>
        <v>0</v>
      </c>
      <c r="V248" s="322">
        <f>($D88)*'GENERADO PS locales'!V248</f>
        <v>0</v>
      </c>
      <c r="W248" s="322">
        <f>($D88)*'GENERADO PS locales'!W248</f>
        <v>0</v>
      </c>
      <c r="X248" s="322">
        <f>($D88)*'GENERADO PS locales'!X248</f>
        <v>0</v>
      </c>
      <c r="Y248" s="322">
        <f>($D88)*'GENERADO PS locales'!Y248</f>
        <v>0</v>
      </c>
      <c r="Z248" s="322">
        <f>($D88)*'GENERADO PS locales'!Z248</f>
        <v>0</v>
      </c>
    </row>
    <row r="249" spans="1:26" ht="24.95" customHeight="1">
      <c r="A249" s="260" t="str">
        <f>+Pobl_adoptada!A89</f>
        <v>Leandro N. Alem</v>
      </c>
      <c r="B249" s="70">
        <f>+Pobl_adoptada!B89</f>
        <v>85</v>
      </c>
      <c r="C249" s="71" t="str">
        <f>+Pobl_adoptada!C89</f>
        <v>Vedia</v>
      </c>
      <c r="D249" s="291"/>
      <c r="E249" s="278"/>
      <c r="F249" s="263"/>
      <c r="G249" s="322">
        <f>($D89)*'GENERADO PS locales'!G249</f>
        <v>0</v>
      </c>
      <c r="H249" s="322">
        <f>($D89)*'GENERADO PS locales'!H249</f>
        <v>0</v>
      </c>
      <c r="I249" s="322">
        <f>($D89)*'GENERADO PS locales'!I249</f>
        <v>0</v>
      </c>
      <c r="J249" s="322">
        <f>($D89)*'GENERADO PS locales'!J249</f>
        <v>0</v>
      </c>
      <c r="K249" s="322">
        <f>($D89)*'GENERADO PS locales'!K249</f>
        <v>0</v>
      </c>
      <c r="L249" s="322">
        <f>($D89)*'GENERADO PS locales'!L249</f>
        <v>0</v>
      </c>
      <c r="M249" s="322">
        <f>($D89)*'GENERADO PS locales'!M249</f>
        <v>0</v>
      </c>
      <c r="N249" s="322">
        <f>($D89)*'GENERADO PS locales'!N249</f>
        <v>0</v>
      </c>
      <c r="O249" s="322">
        <f>($D89)*'GENERADO PS locales'!O249</f>
        <v>0</v>
      </c>
      <c r="P249" s="322">
        <f>($D89)*'GENERADO PS locales'!P249</f>
        <v>0</v>
      </c>
      <c r="Q249" s="322">
        <f>($D89)*'GENERADO PS locales'!Q249</f>
        <v>0</v>
      </c>
      <c r="R249" s="322">
        <f>($D89)*'GENERADO PS locales'!R249</f>
        <v>0</v>
      </c>
      <c r="S249" s="322">
        <f>($D89)*'GENERADO PS locales'!S249</f>
        <v>0</v>
      </c>
      <c r="T249" s="322">
        <f>($D89)*'GENERADO PS locales'!T249</f>
        <v>0</v>
      </c>
      <c r="U249" s="322">
        <f>($D89)*'GENERADO PS locales'!U249</f>
        <v>0</v>
      </c>
      <c r="V249" s="322">
        <f>($D89)*'GENERADO PS locales'!V249</f>
        <v>0</v>
      </c>
      <c r="W249" s="322">
        <f>($D89)*'GENERADO PS locales'!W249</f>
        <v>0</v>
      </c>
      <c r="X249" s="322">
        <f>($D89)*'GENERADO PS locales'!X249</f>
        <v>0</v>
      </c>
      <c r="Y249" s="322">
        <f>($D89)*'GENERADO PS locales'!Y249</f>
        <v>0</v>
      </c>
      <c r="Z249" s="322">
        <f>($D89)*'GENERADO PS locales'!Z249</f>
        <v>0</v>
      </c>
    </row>
    <row r="250" spans="1:26" ht="24.95" customHeight="1">
      <c r="A250" s="260" t="str">
        <f>+Pobl_adoptada!A90</f>
        <v>Lincoln</v>
      </c>
      <c r="B250" s="70">
        <f>+Pobl_adoptada!B90</f>
        <v>86</v>
      </c>
      <c r="C250" s="71" t="str">
        <f>+Pobl_adoptada!C90</f>
        <v>Lincoln</v>
      </c>
      <c r="D250" s="291"/>
      <c r="E250" s="278"/>
      <c r="F250" s="263"/>
      <c r="G250" s="322">
        <f>($D90)*'GENERADO PS locales'!G250</f>
        <v>0</v>
      </c>
      <c r="H250" s="322">
        <f>($D90)*'GENERADO PS locales'!H250</f>
        <v>0</v>
      </c>
      <c r="I250" s="322">
        <f>($D90)*'GENERADO PS locales'!I250</f>
        <v>0</v>
      </c>
      <c r="J250" s="322">
        <f>($D90)*'GENERADO PS locales'!J250</f>
        <v>0</v>
      </c>
      <c r="K250" s="322">
        <f>($D90)*'GENERADO PS locales'!K250</f>
        <v>0</v>
      </c>
      <c r="L250" s="322">
        <f>($D90)*'GENERADO PS locales'!L250</f>
        <v>0</v>
      </c>
      <c r="M250" s="322">
        <f>($D90)*'GENERADO PS locales'!M250</f>
        <v>0</v>
      </c>
      <c r="N250" s="322">
        <f>($D90)*'GENERADO PS locales'!N250</f>
        <v>0</v>
      </c>
      <c r="O250" s="322">
        <f>($D90)*'GENERADO PS locales'!O250</f>
        <v>0</v>
      </c>
      <c r="P250" s="322">
        <f>($D90)*'GENERADO PS locales'!P250</f>
        <v>0</v>
      </c>
      <c r="Q250" s="322">
        <f>($D90)*'GENERADO PS locales'!Q250</f>
        <v>0</v>
      </c>
      <c r="R250" s="322">
        <f>($D90)*'GENERADO PS locales'!R250</f>
        <v>0</v>
      </c>
      <c r="S250" s="322">
        <f>($D90)*'GENERADO PS locales'!S250</f>
        <v>0</v>
      </c>
      <c r="T250" s="322">
        <f>($D90)*'GENERADO PS locales'!T250</f>
        <v>0</v>
      </c>
      <c r="U250" s="322">
        <f>($D90)*'GENERADO PS locales'!U250</f>
        <v>0</v>
      </c>
      <c r="V250" s="322">
        <f>($D90)*'GENERADO PS locales'!V250</f>
        <v>0</v>
      </c>
      <c r="W250" s="322">
        <f>($D90)*'GENERADO PS locales'!W250</f>
        <v>0</v>
      </c>
      <c r="X250" s="322">
        <f>($D90)*'GENERADO PS locales'!X250</f>
        <v>0</v>
      </c>
      <c r="Y250" s="322">
        <f>($D90)*'GENERADO PS locales'!Y250</f>
        <v>0</v>
      </c>
      <c r="Z250" s="322">
        <f>($D90)*'GENERADO PS locales'!Z250</f>
        <v>0</v>
      </c>
    </row>
    <row r="251" spans="1:26" ht="24.95" customHeight="1">
      <c r="A251" s="260" t="str">
        <f>+Pobl_adoptada!A91</f>
        <v>Lobería</v>
      </c>
      <c r="B251" s="70">
        <f>+Pobl_adoptada!B91</f>
        <v>87</v>
      </c>
      <c r="C251" s="71" t="str">
        <f>+Pobl_adoptada!C91</f>
        <v>Lobería</v>
      </c>
      <c r="D251" s="291"/>
      <c r="E251" s="278"/>
      <c r="F251" s="263"/>
      <c r="G251" s="322">
        <f>($D91)*'GENERADO PS locales'!G251</f>
        <v>0</v>
      </c>
      <c r="H251" s="322">
        <f>($D91)*'GENERADO PS locales'!H251</f>
        <v>0</v>
      </c>
      <c r="I251" s="322">
        <f>($D91)*'GENERADO PS locales'!I251</f>
        <v>0</v>
      </c>
      <c r="J251" s="322">
        <f>($D91)*'GENERADO PS locales'!J251</f>
        <v>0</v>
      </c>
      <c r="K251" s="322">
        <f>($D91)*'GENERADO PS locales'!K251</f>
        <v>0</v>
      </c>
      <c r="L251" s="322">
        <f>($D91)*'GENERADO PS locales'!L251</f>
        <v>0</v>
      </c>
      <c r="M251" s="322">
        <f>($D91)*'GENERADO PS locales'!M251</f>
        <v>0</v>
      </c>
      <c r="N251" s="322">
        <f>($D91)*'GENERADO PS locales'!N251</f>
        <v>0</v>
      </c>
      <c r="O251" s="322">
        <f>($D91)*'GENERADO PS locales'!O251</f>
        <v>0</v>
      </c>
      <c r="P251" s="322">
        <f>($D91)*'GENERADO PS locales'!P251</f>
        <v>0</v>
      </c>
      <c r="Q251" s="322">
        <f>($D91)*'GENERADO PS locales'!Q251</f>
        <v>0</v>
      </c>
      <c r="R251" s="322">
        <f>($D91)*'GENERADO PS locales'!R251</f>
        <v>0</v>
      </c>
      <c r="S251" s="322">
        <f>($D91)*'GENERADO PS locales'!S251</f>
        <v>0</v>
      </c>
      <c r="T251" s="322">
        <f>($D91)*'GENERADO PS locales'!T251</f>
        <v>0</v>
      </c>
      <c r="U251" s="322">
        <f>($D91)*'GENERADO PS locales'!U251</f>
        <v>0</v>
      </c>
      <c r="V251" s="322">
        <f>($D91)*'GENERADO PS locales'!V251</f>
        <v>0</v>
      </c>
      <c r="W251" s="322">
        <f>($D91)*'GENERADO PS locales'!W251</f>
        <v>0</v>
      </c>
      <c r="X251" s="322">
        <f>($D91)*'GENERADO PS locales'!X251</f>
        <v>0</v>
      </c>
      <c r="Y251" s="322">
        <f>($D91)*'GENERADO PS locales'!Y251</f>
        <v>0</v>
      </c>
      <c r="Z251" s="322">
        <f>($D91)*'GENERADO PS locales'!Z251</f>
        <v>0</v>
      </c>
    </row>
    <row r="252" spans="1:26" ht="24.95" customHeight="1">
      <c r="A252" s="260" t="str">
        <f>+Pobl_adoptada!A92</f>
        <v>Lobos</v>
      </c>
      <c r="B252" s="70">
        <f>+Pobl_adoptada!B92</f>
        <v>88</v>
      </c>
      <c r="C252" s="71" t="str">
        <f>+Pobl_adoptada!C92</f>
        <v>Lobos</v>
      </c>
      <c r="D252" s="291"/>
      <c r="E252" s="278"/>
      <c r="F252" s="263"/>
      <c r="G252" s="322">
        <f>($D92)*'GENERADO PS locales'!G252</f>
        <v>0</v>
      </c>
      <c r="H252" s="322">
        <f>($D92)*'GENERADO PS locales'!H252</f>
        <v>0</v>
      </c>
      <c r="I252" s="322">
        <f>($D92)*'GENERADO PS locales'!I252</f>
        <v>0</v>
      </c>
      <c r="J252" s="322">
        <f>($D92)*'GENERADO PS locales'!J252</f>
        <v>0</v>
      </c>
      <c r="K252" s="322">
        <f>($D92)*'GENERADO PS locales'!K252</f>
        <v>0</v>
      </c>
      <c r="L252" s="322">
        <f>($D92)*'GENERADO PS locales'!L252</f>
        <v>0</v>
      </c>
      <c r="M252" s="322">
        <f>($D92)*'GENERADO PS locales'!M252</f>
        <v>0</v>
      </c>
      <c r="N252" s="322">
        <f>($D92)*'GENERADO PS locales'!N252</f>
        <v>0</v>
      </c>
      <c r="O252" s="322">
        <f>($D92)*'GENERADO PS locales'!O252</f>
        <v>0</v>
      </c>
      <c r="P252" s="322">
        <f>($D92)*'GENERADO PS locales'!P252</f>
        <v>0</v>
      </c>
      <c r="Q252" s="322">
        <f>($D92)*'GENERADO PS locales'!Q252</f>
        <v>0</v>
      </c>
      <c r="R252" s="322">
        <f>($D92)*'GENERADO PS locales'!R252</f>
        <v>0</v>
      </c>
      <c r="S252" s="322">
        <f>($D92)*'GENERADO PS locales'!S252</f>
        <v>0</v>
      </c>
      <c r="T252" s="322">
        <f>($D92)*'GENERADO PS locales'!T252</f>
        <v>0</v>
      </c>
      <c r="U252" s="322">
        <f>($D92)*'GENERADO PS locales'!U252</f>
        <v>0</v>
      </c>
      <c r="V252" s="322">
        <f>($D92)*'GENERADO PS locales'!V252</f>
        <v>0</v>
      </c>
      <c r="W252" s="322">
        <f>($D92)*'GENERADO PS locales'!W252</f>
        <v>0</v>
      </c>
      <c r="X252" s="322">
        <f>($D92)*'GENERADO PS locales'!X252</f>
        <v>0</v>
      </c>
      <c r="Y252" s="322">
        <f>($D92)*'GENERADO PS locales'!Y252</f>
        <v>0</v>
      </c>
      <c r="Z252" s="322">
        <f>($D92)*'GENERADO PS locales'!Z252</f>
        <v>0</v>
      </c>
    </row>
    <row r="253" spans="1:26" ht="24.95" customHeight="1">
      <c r="A253" s="260" t="str">
        <f>+Pobl_adoptada!A93</f>
        <v>Luján</v>
      </c>
      <c r="B253" s="70">
        <f>+Pobl_adoptada!B93</f>
        <v>89</v>
      </c>
      <c r="C253" s="71" t="str">
        <f>+Pobl_adoptada!C93</f>
        <v>Luján</v>
      </c>
      <c r="D253" s="291"/>
      <c r="E253" s="278"/>
      <c r="F253" s="263"/>
      <c r="G253" s="322">
        <f>($D93)*'GENERADO PS locales'!G253</f>
        <v>0</v>
      </c>
      <c r="H253" s="322">
        <f>($D93)*'GENERADO PS locales'!H253</f>
        <v>0</v>
      </c>
      <c r="I253" s="322">
        <f>($D93)*'GENERADO PS locales'!I253</f>
        <v>0</v>
      </c>
      <c r="J253" s="322">
        <f>($D93)*'GENERADO PS locales'!J253</f>
        <v>0</v>
      </c>
      <c r="K253" s="322">
        <f>($D93)*'GENERADO PS locales'!K253</f>
        <v>0</v>
      </c>
      <c r="L253" s="322">
        <f>($D93)*'GENERADO PS locales'!L253</f>
        <v>0</v>
      </c>
      <c r="M253" s="322">
        <f>($D93)*'GENERADO PS locales'!M253</f>
        <v>0</v>
      </c>
      <c r="N253" s="322">
        <f>($D93)*'GENERADO PS locales'!N253</f>
        <v>0</v>
      </c>
      <c r="O253" s="322">
        <f>($D93)*'GENERADO PS locales'!O253</f>
        <v>0</v>
      </c>
      <c r="P253" s="322">
        <f>($D93)*'GENERADO PS locales'!P253</f>
        <v>0</v>
      </c>
      <c r="Q253" s="322">
        <f>($D93)*'GENERADO PS locales'!Q253</f>
        <v>0</v>
      </c>
      <c r="R253" s="322">
        <f>($D93)*'GENERADO PS locales'!R253</f>
        <v>0</v>
      </c>
      <c r="S253" s="322">
        <f>($D93)*'GENERADO PS locales'!S253</f>
        <v>0</v>
      </c>
      <c r="T253" s="322">
        <f>($D93)*'GENERADO PS locales'!T253</f>
        <v>0</v>
      </c>
      <c r="U253" s="322">
        <f>($D93)*'GENERADO PS locales'!U253</f>
        <v>0</v>
      </c>
      <c r="V253" s="322">
        <f>($D93)*'GENERADO PS locales'!V253</f>
        <v>0</v>
      </c>
      <c r="W253" s="322">
        <f>($D93)*'GENERADO PS locales'!W253</f>
        <v>0</v>
      </c>
      <c r="X253" s="322">
        <f>($D93)*'GENERADO PS locales'!X253</f>
        <v>0</v>
      </c>
      <c r="Y253" s="322">
        <f>($D93)*'GENERADO PS locales'!Y253</f>
        <v>0</v>
      </c>
      <c r="Z253" s="322">
        <f>($D93)*'GENERADO PS locales'!Z253</f>
        <v>0</v>
      </c>
    </row>
    <row r="254" spans="1:26" ht="24.95" customHeight="1">
      <c r="A254" s="260" t="str">
        <f>+Pobl_adoptada!A94</f>
        <v>Magdalena</v>
      </c>
      <c r="B254" s="70">
        <f>+Pobl_adoptada!B94</f>
        <v>90</v>
      </c>
      <c r="C254" s="71" t="str">
        <f>+Pobl_adoptada!C94</f>
        <v>Magdalena</v>
      </c>
      <c r="D254" s="291"/>
      <c r="E254" s="278"/>
      <c r="F254" s="263"/>
      <c r="G254" s="322">
        <f>($D94)*'GENERADO PS locales'!G254</f>
        <v>0</v>
      </c>
      <c r="H254" s="322">
        <f>($D94)*'GENERADO PS locales'!H254</f>
        <v>0</v>
      </c>
      <c r="I254" s="322">
        <f>($D94)*'GENERADO PS locales'!I254</f>
        <v>0</v>
      </c>
      <c r="J254" s="322">
        <f>($D94)*'GENERADO PS locales'!J254</f>
        <v>0</v>
      </c>
      <c r="K254" s="322">
        <f>($D94)*'GENERADO PS locales'!K254</f>
        <v>0</v>
      </c>
      <c r="L254" s="322">
        <f>($D94)*'GENERADO PS locales'!L254</f>
        <v>0</v>
      </c>
      <c r="M254" s="322">
        <f>($D94)*'GENERADO PS locales'!M254</f>
        <v>0</v>
      </c>
      <c r="N254" s="322">
        <f>($D94)*'GENERADO PS locales'!N254</f>
        <v>0</v>
      </c>
      <c r="O254" s="322">
        <f>($D94)*'GENERADO PS locales'!O254</f>
        <v>0</v>
      </c>
      <c r="P254" s="322">
        <f>($D94)*'GENERADO PS locales'!P254</f>
        <v>0</v>
      </c>
      <c r="Q254" s="322">
        <f>($D94)*'GENERADO PS locales'!Q254</f>
        <v>0</v>
      </c>
      <c r="R254" s="322">
        <f>($D94)*'GENERADO PS locales'!R254</f>
        <v>0</v>
      </c>
      <c r="S254" s="322">
        <f>($D94)*'GENERADO PS locales'!S254</f>
        <v>0</v>
      </c>
      <c r="T254" s="322">
        <f>($D94)*'GENERADO PS locales'!T254</f>
        <v>0</v>
      </c>
      <c r="U254" s="322">
        <f>($D94)*'GENERADO PS locales'!U254</f>
        <v>0</v>
      </c>
      <c r="V254" s="322">
        <f>($D94)*'GENERADO PS locales'!V254</f>
        <v>0</v>
      </c>
      <c r="W254" s="322">
        <f>($D94)*'GENERADO PS locales'!W254</f>
        <v>0</v>
      </c>
      <c r="X254" s="322">
        <f>($D94)*'GENERADO PS locales'!X254</f>
        <v>0</v>
      </c>
      <c r="Y254" s="322">
        <f>($D94)*'GENERADO PS locales'!Y254</f>
        <v>0</v>
      </c>
      <c r="Z254" s="322">
        <f>($D94)*'GENERADO PS locales'!Z254</f>
        <v>0</v>
      </c>
    </row>
    <row r="255" spans="1:26" ht="24.95" customHeight="1">
      <c r="A255" s="260" t="str">
        <f>+Pobl_adoptada!A95</f>
        <v>Maipú</v>
      </c>
      <c r="B255" s="70">
        <f>+Pobl_adoptada!B95</f>
        <v>91</v>
      </c>
      <c r="C255" s="71" t="str">
        <f>+Pobl_adoptada!C95</f>
        <v>Maipú</v>
      </c>
      <c r="D255" s="291"/>
      <c r="E255" s="278"/>
      <c r="F255" s="263"/>
      <c r="G255" s="322">
        <f>($D95)*'GENERADO PS locales'!G255</f>
        <v>0</v>
      </c>
      <c r="H255" s="322">
        <f>($D95)*'GENERADO PS locales'!H255</f>
        <v>0</v>
      </c>
      <c r="I255" s="322">
        <f>($D95)*'GENERADO PS locales'!I255</f>
        <v>0</v>
      </c>
      <c r="J255" s="322">
        <f>($D95)*'GENERADO PS locales'!J255</f>
        <v>0</v>
      </c>
      <c r="K255" s="322">
        <f>($D95)*'GENERADO PS locales'!K255</f>
        <v>0</v>
      </c>
      <c r="L255" s="322">
        <f>($D95)*'GENERADO PS locales'!L255</f>
        <v>0</v>
      </c>
      <c r="M255" s="322">
        <f>($D95)*'GENERADO PS locales'!M255</f>
        <v>0</v>
      </c>
      <c r="N255" s="322">
        <f>($D95)*'GENERADO PS locales'!N255</f>
        <v>0</v>
      </c>
      <c r="O255" s="322">
        <f>($D95)*'GENERADO PS locales'!O255</f>
        <v>0</v>
      </c>
      <c r="P255" s="322">
        <f>($D95)*'GENERADO PS locales'!P255</f>
        <v>0</v>
      </c>
      <c r="Q255" s="322">
        <f>($D95)*'GENERADO PS locales'!Q255</f>
        <v>0</v>
      </c>
      <c r="R255" s="322">
        <f>($D95)*'GENERADO PS locales'!R255</f>
        <v>0</v>
      </c>
      <c r="S255" s="322">
        <f>($D95)*'GENERADO PS locales'!S255</f>
        <v>0</v>
      </c>
      <c r="T255" s="322">
        <f>($D95)*'GENERADO PS locales'!T255</f>
        <v>0</v>
      </c>
      <c r="U255" s="322">
        <f>($D95)*'GENERADO PS locales'!U255</f>
        <v>0</v>
      </c>
      <c r="V255" s="322">
        <f>($D95)*'GENERADO PS locales'!V255</f>
        <v>0</v>
      </c>
      <c r="W255" s="322">
        <f>($D95)*'GENERADO PS locales'!W255</f>
        <v>0</v>
      </c>
      <c r="X255" s="322">
        <f>($D95)*'GENERADO PS locales'!X255</f>
        <v>0</v>
      </c>
      <c r="Y255" s="322">
        <f>($D95)*'GENERADO PS locales'!Y255</f>
        <v>0</v>
      </c>
      <c r="Z255" s="322">
        <f>($D95)*'GENERADO PS locales'!Z255</f>
        <v>0</v>
      </c>
    </row>
    <row r="256" spans="1:26" ht="24.95" customHeight="1">
      <c r="A256" s="260" t="str">
        <f>+Pobl_adoptada!A96</f>
        <v>Mar Chiquita</v>
      </c>
      <c r="B256" s="70">
        <f>+Pobl_adoptada!B96</f>
        <v>92</v>
      </c>
      <c r="C256" s="71" t="str">
        <f>+Pobl_adoptada!C96</f>
        <v>Coronel Vidal</v>
      </c>
      <c r="D256" s="291"/>
      <c r="E256" s="278"/>
      <c r="F256" s="263"/>
      <c r="G256" s="322">
        <f>($D96)*'GENERADO PS locales'!G256</f>
        <v>0</v>
      </c>
      <c r="H256" s="322">
        <f>($D96)*'GENERADO PS locales'!H256</f>
        <v>0</v>
      </c>
      <c r="I256" s="322">
        <f>($D96)*'GENERADO PS locales'!I256</f>
        <v>0</v>
      </c>
      <c r="J256" s="322">
        <f>($D96)*'GENERADO PS locales'!J256</f>
        <v>0</v>
      </c>
      <c r="K256" s="322">
        <f>($D96)*'GENERADO PS locales'!K256</f>
        <v>0</v>
      </c>
      <c r="L256" s="322">
        <f>($D96)*'GENERADO PS locales'!L256</f>
        <v>0</v>
      </c>
      <c r="M256" s="322">
        <f>($D96)*'GENERADO PS locales'!M256</f>
        <v>0</v>
      </c>
      <c r="N256" s="322">
        <f>($D96)*'GENERADO PS locales'!N256</f>
        <v>0</v>
      </c>
      <c r="O256" s="322">
        <f>($D96)*'GENERADO PS locales'!O256</f>
        <v>0</v>
      </c>
      <c r="P256" s="322">
        <f>($D96)*'GENERADO PS locales'!P256</f>
        <v>0</v>
      </c>
      <c r="Q256" s="322">
        <f>($D96)*'GENERADO PS locales'!Q256</f>
        <v>0</v>
      </c>
      <c r="R256" s="322">
        <f>($D96)*'GENERADO PS locales'!R256</f>
        <v>0</v>
      </c>
      <c r="S256" s="322">
        <f>($D96)*'GENERADO PS locales'!S256</f>
        <v>0</v>
      </c>
      <c r="T256" s="322">
        <f>($D96)*'GENERADO PS locales'!T256</f>
        <v>0</v>
      </c>
      <c r="U256" s="322">
        <f>($D96)*'GENERADO PS locales'!U256</f>
        <v>0</v>
      </c>
      <c r="V256" s="322">
        <f>($D96)*'GENERADO PS locales'!V256</f>
        <v>0</v>
      </c>
      <c r="W256" s="322">
        <f>($D96)*'GENERADO PS locales'!W256</f>
        <v>0</v>
      </c>
      <c r="X256" s="322">
        <f>($D96)*'GENERADO PS locales'!X256</f>
        <v>0</v>
      </c>
      <c r="Y256" s="322">
        <f>($D96)*'GENERADO PS locales'!Y256</f>
        <v>0</v>
      </c>
      <c r="Z256" s="322">
        <f>($D96)*'GENERADO PS locales'!Z256</f>
        <v>0</v>
      </c>
    </row>
    <row r="257" spans="1:26" ht="24.95" customHeight="1">
      <c r="A257" s="260" t="str">
        <f>+Pobl_adoptada!A97</f>
        <v>Marcos Paz</v>
      </c>
      <c r="B257" s="70">
        <f>+Pobl_adoptada!B97</f>
        <v>93</v>
      </c>
      <c r="C257" s="71" t="str">
        <f>+Pobl_adoptada!C97</f>
        <v>Marcos Paz</v>
      </c>
      <c r="D257" s="291"/>
      <c r="E257" s="278"/>
      <c r="F257" s="263"/>
      <c r="G257" s="322">
        <f>($D97)*'GENERADO PS locales'!G257</f>
        <v>0</v>
      </c>
      <c r="H257" s="322">
        <f>($D97)*'GENERADO PS locales'!H257</f>
        <v>0</v>
      </c>
      <c r="I257" s="322">
        <f>($D97)*'GENERADO PS locales'!I257</f>
        <v>0</v>
      </c>
      <c r="J257" s="322">
        <f>($D97)*'GENERADO PS locales'!J257</f>
        <v>0</v>
      </c>
      <c r="K257" s="322">
        <f>($D97)*'GENERADO PS locales'!K257</f>
        <v>0</v>
      </c>
      <c r="L257" s="322">
        <f>($D97)*'GENERADO PS locales'!L257</f>
        <v>0</v>
      </c>
      <c r="M257" s="322">
        <f>($D97)*'GENERADO PS locales'!M257</f>
        <v>0</v>
      </c>
      <c r="N257" s="322">
        <f>($D97)*'GENERADO PS locales'!N257</f>
        <v>0</v>
      </c>
      <c r="O257" s="322">
        <f>($D97)*'GENERADO PS locales'!O257</f>
        <v>0</v>
      </c>
      <c r="P257" s="322">
        <f>($D97)*'GENERADO PS locales'!P257</f>
        <v>0</v>
      </c>
      <c r="Q257" s="322">
        <f>($D97)*'GENERADO PS locales'!Q257</f>
        <v>0</v>
      </c>
      <c r="R257" s="322">
        <f>($D97)*'GENERADO PS locales'!R257</f>
        <v>0</v>
      </c>
      <c r="S257" s="322">
        <f>($D97)*'GENERADO PS locales'!S257</f>
        <v>0</v>
      </c>
      <c r="T257" s="322">
        <f>($D97)*'GENERADO PS locales'!T257</f>
        <v>0</v>
      </c>
      <c r="U257" s="322">
        <f>($D97)*'GENERADO PS locales'!U257</f>
        <v>0</v>
      </c>
      <c r="V257" s="322">
        <f>($D97)*'GENERADO PS locales'!V257</f>
        <v>0</v>
      </c>
      <c r="W257" s="322">
        <f>($D97)*'GENERADO PS locales'!W257</f>
        <v>0</v>
      </c>
      <c r="X257" s="322">
        <f>($D97)*'GENERADO PS locales'!X257</f>
        <v>0</v>
      </c>
      <c r="Y257" s="322">
        <f>($D97)*'GENERADO PS locales'!Y257</f>
        <v>0</v>
      </c>
      <c r="Z257" s="322">
        <f>($D97)*'GENERADO PS locales'!Z257</f>
        <v>0</v>
      </c>
    </row>
    <row r="258" spans="1:26" ht="24.95" customHeight="1">
      <c r="A258" s="260" t="str">
        <f>+Pobl_adoptada!A98</f>
        <v>Mercedes</v>
      </c>
      <c r="B258" s="70">
        <f>+Pobl_adoptada!B98</f>
        <v>94</v>
      </c>
      <c r="C258" s="71" t="str">
        <f>+Pobl_adoptada!C98</f>
        <v>Mercedes</v>
      </c>
      <c r="D258" s="291"/>
      <c r="E258" s="278"/>
      <c r="F258" s="263"/>
      <c r="G258" s="322">
        <f>($D98)*'GENERADO PS locales'!G258</f>
        <v>0</v>
      </c>
      <c r="H258" s="322">
        <f>($D98)*'GENERADO PS locales'!H258</f>
        <v>0</v>
      </c>
      <c r="I258" s="322">
        <f>($D98)*'GENERADO PS locales'!I258</f>
        <v>0</v>
      </c>
      <c r="J258" s="322">
        <f>($D98)*'GENERADO PS locales'!J258</f>
        <v>0</v>
      </c>
      <c r="K258" s="322">
        <f>($D98)*'GENERADO PS locales'!K258</f>
        <v>0</v>
      </c>
      <c r="L258" s="322">
        <f>($D98)*'GENERADO PS locales'!L258</f>
        <v>0</v>
      </c>
      <c r="M258" s="322">
        <f>($D98)*'GENERADO PS locales'!M258</f>
        <v>0</v>
      </c>
      <c r="N258" s="322">
        <f>($D98)*'GENERADO PS locales'!N258</f>
        <v>0</v>
      </c>
      <c r="O258" s="322">
        <f>($D98)*'GENERADO PS locales'!O258</f>
        <v>0</v>
      </c>
      <c r="P258" s="322">
        <f>($D98)*'GENERADO PS locales'!P258</f>
        <v>0</v>
      </c>
      <c r="Q258" s="322">
        <f>($D98)*'GENERADO PS locales'!Q258</f>
        <v>0</v>
      </c>
      <c r="R258" s="322">
        <f>($D98)*'GENERADO PS locales'!R258</f>
        <v>0</v>
      </c>
      <c r="S258" s="322">
        <f>($D98)*'GENERADO PS locales'!S258</f>
        <v>0</v>
      </c>
      <c r="T258" s="322">
        <f>($D98)*'GENERADO PS locales'!T258</f>
        <v>0</v>
      </c>
      <c r="U258" s="322">
        <f>($D98)*'GENERADO PS locales'!U258</f>
        <v>0</v>
      </c>
      <c r="V258" s="322">
        <f>($D98)*'GENERADO PS locales'!V258</f>
        <v>0</v>
      </c>
      <c r="W258" s="322">
        <f>($D98)*'GENERADO PS locales'!W258</f>
        <v>0</v>
      </c>
      <c r="X258" s="322">
        <f>($D98)*'GENERADO PS locales'!X258</f>
        <v>0</v>
      </c>
      <c r="Y258" s="322">
        <f>($D98)*'GENERADO PS locales'!Y258</f>
        <v>0</v>
      </c>
      <c r="Z258" s="322">
        <f>($D98)*'GENERADO PS locales'!Z258</f>
        <v>0</v>
      </c>
    </row>
    <row r="259" spans="1:26" ht="24.95" customHeight="1">
      <c r="A259" s="260" t="str">
        <f>+Pobl_adoptada!A99</f>
        <v>Monte</v>
      </c>
      <c r="B259" s="70">
        <f>+Pobl_adoptada!B99</f>
        <v>95</v>
      </c>
      <c r="C259" s="71" t="str">
        <f>+Pobl_adoptada!C99</f>
        <v>San Miguel del Monte</v>
      </c>
      <c r="D259" s="291"/>
      <c r="E259" s="278"/>
      <c r="F259" s="263"/>
      <c r="G259" s="322">
        <f>($D99)*'GENERADO PS locales'!G259</f>
        <v>0</v>
      </c>
      <c r="H259" s="322">
        <f>($D99)*'GENERADO PS locales'!H259</f>
        <v>0</v>
      </c>
      <c r="I259" s="322">
        <f>($D99)*'GENERADO PS locales'!I259</f>
        <v>0</v>
      </c>
      <c r="J259" s="322">
        <f>($D99)*'GENERADO PS locales'!J259</f>
        <v>0</v>
      </c>
      <c r="K259" s="322">
        <f>($D99)*'GENERADO PS locales'!K259</f>
        <v>0</v>
      </c>
      <c r="L259" s="322">
        <f>($D99)*'GENERADO PS locales'!L259</f>
        <v>0</v>
      </c>
      <c r="M259" s="322">
        <f>($D99)*'GENERADO PS locales'!M259</f>
        <v>0</v>
      </c>
      <c r="N259" s="322">
        <f>($D99)*'GENERADO PS locales'!N259</f>
        <v>0</v>
      </c>
      <c r="O259" s="322">
        <f>($D99)*'GENERADO PS locales'!O259</f>
        <v>0</v>
      </c>
      <c r="P259" s="322">
        <f>($D99)*'GENERADO PS locales'!P259</f>
        <v>0</v>
      </c>
      <c r="Q259" s="322">
        <f>($D99)*'GENERADO PS locales'!Q259</f>
        <v>0</v>
      </c>
      <c r="R259" s="322">
        <f>($D99)*'GENERADO PS locales'!R259</f>
        <v>0</v>
      </c>
      <c r="S259" s="322">
        <f>($D99)*'GENERADO PS locales'!S259</f>
        <v>0</v>
      </c>
      <c r="T259" s="322">
        <f>($D99)*'GENERADO PS locales'!T259</f>
        <v>0</v>
      </c>
      <c r="U259" s="322">
        <f>($D99)*'GENERADO PS locales'!U259</f>
        <v>0</v>
      </c>
      <c r="V259" s="322">
        <f>($D99)*'GENERADO PS locales'!V259</f>
        <v>0</v>
      </c>
      <c r="W259" s="322">
        <f>($D99)*'GENERADO PS locales'!W259</f>
        <v>0</v>
      </c>
      <c r="X259" s="322">
        <f>($D99)*'GENERADO PS locales'!X259</f>
        <v>0</v>
      </c>
      <c r="Y259" s="322">
        <f>($D99)*'GENERADO PS locales'!Y259</f>
        <v>0</v>
      </c>
      <c r="Z259" s="322">
        <f>($D99)*'GENERADO PS locales'!Z259</f>
        <v>0</v>
      </c>
    </row>
    <row r="260" spans="1:26" ht="24.95" customHeight="1">
      <c r="A260" s="260" t="str">
        <f>+Pobl_adoptada!A100</f>
        <v>Monte Hermoso</v>
      </c>
      <c r="B260" s="70">
        <f>+Pobl_adoptada!B100</f>
        <v>96</v>
      </c>
      <c r="C260" s="71" t="str">
        <f>+Pobl_adoptada!C100</f>
        <v>Monte Hermoso</v>
      </c>
      <c r="D260" s="291"/>
      <c r="E260" s="278"/>
      <c r="F260" s="263"/>
      <c r="G260" s="322">
        <f>($D100)*'GENERADO PS locales'!G260</f>
        <v>0</v>
      </c>
      <c r="H260" s="322">
        <f>($D100)*'GENERADO PS locales'!H260</f>
        <v>0</v>
      </c>
      <c r="I260" s="322">
        <f>($D100)*'GENERADO PS locales'!I260</f>
        <v>0</v>
      </c>
      <c r="J260" s="322">
        <f>($D100)*'GENERADO PS locales'!J260</f>
        <v>0</v>
      </c>
      <c r="K260" s="322">
        <f>($D100)*'GENERADO PS locales'!K260</f>
        <v>0</v>
      </c>
      <c r="L260" s="322">
        <f>($D100)*'GENERADO PS locales'!L260</f>
        <v>0</v>
      </c>
      <c r="M260" s="322">
        <f>($D100)*'GENERADO PS locales'!M260</f>
        <v>0</v>
      </c>
      <c r="N260" s="322">
        <f>($D100)*'GENERADO PS locales'!N260</f>
        <v>0</v>
      </c>
      <c r="O260" s="322">
        <f>($D100)*'GENERADO PS locales'!O260</f>
        <v>0</v>
      </c>
      <c r="P260" s="322">
        <f>($D100)*'GENERADO PS locales'!P260</f>
        <v>0</v>
      </c>
      <c r="Q260" s="322">
        <f>($D100)*'GENERADO PS locales'!Q260</f>
        <v>0</v>
      </c>
      <c r="R260" s="322">
        <f>($D100)*'GENERADO PS locales'!R260</f>
        <v>0</v>
      </c>
      <c r="S260" s="322">
        <f>($D100)*'GENERADO PS locales'!S260</f>
        <v>0</v>
      </c>
      <c r="T260" s="322">
        <f>($D100)*'GENERADO PS locales'!T260</f>
        <v>0</v>
      </c>
      <c r="U260" s="322">
        <f>($D100)*'GENERADO PS locales'!U260</f>
        <v>0</v>
      </c>
      <c r="V260" s="322">
        <f>($D100)*'GENERADO PS locales'!V260</f>
        <v>0</v>
      </c>
      <c r="W260" s="322">
        <f>($D100)*'GENERADO PS locales'!W260</f>
        <v>0</v>
      </c>
      <c r="X260" s="322">
        <f>($D100)*'GENERADO PS locales'!X260</f>
        <v>0</v>
      </c>
      <c r="Y260" s="322">
        <f>($D100)*'GENERADO PS locales'!Y260</f>
        <v>0</v>
      </c>
      <c r="Z260" s="322">
        <f>($D100)*'GENERADO PS locales'!Z260</f>
        <v>0</v>
      </c>
    </row>
    <row r="261" spans="1:26" ht="24.95" customHeight="1">
      <c r="A261" s="260" t="str">
        <f>+Pobl_adoptada!A101</f>
        <v>Navarro</v>
      </c>
      <c r="B261" s="70">
        <f>+Pobl_adoptada!B101</f>
        <v>97</v>
      </c>
      <c r="C261" s="71" t="str">
        <f>+Pobl_adoptada!C101</f>
        <v>Navarro</v>
      </c>
      <c r="D261" s="291"/>
      <c r="E261" s="278"/>
      <c r="F261" s="263"/>
      <c r="G261" s="322">
        <f>($D101)*'GENERADO PS locales'!G261</f>
        <v>0</v>
      </c>
      <c r="H261" s="322">
        <f>($D101)*'GENERADO PS locales'!H261</f>
        <v>0</v>
      </c>
      <c r="I261" s="322">
        <f>($D101)*'GENERADO PS locales'!I261</f>
        <v>0</v>
      </c>
      <c r="J261" s="322">
        <f>($D101)*'GENERADO PS locales'!J261</f>
        <v>0</v>
      </c>
      <c r="K261" s="322">
        <f>($D101)*'GENERADO PS locales'!K261</f>
        <v>0</v>
      </c>
      <c r="L261" s="322">
        <f>($D101)*'GENERADO PS locales'!L261</f>
        <v>0</v>
      </c>
      <c r="M261" s="322">
        <f>($D101)*'GENERADO PS locales'!M261</f>
        <v>0</v>
      </c>
      <c r="N261" s="322">
        <f>($D101)*'GENERADO PS locales'!N261</f>
        <v>0</v>
      </c>
      <c r="O261" s="322">
        <f>($D101)*'GENERADO PS locales'!O261</f>
        <v>0</v>
      </c>
      <c r="P261" s="322">
        <f>($D101)*'GENERADO PS locales'!P261</f>
        <v>0</v>
      </c>
      <c r="Q261" s="322">
        <f>($D101)*'GENERADO PS locales'!Q261</f>
        <v>0</v>
      </c>
      <c r="R261" s="322">
        <f>($D101)*'GENERADO PS locales'!R261</f>
        <v>0</v>
      </c>
      <c r="S261" s="322">
        <f>($D101)*'GENERADO PS locales'!S261</f>
        <v>0</v>
      </c>
      <c r="T261" s="322">
        <f>($D101)*'GENERADO PS locales'!T261</f>
        <v>0</v>
      </c>
      <c r="U261" s="322">
        <f>($D101)*'GENERADO PS locales'!U261</f>
        <v>0</v>
      </c>
      <c r="V261" s="322">
        <f>($D101)*'GENERADO PS locales'!V261</f>
        <v>0</v>
      </c>
      <c r="W261" s="322">
        <f>($D101)*'GENERADO PS locales'!W261</f>
        <v>0</v>
      </c>
      <c r="X261" s="322">
        <f>($D101)*'GENERADO PS locales'!X261</f>
        <v>0</v>
      </c>
      <c r="Y261" s="322">
        <f>($D101)*'GENERADO PS locales'!Y261</f>
        <v>0</v>
      </c>
      <c r="Z261" s="322">
        <f>($D101)*'GENERADO PS locales'!Z261</f>
        <v>0</v>
      </c>
    </row>
    <row r="262" spans="1:26" ht="24.95" customHeight="1">
      <c r="A262" s="260" t="str">
        <f>+Pobl_adoptada!A102</f>
        <v>Necochea</v>
      </c>
      <c r="B262" s="70">
        <f>+Pobl_adoptada!B102</f>
        <v>98</v>
      </c>
      <c r="C262" s="71" t="str">
        <f>+Pobl_adoptada!C102</f>
        <v>Necochea - Quequén</v>
      </c>
      <c r="D262" s="291"/>
      <c r="E262" s="278"/>
      <c r="F262" s="263"/>
      <c r="G262" s="322">
        <f>($D102)*'GENERADO PS locales'!G262</f>
        <v>0</v>
      </c>
      <c r="H262" s="322">
        <f>($D102)*'GENERADO PS locales'!H262</f>
        <v>0</v>
      </c>
      <c r="I262" s="322">
        <f>($D102)*'GENERADO PS locales'!I262</f>
        <v>0</v>
      </c>
      <c r="J262" s="322">
        <f>($D102)*'GENERADO PS locales'!J262</f>
        <v>0</v>
      </c>
      <c r="K262" s="322">
        <f>($D102)*'GENERADO PS locales'!K262</f>
        <v>0</v>
      </c>
      <c r="L262" s="322">
        <f>($D102)*'GENERADO PS locales'!L262</f>
        <v>0</v>
      </c>
      <c r="M262" s="322">
        <f>($D102)*'GENERADO PS locales'!M262</f>
        <v>0</v>
      </c>
      <c r="N262" s="322">
        <f>($D102)*'GENERADO PS locales'!N262</f>
        <v>0</v>
      </c>
      <c r="O262" s="322">
        <f>($D102)*'GENERADO PS locales'!O262</f>
        <v>0</v>
      </c>
      <c r="P262" s="322">
        <f>($D102)*'GENERADO PS locales'!P262</f>
        <v>0</v>
      </c>
      <c r="Q262" s="322">
        <f>($D102)*'GENERADO PS locales'!Q262</f>
        <v>0</v>
      </c>
      <c r="R262" s="322">
        <f>($D102)*'GENERADO PS locales'!R262</f>
        <v>0</v>
      </c>
      <c r="S262" s="322">
        <f>($D102)*'GENERADO PS locales'!S262</f>
        <v>0</v>
      </c>
      <c r="T262" s="322">
        <f>($D102)*'GENERADO PS locales'!T262</f>
        <v>0</v>
      </c>
      <c r="U262" s="322">
        <f>($D102)*'GENERADO PS locales'!U262</f>
        <v>0</v>
      </c>
      <c r="V262" s="322">
        <f>($D102)*'GENERADO PS locales'!V262</f>
        <v>0</v>
      </c>
      <c r="W262" s="322">
        <f>($D102)*'GENERADO PS locales'!W262</f>
        <v>0</v>
      </c>
      <c r="X262" s="322">
        <f>($D102)*'GENERADO PS locales'!X262</f>
        <v>0</v>
      </c>
      <c r="Y262" s="322">
        <f>($D102)*'GENERADO PS locales'!Y262</f>
        <v>0</v>
      </c>
      <c r="Z262" s="322">
        <f>($D102)*'GENERADO PS locales'!Z262</f>
        <v>0</v>
      </c>
    </row>
    <row r="263" spans="1:26" ht="24.95" customHeight="1">
      <c r="A263" s="260" t="str">
        <f>+Pobl_adoptada!A103</f>
        <v>Olavarría</v>
      </c>
      <c r="B263" s="70">
        <f>+Pobl_adoptada!B103</f>
        <v>99</v>
      </c>
      <c r="C263" s="71" t="str">
        <f>+Pobl_adoptada!C103</f>
        <v>Olavarría</v>
      </c>
      <c r="D263" s="291"/>
      <c r="E263" s="278"/>
      <c r="F263" s="263"/>
      <c r="G263" s="322">
        <f>($D103)*'GENERADO PS locales'!G263</f>
        <v>0</v>
      </c>
      <c r="H263" s="322">
        <f>($D103)*'GENERADO PS locales'!H263</f>
        <v>0</v>
      </c>
      <c r="I263" s="322">
        <f>($D103)*'GENERADO PS locales'!I263</f>
        <v>0</v>
      </c>
      <c r="J263" s="322">
        <f>($D103)*'GENERADO PS locales'!J263</f>
        <v>0</v>
      </c>
      <c r="K263" s="322">
        <f>($D103)*'GENERADO PS locales'!K263</f>
        <v>0</v>
      </c>
      <c r="L263" s="322">
        <f>($D103)*'GENERADO PS locales'!L263</f>
        <v>0</v>
      </c>
      <c r="M263" s="322">
        <f>($D103)*'GENERADO PS locales'!M263</f>
        <v>0</v>
      </c>
      <c r="N263" s="322">
        <f>($D103)*'GENERADO PS locales'!N263</f>
        <v>0</v>
      </c>
      <c r="O263" s="322">
        <f>($D103)*'GENERADO PS locales'!O263</f>
        <v>0</v>
      </c>
      <c r="P263" s="322">
        <f>($D103)*'GENERADO PS locales'!P263</f>
        <v>0</v>
      </c>
      <c r="Q263" s="322">
        <f>($D103)*'GENERADO PS locales'!Q263</f>
        <v>0</v>
      </c>
      <c r="R263" s="322">
        <f>($D103)*'GENERADO PS locales'!R263</f>
        <v>0</v>
      </c>
      <c r="S263" s="322">
        <f>($D103)*'GENERADO PS locales'!S263</f>
        <v>0</v>
      </c>
      <c r="T263" s="322">
        <f>($D103)*'GENERADO PS locales'!T263</f>
        <v>0</v>
      </c>
      <c r="U263" s="322">
        <f>($D103)*'GENERADO PS locales'!U263</f>
        <v>0</v>
      </c>
      <c r="V263" s="322">
        <f>($D103)*'GENERADO PS locales'!V263</f>
        <v>0</v>
      </c>
      <c r="W263" s="322">
        <f>($D103)*'GENERADO PS locales'!W263</f>
        <v>0</v>
      </c>
      <c r="X263" s="322">
        <f>($D103)*'GENERADO PS locales'!X263</f>
        <v>0</v>
      </c>
      <c r="Y263" s="322">
        <f>($D103)*'GENERADO PS locales'!Y263</f>
        <v>0</v>
      </c>
      <c r="Z263" s="322">
        <f>($D103)*'GENERADO PS locales'!Z263</f>
        <v>0</v>
      </c>
    </row>
    <row r="264" spans="1:26" ht="24.95" customHeight="1">
      <c r="A264" s="260" t="str">
        <f>+Pobl_adoptada!A104</f>
        <v>Patagones</v>
      </c>
      <c r="B264" s="70">
        <f>+Pobl_adoptada!B104</f>
        <v>100</v>
      </c>
      <c r="C264" s="71" t="str">
        <f>+Pobl_adoptada!C104</f>
        <v>Carmen de Patagones</v>
      </c>
      <c r="D264" s="291"/>
      <c r="E264" s="278"/>
      <c r="F264" s="263"/>
      <c r="G264" s="322">
        <f>($D104)*'GENERADO PS locales'!G264</f>
        <v>0</v>
      </c>
      <c r="H264" s="322">
        <f>($D104)*'GENERADO PS locales'!H264</f>
        <v>0</v>
      </c>
      <c r="I264" s="322">
        <f>($D104)*'GENERADO PS locales'!I264</f>
        <v>0</v>
      </c>
      <c r="J264" s="322">
        <f>($D104)*'GENERADO PS locales'!J264</f>
        <v>0</v>
      </c>
      <c r="K264" s="322">
        <f>($D104)*'GENERADO PS locales'!K264</f>
        <v>0</v>
      </c>
      <c r="L264" s="322">
        <f>($D104)*'GENERADO PS locales'!L264</f>
        <v>0</v>
      </c>
      <c r="M264" s="322">
        <f>($D104)*'GENERADO PS locales'!M264</f>
        <v>0</v>
      </c>
      <c r="N264" s="322">
        <f>($D104)*'GENERADO PS locales'!N264</f>
        <v>0</v>
      </c>
      <c r="O264" s="322">
        <f>($D104)*'GENERADO PS locales'!O264</f>
        <v>0</v>
      </c>
      <c r="P264" s="322">
        <f>($D104)*'GENERADO PS locales'!P264</f>
        <v>0</v>
      </c>
      <c r="Q264" s="322">
        <f>($D104)*'GENERADO PS locales'!Q264</f>
        <v>0</v>
      </c>
      <c r="R264" s="322">
        <f>($D104)*'GENERADO PS locales'!R264</f>
        <v>0</v>
      </c>
      <c r="S264" s="322">
        <f>($D104)*'GENERADO PS locales'!S264</f>
        <v>0</v>
      </c>
      <c r="T264" s="322">
        <f>($D104)*'GENERADO PS locales'!T264</f>
        <v>0</v>
      </c>
      <c r="U264" s="322">
        <f>($D104)*'GENERADO PS locales'!U264</f>
        <v>0</v>
      </c>
      <c r="V264" s="322">
        <f>($D104)*'GENERADO PS locales'!V264</f>
        <v>0</v>
      </c>
      <c r="W264" s="322">
        <f>($D104)*'GENERADO PS locales'!W264</f>
        <v>0</v>
      </c>
      <c r="X264" s="322">
        <f>($D104)*'GENERADO PS locales'!X264</f>
        <v>0</v>
      </c>
      <c r="Y264" s="322">
        <f>($D104)*'GENERADO PS locales'!Y264</f>
        <v>0</v>
      </c>
      <c r="Z264" s="322">
        <f>($D104)*'GENERADO PS locales'!Z264</f>
        <v>0</v>
      </c>
    </row>
    <row r="265" spans="1:26" ht="24.95" customHeight="1">
      <c r="A265" s="260" t="str">
        <f>+Pobl_adoptada!A105</f>
        <v>Pehuajó</v>
      </c>
      <c r="B265" s="70">
        <f>+Pobl_adoptada!B105</f>
        <v>101</v>
      </c>
      <c r="C265" s="71" t="str">
        <f>+Pobl_adoptada!C105</f>
        <v>Pehuajó</v>
      </c>
      <c r="D265" s="291"/>
      <c r="E265" s="278"/>
      <c r="F265" s="263"/>
      <c r="G265" s="322">
        <f>($D105)*'GENERADO PS locales'!G265</f>
        <v>0</v>
      </c>
      <c r="H265" s="322">
        <f>($D105)*'GENERADO PS locales'!H265</f>
        <v>0</v>
      </c>
      <c r="I265" s="322">
        <f>($D105)*'GENERADO PS locales'!I265</f>
        <v>0</v>
      </c>
      <c r="J265" s="322">
        <f>($D105)*'GENERADO PS locales'!J265</f>
        <v>0</v>
      </c>
      <c r="K265" s="322">
        <f>($D105)*'GENERADO PS locales'!K265</f>
        <v>0</v>
      </c>
      <c r="L265" s="322">
        <f>($D105)*'GENERADO PS locales'!L265</f>
        <v>0</v>
      </c>
      <c r="M265" s="322">
        <f>($D105)*'GENERADO PS locales'!M265</f>
        <v>0</v>
      </c>
      <c r="N265" s="322">
        <f>($D105)*'GENERADO PS locales'!N265</f>
        <v>0</v>
      </c>
      <c r="O265" s="322">
        <f>($D105)*'GENERADO PS locales'!O265</f>
        <v>0</v>
      </c>
      <c r="P265" s="322">
        <f>($D105)*'GENERADO PS locales'!P265</f>
        <v>0</v>
      </c>
      <c r="Q265" s="322">
        <f>($D105)*'GENERADO PS locales'!Q265</f>
        <v>0</v>
      </c>
      <c r="R265" s="322">
        <f>($D105)*'GENERADO PS locales'!R265</f>
        <v>0</v>
      </c>
      <c r="S265" s="322">
        <f>($D105)*'GENERADO PS locales'!S265</f>
        <v>0</v>
      </c>
      <c r="T265" s="322">
        <f>($D105)*'GENERADO PS locales'!T265</f>
        <v>0</v>
      </c>
      <c r="U265" s="322">
        <f>($D105)*'GENERADO PS locales'!U265</f>
        <v>0</v>
      </c>
      <c r="V265" s="322">
        <f>($D105)*'GENERADO PS locales'!V265</f>
        <v>0</v>
      </c>
      <c r="W265" s="322">
        <f>($D105)*'GENERADO PS locales'!W265</f>
        <v>0</v>
      </c>
      <c r="X265" s="322">
        <f>($D105)*'GENERADO PS locales'!X265</f>
        <v>0</v>
      </c>
      <c r="Y265" s="322">
        <f>($D105)*'GENERADO PS locales'!Y265</f>
        <v>0</v>
      </c>
      <c r="Z265" s="322">
        <f>($D105)*'GENERADO PS locales'!Z265</f>
        <v>0</v>
      </c>
    </row>
    <row r="266" spans="1:26" ht="24.95" customHeight="1">
      <c r="A266" s="260" t="str">
        <f>+Pobl_adoptada!A106</f>
        <v>Pellegrini</v>
      </c>
      <c r="B266" s="70">
        <f>+Pobl_adoptada!B106</f>
        <v>102</v>
      </c>
      <c r="C266" s="71" t="str">
        <f>+Pobl_adoptada!C106</f>
        <v>Pellegrini</v>
      </c>
      <c r="D266" s="291"/>
      <c r="E266" s="278"/>
      <c r="F266" s="263"/>
      <c r="G266" s="322">
        <f>($D106)*'GENERADO PS locales'!G266</f>
        <v>0</v>
      </c>
      <c r="H266" s="322">
        <f>($D106)*'GENERADO PS locales'!H266</f>
        <v>0</v>
      </c>
      <c r="I266" s="322">
        <f>($D106)*'GENERADO PS locales'!I266</f>
        <v>0</v>
      </c>
      <c r="J266" s="322">
        <f>($D106)*'GENERADO PS locales'!J266</f>
        <v>0</v>
      </c>
      <c r="K266" s="322">
        <f>($D106)*'GENERADO PS locales'!K266</f>
        <v>0</v>
      </c>
      <c r="L266" s="322">
        <f>($D106)*'GENERADO PS locales'!L266</f>
        <v>0</v>
      </c>
      <c r="M266" s="322">
        <f>($D106)*'GENERADO PS locales'!M266</f>
        <v>0</v>
      </c>
      <c r="N266" s="322">
        <f>($D106)*'GENERADO PS locales'!N266</f>
        <v>0</v>
      </c>
      <c r="O266" s="322">
        <f>($D106)*'GENERADO PS locales'!O266</f>
        <v>0</v>
      </c>
      <c r="P266" s="322">
        <f>($D106)*'GENERADO PS locales'!P266</f>
        <v>0</v>
      </c>
      <c r="Q266" s="322">
        <f>($D106)*'GENERADO PS locales'!Q266</f>
        <v>0</v>
      </c>
      <c r="R266" s="322">
        <f>($D106)*'GENERADO PS locales'!R266</f>
        <v>0</v>
      </c>
      <c r="S266" s="322">
        <f>($D106)*'GENERADO PS locales'!S266</f>
        <v>0</v>
      </c>
      <c r="T266" s="322">
        <f>($D106)*'GENERADO PS locales'!T266</f>
        <v>0</v>
      </c>
      <c r="U266" s="322">
        <f>($D106)*'GENERADO PS locales'!U266</f>
        <v>0</v>
      </c>
      <c r="V266" s="322">
        <f>($D106)*'GENERADO PS locales'!V266</f>
        <v>0</v>
      </c>
      <c r="W266" s="322">
        <f>($D106)*'GENERADO PS locales'!W266</f>
        <v>0</v>
      </c>
      <c r="X266" s="322">
        <f>($D106)*'GENERADO PS locales'!X266</f>
        <v>0</v>
      </c>
      <c r="Y266" s="322">
        <f>($D106)*'GENERADO PS locales'!Y266</f>
        <v>0</v>
      </c>
      <c r="Z266" s="322">
        <f>($D106)*'GENERADO PS locales'!Z266</f>
        <v>0</v>
      </c>
    </row>
    <row r="267" spans="1:26" ht="24.95" customHeight="1">
      <c r="A267" s="260" t="str">
        <f>+Pobl_adoptada!A107</f>
        <v>Pergamino</v>
      </c>
      <c r="B267" s="70">
        <f>+Pobl_adoptada!B107</f>
        <v>103</v>
      </c>
      <c r="C267" s="71" t="str">
        <f>+Pobl_adoptada!C107</f>
        <v>Pergamino</v>
      </c>
      <c r="D267" s="291"/>
      <c r="E267" s="278"/>
      <c r="F267" s="263"/>
      <c r="G267" s="322">
        <f>($D107)*'GENERADO PS locales'!G267</f>
        <v>0</v>
      </c>
      <c r="H267" s="322">
        <f>($D107)*'GENERADO PS locales'!H267</f>
        <v>0</v>
      </c>
      <c r="I267" s="322">
        <f>($D107)*'GENERADO PS locales'!I267</f>
        <v>0</v>
      </c>
      <c r="J267" s="322">
        <f>($D107)*'GENERADO PS locales'!J267</f>
        <v>0</v>
      </c>
      <c r="K267" s="322">
        <f>($D107)*'GENERADO PS locales'!K267</f>
        <v>0</v>
      </c>
      <c r="L267" s="322">
        <f>($D107)*'GENERADO PS locales'!L267</f>
        <v>0</v>
      </c>
      <c r="M267" s="322">
        <f>($D107)*'GENERADO PS locales'!M267</f>
        <v>0</v>
      </c>
      <c r="N267" s="322">
        <f>($D107)*'GENERADO PS locales'!N267</f>
        <v>0</v>
      </c>
      <c r="O267" s="322">
        <f>($D107)*'GENERADO PS locales'!O267</f>
        <v>0</v>
      </c>
      <c r="P267" s="322">
        <f>($D107)*'GENERADO PS locales'!P267</f>
        <v>0</v>
      </c>
      <c r="Q267" s="322">
        <f>($D107)*'GENERADO PS locales'!Q267</f>
        <v>0</v>
      </c>
      <c r="R267" s="322">
        <f>($D107)*'GENERADO PS locales'!R267</f>
        <v>0</v>
      </c>
      <c r="S267" s="322">
        <f>($D107)*'GENERADO PS locales'!S267</f>
        <v>0</v>
      </c>
      <c r="T267" s="322">
        <f>($D107)*'GENERADO PS locales'!T267</f>
        <v>0</v>
      </c>
      <c r="U267" s="322">
        <f>($D107)*'GENERADO PS locales'!U267</f>
        <v>0</v>
      </c>
      <c r="V267" s="322">
        <f>($D107)*'GENERADO PS locales'!V267</f>
        <v>0</v>
      </c>
      <c r="W267" s="322">
        <f>($D107)*'GENERADO PS locales'!W267</f>
        <v>0</v>
      </c>
      <c r="X267" s="322">
        <f>($D107)*'GENERADO PS locales'!X267</f>
        <v>0</v>
      </c>
      <c r="Y267" s="322">
        <f>($D107)*'GENERADO PS locales'!Y267</f>
        <v>0</v>
      </c>
      <c r="Z267" s="322">
        <f>($D107)*'GENERADO PS locales'!Z267</f>
        <v>0</v>
      </c>
    </row>
    <row r="268" spans="1:26" ht="24.95" customHeight="1">
      <c r="A268" s="260" t="str">
        <f>+Pobl_adoptada!A108</f>
        <v>Pila</v>
      </c>
      <c r="B268" s="70">
        <f>+Pobl_adoptada!B108</f>
        <v>104</v>
      </c>
      <c r="C268" s="71" t="str">
        <f>+Pobl_adoptada!C108</f>
        <v>Pila</v>
      </c>
      <c r="D268" s="291"/>
      <c r="E268" s="278"/>
      <c r="F268" s="263"/>
      <c r="G268" s="322">
        <f>($D108)*'GENERADO PS locales'!G268</f>
        <v>0</v>
      </c>
      <c r="H268" s="322">
        <f>($D108)*'GENERADO PS locales'!H268</f>
        <v>0</v>
      </c>
      <c r="I268" s="322">
        <f>($D108)*'GENERADO PS locales'!I268</f>
        <v>0</v>
      </c>
      <c r="J268" s="322">
        <f>($D108)*'GENERADO PS locales'!J268</f>
        <v>0</v>
      </c>
      <c r="K268" s="322">
        <f>($D108)*'GENERADO PS locales'!K268</f>
        <v>0</v>
      </c>
      <c r="L268" s="322">
        <f>($D108)*'GENERADO PS locales'!L268</f>
        <v>0</v>
      </c>
      <c r="M268" s="322">
        <f>($D108)*'GENERADO PS locales'!M268</f>
        <v>0</v>
      </c>
      <c r="N268" s="322">
        <f>($D108)*'GENERADO PS locales'!N268</f>
        <v>0</v>
      </c>
      <c r="O268" s="322">
        <f>($D108)*'GENERADO PS locales'!O268</f>
        <v>0</v>
      </c>
      <c r="P268" s="322">
        <f>($D108)*'GENERADO PS locales'!P268</f>
        <v>0</v>
      </c>
      <c r="Q268" s="322">
        <f>($D108)*'GENERADO PS locales'!Q268</f>
        <v>0</v>
      </c>
      <c r="R268" s="322">
        <f>($D108)*'GENERADO PS locales'!R268</f>
        <v>0</v>
      </c>
      <c r="S268" s="322">
        <f>($D108)*'GENERADO PS locales'!S268</f>
        <v>0</v>
      </c>
      <c r="T268" s="322">
        <f>($D108)*'GENERADO PS locales'!T268</f>
        <v>0</v>
      </c>
      <c r="U268" s="322">
        <f>($D108)*'GENERADO PS locales'!U268</f>
        <v>0</v>
      </c>
      <c r="V268" s="322">
        <f>($D108)*'GENERADO PS locales'!V268</f>
        <v>0</v>
      </c>
      <c r="W268" s="322">
        <f>($D108)*'GENERADO PS locales'!W268</f>
        <v>0</v>
      </c>
      <c r="X268" s="322">
        <f>($D108)*'GENERADO PS locales'!X268</f>
        <v>0</v>
      </c>
      <c r="Y268" s="322">
        <f>($D108)*'GENERADO PS locales'!Y268</f>
        <v>0</v>
      </c>
      <c r="Z268" s="322">
        <f>($D108)*'GENERADO PS locales'!Z268</f>
        <v>0</v>
      </c>
    </row>
    <row r="269" spans="1:26" ht="24.95" customHeight="1">
      <c r="A269" s="260" t="str">
        <f>+Pobl_adoptada!A109</f>
        <v>Pilar</v>
      </c>
      <c r="B269" s="70">
        <f>+Pobl_adoptada!B109</f>
        <v>105</v>
      </c>
      <c r="C269" s="71" t="str">
        <f>+Pobl_adoptada!C109</f>
        <v>Pilar</v>
      </c>
      <c r="D269" s="291"/>
      <c r="E269" s="278"/>
      <c r="F269" s="263"/>
      <c r="G269" s="322">
        <f>($D109)*'GENERADO PS locales'!G269</f>
        <v>0</v>
      </c>
      <c r="H269" s="322">
        <f>($D109)*'GENERADO PS locales'!H269</f>
        <v>0</v>
      </c>
      <c r="I269" s="322">
        <f>($D109)*'GENERADO PS locales'!I269</f>
        <v>0</v>
      </c>
      <c r="J269" s="322">
        <f>($D109)*'GENERADO PS locales'!J269</f>
        <v>0</v>
      </c>
      <c r="K269" s="322">
        <f>($D109)*'GENERADO PS locales'!K269</f>
        <v>0</v>
      </c>
      <c r="L269" s="322">
        <f>($D109)*'GENERADO PS locales'!L269</f>
        <v>0</v>
      </c>
      <c r="M269" s="322">
        <f>($D109)*'GENERADO PS locales'!M269</f>
        <v>0</v>
      </c>
      <c r="N269" s="322">
        <f>($D109)*'GENERADO PS locales'!N269</f>
        <v>0</v>
      </c>
      <c r="O269" s="322">
        <f>($D109)*'GENERADO PS locales'!O269</f>
        <v>0</v>
      </c>
      <c r="P269" s="322">
        <f>($D109)*'GENERADO PS locales'!P269</f>
        <v>0</v>
      </c>
      <c r="Q269" s="322">
        <f>($D109)*'GENERADO PS locales'!Q269</f>
        <v>0</v>
      </c>
      <c r="R269" s="322">
        <f>($D109)*'GENERADO PS locales'!R269</f>
        <v>0</v>
      </c>
      <c r="S269" s="322">
        <f>($D109)*'GENERADO PS locales'!S269</f>
        <v>0</v>
      </c>
      <c r="T269" s="322">
        <f>($D109)*'GENERADO PS locales'!T269</f>
        <v>0</v>
      </c>
      <c r="U269" s="322">
        <f>($D109)*'GENERADO PS locales'!U269</f>
        <v>0</v>
      </c>
      <c r="V269" s="322">
        <f>($D109)*'GENERADO PS locales'!V269</f>
        <v>0</v>
      </c>
      <c r="W269" s="322">
        <f>($D109)*'GENERADO PS locales'!W269</f>
        <v>0</v>
      </c>
      <c r="X269" s="322">
        <f>($D109)*'GENERADO PS locales'!X269</f>
        <v>0</v>
      </c>
      <c r="Y269" s="322">
        <f>($D109)*'GENERADO PS locales'!Y269</f>
        <v>0</v>
      </c>
      <c r="Z269" s="322">
        <f>($D109)*'GENERADO PS locales'!Z269</f>
        <v>0</v>
      </c>
    </row>
    <row r="270" spans="1:26" ht="24.95" customHeight="1">
      <c r="A270" s="260" t="str">
        <f>+Pobl_adoptada!A110</f>
        <v>Pinamar</v>
      </c>
      <c r="B270" s="70">
        <f>+Pobl_adoptada!B110</f>
        <v>106</v>
      </c>
      <c r="C270" s="71" t="str">
        <f>+Pobl_adoptada!C110</f>
        <v>Pinamar</v>
      </c>
      <c r="D270" s="291"/>
      <c r="E270" s="278"/>
      <c r="F270" s="263"/>
      <c r="G270" s="322">
        <f>($D110)*'GENERADO PS locales'!G270</f>
        <v>0</v>
      </c>
      <c r="H270" s="322">
        <f>($D110)*'GENERADO PS locales'!H270</f>
        <v>0</v>
      </c>
      <c r="I270" s="322">
        <f>($D110)*'GENERADO PS locales'!I270</f>
        <v>0</v>
      </c>
      <c r="J270" s="322">
        <f>($D110)*'GENERADO PS locales'!J270</f>
        <v>0</v>
      </c>
      <c r="K270" s="322">
        <f>($D110)*'GENERADO PS locales'!K270</f>
        <v>0</v>
      </c>
      <c r="L270" s="322">
        <f>($D110)*'GENERADO PS locales'!L270</f>
        <v>0</v>
      </c>
      <c r="M270" s="322">
        <f>($D110)*'GENERADO PS locales'!M270</f>
        <v>0</v>
      </c>
      <c r="N270" s="322">
        <f>($D110)*'GENERADO PS locales'!N270</f>
        <v>0</v>
      </c>
      <c r="O270" s="322">
        <f>($D110)*'GENERADO PS locales'!O270</f>
        <v>0</v>
      </c>
      <c r="P270" s="322">
        <f>($D110)*'GENERADO PS locales'!P270</f>
        <v>0</v>
      </c>
      <c r="Q270" s="322">
        <f>($D110)*'GENERADO PS locales'!Q270</f>
        <v>0</v>
      </c>
      <c r="R270" s="322">
        <f>($D110)*'GENERADO PS locales'!R270</f>
        <v>0</v>
      </c>
      <c r="S270" s="322">
        <f>($D110)*'GENERADO PS locales'!S270</f>
        <v>0</v>
      </c>
      <c r="T270" s="322">
        <f>($D110)*'GENERADO PS locales'!T270</f>
        <v>0</v>
      </c>
      <c r="U270" s="322">
        <f>($D110)*'GENERADO PS locales'!U270</f>
        <v>0</v>
      </c>
      <c r="V270" s="322">
        <f>($D110)*'GENERADO PS locales'!V270</f>
        <v>0</v>
      </c>
      <c r="W270" s="322">
        <f>($D110)*'GENERADO PS locales'!W270</f>
        <v>0</v>
      </c>
      <c r="X270" s="322">
        <f>($D110)*'GENERADO PS locales'!X270</f>
        <v>0</v>
      </c>
      <c r="Y270" s="322">
        <f>($D110)*'GENERADO PS locales'!Y270</f>
        <v>0</v>
      </c>
      <c r="Z270" s="322">
        <f>($D110)*'GENERADO PS locales'!Z270</f>
        <v>0</v>
      </c>
    </row>
    <row r="271" spans="1:26" ht="24.95" customHeight="1">
      <c r="A271" s="260" t="str">
        <f>+Pobl_adoptada!A111</f>
        <v>Presidente Perón</v>
      </c>
      <c r="B271" s="70">
        <f>+Pobl_adoptada!B111</f>
        <v>107</v>
      </c>
      <c r="C271" s="71" t="str">
        <f>+Pobl_adoptada!C111</f>
        <v>Presidente Perón</v>
      </c>
      <c r="D271" s="291"/>
      <c r="E271" s="278"/>
      <c r="F271" s="263"/>
      <c r="G271" s="322">
        <f>($D111)*'GENERADO PS locales'!G271</f>
        <v>0</v>
      </c>
      <c r="H271" s="322">
        <f>($D111)*'GENERADO PS locales'!H271</f>
        <v>0</v>
      </c>
      <c r="I271" s="322">
        <f>($D111)*'GENERADO PS locales'!I271</f>
        <v>0</v>
      </c>
      <c r="J271" s="322">
        <f>($D111)*'GENERADO PS locales'!J271</f>
        <v>0</v>
      </c>
      <c r="K271" s="322">
        <f>($D111)*'GENERADO PS locales'!K271</f>
        <v>0</v>
      </c>
      <c r="L271" s="322">
        <f>($D111)*'GENERADO PS locales'!L271</f>
        <v>0</v>
      </c>
      <c r="M271" s="322">
        <f>($D111)*'GENERADO PS locales'!M271</f>
        <v>0</v>
      </c>
      <c r="N271" s="322">
        <f>($D111)*'GENERADO PS locales'!N271</f>
        <v>0</v>
      </c>
      <c r="O271" s="322">
        <f>($D111)*'GENERADO PS locales'!O271</f>
        <v>0</v>
      </c>
      <c r="P271" s="322">
        <f>($D111)*'GENERADO PS locales'!P271</f>
        <v>0</v>
      </c>
      <c r="Q271" s="322">
        <f>($D111)*'GENERADO PS locales'!Q271</f>
        <v>0</v>
      </c>
      <c r="R271" s="322">
        <f>($D111)*'GENERADO PS locales'!R271</f>
        <v>0</v>
      </c>
      <c r="S271" s="322">
        <f>($D111)*'GENERADO PS locales'!S271</f>
        <v>0</v>
      </c>
      <c r="T271" s="322">
        <f>($D111)*'GENERADO PS locales'!T271</f>
        <v>0</v>
      </c>
      <c r="U271" s="322">
        <f>($D111)*'GENERADO PS locales'!U271</f>
        <v>0</v>
      </c>
      <c r="V271" s="322">
        <f>($D111)*'GENERADO PS locales'!V271</f>
        <v>0</v>
      </c>
      <c r="W271" s="322">
        <f>($D111)*'GENERADO PS locales'!W271</f>
        <v>0</v>
      </c>
      <c r="X271" s="322">
        <f>($D111)*'GENERADO PS locales'!X271</f>
        <v>0</v>
      </c>
      <c r="Y271" s="322">
        <f>($D111)*'GENERADO PS locales'!Y271</f>
        <v>0</v>
      </c>
      <c r="Z271" s="322">
        <f>($D111)*'GENERADO PS locales'!Z271</f>
        <v>0</v>
      </c>
    </row>
    <row r="272" spans="1:26" ht="24.95" customHeight="1">
      <c r="A272" s="260" t="str">
        <f>+Pobl_adoptada!A112</f>
        <v>Puán</v>
      </c>
      <c r="B272" s="70">
        <f>+Pobl_adoptada!B112</f>
        <v>108</v>
      </c>
      <c r="C272" s="71" t="str">
        <f>+Pobl_adoptada!C112</f>
        <v>Puán</v>
      </c>
      <c r="D272" s="291"/>
      <c r="E272" s="278"/>
      <c r="F272" s="263"/>
      <c r="G272" s="322">
        <f>($D112)*'GENERADO PS locales'!G272</f>
        <v>0</v>
      </c>
      <c r="H272" s="322">
        <f>($D112)*'GENERADO PS locales'!H272</f>
        <v>0</v>
      </c>
      <c r="I272" s="322">
        <f>($D112)*'GENERADO PS locales'!I272</f>
        <v>0</v>
      </c>
      <c r="J272" s="322">
        <f>($D112)*'GENERADO PS locales'!J272</f>
        <v>0</v>
      </c>
      <c r="K272" s="322">
        <f>($D112)*'GENERADO PS locales'!K272</f>
        <v>0</v>
      </c>
      <c r="L272" s="322">
        <f>($D112)*'GENERADO PS locales'!L272</f>
        <v>0</v>
      </c>
      <c r="M272" s="322">
        <f>($D112)*'GENERADO PS locales'!M272</f>
        <v>0</v>
      </c>
      <c r="N272" s="322">
        <f>($D112)*'GENERADO PS locales'!N272</f>
        <v>0</v>
      </c>
      <c r="O272" s="322">
        <f>($D112)*'GENERADO PS locales'!O272</f>
        <v>0</v>
      </c>
      <c r="P272" s="322">
        <f>($D112)*'GENERADO PS locales'!P272</f>
        <v>0</v>
      </c>
      <c r="Q272" s="322">
        <f>($D112)*'GENERADO PS locales'!Q272</f>
        <v>0</v>
      </c>
      <c r="R272" s="322">
        <f>($D112)*'GENERADO PS locales'!R272</f>
        <v>0</v>
      </c>
      <c r="S272" s="322">
        <f>($D112)*'GENERADO PS locales'!S272</f>
        <v>0</v>
      </c>
      <c r="T272" s="322">
        <f>($D112)*'GENERADO PS locales'!T272</f>
        <v>0</v>
      </c>
      <c r="U272" s="322">
        <f>($D112)*'GENERADO PS locales'!U272</f>
        <v>0</v>
      </c>
      <c r="V272" s="322">
        <f>($D112)*'GENERADO PS locales'!V272</f>
        <v>0</v>
      </c>
      <c r="W272" s="322">
        <f>($D112)*'GENERADO PS locales'!W272</f>
        <v>0</v>
      </c>
      <c r="X272" s="322">
        <f>($D112)*'GENERADO PS locales'!X272</f>
        <v>0</v>
      </c>
      <c r="Y272" s="322">
        <f>($D112)*'GENERADO PS locales'!Y272</f>
        <v>0</v>
      </c>
      <c r="Z272" s="322">
        <f>($D112)*'GENERADO PS locales'!Z272</f>
        <v>0</v>
      </c>
    </row>
    <row r="273" spans="1:26" ht="24.95" customHeight="1">
      <c r="A273" s="260" t="str">
        <f>+Pobl_adoptada!A113</f>
        <v>Punta Indio</v>
      </c>
      <c r="B273" s="70">
        <f>+Pobl_adoptada!B113</f>
        <v>109</v>
      </c>
      <c r="C273" s="71" t="str">
        <f>+Pobl_adoptada!C113</f>
        <v>Verónica</v>
      </c>
      <c r="D273" s="291"/>
      <c r="E273" s="278"/>
      <c r="F273" s="263"/>
      <c r="G273" s="322">
        <f>($D113)*'GENERADO PS locales'!G273</f>
        <v>0</v>
      </c>
      <c r="H273" s="322">
        <f>($D113)*'GENERADO PS locales'!H273</f>
        <v>0</v>
      </c>
      <c r="I273" s="322">
        <f>($D113)*'GENERADO PS locales'!I273</f>
        <v>0</v>
      </c>
      <c r="J273" s="322">
        <f>($D113)*'GENERADO PS locales'!J273</f>
        <v>0</v>
      </c>
      <c r="K273" s="322">
        <f>($D113)*'GENERADO PS locales'!K273</f>
        <v>0</v>
      </c>
      <c r="L273" s="322">
        <f>($D113)*'GENERADO PS locales'!L273</f>
        <v>0</v>
      </c>
      <c r="M273" s="322">
        <f>($D113)*'GENERADO PS locales'!M273</f>
        <v>0</v>
      </c>
      <c r="N273" s="322">
        <f>($D113)*'GENERADO PS locales'!N273</f>
        <v>0</v>
      </c>
      <c r="O273" s="322">
        <f>($D113)*'GENERADO PS locales'!O273</f>
        <v>0</v>
      </c>
      <c r="P273" s="322">
        <f>($D113)*'GENERADO PS locales'!P273</f>
        <v>0</v>
      </c>
      <c r="Q273" s="322">
        <f>($D113)*'GENERADO PS locales'!Q273</f>
        <v>0</v>
      </c>
      <c r="R273" s="322">
        <f>($D113)*'GENERADO PS locales'!R273</f>
        <v>0</v>
      </c>
      <c r="S273" s="322">
        <f>($D113)*'GENERADO PS locales'!S273</f>
        <v>0</v>
      </c>
      <c r="T273" s="322">
        <f>($D113)*'GENERADO PS locales'!T273</f>
        <v>0</v>
      </c>
      <c r="U273" s="322">
        <f>($D113)*'GENERADO PS locales'!U273</f>
        <v>0</v>
      </c>
      <c r="V273" s="322">
        <f>($D113)*'GENERADO PS locales'!V273</f>
        <v>0</v>
      </c>
      <c r="W273" s="322">
        <f>($D113)*'GENERADO PS locales'!W273</f>
        <v>0</v>
      </c>
      <c r="X273" s="322">
        <f>($D113)*'GENERADO PS locales'!X273</f>
        <v>0</v>
      </c>
      <c r="Y273" s="322">
        <f>($D113)*'GENERADO PS locales'!Y273</f>
        <v>0</v>
      </c>
      <c r="Z273" s="322">
        <f>($D113)*'GENERADO PS locales'!Z273</f>
        <v>0</v>
      </c>
    </row>
    <row r="274" spans="1:26" ht="24.95" customHeight="1">
      <c r="A274" s="260" t="str">
        <f>+Pobl_adoptada!A114</f>
        <v>Ramallo</v>
      </c>
      <c r="B274" s="70">
        <f>+Pobl_adoptada!B114</f>
        <v>110</v>
      </c>
      <c r="C274" s="71" t="str">
        <f>+Pobl_adoptada!C114</f>
        <v>Ramallo</v>
      </c>
      <c r="D274" s="291"/>
      <c r="E274" s="278"/>
      <c r="F274" s="263"/>
      <c r="G274" s="322">
        <f>($D114)*'GENERADO PS locales'!G274</f>
        <v>0</v>
      </c>
      <c r="H274" s="322">
        <f>($D114)*'GENERADO PS locales'!H274</f>
        <v>0</v>
      </c>
      <c r="I274" s="322">
        <f>($D114)*'GENERADO PS locales'!I274</f>
        <v>0</v>
      </c>
      <c r="J274" s="322">
        <f>($D114)*'GENERADO PS locales'!J274</f>
        <v>0</v>
      </c>
      <c r="K274" s="322">
        <f>($D114)*'GENERADO PS locales'!K274</f>
        <v>0</v>
      </c>
      <c r="L274" s="322">
        <f>($D114)*'GENERADO PS locales'!L274</f>
        <v>0</v>
      </c>
      <c r="M274" s="322">
        <f>($D114)*'GENERADO PS locales'!M274</f>
        <v>0</v>
      </c>
      <c r="N274" s="322">
        <f>($D114)*'GENERADO PS locales'!N274</f>
        <v>0</v>
      </c>
      <c r="O274" s="322">
        <f>($D114)*'GENERADO PS locales'!O274</f>
        <v>0</v>
      </c>
      <c r="P274" s="322">
        <f>($D114)*'GENERADO PS locales'!P274</f>
        <v>0</v>
      </c>
      <c r="Q274" s="322">
        <f>($D114)*'GENERADO PS locales'!Q274</f>
        <v>0</v>
      </c>
      <c r="R274" s="322">
        <f>($D114)*'GENERADO PS locales'!R274</f>
        <v>0</v>
      </c>
      <c r="S274" s="322">
        <f>($D114)*'GENERADO PS locales'!S274</f>
        <v>0</v>
      </c>
      <c r="T274" s="322">
        <f>($D114)*'GENERADO PS locales'!T274</f>
        <v>0</v>
      </c>
      <c r="U274" s="322">
        <f>($D114)*'GENERADO PS locales'!U274</f>
        <v>0</v>
      </c>
      <c r="V274" s="322">
        <f>($D114)*'GENERADO PS locales'!V274</f>
        <v>0</v>
      </c>
      <c r="W274" s="322">
        <f>($D114)*'GENERADO PS locales'!W274</f>
        <v>0</v>
      </c>
      <c r="X274" s="322">
        <f>($D114)*'GENERADO PS locales'!X274</f>
        <v>0</v>
      </c>
      <c r="Y274" s="322">
        <f>($D114)*'GENERADO PS locales'!Y274</f>
        <v>0</v>
      </c>
      <c r="Z274" s="322">
        <f>($D114)*'GENERADO PS locales'!Z274</f>
        <v>0</v>
      </c>
    </row>
    <row r="275" spans="1:26" ht="24.95" customHeight="1">
      <c r="A275" s="260" t="str">
        <f>+Pobl_adoptada!A115</f>
        <v>Rauch</v>
      </c>
      <c r="B275" s="70">
        <f>+Pobl_adoptada!B115</f>
        <v>111</v>
      </c>
      <c r="C275" s="71" t="str">
        <f>+Pobl_adoptada!C115</f>
        <v>Rauch</v>
      </c>
      <c r="D275" s="291"/>
      <c r="E275" s="278"/>
      <c r="F275" s="263"/>
      <c r="G275" s="322">
        <f>($D115)*'GENERADO PS locales'!G275</f>
        <v>0</v>
      </c>
      <c r="H275" s="322">
        <f>($D115)*'GENERADO PS locales'!H275</f>
        <v>0</v>
      </c>
      <c r="I275" s="322">
        <f>($D115)*'GENERADO PS locales'!I275</f>
        <v>0</v>
      </c>
      <c r="J275" s="322">
        <f>($D115)*'GENERADO PS locales'!J275</f>
        <v>0</v>
      </c>
      <c r="K275" s="322">
        <f>($D115)*'GENERADO PS locales'!K275</f>
        <v>0</v>
      </c>
      <c r="L275" s="322">
        <f>($D115)*'GENERADO PS locales'!L275</f>
        <v>0</v>
      </c>
      <c r="M275" s="322">
        <f>($D115)*'GENERADO PS locales'!M275</f>
        <v>0</v>
      </c>
      <c r="N275" s="322">
        <f>($D115)*'GENERADO PS locales'!N275</f>
        <v>0</v>
      </c>
      <c r="O275" s="322">
        <f>($D115)*'GENERADO PS locales'!O275</f>
        <v>0</v>
      </c>
      <c r="P275" s="322">
        <f>($D115)*'GENERADO PS locales'!P275</f>
        <v>0</v>
      </c>
      <c r="Q275" s="322">
        <f>($D115)*'GENERADO PS locales'!Q275</f>
        <v>0</v>
      </c>
      <c r="R275" s="322">
        <f>($D115)*'GENERADO PS locales'!R275</f>
        <v>0</v>
      </c>
      <c r="S275" s="322">
        <f>($D115)*'GENERADO PS locales'!S275</f>
        <v>0</v>
      </c>
      <c r="T275" s="322">
        <f>($D115)*'GENERADO PS locales'!T275</f>
        <v>0</v>
      </c>
      <c r="U275" s="322">
        <f>($D115)*'GENERADO PS locales'!U275</f>
        <v>0</v>
      </c>
      <c r="V275" s="322">
        <f>($D115)*'GENERADO PS locales'!V275</f>
        <v>0</v>
      </c>
      <c r="W275" s="322">
        <f>($D115)*'GENERADO PS locales'!W275</f>
        <v>0</v>
      </c>
      <c r="X275" s="322">
        <f>($D115)*'GENERADO PS locales'!X275</f>
        <v>0</v>
      </c>
      <c r="Y275" s="322">
        <f>($D115)*'GENERADO PS locales'!Y275</f>
        <v>0</v>
      </c>
      <c r="Z275" s="322">
        <f>($D115)*'GENERADO PS locales'!Z275</f>
        <v>0</v>
      </c>
    </row>
    <row r="276" spans="1:26" ht="24.95" customHeight="1">
      <c r="A276" s="260" t="str">
        <f>+Pobl_adoptada!A116</f>
        <v>Rivadavia</v>
      </c>
      <c r="B276" s="70">
        <f>+Pobl_adoptada!B116</f>
        <v>112</v>
      </c>
      <c r="C276" s="71" t="str">
        <f>+Pobl_adoptada!C116</f>
        <v>América</v>
      </c>
      <c r="D276" s="291"/>
      <c r="E276" s="278"/>
      <c r="F276" s="263"/>
      <c r="G276" s="322">
        <f>($D116)*'GENERADO PS locales'!G276</f>
        <v>0</v>
      </c>
      <c r="H276" s="322">
        <f>($D116)*'GENERADO PS locales'!H276</f>
        <v>0</v>
      </c>
      <c r="I276" s="322">
        <f>($D116)*'GENERADO PS locales'!I276</f>
        <v>0</v>
      </c>
      <c r="J276" s="322">
        <f>($D116)*'GENERADO PS locales'!J276</f>
        <v>0</v>
      </c>
      <c r="K276" s="322">
        <f>($D116)*'GENERADO PS locales'!K276</f>
        <v>0</v>
      </c>
      <c r="L276" s="322">
        <f>($D116)*'GENERADO PS locales'!L276</f>
        <v>0</v>
      </c>
      <c r="M276" s="322">
        <f>($D116)*'GENERADO PS locales'!M276</f>
        <v>0</v>
      </c>
      <c r="N276" s="322">
        <f>($D116)*'GENERADO PS locales'!N276</f>
        <v>0</v>
      </c>
      <c r="O276" s="322">
        <f>($D116)*'GENERADO PS locales'!O276</f>
        <v>0</v>
      </c>
      <c r="P276" s="322">
        <f>($D116)*'GENERADO PS locales'!P276</f>
        <v>0</v>
      </c>
      <c r="Q276" s="322">
        <f>($D116)*'GENERADO PS locales'!Q276</f>
        <v>0</v>
      </c>
      <c r="R276" s="322">
        <f>($D116)*'GENERADO PS locales'!R276</f>
        <v>0</v>
      </c>
      <c r="S276" s="322">
        <f>($D116)*'GENERADO PS locales'!S276</f>
        <v>0</v>
      </c>
      <c r="T276" s="322">
        <f>($D116)*'GENERADO PS locales'!T276</f>
        <v>0</v>
      </c>
      <c r="U276" s="322">
        <f>($D116)*'GENERADO PS locales'!U276</f>
        <v>0</v>
      </c>
      <c r="V276" s="322">
        <f>($D116)*'GENERADO PS locales'!V276</f>
        <v>0</v>
      </c>
      <c r="W276" s="322">
        <f>($D116)*'GENERADO PS locales'!W276</f>
        <v>0</v>
      </c>
      <c r="X276" s="322">
        <f>($D116)*'GENERADO PS locales'!X276</f>
        <v>0</v>
      </c>
      <c r="Y276" s="322">
        <f>($D116)*'GENERADO PS locales'!Y276</f>
        <v>0</v>
      </c>
      <c r="Z276" s="322">
        <f>($D116)*'GENERADO PS locales'!Z276</f>
        <v>0</v>
      </c>
    </row>
    <row r="277" spans="1:26" ht="24.95" customHeight="1">
      <c r="A277" s="260" t="str">
        <f>+Pobl_adoptada!A117</f>
        <v>Rojas</v>
      </c>
      <c r="B277" s="70">
        <f>+Pobl_adoptada!B117</f>
        <v>113</v>
      </c>
      <c r="C277" s="71" t="str">
        <f>+Pobl_adoptada!C117</f>
        <v>Rojas</v>
      </c>
      <c r="D277" s="291"/>
      <c r="E277" s="278"/>
      <c r="F277" s="263"/>
      <c r="G277" s="322">
        <f>($D117)*'GENERADO PS locales'!G277</f>
        <v>0</v>
      </c>
      <c r="H277" s="322">
        <f>($D117)*'GENERADO PS locales'!H277</f>
        <v>0</v>
      </c>
      <c r="I277" s="322">
        <f>($D117)*'GENERADO PS locales'!I277</f>
        <v>0</v>
      </c>
      <c r="J277" s="322">
        <f>($D117)*'GENERADO PS locales'!J277</f>
        <v>0</v>
      </c>
      <c r="K277" s="322">
        <f>($D117)*'GENERADO PS locales'!K277</f>
        <v>0</v>
      </c>
      <c r="L277" s="322">
        <f>($D117)*'GENERADO PS locales'!L277</f>
        <v>0</v>
      </c>
      <c r="M277" s="322">
        <f>($D117)*'GENERADO PS locales'!M277</f>
        <v>0</v>
      </c>
      <c r="N277" s="322">
        <f>($D117)*'GENERADO PS locales'!N277</f>
        <v>0</v>
      </c>
      <c r="O277" s="322">
        <f>($D117)*'GENERADO PS locales'!O277</f>
        <v>0</v>
      </c>
      <c r="P277" s="322">
        <f>($D117)*'GENERADO PS locales'!P277</f>
        <v>0</v>
      </c>
      <c r="Q277" s="322">
        <f>($D117)*'GENERADO PS locales'!Q277</f>
        <v>0</v>
      </c>
      <c r="R277" s="322">
        <f>($D117)*'GENERADO PS locales'!R277</f>
        <v>0</v>
      </c>
      <c r="S277" s="322">
        <f>($D117)*'GENERADO PS locales'!S277</f>
        <v>0</v>
      </c>
      <c r="T277" s="322">
        <f>($D117)*'GENERADO PS locales'!T277</f>
        <v>0</v>
      </c>
      <c r="U277" s="322">
        <f>($D117)*'GENERADO PS locales'!U277</f>
        <v>0</v>
      </c>
      <c r="V277" s="322">
        <f>($D117)*'GENERADO PS locales'!V277</f>
        <v>0</v>
      </c>
      <c r="W277" s="322">
        <f>($D117)*'GENERADO PS locales'!W277</f>
        <v>0</v>
      </c>
      <c r="X277" s="322">
        <f>($D117)*'GENERADO PS locales'!X277</f>
        <v>0</v>
      </c>
      <c r="Y277" s="322">
        <f>($D117)*'GENERADO PS locales'!Y277</f>
        <v>0</v>
      </c>
      <c r="Z277" s="322">
        <f>($D117)*'GENERADO PS locales'!Z277</f>
        <v>0</v>
      </c>
    </row>
    <row r="278" spans="1:26" ht="24.95" customHeight="1">
      <c r="A278" s="260" t="str">
        <f>+Pobl_adoptada!A118</f>
        <v>Roque Pérez</v>
      </c>
      <c r="B278" s="70">
        <f>+Pobl_adoptada!B118</f>
        <v>114</v>
      </c>
      <c r="C278" s="71" t="str">
        <f>+Pobl_adoptada!C118</f>
        <v>Roque Pérez</v>
      </c>
      <c r="D278" s="291"/>
      <c r="E278" s="278"/>
      <c r="F278" s="263"/>
      <c r="G278" s="322">
        <f>($D118)*'GENERADO PS locales'!G278</f>
        <v>0</v>
      </c>
      <c r="H278" s="322">
        <f>($D118)*'GENERADO PS locales'!H278</f>
        <v>0</v>
      </c>
      <c r="I278" s="322">
        <f>($D118)*'GENERADO PS locales'!I278</f>
        <v>0</v>
      </c>
      <c r="J278" s="322">
        <f>($D118)*'GENERADO PS locales'!J278</f>
        <v>0</v>
      </c>
      <c r="K278" s="322">
        <f>($D118)*'GENERADO PS locales'!K278</f>
        <v>0</v>
      </c>
      <c r="L278" s="322">
        <f>($D118)*'GENERADO PS locales'!L278</f>
        <v>0</v>
      </c>
      <c r="M278" s="322">
        <f>($D118)*'GENERADO PS locales'!M278</f>
        <v>0</v>
      </c>
      <c r="N278" s="322">
        <f>($D118)*'GENERADO PS locales'!N278</f>
        <v>0</v>
      </c>
      <c r="O278" s="322">
        <f>($D118)*'GENERADO PS locales'!O278</f>
        <v>0</v>
      </c>
      <c r="P278" s="322">
        <f>($D118)*'GENERADO PS locales'!P278</f>
        <v>0</v>
      </c>
      <c r="Q278" s="322">
        <f>($D118)*'GENERADO PS locales'!Q278</f>
        <v>0</v>
      </c>
      <c r="R278" s="322">
        <f>($D118)*'GENERADO PS locales'!R278</f>
        <v>0</v>
      </c>
      <c r="S278" s="322">
        <f>($D118)*'GENERADO PS locales'!S278</f>
        <v>0</v>
      </c>
      <c r="T278" s="322">
        <f>($D118)*'GENERADO PS locales'!T278</f>
        <v>0</v>
      </c>
      <c r="U278" s="322">
        <f>($D118)*'GENERADO PS locales'!U278</f>
        <v>0</v>
      </c>
      <c r="V278" s="322">
        <f>($D118)*'GENERADO PS locales'!V278</f>
        <v>0</v>
      </c>
      <c r="W278" s="322">
        <f>($D118)*'GENERADO PS locales'!W278</f>
        <v>0</v>
      </c>
      <c r="X278" s="322">
        <f>($D118)*'GENERADO PS locales'!X278</f>
        <v>0</v>
      </c>
      <c r="Y278" s="322">
        <f>($D118)*'GENERADO PS locales'!Y278</f>
        <v>0</v>
      </c>
      <c r="Z278" s="322">
        <f>($D118)*'GENERADO PS locales'!Z278</f>
        <v>0</v>
      </c>
    </row>
    <row r="279" spans="1:26" ht="24.95" customHeight="1">
      <c r="A279" s="260" t="str">
        <f>+Pobl_adoptada!A119</f>
        <v>Saavedra</v>
      </c>
      <c r="B279" s="70">
        <f>+Pobl_adoptada!B119</f>
        <v>115</v>
      </c>
      <c r="C279" s="71" t="str">
        <f>+Pobl_adoptada!C119</f>
        <v>Pigüé</v>
      </c>
      <c r="D279" s="291"/>
      <c r="E279" s="278"/>
      <c r="F279" s="263"/>
      <c r="G279" s="322">
        <f>($D119)*'GENERADO PS locales'!G279</f>
        <v>0</v>
      </c>
      <c r="H279" s="322">
        <f>($D119)*'GENERADO PS locales'!H279</f>
        <v>0</v>
      </c>
      <c r="I279" s="322">
        <f>($D119)*'GENERADO PS locales'!I279</f>
        <v>0</v>
      </c>
      <c r="J279" s="322">
        <f>($D119)*'GENERADO PS locales'!J279</f>
        <v>0</v>
      </c>
      <c r="K279" s="322">
        <f>($D119)*'GENERADO PS locales'!K279</f>
        <v>0</v>
      </c>
      <c r="L279" s="322">
        <f>($D119)*'GENERADO PS locales'!L279</f>
        <v>0</v>
      </c>
      <c r="M279" s="322">
        <f>($D119)*'GENERADO PS locales'!M279</f>
        <v>0</v>
      </c>
      <c r="N279" s="322">
        <f>($D119)*'GENERADO PS locales'!N279</f>
        <v>0</v>
      </c>
      <c r="O279" s="322">
        <f>($D119)*'GENERADO PS locales'!O279</f>
        <v>0</v>
      </c>
      <c r="P279" s="322">
        <f>($D119)*'GENERADO PS locales'!P279</f>
        <v>0</v>
      </c>
      <c r="Q279" s="322">
        <f>($D119)*'GENERADO PS locales'!Q279</f>
        <v>0</v>
      </c>
      <c r="R279" s="322">
        <f>($D119)*'GENERADO PS locales'!R279</f>
        <v>0</v>
      </c>
      <c r="S279" s="322">
        <f>($D119)*'GENERADO PS locales'!S279</f>
        <v>0</v>
      </c>
      <c r="T279" s="322">
        <f>($D119)*'GENERADO PS locales'!T279</f>
        <v>0</v>
      </c>
      <c r="U279" s="322">
        <f>($D119)*'GENERADO PS locales'!U279</f>
        <v>0</v>
      </c>
      <c r="V279" s="322">
        <f>($D119)*'GENERADO PS locales'!V279</f>
        <v>0</v>
      </c>
      <c r="W279" s="322">
        <f>($D119)*'GENERADO PS locales'!W279</f>
        <v>0</v>
      </c>
      <c r="X279" s="322">
        <f>($D119)*'GENERADO PS locales'!X279</f>
        <v>0</v>
      </c>
      <c r="Y279" s="322">
        <f>($D119)*'GENERADO PS locales'!Y279</f>
        <v>0</v>
      </c>
      <c r="Z279" s="322">
        <f>($D119)*'GENERADO PS locales'!Z279</f>
        <v>0</v>
      </c>
    </row>
    <row r="280" spans="1:26" ht="24.95" customHeight="1">
      <c r="A280" s="260" t="str">
        <f>+Pobl_adoptada!A120</f>
        <v>Saladillo</v>
      </c>
      <c r="B280" s="70">
        <f>+Pobl_adoptada!B120</f>
        <v>116</v>
      </c>
      <c r="C280" s="71" t="str">
        <f>+Pobl_adoptada!C120</f>
        <v>Saladillo</v>
      </c>
      <c r="D280" s="291"/>
      <c r="E280" s="278"/>
      <c r="F280" s="263"/>
      <c r="G280" s="322">
        <f>($D120)*'GENERADO PS locales'!G280</f>
        <v>0</v>
      </c>
      <c r="H280" s="322">
        <f>($D120)*'GENERADO PS locales'!H280</f>
        <v>0</v>
      </c>
      <c r="I280" s="322">
        <f>($D120)*'GENERADO PS locales'!I280</f>
        <v>0</v>
      </c>
      <c r="J280" s="322">
        <f>($D120)*'GENERADO PS locales'!J280</f>
        <v>0</v>
      </c>
      <c r="K280" s="322">
        <f>($D120)*'GENERADO PS locales'!K280</f>
        <v>0</v>
      </c>
      <c r="L280" s="322">
        <f>($D120)*'GENERADO PS locales'!L280</f>
        <v>0</v>
      </c>
      <c r="M280" s="322">
        <f>($D120)*'GENERADO PS locales'!M280</f>
        <v>0</v>
      </c>
      <c r="N280" s="322">
        <f>($D120)*'GENERADO PS locales'!N280</f>
        <v>0</v>
      </c>
      <c r="O280" s="322">
        <f>($D120)*'GENERADO PS locales'!O280</f>
        <v>0</v>
      </c>
      <c r="P280" s="322">
        <f>($D120)*'GENERADO PS locales'!P280</f>
        <v>0</v>
      </c>
      <c r="Q280" s="322">
        <f>($D120)*'GENERADO PS locales'!Q280</f>
        <v>0</v>
      </c>
      <c r="R280" s="322">
        <f>($D120)*'GENERADO PS locales'!R280</f>
        <v>0</v>
      </c>
      <c r="S280" s="322">
        <f>($D120)*'GENERADO PS locales'!S280</f>
        <v>0</v>
      </c>
      <c r="T280" s="322">
        <f>($D120)*'GENERADO PS locales'!T280</f>
        <v>0</v>
      </c>
      <c r="U280" s="322">
        <f>($D120)*'GENERADO PS locales'!U280</f>
        <v>0</v>
      </c>
      <c r="V280" s="322">
        <f>($D120)*'GENERADO PS locales'!V280</f>
        <v>0</v>
      </c>
      <c r="W280" s="322">
        <f>($D120)*'GENERADO PS locales'!W280</f>
        <v>0</v>
      </c>
      <c r="X280" s="322">
        <f>($D120)*'GENERADO PS locales'!X280</f>
        <v>0</v>
      </c>
      <c r="Y280" s="322">
        <f>($D120)*'GENERADO PS locales'!Y280</f>
        <v>0</v>
      </c>
      <c r="Z280" s="322">
        <f>($D120)*'GENERADO PS locales'!Z280</f>
        <v>0</v>
      </c>
    </row>
    <row r="281" spans="1:26" ht="24.95" customHeight="1">
      <c r="A281" s="260" t="str">
        <f>+Pobl_adoptada!A121</f>
        <v>Salliqueló</v>
      </c>
      <c r="B281" s="70">
        <f>+Pobl_adoptada!B121</f>
        <v>117</v>
      </c>
      <c r="C281" s="71" t="str">
        <f>+Pobl_adoptada!C121</f>
        <v>Salliqueló</v>
      </c>
      <c r="D281" s="291"/>
      <c r="E281" s="278"/>
      <c r="F281" s="263"/>
      <c r="G281" s="322">
        <f>($D121)*'GENERADO PS locales'!G281</f>
        <v>0</v>
      </c>
      <c r="H281" s="322">
        <f>($D121)*'GENERADO PS locales'!H281</f>
        <v>0</v>
      </c>
      <c r="I281" s="322">
        <f>($D121)*'GENERADO PS locales'!I281</f>
        <v>0</v>
      </c>
      <c r="J281" s="322">
        <f>($D121)*'GENERADO PS locales'!J281</f>
        <v>0</v>
      </c>
      <c r="K281" s="322">
        <f>($D121)*'GENERADO PS locales'!K281</f>
        <v>0</v>
      </c>
      <c r="L281" s="322">
        <f>($D121)*'GENERADO PS locales'!L281</f>
        <v>0</v>
      </c>
      <c r="M281" s="322">
        <f>($D121)*'GENERADO PS locales'!M281</f>
        <v>0</v>
      </c>
      <c r="N281" s="322">
        <f>($D121)*'GENERADO PS locales'!N281</f>
        <v>0</v>
      </c>
      <c r="O281" s="322">
        <f>($D121)*'GENERADO PS locales'!O281</f>
        <v>0</v>
      </c>
      <c r="P281" s="322">
        <f>($D121)*'GENERADO PS locales'!P281</f>
        <v>0</v>
      </c>
      <c r="Q281" s="322">
        <f>($D121)*'GENERADO PS locales'!Q281</f>
        <v>0</v>
      </c>
      <c r="R281" s="322">
        <f>($D121)*'GENERADO PS locales'!R281</f>
        <v>0</v>
      </c>
      <c r="S281" s="322">
        <f>($D121)*'GENERADO PS locales'!S281</f>
        <v>0</v>
      </c>
      <c r="T281" s="322">
        <f>($D121)*'GENERADO PS locales'!T281</f>
        <v>0</v>
      </c>
      <c r="U281" s="322">
        <f>($D121)*'GENERADO PS locales'!U281</f>
        <v>0</v>
      </c>
      <c r="V281" s="322">
        <f>($D121)*'GENERADO PS locales'!V281</f>
        <v>0</v>
      </c>
      <c r="W281" s="322">
        <f>($D121)*'GENERADO PS locales'!W281</f>
        <v>0</v>
      </c>
      <c r="X281" s="322">
        <f>($D121)*'GENERADO PS locales'!X281</f>
        <v>0</v>
      </c>
      <c r="Y281" s="322">
        <f>($D121)*'GENERADO PS locales'!Y281</f>
        <v>0</v>
      </c>
      <c r="Z281" s="322">
        <f>($D121)*'GENERADO PS locales'!Z281</f>
        <v>0</v>
      </c>
    </row>
    <row r="282" spans="1:26" ht="24.95" customHeight="1">
      <c r="A282" s="260" t="str">
        <f>+Pobl_adoptada!A122</f>
        <v>Salto</v>
      </c>
      <c r="B282" s="70">
        <f>+Pobl_adoptada!B122</f>
        <v>118</v>
      </c>
      <c r="C282" s="71" t="str">
        <f>+Pobl_adoptada!C122</f>
        <v>Salto</v>
      </c>
      <c r="D282" s="291"/>
      <c r="E282" s="278"/>
      <c r="F282" s="263"/>
      <c r="G282" s="322">
        <f>($D122)*'GENERADO PS locales'!G282</f>
        <v>0</v>
      </c>
      <c r="H282" s="322">
        <f>($D122)*'GENERADO PS locales'!H282</f>
        <v>0</v>
      </c>
      <c r="I282" s="322">
        <f>($D122)*'GENERADO PS locales'!I282</f>
        <v>0</v>
      </c>
      <c r="J282" s="322">
        <f>($D122)*'GENERADO PS locales'!J282</f>
        <v>0</v>
      </c>
      <c r="K282" s="322">
        <f>($D122)*'GENERADO PS locales'!K282</f>
        <v>0</v>
      </c>
      <c r="L282" s="322">
        <f>($D122)*'GENERADO PS locales'!L282</f>
        <v>0</v>
      </c>
      <c r="M282" s="322">
        <f>($D122)*'GENERADO PS locales'!M282</f>
        <v>0</v>
      </c>
      <c r="N282" s="322">
        <f>($D122)*'GENERADO PS locales'!N282</f>
        <v>0</v>
      </c>
      <c r="O282" s="322">
        <f>($D122)*'GENERADO PS locales'!O282</f>
        <v>0</v>
      </c>
      <c r="P282" s="322">
        <f>($D122)*'GENERADO PS locales'!P282</f>
        <v>0</v>
      </c>
      <c r="Q282" s="322">
        <f>($D122)*'GENERADO PS locales'!Q282</f>
        <v>0</v>
      </c>
      <c r="R282" s="322">
        <f>($D122)*'GENERADO PS locales'!R282</f>
        <v>0</v>
      </c>
      <c r="S282" s="322">
        <f>($D122)*'GENERADO PS locales'!S282</f>
        <v>0</v>
      </c>
      <c r="T282" s="322">
        <f>($D122)*'GENERADO PS locales'!T282</f>
        <v>0</v>
      </c>
      <c r="U282" s="322">
        <f>($D122)*'GENERADO PS locales'!U282</f>
        <v>0</v>
      </c>
      <c r="V282" s="322">
        <f>($D122)*'GENERADO PS locales'!V282</f>
        <v>0</v>
      </c>
      <c r="W282" s="322">
        <f>($D122)*'GENERADO PS locales'!W282</f>
        <v>0</v>
      </c>
      <c r="X282" s="322">
        <f>($D122)*'GENERADO PS locales'!X282</f>
        <v>0</v>
      </c>
      <c r="Y282" s="322">
        <f>($D122)*'GENERADO PS locales'!Y282</f>
        <v>0</v>
      </c>
      <c r="Z282" s="322">
        <f>($D122)*'GENERADO PS locales'!Z282</f>
        <v>0</v>
      </c>
    </row>
    <row r="283" spans="1:26" ht="24.95" customHeight="1">
      <c r="A283" s="260" t="str">
        <f>+Pobl_adoptada!A123</f>
        <v>San Andrés de Giles</v>
      </c>
      <c r="B283" s="70">
        <f>+Pobl_adoptada!B123</f>
        <v>119</v>
      </c>
      <c r="C283" s="71" t="str">
        <f>+Pobl_adoptada!C123</f>
        <v>San Andrés de Giles</v>
      </c>
      <c r="D283" s="291"/>
      <c r="E283" s="278"/>
      <c r="F283" s="263"/>
      <c r="G283" s="322">
        <f>($D123)*'GENERADO PS locales'!G283</f>
        <v>0</v>
      </c>
      <c r="H283" s="322">
        <f>($D123)*'GENERADO PS locales'!H283</f>
        <v>0</v>
      </c>
      <c r="I283" s="322">
        <f>($D123)*'GENERADO PS locales'!I283</f>
        <v>0</v>
      </c>
      <c r="J283" s="322">
        <f>($D123)*'GENERADO PS locales'!J283</f>
        <v>0</v>
      </c>
      <c r="K283" s="322">
        <f>($D123)*'GENERADO PS locales'!K283</f>
        <v>0</v>
      </c>
      <c r="L283" s="322">
        <f>($D123)*'GENERADO PS locales'!L283</f>
        <v>0</v>
      </c>
      <c r="M283" s="322">
        <f>($D123)*'GENERADO PS locales'!M283</f>
        <v>0</v>
      </c>
      <c r="N283" s="322">
        <f>($D123)*'GENERADO PS locales'!N283</f>
        <v>0</v>
      </c>
      <c r="O283" s="322">
        <f>($D123)*'GENERADO PS locales'!O283</f>
        <v>0</v>
      </c>
      <c r="P283" s="322">
        <f>($D123)*'GENERADO PS locales'!P283</f>
        <v>0</v>
      </c>
      <c r="Q283" s="322">
        <f>($D123)*'GENERADO PS locales'!Q283</f>
        <v>0</v>
      </c>
      <c r="R283" s="322">
        <f>($D123)*'GENERADO PS locales'!R283</f>
        <v>0</v>
      </c>
      <c r="S283" s="322">
        <f>($D123)*'GENERADO PS locales'!S283</f>
        <v>0</v>
      </c>
      <c r="T283" s="322">
        <f>($D123)*'GENERADO PS locales'!T283</f>
        <v>0</v>
      </c>
      <c r="U283" s="322">
        <f>($D123)*'GENERADO PS locales'!U283</f>
        <v>0</v>
      </c>
      <c r="V283" s="322">
        <f>($D123)*'GENERADO PS locales'!V283</f>
        <v>0</v>
      </c>
      <c r="W283" s="322">
        <f>($D123)*'GENERADO PS locales'!W283</f>
        <v>0</v>
      </c>
      <c r="X283" s="322">
        <f>($D123)*'GENERADO PS locales'!X283</f>
        <v>0</v>
      </c>
      <c r="Y283" s="322">
        <f>($D123)*'GENERADO PS locales'!Y283</f>
        <v>0</v>
      </c>
      <c r="Z283" s="322">
        <f>($D123)*'GENERADO PS locales'!Z283</f>
        <v>0</v>
      </c>
    </row>
    <row r="284" spans="1:26" ht="24.95" customHeight="1">
      <c r="A284" s="260" t="str">
        <f>+Pobl_adoptada!A124</f>
        <v>San Antonio de Areco</v>
      </c>
      <c r="B284" s="70">
        <f>+Pobl_adoptada!B124</f>
        <v>120</v>
      </c>
      <c r="C284" s="71" t="str">
        <f>+Pobl_adoptada!C124</f>
        <v>San Antonio de Areco</v>
      </c>
      <c r="D284" s="291"/>
      <c r="E284" s="278"/>
      <c r="F284" s="263"/>
      <c r="G284" s="322">
        <f>($D124)*'GENERADO PS locales'!G284</f>
        <v>0</v>
      </c>
      <c r="H284" s="322">
        <f>($D124)*'GENERADO PS locales'!H284</f>
        <v>0</v>
      </c>
      <c r="I284" s="322">
        <f>($D124)*'GENERADO PS locales'!I284</f>
        <v>0</v>
      </c>
      <c r="J284" s="322">
        <f>($D124)*'GENERADO PS locales'!J284</f>
        <v>0</v>
      </c>
      <c r="K284" s="322">
        <f>($D124)*'GENERADO PS locales'!K284</f>
        <v>0</v>
      </c>
      <c r="L284" s="322">
        <f>($D124)*'GENERADO PS locales'!L284</f>
        <v>0</v>
      </c>
      <c r="M284" s="322">
        <f>($D124)*'GENERADO PS locales'!M284</f>
        <v>0</v>
      </c>
      <c r="N284" s="322">
        <f>($D124)*'GENERADO PS locales'!N284</f>
        <v>0</v>
      </c>
      <c r="O284" s="322">
        <f>($D124)*'GENERADO PS locales'!O284</f>
        <v>0</v>
      </c>
      <c r="P284" s="322">
        <f>($D124)*'GENERADO PS locales'!P284</f>
        <v>0</v>
      </c>
      <c r="Q284" s="322">
        <f>($D124)*'GENERADO PS locales'!Q284</f>
        <v>0</v>
      </c>
      <c r="R284" s="322">
        <f>($D124)*'GENERADO PS locales'!R284</f>
        <v>0</v>
      </c>
      <c r="S284" s="322">
        <f>($D124)*'GENERADO PS locales'!S284</f>
        <v>0</v>
      </c>
      <c r="T284" s="322">
        <f>($D124)*'GENERADO PS locales'!T284</f>
        <v>0</v>
      </c>
      <c r="U284" s="322">
        <f>($D124)*'GENERADO PS locales'!U284</f>
        <v>0</v>
      </c>
      <c r="V284" s="322">
        <f>($D124)*'GENERADO PS locales'!V284</f>
        <v>0</v>
      </c>
      <c r="W284" s="322">
        <f>($D124)*'GENERADO PS locales'!W284</f>
        <v>0</v>
      </c>
      <c r="X284" s="322">
        <f>($D124)*'GENERADO PS locales'!X284</f>
        <v>0</v>
      </c>
      <c r="Y284" s="322">
        <f>($D124)*'GENERADO PS locales'!Y284</f>
        <v>0</v>
      </c>
      <c r="Z284" s="322">
        <f>($D124)*'GENERADO PS locales'!Z284</f>
        <v>0</v>
      </c>
    </row>
    <row r="285" spans="1:26" ht="24.95" customHeight="1">
      <c r="A285" s="260" t="str">
        <f>+Pobl_adoptada!A125</f>
        <v>San Cayetano</v>
      </c>
      <c r="B285" s="70">
        <f>+Pobl_adoptada!B125</f>
        <v>121</v>
      </c>
      <c r="C285" s="71" t="str">
        <f>+Pobl_adoptada!C125</f>
        <v>San Cayetano</v>
      </c>
      <c r="D285" s="291"/>
      <c r="E285" s="278"/>
      <c r="F285" s="263"/>
      <c r="G285" s="322">
        <f>($D125)*'GENERADO PS locales'!G285</f>
        <v>0</v>
      </c>
      <c r="H285" s="322">
        <f>($D125)*'GENERADO PS locales'!H285</f>
        <v>0</v>
      </c>
      <c r="I285" s="322">
        <f>($D125)*'GENERADO PS locales'!I285</f>
        <v>0</v>
      </c>
      <c r="J285" s="322">
        <f>($D125)*'GENERADO PS locales'!J285</f>
        <v>0</v>
      </c>
      <c r="K285" s="322">
        <f>($D125)*'GENERADO PS locales'!K285</f>
        <v>0</v>
      </c>
      <c r="L285" s="322">
        <f>($D125)*'GENERADO PS locales'!L285</f>
        <v>0</v>
      </c>
      <c r="M285" s="322">
        <f>($D125)*'GENERADO PS locales'!M285</f>
        <v>0</v>
      </c>
      <c r="N285" s="322">
        <f>($D125)*'GENERADO PS locales'!N285</f>
        <v>0</v>
      </c>
      <c r="O285" s="322">
        <f>($D125)*'GENERADO PS locales'!O285</f>
        <v>0</v>
      </c>
      <c r="P285" s="322">
        <f>($D125)*'GENERADO PS locales'!P285</f>
        <v>0</v>
      </c>
      <c r="Q285" s="322">
        <f>($D125)*'GENERADO PS locales'!Q285</f>
        <v>0</v>
      </c>
      <c r="R285" s="322">
        <f>($D125)*'GENERADO PS locales'!R285</f>
        <v>0</v>
      </c>
      <c r="S285" s="322">
        <f>($D125)*'GENERADO PS locales'!S285</f>
        <v>0</v>
      </c>
      <c r="T285" s="322">
        <f>($D125)*'GENERADO PS locales'!T285</f>
        <v>0</v>
      </c>
      <c r="U285" s="322">
        <f>($D125)*'GENERADO PS locales'!U285</f>
        <v>0</v>
      </c>
      <c r="V285" s="322">
        <f>($D125)*'GENERADO PS locales'!V285</f>
        <v>0</v>
      </c>
      <c r="W285" s="322">
        <f>($D125)*'GENERADO PS locales'!W285</f>
        <v>0</v>
      </c>
      <c r="X285" s="322">
        <f>($D125)*'GENERADO PS locales'!X285</f>
        <v>0</v>
      </c>
      <c r="Y285" s="322">
        <f>($D125)*'GENERADO PS locales'!Y285</f>
        <v>0</v>
      </c>
      <c r="Z285" s="322">
        <f>($D125)*'GENERADO PS locales'!Z285</f>
        <v>0</v>
      </c>
    </row>
    <row r="286" spans="1:26" ht="24.95" customHeight="1">
      <c r="A286" s="260" t="str">
        <f>+Pobl_adoptada!A126</f>
        <v>San Nicolás</v>
      </c>
      <c r="B286" s="70">
        <f>+Pobl_adoptada!B126</f>
        <v>122</v>
      </c>
      <c r="C286" s="71" t="str">
        <f>+Pobl_adoptada!C126</f>
        <v>San Nicolás de los Arroyos</v>
      </c>
      <c r="D286" s="291"/>
      <c r="E286" s="278"/>
      <c r="F286" s="263"/>
      <c r="G286" s="322">
        <f>($D126)*'GENERADO PS locales'!G286</f>
        <v>0</v>
      </c>
      <c r="H286" s="322">
        <f>($D126)*'GENERADO PS locales'!H286</f>
        <v>0</v>
      </c>
      <c r="I286" s="322">
        <f>($D126)*'GENERADO PS locales'!I286</f>
        <v>0</v>
      </c>
      <c r="J286" s="322">
        <f>($D126)*'GENERADO PS locales'!J286</f>
        <v>0</v>
      </c>
      <c r="K286" s="322">
        <f>($D126)*'GENERADO PS locales'!K286</f>
        <v>0</v>
      </c>
      <c r="L286" s="322">
        <f>($D126)*'GENERADO PS locales'!L286</f>
        <v>0</v>
      </c>
      <c r="M286" s="322">
        <f>($D126)*'GENERADO PS locales'!M286</f>
        <v>0</v>
      </c>
      <c r="N286" s="322">
        <f>($D126)*'GENERADO PS locales'!N286</f>
        <v>0</v>
      </c>
      <c r="O286" s="322">
        <f>($D126)*'GENERADO PS locales'!O286</f>
        <v>0</v>
      </c>
      <c r="P286" s="322">
        <f>($D126)*'GENERADO PS locales'!P286</f>
        <v>0</v>
      </c>
      <c r="Q286" s="322">
        <f>($D126)*'GENERADO PS locales'!Q286</f>
        <v>0</v>
      </c>
      <c r="R286" s="322">
        <f>($D126)*'GENERADO PS locales'!R286</f>
        <v>0</v>
      </c>
      <c r="S286" s="322">
        <f>($D126)*'GENERADO PS locales'!S286</f>
        <v>0</v>
      </c>
      <c r="T286" s="322">
        <f>($D126)*'GENERADO PS locales'!T286</f>
        <v>0</v>
      </c>
      <c r="U286" s="322">
        <f>($D126)*'GENERADO PS locales'!U286</f>
        <v>0</v>
      </c>
      <c r="V286" s="322">
        <f>($D126)*'GENERADO PS locales'!V286</f>
        <v>0</v>
      </c>
      <c r="W286" s="322">
        <f>($D126)*'GENERADO PS locales'!W286</f>
        <v>0</v>
      </c>
      <c r="X286" s="322">
        <f>($D126)*'GENERADO PS locales'!X286</f>
        <v>0</v>
      </c>
      <c r="Y286" s="322">
        <f>($D126)*'GENERADO PS locales'!Y286</f>
        <v>0</v>
      </c>
      <c r="Z286" s="322">
        <f>($D126)*'GENERADO PS locales'!Z286</f>
        <v>0</v>
      </c>
    </row>
    <row r="287" spans="1:26" ht="24.95" customHeight="1">
      <c r="A287" s="260" t="str">
        <f>+Pobl_adoptada!A127</f>
        <v>San Pedro</v>
      </c>
      <c r="B287" s="70">
        <f>+Pobl_adoptada!B127</f>
        <v>123</v>
      </c>
      <c r="C287" s="71" t="str">
        <f>+Pobl_adoptada!C127</f>
        <v>San Pedro</v>
      </c>
      <c r="D287" s="291"/>
      <c r="E287" s="278"/>
      <c r="F287" s="263"/>
      <c r="G287" s="322">
        <f>($D127)*'GENERADO PS locales'!G287</f>
        <v>0</v>
      </c>
      <c r="H287" s="322">
        <f>($D127)*'GENERADO PS locales'!H287</f>
        <v>0</v>
      </c>
      <c r="I287" s="322">
        <f>($D127)*'GENERADO PS locales'!I287</f>
        <v>0</v>
      </c>
      <c r="J287" s="322">
        <f>($D127)*'GENERADO PS locales'!J287</f>
        <v>0</v>
      </c>
      <c r="K287" s="322">
        <f>($D127)*'GENERADO PS locales'!K287</f>
        <v>0</v>
      </c>
      <c r="L287" s="322">
        <f>($D127)*'GENERADO PS locales'!L287</f>
        <v>0</v>
      </c>
      <c r="M287" s="322">
        <f>($D127)*'GENERADO PS locales'!M287</f>
        <v>0</v>
      </c>
      <c r="N287" s="322">
        <f>($D127)*'GENERADO PS locales'!N287</f>
        <v>0</v>
      </c>
      <c r="O287" s="322">
        <f>($D127)*'GENERADO PS locales'!O287</f>
        <v>0</v>
      </c>
      <c r="P287" s="322">
        <f>($D127)*'GENERADO PS locales'!P287</f>
        <v>0</v>
      </c>
      <c r="Q287" s="322">
        <f>($D127)*'GENERADO PS locales'!Q287</f>
        <v>0</v>
      </c>
      <c r="R287" s="322">
        <f>($D127)*'GENERADO PS locales'!R287</f>
        <v>0</v>
      </c>
      <c r="S287" s="322">
        <f>($D127)*'GENERADO PS locales'!S287</f>
        <v>0</v>
      </c>
      <c r="T287" s="322">
        <f>($D127)*'GENERADO PS locales'!T287</f>
        <v>0</v>
      </c>
      <c r="U287" s="322">
        <f>($D127)*'GENERADO PS locales'!U287</f>
        <v>0</v>
      </c>
      <c r="V287" s="322">
        <f>($D127)*'GENERADO PS locales'!V287</f>
        <v>0</v>
      </c>
      <c r="W287" s="322">
        <f>($D127)*'GENERADO PS locales'!W287</f>
        <v>0</v>
      </c>
      <c r="X287" s="322">
        <f>($D127)*'GENERADO PS locales'!X287</f>
        <v>0</v>
      </c>
      <c r="Y287" s="322">
        <f>($D127)*'GENERADO PS locales'!Y287</f>
        <v>0</v>
      </c>
      <c r="Z287" s="322">
        <f>($D127)*'GENERADO PS locales'!Z287</f>
        <v>0</v>
      </c>
    </row>
    <row r="288" spans="1:26" ht="24.95" customHeight="1">
      <c r="A288" s="260" t="str">
        <f>+Pobl_adoptada!A128</f>
        <v>San Vicente</v>
      </c>
      <c r="B288" s="70">
        <f>+Pobl_adoptada!B128</f>
        <v>124</v>
      </c>
      <c r="C288" s="71" t="str">
        <f>+Pobl_adoptada!C128</f>
        <v>San Vicente</v>
      </c>
      <c r="D288" s="291"/>
      <c r="E288" s="278"/>
      <c r="F288" s="263"/>
      <c r="G288" s="322">
        <f>($D128)*'GENERADO PS locales'!G288</f>
        <v>0</v>
      </c>
      <c r="H288" s="322">
        <f>($D128)*'GENERADO PS locales'!H288</f>
        <v>0</v>
      </c>
      <c r="I288" s="322">
        <f>($D128)*'GENERADO PS locales'!I288</f>
        <v>0</v>
      </c>
      <c r="J288" s="322">
        <f>($D128)*'GENERADO PS locales'!J288</f>
        <v>0</v>
      </c>
      <c r="K288" s="322">
        <f>($D128)*'GENERADO PS locales'!K288</f>
        <v>0</v>
      </c>
      <c r="L288" s="322">
        <f>($D128)*'GENERADO PS locales'!L288</f>
        <v>0</v>
      </c>
      <c r="M288" s="322">
        <f>($D128)*'GENERADO PS locales'!M288</f>
        <v>0</v>
      </c>
      <c r="N288" s="322">
        <f>($D128)*'GENERADO PS locales'!N288</f>
        <v>0</v>
      </c>
      <c r="O288" s="322">
        <f>($D128)*'GENERADO PS locales'!O288</f>
        <v>0</v>
      </c>
      <c r="P288" s="322">
        <f>($D128)*'GENERADO PS locales'!P288</f>
        <v>0</v>
      </c>
      <c r="Q288" s="322">
        <f>($D128)*'GENERADO PS locales'!Q288</f>
        <v>0</v>
      </c>
      <c r="R288" s="322">
        <f>($D128)*'GENERADO PS locales'!R288</f>
        <v>0</v>
      </c>
      <c r="S288" s="322">
        <f>($D128)*'GENERADO PS locales'!S288</f>
        <v>0</v>
      </c>
      <c r="T288" s="322">
        <f>($D128)*'GENERADO PS locales'!T288</f>
        <v>0</v>
      </c>
      <c r="U288" s="322">
        <f>($D128)*'GENERADO PS locales'!U288</f>
        <v>0</v>
      </c>
      <c r="V288" s="322">
        <f>($D128)*'GENERADO PS locales'!V288</f>
        <v>0</v>
      </c>
      <c r="W288" s="322">
        <f>($D128)*'GENERADO PS locales'!W288</f>
        <v>0</v>
      </c>
      <c r="X288" s="322">
        <f>($D128)*'GENERADO PS locales'!X288</f>
        <v>0</v>
      </c>
      <c r="Y288" s="322">
        <f>($D128)*'GENERADO PS locales'!Y288</f>
        <v>0</v>
      </c>
      <c r="Z288" s="322">
        <f>($D128)*'GENERADO PS locales'!Z288</f>
        <v>0</v>
      </c>
    </row>
    <row r="289" spans="1:26" ht="24.95" customHeight="1">
      <c r="A289" s="260" t="str">
        <f>+Pobl_adoptada!A129</f>
        <v>Suipacha</v>
      </c>
      <c r="B289" s="70">
        <f>+Pobl_adoptada!B129</f>
        <v>125</v>
      </c>
      <c r="C289" s="71" t="str">
        <f>+Pobl_adoptada!C129</f>
        <v>Suipacha</v>
      </c>
      <c r="D289" s="291"/>
      <c r="E289" s="278"/>
      <c r="F289" s="263"/>
      <c r="G289" s="322">
        <f>($D129)*'GENERADO PS locales'!G289</f>
        <v>0</v>
      </c>
      <c r="H289" s="322">
        <f>($D129)*'GENERADO PS locales'!H289</f>
        <v>0</v>
      </c>
      <c r="I289" s="322">
        <f>($D129)*'GENERADO PS locales'!I289</f>
        <v>0</v>
      </c>
      <c r="J289" s="322">
        <f>($D129)*'GENERADO PS locales'!J289</f>
        <v>0</v>
      </c>
      <c r="K289" s="322">
        <f>($D129)*'GENERADO PS locales'!K289</f>
        <v>0</v>
      </c>
      <c r="L289" s="322">
        <f>($D129)*'GENERADO PS locales'!L289</f>
        <v>0</v>
      </c>
      <c r="M289" s="322">
        <f>($D129)*'GENERADO PS locales'!M289</f>
        <v>0</v>
      </c>
      <c r="N289" s="322">
        <f>($D129)*'GENERADO PS locales'!N289</f>
        <v>0</v>
      </c>
      <c r="O289" s="322">
        <f>($D129)*'GENERADO PS locales'!O289</f>
        <v>0</v>
      </c>
      <c r="P289" s="322">
        <f>($D129)*'GENERADO PS locales'!P289</f>
        <v>0</v>
      </c>
      <c r="Q289" s="322">
        <f>($D129)*'GENERADO PS locales'!Q289</f>
        <v>0</v>
      </c>
      <c r="R289" s="322">
        <f>($D129)*'GENERADO PS locales'!R289</f>
        <v>0</v>
      </c>
      <c r="S289" s="322">
        <f>($D129)*'GENERADO PS locales'!S289</f>
        <v>0</v>
      </c>
      <c r="T289" s="322">
        <f>($D129)*'GENERADO PS locales'!T289</f>
        <v>0</v>
      </c>
      <c r="U289" s="322">
        <f>($D129)*'GENERADO PS locales'!U289</f>
        <v>0</v>
      </c>
      <c r="V289" s="322">
        <f>($D129)*'GENERADO PS locales'!V289</f>
        <v>0</v>
      </c>
      <c r="W289" s="322">
        <f>($D129)*'GENERADO PS locales'!W289</f>
        <v>0</v>
      </c>
      <c r="X289" s="322">
        <f>($D129)*'GENERADO PS locales'!X289</f>
        <v>0</v>
      </c>
      <c r="Y289" s="322">
        <f>($D129)*'GENERADO PS locales'!Y289</f>
        <v>0</v>
      </c>
      <c r="Z289" s="322">
        <f>($D129)*'GENERADO PS locales'!Z289</f>
        <v>0</v>
      </c>
    </row>
    <row r="290" spans="1:26" ht="24.95" customHeight="1">
      <c r="A290" s="260" t="str">
        <f>+Pobl_adoptada!A130</f>
        <v>Tandil</v>
      </c>
      <c r="B290" s="70">
        <f>+Pobl_adoptada!B130</f>
        <v>126</v>
      </c>
      <c r="C290" s="71" t="str">
        <f>+Pobl_adoptada!C130</f>
        <v>Tandil</v>
      </c>
      <c r="D290" s="291"/>
      <c r="E290" s="278"/>
      <c r="F290" s="263"/>
      <c r="G290" s="322">
        <f>($D130)*'GENERADO PS locales'!G290</f>
        <v>0</v>
      </c>
      <c r="H290" s="322">
        <f>($D130)*'GENERADO PS locales'!H290</f>
        <v>0</v>
      </c>
      <c r="I290" s="322">
        <f>($D130)*'GENERADO PS locales'!I290</f>
        <v>0</v>
      </c>
      <c r="J290" s="322">
        <f>($D130)*'GENERADO PS locales'!J290</f>
        <v>0</v>
      </c>
      <c r="K290" s="322">
        <f>($D130)*'GENERADO PS locales'!K290</f>
        <v>0</v>
      </c>
      <c r="L290" s="322">
        <f>($D130)*'GENERADO PS locales'!L290</f>
        <v>0</v>
      </c>
      <c r="M290" s="322">
        <f>($D130)*'GENERADO PS locales'!M290</f>
        <v>0</v>
      </c>
      <c r="N290" s="322">
        <f>($D130)*'GENERADO PS locales'!N290</f>
        <v>0</v>
      </c>
      <c r="O290" s="322">
        <f>($D130)*'GENERADO PS locales'!O290</f>
        <v>0</v>
      </c>
      <c r="P290" s="322">
        <f>($D130)*'GENERADO PS locales'!P290</f>
        <v>0</v>
      </c>
      <c r="Q290" s="322">
        <f>($D130)*'GENERADO PS locales'!Q290</f>
        <v>0</v>
      </c>
      <c r="R290" s="322">
        <f>($D130)*'GENERADO PS locales'!R290</f>
        <v>0</v>
      </c>
      <c r="S290" s="322">
        <f>($D130)*'GENERADO PS locales'!S290</f>
        <v>0</v>
      </c>
      <c r="T290" s="322">
        <f>($D130)*'GENERADO PS locales'!T290</f>
        <v>0</v>
      </c>
      <c r="U290" s="322">
        <f>($D130)*'GENERADO PS locales'!U290</f>
        <v>0</v>
      </c>
      <c r="V290" s="322">
        <f>($D130)*'GENERADO PS locales'!V290</f>
        <v>0</v>
      </c>
      <c r="W290" s="322">
        <f>($D130)*'GENERADO PS locales'!W290</f>
        <v>0</v>
      </c>
      <c r="X290" s="322">
        <f>($D130)*'GENERADO PS locales'!X290</f>
        <v>0</v>
      </c>
      <c r="Y290" s="322">
        <f>($D130)*'GENERADO PS locales'!Y290</f>
        <v>0</v>
      </c>
      <c r="Z290" s="322">
        <f>($D130)*'GENERADO PS locales'!Z290</f>
        <v>0</v>
      </c>
    </row>
    <row r="291" spans="1:26" ht="24.95" customHeight="1">
      <c r="A291" s="260" t="str">
        <f>+Pobl_adoptada!A131</f>
        <v>Tapalqué</v>
      </c>
      <c r="B291" s="70">
        <f>+Pobl_adoptada!B131</f>
        <v>127</v>
      </c>
      <c r="C291" s="71" t="str">
        <f>+Pobl_adoptada!C131</f>
        <v>Tapalqué</v>
      </c>
      <c r="D291" s="291"/>
      <c r="E291" s="278"/>
      <c r="F291" s="263"/>
      <c r="G291" s="322">
        <f>($D131)*'GENERADO PS locales'!G291</f>
        <v>0</v>
      </c>
      <c r="H291" s="322">
        <f>($D131)*'GENERADO PS locales'!H291</f>
        <v>0</v>
      </c>
      <c r="I291" s="322">
        <f>($D131)*'GENERADO PS locales'!I291</f>
        <v>0</v>
      </c>
      <c r="J291" s="322">
        <f>($D131)*'GENERADO PS locales'!J291</f>
        <v>0</v>
      </c>
      <c r="K291" s="322">
        <f>($D131)*'GENERADO PS locales'!K291</f>
        <v>0</v>
      </c>
      <c r="L291" s="322">
        <f>($D131)*'GENERADO PS locales'!L291</f>
        <v>0</v>
      </c>
      <c r="M291" s="322">
        <f>($D131)*'GENERADO PS locales'!M291</f>
        <v>0</v>
      </c>
      <c r="N291" s="322">
        <f>($D131)*'GENERADO PS locales'!N291</f>
        <v>0</v>
      </c>
      <c r="O291" s="322">
        <f>($D131)*'GENERADO PS locales'!O291</f>
        <v>0</v>
      </c>
      <c r="P291" s="322">
        <f>($D131)*'GENERADO PS locales'!P291</f>
        <v>0</v>
      </c>
      <c r="Q291" s="322">
        <f>($D131)*'GENERADO PS locales'!Q291</f>
        <v>0</v>
      </c>
      <c r="R291" s="322">
        <f>($D131)*'GENERADO PS locales'!R291</f>
        <v>0</v>
      </c>
      <c r="S291" s="322">
        <f>($D131)*'GENERADO PS locales'!S291</f>
        <v>0</v>
      </c>
      <c r="T291" s="322">
        <f>($D131)*'GENERADO PS locales'!T291</f>
        <v>0</v>
      </c>
      <c r="U291" s="322">
        <f>($D131)*'GENERADO PS locales'!U291</f>
        <v>0</v>
      </c>
      <c r="V291" s="322">
        <f>($D131)*'GENERADO PS locales'!V291</f>
        <v>0</v>
      </c>
      <c r="W291" s="322">
        <f>($D131)*'GENERADO PS locales'!W291</f>
        <v>0</v>
      </c>
      <c r="X291" s="322">
        <f>($D131)*'GENERADO PS locales'!X291</f>
        <v>0</v>
      </c>
      <c r="Y291" s="322">
        <f>($D131)*'GENERADO PS locales'!Y291</f>
        <v>0</v>
      </c>
      <c r="Z291" s="322">
        <f>($D131)*'GENERADO PS locales'!Z291</f>
        <v>0</v>
      </c>
    </row>
    <row r="292" spans="1:26" ht="24.95" customHeight="1">
      <c r="A292" s="260" t="str">
        <f>+Pobl_adoptada!A132</f>
        <v>Tordillo</v>
      </c>
      <c r="B292" s="70">
        <f>+Pobl_adoptada!B132</f>
        <v>128</v>
      </c>
      <c r="C292" s="71" t="str">
        <f>+Pobl_adoptada!C132</f>
        <v>General Conesa</v>
      </c>
      <c r="D292" s="291"/>
      <c r="E292" s="278"/>
      <c r="F292" s="263"/>
      <c r="G292" s="322">
        <f>($D132)*'GENERADO PS locales'!G292</f>
        <v>0</v>
      </c>
      <c r="H292" s="322">
        <f>($D132)*'GENERADO PS locales'!H292</f>
        <v>0</v>
      </c>
      <c r="I292" s="322">
        <f>($D132)*'GENERADO PS locales'!I292</f>
        <v>0</v>
      </c>
      <c r="J292" s="322">
        <f>($D132)*'GENERADO PS locales'!J292</f>
        <v>0</v>
      </c>
      <c r="K292" s="322">
        <f>($D132)*'GENERADO PS locales'!K292</f>
        <v>0</v>
      </c>
      <c r="L292" s="322">
        <f>($D132)*'GENERADO PS locales'!L292</f>
        <v>0</v>
      </c>
      <c r="M292" s="322">
        <f>($D132)*'GENERADO PS locales'!M292</f>
        <v>0</v>
      </c>
      <c r="N292" s="322">
        <f>($D132)*'GENERADO PS locales'!N292</f>
        <v>0</v>
      </c>
      <c r="O292" s="322">
        <f>($D132)*'GENERADO PS locales'!O292</f>
        <v>0</v>
      </c>
      <c r="P292" s="322">
        <f>($D132)*'GENERADO PS locales'!P292</f>
        <v>0</v>
      </c>
      <c r="Q292" s="322">
        <f>($D132)*'GENERADO PS locales'!Q292</f>
        <v>0</v>
      </c>
      <c r="R292" s="322">
        <f>($D132)*'GENERADO PS locales'!R292</f>
        <v>0</v>
      </c>
      <c r="S292" s="322">
        <f>($D132)*'GENERADO PS locales'!S292</f>
        <v>0</v>
      </c>
      <c r="T292" s="322">
        <f>($D132)*'GENERADO PS locales'!T292</f>
        <v>0</v>
      </c>
      <c r="U292" s="322">
        <f>($D132)*'GENERADO PS locales'!U292</f>
        <v>0</v>
      </c>
      <c r="V292" s="322">
        <f>($D132)*'GENERADO PS locales'!V292</f>
        <v>0</v>
      </c>
      <c r="W292" s="322">
        <f>($D132)*'GENERADO PS locales'!W292</f>
        <v>0</v>
      </c>
      <c r="X292" s="322">
        <f>($D132)*'GENERADO PS locales'!X292</f>
        <v>0</v>
      </c>
      <c r="Y292" s="322">
        <f>($D132)*'GENERADO PS locales'!Y292</f>
        <v>0</v>
      </c>
      <c r="Z292" s="322">
        <f>($D132)*'GENERADO PS locales'!Z292</f>
        <v>0</v>
      </c>
    </row>
    <row r="293" spans="1:26" ht="24.95" customHeight="1">
      <c r="A293" s="260" t="str">
        <f>+Pobl_adoptada!A133</f>
        <v>Tornquist</v>
      </c>
      <c r="B293" s="70">
        <f>+Pobl_adoptada!B133</f>
        <v>129</v>
      </c>
      <c r="C293" s="71" t="str">
        <f>+Pobl_adoptada!C133</f>
        <v>Tornquist</v>
      </c>
      <c r="D293" s="291"/>
      <c r="E293" s="278"/>
      <c r="F293" s="263"/>
      <c r="G293" s="322">
        <f>($D133)*'GENERADO PS locales'!G293</f>
        <v>0</v>
      </c>
      <c r="H293" s="322">
        <f>($D133)*'GENERADO PS locales'!H293</f>
        <v>0</v>
      </c>
      <c r="I293" s="322">
        <f>($D133)*'GENERADO PS locales'!I293</f>
        <v>0</v>
      </c>
      <c r="J293" s="322">
        <f>($D133)*'GENERADO PS locales'!J293</f>
        <v>0</v>
      </c>
      <c r="K293" s="322">
        <f>($D133)*'GENERADO PS locales'!K293</f>
        <v>0</v>
      </c>
      <c r="L293" s="322">
        <f>($D133)*'GENERADO PS locales'!L293</f>
        <v>0</v>
      </c>
      <c r="M293" s="322">
        <f>($D133)*'GENERADO PS locales'!M293</f>
        <v>0</v>
      </c>
      <c r="N293" s="322">
        <f>($D133)*'GENERADO PS locales'!N293</f>
        <v>0</v>
      </c>
      <c r="O293" s="322">
        <f>($D133)*'GENERADO PS locales'!O293</f>
        <v>0</v>
      </c>
      <c r="P293" s="322">
        <f>($D133)*'GENERADO PS locales'!P293</f>
        <v>0</v>
      </c>
      <c r="Q293" s="322">
        <f>($D133)*'GENERADO PS locales'!Q293</f>
        <v>0</v>
      </c>
      <c r="R293" s="322">
        <f>($D133)*'GENERADO PS locales'!R293</f>
        <v>0</v>
      </c>
      <c r="S293" s="322">
        <f>($D133)*'GENERADO PS locales'!S293</f>
        <v>0</v>
      </c>
      <c r="T293" s="322">
        <f>($D133)*'GENERADO PS locales'!T293</f>
        <v>0</v>
      </c>
      <c r="U293" s="322">
        <f>($D133)*'GENERADO PS locales'!U293</f>
        <v>0</v>
      </c>
      <c r="V293" s="322">
        <f>($D133)*'GENERADO PS locales'!V293</f>
        <v>0</v>
      </c>
      <c r="W293" s="322">
        <f>($D133)*'GENERADO PS locales'!W293</f>
        <v>0</v>
      </c>
      <c r="X293" s="322">
        <f>($D133)*'GENERADO PS locales'!X293</f>
        <v>0</v>
      </c>
      <c r="Y293" s="322">
        <f>($D133)*'GENERADO PS locales'!Y293</f>
        <v>0</v>
      </c>
      <c r="Z293" s="322">
        <f>($D133)*'GENERADO PS locales'!Z293</f>
        <v>0</v>
      </c>
    </row>
    <row r="294" spans="1:26" ht="24.95" customHeight="1">
      <c r="A294" s="260" t="str">
        <f>+Pobl_adoptada!A134</f>
        <v>Trenque Lauquen</v>
      </c>
      <c r="B294" s="70">
        <f>+Pobl_adoptada!B134</f>
        <v>130</v>
      </c>
      <c r="C294" s="71" t="str">
        <f>+Pobl_adoptada!C134</f>
        <v>Trenque Lauquen</v>
      </c>
      <c r="D294" s="291"/>
      <c r="E294" s="278"/>
      <c r="F294" s="263"/>
      <c r="G294" s="322">
        <f>($D134)*'GENERADO PS locales'!G294</f>
        <v>0</v>
      </c>
      <c r="H294" s="322">
        <f>($D134)*'GENERADO PS locales'!H294</f>
        <v>0</v>
      </c>
      <c r="I294" s="322">
        <f>($D134)*'GENERADO PS locales'!I294</f>
        <v>0</v>
      </c>
      <c r="J294" s="322">
        <f>($D134)*'GENERADO PS locales'!J294</f>
        <v>0</v>
      </c>
      <c r="K294" s="322">
        <f>($D134)*'GENERADO PS locales'!K294</f>
        <v>0</v>
      </c>
      <c r="L294" s="322">
        <f>($D134)*'GENERADO PS locales'!L294</f>
        <v>0</v>
      </c>
      <c r="M294" s="322">
        <f>($D134)*'GENERADO PS locales'!M294</f>
        <v>0</v>
      </c>
      <c r="N294" s="322">
        <f>($D134)*'GENERADO PS locales'!N294</f>
        <v>0</v>
      </c>
      <c r="O294" s="322">
        <f>($D134)*'GENERADO PS locales'!O294</f>
        <v>0</v>
      </c>
      <c r="P294" s="322">
        <f>($D134)*'GENERADO PS locales'!P294</f>
        <v>0</v>
      </c>
      <c r="Q294" s="322">
        <f>($D134)*'GENERADO PS locales'!Q294</f>
        <v>0</v>
      </c>
      <c r="R294" s="322">
        <f>($D134)*'GENERADO PS locales'!R294</f>
        <v>0</v>
      </c>
      <c r="S294" s="322">
        <f>($D134)*'GENERADO PS locales'!S294</f>
        <v>0</v>
      </c>
      <c r="T294" s="322">
        <f>($D134)*'GENERADO PS locales'!T294</f>
        <v>0</v>
      </c>
      <c r="U294" s="322">
        <f>($D134)*'GENERADO PS locales'!U294</f>
        <v>0</v>
      </c>
      <c r="V294" s="322">
        <f>($D134)*'GENERADO PS locales'!V294</f>
        <v>0</v>
      </c>
      <c r="W294" s="322">
        <f>($D134)*'GENERADO PS locales'!W294</f>
        <v>0</v>
      </c>
      <c r="X294" s="322">
        <f>($D134)*'GENERADO PS locales'!X294</f>
        <v>0</v>
      </c>
      <c r="Y294" s="322">
        <f>($D134)*'GENERADO PS locales'!Y294</f>
        <v>0</v>
      </c>
      <c r="Z294" s="322">
        <f>($D134)*'GENERADO PS locales'!Z294</f>
        <v>0</v>
      </c>
    </row>
    <row r="295" spans="1:26" ht="24.95" customHeight="1">
      <c r="A295" s="260" t="str">
        <f>+Pobl_adoptada!A135</f>
        <v>Tres Arroyos</v>
      </c>
      <c r="B295" s="70">
        <f>+Pobl_adoptada!B135</f>
        <v>131</v>
      </c>
      <c r="C295" s="71" t="str">
        <f>+Pobl_adoptada!C135</f>
        <v>Tres Arroyos</v>
      </c>
      <c r="D295" s="291"/>
      <c r="E295" s="278"/>
      <c r="F295" s="263"/>
      <c r="G295" s="322">
        <f>($D135)*'GENERADO PS locales'!G295</f>
        <v>0</v>
      </c>
      <c r="H295" s="322">
        <f>($D135)*'GENERADO PS locales'!H295</f>
        <v>0</v>
      </c>
      <c r="I295" s="322">
        <f>($D135)*'GENERADO PS locales'!I295</f>
        <v>0</v>
      </c>
      <c r="J295" s="322">
        <f>($D135)*'GENERADO PS locales'!J295</f>
        <v>0</v>
      </c>
      <c r="K295" s="322">
        <f>($D135)*'GENERADO PS locales'!K295</f>
        <v>0</v>
      </c>
      <c r="L295" s="322">
        <f>($D135)*'GENERADO PS locales'!L295</f>
        <v>0</v>
      </c>
      <c r="M295" s="322">
        <f>($D135)*'GENERADO PS locales'!M295</f>
        <v>0</v>
      </c>
      <c r="N295" s="322">
        <f>($D135)*'GENERADO PS locales'!N295</f>
        <v>0</v>
      </c>
      <c r="O295" s="322">
        <f>($D135)*'GENERADO PS locales'!O295</f>
        <v>0</v>
      </c>
      <c r="P295" s="322">
        <f>($D135)*'GENERADO PS locales'!P295</f>
        <v>0</v>
      </c>
      <c r="Q295" s="322">
        <f>($D135)*'GENERADO PS locales'!Q295</f>
        <v>0</v>
      </c>
      <c r="R295" s="322">
        <f>($D135)*'GENERADO PS locales'!R295</f>
        <v>0</v>
      </c>
      <c r="S295" s="322">
        <f>($D135)*'GENERADO PS locales'!S295</f>
        <v>0</v>
      </c>
      <c r="T295" s="322">
        <f>($D135)*'GENERADO PS locales'!T295</f>
        <v>0</v>
      </c>
      <c r="U295" s="322">
        <f>($D135)*'GENERADO PS locales'!U295</f>
        <v>0</v>
      </c>
      <c r="V295" s="322">
        <f>($D135)*'GENERADO PS locales'!V295</f>
        <v>0</v>
      </c>
      <c r="W295" s="322">
        <f>($D135)*'GENERADO PS locales'!W295</f>
        <v>0</v>
      </c>
      <c r="X295" s="322">
        <f>($D135)*'GENERADO PS locales'!X295</f>
        <v>0</v>
      </c>
      <c r="Y295" s="322">
        <f>($D135)*'GENERADO PS locales'!Y295</f>
        <v>0</v>
      </c>
      <c r="Z295" s="322">
        <f>($D135)*'GENERADO PS locales'!Z295</f>
        <v>0</v>
      </c>
    </row>
    <row r="296" spans="1:26" ht="24.95" customHeight="1">
      <c r="A296" s="260" t="str">
        <f>+Pobl_adoptada!A136</f>
        <v>Tres Lomas</v>
      </c>
      <c r="B296" s="70">
        <f>+Pobl_adoptada!B136</f>
        <v>132</v>
      </c>
      <c r="C296" s="71" t="str">
        <f>+Pobl_adoptada!C136</f>
        <v>Tres Lomas</v>
      </c>
      <c r="D296" s="291"/>
      <c r="E296" s="278"/>
      <c r="F296" s="263"/>
      <c r="G296" s="322">
        <f>($D136)*'GENERADO PS locales'!G296</f>
        <v>0</v>
      </c>
      <c r="H296" s="322">
        <f>($D136)*'GENERADO PS locales'!H296</f>
        <v>0</v>
      </c>
      <c r="I296" s="322">
        <f>($D136)*'GENERADO PS locales'!I296</f>
        <v>0</v>
      </c>
      <c r="J296" s="322">
        <f>($D136)*'GENERADO PS locales'!J296</f>
        <v>0</v>
      </c>
      <c r="K296" s="322">
        <f>($D136)*'GENERADO PS locales'!K296</f>
        <v>0</v>
      </c>
      <c r="L296" s="322">
        <f>($D136)*'GENERADO PS locales'!L296</f>
        <v>0</v>
      </c>
      <c r="M296" s="322">
        <f>($D136)*'GENERADO PS locales'!M296</f>
        <v>0</v>
      </c>
      <c r="N296" s="322">
        <f>($D136)*'GENERADO PS locales'!N296</f>
        <v>0</v>
      </c>
      <c r="O296" s="322">
        <f>($D136)*'GENERADO PS locales'!O296</f>
        <v>0</v>
      </c>
      <c r="P296" s="322">
        <f>($D136)*'GENERADO PS locales'!P296</f>
        <v>0</v>
      </c>
      <c r="Q296" s="322">
        <f>($D136)*'GENERADO PS locales'!Q296</f>
        <v>0</v>
      </c>
      <c r="R296" s="322">
        <f>($D136)*'GENERADO PS locales'!R296</f>
        <v>0</v>
      </c>
      <c r="S296" s="322">
        <f>($D136)*'GENERADO PS locales'!S296</f>
        <v>0</v>
      </c>
      <c r="T296" s="322">
        <f>($D136)*'GENERADO PS locales'!T296</f>
        <v>0</v>
      </c>
      <c r="U296" s="322">
        <f>($D136)*'GENERADO PS locales'!U296</f>
        <v>0</v>
      </c>
      <c r="V296" s="322">
        <f>($D136)*'GENERADO PS locales'!V296</f>
        <v>0</v>
      </c>
      <c r="W296" s="322">
        <f>($D136)*'GENERADO PS locales'!W296</f>
        <v>0</v>
      </c>
      <c r="X296" s="322">
        <f>($D136)*'GENERADO PS locales'!X296</f>
        <v>0</v>
      </c>
      <c r="Y296" s="322">
        <f>($D136)*'GENERADO PS locales'!Y296</f>
        <v>0</v>
      </c>
      <c r="Z296" s="322">
        <f>($D136)*'GENERADO PS locales'!Z296</f>
        <v>0</v>
      </c>
    </row>
    <row r="297" spans="1:26" ht="24.95" customHeight="1">
      <c r="A297" s="260" t="str">
        <f>+Pobl_adoptada!A137</f>
        <v>Villa Gesell</v>
      </c>
      <c r="B297" s="70">
        <f>+Pobl_adoptada!B137</f>
        <v>133</v>
      </c>
      <c r="C297" s="71" t="str">
        <f>+Pobl_adoptada!C137</f>
        <v>Villa Gesell</v>
      </c>
      <c r="D297" s="291"/>
      <c r="E297" s="278"/>
      <c r="F297" s="263"/>
      <c r="G297" s="322">
        <f>($D137)*'GENERADO PS locales'!G297</f>
        <v>0</v>
      </c>
      <c r="H297" s="322">
        <f>($D137)*'GENERADO PS locales'!H297</f>
        <v>0</v>
      </c>
      <c r="I297" s="322">
        <f>($D137)*'GENERADO PS locales'!I297</f>
        <v>0</v>
      </c>
      <c r="J297" s="322">
        <f>($D137)*'GENERADO PS locales'!J297</f>
        <v>0</v>
      </c>
      <c r="K297" s="322">
        <f>($D137)*'GENERADO PS locales'!K297</f>
        <v>0</v>
      </c>
      <c r="L297" s="322">
        <f>($D137)*'GENERADO PS locales'!L297</f>
        <v>0</v>
      </c>
      <c r="M297" s="322">
        <f>($D137)*'GENERADO PS locales'!M297</f>
        <v>0</v>
      </c>
      <c r="N297" s="322">
        <f>($D137)*'GENERADO PS locales'!N297</f>
        <v>0</v>
      </c>
      <c r="O297" s="322">
        <f>($D137)*'GENERADO PS locales'!O297</f>
        <v>0</v>
      </c>
      <c r="P297" s="322">
        <f>($D137)*'GENERADO PS locales'!P297</f>
        <v>0</v>
      </c>
      <c r="Q297" s="322">
        <f>($D137)*'GENERADO PS locales'!Q297</f>
        <v>0</v>
      </c>
      <c r="R297" s="322">
        <f>($D137)*'GENERADO PS locales'!R297</f>
        <v>0</v>
      </c>
      <c r="S297" s="322">
        <f>($D137)*'GENERADO PS locales'!S297</f>
        <v>0</v>
      </c>
      <c r="T297" s="322">
        <f>($D137)*'GENERADO PS locales'!T297</f>
        <v>0</v>
      </c>
      <c r="U297" s="322">
        <f>($D137)*'GENERADO PS locales'!U297</f>
        <v>0</v>
      </c>
      <c r="V297" s="322">
        <f>($D137)*'GENERADO PS locales'!V297</f>
        <v>0</v>
      </c>
      <c r="W297" s="322">
        <f>($D137)*'GENERADO PS locales'!W297</f>
        <v>0</v>
      </c>
      <c r="X297" s="322">
        <f>($D137)*'GENERADO PS locales'!X297</f>
        <v>0</v>
      </c>
      <c r="Y297" s="322">
        <f>($D137)*'GENERADO PS locales'!Y297</f>
        <v>0</v>
      </c>
      <c r="Z297" s="322">
        <f>($D137)*'GENERADO PS locales'!Z297</f>
        <v>0</v>
      </c>
    </row>
    <row r="298" spans="1:26" ht="24.95" customHeight="1">
      <c r="A298" s="260" t="str">
        <f>+Pobl_adoptada!A138</f>
        <v>Villarino</v>
      </c>
      <c r="B298" s="70">
        <f>+Pobl_adoptada!B138</f>
        <v>134</v>
      </c>
      <c r="C298" s="71" t="str">
        <f>+Pobl_adoptada!C138</f>
        <v>Médanos</v>
      </c>
      <c r="D298" s="291"/>
      <c r="E298" s="278"/>
      <c r="F298" s="263"/>
      <c r="G298" s="322">
        <f>($D138)*'GENERADO PS locales'!G298</f>
        <v>0</v>
      </c>
      <c r="H298" s="322">
        <f>($D138)*'GENERADO PS locales'!H298</f>
        <v>0</v>
      </c>
      <c r="I298" s="322">
        <f>($D138)*'GENERADO PS locales'!I298</f>
        <v>0</v>
      </c>
      <c r="J298" s="322">
        <f>($D138)*'GENERADO PS locales'!J298</f>
        <v>0</v>
      </c>
      <c r="K298" s="322">
        <f>($D138)*'GENERADO PS locales'!K298</f>
        <v>0</v>
      </c>
      <c r="L298" s="322">
        <f>($D138)*'GENERADO PS locales'!L298</f>
        <v>0</v>
      </c>
      <c r="M298" s="322">
        <f>($D138)*'GENERADO PS locales'!M298</f>
        <v>0</v>
      </c>
      <c r="N298" s="322">
        <f>($D138)*'GENERADO PS locales'!N298</f>
        <v>0</v>
      </c>
      <c r="O298" s="322">
        <f>($D138)*'GENERADO PS locales'!O298</f>
        <v>0</v>
      </c>
      <c r="P298" s="322">
        <f>($D138)*'GENERADO PS locales'!P298</f>
        <v>0</v>
      </c>
      <c r="Q298" s="322">
        <f>($D138)*'GENERADO PS locales'!Q298</f>
        <v>0</v>
      </c>
      <c r="R298" s="322">
        <f>($D138)*'GENERADO PS locales'!R298</f>
        <v>0</v>
      </c>
      <c r="S298" s="322">
        <f>($D138)*'GENERADO PS locales'!S298</f>
        <v>0</v>
      </c>
      <c r="T298" s="322">
        <f>($D138)*'GENERADO PS locales'!T298</f>
        <v>0</v>
      </c>
      <c r="U298" s="322">
        <f>($D138)*'GENERADO PS locales'!U298</f>
        <v>0</v>
      </c>
      <c r="V298" s="322">
        <f>($D138)*'GENERADO PS locales'!V298</f>
        <v>0</v>
      </c>
      <c r="W298" s="322">
        <f>($D138)*'GENERADO PS locales'!W298</f>
        <v>0</v>
      </c>
      <c r="X298" s="322">
        <f>($D138)*'GENERADO PS locales'!X298</f>
        <v>0</v>
      </c>
      <c r="Y298" s="322">
        <f>($D138)*'GENERADO PS locales'!Y298</f>
        <v>0</v>
      </c>
      <c r="Z298" s="322">
        <f>($D138)*'GENERADO PS locales'!Z298</f>
        <v>0</v>
      </c>
    </row>
    <row r="299" spans="1:26" ht="24.95" customHeight="1">
      <c r="A299" s="260" t="str">
        <f>+Pobl_adoptada!A139</f>
        <v>Zárate</v>
      </c>
      <c r="B299" s="70">
        <f>+Pobl_adoptada!B139</f>
        <v>135</v>
      </c>
      <c r="C299" s="71" t="str">
        <f>+Pobl_adoptada!C139</f>
        <v>Zárate</v>
      </c>
      <c r="D299" s="291"/>
      <c r="E299" s="278"/>
      <c r="F299" s="263"/>
      <c r="G299" s="322">
        <f>($D139)*'GENERADO PS locales'!G299</f>
        <v>0</v>
      </c>
      <c r="H299" s="322">
        <f>($D139)*'GENERADO PS locales'!H299</f>
        <v>0</v>
      </c>
      <c r="I299" s="322">
        <f>($D139)*'GENERADO PS locales'!I299</f>
        <v>0</v>
      </c>
      <c r="J299" s="322">
        <f>($D139)*'GENERADO PS locales'!J299</f>
        <v>0</v>
      </c>
      <c r="K299" s="322">
        <f>($D139)*'GENERADO PS locales'!K299</f>
        <v>0</v>
      </c>
      <c r="L299" s="322">
        <f>($D139)*'GENERADO PS locales'!L299</f>
        <v>0</v>
      </c>
      <c r="M299" s="322">
        <f>($D139)*'GENERADO PS locales'!M299</f>
        <v>0</v>
      </c>
      <c r="N299" s="322">
        <f>($D139)*'GENERADO PS locales'!N299</f>
        <v>0</v>
      </c>
      <c r="O299" s="322">
        <f>($D139)*'GENERADO PS locales'!O299</f>
        <v>0</v>
      </c>
      <c r="P299" s="322">
        <f>($D139)*'GENERADO PS locales'!P299</f>
        <v>0</v>
      </c>
      <c r="Q299" s="322">
        <f>($D139)*'GENERADO PS locales'!Q299</f>
        <v>0</v>
      </c>
      <c r="R299" s="322">
        <f>($D139)*'GENERADO PS locales'!R299</f>
        <v>0</v>
      </c>
      <c r="S299" s="322">
        <f>($D139)*'GENERADO PS locales'!S299</f>
        <v>0</v>
      </c>
      <c r="T299" s="322">
        <f>($D139)*'GENERADO PS locales'!T299</f>
        <v>0</v>
      </c>
      <c r="U299" s="322">
        <f>($D139)*'GENERADO PS locales'!U299</f>
        <v>0</v>
      </c>
      <c r="V299" s="322">
        <f>($D139)*'GENERADO PS locales'!V299</f>
        <v>0</v>
      </c>
      <c r="W299" s="322">
        <f>($D139)*'GENERADO PS locales'!W299</f>
        <v>0</v>
      </c>
      <c r="X299" s="322">
        <f>($D139)*'GENERADO PS locales'!X299</f>
        <v>0</v>
      </c>
      <c r="Y299" s="322">
        <f>($D139)*'GENERADO PS locales'!Y299</f>
        <v>0</v>
      </c>
      <c r="Z299" s="322">
        <f>($D139)*'GENERADO PS locales'!Z299</f>
        <v>0</v>
      </c>
    </row>
    <row r="300" spans="1:26" ht="24.95" customHeight="1">
      <c r="A300" s="260" t="str">
        <f>+Pobl_adoptada!A140</f>
        <v>CABA</v>
      </c>
      <c r="B300" s="70">
        <f>+Pobl_adoptada!B140</f>
        <v>136</v>
      </c>
      <c r="C300" s="71" t="str">
        <f>+Pobl_adoptada!C140</f>
        <v>CABA</v>
      </c>
      <c r="D300" s="291"/>
      <c r="E300" s="278"/>
      <c r="F300" s="263"/>
      <c r="G300" s="322">
        <f>($D140)*'GENERADO PS locales'!G300</f>
        <v>0</v>
      </c>
      <c r="H300" s="322">
        <f>($D140)*'GENERADO PS locales'!H300</f>
        <v>0</v>
      </c>
      <c r="I300" s="322">
        <f>($D140)*'GENERADO PS locales'!I300</f>
        <v>0</v>
      </c>
      <c r="J300" s="322">
        <f>($D140)*'GENERADO PS locales'!J300</f>
        <v>0</v>
      </c>
      <c r="K300" s="322">
        <f>($D140)*'GENERADO PS locales'!K300</f>
        <v>0</v>
      </c>
      <c r="L300" s="322">
        <f>($D140)*'GENERADO PS locales'!L300</f>
        <v>0</v>
      </c>
      <c r="M300" s="322">
        <f>($D140)*'GENERADO PS locales'!M300</f>
        <v>0</v>
      </c>
      <c r="N300" s="322">
        <f>($D140)*'GENERADO PS locales'!N300</f>
        <v>0</v>
      </c>
      <c r="O300" s="322">
        <f>($D140)*'GENERADO PS locales'!O300</f>
        <v>0</v>
      </c>
      <c r="P300" s="322">
        <f>($D140)*'GENERADO PS locales'!P300</f>
        <v>0</v>
      </c>
      <c r="Q300" s="322">
        <f>($D140)*'GENERADO PS locales'!Q300</f>
        <v>0</v>
      </c>
      <c r="R300" s="322">
        <f>($D140)*'GENERADO PS locales'!R300</f>
        <v>0</v>
      </c>
      <c r="S300" s="322">
        <f>($D140)*'GENERADO PS locales'!S300</f>
        <v>0</v>
      </c>
      <c r="T300" s="322">
        <f>($D140)*'GENERADO PS locales'!T300</f>
        <v>0</v>
      </c>
      <c r="U300" s="322">
        <f>($D140)*'GENERADO PS locales'!U300</f>
        <v>0</v>
      </c>
      <c r="V300" s="322">
        <f>($D140)*'GENERADO PS locales'!V300</f>
        <v>0</v>
      </c>
      <c r="W300" s="322">
        <f>($D140)*'GENERADO PS locales'!W300</f>
        <v>0</v>
      </c>
      <c r="X300" s="322">
        <f>($D140)*'GENERADO PS locales'!X300</f>
        <v>0</v>
      </c>
      <c r="Y300" s="322">
        <f>($D140)*'GENERADO PS locales'!Y300</f>
        <v>0</v>
      </c>
      <c r="Z300" s="322">
        <f>($D140)*'GENERADO PS locales'!Z300</f>
        <v>0</v>
      </c>
    </row>
    <row r="301" spans="1:26" ht="24.95" customHeight="1">
      <c r="A301" s="260" t="str">
        <f>+Pobl_adoptada!A141</f>
        <v>Adolfo Alsina</v>
      </c>
      <c r="B301" s="70">
        <f>+Pobl_adoptada!B141</f>
        <v>137</v>
      </c>
      <c r="C301" s="71" t="str">
        <f>+Pobl_adoptada!C141</f>
        <v>Rivera</v>
      </c>
      <c r="D301" s="291"/>
      <c r="E301" s="278"/>
      <c r="F301" s="263"/>
      <c r="G301" s="322">
        <f>($D141)*'GENERADO PS locales'!G301</f>
        <v>0</v>
      </c>
      <c r="H301" s="322">
        <f>($D141)*'GENERADO PS locales'!H301</f>
        <v>0</v>
      </c>
      <c r="I301" s="322">
        <f>($D141)*'GENERADO PS locales'!I301</f>
        <v>0</v>
      </c>
      <c r="J301" s="322">
        <f>($D141)*'GENERADO PS locales'!J301</f>
        <v>0</v>
      </c>
      <c r="K301" s="322">
        <f>($D141)*'GENERADO PS locales'!K301</f>
        <v>0</v>
      </c>
      <c r="L301" s="322">
        <f>($D141)*'GENERADO PS locales'!L301</f>
        <v>0</v>
      </c>
      <c r="M301" s="322">
        <f>($D141)*'GENERADO PS locales'!M301</f>
        <v>0</v>
      </c>
      <c r="N301" s="322">
        <f>($D141)*'GENERADO PS locales'!N301</f>
        <v>0</v>
      </c>
      <c r="O301" s="322">
        <f>($D141)*'GENERADO PS locales'!O301</f>
        <v>0</v>
      </c>
      <c r="P301" s="322">
        <f>($D141)*'GENERADO PS locales'!P301</f>
        <v>0</v>
      </c>
      <c r="Q301" s="322">
        <f>($D141)*'GENERADO PS locales'!Q301</f>
        <v>0</v>
      </c>
      <c r="R301" s="322">
        <f>($D141)*'GENERADO PS locales'!R301</f>
        <v>0</v>
      </c>
      <c r="S301" s="322">
        <f>($D141)*'GENERADO PS locales'!S301</f>
        <v>0</v>
      </c>
      <c r="T301" s="322">
        <f>($D141)*'GENERADO PS locales'!T301</f>
        <v>0</v>
      </c>
      <c r="U301" s="322">
        <f>($D141)*'GENERADO PS locales'!U301</f>
        <v>0</v>
      </c>
      <c r="V301" s="322">
        <f>($D141)*'GENERADO PS locales'!V301</f>
        <v>0</v>
      </c>
      <c r="W301" s="322">
        <f>($D141)*'GENERADO PS locales'!W301</f>
        <v>0</v>
      </c>
      <c r="X301" s="322">
        <f>($D141)*'GENERADO PS locales'!X301</f>
        <v>0</v>
      </c>
      <c r="Y301" s="322">
        <f>($D141)*'GENERADO PS locales'!Y301</f>
        <v>0</v>
      </c>
      <c r="Z301" s="322">
        <f>($D141)*'GENERADO PS locales'!Z301</f>
        <v>0</v>
      </c>
    </row>
    <row r="302" spans="1:26" ht="24.95" customHeight="1">
      <c r="A302" s="260" t="str">
        <f>+Pobl_adoptada!A142</f>
        <v>Carlos Tejedor</v>
      </c>
      <c r="B302" s="70">
        <f>+Pobl_adoptada!B142</f>
        <v>138</v>
      </c>
      <c r="C302" s="71" t="str">
        <f>+Pobl_adoptada!C142</f>
        <v>Tres Algarrobos</v>
      </c>
      <c r="D302" s="291"/>
      <c r="E302" s="278"/>
      <c r="F302" s="263"/>
      <c r="G302" s="322">
        <f>($D142)*'GENERADO PS locales'!G302</f>
        <v>0</v>
      </c>
      <c r="H302" s="322">
        <f>($D142)*'GENERADO PS locales'!H302</f>
        <v>0</v>
      </c>
      <c r="I302" s="322">
        <f>($D142)*'GENERADO PS locales'!I302</f>
        <v>0</v>
      </c>
      <c r="J302" s="322">
        <f>($D142)*'GENERADO PS locales'!J302</f>
        <v>0</v>
      </c>
      <c r="K302" s="322">
        <f>($D142)*'GENERADO PS locales'!K302</f>
        <v>0</v>
      </c>
      <c r="L302" s="322">
        <f>($D142)*'GENERADO PS locales'!L302</f>
        <v>0</v>
      </c>
      <c r="M302" s="322">
        <f>($D142)*'GENERADO PS locales'!M302</f>
        <v>0</v>
      </c>
      <c r="N302" s="322">
        <f>($D142)*'GENERADO PS locales'!N302</f>
        <v>0</v>
      </c>
      <c r="O302" s="322">
        <f>($D142)*'GENERADO PS locales'!O302</f>
        <v>0</v>
      </c>
      <c r="P302" s="322">
        <f>($D142)*'GENERADO PS locales'!P302</f>
        <v>0</v>
      </c>
      <c r="Q302" s="322">
        <f>($D142)*'GENERADO PS locales'!Q302</f>
        <v>0</v>
      </c>
      <c r="R302" s="322">
        <f>($D142)*'GENERADO PS locales'!R302</f>
        <v>0</v>
      </c>
      <c r="S302" s="322">
        <f>($D142)*'GENERADO PS locales'!S302</f>
        <v>0</v>
      </c>
      <c r="T302" s="322">
        <f>($D142)*'GENERADO PS locales'!T302</f>
        <v>0</v>
      </c>
      <c r="U302" s="322">
        <f>($D142)*'GENERADO PS locales'!U302</f>
        <v>0</v>
      </c>
      <c r="V302" s="322">
        <f>($D142)*'GENERADO PS locales'!V302</f>
        <v>0</v>
      </c>
      <c r="W302" s="322">
        <f>($D142)*'GENERADO PS locales'!W302</f>
        <v>0</v>
      </c>
      <c r="X302" s="322">
        <f>($D142)*'GENERADO PS locales'!X302</f>
        <v>0</v>
      </c>
      <c r="Y302" s="322">
        <f>($D142)*'GENERADO PS locales'!Y302</f>
        <v>0</v>
      </c>
      <c r="Z302" s="322">
        <f>($D142)*'GENERADO PS locales'!Z302</f>
        <v>0</v>
      </c>
    </row>
    <row r="303" spans="1:26" ht="24.95" customHeight="1">
      <c r="A303" s="260" t="str">
        <f>+Pobl_adoptada!A143</f>
        <v>Exaltación de la Cruz</v>
      </c>
      <c r="B303" s="70">
        <f>+Pobl_adoptada!B143</f>
        <v>139</v>
      </c>
      <c r="C303" s="71" t="str">
        <f>+Pobl_adoptada!C143</f>
        <v>Los Cardales</v>
      </c>
      <c r="D303" s="291"/>
      <c r="E303" s="278"/>
      <c r="F303" s="263"/>
      <c r="G303" s="322">
        <f>($D143)*'GENERADO PS locales'!G303</f>
        <v>0</v>
      </c>
      <c r="H303" s="322">
        <f>($D143)*'GENERADO PS locales'!H303</f>
        <v>0</v>
      </c>
      <c r="I303" s="322">
        <f>($D143)*'GENERADO PS locales'!I303</f>
        <v>0</v>
      </c>
      <c r="J303" s="322">
        <f>($D143)*'GENERADO PS locales'!J303</f>
        <v>0</v>
      </c>
      <c r="K303" s="322">
        <f>($D143)*'GENERADO PS locales'!K303</f>
        <v>0</v>
      </c>
      <c r="L303" s="322">
        <f>($D143)*'GENERADO PS locales'!L303</f>
        <v>0</v>
      </c>
      <c r="M303" s="322">
        <f>($D143)*'GENERADO PS locales'!M303</f>
        <v>0</v>
      </c>
      <c r="N303" s="322">
        <f>($D143)*'GENERADO PS locales'!N303</f>
        <v>0</v>
      </c>
      <c r="O303" s="322">
        <f>($D143)*'GENERADO PS locales'!O303</f>
        <v>0</v>
      </c>
      <c r="P303" s="322">
        <f>($D143)*'GENERADO PS locales'!P303</f>
        <v>0</v>
      </c>
      <c r="Q303" s="322">
        <f>($D143)*'GENERADO PS locales'!Q303</f>
        <v>0</v>
      </c>
      <c r="R303" s="322">
        <f>($D143)*'GENERADO PS locales'!R303</f>
        <v>0</v>
      </c>
      <c r="S303" s="322">
        <f>($D143)*'GENERADO PS locales'!S303</f>
        <v>0</v>
      </c>
      <c r="T303" s="322">
        <f>($D143)*'GENERADO PS locales'!T303</f>
        <v>0</v>
      </c>
      <c r="U303" s="322">
        <f>($D143)*'GENERADO PS locales'!U303</f>
        <v>0</v>
      </c>
      <c r="V303" s="322">
        <f>($D143)*'GENERADO PS locales'!V303</f>
        <v>0</v>
      </c>
      <c r="W303" s="322">
        <f>($D143)*'GENERADO PS locales'!W303</f>
        <v>0</v>
      </c>
      <c r="X303" s="322">
        <f>($D143)*'GENERADO PS locales'!X303</f>
        <v>0</v>
      </c>
      <c r="Y303" s="322">
        <f>($D143)*'GENERADO PS locales'!Y303</f>
        <v>0</v>
      </c>
      <c r="Z303" s="322">
        <f>($D143)*'GENERADO PS locales'!Z303</f>
        <v>0</v>
      </c>
    </row>
    <row r="304" spans="1:26" ht="24.95" customHeight="1">
      <c r="A304" s="260" t="str">
        <f>+Pobl_adoptada!A144</f>
        <v>Exaltación de la Cruz</v>
      </c>
      <c r="B304" s="70">
        <f>+Pobl_adoptada!B144</f>
        <v>140</v>
      </c>
      <c r="C304" s="71" t="str">
        <f>+Pobl_adoptada!C144</f>
        <v>Parada Robles - Pavón</v>
      </c>
      <c r="D304" s="291"/>
      <c r="E304" s="278"/>
      <c r="F304" s="263"/>
      <c r="G304" s="322">
        <f>($D144)*'GENERADO PS locales'!G304</f>
        <v>0</v>
      </c>
      <c r="H304" s="322">
        <f>($D144)*'GENERADO PS locales'!H304</f>
        <v>0</v>
      </c>
      <c r="I304" s="322">
        <f>($D144)*'GENERADO PS locales'!I304</f>
        <v>0</v>
      </c>
      <c r="J304" s="322">
        <f>($D144)*'GENERADO PS locales'!J304</f>
        <v>0</v>
      </c>
      <c r="K304" s="322">
        <f>($D144)*'GENERADO PS locales'!K304</f>
        <v>0</v>
      </c>
      <c r="L304" s="322">
        <f>($D144)*'GENERADO PS locales'!L304</f>
        <v>0</v>
      </c>
      <c r="M304" s="322">
        <f>($D144)*'GENERADO PS locales'!M304</f>
        <v>0</v>
      </c>
      <c r="N304" s="322">
        <f>($D144)*'GENERADO PS locales'!N304</f>
        <v>0</v>
      </c>
      <c r="O304" s="322">
        <f>($D144)*'GENERADO PS locales'!O304</f>
        <v>0</v>
      </c>
      <c r="P304" s="322">
        <f>($D144)*'GENERADO PS locales'!P304</f>
        <v>0</v>
      </c>
      <c r="Q304" s="322">
        <f>($D144)*'GENERADO PS locales'!Q304</f>
        <v>0</v>
      </c>
      <c r="R304" s="322">
        <f>($D144)*'GENERADO PS locales'!R304</f>
        <v>0</v>
      </c>
      <c r="S304" s="322">
        <f>($D144)*'GENERADO PS locales'!S304</f>
        <v>0</v>
      </c>
      <c r="T304" s="322">
        <f>($D144)*'GENERADO PS locales'!T304</f>
        <v>0</v>
      </c>
      <c r="U304" s="322">
        <f>($D144)*'GENERADO PS locales'!U304</f>
        <v>0</v>
      </c>
      <c r="V304" s="322">
        <f>($D144)*'GENERADO PS locales'!V304</f>
        <v>0</v>
      </c>
      <c r="W304" s="322">
        <f>($D144)*'GENERADO PS locales'!W304</f>
        <v>0</v>
      </c>
      <c r="X304" s="322">
        <f>($D144)*'GENERADO PS locales'!X304</f>
        <v>0</v>
      </c>
      <c r="Y304" s="322">
        <f>($D144)*'GENERADO PS locales'!Y304</f>
        <v>0</v>
      </c>
      <c r="Z304" s="322">
        <f>($D144)*'GENERADO PS locales'!Z304</f>
        <v>0</v>
      </c>
    </row>
    <row r="305" spans="1:26" ht="24.95" customHeight="1">
      <c r="A305" s="260" t="str">
        <f>+Pobl_adoptada!A145</f>
        <v>General Alvarado</v>
      </c>
      <c r="B305" s="70">
        <f>+Pobl_adoptada!B145</f>
        <v>141</v>
      </c>
      <c r="C305" s="71" t="str">
        <f>+Pobl_adoptada!C145</f>
        <v>Comandante Nicanor Otamendi</v>
      </c>
      <c r="D305" s="291"/>
      <c r="E305" s="278"/>
      <c r="F305" s="263"/>
      <c r="G305" s="322">
        <f>($D145)*'GENERADO PS locales'!G305</f>
        <v>0</v>
      </c>
      <c r="H305" s="322">
        <f>($D145)*'GENERADO PS locales'!H305</f>
        <v>0</v>
      </c>
      <c r="I305" s="322">
        <f>($D145)*'GENERADO PS locales'!I305</f>
        <v>0</v>
      </c>
      <c r="J305" s="322">
        <f>($D145)*'GENERADO PS locales'!J305</f>
        <v>0</v>
      </c>
      <c r="K305" s="322">
        <f>($D145)*'GENERADO PS locales'!K305</f>
        <v>0</v>
      </c>
      <c r="L305" s="322">
        <f>($D145)*'GENERADO PS locales'!L305</f>
        <v>0</v>
      </c>
      <c r="M305" s="322">
        <f>($D145)*'GENERADO PS locales'!M305</f>
        <v>0</v>
      </c>
      <c r="N305" s="322">
        <f>($D145)*'GENERADO PS locales'!N305</f>
        <v>0</v>
      </c>
      <c r="O305" s="322">
        <f>($D145)*'GENERADO PS locales'!O305</f>
        <v>0</v>
      </c>
      <c r="P305" s="322">
        <f>($D145)*'GENERADO PS locales'!P305</f>
        <v>0</v>
      </c>
      <c r="Q305" s="322">
        <f>($D145)*'GENERADO PS locales'!Q305</f>
        <v>0</v>
      </c>
      <c r="R305" s="322">
        <f>($D145)*'GENERADO PS locales'!R305</f>
        <v>0</v>
      </c>
      <c r="S305" s="322">
        <f>($D145)*'GENERADO PS locales'!S305</f>
        <v>0</v>
      </c>
      <c r="T305" s="322">
        <f>($D145)*'GENERADO PS locales'!T305</f>
        <v>0</v>
      </c>
      <c r="U305" s="322">
        <f>($D145)*'GENERADO PS locales'!U305</f>
        <v>0</v>
      </c>
      <c r="V305" s="322">
        <f>($D145)*'GENERADO PS locales'!V305</f>
        <v>0</v>
      </c>
      <c r="W305" s="322">
        <f>($D145)*'GENERADO PS locales'!W305</f>
        <v>0</v>
      </c>
      <c r="X305" s="322">
        <f>($D145)*'GENERADO PS locales'!X305</f>
        <v>0</v>
      </c>
      <c r="Y305" s="322">
        <f>($D145)*'GENERADO PS locales'!Y305</f>
        <v>0</v>
      </c>
      <c r="Z305" s="322">
        <f>($D145)*'GENERADO PS locales'!Z305</f>
        <v>0</v>
      </c>
    </row>
    <row r="306" spans="1:26" ht="24.95" customHeight="1">
      <c r="A306" s="260" t="str">
        <f>+Pobl_adoptada!A146</f>
        <v>General Arenales</v>
      </c>
      <c r="B306" s="70">
        <f>+Pobl_adoptada!B146</f>
        <v>142</v>
      </c>
      <c r="C306" s="71" t="str">
        <f>+Pobl_adoptada!C146</f>
        <v>Arribeños</v>
      </c>
      <c r="D306" s="291"/>
      <c r="E306" s="278"/>
      <c r="F306" s="263"/>
      <c r="G306" s="322">
        <f>($D146)*'GENERADO PS locales'!G306</f>
        <v>0</v>
      </c>
      <c r="H306" s="322">
        <f>($D146)*'GENERADO PS locales'!H306</f>
        <v>0</v>
      </c>
      <c r="I306" s="322">
        <f>($D146)*'GENERADO PS locales'!I306</f>
        <v>0</v>
      </c>
      <c r="J306" s="322">
        <f>($D146)*'GENERADO PS locales'!J306</f>
        <v>0</v>
      </c>
      <c r="K306" s="322">
        <f>($D146)*'GENERADO PS locales'!K306</f>
        <v>0</v>
      </c>
      <c r="L306" s="322">
        <f>($D146)*'GENERADO PS locales'!L306</f>
        <v>0</v>
      </c>
      <c r="M306" s="322">
        <f>($D146)*'GENERADO PS locales'!M306</f>
        <v>0</v>
      </c>
      <c r="N306" s="322">
        <f>($D146)*'GENERADO PS locales'!N306</f>
        <v>0</v>
      </c>
      <c r="O306" s="322">
        <f>($D146)*'GENERADO PS locales'!O306</f>
        <v>0</v>
      </c>
      <c r="P306" s="322">
        <f>($D146)*'GENERADO PS locales'!P306</f>
        <v>0</v>
      </c>
      <c r="Q306" s="322">
        <f>($D146)*'GENERADO PS locales'!Q306</f>
        <v>0</v>
      </c>
      <c r="R306" s="322">
        <f>($D146)*'GENERADO PS locales'!R306</f>
        <v>0</v>
      </c>
      <c r="S306" s="322">
        <f>($D146)*'GENERADO PS locales'!S306</f>
        <v>0</v>
      </c>
      <c r="T306" s="322">
        <f>($D146)*'GENERADO PS locales'!T306</f>
        <v>0</v>
      </c>
      <c r="U306" s="322">
        <f>($D146)*'GENERADO PS locales'!U306</f>
        <v>0</v>
      </c>
      <c r="V306" s="322">
        <f>($D146)*'GENERADO PS locales'!V306</f>
        <v>0</v>
      </c>
      <c r="W306" s="322">
        <f>($D146)*'GENERADO PS locales'!W306</f>
        <v>0</v>
      </c>
      <c r="X306" s="322">
        <f>($D146)*'GENERADO PS locales'!X306</f>
        <v>0</v>
      </c>
      <c r="Y306" s="322">
        <f>($D146)*'GENERADO PS locales'!Y306</f>
        <v>0</v>
      </c>
      <c r="Z306" s="322">
        <f>($D146)*'GENERADO PS locales'!Z306</f>
        <v>0</v>
      </c>
    </row>
    <row r="307" spans="1:26" ht="24.95" customHeight="1">
      <c r="A307" s="260" t="str">
        <f>+Pobl_adoptada!A147</f>
        <v>General Arenales</v>
      </c>
      <c r="B307" s="70">
        <f>+Pobl_adoptada!B147</f>
        <v>143</v>
      </c>
      <c r="C307" s="71" t="str">
        <f>+Pobl_adoptada!C147</f>
        <v>Ascensión</v>
      </c>
      <c r="D307" s="291"/>
      <c r="E307" s="278"/>
      <c r="F307" s="263"/>
      <c r="G307" s="322">
        <f>($D147)*'GENERADO PS locales'!G307</f>
        <v>0</v>
      </c>
      <c r="H307" s="322">
        <f>($D147)*'GENERADO PS locales'!H307</f>
        <v>0</v>
      </c>
      <c r="I307" s="322">
        <f>($D147)*'GENERADO PS locales'!I307</f>
        <v>0</v>
      </c>
      <c r="J307" s="322">
        <f>($D147)*'GENERADO PS locales'!J307</f>
        <v>0</v>
      </c>
      <c r="K307" s="322">
        <f>($D147)*'GENERADO PS locales'!K307</f>
        <v>0</v>
      </c>
      <c r="L307" s="322">
        <f>($D147)*'GENERADO PS locales'!L307</f>
        <v>0</v>
      </c>
      <c r="M307" s="322">
        <f>($D147)*'GENERADO PS locales'!M307</f>
        <v>0</v>
      </c>
      <c r="N307" s="322">
        <f>($D147)*'GENERADO PS locales'!N307</f>
        <v>0</v>
      </c>
      <c r="O307" s="322">
        <f>($D147)*'GENERADO PS locales'!O307</f>
        <v>0</v>
      </c>
      <c r="P307" s="322">
        <f>($D147)*'GENERADO PS locales'!P307</f>
        <v>0</v>
      </c>
      <c r="Q307" s="322">
        <f>($D147)*'GENERADO PS locales'!Q307</f>
        <v>0</v>
      </c>
      <c r="R307" s="322">
        <f>($D147)*'GENERADO PS locales'!R307</f>
        <v>0</v>
      </c>
      <c r="S307" s="322">
        <f>($D147)*'GENERADO PS locales'!S307</f>
        <v>0</v>
      </c>
      <c r="T307" s="322">
        <f>($D147)*'GENERADO PS locales'!T307</f>
        <v>0</v>
      </c>
      <c r="U307" s="322">
        <f>($D147)*'GENERADO PS locales'!U307</f>
        <v>0</v>
      </c>
      <c r="V307" s="322">
        <f>($D147)*'GENERADO PS locales'!V307</f>
        <v>0</v>
      </c>
      <c r="W307" s="322">
        <f>($D147)*'GENERADO PS locales'!W307</f>
        <v>0</v>
      </c>
      <c r="X307" s="322">
        <f>($D147)*'GENERADO PS locales'!X307</f>
        <v>0</v>
      </c>
      <c r="Y307" s="322">
        <f>($D147)*'GENERADO PS locales'!Y307</f>
        <v>0</v>
      </c>
      <c r="Z307" s="322">
        <f>($D147)*'GENERADO PS locales'!Z307</f>
        <v>0</v>
      </c>
    </row>
    <row r="308" spans="1:26" ht="24.95" customHeight="1">
      <c r="A308" s="260" t="str">
        <f>+Pobl_adoptada!A148</f>
        <v>General Guido</v>
      </c>
      <c r="B308" s="70">
        <f>+Pobl_adoptada!B148</f>
        <v>144</v>
      </c>
      <c r="C308" s="71" t="str">
        <f>+Pobl_adoptada!C148</f>
        <v>Labarden</v>
      </c>
      <c r="D308" s="291"/>
      <c r="E308" s="278"/>
      <c r="F308" s="263"/>
      <c r="G308" s="322">
        <f>($D148)*'GENERADO PS locales'!G308</f>
        <v>0</v>
      </c>
      <c r="H308" s="322">
        <f>($D148)*'GENERADO PS locales'!H308</f>
        <v>0</v>
      </c>
      <c r="I308" s="322">
        <f>($D148)*'GENERADO PS locales'!I308</f>
        <v>0</v>
      </c>
      <c r="J308" s="322">
        <f>($D148)*'GENERADO PS locales'!J308</f>
        <v>0</v>
      </c>
      <c r="K308" s="322">
        <f>($D148)*'GENERADO PS locales'!K308</f>
        <v>0</v>
      </c>
      <c r="L308" s="322">
        <f>($D148)*'GENERADO PS locales'!L308</f>
        <v>0</v>
      </c>
      <c r="M308" s="322">
        <f>($D148)*'GENERADO PS locales'!M308</f>
        <v>0</v>
      </c>
      <c r="N308" s="322">
        <f>($D148)*'GENERADO PS locales'!N308</f>
        <v>0</v>
      </c>
      <c r="O308" s="322">
        <f>($D148)*'GENERADO PS locales'!O308</f>
        <v>0</v>
      </c>
      <c r="P308" s="322">
        <f>($D148)*'GENERADO PS locales'!P308</f>
        <v>0</v>
      </c>
      <c r="Q308" s="322">
        <f>($D148)*'GENERADO PS locales'!Q308</f>
        <v>0</v>
      </c>
      <c r="R308" s="322">
        <f>($D148)*'GENERADO PS locales'!R308</f>
        <v>0</v>
      </c>
      <c r="S308" s="322">
        <f>($D148)*'GENERADO PS locales'!S308</f>
        <v>0</v>
      </c>
      <c r="T308" s="322">
        <f>($D148)*'GENERADO PS locales'!T308</f>
        <v>0</v>
      </c>
      <c r="U308" s="322">
        <f>($D148)*'GENERADO PS locales'!U308</f>
        <v>0</v>
      </c>
      <c r="V308" s="322">
        <f>($D148)*'GENERADO PS locales'!V308</f>
        <v>0</v>
      </c>
      <c r="W308" s="322">
        <f>($D148)*'GENERADO PS locales'!W308</f>
        <v>0</v>
      </c>
      <c r="X308" s="322">
        <f>($D148)*'GENERADO PS locales'!X308</f>
        <v>0</v>
      </c>
      <c r="Y308" s="322">
        <f>($D148)*'GENERADO PS locales'!Y308</f>
        <v>0</v>
      </c>
      <c r="Z308" s="322">
        <f>($D148)*'GENERADO PS locales'!Z308</f>
        <v>0</v>
      </c>
    </row>
    <row r="309" spans="1:26" ht="24.95" customHeight="1">
      <c r="A309" s="260" t="str">
        <f>+Pobl_adoptada!A149</f>
        <v>General Lavalle</v>
      </c>
      <c r="B309" s="70">
        <f>+Pobl_adoptada!B149</f>
        <v>145</v>
      </c>
      <c r="C309" s="71" t="str">
        <f>+Pobl_adoptada!C149</f>
        <v>Pavón</v>
      </c>
      <c r="D309" s="291"/>
      <c r="E309" s="278"/>
      <c r="F309" s="263"/>
      <c r="G309" s="322">
        <f>($D149)*'GENERADO PS locales'!G309</f>
        <v>0</v>
      </c>
      <c r="H309" s="322">
        <f>($D149)*'GENERADO PS locales'!H309</f>
        <v>0</v>
      </c>
      <c r="I309" s="322">
        <f>($D149)*'GENERADO PS locales'!I309</f>
        <v>0</v>
      </c>
      <c r="J309" s="322">
        <f>($D149)*'GENERADO PS locales'!J309</f>
        <v>0</v>
      </c>
      <c r="K309" s="322">
        <f>($D149)*'GENERADO PS locales'!K309</f>
        <v>0</v>
      </c>
      <c r="L309" s="322">
        <f>($D149)*'GENERADO PS locales'!L309</f>
        <v>0</v>
      </c>
      <c r="M309" s="322">
        <f>($D149)*'GENERADO PS locales'!M309</f>
        <v>0</v>
      </c>
      <c r="N309" s="322">
        <f>($D149)*'GENERADO PS locales'!N309</f>
        <v>0</v>
      </c>
      <c r="O309" s="322">
        <f>($D149)*'GENERADO PS locales'!O309</f>
        <v>0</v>
      </c>
      <c r="P309" s="322">
        <f>($D149)*'GENERADO PS locales'!P309</f>
        <v>0</v>
      </c>
      <c r="Q309" s="322">
        <f>($D149)*'GENERADO PS locales'!Q309</f>
        <v>0</v>
      </c>
      <c r="R309" s="322">
        <f>($D149)*'GENERADO PS locales'!R309</f>
        <v>0</v>
      </c>
      <c r="S309" s="322">
        <f>($D149)*'GENERADO PS locales'!S309</f>
        <v>0</v>
      </c>
      <c r="T309" s="322">
        <f>($D149)*'GENERADO PS locales'!T309</f>
        <v>0</v>
      </c>
      <c r="U309" s="322">
        <f>($D149)*'GENERADO PS locales'!U309</f>
        <v>0</v>
      </c>
      <c r="V309" s="322">
        <f>($D149)*'GENERADO PS locales'!V309</f>
        <v>0</v>
      </c>
      <c r="W309" s="322">
        <f>($D149)*'GENERADO PS locales'!W309</f>
        <v>0</v>
      </c>
      <c r="X309" s="322">
        <f>($D149)*'GENERADO PS locales'!X309</f>
        <v>0</v>
      </c>
      <c r="Y309" s="322">
        <f>($D149)*'GENERADO PS locales'!Y309</f>
        <v>0</v>
      </c>
      <c r="Z309" s="322">
        <f>($D149)*'GENERADO PS locales'!Z309</f>
        <v>0</v>
      </c>
    </row>
    <row r="310" spans="1:26" ht="24.95" customHeight="1">
      <c r="A310" s="260" t="str">
        <f>+Pobl_adoptada!A150</f>
        <v>Guaminí</v>
      </c>
      <c r="B310" s="70">
        <f>+Pobl_adoptada!B150</f>
        <v>146</v>
      </c>
      <c r="C310" s="71" t="str">
        <f>+Pobl_adoptada!C150</f>
        <v>Casbas</v>
      </c>
      <c r="D310" s="291"/>
      <c r="E310" s="278"/>
      <c r="F310" s="263"/>
      <c r="G310" s="322">
        <f>($D150)*'GENERADO PS locales'!G310</f>
        <v>0</v>
      </c>
      <c r="H310" s="322">
        <f>($D150)*'GENERADO PS locales'!H310</f>
        <v>0</v>
      </c>
      <c r="I310" s="322">
        <f>($D150)*'GENERADO PS locales'!I310</f>
        <v>0</v>
      </c>
      <c r="J310" s="322">
        <f>($D150)*'GENERADO PS locales'!J310</f>
        <v>0</v>
      </c>
      <c r="K310" s="322">
        <f>($D150)*'GENERADO PS locales'!K310</f>
        <v>0</v>
      </c>
      <c r="L310" s="322">
        <f>($D150)*'GENERADO PS locales'!L310</f>
        <v>0</v>
      </c>
      <c r="M310" s="322">
        <f>($D150)*'GENERADO PS locales'!M310</f>
        <v>0</v>
      </c>
      <c r="N310" s="322">
        <f>($D150)*'GENERADO PS locales'!N310</f>
        <v>0</v>
      </c>
      <c r="O310" s="322">
        <f>($D150)*'GENERADO PS locales'!O310</f>
        <v>0</v>
      </c>
      <c r="P310" s="322">
        <f>($D150)*'GENERADO PS locales'!P310</f>
        <v>0</v>
      </c>
      <c r="Q310" s="322">
        <f>($D150)*'GENERADO PS locales'!Q310</f>
        <v>0</v>
      </c>
      <c r="R310" s="322">
        <f>($D150)*'GENERADO PS locales'!R310</f>
        <v>0</v>
      </c>
      <c r="S310" s="322">
        <f>($D150)*'GENERADO PS locales'!S310</f>
        <v>0</v>
      </c>
      <c r="T310" s="322">
        <f>($D150)*'GENERADO PS locales'!T310</f>
        <v>0</v>
      </c>
      <c r="U310" s="322">
        <f>($D150)*'GENERADO PS locales'!U310</f>
        <v>0</v>
      </c>
      <c r="V310" s="322">
        <f>($D150)*'GENERADO PS locales'!V310</f>
        <v>0</v>
      </c>
      <c r="W310" s="322">
        <f>($D150)*'GENERADO PS locales'!W310</f>
        <v>0</v>
      </c>
      <c r="X310" s="322">
        <f>($D150)*'GENERADO PS locales'!X310</f>
        <v>0</v>
      </c>
      <c r="Y310" s="322">
        <f>($D150)*'GENERADO PS locales'!Y310</f>
        <v>0</v>
      </c>
      <c r="Z310" s="322">
        <f>($D150)*'GENERADO PS locales'!Z310</f>
        <v>0</v>
      </c>
    </row>
    <row r="311" spans="1:26" ht="24.95" customHeight="1">
      <c r="A311" s="260" t="str">
        <f>+Pobl_adoptada!A151</f>
        <v>La Costa</v>
      </c>
      <c r="B311" s="70">
        <f>+Pobl_adoptada!B151</f>
        <v>147</v>
      </c>
      <c r="C311" s="71" t="str">
        <f>+Pobl_adoptada!C151</f>
        <v>San Clemente del Tuyú</v>
      </c>
      <c r="D311" s="291"/>
      <c r="E311" s="278"/>
      <c r="F311" s="263"/>
      <c r="G311" s="322">
        <f>($D151)*'GENERADO PS locales'!G311</f>
        <v>0</v>
      </c>
      <c r="H311" s="322">
        <f>($D151)*'GENERADO PS locales'!H311</f>
        <v>0</v>
      </c>
      <c r="I311" s="322">
        <f>($D151)*'GENERADO PS locales'!I311</f>
        <v>0</v>
      </c>
      <c r="J311" s="322">
        <f>($D151)*'GENERADO PS locales'!J311</f>
        <v>0</v>
      </c>
      <c r="K311" s="322">
        <f>($D151)*'GENERADO PS locales'!K311</f>
        <v>0</v>
      </c>
      <c r="L311" s="322">
        <f>($D151)*'GENERADO PS locales'!L311</f>
        <v>0</v>
      </c>
      <c r="M311" s="322">
        <f>($D151)*'GENERADO PS locales'!M311</f>
        <v>0</v>
      </c>
      <c r="N311" s="322">
        <f>($D151)*'GENERADO PS locales'!N311</f>
        <v>0</v>
      </c>
      <c r="O311" s="322">
        <f>($D151)*'GENERADO PS locales'!O311</f>
        <v>0</v>
      </c>
      <c r="P311" s="322">
        <f>($D151)*'GENERADO PS locales'!P311</f>
        <v>0</v>
      </c>
      <c r="Q311" s="322">
        <f>($D151)*'GENERADO PS locales'!Q311</f>
        <v>0</v>
      </c>
      <c r="R311" s="322">
        <f>($D151)*'GENERADO PS locales'!R311</f>
        <v>0</v>
      </c>
      <c r="S311" s="322">
        <f>($D151)*'GENERADO PS locales'!S311</f>
        <v>0</v>
      </c>
      <c r="T311" s="322">
        <f>($D151)*'GENERADO PS locales'!T311</f>
        <v>0</v>
      </c>
      <c r="U311" s="322">
        <f>($D151)*'GENERADO PS locales'!U311</f>
        <v>0</v>
      </c>
      <c r="V311" s="322">
        <f>($D151)*'GENERADO PS locales'!V311</f>
        <v>0</v>
      </c>
      <c r="W311" s="322">
        <f>($D151)*'GENERADO PS locales'!W311</f>
        <v>0</v>
      </c>
      <c r="X311" s="322">
        <f>($D151)*'GENERADO PS locales'!X311</f>
        <v>0</v>
      </c>
      <c r="Y311" s="322">
        <f>($D151)*'GENERADO PS locales'!Y311</f>
        <v>0</v>
      </c>
      <c r="Z311" s="322">
        <f>($D151)*'GENERADO PS locales'!Z311</f>
        <v>0</v>
      </c>
    </row>
    <row r="312" spans="1:26" ht="24.95" customHeight="1">
      <c r="A312" s="260" t="str">
        <f>+Pobl_adoptada!A152</f>
        <v>Leandro N. Alem</v>
      </c>
      <c r="B312" s="70">
        <f>+Pobl_adoptada!B152</f>
        <v>148</v>
      </c>
      <c r="C312" s="71" t="str">
        <f>+Pobl_adoptada!C152</f>
        <v>Juan Bautista Alberdi</v>
      </c>
      <c r="D312" s="291"/>
      <c r="E312" s="278"/>
      <c r="F312" s="263"/>
      <c r="G312" s="322">
        <f>($D152)*'GENERADO PS locales'!G312</f>
        <v>0</v>
      </c>
      <c r="H312" s="322">
        <f>($D152)*'GENERADO PS locales'!H312</f>
        <v>0</v>
      </c>
      <c r="I312" s="322">
        <f>($D152)*'GENERADO PS locales'!I312</f>
        <v>0</v>
      </c>
      <c r="J312" s="322">
        <f>($D152)*'GENERADO PS locales'!J312</f>
        <v>0</v>
      </c>
      <c r="K312" s="322">
        <f>($D152)*'GENERADO PS locales'!K312</f>
        <v>0</v>
      </c>
      <c r="L312" s="322">
        <f>($D152)*'GENERADO PS locales'!L312</f>
        <v>0</v>
      </c>
      <c r="M312" s="322">
        <f>($D152)*'GENERADO PS locales'!M312</f>
        <v>0</v>
      </c>
      <c r="N312" s="322">
        <f>($D152)*'GENERADO PS locales'!N312</f>
        <v>0</v>
      </c>
      <c r="O312" s="322">
        <f>($D152)*'GENERADO PS locales'!O312</f>
        <v>0</v>
      </c>
      <c r="P312" s="322">
        <f>($D152)*'GENERADO PS locales'!P312</f>
        <v>0</v>
      </c>
      <c r="Q312" s="322">
        <f>($D152)*'GENERADO PS locales'!Q312</f>
        <v>0</v>
      </c>
      <c r="R312" s="322">
        <f>($D152)*'GENERADO PS locales'!R312</f>
        <v>0</v>
      </c>
      <c r="S312" s="322">
        <f>($D152)*'GENERADO PS locales'!S312</f>
        <v>0</v>
      </c>
      <c r="T312" s="322">
        <f>($D152)*'GENERADO PS locales'!T312</f>
        <v>0</v>
      </c>
      <c r="U312" s="322">
        <f>($D152)*'GENERADO PS locales'!U312</f>
        <v>0</v>
      </c>
      <c r="V312" s="322">
        <f>($D152)*'GENERADO PS locales'!V312</f>
        <v>0</v>
      </c>
      <c r="W312" s="322">
        <f>($D152)*'GENERADO PS locales'!W312</f>
        <v>0</v>
      </c>
      <c r="X312" s="322">
        <f>($D152)*'GENERADO PS locales'!X312</f>
        <v>0</v>
      </c>
      <c r="Y312" s="322">
        <f>($D152)*'GENERADO PS locales'!Y312</f>
        <v>0</v>
      </c>
      <c r="Z312" s="322">
        <f>($D152)*'GENERADO PS locales'!Z312</f>
        <v>0</v>
      </c>
    </row>
    <row r="313" spans="1:26" ht="24.95" customHeight="1">
      <c r="A313" s="260" t="str">
        <f>+Pobl_adoptada!A153</f>
        <v>Mar Chiquita</v>
      </c>
      <c r="B313" s="70">
        <f>+Pobl_adoptada!B153</f>
        <v>149</v>
      </c>
      <c r="C313" s="71" t="str">
        <f>+Pobl_adoptada!C153</f>
        <v>Santa Clara del Mar</v>
      </c>
      <c r="D313" s="291"/>
      <c r="E313" s="278"/>
      <c r="F313" s="263"/>
      <c r="G313" s="322">
        <f>($D153)*'GENERADO PS locales'!G313</f>
        <v>0</v>
      </c>
      <c r="H313" s="322">
        <f>($D153)*'GENERADO PS locales'!H313</f>
        <v>0</v>
      </c>
      <c r="I313" s="322">
        <f>($D153)*'GENERADO PS locales'!I313</f>
        <v>0</v>
      </c>
      <c r="J313" s="322">
        <f>($D153)*'GENERADO PS locales'!J313</f>
        <v>0</v>
      </c>
      <c r="K313" s="322">
        <f>($D153)*'GENERADO PS locales'!K313</f>
        <v>0</v>
      </c>
      <c r="L313" s="322">
        <f>($D153)*'GENERADO PS locales'!L313</f>
        <v>0</v>
      </c>
      <c r="M313" s="322">
        <f>($D153)*'GENERADO PS locales'!M313</f>
        <v>0</v>
      </c>
      <c r="N313" s="322">
        <f>($D153)*'GENERADO PS locales'!N313</f>
        <v>0</v>
      </c>
      <c r="O313" s="322">
        <f>($D153)*'GENERADO PS locales'!O313</f>
        <v>0</v>
      </c>
      <c r="P313" s="322">
        <f>($D153)*'GENERADO PS locales'!P313</f>
        <v>0</v>
      </c>
      <c r="Q313" s="322">
        <f>($D153)*'GENERADO PS locales'!Q313</f>
        <v>0</v>
      </c>
      <c r="R313" s="322">
        <f>($D153)*'GENERADO PS locales'!R313</f>
        <v>0</v>
      </c>
      <c r="S313" s="322">
        <f>($D153)*'GENERADO PS locales'!S313</f>
        <v>0</v>
      </c>
      <c r="T313" s="322">
        <f>($D153)*'GENERADO PS locales'!T313</f>
        <v>0</v>
      </c>
      <c r="U313" s="322">
        <f>($D153)*'GENERADO PS locales'!U313</f>
        <v>0</v>
      </c>
      <c r="V313" s="322">
        <f>($D153)*'GENERADO PS locales'!V313</f>
        <v>0</v>
      </c>
      <c r="W313" s="322">
        <f>($D153)*'GENERADO PS locales'!W313</f>
        <v>0</v>
      </c>
      <c r="X313" s="322">
        <f>($D153)*'GENERADO PS locales'!X313</f>
        <v>0</v>
      </c>
      <c r="Y313" s="322">
        <f>($D153)*'GENERADO PS locales'!Y313</f>
        <v>0</v>
      </c>
      <c r="Z313" s="322">
        <f>($D153)*'GENERADO PS locales'!Z313</f>
        <v>0</v>
      </c>
    </row>
    <row r="314" spans="1:26" ht="24.95" customHeight="1">
      <c r="A314" s="260" t="str">
        <f>+Pobl_adoptada!A154</f>
        <v>Puán</v>
      </c>
      <c r="B314" s="70">
        <f>+Pobl_adoptada!B154</f>
        <v>150</v>
      </c>
      <c r="C314" s="71" t="str">
        <f>+Pobl_adoptada!C154</f>
        <v>Darregueira</v>
      </c>
      <c r="D314" s="291"/>
      <c r="E314" s="278"/>
      <c r="F314" s="263"/>
      <c r="G314" s="322">
        <f>($D154)*'GENERADO PS locales'!G314</f>
        <v>0</v>
      </c>
      <c r="H314" s="322">
        <f>($D154)*'GENERADO PS locales'!H314</f>
        <v>0</v>
      </c>
      <c r="I314" s="322">
        <f>($D154)*'GENERADO PS locales'!I314</f>
        <v>0</v>
      </c>
      <c r="J314" s="322">
        <f>($D154)*'GENERADO PS locales'!J314</f>
        <v>0</v>
      </c>
      <c r="K314" s="322">
        <f>($D154)*'GENERADO PS locales'!K314</f>
        <v>0</v>
      </c>
      <c r="L314" s="322">
        <f>($D154)*'GENERADO PS locales'!L314</f>
        <v>0</v>
      </c>
      <c r="M314" s="322">
        <f>($D154)*'GENERADO PS locales'!M314</f>
        <v>0</v>
      </c>
      <c r="N314" s="322">
        <f>($D154)*'GENERADO PS locales'!N314</f>
        <v>0</v>
      </c>
      <c r="O314" s="322">
        <f>($D154)*'GENERADO PS locales'!O314</f>
        <v>0</v>
      </c>
      <c r="P314" s="322">
        <f>($D154)*'GENERADO PS locales'!P314</f>
        <v>0</v>
      </c>
      <c r="Q314" s="322">
        <f>($D154)*'GENERADO PS locales'!Q314</f>
        <v>0</v>
      </c>
      <c r="R314" s="322">
        <f>($D154)*'GENERADO PS locales'!R314</f>
        <v>0</v>
      </c>
      <c r="S314" s="322">
        <f>($D154)*'GENERADO PS locales'!S314</f>
        <v>0</v>
      </c>
      <c r="T314" s="322">
        <f>($D154)*'GENERADO PS locales'!T314</f>
        <v>0</v>
      </c>
      <c r="U314" s="322">
        <f>($D154)*'GENERADO PS locales'!U314</f>
        <v>0</v>
      </c>
      <c r="V314" s="322">
        <f>($D154)*'GENERADO PS locales'!V314</f>
        <v>0</v>
      </c>
      <c r="W314" s="322">
        <f>($D154)*'GENERADO PS locales'!W314</f>
        <v>0</v>
      </c>
      <c r="X314" s="322">
        <f>($D154)*'GENERADO PS locales'!X314</f>
        <v>0</v>
      </c>
      <c r="Y314" s="322">
        <f>($D154)*'GENERADO PS locales'!Y314</f>
        <v>0</v>
      </c>
      <c r="Z314" s="322">
        <f>($D154)*'GENERADO PS locales'!Z314</f>
        <v>0</v>
      </c>
    </row>
    <row r="315" spans="1:26" ht="24.95" customHeight="1">
      <c r="A315" s="260" t="str">
        <f>+Pobl_adoptada!A155</f>
        <v>Ramallo</v>
      </c>
      <c r="B315" s="70">
        <f>+Pobl_adoptada!B155</f>
        <v>151</v>
      </c>
      <c r="C315" s="71" t="str">
        <f>+Pobl_adoptada!C155</f>
        <v>Villa Ramallo</v>
      </c>
      <c r="D315" s="291"/>
      <c r="E315" s="278"/>
      <c r="F315" s="263"/>
      <c r="G315" s="322">
        <f>($D155)*'GENERADO PS locales'!G315</f>
        <v>0</v>
      </c>
      <c r="H315" s="322">
        <f>($D155)*'GENERADO PS locales'!H315</f>
        <v>0</v>
      </c>
      <c r="I315" s="322">
        <f>($D155)*'GENERADO PS locales'!I315</f>
        <v>0</v>
      </c>
      <c r="J315" s="322">
        <f>($D155)*'GENERADO PS locales'!J315</f>
        <v>0</v>
      </c>
      <c r="K315" s="322">
        <f>($D155)*'GENERADO PS locales'!K315</f>
        <v>0</v>
      </c>
      <c r="L315" s="322">
        <f>($D155)*'GENERADO PS locales'!L315</f>
        <v>0</v>
      </c>
      <c r="M315" s="322">
        <f>($D155)*'GENERADO PS locales'!M315</f>
        <v>0</v>
      </c>
      <c r="N315" s="322">
        <f>($D155)*'GENERADO PS locales'!N315</f>
        <v>0</v>
      </c>
      <c r="O315" s="322">
        <f>($D155)*'GENERADO PS locales'!O315</f>
        <v>0</v>
      </c>
      <c r="P315" s="322">
        <f>($D155)*'GENERADO PS locales'!P315</f>
        <v>0</v>
      </c>
      <c r="Q315" s="322">
        <f>($D155)*'GENERADO PS locales'!Q315</f>
        <v>0</v>
      </c>
      <c r="R315" s="322">
        <f>($D155)*'GENERADO PS locales'!R315</f>
        <v>0</v>
      </c>
      <c r="S315" s="322">
        <f>($D155)*'GENERADO PS locales'!S315</f>
        <v>0</v>
      </c>
      <c r="T315" s="322">
        <f>($D155)*'GENERADO PS locales'!T315</f>
        <v>0</v>
      </c>
      <c r="U315" s="322">
        <f>($D155)*'GENERADO PS locales'!U315</f>
        <v>0</v>
      </c>
      <c r="V315" s="322">
        <f>($D155)*'GENERADO PS locales'!V315</f>
        <v>0</v>
      </c>
      <c r="W315" s="322">
        <f>($D155)*'GENERADO PS locales'!W315</f>
        <v>0</v>
      </c>
      <c r="X315" s="322">
        <f>($D155)*'GENERADO PS locales'!X315</f>
        <v>0</v>
      </c>
      <c r="Y315" s="322">
        <f>($D155)*'GENERADO PS locales'!Y315</f>
        <v>0</v>
      </c>
      <c r="Z315" s="322">
        <f>($D155)*'GENERADO PS locales'!Z315</f>
        <v>0</v>
      </c>
    </row>
    <row r="316" spans="1:26" ht="24.95" customHeight="1">
      <c r="A316" s="260" t="str">
        <f>+Pobl_adoptada!A156</f>
        <v>Tornquist</v>
      </c>
      <c r="B316" s="70">
        <f>+Pobl_adoptada!B156</f>
        <v>152</v>
      </c>
      <c r="C316" s="71" t="str">
        <f>+Pobl_adoptada!C156</f>
        <v>Sierra de la Ventana</v>
      </c>
      <c r="D316" s="291"/>
      <c r="E316" s="278"/>
      <c r="F316" s="263"/>
      <c r="G316" s="322">
        <f>($D156)*'GENERADO PS locales'!G316</f>
        <v>0</v>
      </c>
      <c r="H316" s="322">
        <f>($D156)*'GENERADO PS locales'!H316</f>
        <v>0</v>
      </c>
      <c r="I316" s="322">
        <f>($D156)*'GENERADO PS locales'!I316</f>
        <v>0</v>
      </c>
      <c r="J316" s="322">
        <f>($D156)*'GENERADO PS locales'!J316</f>
        <v>0</v>
      </c>
      <c r="K316" s="322">
        <f>($D156)*'GENERADO PS locales'!K316</f>
        <v>0</v>
      </c>
      <c r="L316" s="322">
        <f>($D156)*'GENERADO PS locales'!L316</f>
        <v>0</v>
      </c>
      <c r="M316" s="322">
        <f>($D156)*'GENERADO PS locales'!M316</f>
        <v>0</v>
      </c>
      <c r="N316" s="322">
        <f>($D156)*'GENERADO PS locales'!N316</f>
        <v>0</v>
      </c>
      <c r="O316" s="322">
        <f>($D156)*'GENERADO PS locales'!O316</f>
        <v>0</v>
      </c>
      <c r="P316" s="322">
        <f>($D156)*'GENERADO PS locales'!P316</f>
        <v>0</v>
      </c>
      <c r="Q316" s="322">
        <f>($D156)*'GENERADO PS locales'!Q316</f>
        <v>0</v>
      </c>
      <c r="R316" s="322">
        <f>($D156)*'GENERADO PS locales'!R316</f>
        <v>0</v>
      </c>
      <c r="S316" s="322">
        <f>($D156)*'GENERADO PS locales'!S316</f>
        <v>0</v>
      </c>
      <c r="T316" s="322">
        <f>($D156)*'GENERADO PS locales'!T316</f>
        <v>0</v>
      </c>
      <c r="U316" s="322">
        <f>($D156)*'GENERADO PS locales'!U316</f>
        <v>0</v>
      </c>
      <c r="V316" s="322">
        <f>($D156)*'GENERADO PS locales'!V316</f>
        <v>0</v>
      </c>
      <c r="W316" s="322">
        <f>($D156)*'GENERADO PS locales'!W316</f>
        <v>0</v>
      </c>
      <c r="X316" s="322">
        <f>($D156)*'GENERADO PS locales'!X316</f>
        <v>0</v>
      </c>
      <c r="Y316" s="322">
        <f>($D156)*'GENERADO PS locales'!Y316</f>
        <v>0</v>
      </c>
      <c r="Z316" s="322">
        <f>($D156)*'GENERADO PS locales'!Z316</f>
        <v>0</v>
      </c>
    </row>
    <row r="317" spans="1:26" ht="24.95" customHeight="1">
      <c r="A317" s="260" t="str">
        <f>+Pobl_adoptada!A157</f>
        <v>Villarino</v>
      </c>
      <c r="B317" s="70">
        <f>+Pobl_adoptada!B157</f>
        <v>153</v>
      </c>
      <c r="C317" s="71" t="str">
        <f>+Pobl_adoptada!C157</f>
        <v>Mayor Buratovich</v>
      </c>
      <c r="D317" s="291"/>
      <c r="E317" s="278"/>
      <c r="F317" s="263"/>
      <c r="G317" s="322">
        <f>($D157)*'GENERADO PS locales'!G317</f>
        <v>0</v>
      </c>
      <c r="H317" s="322">
        <f>($D157)*'GENERADO PS locales'!H317</f>
        <v>0</v>
      </c>
      <c r="I317" s="322">
        <f>($D157)*'GENERADO PS locales'!I317</f>
        <v>0</v>
      </c>
      <c r="J317" s="322">
        <f>($D157)*'GENERADO PS locales'!J317</f>
        <v>0</v>
      </c>
      <c r="K317" s="322">
        <f>($D157)*'GENERADO PS locales'!K317</f>
        <v>0</v>
      </c>
      <c r="L317" s="322">
        <f>($D157)*'GENERADO PS locales'!L317</f>
        <v>0</v>
      </c>
      <c r="M317" s="322">
        <f>($D157)*'GENERADO PS locales'!M317</f>
        <v>0</v>
      </c>
      <c r="N317" s="322">
        <f>($D157)*'GENERADO PS locales'!N317</f>
        <v>0</v>
      </c>
      <c r="O317" s="322">
        <f>($D157)*'GENERADO PS locales'!O317</f>
        <v>0</v>
      </c>
      <c r="P317" s="322">
        <f>($D157)*'GENERADO PS locales'!P317</f>
        <v>0</v>
      </c>
      <c r="Q317" s="322">
        <f>($D157)*'GENERADO PS locales'!Q317</f>
        <v>0</v>
      </c>
      <c r="R317" s="322">
        <f>($D157)*'GENERADO PS locales'!R317</f>
        <v>0</v>
      </c>
      <c r="S317" s="322">
        <f>($D157)*'GENERADO PS locales'!S317</f>
        <v>0</v>
      </c>
      <c r="T317" s="322">
        <f>($D157)*'GENERADO PS locales'!T317</f>
        <v>0</v>
      </c>
      <c r="U317" s="322">
        <f>($D157)*'GENERADO PS locales'!U317</f>
        <v>0</v>
      </c>
      <c r="V317" s="322">
        <f>($D157)*'GENERADO PS locales'!V317</f>
        <v>0</v>
      </c>
      <c r="W317" s="322">
        <f>($D157)*'GENERADO PS locales'!W317</f>
        <v>0</v>
      </c>
      <c r="X317" s="322">
        <f>($D157)*'GENERADO PS locales'!X317</f>
        <v>0</v>
      </c>
      <c r="Y317" s="322">
        <f>($D157)*'GENERADO PS locales'!Y317</f>
        <v>0</v>
      </c>
      <c r="Z317" s="322">
        <f>($D157)*'GENERADO PS locales'!Z317</f>
        <v>0</v>
      </c>
    </row>
    <row r="318" spans="1:26" ht="24.95" customHeight="1">
      <c r="A318" s="260" t="str">
        <f>+Pobl_adoptada!A158</f>
        <v>Villarino</v>
      </c>
      <c r="B318" s="70">
        <f>+Pobl_adoptada!B158</f>
        <v>154</v>
      </c>
      <c r="C318" s="71" t="str">
        <f>+Pobl_adoptada!C158</f>
        <v>Pedro Luro</v>
      </c>
      <c r="D318" s="291"/>
      <c r="E318" s="278"/>
      <c r="F318" s="263"/>
      <c r="G318" s="322">
        <f>($D158)*'GENERADO PS locales'!G318</f>
        <v>0</v>
      </c>
      <c r="H318" s="322">
        <f>($D158)*'GENERADO PS locales'!H318</f>
        <v>0</v>
      </c>
      <c r="I318" s="322">
        <f>($D158)*'GENERADO PS locales'!I318</f>
        <v>0</v>
      </c>
      <c r="J318" s="322">
        <f>($D158)*'GENERADO PS locales'!J318</f>
        <v>0</v>
      </c>
      <c r="K318" s="322">
        <f>($D158)*'GENERADO PS locales'!K318</f>
        <v>0</v>
      </c>
      <c r="L318" s="322">
        <f>($D158)*'GENERADO PS locales'!L318</f>
        <v>0</v>
      </c>
      <c r="M318" s="322">
        <f>($D158)*'GENERADO PS locales'!M318</f>
        <v>0</v>
      </c>
      <c r="N318" s="322">
        <f>($D158)*'GENERADO PS locales'!N318</f>
        <v>0</v>
      </c>
      <c r="O318" s="322">
        <f>($D158)*'GENERADO PS locales'!O318</f>
        <v>0</v>
      </c>
      <c r="P318" s="322">
        <f>($D158)*'GENERADO PS locales'!P318</f>
        <v>0</v>
      </c>
      <c r="Q318" s="322">
        <f>($D158)*'GENERADO PS locales'!Q318</f>
        <v>0</v>
      </c>
      <c r="R318" s="322">
        <f>($D158)*'GENERADO PS locales'!R318</f>
        <v>0</v>
      </c>
      <c r="S318" s="322">
        <f>($D158)*'GENERADO PS locales'!S318</f>
        <v>0</v>
      </c>
      <c r="T318" s="322">
        <f>($D158)*'GENERADO PS locales'!T318</f>
        <v>0</v>
      </c>
      <c r="U318" s="322">
        <f>($D158)*'GENERADO PS locales'!U318</f>
        <v>0</v>
      </c>
      <c r="V318" s="322">
        <f>($D158)*'GENERADO PS locales'!V318</f>
        <v>0</v>
      </c>
      <c r="W318" s="322">
        <f>($D158)*'GENERADO PS locales'!W318</f>
        <v>0</v>
      </c>
      <c r="X318" s="322">
        <f>($D158)*'GENERADO PS locales'!X318</f>
        <v>0</v>
      </c>
      <c r="Y318" s="322">
        <f>($D158)*'GENERADO PS locales'!Y318</f>
        <v>0</v>
      </c>
      <c r="Z318" s="322">
        <f>($D158)*'GENERADO PS locales'!Z318</f>
        <v>0</v>
      </c>
    </row>
    <row r="319" spans="1:26" ht="24.95" customHeight="1">
      <c r="D319" s="325"/>
      <c r="G319" s="326"/>
      <c r="H319" s="326"/>
      <c r="I319" s="326"/>
      <c r="J319" s="326"/>
      <c r="K319" s="326"/>
      <c r="L319" s="326"/>
      <c r="M319" s="326"/>
      <c r="N319" s="326"/>
      <c r="O319" s="326"/>
      <c r="P319" s="326"/>
      <c r="Q319" s="326"/>
      <c r="R319" s="326"/>
      <c r="S319" s="326"/>
      <c r="T319" s="326"/>
      <c r="U319" s="326"/>
      <c r="V319" s="326"/>
      <c r="W319" s="326"/>
      <c r="X319" s="326"/>
      <c r="Y319" s="326"/>
      <c r="Z319" s="326"/>
    </row>
  </sheetData>
  <autoFilter ref="A4:Z140" xr:uid="{00000000-0009-0000-0000-000015000000}">
    <filterColumn colId="1" showButton="0"/>
  </autoFilter>
  <mergeCells count="4">
    <mergeCell ref="F2:Z2"/>
    <mergeCell ref="B4:C4"/>
    <mergeCell ref="F162:Z162"/>
    <mergeCell ref="B164:C16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>
    <tabColor theme="9" tint="0.39997558519241921"/>
  </sheetPr>
  <dimension ref="A1:Z159"/>
  <sheetViews>
    <sheetView view="pageBreakPreview" zoomScale="80" zoomScaleSheetLayoutView="80" workbookViewId="0">
      <pane xSplit="3" ySplit="4" topLeftCell="D5" activePane="bottomRight" state="frozen"/>
      <selection activeCell="F10" sqref="F10"/>
      <selection pane="topRight" activeCell="F10" sqref="F10"/>
      <selection pane="bottomLeft" activeCell="F10" sqref="F10"/>
      <selection pane="bottomRight" activeCell="G5" sqref="G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283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24" thickBot="1">
      <c r="A2" s="327"/>
      <c r="B2" s="317"/>
      <c r="C2" s="317"/>
      <c r="E2" s="273"/>
      <c r="F2" s="964" t="s">
        <v>284</v>
      </c>
      <c r="G2" s="965"/>
      <c r="H2" s="965"/>
      <c r="I2" s="965"/>
      <c r="J2" s="965"/>
      <c r="K2" s="965"/>
      <c r="L2" s="965"/>
      <c r="M2" s="965"/>
      <c r="N2" s="965"/>
      <c r="O2" s="965"/>
      <c r="P2" s="965"/>
      <c r="Q2" s="965"/>
      <c r="R2" s="965"/>
      <c r="S2" s="965"/>
      <c r="T2" s="965"/>
      <c r="U2" s="965"/>
      <c r="V2" s="965"/>
      <c r="W2" s="965"/>
      <c r="X2" s="965"/>
      <c r="Y2" s="965"/>
      <c r="Z2" s="966"/>
    </row>
    <row r="3" spans="1:26" ht="62.25" customHeight="1" thickBot="1">
      <c r="A3" s="318"/>
      <c r="B3" s="319"/>
      <c r="C3" s="319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54.75" customHeight="1" thickBot="1">
      <c r="A4" s="253" t="s">
        <v>28</v>
      </c>
      <c r="B4" s="967" t="s">
        <v>22</v>
      </c>
      <c r="C4" s="967"/>
      <c r="D4" s="290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28"/>
      <c r="E5" s="277"/>
      <c r="F5" s="259"/>
      <c r="G5" s="329">
        <f>+'GENERADO NO Sep Origen'!G5+'RECH-RECUP_PS locales'!G165</f>
        <v>877.19053949999989</v>
      </c>
      <c r="H5" s="329">
        <f>+'GENERADO NO Sep Origen'!H5+'RECH-RECUP_PS locales'!H165</f>
        <v>821.71523159999992</v>
      </c>
      <c r="I5" s="329">
        <f>+'GENERADO NO Sep Origen'!I5+'RECH-RECUP_PS locales'!I165</f>
        <v>765.29138850000004</v>
      </c>
      <c r="J5" s="329">
        <f>+'GENERADO NO Sep Origen'!J5+'RECH-RECUP_PS locales'!J165</f>
        <v>680.68102499999998</v>
      </c>
      <c r="K5" s="329">
        <f>+'GENERADO NO Sep Origen'!K5+'RECH-RECUP_PS locales'!K165</f>
        <v>594.66185999999993</v>
      </c>
      <c r="L5" s="329">
        <f>+'GENERADO NO Sep Origen'!L5+'RECH-RECUP_PS locales'!L165</f>
        <v>599.43865800000003</v>
      </c>
      <c r="M5" s="329">
        <f>+'GENERADO NO Sep Origen'!M5+'RECH-RECUP_PS locales'!M165</f>
        <v>604.25394899999992</v>
      </c>
      <c r="N5" s="329">
        <f>+'GENERADO NO Sep Origen'!N5+'RECH-RECUP_PS locales'!N165</f>
        <v>609.10773300000005</v>
      </c>
      <c r="O5" s="329">
        <f>+'GENERADO NO Sep Origen'!O5+'RECH-RECUP_PS locales'!O165</f>
        <v>614.00000999999997</v>
      </c>
      <c r="P5" s="329">
        <f>+'GENERADO NO Sep Origen'!P5+'RECH-RECUP_PS locales'!P165</f>
        <v>618.93169650000004</v>
      </c>
      <c r="Q5" s="329">
        <f>+'GENERADO NO Sep Origen'!Q5+'RECH-RECUP_PS locales'!Q165</f>
        <v>623.90370899999994</v>
      </c>
      <c r="R5" s="329">
        <f>+'GENERADO NO Sep Origen'!R5+'RECH-RECUP_PS locales'!R165</f>
        <v>628.91513099999997</v>
      </c>
      <c r="S5" s="329">
        <f>+'GENERADO NO Sep Origen'!S5+'RECH-RECUP_PS locales'!S165</f>
        <v>633.96596250000005</v>
      </c>
      <c r="T5" s="329">
        <f>+'GENERADO NO Sep Origen'!T5+'RECH-RECUP_PS locales'!T165</f>
        <v>639.05895299999997</v>
      </c>
      <c r="U5" s="329">
        <f>+'GENERADO NO Sep Origen'!U5+'RECH-RECUP_PS locales'!U165</f>
        <v>644.19226949999995</v>
      </c>
      <c r="V5" s="329">
        <f>+'GENERADO NO Sep Origen'!V5+'RECH-RECUP_PS locales'!V165</f>
        <v>649.36591199999998</v>
      </c>
      <c r="W5" s="329">
        <f>+'GENERADO NO Sep Origen'!W5+'RECH-RECUP_PS locales'!W165</f>
        <v>654.58262999999988</v>
      </c>
      <c r="X5" s="329">
        <f>+'GENERADO NO Sep Origen'!X5+'RECH-RECUP_PS locales'!X165</f>
        <v>659.83967399999995</v>
      </c>
      <c r="Y5" s="329">
        <f>+'GENERADO NO Sep Origen'!Y5+'RECH-RECUP_PS locales'!Y165</f>
        <v>665.1397935</v>
      </c>
      <c r="Z5" s="329">
        <f>+'GENERADO NO Sep Origen'!Z5+'RECH-RECUP_PS locales'!Z165</f>
        <v>670.48298849999992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28"/>
      <c r="E6" s="278"/>
      <c r="F6" s="263"/>
      <c r="G6" s="322">
        <f>+'GENERADO NO Sep Origen'!G6+'RECH-RECUP_PS locales'!G166</f>
        <v>537.10742249999998</v>
      </c>
      <c r="H6" s="322">
        <f>+'GENERADO NO Sep Origen'!H6+'RECH-RECUP_PS locales'!H166</f>
        <v>503.03599920000005</v>
      </c>
      <c r="I6" s="322">
        <f>+'GENERADO NO Sep Origen'!I6+'RECH-RECUP_PS locales'!I166</f>
        <v>468.42893099999998</v>
      </c>
      <c r="J6" s="322">
        <f>+'GENERADO NO Sep Origen'!J6+'RECH-RECUP_PS locales'!J166</f>
        <v>416.60846999999995</v>
      </c>
      <c r="K6" s="322">
        <f>+'GENERADO NO Sep Origen'!K6+'RECH-RECUP_PS locales'!K166</f>
        <v>363.95681400000001</v>
      </c>
      <c r="L6" s="322">
        <f>+'GENERADO NO Sep Origen'!L6+'RECH-RECUP_PS locales'!L166</f>
        <v>366.90061200000002</v>
      </c>
      <c r="M6" s="322">
        <f>+'GENERADO NO Sep Origen'!M6+'RECH-RECUP_PS locales'!M166</f>
        <v>369.89298450000001</v>
      </c>
      <c r="N6" s="322">
        <f>+'GENERADO NO Sep Origen'!N6+'RECH-RECUP_PS locales'!N166</f>
        <v>372.93301500000007</v>
      </c>
      <c r="O6" s="322">
        <f>+'GENERADO NO Sep Origen'!O6+'RECH-RECUP_PS locales'!O166</f>
        <v>376.02345300000002</v>
      </c>
      <c r="P6" s="322">
        <f>+'GENERADO NO Sep Origen'!P6+'RECH-RECUP_PS locales'!P166</f>
        <v>379.16429849999997</v>
      </c>
      <c r="Q6" s="322">
        <f>+'GENERADO NO Sep Origen'!Q6+'RECH-RECUP_PS locales'!Q166</f>
        <v>382.35646800000001</v>
      </c>
      <c r="R6" s="322">
        <f>+'GENERADO NO Sep Origen'!R6+'RECH-RECUP_PS locales'!R166</f>
        <v>385.59996149999995</v>
      </c>
      <c r="S6" s="322">
        <f>+'GENERADO NO Sep Origen'!S6+'RECH-RECUP_PS locales'!S166</f>
        <v>388.896612</v>
      </c>
      <c r="T6" s="322">
        <f>+'GENERADO NO Sep Origen'!T6+'RECH-RECUP_PS locales'!T166</f>
        <v>392.24733599999996</v>
      </c>
      <c r="U6" s="322">
        <f>+'GENERADO NO Sep Origen'!U6+'RECH-RECUP_PS locales'!U166</f>
        <v>395.65305000000001</v>
      </c>
      <c r="V6" s="322">
        <f>+'GENERADO NO Sep Origen'!V6+'RECH-RECUP_PS locales'!V166</f>
        <v>399.11375399999997</v>
      </c>
      <c r="W6" s="322">
        <f>+'GENERADO NO Sep Origen'!W6+'RECH-RECUP_PS locales'!W166</f>
        <v>402.631281</v>
      </c>
      <c r="X6" s="322">
        <f>+'GENERADO NO Sep Origen'!X6+'RECH-RECUP_PS locales'!X166</f>
        <v>406.20563100000004</v>
      </c>
      <c r="Y6" s="322">
        <f>+'GENERADO NO Sep Origen'!Y6+'RECH-RECUP_PS locales'!Y166</f>
        <v>409.83863700000001</v>
      </c>
      <c r="Z6" s="322">
        <f>+'GENERADO NO Sep Origen'!Z6+'RECH-RECUP_PS locales'!Z166</f>
        <v>413.53121550000003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28"/>
      <c r="E7" s="278"/>
      <c r="F7" s="263"/>
      <c r="G7" s="322">
        <f>+'GENERADO NO Sep Origen'!G7+'RECH-RECUP_PS locales'!G167</f>
        <v>547.08671160000006</v>
      </c>
      <c r="H7" s="322">
        <f>+'GENERADO NO Sep Origen'!H7+'RECH-RECUP_PS locales'!H167</f>
        <v>513.87669960000005</v>
      </c>
      <c r="I7" s="322">
        <f>+'GENERADO NO Sep Origen'!I7+'RECH-RECUP_PS locales'!I167</f>
        <v>479.83505549999995</v>
      </c>
      <c r="J7" s="322">
        <f>+'GENERADO NO Sep Origen'!J7+'RECH-RECUP_PS locales'!J167</f>
        <v>427.84652249999994</v>
      </c>
      <c r="K7" s="322">
        <f>+'GENERADO NO Sep Origen'!K7+'RECH-RECUP_PS locales'!K167</f>
        <v>374.66794950000002</v>
      </c>
      <c r="L7" s="322">
        <f>+'GENERADO NO Sep Origen'!L7+'RECH-RECUP_PS locales'!L167</f>
        <v>378.53557949999993</v>
      </c>
      <c r="M7" s="322">
        <f>+'GENERADO NO Sep Origen'!M7+'RECH-RECUP_PS locales'!M167</f>
        <v>382.4032095</v>
      </c>
      <c r="N7" s="322">
        <f>+'GENERADO NO Sep Origen'!N7+'RECH-RECUP_PS locales'!N167</f>
        <v>386.27083950000002</v>
      </c>
      <c r="O7" s="322">
        <f>+'GENERADO NO Sep Origen'!O7+'RECH-RECUP_PS locales'!O167</f>
        <v>390.13755300000003</v>
      </c>
      <c r="P7" s="322">
        <f>+'GENERADO NO Sep Origen'!P7+'RECH-RECUP_PS locales'!P167</f>
        <v>394.00518299999999</v>
      </c>
      <c r="Q7" s="322">
        <f>+'GENERADO NO Sep Origen'!Q7+'RECH-RECUP_PS locales'!Q167</f>
        <v>397.87281300000006</v>
      </c>
      <c r="R7" s="322">
        <f>+'GENERADO NO Sep Origen'!R7+'RECH-RECUP_PS locales'!R167</f>
        <v>401.74044300000003</v>
      </c>
      <c r="S7" s="322">
        <f>+'GENERADO NO Sep Origen'!S7+'RECH-RECUP_PS locales'!S167</f>
        <v>405.60807299999999</v>
      </c>
      <c r="T7" s="322">
        <f>+'GENERADO NO Sep Origen'!T7+'RECH-RECUP_PS locales'!T167</f>
        <v>409.47570300000001</v>
      </c>
      <c r="U7" s="322">
        <f>+'GENERADO NO Sep Origen'!U7+'RECH-RECUP_PS locales'!U167</f>
        <v>413.34333299999992</v>
      </c>
      <c r="V7" s="322">
        <f>+'GENERADO NO Sep Origen'!V7+'RECH-RECUP_PS locales'!V167</f>
        <v>417.21004650000003</v>
      </c>
      <c r="W7" s="322">
        <f>+'GENERADO NO Sep Origen'!W7+'RECH-RECUP_PS locales'!W167</f>
        <v>421.07767649999994</v>
      </c>
      <c r="X7" s="322">
        <f>+'GENERADO NO Sep Origen'!X7+'RECH-RECUP_PS locales'!X167</f>
        <v>424.94530650000002</v>
      </c>
      <c r="Y7" s="322">
        <f>+'GENERADO NO Sep Origen'!Y7+'RECH-RECUP_PS locales'!Y167</f>
        <v>428.81293649999998</v>
      </c>
      <c r="Z7" s="322">
        <f>+'GENERADO NO Sep Origen'!Z7+'RECH-RECUP_PS locales'!Z167</f>
        <v>432.68056649999994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28"/>
      <c r="E8" s="278"/>
      <c r="F8" s="263"/>
      <c r="G8" s="322">
        <f>+'GENERADO NO Sep Origen'!G8+'RECH-RECUP_PS locales'!G168</f>
        <v>537.47454419999997</v>
      </c>
      <c r="H8" s="322">
        <f>+'GENERADO NO Sep Origen'!H8+'RECH-RECUP_PS locales'!H168</f>
        <v>506.54233079999995</v>
      </c>
      <c r="I8" s="322">
        <f>+'GENERADO NO Sep Origen'!I8+'RECH-RECUP_PS locales'!I168</f>
        <v>474.53528849999998</v>
      </c>
      <c r="J8" s="322">
        <f>+'GENERADO NO Sep Origen'!J8+'RECH-RECUP_PS locales'!J168</f>
        <v>424.47203999999999</v>
      </c>
      <c r="K8" s="322">
        <f>+'GENERADO NO Sep Origen'!K8+'RECH-RECUP_PS locales'!K168</f>
        <v>372.87252599999994</v>
      </c>
      <c r="L8" s="322">
        <f>+'GENERADO NO Sep Origen'!L8+'RECH-RECUP_PS locales'!L168</f>
        <v>377.86836749999998</v>
      </c>
      <c r="M8" s="322">
        <f>+'GENERADO NO Sep Origen'!M8+'RECH-RECUP_PS locales'!M168</f>
        <v>382.86512550000003</v>
      </c>
      <c r="N8" s="322">
        <f>+'GENERADO NO Sep Origen'!N8+'RECH-RECUP_PS locales'!N168</f>
        <v>387.86096699999996</v>
      </c>
      <c r="O8" s="322">
        <f>+'GENERADO NO Sep Origen'!O8+'RECH-RECUP_PS locales'!O168</f>
        <v>392.8568085</v>
      </c>
      <c r="P8" s="322">
        <f>+'GENERADO NO Sep Origen'!P8+'RECH-RECUP_PS locales'!P168</f>
        <v>397.85356649999994</v>
      </c>
      <c r="Q8" s="322">
        <f>+'GENERADO NO Sep Origen'!Q8+'RECH-RECUP_PS locales'!Q168</f>
        <v>402.84940799999993</v>
      </c>
      <c r="R8" s="322">
        <f>+'GENERADO NO Sep Origen'!R8+'RECH-RECUP_PS locales'!R168</f>
        <v>407.84616600000004</v>
      </c>
      <c r="S8" s="322">
        <f>+'GENERADO NO Sep Origen'!S8+'RECH-RECUP_PS locales'!S168</f>
        <v>412.84200749999997</v>
      </c>
      <c r="T8" s="322">
        <f>+'GENERADO NO Sep Origen'!T8+'RECH-RECUP_PS locales'!T168</f>
        <v>417.83876550000002</v>
      </c>
      <c r="U8" s="322">
        <f>+'GENERADO NO Sep Origen'!U8+'RECH-RECUP_PS locales'!U168</f>
        <v>422.83460699999989</v>
      </c>
      <c r="V8" s="322">
        <f>+'GENERADO NO Sep Origen'!V8+'RECH-RECUP_PS locales'!V168</f>
        <v>427.83044849999999</v>
      </c>
      <c r="W8" s="322">
        <f>+'GENERADO NO Sep Origen'!W8+'RECH-RECUP_PS locales'!W168</f>
        <v>432.82720649999999</v>
      </c>
      <c r="X8" s="322">
        <f>+'GENERADO NO Sep Origen'!X8+'RECH-RECUP_PS locales'!X168</f>
        <v>437.82304799999997</v>
      </c>
      <c r="Y8" s="322">
        <f>+'GENERADO NO Sep Origen'!Y8+'RECH-RECUP_PS locales'!Y168</f>
        <v>442.81980600000009</v>
      </c>
      <c r="Z8" s="322">
        <f>+'GENERADO NO Sep Origen'!Z8+'RECH-RECUP_PS locales'!Z168</f>
        <v>447.81564749999995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28"/>
      <c r="E9" s="278"/>
      <c r="F9" s="263"/>
      <c r="G9" s="322">
        <f>+'GENERADO NO Sep Origen'!G9+'RECH-RECUP_PS locales'!G169</f>
        <v>240.26474340000001</v>
      </c>
      <c r="H9" s="322">
        <f>+'GENERADO NO Sep Origen'!H9+'RECH-RECUP_PS locales'!H169</f>
        <v>227.69525280000002</v>
      </c>
      <c r="I9" s="322">
        <f>+'GENERADO NO Sep Origen'!I9+'RECH-RECUP_PS locales'!I169</f>
        <v>214.45245</v>
      </c>
      <c r="J9" s="322">
        <f>+'GENERADO NO Sep Origen'!J9+'RECH-RECUP_PS locales'!J169</f>
        <v>192.82513499999999</v>
      </c>
      <c r="K9" s="322">
        <f>+'GENERADO NO Sep Origen'!K9+'RECH-RECUP_PS locales'!K169</f>
        <v>170.23718400000001</v>
      </c>
      <c r="L9" s="322">
        <f>+'GENERADO NO Sep Origen'!L9+'RECH-RECUP_PS locales'!L169</f>
        <v>173.35858800000003</v>
      </c>
      <c r="M9" s="322">
        <f>+'GENERADO NO Sep Origen'!M9+'RECH-RECUP_PS locales'!M169</f>
        <v>176.48065500000001</v>
      </c>
      <c r="N9" s="322">
        <f>+'GENERADO NO Sep Origen'!N9+'RECH-RECUP_PS locales'!N169</f>
        <v>179.60272200000003</v>
      </c>
      <c r="O9" s="322">
        <f>+'GENERADO NO Sep Origen'!O9+'RECH-RECUP_PS locales'!O169</f>
        <v>182.72412600000001</v>
      </c>
      <c r="P9" s="322">
        <f>+'GENERADO NO Sep Origen'!P9+'RECH-RECUP_PS locales'!P169</f>
        <v>185.84619300000003</v>
      </c>
      <c r="Q9" s="322">
        <f>+'GENERADO NO Sep Origen'!Q9+'RECH-RECUP_PS locales'!Q169</f>
        <v>188.96826000000004</v>
      </c>
      <c r="R9" s="322">
        <f>+'GENERADO NO Sep Origen'!R9+'RECH-RECUP_PS locales'!R169</f>
        <v>192.09032700000003</v>
      </c>
      <c r="S9" s="322">
        <f>+'GENERADO NO Sep Origen'!S9+'RECH-RECUP_PS locales'!S169</f>
        <v>195.21173099999999</v>
      </c>
      <c r="T9" s="322">
        <f>+'GENERADO NO Sep Origen'!T9+'RECH-RECUP_PS locales'!T169</f>
        <v>198.333798</v>
      </c>
      <c r="U9" s="322">
        <f>+'GENERADO NO Sep Origen'!U9+'RECH-RECUP_PS locales'!U169</f>
        <v>201.45586500000002</v>
      </c>
      <c r="V9" s="322">
        <f>+'GENERADO NO Sep Origen'!V9+'RECH-RECUP_PS locales'!V169</f>
        <v>204.577269</v>
      </c>
      <c r="W9" s="322">
        <f>+'GENERADO NO Sep Origen'!W9+'RECH-RECUP_PS locales'!W169</f>
        <v>207.69933600000002</v>
      </c>
      <c r="X9" s="322">
        <f>+'GENERADO NO Sep Origen'!X9+'RECH-RECUP_PS locales'!X169</f>
        <v>210.821403</v>
      </c>
      <c r="Y9" s="322">
        <f>+'GENERADO NO Sep Origen'!Y9+'RECH-RECUP_PS locales'!Y169</f>
        <v>213.94280700000002</v>
      </c>
      <c r="Z9" s="322">
        <f>+'GENERADO NO Sep Origen'!Z9+'RECH-RECUP_PS locales'!Z169</f>
        <v>217.06487400000003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28"/>
      <c r="E10" s="278"/>
      <c r="F10" s="263"/>
      <c r="G10" s="322">
        <f>+'GENERADO NO Sep Origen'!G10+'RECH-RECUP_PS locales'!G170</f>
        <v>801.4908825</v>
      </c>
      <c r="H10" s="322">
        <f>+'GENERADO NO Sep Origen'!H10+'RECH-RECUP_PS locales'!H170</f>
        <v>756.8591232</v>
      </c>
      <c r="I10" s="322">
        <f>+'GENERADO NO Sep Origen'!I10+'RECH-RECUP_PS locales'!I170</f>
        <v>710.39529449999998</v>
      </c>
      <c r="J10" s="322">
        <f>+'GENERADO NO Sep Origen'!J10+'RECH-RECUP_PS locales'!J170</f>
        <v>636.63509249999993</v>
      </c>
      <c r="K10" s="322">
        <f>+'GENERADO NO Sep Origen'!K10+'RECH-RECUP_PS locales'!K170</f>
        <v>560.25645000000009</v>
      </c>
      <c r="L10" s="322">
        <f>+'GENERADO NO Sep Origen'!L10+'RECH-RECUP_PS locales'!L170</f>
        <v>568.76340300000004</v>
      </c>
      <c r="M10" s="322">
        <f>+'GENERADO NO Sep Origen'!M10+'RECH-RECUP_PS locales'!M170</f>
        <v>577.26943949999998</v>
      </c>
      <c r="N10" s="322">
        <f>+'GENERADO NO Sep Origen'!N10+'RECH-RECUP_PS locales'!N170</f>
        <v>585.77547600000003</v>
      </c>
      <c r="O10" s="322">
        <f>+'GENERADO NO Sep Origen'!O10+'RECH-RECUP_PS locales'!O170</f>
        <v>594.28242899999998</v>
      </c>
      <c r="P10" s="322">
        <f>+'GENERADO NO Sep Origen'!P10+'RECH-RECUP_PS locales'!P170</f>
        <v>602.78846550000003</v>
      </c>
      <c r="Q10" s="322">
        <f>+'GENERADO NO Sep Origen'!Q10+'RECH-RECUP_PS locales'!Q170</f>
        <v>611.29541849999998</v>
      </c>
      <c r="R10" s="322">
        <f>+'GENERADO NO Sep Origen'!R10+'RECH-RECUP_PS locales'!R170</f>
        <v>619.80145500000003</v>
      </c>
      <c r="S10" s="322">
        <f>+'GENERADO NO Sep Origen'!S10+'RECH-RECUP_PS locales'!S170</f>
        <v>628.30749149999997</v>
      </c>
      <c r="T10" s="322">
        <f>+'GENERADO NO Sep Origen'!T10+'RECH-RECUP_PS locales'!T170</f>
        <v>636.81444450000004</v>
      </c>
      <c r="U10" s="322">
        <f>+'GENERADO NO Sep Origen'!U10+'RECH-RECUP_PS locales'!U170</f>
        <v>645.32048099999997</v>
      </c>
      <c r="V10" s="322">
        <f>+'GENERADO NO Sep Origen'!V10+'RECH-RECUP_PS locales'!V170</f>
        <v>653.82743400000004</v>
      </c>
      <c r="W10" s="322">
        <f>+'GENERADO NO Sep Origen'!W10+'RECH-RECUP_PS locales'!W170</f>
        <v>662.33347049999998</v>
      </c>
      <c r="X10" s="322">
        <f>+'GENERADO NO Sep Origen'!X10+'RECH-RECUP_PS locales'!X170</f>
        <v>670.84042349999993</v>
      </c>
      <c r="Y10" s="322">
        <f>+'GENERADO NO Sep Origen'!Y10+'RECH-RECUP_PS locales'!Y170</f>
        <v>679.34645999999998</v>
      </c>
      <c r="Z10" s="322">
        <f>+'GENERADO NO Sep Origen'!Z10+'RECH-RECUP_PS locales'!Z170</f>
        <v>687.85249650000003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28"/>
      <c r="E11" s="278"/>
      <c r="F11" s="263"/>
      <c r="G11" s="322">
        <f>+'GENERADO NO Sep Origen'!G11+'RECH-RECUP_PS locales'!G171</f>
        <v>625.75265609999997</v>
      </c>
      <c r="H11" s="322">
        <f>+'GENERADO NO Sep Origen'!H11+'RECH-RECUP_PS locales'!H171</f>
        <v>584.66879519999998</v>
      </c>
      <c r="I11" s="322">
        <f>+'GENERADO NO Sep Origen'!I11+'RECH-RECUP_PS locales'!I171</f>
        <v>543.15181050000001</v>
      </c>
      <c r="J11" s="322">
        <f>+'GENERADO NO Sep Origen'!J11+'RECH-RECUP_PS locales'!J171</f>
        <v>481.91438249999999</v>
      </c>
      <c r="K11" s="322">
        <f>+'GENERADO NO Sep Origen'!K11+'RECH-RECUP_PS locales'!K171</f>
        <v>420.00445499999995</v>
      </c>
      <c r="L11" s="322">
        <f>+'GENERADO NO Sep Origen'!L11+'RECH-RECUP_PS locales'!L171</f>
        <v>422.38735499999996</v>
      </c>
      <c r="M11" s="322">
        <f>+'GENERADO NO Sep Origen'!M11+'RECH-RECUP_PS locales'!M171</f>
        <v>424.8096645</v>
      </c>
      <c r="N11" s="322">
        <f>+'GENERADO NO Sep Origen'!N11+'RECH-RECUP_PS locales'!N171</f>
        <v>427.27138350000007</v>
      </c>
      <c r="O11" s="322">
        <f>+'GENERADO NO Sep Origen'!O11+'RECH-RECUP_PS locales'!O171</f>
        <v>429.77342850000002</v>
      </c>
      <c r="P11" s="322">
        <f>+'GENERADO NO Sep Origen'!P11+'RECH-RECUP_PS locales'!P171</f>
        <v>432.31579950000003</v>
      </c>
      <c r="Q11" s="322">
        <f>+'GENERADO NO Sep Origen'!Q11+'RECH-RECUP_PS locales'!Q171</f>
        <v>434.9003295</v>
      </c>
      <c r="R11" s="322">
        <f>+'GENERADO NO Sep Origen'!R11+'RECH-RECUP_PS locales'!R171</f>
        <v>437.52610200000004</v>
      </c>
      <c r="S11" s="322">
        <f>+'GENERADO NO Sep Origen'!S11+'RECH-RECUP_PS locales'!S171</f>
        <v>440.19494999999995</v>
      </c>
      <c r="T11" s="322">
        <f>+'GENERADO NO Sep Origen'!T11+'RECH-RECUP_PS locales'!T171</f>
        <v>442.90778999999998</v>
      </c>
      <c r="U11" s="322">
        <f>+'GENERADO NO Sep Origen'!U11+'RECH-RECUP_PS locales'!U171</f>
        <v>445.66462200000001</v>
      </c>
      <c r="V11" s="322">
        <f>+'GENERADO NO Sep Origen'!V11+'RECH-RECUP_PS locales'!V171</f>
        <v>448.46727899999996</v>
      </c>
      <c r="W11" s="322">
        <f>+'GENERADO NO Sep Origen'!W11+'RECH-RECUP_PS locales'!W171</f>
        <v>451.31484449999999</v>
      </c>
      <c r="X11" s="322">
        <f>+'GENERADO NO Sep Origen'!X11+'RECH-RECUP_PS locales'!X171</f>
        <v>454.20823499999995</v>
      </c>
      <c r="Y11" s="322">
        <f>+'GENERADO NO Sep Origen'!Y11+'RECH-RECUP_PS locales'!Y171</f>
        <v>457.15020000000004</v>
      </c>
      <c r="Z11" s="322">
        <f>+'GENERADO NO Sep Origen'!Z11+'RECH-RECUP_PS locales'!Z171</f>
        <v>460.13890650000008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28"/>
      <c r="E12" s="278"/>
      <c r="F12" s="263"/>
      <c r="G12" s="322">
        <f>+'GENERADO NO Sep Origen'!G12+'RECH-RECUP_PS locales'!G172</f>
        <v>194.330961</v>
      </c>
      <c r="H12" s="322">
        <f>+'GENERADO NO Sep Origen'!H12+'RECH-RECUP_PS locales'!H172</f>
        <v>181.29231120000003</v>
      </c>
      <c r="I12" s="322">
        <f>+'GENERADO NO Sep Origen'!I12+'RECH-RECUP_PS locales'!I172</f>
        <v>168.14771400000001</v>
      </c>
      <c r="J12" s="322">
        <f>+'GENERADO NO Sep Origen'!J12+'RECH-RECUP_PS locales'!J172</f>
        <v>148.938615</v>
      </c>
      <c r="K12" s="322">
        <f>+'GENERADO NO Sep Origen'!K12+'RECH-RECUP_PS locales'!K172</f>
        <v>129.57672000000002</v>
      </c>
      <c r="L12" s="322">
        <f>+'GENERADO NO Sep Origen'!L12+'RECH-RECUP_PS locales'!L172</f>
        <v>130.073307</v>
      </c>
      <c r="M12" s="322">
        <f>+'GENERADO NO Sep Origen'!M12+'RECH-RECUP_PS locales'!M172</f>
        <v>130.56989400000003</v>
      </c>
      <c r="N12" s="322">
        <f>+'GENERADO NO Sep Origen'!N12+'RECH-RECUP_PS locales'!N172</f>
        <v>131.06648100000001</v>
      </c>
      <c r="O12" s="322">
        <f>+'GENERADO NO Sep Origen'!O12+'RECH-RECUP_PS locales'!O172</f>
        <v>131.56240500000001</v>
      </c>
      <c r="P12" s="322">
        <f>+'GENERADO NO Sep Origen'!P12+'RECH-RECUP_PS locales'!P172</f>
        <v>132.05899199999999</v>
      </c>
      <c r="Q12" s="322">
        <f>+'GENERADO NO Sep Origen'!Q12+'RECH-RECUP_PS locales'!Q172</f>
        <v>132.55557899999999</v>
      </c>
      <c r="R12" s="322">
        <f>+'GENERADO NO Sep Origen'!R12+'RECH-RECUP_PS locales'!R172</f>
        <v>133.05216600000003</v>
      </c>
      <c r="S12" s="322">
        <f>+'GENERADO NO Sep Origen'!S12+'RECH-RECUP_PS locales'!S172</f>
        <v>133.548753</v>
      </c>
      <c r="T12" s="322">
        <f>+'GENERADO NO Sep Origen'!T12+'RECH-RECUP_PS locales'!T172</f>
        <v>134.04534000000001</v>
      </c>
      <c r="U12" s="322">
        <f>+'GENERADO NO Sep Origen'!U12+'RECH-RECUP_PS locales'!U172</f>
        <v>134.54192700000002</v>
      </c>
      <c r="V12" s="322">
        <f>+'GENERADO NO Sep Origen'!V12+'RECH-RECUP_PS locales'!V172</f>
        <v>135.03785099999999</v>
      </c>
      <c r="W12" s="322">
        <f>+'GENERADO NO Sep Origen'!W12+'RECH-RECUP_PS locales'!W172</f>
        <v>135.53443799999999</v>
      </c>
      <c r="X12" s="322">
        <f>+'GENERADO NO Sep Origen'!X12+'RECH-RECUP_PS locales'!X172</f>
        <v>136.031025</v>
      </c>
      <c r="Y12" s="322">
        <f>+'GENERADO NO Sep Origen'!Y12+'RECH-RECUP_PS locales'!Y172</f>
        <v>136.52761200000003</v>
      </c>
      <c r="Z12" s="322">
        <f>+'GENERADO NO Sep Origen'!Z12+'RECH-RECUP_PS locales'!Z172</f>
        <v>137.02419900000001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28"/>
      <c r="E13" s="278"/>
      <c r="F13" s="263"/>
      <c r="G13" s="322">
        <f>+'GENERADO NO Sep Origen'!G13+'RECH-RECUP_PS locales'!G173</f>
        <v>188.39535659999999</v>
      </c>
      <c r="H13" s="322">
        <f>+'GENERADO NO Sep Origen'!H13+'RECH-RECUP_PS locales'!H173</f>
        <v>176.23715039999999</v>
      </c>
      <c r="I13" s="322">
        <f>+'GENERADO NO Sep Origen'!I13+'RECH-RECUP_PS locales'!I173</f>
        <v>163.908951</v>
      </c>
      <c r="J13" s="322">
        <f>+'GENERADO NO Sep Origen'!J13+'RECH-RECUP_PS locales'!J173</f>
        <v>145.58562000000001</v>
      </c>
      <c r="K13" s="322">
        <f>+'GENERADO NO Sep Origen'!K13+'RECH-RECUP_PS locales'!K173</f>
        <v>127.01157300000001</v>
      </c>
      <c r="L13" s="322">
        <f>+'GENERADO NO Sep Origen'!L13+'RECH-RECUP_PS locales'!L173</f>
        <v>127.85490900000001</v>
      </c>
      <c r="M13" s="322">
        <f>+'GENERADO NO Sep Origen'!M13+'RECH-RECUP_PS locales'!M173</f>
        <v>128.70421200000001</v>
      </c>
      <c r="N13" s="322">
        <f>+'GENERADO NO Sep Origen'!N13+'RECH-RECUP_PS locales'!N173</f>
        <v>129.558156</v>
      </c>
      <c r="O13" s="322">
        <f>+'GENERADO NO Sep Origen'!O13+'RECH-RECUP_PS locales'!O173</f>
        <v>130.41873000000001</v>
      </c>
      <c r="P13" s="322">
        <f>+'GENERADO NO Sep Origen'!P13+'RECH-RECUP_PS locales'!P173</f>
        <v>131.28460800000002</v>
      </c>
      <c r="Q13" s="322">
        <f>+'GENERADO NO Sep Origen'!Q13+'RECH-RECUP_PS locales'!Q173</f>
        <v>132.156453</v>
      </c>
      <c r="R13" s="322">
        <f>+'GENERADO NO Sep Origen'!R13+'RECH-RECUP_PS locales'!R173</f>
        <v>133.03360200000003</v>
      </c>
      <c r="S13" s="322">
        <f>+'GENERADO NO Sep Origen'!S13+'RECH-RECUP_PS locales'!S173</f>
        <v>133.916718</v>
      </c>
      <c r="T13" s="322">
        <f>+'GENERADO NO Sep Origen'!T13+'RECH-RECUP_PS locales'!T173</f>
        <v>134.805801</v>
      </c>
      <c r="U13" s="322">
        <f>+'GENERADO NO Sep Origen'!U13+'RECH-RECUP_PS locales'!U173</f>
        <v>135.700851</v>
      </c>
      <c r="V13" s="322">
        <f>+'GENERADO NO Sep Origen'!V13+'RECH-RECUP_PS locales'!V173</f>
        <v>136.60186800000002</v>
      </c>
      <c r="W13" s="322">
        <f>+'GENERADO NO Sep Origen'!W13+'RECH-RECUP_PS locales'!W173</f>
        <v>137.50885200000002</v>
      </c>
      <c r="X13" s="322">
        <f>+'GENERADO NO Sep Origen'!X13+'RECH-RECUP_PS locales'!X173</f>
        <v>138.42180300000001</v>
      </c>
      <c r="Y13" s="322">
        <f>+'GENERADO NO Sep Origen'!Y13+'RECH-RECUP_PS locales'!Y173</f>
        <v>139.340721</v>
      </c>
      <c r="Z13" s="322">
        <f>+'GENERADO NO Sep Origen'!Z13+'RECH-RECUP_PS locales'!Z173</f>
        <v>140.26560599999999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28"/>
      <c r="E14" s="278"/>
      <c r="F14" s="263"/>
      <c r="G14" s="322">
        <f>+'GENERADO NO Sep Origen'!G14+'RECH-RECUP_PS locales'!G174</f>
        <v>479.98300679999994</v>
      </c>
      <c r="H14" s="322">
        <f>+'GENERADO NO Sep Origen'!H14+'RECH-RECUP_PS locales'!H174</f>
        <v>453.26113799999996</v>
      </c>
      <c r="I14" s="322">
        <f>+'GENERADO NO Sep Origen'!I14+'RECH-RECUP_PS locales'!I174</f>
        <v>425.54899799999993</v>
      </c>
      <c r="J14" s="322">
        <f>+'GENERADO NO Sep Origen'!J14+'RECH-RECUP_PS locales'!J174</f>
        <v>381.55868999999996</v>
      </c>
      <c r="K14" s="322">
        <f>+'GENERADO NO Sep Origen'!K14+'RECH-RECUP_PS locales'!K174</f>
        <v>336.03380850000002</v>
      </c>
      <c r="L14" s="322">
        <f>+'GENERADO NO Sep Origen'!L14+'RECH-RECUP_PS locales'!L174</f>
        <v>341.47048649999999</v>
      </c>
      <c r="M14" s="322">
        <f>+'GENERADO NO Sep Origen'!M14+'RECH-RECUP_PS locales'!M174</f>
        <v>346.99514849999997</v>
      </c>
      <c r="N14" s="322">
        <f>+'GENERADO NO Sep Origen'!N14+'RECH-RECUP_PS locales'!N174</f>
        <v>352.60962749999999</v>
      </c>
      <c r="O14" s="322">
        <f>+'GENERADO NO Sep Origen'!O14+'RECH-RECUP_PS locales'!O174</f>
        <v>358.31392349999999</v>
      </c>
      <c r="P14" s="322">
        <f>+'GENERADO NO Sep Origen'!P14+'RECH-RECUP_PS locales'!P174</f>
        <v>364.11078599999996</v>
      </c>
      <c r="Q14" s="322">
        <f>+'GENERADO NO Sep Origen'!Q14+'RECH-RECUP_PS locales'!Q174</f>
        <v>370.00204799999995</v>
      </c>
      <c r="R14" s="322">
        <f>+'GENERADO NO Sep Origen'!R14+'RECH-RECUP_PS locales'!R174</f>
        <v>375.98770950000005</v>
      </c>
      <c r="S14" s="322">
        <f>+'GENERADO NO Sep Origen'!S14+'RECH-RECUP_PS locales'!S174</f>
        <v>382.07051999999999</v>
      </c>
      <c r="T14" s="322">
        <f>+'GENERADO NO Sep Origen'!T14+'RECH-RECUP_PS locales'!T174</f>
        <v>388.25231250000002</v>
      </c>
      <c r="U14" s="322">
        <f>+'GENERADO NO Sep Origen'!U14+'RECH-RECUP_PS locales'!U174</f>
        <v>394.53308700000002</v>
      </c>
      <c r="V14" s="322">
        <f>+'GENERADO NO Sep Origen'!V14+'RECH-RECUP_PS locales'!V174</f>
        <v>400.91650949999996</v>
      </c>
      <c r="W14" s="322">
        <f>+'GENERADO NO Sep Origen'!W14+'RECH-RECUP_PS locales'!W174</f>
        <v>407.40258</v>
      </c>
      <c r="X14" s="322">
        <f>+'GENERADO NO Sep Origen'!X14+'RECH-RECUP_PS locales'!X174</f>
        <v>413.99404800000002</v>
      </c>
      <c r="Y14" s="322">
        <f>+'GENERADO NO Sep Origen'!Y14+'RECH-RECUP_PS locales'!Y174</f>
        <v>420.69182999999998</v>
      </c>
      <c r="Z14" s="322">
        <f>+'GENERADO NO Sep Origen'!Z14+'RECH-RECUP_PS locales'!Z174</f>
        <v>427.49775899999997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28"/>
      <c r="E15" s="278"/>
      <c r="F15" s="263"/>
      <c r="G15" s="322">
        <f>+'GENERADO NO Sep Origen'!G15+'RECH-RECUP_PS locales'!G175</f>
        <v>3137.5686177000002</v>
      </c>
      <c r="H15" s="322">
        <f>+'GENERADO NO Sep Origen'!H15+'RECH-RECUP_PS locales'!H175</f>
        <v>2959.9846871999994</v>
      </c>
      <c r="I15" s="322">
        <f>+'GENERADO NO Sep Origen'!I15+'RECH-RECUP_PS locales'!I175</f>
        <v>2775.6636779999994</v>
      </c>
      <c r="J15" s="322">
        <f>+'GENERADO NO Sep Origen'!J15+'RECH-RECUP_PS locales'!J175</f>
        <v>2485.1990249999999</v>
      </c>
      <c r="K15" s="322">
        <f>+'GENERADO NO Sep Origen'!K15+'RECH-RECUP_PS locales'!K175</f>
        <v>2185.1119679999997</v>
      </c>
      <c r="L15" s="322">
        <f>+'GENERADO NO Sep Origen'!L15+'RECH-RECUP_PS locales'!L175</f>
        <v>2216.3847809999997</v>
      </c>
      <c r="M15" s="322">
        <f>+'GENERADO NO Sep Origen'!M15+'RECH-RECUP_PS locales'!M175</f>
        <v>2247.6575939999998</v>
      </c>
      <c r="N15" s="322">
        <f>+'GENERADO NO Sep Origen'!N15+'RECH-RECUP_PS locales'!N175</f>
        <v>2278.9313235</v>
      </c>
      <c r="O15" s="322">
        <f>+'GENERADO NO Sep Origen'!O15+'RECH-RECUP_PS locales'!O175</f>
        <v>2310.2041365</v>
      </c>
      <c r="P15" s="322">
        <f>+'GENERADO NO Sep Origen'!P15+'RECH-RECUP_PS locales'!P175</f>
        <v>2341.4769495</v>
      </c>
      <c r="Q15" s="322">
        <f>+'GENERADO NO Sep Origen'!Q15+'RECH-RECUP_PS locales'!Q175</f>
        <v>2372.7497625000001</v>
      </c>
      <c r="R15" s="322">
        <f>+'GENERADO NO Sep Origen'!R15+'RECH-RECUP_PS locales'!R175</f>
        <v>2404.0225755000001</v>
      </c>
      <c r="S15" s="322">
        <f>+'GENERADO NO Sep Origen'!S15+'RECH-RECUP_PS locales'!S175</f>
        <v>2435.2953884999997</v>
      </c>
      <c r="T15" s="322">
        <f>+'GENERADO NO Sep Origen'!T15+'RECH-RECUP_PS locales'!T175</f>
        <v>2466.5691179999999</v>
      </c>
      <c r="U15" s="322">
        <f>+'GENERADO NO Sep Origen'!U15+'RECH-RECUP_PS locales'!U175</f>
        <v>2497.8419309999999</v>
      </c>
      <c r="V15" s="322">
        <f>+'GENERADO NO Sep Origen'!V15+'RECH-RECUP_PS locales'!V175</f>
        <v>2529.1147439999995</v>
      </c>
      <c r="W15" s="322">
        <f>+'GENERADO NO Sep Origen'!W15+'RECH-RECUP_PS locales'!W175</f>
        <v>2560.387557</v>
      </c>
      <c r="X15" s="322">
        <f>+'GENERADO NO Sep Origen'!X15+'RECH-RECUP_PS locales'!X175</f>
        <v>2591.6603699999996</v>
      </c>
      <c r="Y15" s="322">
        <f>+'GENERADO NO Sep Origen'!Y15+'RECH-RECUP_PS locales'!Y175</f>
        <v>2622.9331830000001</v>
      </c>
      <c r="Z15" s="322">
        <f>+'GENERADO NO Sep Origen'!Z15+'RECH-RECUP_PS locales'!Z175</f>
        <v>2654.2069124999998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28"/>
      <c r="E16" s="278"/>
      <c r="F16" s="263"/>
      <c r="G16" s="322">
        <f>+'GENERADO NO Sep Origen'!G16+'RECH-RECUP_PS locales'!G176</f>
        <v>631.67825159999995</v>
      </c>
      <c r="H16" s="322">
        <f>+'GENERADO NO Sep Origen'!H16+'RECH-RECUP_PS locales'!H176</f>
        <v>586.47190319999993</v>
      </c>
      <c r="I16" s="322">
        <f>+'GENERADO NO Sep Origen'!I16+'RECH-RECUP_PS locales'!I176</f>
        <v>541.3480679999999</v>
      </c>
      <c r="J16" s="322">
        <f>+'GENERADO NO Sep Origen'!J16+'RECH-RECUP_PS locales'!J176</f>
        <v>477.21908250000001</v>
      </c>
      <c r="K16" s="322">
        <f>+'GENERADO NO Sep Origen'!K16+'RECH-RECUP_PS locales'!K176</f>
        <v>413.20769100000007</v>
      </c>
      <c r="L16" s="322">
        <f>+'GENERADO NO Sep Origen'!L16+'RECH-RECUP_PS locales'!L176</f>
        <v>412.82642699999997</v>
      </c>
      <c r="M16" s="322">
        <f>+'GENERADO NO Sep Origen'!M16+'RECH-RECUP_PS locales'!M176</f>
        <v>412.44516299999998</v>
      </c>
      <c r="N16" s="322">
        <f>+'GENERADO NO Sep Origen'!N16+'RECH-RECUP_PS locales'!N176</f>
        <v>412.06389899999999</v>
      </c>
      <c r="O16" s="322">
        <f>+'GENERADO NO Sep Origen'!O16+'RECH-RECUP_PS locales'!O176</f>
        <v>411.68355149999996</v>
      </c>
      <c r="P16" s="322">
        <f>+'GENERADO NO Sep Origen'!P16+'RECH-RECUP_PS locales'!P176</f>
        <v>411.30320399999994</v>
      </c>
      <c r="Q16" s="322">
        <f>+'GENERADO NO Sep Origen'!Q16+'RECH-RECUP_PS locales'!Q176</f>
        <v>410.92377299999998</v>
      </c>
      <c r="R16" s="322">
        <f>+'GENERADO NO Sep Origen'!R16+'RECH-RECUP_PS locales'!R176</f>
        <v>410.54434200000003</v>
      </c>
      <c r="S16" s="322">
        <f>+'GENERADO NO Sep Origen'!S16+'RECH-RECUP_PS locales'!S176</f>
        <v>410.16491099999996</v>
      </c>
      <c r="T16" s="322">
        <f>+'GENERADO NO Sep Origen'!T16+'RECH-RECUP_PS locales'!T176</f>
        <v>409.78639650000002</v>
      </c>
      <c r="U16" s="322">
        <f>+'GENERADO NO Sep Origen'!U16+'RECH-RECUP_PS locales'!U176</f>
        <v>409.40788199999997</v>
      </c>
      <c r="V16" s="322">
        <f>+'GENERADO NO Sep Origen'!V16+'RECH-RECUP_PS locales'!V176</f>
        <v>409.02936749999998</v>
      </c>
      <c r="W16" s="322">
        <f>+'GENERADO NO Sep Origen'!W16+'RECH-RECUP_PS locales'!W176</f>
        <v>408.65176949999989</v>
      </c>
      <c r="X16" s="322">
        <f>+'GENERADO NO Sep Origen'!X16+'RECH-RECUP_PS locales'!X176</f>
        <v>408.27508800000004</v>
      </c>
      <c r="Y16" s="322">
        <f>+'GENERADO NO Sep Origen'!Y16+'RECH-RECUP_PS locales'!Y176</f>
        <v>407.89748999999995</v>
      </c>
      <c r="Z16" s="322">
        <f>+'GENERADO NO Sep Origen'!Z16+'RECH-RECUP_PS locales'!Z176</f>
        <v>407.52080849999993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28"/>
      <c r="E17" s="278"/>
      <c r="F17" s="263"/>
      <c r="G17" s="322">
        <f>+'GENERADO NO Sep Origen'!G17+'RECH-RECUP_PS locales'!G177</f>
        <v>967.24004849999994</v>
      </c>
      <c r="H17" s="322">
        <f>+'GENERADO NO Sep Origen'!H17+'RECH-RECUP_PS locales'!H177</f>
        <v>905.95929119999994</v>
      </c>
      <c r="I17" s="322">
        <f>+'GENERADO NO Sep Origen'!I17+'RECH-RECUP_PS locales'!I177</f>
        <v>843.70325099999991</v>
      </c>
      <c r="J17" s="322">
        <f>+'GENERADO NO Sep Origen'!J17+'RECH-RECUP_PS locales'!J177</f>
        <v>750.43055249999998</v>
      </c>
      <c r="K17" s="322">
        <f>+'GENERADO NO Sep Origen'!K17+'RECH-RECUP_PS locales'!K177</f>
        <v>655.64577000000008</v>
      </c>
      <c r="L17" s="322">
        <f>+'GENERADO NO Sep Origen'!L17+'RECH-RECUP_PS locales'!L177</f>
        <v>661.00454549999995</v>
      </c>
      <c r="M17" s="322">
        <f>+'GENERADO NO Sep Origen'!M17+'RECH-RECUP_PS locales'!M177</f>
        <v>666.45130500000005</v>
      </c>
      <c r="N17" s="322">
        <f>+'GENERADO NO Sep Origen'!N17+'RECH-RECUP_PS locales'!N177</f>
        <v>671.98604849999992</v>
      </c>
      <c r="O17" s="322">
        <f>+'GENERADO NO Sep Origen'!O17+'RECH-RECUP_PS locales'!O177</f>
        <v>677.61152549999997</v>
      </c>
      <c r="P17" s="322">
        <f>+'GENERADO NO Sep Origen'!P17+'RECH-RECUP_PS locales'!P177</f>
        <v>683.32865249999986</v>
      </c>
      <c r="Q17" s="322">
        <f>+'GENERADO NO Sep Origen'!Q17+'RECH-RECUP_PS locales'!Q177</f>
        <v>689.13926250000009</v>
      </c>
      <c r="R17" s="322">
        <f>+'GENERADO NO Sep Origen'!R17+'RECH-RECUP_PS locales'!R177</f>
        <v>695.04518850000011</v>
      </c>
      <c r="S17" s="322">
        <f>+'GENERADO NO Sep Origen'!S17+'RECH-RECUP_PS locales'!S177</f>
        <v>701.04643050000004</v>
      </c>
      <c r="T17" s="322">
        <f>+'GENERADO NO Sep Origen'!T17+'RECH-RECUP_PS locales'!T177</f>
        <v>707.14573799999994</v>
      </c>
      <c r="U17" s="322">
        <f>+'GENERADO NO Sep Origen'!U17+'RECH-RECUP_PS locales'!U177</f>
        <v>713.34494400000017</v>
      </c>
      <c r="V17" s="322">
        <f>+'GENERADO NO Sep Origen'!V17+'RECH-RECUP_PS locales'!V177</f>
        <v>719.64496499999996</v>
      </c>
      <c r="W17" s="322">
        <f>+'GENERADO NO Sep Origen'!W17+'RECH-RECUP_PS locales'!W177</f>
        <v>726.04855049999992</v>
      </c>
      <c r="X17" s="322">
        <f>+'GENERADO NO Sep Origen'!X17+'RECH-RECUP_PS locales'!X177</f>
        <v>732.55570049999994</v>
      </c>
      <c r="Y17" s="322">
        <f>+'GENERADO NO Sep Origen'!Y17+'RECH-RECUP_PS locales'!Y177</f>
        <v>739.16916449999985</v>
      </c>
      <c r="Z17" s="322">
        <f>+'GENERADO NO Sep Origen'!Z17+'RECH-RECUP_PS locales'!Z177</f>
        <v>745.89077550000002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28"/>
      <c r="E18" s="278"/>
      <c r="F18" s="263"/>
      <c r="G18" s="322">
        <f>+'GENERADO NO Sep Origen'!G18+'RECH-RECUP_PS locales'!G178</f>
        <v>540.86797709999996</v>
      </c>
      <c r="H18" s="322">
        <f>+'GENERADO NO Sep Origen'!H18+'RECH-RECUP_PS locales'!H178</f>
        <v>508.43494559999993</v>
      </c>
      <c r="I18" s="322">
        <f>+'GENERADO NO Sep Origen'!I18+'RECH-RECUP_PS locales'!I178</f>
        <v>475.18127999999996</v>
      </c>
      <c r="J18" s="322">
        <f>+'GENERADO NO Sep Origen'!J18+'RECH-RECUP_PS locales'!J178</f>
        <v>424.1241225</v>
      </c>
      <c r="K18" s="322">
        <f>+'GENERADO NO Sep Origen'!K18+'RECH-RECUP_PS locales'!K178</f>
        <v>371.82405000000006</v>
      </c>
      <c r="L18" s="322">
        <f>+'GENERADO NO Sep Origen'!L18+'RECH-RECUP_PS locales'!L178</f>
        <v>376.12335150000001</v>
      </c>
      <c r="M18" s="322">
        <f>+'GENERADO NO Sep Origen'!M18+'RECH-RECUP_PS locales'!M178</f>
        <v>380.47122749999994</v>
      </c>
      <c r="N18" s="322">
        <f>+'GENERADO NO Sep Origen'!N18+'RECH-RECUP_PS locales'!N178</f>
        <v>384.87042750000001</v>
      </c>
      <c r="O18" s="322">
        <f>+'GENERADO NO Sep Origen'!O18+'RECH-RECUP_PS locales'!O178</f>
        <v>389.32003499999996</v>
      </c>
      <c r="P18" s="322">
        <f>+'GENERADO NO Sep Origen'!P18+'RECH-RECUP_PS locales'!P178</f>
        <v>393.82096649999994</v>
      </c>
      <c r="Q18" s="322">
        <f>+'GENERADO NO Sep Origen'!Q18+'RECH-RECUP_PS locales'!Q178</f>
        <v>398.37413849999996</v>
      </c>
      <c r="R18" s="322">
        <f>+'GENERADO NO Sep Origen'!R18+'RECH-RECUP_PS locales'!R178</f>
        <v>402.97955100000001</v>
      </c>
      <c r="S18" s="322">
        <f>+'GENERADO NO Sep Origen'!S18+'RECH-RECUP_PS locales'!S178</f>
        <v>407.63903700000003</v>
      </c>
      <c r="T18" s="322">
        <f>+'GENERADO NO Sep Origen'!T18+'RECH-RECUP_PS locales'!T178</f>
        <v>412.35167999999999</v>
      </c>
      <c r="U18" s="322">
        <f>+'GENERADO NO Sep Origen'!U18+'RECH-RECUP_PS locales'!U178</f>
        <v>417.11839650000002</v>
      </c>
      <c r="V18" s="322">
        <f>+'GENERADO NO Sep Origen'!V18+'RECH-RECUP_PS locales'!V178</f>
        <v>421.94101949999992</v>
      </c>
      <c r="W18" s="322">
        <f>+'GENERADO NO Sep Origen'!W18+'RECH-RECUP_PS locales'!W178</f>
        <v>426.81954899999999</v>
      </c>
      <c r="X18" s="322">
        <f>+'GENERADO NO Sep Origen'!X18+'RECH-RECUP_PS locales'!X178</f>
        <v>431.75398499999994</v>
      </c>
      <c r="Y18" s="322">
        <f>+'GENERADO NO Sep Origen'!Y18+'RECH-RECUP_PS locales'!Y178</f>
        <v>436.74524400000001</v>
      </c>
      <c r="Z18" s="322">
        <f>+'GENERADO NO Sep Origen'!Z18+'RECH-RECUP_PS locales'!Z178</f>
        <v>441.79515900000001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28"/>
      <c r="E19" s="278"/>
      <c r="F19" s="263"/>
      <c r="G19" s="322">
        <f>+'GENERADO NO Sep Origen'!G19+'RECH-RECUP_PS locales'!G179</f>
        <v>903.56886179999992</v>
      </c>
      <c r="H19" s="322">
        <f>+'GENERADO NO Sep Origen'!H19+'RECH-RECUP_PS locales'!H179</f>
        <v>849.14711999999997</v>
      </c>
      <c r="I19" s="322">
        <f>+'GENERADO NO Sep Origen'!I19+'RECH-RECUP_PS locales'!I179</f>
        <v>793.28475299999991</v>
      </c>
      <c r="J19" s="322">
        <f>+'GENERADO NO Sep Origen'!J19+'RECH-RECUP_PS locales'!J179</f>
        <v>707.67371249999997</v>
      </c>
      <c r="K19" s="322">
        <f>+'GENERADO NO Sep Origen'!K19+'RECH-RECUP_PS locales'!K179</f>
        <v>620.00583449999999</v>
      </c>
      <c r="L19" s="322">
        <f>+'GENERADO NO Sep Origen'!L19+'RECH-RECUP_PS locales'!L179</f>
        <v>626.69445150000001</v>
      </c>
      <c r="M19" s="322">
        <f>+'GENERADO NO Sep Origen'!M19+'RECH-RECUP_PS locales'!M179</f>
        <v>633.38306850000004</v>
      </c>
      <c r="N19" s="322">
        <f>+'GENERADO NO Sep Origen'!N19+'RECH-RECUP_PS locales'!N179</f>
        <v>640.07076899999993</v>
      </c>
      <c r="O19" s="322">
        <f>+'GENERADO NO Sep Origen'!O19+'RECH-RECUP_PS locales'!O179</f>
        <v>646.75938599999995</v>
      </c>
      <c r="P19" s="322">
        <f>+'GENERADO NO Sep Origen'!P19+'RECH-RECUP_PS locales'!P179</f>
        <v>653.44800299999997</v>
      </c>
      <c r="Q19" s="322">
        <f>+'GENERADO NO Sep Origen'!Q19+'RECH-RECUP_PS locales'!Q179</f>
        <v>660.13570349999986</v>
      </c>
      <c r="R19" s="322">
        <f>+'GENERADO NO Sep Origen'!R19+'RECH-RECUP_PS locales'!R179</f>
        <v>666.8243205</v>
      </c>
      <c r="S19" s="322">
        <f>+'GENERADO NO Sep Origen'!S19+'RECH-RECUP_PS locales'!S179</f>
        <v>673.51293749999991</v>
      </c>
      <c r="T19" s="322">
        <f>+'GENERADO NO Sep Origen'!T19+'RECH-RECUP_PS locales'!T179</f>
        <v>680.20155449999993</v>
      </c>
      <c r="U19" s="322">
        <f>+'GENERADO NO Sep Origen'!U19+'RECH-RECUP_PS locales'!U179</f>
        <v>686.88925500000005</v>
      </c>
      <c r="V19" s="322">
        <f>+'GENERADO NO Sep Origen'!V19+'RECH-RECUP_PS locales'!V179</f>
        <v>693.57787200000007</v>
      </c>
      <c r="W19" s="322">
        <f>+'GENERADO NO Sep Origen'!W19+'RECH-RECUP_PS locales'!W179</f>
        <v>700.26648899999998</v>
      </c>
      <c r="X19" s="322">
        <f>+'GENERADO NO Sep Origen'!X19+'RECH-RECUP_PS locales'!X179</f>
        <v>706.95418949999998</v>
      </c>
      <c r="Y19" s="322">
        <f>+'GENERADO NO Sep Origen'!Y19+'RECH-RECUP_PS locales'!Y179</f>
        <v>713.64280650000001</v>
      </c>
      <c r="Z19" s="322">
        <f>+'GENERADO NO Sep Origen'!Z19+'RECH-RECUP_PS locales'!Z179</f>
        <v>720.33142350000003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28"/>
      <c r="E20" s="278"/>
      <c r="F20" s="263"/>
      <c r="G20" s="322">
        <f>+'GENERADO NO Sep Origen'!G20+'RECH-RECUP_PS locales'!G180</f>
        <v>864.42503399999998</v>
      </c>
      <c r="H20" s="322">
        <f>+'GENERADO NO Sep Origen'!H20+'RECH-RECUP_PS locales'!H180</f>
        <v>819.21163559999991</v>
      </c>
      <c r="I20" s="322">
        <f>+'GENERADO NO Sep Origen'!I20+'RECH-RECUP_PS locales'!I180</f>
        <v>771.86755800000003</v>
      </c>
      <c r="J20" s="322">
        <f>+'GENERADO NO Sep Origen'!J20+'RECH-RECUP_PS locales'!J180</f>
        <v>694.54484999999988</v>
      </c>
      <c r="K20" s="322">
        <f>+'GENERADO NO Sep Origen'!K20+'RECH-RECUP_PS locales'!K180</f>
        <v>613.85795250000001</v>
      </c>
      <c r="L20" s="322">
        <f>+'GENERADO NO Sep Origen'!L20+'RECH-RECUP_PS locales'!L180</f>
        <v>626.01349200000004</v>
      </c>
      <c r="M20" s="322">
        <f>+'GENERADO NO Sep Origen'!M20+'RECH-RECUP_PS locales'!M180</f>
        <v>638.4091545</v>
      </c>
      <c r="N20" s="322">
        <f>+'GENERADO NO Sep Origen'!N20+'RECH-RECUP_PS locales'!N180</f>
        <v>651.0513555</v>
      </c>
      <c r="O20" s="322">
        <f>+'GENERADO NO Sep Origen'!O20+'RECH-RECUP_PS locales'!O180</f>
        <v>663.94284449999998</v>
      </c>
      <c r="P20" s="322">
        <f>+'GENERADO NO Sep Origen'!P20+'RECH-RECUP_PS locales'!P180</f>
        <v>677.09003699999994</v>
      </c>
      <c r="Q20" s="322">
        <f>+'GENERADO NO Sep Origen'!Q20+'RECH-RECUP_PS locales'!Q180</f>
        <v>690.49751549999996</v>
      </c>
      <c r="R20" s="322">
        <f>+'GENERADO NO Sep Origen'!R20+'RECH-RECUP_PS locales'!R180</f>
        <v>704.16986250000002</v>
      </c>
      <c r="S20" s="322">
        <f>+'GENERADO NO Sep Origen'!S20+'RECH-RECUP_PS locales'!S180</f>
        <v>718.1134935</v>
      </c>
      <c r="T20" s="322">
        <f>+'GENERADO NO Sep Origen'!T20+'RECH-RECUP_PS locales'!T180</f>
        <v>732.33299099999988</v>
      </c>
      <c r="U20" s="322">
        <f>+'GENERADO NO Sep Origen'!U20+'RECH-RECUP_PS locales'!U180</f>
        <v>746.83477049999988</v>
      </c>
      <c r="V20" s="322">
        <f>+'GENERADO NO Sep Origen'!V20+'RECH-RECUP_PS locales'!V180</f>
        <v>761.62249799999995</v>
      </c>
      <c r="W20" s="322">
        <f>+'GENERADO NO Sep Origen'!W20+'RECH-RECUP_PS locales'!W180</f>
        <v>776.70442200000002</v>
      </c>
      <c r="X20" s="322">
        <f>+'GENERADO NO Sep Origen'!X20+'RECH-RECUP_PS locales'!X180</f>
        <v>792.08420849999993</v>
      </c>
      <c r="Y20" s="322">
        <f>+'GENERADO NO Sep Origen'!Y20+'RECH-RECUP_PS locales'!Y180</f>
        <v>807.76827299999991</v>
      </c>
      <c r="Z20" s="322">
        <f>+'GENERADO NO Sep Origen'!Z20+'RECH-RECUP_PS locales'!Z180</f>
        <v>823.76303099999996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28"/>
      <c r="E21" s="278"/>
      <c r="F21" s="263"/>
      <c r="G21" s="322">
        <f>+'GENERADO NO Sep Origen'!G21+'RECH-RECUP_PS locales'!G181</f>
        <v>498.55824809999996</v>
      </c>
      <c r="H21" s="322">
        <f>+'GENERADO NO Sep Origen'!H21+'RECH-RECUP_PS locales'!H181</f>
        <v>466.6508364</v>
      </c>
      <c r="I21" s="322">
        <f>+'GENERADO NO Sep Origen'!I21+'RECH-RECUP_PS locales'!I181</f>
        <v>434.28486449999997</v>
      </c>
      <c r="J21" s="322">
        <f>+'GENERADO NO Sep Origen'!J21+'RECH-RECUP_PS locales'!J181</f>
        <v>386.00864999999999</v>
      </c>
      <c r="K21" s="322">
        <f>+'GENERADO NO Sep Origen'!K21+'RECH-RECUP_PS locales'!K181</f>
        <v>337.02087900000004</v>
      </c>
      <c r="L21" s="322">
        <f>+'GENERADO NO Sep Origen'!L21+'RECH-RECUP_PS locales'!L181</f>
        <v>339.5421705</v>
      </c>
      <c r="M21" s="322">
        <f>+'GENERADO NO Sep Origen'!M21+'RECH-RECUP_PS locales'!M181</f>
        <v>342.10378800000001</v>
      </c>
      <c r="N21" s="322">
        <f>+'GENERADO NO Sep Origen'!N21+'RECH-RECUP_PS locales'!N181</f>
        <v>344.70756449999999</v>
      </c>
      <c r="O21" s="322">
        <f>+'GENERADO NO Sep Origen'!O21+'RECH-RECUP_PS locales'!O181</f>
        <v>347.35441649999996</v>
      </c>
      <c r="P21" s="322">
        <f>+'GENERADO NO Sep Origen'!P21+'RECH-RECUP_PS locales'!P181</f>
        <v>350.04342750000001</v>
      </c>
      <c r="Q21" s="322">
        <f>+'GENERADO NO Sep Origen'!Q21+'RECH-RECUP_PS locales'!Q181</f>
        <v>352.77643050000006</v>
      </c>
      <c r="R21" s="322">
        <f>+'GENERADO NO Sep Origen'!R21+'RECH-RECUP_PS locales'!R181</f>
        <v>355.55434200000002</v>
      </c>
      <c r="S21" s="322">
        <f>+'GENERADO NO Sep Origen'!S21+'RECH-RECUP_PS locales'!S181</f>
        <v>358.37807850000002</v>
      </c>
      <c r="T21" s="322">
        <f>+'GENERADO NO Sep Origen'!T21+'RECH-RECUP_PS locales'!T181</f>
        <v>361.24672350000003</v>
      </c>
      <c r="U21" s="322">
        <f>+'GENERADO NO Sep Origen'!U21+'RECH-RECUP_PS locales'!U181</f>
        <v>364.16302649999994</v>
      </c>
      <c r="V21" s="322">
        <f>+'GENERADO NO Sep Origen'!V21+'RECH-RECUP_PS locales'!V181</f>
        <v>367.12698750000004</v>
      </c>
      <c r="W21" s="322">
        <f>+'GENERADO NO Sep Origen'!W21+'RECH-RECUP_PS locales'!W181</f>
        <v>370.13860650000004</v>
      </c>
      <c r="X21" s="322">
        <f>+'GENERADO NO Sep Origen'!X21+'RECH-RECUP_PS locales'!X181</f>
        <v>373.19971649999991</v>
      </c>
      <c r="Y21" s="322">
        <f>+'GENERADO NO Sep Origen'!Y21+'RECH-RECUP_PS locales'!Y181</f>
        <v>376.3103175</v>
      </c>
      <c r="Z21" s="322">
        <f>+'GENERADO NO Sep Origen'!Z21+'RECH-RECUP_PS locales'!Z181</f>
        <v>379.47224249999999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28"/>
      <c r="E22" s="278"/>
      <c r="F22" s="263"/>
      <c r="G22" s="322">
        <f>+'GENERADO NO Sep Origen'!G22+'RECH-RECUP_PS locales'!G182</f>
        <v>913.48393949999991</v>
      </c>
      <c r="H22" s="322">
        <f>+'GENERADO NO Sep Origen'!H22+'RECH-RECUP_PS locales'!H182</f>
        <v>855.05197439999995</v>
      </c>
      <c r="I22" s="322">
        <f>+'GENERADO NO Sep Origen'!I22+'RECH-RECUP_PS locales'!I182</f>
        <v>795.72370049999995</v>
      </c>
      <c r="J22" s="322">
        <f>+'GENERADO NO Sep Origen'!J22+'RECH-RECUP_PS locales'!J182</f>
        <v>707.20206749999988</v>
      </c>
      <c r="K22" s="322">
        <f>+'GENERADO NO Sep Origen'!K22+'RECH-RECUP_PS locales'!K182</f>
        <v>617.35439999999994</v>
      </c>
      <c r="L22" s="322">
        <f>+'GENERADO NO Sep Origen'!L22+'RECH-RECUP_PS locales'!L182</f>
        <v>621.83241899999996</v>
      </c>
      <c r="M22" s="322">
        <f>+'GENERADO NO Sep Origen'!M22+'RECH-RECUP_PS locales'!M182</f>
        <v>626.34251549999999</v>
      </c>
      <c r="N22" s="322">
        <f>+'GENERADO NO Sep Origen'!N22+'RECH-RECUP_PS locales'!N182</f>
        <v>630.88560600000005</v>
      </c>
      <c r="O22" s="322">
        <f>+'GENERADO NO Sep Origen'!O22+'RECH-RECUP_PS locales'!O182</f>
        <v>635.46169050000003</v>
      </c>
      <c r="P22" s="322">
        <f>+'GENERADO NO Sep Origen'!P22+'RECH-RECUP_PS locales'!P182</f>
        <v>640.07168549999994</v>
      </c>
      <c r="Q22" s="322">
        <f>+'GENERADO NO Sep Origen'!Q22+'RECH-RECUP_PS locales'!Q182</f>
        <v>644.71375799999998</v>
      </c>
      <c r="R22" s="322">
        <f>+'GENERADO NO Sep Origen'!R22+'RECH-RECUP_PS locales'!R182</f>
        <v>649.39065749999986</v>
      </c>
      <c r="S22" s="322">
        <f>+'GENERADO NO Sep Origen'!S22+'RECH-RECUP_PS locales'!S182</f>
        <v>654.100551</v>
      </c>
      <c r="T22" s="322">
        <f>+'GENERADO NO Sep Origen'!T22+'RECH-RECUP_PS locales'!T182</f>
        <v>658.84527150000008</v>
      </c>
      <c r="U22" s="322">
        <f>+'GENERADO NO Sep Origen'!U22+'RECH-RECUP_PS locales'!U182</f>
        <v>663.62481899999989</v>
      </c>
      <c r="V22" s="322">
        <f>+'GENERADO NO Sep Origen'!V22+'RECH-RECUP_PS locales'!V182</f>
        <v>668.43827699999997</v>
      </c>
      <c r="W22" s="322">
        <f>+'GENERADO NO Sep Origen'!W22+'RECH-RECUP_PS locales'!W182</f>
        <v>673.286562</v>
      </c>
      <c r="X22" s="322">
        <f>+'GENERADO NO Sep Origen'!X22+'RECH-RECUP_PS locales'!X182</f>
        <v>678.17059049999989</v>
      </c>
      <c r="Y22" s="322">
        <f>+'GENERADO NO Sep Origen'!Y22+'RECH-RECUP_PS locales'!Y182</f>
        <v>683.08944599999995</v>
      </c>
      <c r="Z22" s="322">
        <f>+'GENERADO NO Sep Origen'!Z22+'RECH-RECUP_PS locales'!Z182</f>
        <v>688.0440450000001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28"/>
      <c r="E23" s="278"/>
      <c r="F23" s="263"/>
      <c r="G23" s="322">
        <f>+'GENERADO NO Sep Origen'!G23+'RECH-RECUP_PS locales'!G183</f>
        <v>177.00380279999999</v>
      </c>
      <c r="H23" s="322">
        <f>+'GENERADO NO Sep Origen'!H23+'RECH-RECUP_PS locales'!H183</f>
        <v>165.43241279999998</v>
      </c>
      <c r="I23" s="322">
        <f>+'GENERADO NO Sep Origen'!I23+'RECH-RECUP_PS locales'!I183</f>
        <v>153.71736599999997</v>
      </c>
      <c r="J23" s="322">
        <f>+'GENERADO NO Sep Origen'!J23+'RECH-RECUP_PS locales'!J183</f>
        <v>136.40256000000002</v>
      </c>
      <c r="K23" s="322">
        <f>+'GENERADO NO Sep Origen'!K23+'RECH-RECUP_PS locales'!K183</f>
        <v>118.88253000000002</v>
      </c>
      <c r="L23" s="322">
        <f>+'GENERADO NO Sep Origen'!L23+'RECH-RECUP_PS locales'!L183</f>
        <v>119.54884500000003</v>
      </c>
      <c r="M23" s="322">
        <f>+'GENERADO NO Sep Origen'!M23+'RECH-RECUP_PS locales'!M183</f>
        <v>120.21582300000001</v>
      </c>
      <c r="N23" s="322">
        <f>+'GENERADO NO Sep Origen'!N23+'RECH-RECUP_PS locales'!N183</f>
        <v>120.88280100000001</v>
      </c>
      <c r="O23" s="322">
        <f>+'GENERADO NO Sep Origen'!O23+'RECH-RECUP_PS locales'!O183</f>
        <v>121.549779</v>
      </c>
      <c r="P23" s="322">
        <f>+'GENERADO NO Sep Origen'!P23+'RECH-RECUP_PS locales'!P183</f>
        <v>122.216757</v>
      </c>
      <c r="Q23" s="322">
        <f>+'GENERADO NO Sep Origen'!Q23+'RECH-RECUP_PS locales'!Q183</f>
        <v>122.883735</v>
      </c>
      <c r="R23" s="322">
        <f>+'GENERADO NO Sep Origen'!R23+'RECH-RECUP_PS locales'!R183</f>
        <v>123.55071299999999</v>
      </c>
      <c r="S23" s="322">
        <f>+'GENERADO NO Sep Origen'!S23+'RECH-RECUP_PS locales'!S183</f>
        <v>124.217691</v>
      </c>
      <c r="T23" s="322">
        <f>+'GENERADO NO Sep Origen'!T23+'RECH-RECUP_PS locales'!T183</f>
        <v>124.88466900000002</v>
      </c>
      <c r="U23" s="322">
        <f>+'GENERADO NO Sep Origen'!U23+'RECH-RECUP_PS locales'!U183</f>
        <v>125.550984</v>
      </c>
      <c r="V23" s="322">
        <f>+'GENERADO NO Sep Origen'!V23+'RECH-RECUP_PS locales'!V183</f>
        <v>126.21796200000001</v>
      </c>
      <c r="W23" s="322">
        <f>+'GENERADO NO Sep Origen'!W23+'RECH-RECUP_PS locales'!W183</f>
        <v>126.88494000000001</v>
      </c>
      <c r="X23" s="322">
        <f>+'GENERADO NO Sep Origen'!X23+'RECH-RECUP_PS locales'!X183</f>
        <v>127.55191800000001</v>
      </c>
      <c r="Y23" s="322">
        <f>+'GENERADO NO Sep Origen'!Y23+'RECH-RECUP_PS locales'!Y183</f>
        <v>128.218896</v>
      </c>
      <c r="Z23" s="322">
        <f>+'GENERADO NO Sep Origen'!Z23+'RECH-RECUP_PS locales'!Z183</f>
        <v>128.885874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28"/>
      <c r="E24" s="278"/>
      <c r="F24" s="263"/>
      <c r="G24" s="322">
        <f>+'GENERADO NO Sep Origen'!G24+'RECH-RECUP_PS locales'!G184</f>
        <v>300.0095604</v>
      </c>
      <c r="H24" s="322">
        <f>+'GENERADO NO Sep Origen'!H24+'RECH-RECUP_PS locales'!H184</f>
        <v>279.08016000000003</v>
      </c>
      <c r="I24" s="322">
        <f>+'GENERADO NO Sep Origen'!I24+'RECH-RECUP_PS locales'!I184</f>
        <v>258.11110200000002</v>
      </c>
      <c r="J24" s="322">
        <f>+'GENERADO NO Sep Origen'!J24+'RECH-RECUP_PS locales'!J184</f>
        <v>227.98376999999999</v>
      </c>
      <c r="K24" s="322">
        <f>+'GENERADO NO Sep Origen'!K24+'RECH-RECUP_PS locales'!K184</f>
        <v>197.79610500000001</v>
      </c>
      <c r="L24" s="322">
        <f>+'GENERADO NO Sep Origen'!L24+'RECH-RECUP_PS locales'!L184</f>
        <v>198.00959100000003</v>
      </c>
      <c r="M24" s="322">
        <f>+'GENERADO NO Sep Origen'!M24+'RECH-RECUP_PS locales'!M184</f>
        <v>198.22639200000003</v>
      </c>
      <c r="N24" s="322">
        <f>+'GENERADO NO Sep Origen'!N24+'RECH-RECUP_PS locales'!N184</f>
        <v>198.44717100000003</v>
      </c>
      <c r="O24" s="322">
        <f>+'GENERADO NO Sep Origen'!O24+'RECH-RECUP_PS locales'!O184</f>
        <v>198.67126500000001</v>
      </c>
      <c r="P24" s="322">
        <f>+'GENERADO NO Sep Origen'!P24+'RECH-RECUP_PS locales'!P184</f>
        <v>198.89867400000003</v>
      </c>
      <c r="Q24" s="322">
        <f>+'GENERADO NO Sep Origen'!Q24+'RECH-RECUP_PS locales'!Q184</f>
        <v>199.13006100000001</v>
      </c>
      <c r="R24" s="322">
        <f>+'GENERADO NO Sep Origen'!R24+'RECH-RECUP_PS locales'!R184</f>
        <v>199.36542599999999</v>
      </c>
      <c r="S24" s="322">
        <f>+'GENERADO NO Sep Origen'!S24+'RECH-RECUP_PS locales'!S184</f>
        <v>199.60476900000003</v>
      </c>
      <c r="T24" s="322">
        <f>+'GENERADO NO Sep Origen'!T24+'RECH-RECUP_PS locales'!T184</f>
        <v>199.84742700000001</v>
      </c>
      <c r="U24" s="322">
        <f>+'GENERADO NO Sep Origen'!U24+'RECH-RECUP_PS locales'!U184</f>
        <v>200.09472599999998</v>
      </c>
      <c r="V24" s="322">
        <f>+'GENERADO NO Sep Origen'!V24+'RECH-RECUP_PS locales'!V184</f>
        <v>200.34533999999999</v>
      </c>
      <c r="W24" s="322">
        <f>+'GENERADO NO Sep Origen'!W24+'RECH-RECUP_PS locales'!W184</f>
        <v>200.600595</v>
      </c>
      <c r="X24" s="322">
        <f>+'GENERADO NO Sep Origen'!X24+'RECH-RECUP_PS locales'!X184</f>
        <v>200.85982799999999</v>
      </c>
      <c r="Y24" s="322">
        <f>+'GENERADO NO Sep Origen'!Y24+'RECH-RECUP_PS locales'!Y184</f>
        <v>201.12303900000001</v>
      </c>
      <c r="Z24" s="322">
        <f>+'GENERADO NO Sep Origen'!Z24+'RECH-RECUP_PS locales'!Z184</f>
        <v>201.39089100000001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28"/>
      <c r="E25" s="278"/>
      <c r="F25" s="263"/>
      <c r="G25" s="322">
        <f>+'GENERADO NO Sep Origen'!G25+'RECH-RECUP_PS locales'!G185</f>
        <v>484.65787589999996</v>
      </c>
      <c r="H25" s="322">
        <f>+'GENERADO NO Sep Origen'!H25+'RECH-RECUP_PS locales'!H185</f>
        <v>456.97761599999995</v>
      </c>
      <c r="I25" s="322">
        <f>+'GENERADO NO Sep Origen'!I25+'RECH-RECUP_PS locales'!I185</f>
        <v>428.39303849999999</v>
      </c>
      <c r="J25" s="322">
        <f>+'GENERADO NO Sep Origen'!J25+'RECH-RECUP_PS locales'!J185</f>
        <v>383.54150249999998</v>
      </c>
      <c r="K25" s="322">
        <f>+'GENERADO NO Sep Origen'!K25+'RECH-RECUP_PS locales'!K185</f>
        <v>337.28849699999995</v>
      </c>
      <c r="L25" s="322">
        <f>+'GENERADO NO Sep Origen'!L25+'RECH-RECUP_PS locales'!L185</f>
        <v>342.25409400000001</v>
      </c>
      <c r="M25" s="322">
        <f>+'GENERADO NO Sep Origen'!M25+'RECH-RECUP_PS locales'!M185</f>
        <v>347.300343</v>
      </c>
      <c r="N25" s="322">
        <f>+'GENERADO NO Sep Origen'!N25+'RECH-RECUP_PS locales'!N185</f>
        <v>352.42907700000001</v>
      </c>
      <c r="O25" s="322">
        <f>+'GENERADO NO Sep Origen'!O25+'RECH-RECUP_PS locales'!O185</f>
        <v>357.64212899999995</v>
      </c>
      <c r="P25" s="322">
        <f>+'GENERADO NO Sep Origen'!P25+'RECH-RECUP_PS locales'!P185</f>
        <v>362.93949899999996</v>
      </c>
      <c r="Q25" s="322">
        <f>+'GENERADO NO Sep Origen'!Q25+'RECH-RECUP_PS locales'!Q185</f>
        <v>368.3239365</v>
      </c>
      <c r="R25" s="322">
        <f>+'GENERADO NO Sep Origen'!R25+'RECH-RECUP_PS locales'!R185</f>
        <v>373.79544149999998</v>
      </c>
      <c r="S25" s="322">
        <f>+'GENERADO NO Sep Origen'!S25+'RECH-RECUP_PS locales'!S185</f>
        <v>379.35676349999994</v>
      </c>
      <c r="T25" s="322">
        <f>+'GENERADO NO Sep Origen'!T25+'RECH-RECUP_PS locales'!T185</f>
        <v>385.00881900000002</v>
      </c>
      <c r="U25" s="322">
        <f>+'GENERADO NO Sep Origen'!U25+'RECH-RECUP_PS locales'!U185</f>
        <v>390.75252450000005</v>
      </c>
      <c r="V25" s="322">
        <f>+'GENERADO NO Sep Origen'!V25+'RECH-RECUP_PS locales'!V185</f>
        <v>396.59062949999998</v>
      </c>
      <c r="W25" s="322">
        <f>+'GENERADO NO Sep Origen'!W25+'RECH-RECUP_PS locales'!W185</f>
        <v>402.52313400000003</v>
      </c>
      <c r="X25" s="322">
        <f>+'GENERADO NO Sep Origen'!X25+'RECH-RECUP_PS locales'!X185</f>
        <v>408.55370399999993</v>
      </c>
      <c r="Y25" s="322">
        <f>+'GENERADO NO Sep Origen'!Y25+'RECH-RECUP_PS locales'!Y185</f>
        <v>414.681423</v>
      </c>
      <c r="Z25" s="322">
        <f>+'GENERADO NO Sep Origen'!Z25+'RECH-RECUP_PS locales'!Z185</f>
        <v>420.90995699999996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28"/>
      <c r="E26" s="278"/>
      <c r="F26" s="263"/>
      <c r="G26" s="322">
        <f>+'GENERADO NO Sep Origen'!G26+'RECH-RECUP_PS locales'!G186</f>
        <v>643.89377249999995</v>
      </c>
      <c r="H26" s="322">
        <f>+'GENERADO NO Sep Origen'!H26+'RECH-RECUP_PS locales'!H186</f>
        <v>606.25160879999999</v>
      </c>
      <c r="I26" s="322">
        <f>+'GENERADO NO Sep Origen'!I26+'RECH-RECUP_PS locales'!I186</f>
        <v>567.40945049999993</v>
      </c>
      <c r="J26" s="322">
        <f>+'GENERADO NO Sep Origen'!J26+'RECH-RECUP_PS locales'!J186</f>
        <v>507.08393999999998</v>
      </c>
      <c r="K26" s="322">
        <f>+'GENERADO NO Sep Origen'!K26+'RECH-RECUP_PS locales'!K186</f>
        <v>445.04415149999994</v>
      </c>
      <c r="L26" s="322">
        <f>+'GENERADO NO Sep Origen'!L26+'RECH-RECUP_PS locales'!L186</f>
        <v>450.61555499999997</v>
      </c>
      <c r="M26" s="322">
        <f>+'GENERADO NO Sep Origen'!M26+'RECH-RECUP_PS locales'!M186</f>
        <v>456.18604199999999</v>
      </c>
      <c r="N26" s="322">
        <f>+'GENERADO NO Sep Origen'!N26+'RECH-RECUP_PS locales'!N186</f>
        <v>461.75744549999996</v>
      </c>
      <c r="O26" s="322">
        <f>+'GENERADO NO Sep Origen'!O26+'RECH-RECUP_PS locales'!O186</f>
        <v>467.32884899999999</v>
      </c>
      <c r="P26" s="322">
        <f>+'GENERADO NO Sep Origen'!P26+'RECH-RECUP_PS locales'!P186</f>
        <v>472.90025250000002</v>
      </c>
      <c r="Q26" s="322">
        <f>+'GENERADO NO Sep Origen'!Q26+'RECH-RECUP_PS locales'!Q186</f>
        <v>478.471656</v>
      </c>
      <c r="R26" s="322">
        <f>+'GENERADO NO Sep Origen'!R26+'RECH-RECUP_PS locales'!R186</f>
        <v>484.04305950000003</v>
      </c>
      <c r="S26" s="322">
        <f>+'GENERADO NO Sep Origen'!S26+'RECH-RECUP_PS locales'!S186</f>
        <v>489.61446299999994</v>
      </c>
      <c r="T26" s="322">
        <f>+'GENERADO NO Sep Origen'!T26+'RECH-RECUP_PS locales'!T186</f>
        <v>495.18586649999997</v>
      </c>
      <c r="U26" s="322">
        <f>+'GENERADO NO Sep Origen'!U26+'RECH-RECUP_PS locales'!U186</f>
        <v>500.75726999999995</v>
      </c>
      <c r="V26" s="322">
        <f>+'GENERADO NO Sep Origen'!V26+'RECH-RECUP_PS locales'!V186</f>
        <v>506.32867349999998</v>
      </c>
      <c r="W26" s="322">
        <f>+'GENERADO NO Sep Origen'!W26+'RECH-RECUP_PS locales'!W186</f>
        <v>511.90007699999995</v>
      </c>
      <c r="X26" s="322">
        <f>+'GENERADO NO Sep Origen'!X26+'RECH-RECUP_PS locales'!X186</f>
        <v>517.47148049999998</v>
      </c>
      <c r="Y26" s="322">
        <f>+'GENERADO NO Sep Origen'!Y26+'RECH-RECUP_PS locales'!Y186</f>
        <v>523.04288400000007</v>
      </c>
      <c r="Z26" s="322">
        <f>+'GENERADO NO Sep Origen'!Z26+'RECH-RECUP_PS locales'!Z186</f>
        <v>528.61428750000005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28"/>
      <c r="E27" s="278"/>
      <c r="F27" s="263"/>
      <c r="G27" s="322">
        <f>+'GENERADO NO Sep Origen'!G27+'RECH-RECUP_PS locales'!G187</f>
        <v>490.16749319999997</v>
      </c>
      <c r="H27" s="322">
        <f>+'GENERADO NO Sep Origen'!H27+'RECH-RECUP_PS locales'!H187</f>
        <v>456.53656799999999</v>
      </c>
      <c r="I27" s="322">
        <f>+'GENERADO NO Sep Origen'!I27+'RECH-RECUP_PS locales'!I187</f>
        <v>422.76488249999994</v>
      </c>
      <c r="J27" s="322">
        <f>+'GENERADO NO Sep Origen'!J27+'RECH-RECUP_PS locales'!J187</f>
        <v>373.89393000000001</v>
      </c>
      <c r="K27" s="322">
        <f>+'GENERADO NO Sep Origen'!K27+'RECH-RECUP_PS locales'!K187</f>
        <v>324.80301750000001</v>
      </c>
      <c r="L27" s="322">
        <f>+'GENERADO NO Sep Origen'!L27+'RECH-RECUP_PS locales'!L187</f>
        <v>325.57745999999997</v>
      </c>
      <c r="M27" s="322">
        <f>+'GENERADO NO Sep Origen'!M27+'RECH-RECUP_PS locales'!M187</f>
        <v>326.3647335</v>
      </c>
      <c r="N27" s="322">
        <f>+'GENERADO NO Sep Origen'!N27+'RECH-RECUP_PS locales'!N187</f>
        <v>327.16483800000003</v>
      </c>
      <c r="O27" s="322">
        <f>+'GENERADO NO Sep Origen'!O27+'RECH-RECUP_PS locales'!O187</f>
        <v>327.97777349999996</v>
      </c>
      <c r="P27" s="322">
        <f>+'GENERADO NO Sep Origen'!P27+'RECH-RECUP_PS locales'!P187</f>
        <v>328.80445649999996</v>
      </c>
      <c r="Q27" s="322">
        <f>+'GENERADO NO Sep Origen'!Q27+'RECH-RECUP_PS locales'!Q187</f>
        <v>329.64488700000004</v>
      </c>
      <c r="R27" s="322">
        <f>+'GENERADO NO Sep Origen'!R27+'RECH-RECUP_PS locales'!R187</f>
        <v>330.49814849999996</v>
      </c>
      <c r="S27" s="322">
        <f>+'GENERADO NO Sep Origen'!S27+'RECH-RECUP_PS locales'!S187</f>
        <v>331.36515750000001</v>
      </c>
      <c r="T27" s="322">
        <f>+'GENERADO NO Sep Origen'!T27+'RECH-RECUP_PS locales'!T187</f>
        <v>332.24683049999999</v>
      </c>
      <c r="U27" s="322">
        <f>+'GENERADO NO Sep Origen'!U27+'RECH-RECUP_PS locales'!U187</f>
        <v>333.14316749999995</v>
      </c>
      <c r="V27" s="322">
        <f>+'GENERADO NO Sep Origen'!V27+'RECH-RECUP_PS locales'!V187</f>
        <v>334.0541685</v>
      </c>
      <c r="W27" s="322">
        <f>+'GENERADO NO Sep Origen'!W27+'RECH-RECUP_PS locales'!W187</f>
        <v>334.97891700000002</v>
      </c>
      <c r="X27" s="322">
        <f>+'GENERADO NO Sep Origen'!X27+'RECH-RECUP_PS locales'!X187</f>
        <v>335.92016249999995</v>
      </c>
      <c r="Y27" s="322">
        <f>+'GENERADO NO Sep Origen'!Y27+'RECH-RECUP_PS locales'!Y187</f>
        <v>336.87607199999997</v>
      </c>
      <c r="Z27" s="322">
        <f>+'GENERADO NO Sep Origen'!Z27+'RECH-RECUP_PS locales'!Z187</f>
        <v>337.84756200000004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28"/>
      <c r="E28" s="278"/>
      <c r="F28" s="263"/>
      <c r="G28" s="322">
        <f>+'GENERADO NO Sep Origen'!G28+'RECH-RECUP_PS locales'!G188</f>
        <v>257.59089180000001</v>
      </c>
      <c r="H28" s="322">
        <f>+'GENERADO NO Sep Origen'!H28+'RECH-RECUP_PS locales'!H188</f>
        <v>238.41553439999998</v>
      </c>
      <c r="I28" s="322">
        <f>+'GENERADO NO Sep Origen'!I28+'RECH-RECUP_PS locales'!I188</f>
        <v>219.37267500000002</v>
      </c>
      <c r="J28" s="322">
        <f>+'GENERADO NO Sep Origen'!J28+'RECH-RECUP_PS locales'!J188</f>
        <v>192.75398999999999</v>
      </c>
      <c r="K28" s="322">
        <f>+'GENERADO NO Sep Origen'!K28+'RECH-RECUP_PS locales'!K188</f>
        <v>166.340733</v>
      </c>
      <c r="L28" s="322">
        <f>+'GENERADO NO Sep Origen'!L28+'RECH-RECUP_PS locales'!L188</f>
        <v>165.61541099999999</v>
      </c>
      <c r="M28" s="322">
        <f>+'GENERADO NO Sep Origen'!M28+'RECH-RECUP_PS locales'!M188</f>
        <v>164.878818</v>
      </c>
      <c r="N28" s="322">
        <f>+'GENERADO NO Sep Origen'!N28+'RECH-RECUP_PS locales'!N188</f>
        <v>164.13029100000003</v>
      </c>
      <c r="O28" s="322">
        <f>+'GENERADO NO Sep Origen'!O28+'RECH-RECUP_PS locales'!O188</f>
        <v>163.369167</v>
      </c>
      <c r="P28" s="322">
        <f>+'GENERADO NO Sep Origen'!P28+'RECH-RECUP_PS locales'!P188</f>
        <v>162.59610900000001</v>
      </c>
      <c r="Q28" s="322">
        <f>+'GENERADO NO Sep Origen'!Q28+'RECH-RECUP_PS locales'!Q188</f>
        <v>161.81045400000002</v>
      </c>
      <c r="R28" s="322">
        <f>+'GENERADO NO Sep Origen'!R28+'RECH-RECUP_PS locales'!R188</f>
        <v>161.011539</v>
      </c>
      <c r="S28" s="322">
        <f>+'GENERADO NO Sep Origen'!S28+'RECH-RECUP_PS locales'!S188</f>
        <v>160.20002700000003</v>
      </c>
      <c r="T28" s="322">
        <f>+'GENERADO NO Sep Origen'!T28+'RECH-RECUP_PS locales'!T188</f>
        <v>159.37459200000001</v>
      </c>
      <c r="U28" s="322">
        <f>+'GENERADO NO Sep Origen'!U28+'RECH-RECUP_PS locales'!U188</f>
        <v>158.53656000000001</v>
      </c>
      <c r="V28" s="322">
        <f>+'GENERADO NO Sep Origen'!V28+'RECH-RECUP_PS locales'!V188</f>
        <v>157.683942</v>
      </c>
      <c r="W28" s="322">
        <f>+'GENERADO NO Sep Origen'!W28+'RECH-RECUP_PS locales'!W188</f>
        <v>156.81806399999999</v>
      </c>
      <c r="X28" s="322">
        <f>+'GENERADO NO Sep Origen'!X28+'RECH-RECUP_PS locales'!X188</f>
        <v>155.9376</v>
      </c>
      <c r="Y28" s="322">
        <f>+'GENERADO NO Sep Origen'!Y28+'RECH-RECUP_PS locales'!Y188</f>
        <v>155.04321300000004</v>
      </c>
      <c r="Z28" s="322">
        <f>+'GENERADO NO Sep Origen'!Z28+'RECH-RECUP_PS locales'!Z188</f>
        <v>154.13424000000001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28"/>
      <c r="E29" s="278"/>
      <c r="F29" s="263"/>
      <c r="G29" s="322">
        <f>+'GENERADO NO Sep Origen'!G29+'RECH-RECUP_PS locales'!G189</f>
        <v>26.186727600000001</v>
      </c>
      <c r="H29" s="322">
        <f>+'GENERADO NO Sep Origen'!H29+'RECH-RECUP_PS locales'!H189</f>
        <v>24.432660800000001</v>
      </c>
      <c r="I29" s="322">
        <f>+'GENERADO NO Sep Origen'!I29+'RECH-RECUP_PS locales'!I189</f>
        <v>22.663754000000001</v>
      </c>
      <c r="J29" s="322">
        <f>+'GENERADO NO Sep Origen'!J29+'RECH-RECUP_PS locales'!J189</f>
        <v>20.077725000000001</v>
      </c>
      <c r="K29" s="322">
        <f>+'GENERADO NO Sep Origen'!K29+'RECH-RECUP_PS locales'!K189</f>
        <v>17.470283999999999</v>
      </c>
      <c r="L29" s="322">
        <f>+'GENERADO NO Sep Origen'!L29+'RECH-RECUP_PS locales'!L189</f>
        <v>17.539873000000004</v>
      </c>
      <c r="M29" s="322">
        <f>+'GENERADO NO Sep Origen'!M29+'RECH-RECUP_PS locales'!M189</f>
        <v>17.610151000000002</v>
      </c>
      <c r="N29" s="322">
        <f>+'GENERADO NO Sep Origen'!N29+'RECH-RECUP_PS locales'!N189</f>
        <v>17.681118000000001</v>
      </c>
      <c r="O29" s="322">
        <f>+'GENERADO NO Sep Origen'!O29+'RECH-RECUP_PS locales'!O189</f>
        <v>17.751396</v>
      </c>
      <c r="P29" s="322">
        <f>+'GENERADO NO Sep Origen'!P29+'RECH-RECUP_PS locales'!P189</f>
        <v>17.823052000000004</v>
      </c>
      <c r="Q29" s="322">
        <f>+'GENERADO NO Sep Origen'!Q29+'RECH-RECUP_PS locales'!Q189</f>
        <v>17.894019</v>
      </c>
      <c r="R29" s="322">
        <f>+'GENERADO NO Sep Origen'!R29+'RECH-RECUP_PS locales'!R189</f>
        <v>17.965675000000001</v>
      </c>
      <c r="S29" s="322">
        <f>+'GENERADO NO Sep Origen'!S29+'RECH-RECUP_PS locales'!S189</f>
        <v>18.038020000000003</v>
      </c>
      <c r="T29" s="322">
        <f>+'GENERADO NO Sep Origen'!T29+'RECH-RECUP_PS locales'!T189</f>
        <v>18.109676</v>
      </c>
      <c r="U29" s="322">
        <f>+'GENERADO NO Sep Origen'!U29+'RECH-RECUP_PS locales'!U189</f>
        <v>18.18271</v>
      </c>
      <c r="V29" s="322">
        <f>+'GENERADO NO Sep Origen'!V29+'RECH-RECUP_PS locales'!V189</f>
        <v>18.255055000000002</v>
      </c>
      <c r="W29" s="322">
        <f>+'GENERADO NO Sep Origen'!W29+'RECH-RECUP_PS locales'!W189</f>
        <v>18.328778000000003</v>
      </c>
      <c r="X29" s="322">
        <f>+'GENERADO NO Sep Origen'!X29+'RECH-RECUP_PS locales'!X189</f>
        <v>18.401812</v>
      </c>
      <c r="Y29" s="322">
        <f>+'GENERADO NO Sep Origen'!Y29+'RECH-RECUP_PS locales'!Y189</f>
        <v>18.475535000000001</v>
      </c>
      <c r="Z29" s="322">
        <f>+'GENERADO NO Sep Origen'!Z29+'RECH-RECUP_PS locales'!Z189</f>
        <v>18.549258000000002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28"/>
      <c r="E30" s="278"/>
      <c r="F30" s="263"/>
      <c r="G30" s="322">
        <f>+'GENERADO NO Sep Origen'!G30+'RECH-RECUP_PS locales'!G190</f>
        <v>44.025478200000002</v>
      </c>
      <c r="H30" s="322">
        <f>+'GENERADO NO Sep Origen'!H30+'RECH-RECUP_PS locales'!H190</f>
        <v>41.228530399999997</v>
      </c>
      <c r="I30" s="322">
        <f>+'GENERADO NO Sep Origen'!I30+'RECH-RECUP_PS locales'!I190</f>
        <v>38.384402000000001</v>
      </c>
      <c r="J30" s="322">
        <f>+'GENERADO NO Sep Origen'!J30+'RECH-RECUP_PS locales'!J190</f>
        <v>34.126170000000002</v>
      </c>
      <c r="K30" s="322">
        <f>+'GENERADO NO Sep Origen'!K30+'RECH-RECUP_PS locales'!K190</f>
        <v>29.799939000000006</v>
      </c>
      <c r="L30" s="322">
        <f>+'GENERADO NO Sep Origen'!L30+'RECH-RECUP_PS locales'!L190</f>
        <v>30.023175000000002</v>
      </c>
      <c r="M30" s="322">
        <f>+'GENERADO NO Sep Origen'!M30+'RECH-RECUP_PS locales'!M190</f>
        <v>30.2471</v>
      </c>
      <c r="N30" s="322">
        <f>+'GENERADO NO Sep Origen'!N30+'RECH-RECUP_PS locales'!N190</f>
        <v>30.470336</v>
      </c>
      <c r="O30" s="322">
        <f>+'GENERADO NO Sep Origen'!O30+'RECH-RECUP_PS locales'!O190</f>
        <v>30.694261000000004</v>
      </c>
      <c r="P30" s="322">
        <f>+'GENERADO NO Sep Origen'!P30+'RECH-RECUP_PS locales'!P190</f>
        <v>30.917497000000004</v>
      </c>
      <c r="Q30" s="322">
        <f>+'GENERADO NO Sep Origen'!Q30+'RECH-RECUP_PS locales'!Q190</f>
        <v>31.141422000000002</v>
      </c>
      <c r="R30" s="322">
        <f>+'GENERADO NO Sep Origen'!R30+'RECH-RECUP_PS locales'!R190</f>
        <v>31.364658000000002</v>
      </c>
      <c r="S30" s="322">
        <f>+'GENERADO NO Sep Origen'!S30+'RECH-RECUP_PS locales'!S190</f>
        <v>31.588583</v>
      </c>
      <c r="T30" s="322">
        <f>+'GENERADO NO Sep Origen'!T30+'RECH-RECUP_PS locales'!T190</f>
        <v>31.811819</v>
      </c>
      <c r="U30" s="322">
        <f>+'GENERADO NO Sep Origen'!U30+'RECH-RECUP_PS locales'!U190</f>
        <v>32.035055</v>
      </c>
      <c r="V30" s="322">
        <f>+'GENERADO NO Sep Origen'!V30+'RECH-RECUP_PS locales'!V190</f>
        <v>32.258980000000008</v>
      </c>
      <c r="W30" s="322">
        <f>+'GENERADO NO Sep Origen'!W30+'RECH-RECUP_PS locales'!W190</f>
        <v>32.482216000000001</v>
      </c>
      <c r="X30" s="322">
        <f>+'GENERADO NO Sep Origen'!X30+'RECH-RECUP_PS locales'!X190</f>
        <v>32.706141000000002</v>
      </c>
      <c r="Y30" s="322">
        <f>+'GENERADO NO Sep Origen'!Y30+'RECH-RECUP_PS locales'!Y190</f>
        <v>32.929377000000002</v>
      </c>
      <c r="Z30" s="322">
        <f>+'GENERADO NO Sep Origen'!Z30+'RECH-RECUP_PS locales'!Z190</f>
        <v>33.153301999999996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28"/>
      <c r="E31" s="278"/>
      <c r="F31" s="263"/>
      <c r="G31" s="322">
        <f>+'GENERADO NO Sep Origen'!G31+'RECH-RECUP_PS locales'!G191</f>
        <v>9.4641228000000002</v>
      </c>
      <c r="H31" s="322">
        <f>+'GENERADO NO Sep Origen'!H31+'RECH-RECUP_PS locales'!H191</f>
        <v>8.8431871999999991</v>
      </c>
      <c r="I31" s="322">
        <f>+'GENERADO NO Sep Origen'!I31+'RECH-RECUP_PS locales'!I191</f>
        <v>8.2156920000000007</v>
      </c>
      <c r="J31" s="322">
        <f>+'GENERADO NO Sep Origen'!J31+'RECH-RECUP_PS locales'!J191</f>
        <v>7.2891600000000007</v>
      </c>
      <c r="K31" s="322">
        <f>+'GENERADO NO Sep Origen'!K31+'RECH-RECUP_PS locales'!K191</f>
        <v>6.3513579999999994</v>
      </c>
      <c r="L31" s="322">
        <f>+'GENERADO NO Sep Origen'!L31+'RECH-RECUP_PS locales'!L191</f>
        <v>6.3860420000000007</v>
      </c>
      <c r="M31" s="322">
        <f>+'GENERADO NO Sep Origen'!M31+'RECH-RECUP_PS locales'!M191</f>
        <v>6.4207260000000002</v>
      </c>
      <c r="N31" s="322">
        <f>+'GENERADO NO Sep Origen'!N31+'RECH-RECUP_PS locales'!N191</f>
        <v>6.4548119999999995</v>
      </c>
      <c r="O31" s="322">
        <f>+'GENERADO NO Sep Origen'!O31+'RECH-RECUP_PS locales'!O191</f>
        <v>6.4894960000000008</v>
      </c>
      <c r="P31" s="322">
        <f>+'GENERADO NO Sep Origen'!P31+'RECH-RECUP_PS locales'!P191</f>
        <v>6.5241800000000003</v>
      </c>
      <c r="Q31" s="322">
        <f>+'GENERADO NO Sep Origen'!Q31+'RECH-RECUP_PS locales'!Q191</f>
        <v>6.5582660000000015</v>
      </c>
      <c r="R31" s="322">
        <f>+'GENERADO NO Sep Origen'!R31+'RECH-RECUP_PS locales'!R191</f>
        <v>6.5929500000000001</v>
      </c>
      <c r="S31" s="322">
        <f>+'GENERADO NO Sep Origen'!S31+'RECH-RECUP_PS locales'!S191</f>
        <v>6.6276340000000005</v>
      </c>
      <c r="T31" s="322">
        <f>+'GENERADO NO Sep Origen'!T31+'RECH-RECUP_PS locales'!T191</f>
        <v>6.6617200000000008</v>
      </c>
      <c r="U31" s="322">
        <f>+'GENERADO NO Sep Origen'!U31+'RECH-RECUP_PS locales'!U191</f>
        <v>6.6964040000000011</v>
      </c>
      <c r="V31" s="322">
        <f>+'GENERADO NO Sep Origen'!V31+'RECH-RECUP_PS locales'!V191</f>
        <v>6.7310880000000006</v>
      </c>
      <c r="W31" s="322">
        <f>+'GENERADO NO Sep Origen'!W31+'RECH-RECUP_PS locales'!W191</f>
        <v>6.7657720000000019</v>
      </c>
      <c r="X31" s="322">
        <f>+'GENERADO NO Sep Origen'!X31+'RECH-RECUP_PS locales'!X191</f>
        <v>6.7998579999999995</v>
      </c>
      <c r="Y31" s="322">
        <f>+'GENERADO NO Sep Origen'!Y31+'RECH-RECUP_PS locales'!Y191</f>
        <v>6.8345420000000008</v>
      </c>
      <c r="Z31" s="322">
        <f>+'GENERADO NO Sep Origen'!Z31+'RECH-RECUP_PS locales'!Z191</f>
        <v>6.8692260000000012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28"/>
      <c r="E32" s="278"/>
      <c r="F32" s="263"/>
      <c r="G32" s="322">
        <f>+'GENERADO NO Sep Origen'!G32+'RECH-RECUP_PS locales'!G192</f>
        <v>8.8192763999999997</v>
      </c>
      <c r="H32" s="322">
        <f>+'GENERADO NO Sep Origen'!H32+'RECH-RECUP_PS locales'!H192</f>
        <v>8.2634032000000008</v>
      </c>
      <c r="I32" s="322">
        <f>+'GENERADO NO Sep Origen'!I32+'RECH-RECUP_PS locales'!I192</f>
        <v>7.6972259999999997</v>
      </c>
      <c r="J32" s="322">
        <f>+'GENERADO NO Sep Origen'!J32+'RECH-RECUP_PS locales'!J192</f>
        <v>6.8468700000000009</v>
      </c>
      <c r="K32" s="322">
        <f>+'GENERADO NO Sep Origen'!K32+'RECH-RECUP_PS locales'!K192</f>
        <v>5.9817939999999998</v>
      </c>
      <c r="L32" s="322">
        <f>+'GENERADO NO Sep Origen'!L32+'RECH-RECUP_PS locales'!L192</f>
        <v>6.0517599999999998</v>
      </c>
      <c r="M32" s="322">
        <f>+'GENERADO NO Sep Origen'!M32+'RECH-RECUP_PS locales'!M192</f>
        <v>6.1217260000000007</v>
      </c>
      <c r="N32" s="322">
        <f>+'GENERADO NO Sep Origen'!N32+'RECH-RECUP_PS locales'!N192</f>
        <v>6.1916919999999998</v>
      </c>
      <c r="O32" s="322">
        <f>+'GENERADO NO Sep Origen'!O32+'RECH-RECUP_PS locales'!O192</f>
        <v>6.2616579999999997</v>
      </c>
      <c r="P32" s="322">
        <f>+'GENERADO NO Sep Origen'!P32+'RECH-RECUP_PS locales'!P192</f>
        <v>6.3316240000000015</v>
      </c>
      <c r="Q32" s="322">
        <f>+'GENERADO NO Sep Origen'!Q32+'RECH-RECUP_PS locales'!Q192</f>
        <v>6.4015900000000006</v>
      </c>
      <c r="R32" s="322">
        <f>+'GENERADO NO Sep Origen'!R32+'RECH-RECUP_PS locales'!R192</f>
        <v>6.4715559999999996</v>
      </c>
      <c r="S32" s="322">
        <f>+'GENERADO NO Sep Origen'!S32+'RECH-RECUP_PS locales'!S192</f>
        <v>6.5415220000000005</v>
      </c>
      <c r="T32" s="322">
        <f>+'GENERADO NO Sep Origen'!T32+'RECH-RECUP_PS locales'!T192</f>
        <v>6.6114880000000014</v>
      </c>
      <c r="U32" s="322">
        <f>+'GENERADO NO Sep Origen'!U32+'RECH-RECUP_PS locales'!U192</f>
        <v>6.6814539999999996</v>
      </c>
      <c r="V32" s="322">
        <f>+'GENERADO NO Sep Origen'!V32+'RECH-RECUP_PS locales'!V192</f>
        <v>6.7514200000000013</v>
      </c>
      <c r="W32" s="322">
        <f>+'GENERADO NO Sep Origen'!W32+'RECH-RECUP_PS locales'!W192</f>
        <v>6.8213860000000004</v>
      </c>
      <c r="X32" s="322">
        <f>+'GENERADO NO Sep Origen'!X32+'RECH-RECUP_PS locales'!X192</f>
        <v>6.8913519999999995</v>
      </c>
      <c r="Y32" s="322">
        <f>+'GENERADO NO Sep Origen'!Y32+'RECH-RECUP_PS locales'!Y192</f>
        <v>6.9613180000000003</v>
      </c>
      <c r="Z32" s="322">
        <f>+'GENERADO NO Sep Origen'!Z32+'RECH-RECUP_PS locales'!Z192</f>
        <v>7.0312840000000012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28"/>
      <c r="E33" s="278"/>
      <c r="F33" s="263"/>
      <c r="G33" s="322">
        <f>+'GENERADO NO Sep Origen'!G33+'RECH-RECUP_PS locales'!G193</f>
        <v>9.3748644000000017</v>
      </c>
      <c r="H33" s="322">
        <f>+'GENERADO NO Sep Origen'!H33+'RECH-RECUP_PS locales'!H193</f>
        <v>8.8355695999999995</v>
      </c>
      <c r="I33" s="322">
        <f>+'GENERADO NO Sep Origen'!I33+'RECH-RECUP_PS locales'!I193</f>
        <v>8.277470000000001</v>
      </c>
      <c r="J33" s="322">
        <f>+'GENERADO NO Sep Origen'!J33+'RECH-RECUP_PS locales'!J193</f>
        <v>7.4037000000000006</v>
      </c>
      <c r="K33" s="322">
        <f>+'GENERADO NO Sep Origen'!K33+'RECH-RECUP_PS locales'!K193</f>
        <v>6.5038479999999996</v>
      </c>
      <c r="L33" s="322">
        <f>+'GENERADO NO Sep Origen'!L33+'RECH-RECUP_PS locales'!L193</f>
        <v>6.6126840000000007</v>
      </c>
      <c r="M33" s="322">
        <f>+'GENERADO NO Sep Origen'!M33+'RECH-RECUP_PS locales'!M193</f>
        <v>6.7209220000000007</v>
      </c>
      <c r="N33" s="322">
        <f>+'GENERADO NO Sep Origen'!N33+'RECH-RECUP_PS locales'!N193</f>
        <v>6.829758</v>
      </c>
      <c r="O33" s="322">
        <f>+'GENERADO NO Sep Origen'!O33+'RECH-RECUP_PS locales'!O193</f>
        <v>6.938594000000001</v>
      </c>
      <c r="P33" s="322">
        <f>+'GENERADO NO Sep Origen'!P33+'RECH-RECUP_PS locales'!P193</f>
        <v>7.0474300000000003</v>
      </c>
      <c r="Q33" s="322">
        <f>+'GENERADO NO Sep Origen'!Q33+'RECH-RECUP_PS locales'!Q193</f>
        <v>7.1556680000000004</v>
      </c>
      <c r="R33" s="322">
        <f>+'GENERADO NO Sep Origen'!R33+'RECH-RECUP_PS locales'!R193</f>
        <v>7.2645040000000005</v>
      </c>
      <c r="S33" s="322">
        <f>+'GENERADO NO Sep Origen'!S33+'RECH-RECUP_PS locales'!S193</f>
        <v>7.3733400000000007</v>
      </c>
      <c r="T33" s="322">
        <f>+'GENERADO NO Sep Origen'!T33+'RECH-RECUP_PS locales'!T193</f>
        <v>7.4815780000000007</v>
      </c>
      <c r="U33" s="322">
        <f>+'GENERADO NO Sep Origen'!U33+'RECH-RECUP_PS locales'!U193</f>
        <v>7.5904140000000009</v>
      </c>
      <c r="V33" s="322">
        <f>+'GENERADO NO Sep Origen'!V33+'RECH-RECUP_PS locales'!V193</f>
        <v>7.699250000000001</v>
      </c>
      <c r="W33" s="322">
        <f>+'GENERADO NO Sep Origen'!W33+'RECH-RECUP_PS locales'!W193</f>
        <v>7.8074880000000011</v>
      </c>
      <c r="X33" s="322">
        <f>+'GENERADO NO Sep Origen'!X33+'RECH-RECUP_PS locales'!X193</f>
        <v>7.9163240000000012</v>
      </c>
      <c r="Y33" s="322">
        <f>+'GENERADO NO Sep Origen'!Y33+'RECH-RECUP_PS locales'!Y193</f>
        <v>8.0251599999999996</v>
      </c>
      <c r="Z33" s="322">
        <f>+'GENERADO NO Sep Origen'!Z33+'RECH-RECUP_PS locales'!Z193</f>
        <v>8.1339959999999998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28"/>
      <c r="E34" s="278"/>
      <c r="F34" s="263"/>
      <c r="G34" s="322">
        <f>+'GENERADO NO Sep Origen'!G34+'RECH-RECUP_PS locales'!G194</f>
        <v>32.018243399999996</v>
      </c>
      <c r="H34" s="322">
        <f>+'GENERADO NO Sep Origen'!H34+'RECH-RECUP_PS locales'!H194</f>
        <v>30.024457600000002</v>
      </c>
      <c r="I34" s="322">
        <f>+'GENERADO NO Sep Origen'!I34+'RECH-RECUP_PS locales'!I194</f>
        <v>27.992267999999999</v>
      </c>
      <c r="J34" s="322">
        <f>+'GENERADO NO Sep Origen'!J34+'RECH-RECUP_PS locales'!J194</f>
        <v>24.923250000000003</v>
      </c>
      <c r="K34" s="322">
        <f>+'GENERADO NO Sep Origen'!K34+'RECH-RECUP_PS locales'!K194</f>
        <v>21.796514999999999</v>
      </c>
      <c r="L34" s="322">
        <f>+'GENERADO NO Sep Origen'!L34+'RECH-RECUP_PS locales'!L194</f>
        <v>21.994947000000003</v>
      </c>
      <c r="M34" s="322">
        <f>+'GENERADO NO Sep Origen'!M34+'RECH-RECUP_PS locales'!M194</f>
        <v>22.194757000000003</v>
      </c>
      <c r="N34" s="322">
        <f>+'GENERADO NO Sep Origen'!N34+'RECH-RECUP_PS locales'!N194</f>
        <v>22.395945000000001</v>
      </c>
      <c r="O34" s="322">
        <f>+'GENERADO NO Sep Origen'!O34+'RECH-RECUP_PS locales'!O194</f>
        <v>22.599889000000005</v>
      </c>
      <c r="P34" s="322">
        <f>+'GENERADO NO Sep Origen'!P34+'RECH-RECUP_PS locales'!P194</f>
        <v>22.805211000000003</v>
      </c>
      <c r="Q34" s="322">
        <f>+'GENERADO NO Sep Origen'!Q34+'RECH-RECUP_PS locales'!Q194</f>
        <v>23.011911000000001</v>
      </c>
      <c r="R34" s="322">
        <f>+'GENERADO NO Sep Origen'!R34+'RECH-RECUP_PS locales'!R194</f>
        <v>23.221367000000001</v>
      </c>
      <c r="S34" s="322">
        <f>+'GENERADO NO Sep Origen'!S34+'RECH-RECUP_PS locales'!S194</f>
        <v>23.432200999999999</v>
      </c>
      <c r="T34" s="322">
        <f>+'GENERADO NO Sep Origen'!T34+'RECH-RECUP_PS locales'!T194</f>
        <v>23.645102000000001</v>
      </c>
      <c r="U34" s="322">
        <f>+'GENERADO NO Sep Origen'!U34+'RECH-RECUP_PS locales'!U194</f>
        <v>23.860070000000004</v>
      </c>
      <c r="V34" s="322">
        <f>+'GENERADO NO Sep Origen'!V34+'RECH-RECUP_PS locales'!V194</f>
        <v>24.077105000000003</v>
      </c>
      <c r="W34" s="322">
        <f>+'GENERADO NO Sep Origen'!W34+'RECH-RECUP_PS locales'!W194</f>
        <v>24.295518000000001</v>
      </c>
      <c r="X34" s="322">
        <f>+'GENERADO NO Sep Origen'!X34+'RECH-RECUP_PS locales'!X194</f>
        <v>24.516687000000005</v>
      </c>
      <c r="Y34" s="322">
        <f>+'GENERADO NO Sep Origen'!Y34+'RECH-RECUP_PS locales'!Y194</f>
        <v>24.739234000000003</v>
      </c>
      <c r="Z34" s="322">
        <f>+'GENERADO NO Sep Origen'!Z34+'RECH-RECUP_PS locales'!Z194</f>
        <v>24.963848000000006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28"/>
      <c r="E35" s="278"/>
      <c r="F35" s="263"/>
      <c r="G35" s="322">
        <f>+'GENERADO NO Sep Origen'!G35+'RECH-RECUP_PS locales'!G195</f>
        <v>20.072923200000002</v>
      </c>
      <c r="H35" s="322">
        <f>+'GENERADO NO Sep Origen'!H35+'RECH-RECUP_PS locales'!H195</f>
        <v>18.767724000000001</v>
      </c>
      <c r="I35" s="322">
        <f>+'GENERADO NO Sep Origen'!I35+'RECH-RECUP_PS locales'!I195</f>
        <v>17.444260999999997</v>
      </c>
      <c r="J35" s="322">
        <f>+'GENERADO NO Sep Origen'!J35+'RECH-RECUP_PS locales'!J195</f>
        <v>15.485805000000003</v>
      </c>
      <c r="K35" s="322">
        <f>+'GENERADO NO Sep Origen'!K35+'RECH-RECUP_PS locales'!K195</f>
        <v>13.502333</v>
      </c>
      <c r="L35" s="322">
        <f>+'GENERADO NO Sep Origen'!L35+'RECH-RECUP_PS locales'!L195</f>
        <v>13.584324000000002</v>
      </c>
      <c r="M35" s="322">
        <f>+'GENERADO NO Sep Origen'!M35+'RECH-RECUP_PS locales'!M195</f>
        <v>13.666315000000001</v>
      </c>
      <c r="N35" s="322">
        <f>+'GENERADO NO Sep Origen'!N35+'RECH-RECUP_PS locales'!N195</f>
        <v>13.749684</v>
      </c>
      <c r="O35" s="322">
        <f>+'GENERADO NO Sep Origen'!O35+'RECH-RECUP_PS locales'!O195</f>
        <v>13.833053000000003</v>
      </c>
      <c r="P35" s="322">
        <f>+'GENERADO NO Sep Origen'!P35+'RECH-RECUP_PS locales'!P195</f>
        <v>13.917111000000002</v>
      </c>
      <c r="Q35" s="322">
        <f>+'GENERADO NO Sep Origen'!Q35+'RECH-RECUP_PS locales'!Q195</f>
        <v>14.001169000000003</v>
      </c>
      <c r="R35" s="322">
        <f>+'GENERADO NO Sep Origen'!R35+'RECH-RECUP_PS locales'!R195</f>
        <v>14.086605000000002</v>
      </c>
      <c r="S35" s="322">
        <f>+'GENERADO NO Sep Origen'!S35+'RECH-RECUP_PS locales'!S195</f>
        <v>14.172041</v>
      </c>
      <c r="T35" s="322">
        <f>+'GENERADO NO Sep Origen'!T35+'RECH-RECUP_PS locales'!T195</f>
        <v>14.257477000000002</v>
      </c>
      <c r="U35" s="322">
        <f>+'GENERADO NO Sep Origen'!U35+'RECH-RECUP_PS locales'!U195</f>
        <v>14.344291</v>
      </c>
      <c r="V35" s="322">
        <f>+'GENERADO NO Sep Origen'!V35+'RECH-RECUP_PS locales'!V195</f>
        <v>14.431105000000002</v>
      </c>
      <c r="W35" s="322">
        <f>+'GENERADO NO Sep Origen'!W35+'RECH-RECUP_PS locales'!W195</f>
        <v>14.518608</v>
      </c>
      <c r="X35" s="322">
        <f>+'GENERADO NO Sep Origen'!X35+'RECH-RECUP_PS locales'!X195</f>
        <v>14.606800000000002</v>
      </c>
      <c r="Y35" s="322">
        <f>+'GENERADO NO Sep Origen'!Y35+'RECH-RECUP_PS locales'!Y195</f>
        <v>14.695681</v>
      </c>
      <c r="Z35" s="322">
        <f>+'GENERADO NO Sep Origen'!Z35+'RECH-RECUP_PS locales'!Z195</f>
        <v>14.784562000000001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28"/>
      <c r="E36" s="278"/>
      <c r="F36" s="263"/>
      <c r="G36" s="322">
        <f>+'GENERADO NO Sep Origen'!G36+'RECH-RECUP_PS locales'!G196</f>
        <v>65.531980799999985</v>
      </c>
      <c r="H36" s="322">
        <f>+'GENERADO NO Sep Origen'!H36+'RECH-RECUP_PS locales'!H196</f>
        <v>61.631296800000008</v>
      </c>
      <c r="I36" s="322">
        <f>+'GENERADO NO Sep Origen'!I36+'RECH-RECUP_PS locales'!I196</f>
        <v>57.618219000000003</v>
      </c>
      <c r="J36" s="322">
        <f>+'GENERADO NO Sep Origen'!J36+'RECH-RECUP_PS locales'!J196</f>
        <v>51.436305000000004</v>
      </c>
      <c r="K36" s="322">
        <f>+'GENERADO NO Sep Origen'!K36+'RECH-RECUP_PS locales'!K196</f>
        <v>45.095270999999997</v>
      </c>
      <c r="L36" s="322">
        <f>+'GENERADO NO Sep Origen'!L36+'RECH-RECUP_PS locales'!L196</f>
        <v>45.774845999999997</v>
      </c>
      <c r="M36" s="322">
        <f>+'GENERADO NO Sep Origen'!M36+'RECH-RECUP_PS locales'!M196</f>
        <v>46.453758000000001</v>
      </c>
      <c r="N36" s="322">
        <f>+'GENERADO NO Sep Origen'!N36+'RECH-RECUP_PS locales'!N196</f>
        <v>47.133333000000007</v>
      </c>
      <c r="O36" s="322">
        <f>+'GENERADO NO Sep Origen'!O36+'RECH-RECUP_PS locales'!O196</f>
        <v>47.812245000000004</v>
      </c>
      <c r="P36" s="322">
        <f>+'GENERADO NO Sep Origen'!P36+'RECH-RECUP_PS locales'!P196</f>
        <v>48.491820000000004</v>
      </c>
      <c r="Q36" s="322">
        <f>+'GENERADO NO Sep Origen'!Q36+'RECH-RECUP_PS locales'!Q196</f>
        <v>49.170732000000001</v>
      </c>
      <c r="R36" s="322">
        <f>+'GENERADO NO Sep Origen'!R36+'RECH-RECUP_PS locales'!R196</f>
        <v>49.850307000000001</v>
      </c>
      <c r="S36" s="322">
        <f>+'GENERADO NO Sep Origen'!S36+'RECH-RECUP_PS locales'!S196</f>
        <v>50.529882000000001</v>
      </c>
      <c r="T36" s="322">
        <f>+'GENERADO NO Sep Origen'!T36+'RECH-RECUP_PS locales'!T196</f>
        <v>51.208793999999997</v>
      </c>
      <c r="U36" s="322">
        <f>+'GENERADO NO Sep Origen'!U36+'RECH-RECUP_PS locales'!U196</f>
        <v>51.888368999999997</v>
      </c>
      <c r="V36" s="322">
        <f>+'GENERADO NO Sep Origen'!V36+'RECH-RECUP_PS locales'!V196</f>
        <v>52.567281000000008</v>
      </c>
      <c r="W36" s="322">
        <f>+'GENERADO NO Sep Origen'!W36+'RECH-RECUP_PS locales'!W196</f>
        <v>53.246856000000008</v>
      </c>
      <c r="X36" s="322">
        <f>+'GENERADO NO Sep Origen'!X36+'RECH-RECUP_PS locales'!X196</f>
        <v>53.925768000000005</v>
      </c>
      <c r="Y36" s="322">
        <f>+'GENERADO NO Sep Origen'!Y36+'RECH-RECUP_PS locales'!Y196</f>
        <v>54.605342999999998</v>
      </c>
      <c r="Z36" s="322">
        <f>+'GENERADO NO Sep Origen'!Z36+'RECH-RECUP_PS locales'!Z196</f>
        <v>55.284918000000005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28"/>
      <c r="E37" s="278"/>
      <c r="F37" s="263"/>
      <c r="G37" s="322">
        <f>+'GENERADO NO Sep Origen'!G37+'RECH-RECUP_PS locales'!G197</f>
        <v>469.16617769999993</v>
      </c>
      <c r="H37" s="322">
        <f>+'GENERADO NO Sep Origen'!H37+'RECH-RECUP_PS locales'!H197</f>
        <v>440.98832879999998</v>
      </c>
      <c r="I37" s="322">
        <f>+'GENERADO NO Sep Origen'!I37+'RECH-RECUP_PS locales'!I197</f>
        <v>412.04909399999997</v>
      </c>
      <c r="J37" s="322">
        <f>+'GENERADO NO Sep Origen'!J37+'RECH-RECUP_PS locales'!J197</f>
        <v>367.64410499999997</v>
      </c>
      <c r="K37" s="322">
        <f>+'GENERADO NO Sep Origen'!K37+'RECH-RECUP_PS locales'!K197</f>
        <v>322.15433250000001</v>
      </c>
      <c r="L37" s="322">
        <f>+'GENERADO NO Sep Origen'!L37+'RECH-RECUP_PS locales'!L197</f>
        <v>326.81931749999995</v>
      </c>
      <c r="M37" s="322">
        <f>+'GENERADO NO Sep Origen'!M37+'RECH-RECUP_PS locales'!M197</f>
        <v>331.48521899999997</v>
      </c>
      <c r="N37" s="322">
        <f>+'GENERADO NO Sep Origen'!N37+'RECH-RECUP_PS locales'!N197</f>
        <v>336.15020399999997</v>
      </c>
      <c r="O37" s="322">
        <f>+'GENERADO NO Sep Origen'!O37+'RECH-RECUP_PS locales'!O197</f>
        <v>340.81610549999994</v>
      </c>
      <c r="P37" s="322">
        <f>+'GENERADO NO Sep Origen'!P37+'RECH-RECUP_PS locales'!P197</f>
        <v>345.48109049999999</v>
      </c>
      <c r="Q37" s="322">
        <f>+'GENERADO NO Sep Origen'!Q37+'RECH-RECUP_PS locales'!Q197</f>
        <v>350.14699199999995</v>
      </c>
      <c r="R37" s="322">
        <f>+'GENERADO NO Sep Origen'!R37+'RECH-RECUP_PS locales'!R197</f>
        <v>354.81197699999996</v>
      </c>
      <c r="S37" s="322">
        <f>+'GENERADO NO Sep Origen'!S37+'RECH-RECUP_PS locales'!S197</f>
        <v>359.47696199999996</v>
      </c>
      <c r="T37" s="322">
        <f>+'GENERADO NO Sep Origen'!T37+'RECH-RECUP_PS locales'!T197</f>
        <v>364.14286349999992</v>
      </c>
      <c r="U37" s="322">
        <f>+'GENERADO NO Sep Origen'!U37+'RECH-RECUP_PS locales'!U197</f>
        <v>368.80784849999998</v>
      </c>
      <c r="V37" s="322">
        <f>+'GENERADO NO Sep Origen'!V37+'RECH-RECUP_PS locales'!V197</f>
        <v>373.47375000000005</v>
      </c>
      <c r="W37" s="322">
        <f>+'GENERADO NO Sep Origen'!W37+'RECH-RECUP_PS locales'!W197</f>
        <v>378.138735</v>
      </c>
      <c r="X37" s="322">
        <f>+'GENERADO NO Sep Origen'!X37+'RECH-RECUP_PS locales'!X197</f>
        <v>382.80463650000002</v>
      </c>
      <c r="Y37" s="322">
        <f>+'GENERADO NO Sep Origen'!Y37+'RECH-RECUP_PS locales'!Y197</f>
        <v>387.46962150000002</v>
      </c>
      <c r="Z37" s="322">
        <f>+'GENERADO NO Sep Origen'!Z37+'RECH-RECUP_PS locales'!Z197</f>
        <v>392.13552299999998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28"/>
      <c r="E38" s="278"/>
      <c r="F38" s="263"/>
      <c r="G38" s="322">
        <f>+'GENERADO NO Sep Origen'!G38+'RECH-RECUP_PS locales'!G198</f>
        <v>50.676575399999997</v>
      </c>
      <c r="H38" s="322">
        <f>+'GENERADO NO Sep Origen'!H38+'RECH-RECUP_PS locales'!H198</f>
        <v>47.784799999999997</v>
      </c>
      <c r="I38" s="322">
        <f>+'GENERADO NO Sep Origen'!I38+'RECH-RECUP_PS locales'!I198</f>
        <v>44.798621000000004</v>
      </c>
      <c r="J38" s="322">
        <f>+'GENERADO NO Sep Origen'!J38+'RECH-RECUP_PS locales'!J198</f>
        <v>40.110135</v>
      </c>
      <c r="K38" s="322">
        <f>+'GENERADO NO Sep Origen'!K38+'RECH-RECUP_PS locales'!K198</f>
        <v>35.275422000000006</v>
      </c>
      <c r="L38" s="322">
        <f>+'GENERADO NO Sep Origen'!L38+'RECH-RECUP_PS locales'!L198</f>
        <v>35.796306000000001</v>
      </c>
      <c r="M38" s="322">
        <f>+'GENERADO NO Sep Origen'!M38+'RECH-RECUP_PS locales'!M198</f>
        <v>36.326147000000006</v>
      </c>
      <c r="N38" s="322">
        <f>+'GENERADO NO Sep Origen'!N38+'RECH-RECUP_PS locales'!N198</f>
        <v>36.864945000000006</v>
      </c>
      <c r="O38" s="322">
        <f>+'GENERADO NO Sep Origen'!O38+'RECH-RECUP_PS locales'!O198</f>
        <v>37.412011000000007</v>
      </c>
      <c r="P38" s="322">
        <f>+'GENERADO NO Sep Origen'!P38+'RECH-RECUP_PS locales'!P198</f>
        <v>37.968034000000003</v>
      </c>
      <c r="Q38" s="322">
        <f>+'GENERADO NO Sep Origen'!Q38+'RECH-RECUP_PS locales'!Q198</f>
        <v>38.533014000000009</v>
      </c>
      <c r="R38" s="322">
        <f>+'GENERADO NO Sep Origen'!R38+'RECH-RECUP_PS locales'!R198</f>
        <v>39.107640000000004</v>
      </c>
      <c r="S38" s="322">
        <f>+'GENERADO NO Sep Origen'!S38+'RECH-RECUP_PS locales'!S198</f>
        <v>39.691223000000008</v>
      </c>
      <c r="T38" s="322">
        <f>+'GENERADO NO Sep Origen'!T38+'RECH-RECUP_PS locales'!T198</f>
        <v>40.284452000000002</v>
      </c>
      <c r="U38" s="322">
        <f>+'GENERADO NO Sep Origen'!U38+'RECH-RECUP_PS locales'!U198</f>
        <v>40.887327000000006</v>
      </c>
      <c r="V38" s="322">
        <f>+'GENERADO NO Sep Origen'!V38+'RECH-RECUP_PS locales'!V198</f>
        <v>41.500537000000001</v>
      </c>
      <c r="W38" s="322">
        <f>+'GENERADO NO Sep Origen'!W38+'RECH-RECUP_PS locales'!W198</f>
        <v>42.123393000000007</v>
      </c>
      <c r="X38" s="322">
        <f>+'GENERADO NO Sep Origen'!X38+'RECH-RECUP_PS locales'!X198</f>
        <v>42.755895000000002</v>
      </c>
      <c r="Y38" s="322">
        <f>+'GENERADO NO Sep Origen'!Y38+'RECH-RECUP_PS locales'!Y198</f>
        <v>43.399420999999997</v>
      </c>
      <c r="Z38" s="322">
        <f>+'GENERADO NO Sep Origen'!Z38+'RECH-RECUP_PS locales'!Z198</f>
        <v>44.053282000000003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28"/>
      <c r="E39" s="278"/>
      <c r="F39" s="263"/>
      <c r="G39" s="322">
        <f>+'GENERADO NO Sep Origen'!G39+'RECH-RECUP_PS locales'!G199</f>
        <v>35.186382000000002</v>
      </c>
      <c r="H39" s="322">
        <f>+'GENERADO NO Sep Origen'!H39+'RECH-RECUP_PS locales'!H199</f>
        <v>33.030024000000004</v>
      </c>
      <c r="I39" s="322">
        <f>+'GENERADO NO Sep Origen'!I39+'RECH-RECUP_PS locales'!I199</f>
        <v>30.825913</v>
      </c>
      <c r="J39" s="322">
        <f>+'GENERADO NO Sep Origen'!J39+'RECH-RECUP_PS locales'!J199</f>
        <v>27.474404999999997</v>
      </c>
      <c r="K39" s="322">
        <f>+'GENERADO NO Sep Origen'!K39+'RECH-RECUP_PS locales'!K199</f>
        <v>24.052301</v>
      </c>
      <c r="L39" s="322">
        <f>+'GENERADO NO Sep Origen'!L39+'RECH-RECUP_PS locales'!L199</f>
        <v>24.296207000000003</v>
      </c>
      <c r="M39" s="322">
        <f>+'GENERADO NO Sep Origen'!M39+'RECH-RECUP_PS locales'!M199</f>
        <v>24.542180000000002</v>
      </c>
      <c r="N39" s="322">
        <f>+'GENERADO NO Sep Origen'!N39+'RECH-RECUP_PS locales'!N199</f>
        <v>24.790908999999999</v>
      </c>
      <c r="O39" s="322">
        <f>+'GENERADO NO Sep Origen'!O39+'RECH-RECUP_PS locales'!O199</f>
        <v>25.041705000000007</v>
      </c>
      <c r="P39" s="322">
        <f>+'GENERADO NO Sep Origen'!P39+'RECH-RECUP_PS locales'!P199</f>
        <v>25.295256999999999</v>
      </c>
      <c r="Q39" s="322">
        <f>+'GENERADO NO Sep Origen'!Q39+'RECH-RECUP_PS locales'!Q199</f>
        <v>25.551565</v>
      </c>
      <c r="R39" s="322">
        <f>+'GENERADO NO Sep Origen'!R39+'RECH-RECUP_PS locales'!R199</f>
        <v>25.810629000000002</v>
      </c>
      <c r="S39" s="322">
        <f>+'GENERADO NO Sep Origen'!S39+'RECH-RECUP_PS locales'!S199</f>
        <v>26.071759999999998</v>
      </c>
      <c r="T39" s="322">
        <f>+'GENERADO NO Sep Origen'!T39+'RECH-RECUP_PS locales'!T199</f>
        <v>26.335647000000005</v>
      </c>
      <c r="U39" s="322">
        <f>+'GENERADO NO Sep Origen'!U39+'RECH-RECUP_PS locales'!U199</f>
        <v>26.602979000000005</v>
      </c>
      <c r="V39" s="322">
        <f>+'GENERADO NO Sep Origen'!V39+'RECH-RECUP_PS locales'!V199</f>
        <v>26.872378000000001</v>
      </c>
      <c r="W39" s="322">
        <f>+'GENERADO NO Sep Origen'!W39+'RECH-RECUP_PS locales'!W199</f>
        <v>27.144533000000003</v>
      </c>
      <c r="X39" s="322">
        <f>+'GENERADO NO Sep Origen'!X39+'RECH-RECUP_PS locales'!X199</f>
        <v>27.419443999999999</v>
      </c>
      <c r="Y39" s="322">
        <f>+'GENERADO NO Sep Origen'!Y39+'RECH-RECUP_PS locales'!Y199</f>
        <v>27.697111</v>
      </c>
      <c r="Z39" s="322">
        <f>+'GENERADO NO Sep Origen'!Z39+'RECH-RECUP_PS locales'!Z199</f>
        <v>27.977534000000002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28"/>
      <c r="E40" s="278"/>
      <c r="F40" s="263"/>
      <c r="G40" s="322">
        <f>+'GENERADO NO Sep Origen'!G40+'RECH-RECUP_PS locales'!G200</f>
        <v>16.309774800000003</v>
      </c>
      <c r="H40" s="322">
        <f>+'GENERADO NO Sep Origen'!H40+'RECH-RECUP_PS locales'!H200</f>
        <v>15.245301599999999</v>
      </c>
      <c r="I40" s="322">
        <f>+'GENERADO NO Sep Origen'!I40+'RECH-RECUP_PS locales'!I200</f>
        <v>14.167324000000002</v>
      </c>
      <c r="J40" s="322">
        <f>+'GENERADO NO Sep Origen'!J40+'RECH-RECUP_PS locales'!J200</f>
        <v>12.57531</v>
      </c>
      <c r="K40" s="322">
        <f>+'GENERADO NO Sep Origen'!K40+'RECH-RECUP_PS locales'!K200</f>
        <v>10.964057000000002</v>
      </c>
      <c r="L40" s="322">
        <f>+'GENERADO NO Sep Origen'!L40+'RECH-RECUP_PS locales'!L200</f>
        <v>11.030201000000002</v>
      </c>
      <c r="M40" s="322">
        <f>+'GENERADO NO Sep Origen'!M40+'RECH-RECUP_PS locales'!M200</f>
        <v>11.097723000000002</v>
      </c>
      <c r="N40" s="322">
        <f>+'GENERADO NO Sep Origen'!N40+'RECH-RECUP_PS locales'!N200</f>
        <v>11.165934</v>
      </c>
      <c r="O40" s="322">
        <f>+'GENERADO NO Sep Origen'!O40+'RECH-RECUP_PS locales'!O200</f>
        <v>11.236212000000002</v>
      </c>
      <c r="P40" s="322">
        <f>+'GENERADO NO Sep Origen'!P40+'RECH-RECUP_PS locales'!P200</f>
        <v>11.30649</v>
      </c>
      <c r="Q40" s="322">
        <f>+'GENERADO NO Sep Origen'!Q40+'RECH-RECUP_PS locales'!Q200</f>
        <v>11.378835</v>
      </c>
      <c r="R40" s="322">
        <f>+'GENERADO NO Sep Origen'!R40+'RECH-RECUP_PS locales'!R200</f>
        <v>11.451869000000002</v>
      </c>
      <c r="S40" s="322">
        <f>+'GENERADO NO Sep Origen'!S40+'RECH-RECUP_PS locales'!S200</f>
        <v>11.526281000000003</v>
      </c>
      <c r="T40" s="322">
        <f>+'GENERADO NO Sep Origen'!T40+'RECH-RECUP_PS locales'!T200</f>
        <v>11.602071000000002</v>
      </c>
      <c r="U40" s="322">
        <f>+'GENERADO NO Sep Origen'!U40+'RECH-RECUP_PS locales'!U200</f>
        <v>11.67855</v>
      </c>
      <c r="V40" s="322">
        <f>+'GENERADO NO Sep Origen'!V40+'RECH-RECUP_PS locales'!V200</f>
        <v>11.757096000000001</v>
      </c>
      <c r="W40" s="322">
        <f>+'GENERADO NO Sep Origen'!W40+'RECH-RECUP_PS locales'!W200</f>
        <v>11.836331000000001</v>
      </c>
      <c r="X40" s="322">
        <f>+'GENERADO NO Sep Origen'!X40+'RECH-RECUP_PS locales'!X200</f>
        <v>11.916944000000001</v>
      </c>
      <c r="Y40" s="322">
        <f>+'GENERADO NO Sep Origen'!Y40+'RECH-RECUP_PS locales'!Y200</f>
        <v>11.998935000000001</v>
      </c>
      <c r="Z40" s="322">
        <f>+'GENERADO NO Sep Origen'!Z40+'RECH-RECUP_PS locales'!Z200</f>
        <v>12.082304000000001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28"/>
      <c r="E41" s="278"/>
      <c r="F41" s="263"/>
      <c r="G41" s="322">
        <f>+'GENERADO NO Sep Origen'!G41+'RECH-RECUP_PS locales'!G201</f>
        <v>103.47925500000001</v>
      </c>
      <c r="H41" s="322">
        <f>+'GENERADO NO Sep Origen'!H41+'RECH-RECUP_PS locales'!H201</f>
        <v>97.102816799999999</v>
      </c>
      <c r="I41" s="322">
        <f>+'GENERADO NO Sep Origen'!I41+'RECH-RECUP_PS locales'!I201</f>
        <v>90.591962999999993</v>
      </c>
      <c r="J41" s="322">
        <f>+'GENERADO NO Sep Origen'!J41+'RECH-RECUP_PS locales'!J201</f>
        <v>80.71591500000001</v>
      </c>
      <c r="K41" s="322">
        <f>+'GENERADO NO Sep Origen'!K41+'RECH-RECUP_PS locales'!K201</f>
        <v>70.638009000000011</v>
      </c>
      <c r="L41" s="322">
        <f>+'GENERADO NO Sep Origen'!L41+'RECH-RECUP_PS locales'!L201</f>
        <v>71.328855000000004</v>
      </c>
      <c r="M41" s="322">
        <f>+'GENERADO NO Sep Origen'!M41+'RECH-RECUP_PS locales'!M201</f>
        <v>72.026330999999999</v>
      </c>
      <c r="N41" s="322">
        <f>+'GENERADO NO Sep Origen'!N41+'RECH-RECUP_PS locales'!N201</f>
        <v>72.730436999999995</v>
      </c>
      <c r="O41" s="322">
        <f>+'GENERADO NO Sep Origen'!O41+'RECH-RECUP_PS locales'!O201</f>
        <v>73.441836000000009</v>
      </c>
      <c r="P41" s="322">
        <f>+'GENERADO NO Sep Origen'!P41+'RECH-RECUP_PS locales'!P201</f>
        <v>74.159864999999996</v>
      </c>
      <c r="Q41" s="322">
        <f>+'GENERADO NO Sep Origen'!Q41+'RECH-RECUP_PS locales'!Q201</f>
        <v>74.885187000000002</v>
      </c>
      <c r="R41" s="322">
        <f>+'GENERADO NO Sep Origen'!R41+'RECH-RECUP_PS locales'!R201</f>
        <v>75.617802000000012</v>
      </c>
      <c r="S41" s="322">
        <f>+'GENERADO NO Sep Origen'!S41+'RECH-RECUP_PS locales'!S201</f>
        <v>76.357046999999994</v>
      </c>
      <c r="T41" s="322">
        <f>+'GENERADO NO Sep Origen'!T41+'RECH-RECUP_PS locales'!T201</f>
        <v>77.104248000000013</v>
      </c>
      <c r="U41" s="322">
        <f>+'GENERADO NO Sep Origen'!U41+'RECH-RECUP_PS locales'!U201</f>
        <v>77.858079000000004</v>
      </c>
      <c r="V41" s="322">
        <f>+'GENERADO NO Sep Origen'!V41+'RECH-RECUP_PS locales'!V201</f>
        <v>78.619866000000002</v>
      </c>
      <c r="W41" s="322">
        <f>+'GENERADO NO Sep Origen'!W41+'RECH-RECUP_PS locales'!W201</f>
        <v>79.388283000000001</v>
      </c>
      <c r="X41" s="322">
        <f>+'GENERADO NO Sep Origen'!X41+'RECH-RECUP_PS locales'!X201</f>
        <v>80.164656000000008</v>
      </c>
      <c r="Y41" s="322">
        <f>+'GENERADO NO Sep Origen'!Y41+'RECH-RECUP_PS locales'!Y201</f>
        <v>80.948985000000008</v>
      </c>
      <c r="Z41" s="322">
        <f>+'GENERADO NO Sep Origen'!Z41+'RECH-RECUP_PS locales'!Z201</f>
        <v>81.740606999999997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28"/>
      <c r="E42" s="278"/>
      <c r="F42" s="263"/>
      <c r="G42" s="322">
        <f>+'GENERADO NO Sep Origen'!G42+'RECH-RECUP_PS locales'!G202</f>
        <v>30.716987400000001</v>
      </c>
      <c r="H42" s="322">
        <f>+'GENERADO NO Sep Origen'!H42+'RECH-RECUP_PS locales'!H202</f>
        <v>28.740119200000002</v>
      </c>
      <c r="I42" s="322">
        <f>+'GENERADO NO Sep Origen'!I42+'RECH-RECUP_PS locales'!I202</f>
        <v>26.735373000000003</v>
      </c>
      <c r="J42" s="322">
        <f>+'GENERADO NO Sep Origen'!J42+'RECH-RECUP_PS locales'!J202</f>
        <v>23.751420000000003</v>
      </c>
      <c r="K42" s="322">
        <f>+'GENERADO NO Sep Origen'!K42+'RECH-RECUP_PS locales'!K202</f>
        <v>20.725809000000002</v>
      </c>
      <c r="L42" s="322">
        <f>+'GENERADO NO Sep Origen'!L42+'RECH-RECUP_PS locales'!L202</f>
        <v>20.867742999999997</v>
      </c>
      <c r="M42" s="322">
        <f>+'GENERADO NO Sep Origen'!M42+'RECH-RECUP_PS locales'!M202</f>
        <v>21.010366000000005</v>
      </c>
      <c r="N42" s="322">
        <f>+'GENERADO NO Sep Origen'!N42+'RECH-RECUP_PS locales'!N202</f>
        <v>21.154367000000001</v>
      </c>
      <c r="O42" s="322">
        <f>+'GENERADO NO Sep Origen'!O42+'RECH-RECUP_PS locales'!O202</f>
        <v>21.299057000000001</v>
      </c>
      <c r="P42" s="322">
        <f>+'GENERADO NO Sep Origen'!P42+'RECH-RECUP_PS locales'!P202</f>
        <v>21.445125000000001</v>
      </c>
      <c r="Q42" s="322">
        <f>+'GENERADO NO Sep Origen'!Q42+'RECH-RECUP_PS locales'!Q202</f>
        <v>21.591881999999998</v>
      </c>
      <c r="R42" s="322">
        <f>+'GENERADO NO Sep Origen'!R42+'RECH-RECUP_PS locales'!R202</f>
        <v>21.740017000000002</v>
      </c>
      <c r="S42" s="322">
        <f>+'GENERADO NO Sep Origen'!S42+'RECH-RECUP_PS locales'!S202</f>
        <v>21.888840999999999</v>
      </c>
      <c r="T42" s="322">
        <f>+'GENERADO NO Sep Origen'!T42+'RECH-RECUP_PS locales'!T202</f>
        <v>22.039043000000003</v>
      </c>
      <c r="U42" s="322">
        <f>+'GENERADO NO Sep Origen'!U42+'RECH-RECUP_PS locales'!U202</f>
        <v>22.189934000000001</v>
      </c>
      <c r="V42" s="322">
        <f>+'GENERADO NO Sep Origen'!V42+'RECH-RECUP_PS locales'!V202</f>
        <v>22.342203000000005</v>
      </c>
      <c r="W42" s="322">
        <f>+'GENERADO NO Sep Origen'!W42+'RECH-RECUP_PS locales'!W202</f>
        <v>22.495161</v>
      </c>
      <c r="X42" s="322">
        <f>+'GENERADO NO Sep Origen'!X42+'RECH-RECUP_PS locales'!X202</f>
        <v>22.648807999999999</v>
      </c>
      <c r="Y42" s="322">
        <f>+'GENERADO NO Sep Origen'!Y42+'RECH-RECUP_PS locales'!Y202</f>
        <v>22.803832999999997</v>
      </c>
      <c r="Z42" s="322">
        <f>+'GENERADO NO Sep Origen'!Z42+'RECH-RECUP_PS locales'!Z202</f>
        <v>22.960236000000002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28"/>
      <c r="E43" s="278"/>
      <c r="F43" s="263"/>
      <c r="G43" s="322">
        <f>+'GENERADO NO Sep Origen'!G43+'RECH-RECUP_PS locales'!G203</f>
        <v>36.849680999999997</v>
      </c>
      <c r="H43" s="322">
        <f>+'GENERADO NO Sep Origen'!H43+'RECH-RECUP_PS locales'!H203</f>
        <v>34.347519200000001</v>
      </c>
      <c r="I43" s="322">
        <f>+'GENERADO NO Sep Origen'!I43+'RECH-RECUP_PS locales'!I203</f>
        <v>31.830527999999997</v>
      </c>
      <c r="J43" s="322">
        <f>+'GENERADO NO Sep Origen'!J43+'RECH-RECUP_PS locales'!J203</f>
        <v>28.170030000000001</v>
      </c>
      <c r="K43" s="322">
        <f>+'GENERADO NO Sep Origen'!K43+'RECH-RECUP_PS locales'!K203</f>
        <v>24.487060000000003</v>
      </c>
      <c r="L43" s="322">
        <f>+'GENERADO NO Sep Origen'!L43+'RECH-RECUP_PS locales'!L203</f>
        <v>24.560093999999999</v>
      </c>
      <c r="M43" s="322">
        <f>+'GENERADO NO Sep Origen'!M43+'RECH-RECUP_PS locales'!M203</f>
        <v>24.633127999999999</v>
      </c>
      <c r="N43" s="322">
        <f>+'GENERADO NO Sep Origen'!N43+'RECH-RECUP_PS locales'!N203</f>
        <v>24.706851</v>
      </c>
      <c r="O43" s="322">
        <f>+'GENERADO NO Sep Origen'!O43+'RECH-RECUP_PS locales'!O203</f>
        <v>24.779885</v>
      </c>
      <c r="P43" s="322">
        <f>+'GENERADO NO Sep Origen'!P43+'RECH-RECUP_PS locales'!P203</f>
        <v>24.852919000000004</v>
      </c>
      <c r="Q43" s="322">
        <f>+'GENERADO NO Sep Origen'!Q43+'RECH-RECUP_PS locales'!Q203</f>
        <v>24.925953</v>
      </c>
      <c r="R43" s="322">
        <f>+'GENERADO NO Sep Origen'!R43+'RECH-RECUP_PS locales'!R203</f>
        <v>24.998987</v>
      </c>
      <c r="S43" s="322">
        <f>+'GENERADO NO Sep Origen'!S43+'RECH-RECUP_PS locales'!S203</f>
        <v>25.072021000000003</v>
      </c>
      <c r="T43" s="322">
        <f>+'GENERADO NO Sep Origen'!T43+'RECH-RECUP_PS locales'!T203</f>
        <v>25.145744000000001</v>
      </c>
      <c r="U43" s="322">
        <f>+'GENERADO NO Sep Origen'!U43+'RECH-RECUP_PS locales'!U203</f>
        <v>25.218778000000004</v>
      </c>
      <c r="V43" s="322">
        <f>+'GENERADO NO Sep Origen'!V43+'RECH-RECUP_PS locales'!V203</f>
        <v>25.291812</v>
      </c>
      <c r="W43" s="322">
        <f>+'GENERADO NO Sep Origen'!W43+'RECH-RECUP_PS locales'!W203</f>
        <v>25.364846</v>
      </c>
      <c r="X43" s="322">
        <f>+'GENERADO NO Sep Origen'!X43+'RECH-RECUP_PS locales'!X203</f>
        <v>25.437880000000003</v>
      </c>
      <c r="Y43" s="322">
        <f>+'GENERADO NO Sep Origen'!Y43+'RECH-RECUP_PS locales'!Y203</f>
        <v>25.511603000000001</v>
      </c>
      <c r="Z43" s="322">
        <f>+'GENERADO NO Sep Origen'!Z43+'RECH-RECUP_PS locales'!Z203</f>
        <v>25.584637000000004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28"/>
      <c r="E44" s="278"/>
      <c r="F44" s="263"/>
      <c r="G44" s="322">
        <f>+'GENERADO NO Sep Origen'!G44+'RECH-RECUP_PS locales'!G204</f>
        <v>28.331701200000001</v>
      </c>
      <c r="H44" s="322">
        <f>+'GENERADO NO Sep Origen'!H44+'RECH-RECUP_PS locales'!H204</f>
        <v>26.837504000000003</v>
      </c>
      <c r="I44" s="322">
        <f>+'GENERADO NO Sep Origen'!I44+'RECH-RECUP_PS locales'!I204</f>
        <v>25.274852000000003</v>
      </c>
      <c r="J44" s="322">
        <f>+'GENERADO NO Sep Origen'!J44+'RECH-RECUP_PS locales'!J204</f>
        <v>22.732230000000001</v>
      </c>
      <c r="K44" s="322">
        <f>+'GENERADO NO Sep Origen'!K44+'RECH-RECUP_PS locales'!K204</f>
        <v>20.081594000000003</v>
      </c>
      <c r="L44" s="322">
        <f>+'GENERADO NO Sep Origen'!L44+'RECH-RECUP_PS locales'!L204</f>
        <v>20.469501000000001</v>
      </c>
      <c r="M44" s="322">
        <f>+'GENERADO NO Sep Origen'!M44+'RECH-RECUP_PS locales'!M204</f>
        <v>20.864987000000003</v>
      </c>
      <c r="N44" s="322">
        <f>+'GENERADO NO Sep Origen'!N44+'RECH-RECUP_PS locales'!N204</f>
        <v>21.268052000000004</v>
      </c>
      <c r="O44" s="322">
        <f>+'GENERADO NO Sep Origen'!O44+'RECH-RECUP_PS locales'!O204</f>
        <v>21.679385</v>
      </c>
      <c r="P44" s="322">
        <f>+'GENERADO NO Sep Origen'!P44+'RECH-RECUP_PS locales'!P204</f>
        <v>22.098297000000006</v>
      </c>
      <c r="Q44" s="322">
        <f>+'GENERADO NO Sep Origen'!Q44+'RECH-RECUP_PS locales'!Q204</f>
        <v>22.525477000000002</v>
      </c>
      <c r="R44" s="322">
        <f>+'GENERADO NO Sep Origen'!R44+'RECH-RECUP_PS locales'!R204</f>
        <v>22.960236000000002</v>
      </c>
      <c r="S44" s="322">
        <f>+'GENERADO NO Sep Origen'!S44+'RECH-RECUP_PS locales'!S204</f>
        <v>23.403952000000004</v>
      </c>
      <c r="T44" s="322">
        <f>+'GENERADO NO Sep Origen'!T44+'RECH-RECUP_PS locales'!T204</f>
        <v>23.855936000000003</v>
      </c>
      <c r="U44" s="322">
        <f>+'GENERADO NO Sep Origen'!U44+'RECH-RECUP_PS locales'!U204</f>
        <v>24.316877000000005</v>
      </c>
      <c r="V44" s="322">
        <f>+'GENERADO NO Sep Origen'!V44+'RECH-RECUP_PS locales'!V204</f>
        <v>24.786774999999999</v>
      </c>
      <c r="W44" s="322">
        <f>+'GENERADO NO Sep Origen'!W44+'RECH-RECUP_PS locales'!W204</f>
        <v>25.266319000000003</v>
      </c>
      <c r="X44" s="322">
        <f>+'GENERADO NO Sep Origen'!X44+'RECH-RECUP_PS locales'!X204</f>
        <v>25.754131000000001</v>
      </c>
      <c r="Y44" s="322">
        <f>+'GENERADO NO Sep Origen'!Y44+'RECH-RECUP_PS locales'!Y204</f>
        <v>26.251589000000003</v>
      </c>
      <c r="Z44" s="322">
        <f>+'GENERADO NO Sep Origen'!Z44+'RECH-RECUP_PS locales'!Z204</f>
        <v>26.759381999999999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28"/>
      <c r="E45" s="278"/>
      <c r="F45" s="263"/>
      <c r="G45" s="322">
        <f>+'GENERADO NO Sep Origen'!G45+'RECH-RECUP_PS locales'!G205</f>
        <v>103.938714</v>
      </c>
      <c r="H45" s="322">
        <f>+'GENERADO NO Sep Origen'!H45+'RECH-RECUP_PS locales'!H205</f>
        <v>97.531665599999997</v>
      </c>
      <c r="I45" s="322">
        <f>+'GENERADO NO Sep Origen'!I45+'RECH-RECUP_PS locales'!I205</f>
        <v>90.982112999999998</v>
      </c>
      <c r="J45" s="322">
        <f>+'GENERADO NO Sep Origen'!J45+'RECH-RECUP_PS locales'!J205</f>
        <v>81.04639499999999</v>
      </c>
      <c r="K45" s="322">
        <f>+'GENERADO NO Sep Origen'!K45+'RECH-RECUP_PS locales'!K205</f>
        <v>70.905861000000016</v>
      </c>
      <c r="L45" s="322">
        <f>+'GENERADO NO Sep Origen'!L45+'RECH-RECUP_PS locales'!L205</f>
        <v>71.57151300000001</v>
      </c>
      <c r="M45" s="322">
        <f>+'GENERADO NO Sep Origen'!M45+'RECH-RECUP_PS locales'!M205</f>
        <v>72.237165000000005</v>
      </c>
      <c r="N45" s="322">
        <f>+'GENERADO NO Sep Origen'!N45+'RECH-RECUP_PS locales'!N205</f>
        <v>72.902816999999999</v>
      </c>
      <c r="O45" s="322">
        <f>+'GENERADO NO Sep Origen'!O45+'RECH-RECUP_PS locales'!O205</f>
        <v>73.568468999999993</v>
      </c>
      <c r="P45" s="322">
        <f>+'GENERADO NO Sep Origen'!P45+'RECH-RECUP_PS locales'!P205</f>
        <v>74.234121000000002</v>
      </c>
      <c r="Q45" s="322">
        <f>+'GENERADO NO Sep Origen'!Q45+'RECH-RECUP_PS locales'!Q205</f>
        <v>74.899772999999996</v>
      </c>
      <c r="R45" s="322">
        <f>+'GENERADO NO Sep Origen'!R45+'RECH-RECUP_PS locales'!R205</f>
        <v>75.565425000000005</v>
      </c>
      <c r="S45" s="322">
        <f>+'GENERADO NO Sep Origen'!S45+'RECH-RECUP_PS locales'!S205</f>
        <v>76.231076999999999</v>
      </c>
      <c r="T45" s="322">
        <f>+'GENERADO NO Sep Origen'!T45+'RECH-RECUP_PS locales'!T205</f>
        <v>76.896729000000008</v>
      </c>
      <c r="U45" s="322">
        <f>+'GENERADO NO Sep Origen'!U45+'RECH-RECUP_PS locales'!U205</f>
        <v>77.562381000000002</v>
      </c>
      <c r="V45" s="322">
        <f>+'GENERADO NO Sep Origen'!V45+'RECH-RECUP_PS locales'!V205</f>
        <v>78.228695999999999</v>
      </c>
      <c r="W45" s="322">
        <f>+'GENERADO NO Sep Origen'!W45+'RECH-RECUP_PS locales'!W205</f>
        <v>78.894348000000008</v>
      </c>
      <c r="X45" s="322">
        <f>+'GENERADO NO Sep Origen'!X45+'RECH-RECUP_PS locales'!X205</f>
        <v>79.56</v>
      </c>
      <c r="Y45" s="322">
        <f>+'GENERADO NO Sep Origen'!Y45+'RECH-RECUP_PS locales'!Y205</f>
        <v>80.225651999999997</v>
      </c>
      <c r="Z45" s="322">
        <f>+'GENERADO NO Sep Origen'!Z45+'RECH-RECUP_PS locales'!Z205</f>
        <v>80.891304000000005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28"/>
      <c r="E46" s="278"/>
      <c r="F46" s="263"/>
      <c r="G46" s="322">
        <f>+'GENERADO NO Sep Origen'!G46+'RECH-RECUP_PS locales'!G206</f>
        <v>49.497049800000006</v>
      </c>
      <c r="H46" s="322">
        <f>+'GENERADO NO Sep Origen'!H46+'RECH-RECUP_PS locales'!H206</f>
        <v>47.196754400000003</v>
      </c>
      <c r="I46" s="322">
        <f>+'GENERADO NO Sep Origen'!I46+'RECH-RECUP_PS locales'!I206</f>
        <v>44.731946999999998</v>
      </c>
      <c r="J46" s="322">
        <f>+'GENERADO NO Sep Origen'!J46+'RECH-RECUP_PS locales'!J206</f>
        <v>40.479015000000004</v>
      </c>
      <c r="K46" s="322">
        <f>+'GENERADO NO Sep Origen'!K46+'RECH-RECUP_PS locales'!K206</f>
        <v>35.971312000000005</v>
      </c>
      <c r="L46" s="322">
        <f>+'GENERADO NO Sep Origen'!L46+'RECH-RECUP_PS locales'!L206</f>
        <v>36.874590999999995</v>
      </c>
      <c r="M46" s="322">
        <f>+'GENERADO NO Sep Origen'!M46+'RECH-RECUP_PS locales'!M206</f>
        <v>37.793717000000001</v>
      </c>
      <c r="N46" s="322">
        <f>+'GENERADO NO Sep Origen'!N46+'RECH-RECUP_PS locales'!N206</f>
        <v>38.727311999999998</v>
      </c>
      <c r="O46" s="322">
        <f>+'GENERADO NO Sep Origen'!O46+'RECH-RECUP_PS locales'!O206</f>
        <v>39.676065000000001</v>
      </c>
      <c r="P46" s="322">
        <f>+'GENERADO NO Sep Origen'!P46+'RECH-RECUP_PS locales'!P206</f>
        <v>40.639976000000004</v>
      </c>
      <c r="Q46" s="322">
        <f>+'GENERADO NO Sep Origen'!Q46+'RECH-RECUP_PS locales'!Q206</f>
        <v>41.620423000000009</v>
      </c>
      <c r="R46" s="322">
        <f>+'GENERADO NO Sep Origen'!R46+'RECH-RECUP_PS locales'!R206</f>
        <v>42.616028000000014</v>
      </c>
      <c r="S46" s="322">
        <f>+'GENERADO NO Sep Origen'!S46+'RECH-RECUP_PS locales'!S206</f>
        <v>43.628169000000014</v>
      </c>
      <c r="T46" s="322">
        <f>+'GENERADO NO Sep Origen'!T46+'RECH-RECUP_PS locales'!T206</f>
        <v>44.656846000000002</v>
      </c>
      <c r="U46" s="322">
        <f>+'GENERADO NO Sep Origen'!U46+'RECH-RECUP_PS locales'!U206</f>
        <v>45.702748</v>
      </c>
      <c r="V46" s="322">
        <f>+'GENERADO NO Sep Origen'!V46+'RECH-RECUP_PS locales'!V206</f>
        <v>46.765186</v>
      </c>
      <c r="W46" s="322">
        <f>+'GENERADO NO Sep Origen'!W46+'RECH-RECUP_PS locales'!W206</f>
        <v>47.845538000000005</v>
      </c>
      <c r="X46" s="322">
        <f>+'GENERADO NO Sep Origen'!X46+'RECH-RECUP_PS locales'!X206</f>
        <v>48.942426000000005</v>
      </c>
      <c r="Y46" s="322">
        <f>+'GENERADO NO Sep Origen'!Y46+'RECH-RECUP_PS locales'!Y206</f>
        <v>50.057917000000003</v>
      </c>
      <c r="Z46" s="322">
        <f>+'GENERADO NO Sep Origen'!Z46+'RECH-RECUP_PS locales'!Z206</f>
        <v>51.192011000000001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28"/>
      <c r="E47" s="278"/>
      <c r="F47" s="263"/>
      <c r="G47" s="322">
        <f>+'GENERADO NO Sep Origen'!G47+'RECH-RECUP_PS locales'!G207</f>
        <v>16.724287799999999</v>
      </c>
      <c r="H47" s="322">
        <f>+'GENERADO NO Sep Origen'!H47+'RECH-RECUP_PS locales'!H207</f>
        <v>15.718273600000002</v>
      </c>
      <c r="I47" s="322">
        <f>+'GENERADO NO Sep Origen'!I47+'RECH-RECUP_PS locales'!I207</f>
        <v>14.685399000000004</v>
      </c>
      <c r="J47" s="322">
        <f>+'GENERADO NO Sep Origen'!J47+'RECH-RECUP_PS locales'!J207</f>
        <v>13.101599999999998</v>
      </c>
      <c r="K47" s="322">
        <f>+'GENERADO NO Sep Origen'!K47+'RECH-RECUP_PS locales'!K207</f>
        <v>11.479429</v>
      </c>
      <c r="L47" s="322">
        <f>+'GENERADO NO Sep Origen'!L47+'RECH-RECUP_PS locales'!L207</f>
        <v>11.604138000000003</v>
      </c>
      <c r="M47" s="322">
        <f>+'GENERADO NO Sep Origen'!M47+'RECH-RECUP_PS locales'!M207</f>
        <v>11.728847000000002</v>
      </c>
      <c r="N47" s="322">
        <f>+'GENERADO NO Sep Origen'!N47+'RECH-RECUP_PS locales'!N207</f>
        <v>11.854244999999999</v>
      </c>
      <c r="O47" s="322">
        <f>+'GENERADO NO Sep Origen'!O47+'RECH-RECUP_PS locales'!O207</f>
        <v>11.978954</v>
      </c>
      <c r="P47" s="322">
        <f>+'GENERADO NO Sep Origen'!P47+'RECH-RECUP_PS locales'!P207</f>
        <v>12.103663000000001</v>
      </c>
      <c r="Q47" s="322">
        <f>+'GENERADO NO Sep Origen'!Q47+'RECH-RECUP_PS locales'!Q207</f>
        <v>12.228372</v>
      </c>
      <c r="R47" s="322">
        <f>+'GENERADO NO Sep Origen'!R47+'RECH-RECUP_PS locales'!R207</f>
        <v>12.353081000000001</v>
      </c>
      <c r="S47" s="322">
        <f>+'GENERADO NO Sep Origen'!S47+'RECH-RECUP_PS locales'!S207</f>
        <v>12.477790000000002</v>
      </c>
      <c r="T47" s="322">
        <f>+'GENERADO NO Sep Origen'!T47+'RECH-RECUP_PS locales'!T207</f>
        <v>12.602499000000002</v>
      </c>
      <c r="U47" s="322">
        <f>+'GENERADO NO Sep Origen'!U47+'RECH-RECUP_PS locales'!U207</f>
        <v>12.727208000000001</v>
      </c>
      <c r="V47" s="322">
        <f>+'GENERADO NO Sep Origen'!V47+'RECH-RECUP_PS locales'!V207</f>
        <v>12.851917</v>
      </c>
      <c r="W47" s="322">
        <f>+'GENERADO NO Sep Origen'!W47+'RECH-RECUP_PS locales'!W207</f>
        <v>12.977315000000003</v>
      </c>
      <c r="X47" s="322">
        <f>+'GENERADO NO Sep Origen'!X47+'RECH-RECUP_PS locales'!X207</f>
        <v>13.102024000000002</v>
      </c>
      <c r="Y47" s="322">
        <f>+'GENERADO NO Sep Origen'!Y47+'RECH-RECUP_PS locales'!Y207</f>
        <v>13.226732999999999</v>
      </c>
      <c r="Z47" s="322">
        <f>+'GENERADO NO Sep Origen'!Z47+'RECH-RECUP_PS locales'!Z207</f>
        <v>13.351442000000002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28"/>
      <c r="E48" s="278"/>
      <c r="F48" s="263"/>
      <c r="G48" s="322">
        <f>+'GENERADO NO Sep Origen'!G48+'RECH-RECUP_PS locales'!G208</f>
        <v>21.695295600000001</v>
      </c>
      <c r="H48" s="322">
        <f>+'GENERADO NO Sep Origen'!H48+'RECH-RECUP_PS locales'!H208</f>
        <v>20.312440800000005</v>
      </c>
      <c r="I48" s="322">
        <f>+'GENERADO NO Sep Origen'!I48+'RECH-RECUP_PS locales'!I208</f>
        <v>18.907485000000001</v>
      </c>
      <c r="J48" s="322">
        <f>+'GENERADO NO Sep Origen'!J48+'RECH-RECUP_PS locales'!J208</f>
        <v>16.80789</v>
      </c>
      <c r="K48" s="322">
        <f>+'GENERADO NO Sep Origen'!K48+'RECH-RECUP_PS locales'!K208</f>
        <v>14.676389000000002</v>
      </c>
      <c r="L48" s="322">
        <f>+'GENERADO NO Sep Origen'!L48+'RECH-RECUP_PS locales'!L208</f>
        <v>14.785940000000002</v>
      </c>
      <c r="M48" s="322">
        <f>+'GENERADO NO Sep Origen'!M48+'RECH-RECUP_PS locales'!M208</f>
        <v>14.896869000000002</v>
      </c>
      <c r="N48" s="322">
        <f>+'GENERADO NO Sep Origen'!N48+'RECH-RECUP_PS locales'!N208</f>
        <v>15.008487000000001</v>
      </c>
      <c r="O48" s="322">
        <f>+'GENERADO NO Sep Origen'!O48+'RECH-RECUP_PS locales'!O208</f>
        <v>15.120794000000004</v>
      </c>
      <c r="P48" s="322">
        <f>+'GENERADO NO Sep Origen'!P48+'RECH-RECUP_PS locales'!P208</f>
        <v>15.234479</v>
      </c>
      <c r="Q48" s="322">
        <f>+'GENERADO NO Sep Origen'!Q48+'RECH-RECUP_PS locales'!Q208</f>
        <v>15.348164000000002</v>
      </c>
      <c r="R48" s="322">
        <f>+'GENERADO NO Sep Origen'!R48+'RECH-RECUP_PS locales'!R208</f>
        <v>15.463227000000002</v>
      </c>
      <c r="S48" s="322">
        <f>+'GENERADO NO Sep Origen'!S48+'RECH-RECUP_PS locales'!S208</f>
        <v>15.579668000000002</v>
      </c>
      <c r="T48" s="322">
        <f>+'GENERADO NO Sep Origen'!T48+'RECH-RECUP_PS locales'!T208</f>
        <v>15.696109000000002</v>
      </c>
      <c r="U48" s="322">
        <f>+'GENERADO NO Sep Origen'!U48+'RECH-RECUP_PS locales'!U208</f>
        <v>15.813928000000002</v>
      </c>
      <c r="V48" s="322">
        <f>+'GENERADO NO Sep Origen'!V48+'RECH-RECUP_PS locales'!V208</f>
        <v>15.932436000000003</v>
      </c>
      <c r="W48" s="322">
        <f>+'GENERADO NO Sep Origen'!W48+'RECH-RECUP_PS locales'!W208</f>
        <v>16.051633000000002</v>
      </c>
      <c r="X48" s="322">
        <f>+'GENERADO NO Sep Origen'!X48+'RECH-RECUP_PS locales'!X208</f>
        <v>16.171519000000004</v>
      </c>
      <c r="Y48" s="322">
        <f>+'GENERADO NO Sep Origen'!Y48+'RECH-RECUP_PS locales'!Y208</f>
        <v>16.292783</v>
      </c>
      <c r="Z48" s="322">
        <f>+'GENERADO NO Sep Origen'!Z48+'RECH-RECUP_PS locales'!Z208</f>
        <v>16.414736000000001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28"/>
      <c r="E49" s="278"/>
      <c r="F49" s="263"/>
      <c r="G49" s="322">
        <f>+'GENERADO NO Sep Origen'!G49+'RECH-RECUP_PS locales'!G209</f>
        <v>5.0522075999999991</v>
      </c>
      <c r="H49" s="322">
        <f>+'GENERADO NO Sep Origen'!H49+'RECH-RECUP_PS locales'!H209</f>
        <v>4.7119087999999998</v>
      </c>
      <c r="I49" s="322">
        <f>+'GENERADO NO Sep Origen'!I49+'RECH-RECUP_PS locales'!I209</f>
        <v>4.3698160000000001</v>
      </c>
      <c r="J49" s="322">
        <f>+'GENERADO NO Sep Origen'!J49+'RECH-RECUP_PS locales'!J209</f>
        <v>3.8695200000000005</v>
      </c>
      <c r="K49" s="322">
        <f>+'GENERADO NO Sep Origen'!K49+'RECH-RECUP_PS locales'!K209</f>
        <v>3.3655440000000003</v>
      </c>
      <c r="L49" s="322">
        <f>+'GENERADO NO Sep Origen'!L49+'RECH-RECUP_PS locales'!L209</f>
        <v>3.3775040000000001</v>
      </c>
      <c r="M49" s="322">
        <f>+'GENERADO NO Sep Origen'!M49+'RECH-RECUP_PS locales'!M209</f>
        <v>3.3894640000000003</v>
      </c>
      <c r="N49" s="322">
        <f>+'GENERADO NO Sep Origen'!N49+'RECH-RECUP_PS locales'!N209</f>
        <v>3.4020220000000001</v>
      </c>
      <c r="O49" s="322">
        <f>+'GENERADO NO Sep Origen'!O49+'RECH-RECUP_PS locales'!O209</f>
        <v>3.4139820000000007</v>
      </c>
      <c r="P49" s="322">
        <f>+'GENERADO NO Sep Origen'!P49+'RECH-RECUP_PS locales'!P209</f>
        <v>3.4259420000000005</v>
      </c>
      <c r="Q49" s="322">
        <f>+'GENERADO NO Sep Origen'!Q49+'RECH-RECUP_PS locales'!Q209</f>
        <v>3.4379020000000002</v>
      </c>
      <c r="R49" s="322">
        <f>+'GENERADO NO Sep Origen'!R49+'RECH-RECUP_PS locales'!R209</f>
        <v>3.4504600000000005</v>
      </c>
      <c r="S49" s="322">
        <f>+'GENERADO NO Sep Origen'!S49+'RECH-RECUP_PS locales'!S209</f>
        <v>3.4624200000000007</v>
      </c>
      <c r="T49" s="322">
        <f>+'GENERADO NO Sep Origen'!T49+'RECH-RECUP_PS locales'!T209</f>
        <v>3.47438</v>
      </c>
      <c r="U49" s="322">
        <f>+'GENERADO NO Sep Origen'!U49+'RECH-RECUP_PS locales'!U209</f>
        <v>3.4863400000000002</v>
      </c>
      <c r="V49" s="322">
        <f>+'GENERADO NO Sep Origen'!V49+'RECH-RECUP_PS locales'!V209</f>
        <v>3.4988980000000005</v>
      </c>
      <c r="W49" s="322">
        <f>+'GENERADO NO Sep Origen'!W49+'RECH-RECUP_PS locales'!W209</f>
        <v>3.5108580000000007</v>
      </c>
      <c r="X49" s="322">
        <f>+'GENERADO NO Sep Origen'!X49+'RECH-RECUP_PS locales'!X209</f>
        <v>3.522818</v>
      </c>
      <c r="Y49" s="322">
        <f>+'GENERADO NO Sep Origen'!Y49+'RECH-RECUP_PS locales'!Y209</f>
        <v>3.5347780000000002</v>
      </c>
      <c r="Z49" s="322">
        <f>+'GENERADO NO Sep Origen'!Z49+'RECH-RECUP_PS locales'!Z209</f>
        <v>3.5473360000000005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28"/>
      <c r="E50" s="278"/>
      <c r="F50" s="263"/>
      <c r="G50" s="322">
        <f>+'GENERADO NO Sep Origen'!G50+'RECH-RECUP_PS locales'!G210</f>
        <v>16.513358400000001</v>
      </c>
      <c r="H50" s="322">
        <f>+'GENERADO NO Sep Origen'!H50+'RECH-RECUP_PS locales'!H210</f>
        <v>15.510555999999998</v>
      </c>
      <c r="I50" s="322">
        <f>+'GENERADO NO Sep Origen'!I50+'RECH-RECUP_PS locales'!I210</f>
        <v>14.482674000000001</v>
      </c>
      <c r="J50" s="322">
        <f>+'GENERADO NO Sep Origen'!J50+'RECH-RECUP_PS locales'!J210</f>
        <v>12.912389999999998</v>
      </c>
      <c r="K50" s="322">
        <f>+'GENERADO NO Sep Origen'!K50+'RECH-RECUP_PS locales'!K210</f>
        <v>11.307179</v>
      </c>
      <c r="L50" s="322">
        <f>+'GENERADO NO Sep Origen'!L50+'RECH-RECUP_PS locales'!L210</f>
        <v>11.42362</v>
      </c>
      <c r="M50" s="322">
        <f>+'GENERADO NO Sep Origen'!M50+'RECH-RECUP_PS locales'!M210</f>
        <v>11.540061000000001</v>
      </c>
      <c r="N50" s="322">
        <f>+'GENERADO NO Sep Origen'!N50+'RECH-RECUP_PS locales'!N210</f>
        <v>11.656502</v>
      </c>
      <c r="O50" s="322">
        <f>+'GENERADO NO Sep Origen'!O50+'RECH-RECUP_PS locales'!O210</f>
        <v>11.772943000000001</v>
      </c>
      <c r="P50" s="322">
        <f>+'GENERADO NO Sep Origen'!P50+'RECH-RECUP_PS locales'!P210</f>
        <v>11.888694999999998</v>
      </c>
      <c r="Q50" s="322">
        <f>+'GENERADO NO Sep Origen'!Q50+'RECH-RECUP_PS locales'!Q210</f>
        <v>12.005136000000002</v>
      </c>
      <c r="R50" s="322">
        <f>+'GENERADO NO Sep Origen'!R50+'RECH-RECUP_PS locales'!R210</f>
        <v>12.121577000000002</v>
      </c>
      <c r="S50" s="322">
        <f>+'GENERADO NO Sep Origen'!S50+'RECH-RECUP_PS locales'!S210</f>
        <v>12.238018000000002</v>
      </c>
      <c r="T50" s="322">
        <f>+'GENERADO NO Sep Origen'!T50+'RECH-RECUP_PS locales'!T210</f>
        <v>12.354459</v>
      </c>
      <c r="U50" s="322">
        <f>+'GENERADO NO Sep Origen'!U50+'RECH-RECUP_PS locales'!U210</f>
        <v>12.4709</v>
      </c>
      <c r="V50" s="322">
        <f>+'GENERADO NO Sep Origen'!V50+'RECH-RECUP_PS locales'!V210</f>
        <v>12.587341</v>
      </c>
      <c r="W50" s="322">
        <f>+'GENERADO NO Sep Origen'!W50+'RECH-RECUP_PS locales'!W210</f>
        <v>12.703093000000003</v>
      </c>
      <c r="X50" s="322">
        <f>+'GENERADO NO Sep Origen'!X50+'RECH-RECUP_PS locales'!X210</f>
        <v>12.819534000000001</v>
      </c>
      <c r="Y50" s="322">
        <f>+'GENERADO NO Sep Origen'!Y50+'RECH-RECUP_PS locales'!Y210</f>
        <v>12.935974999999999</v>
      </c>
      <c r="Z50" s="322">
        <f>+'GENERADO NO Sep Origen'!Z50+'RECH-RECUP_PS locales'!Z210</f>
        <v>13.052416000000001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28"/>
      <c r="E51" s="278"/>
      <c r="F51" s="263"/>
      <c r="G51" s="322">
        <f>+'GENERADO NO Sep Origen'!G51+'RECH-RECUP_PS locales'!G211</f>
        <v>8.4604212000000008</v>
      </c>
      <c r="H51" s="322">
        <f>+'GENERADO NO Sep Origen'!H51+'RECH-RECUP_PS locales'!H211</f>
        <v>8.0044047999999997</v>
      </c>
      <c r="I51" s="322">
        <f>+'GENERADO NO Sep Origen'!I51+'RECH-RECUP_PS locales'!I211</f>
        <v>7.527531999999999</v>
      </c>
      <c r="J51" s="322">
        <f>+'GENERADO NO Sep Origen'!J51+'RECH-RECUP_PS locales'!J211</f>
        <v>6.7578599999999991</v>
      </c>
      <c r="K51" s="322">
        <f>+'GENERADO NO Sep Origen'!K51+'RECH-RECUP_PS locales'!K211</f>
        <v>5.9572760000000011</v>
      </c>
      <c r="L51" s="322">
        <f>+'GENERADO NO Sep Origen'!L51+'RECH-RECUP_PS locales'!L211</f>
        <v>6.0810620000000002</v>
      </c>
      <c r="M51" s="322">
        <f>+'GENERADO NO Sep Origen'!M51+'RECH-RECUP_PS locales'!M211</f>
        <v>6.20425</v>
      </c>
      <c r="N51" s="322">
        <f>+'GENERADO NO Sep Origen'!N51+'RECH-RECUP_PS locales'!N211</f>
        <v>6.3280360000000009</v>
      </c>
      <c r="O51" s="322">
        <f>+'GENERADO NO Sep Origen'!O51+'RECH-RECUP_PS locales'!O211</f>
        <v>6.4512239999999998</v>
      </c>
      <c r="P51" s="322">
        <f>+'GENERADO NO Sep Origen'!P51+'RECH-RECUP_PS locales'!P211</f>
        <v>6.5750099999999998</v>
      </c>
      <c r="Q51" s="322">
        <f>+'GENERADO NO Sep Origen'!Q51+'RECH-RECUP_PS locales'!Q211</f>
        <v>6.6981979999999997</v>
      </c>
      <c r="R51" s="322">
        <f>+'GENERADO NO Sep Origen'!R51+'RECH-RECUP_PS locales'!R211</f>
        <v>6.8219840000000005</v>
      </c>
      <c r="S51" s="322">
        <f>+'GENERADO NO Sep Origen'!S51+'RECH-RECUP_PS locales'!S211</f>
        <v>6.9451720000000012</v>
      </c>
      <c r="T51" s="322">
        <f>+'GENERADO NO Sep Origen'!T51+'RECH-RECUP_PS locales'!T211</f>
        <v>7.0683600000000002</v>
      </c>
      <c r="U51" s="322">
        <f>+'GENERADO NO Sep Origen'!U51+'RECH-RECUP_PS locales'!U211</f>
        <v>7.192146000000001</v>
      </c>
      <c r="V51" s="322">
        <f>+'GENERADO NO Sep Origen'!V51+'RECH-RECUP_PS locales'!V211</f>
        <v>7.315334</v>
      </c>
      <c r="W51" s="322">
        <f>+'GENERADO NO Sep Origen'!W51+'RECH-RECUP_PS locales'!W211</f>
        <v>7.4391200000000008</v>
      </c>
      <c r="X51" s="322">
        <f>+'GENERADO NO Sep Origen'!X51+'RECH-RECUP_PS locales'!X211</f>
        <v>7.5623079999999998</v>
      </c>
      <c r="Y51" s="322">
        <f>+'GENERADO NO Sep Origen'!Y51+'RECH-RECUP_PS locales'!Y211</f>
        <v>7.6860939999999998</v>
      </c>
      <c r="Z51" s="322">
        <f>+'GENERADO NO Sep Origen'!Z51+'RECH-RECUP_PS locales'!Z211</f>
        <v>7.8092820000000014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28"/>
      <c r="E52" s="278"/>
      <c r="F52" s="263"/>
      <c r="G52" s="322">
        <f>+'GENERADO NO Sep Origen'!G52+'RECH-RECUP_PS locales'!G212</f>
        <v>47.390904000000006</v>
      </c>
      <c r="H52" s="322">
        <f>+'GENERADO NO Sep Origen'!H52+'RECH-RECUP_PS locales'!H212</f>
        <v>44.445715200000002</v>
      </c>
      <c r="I52" s="322">
        <f>+'GENERADO NO Sep Origen'!I52+'RECH-RECUP_PS locales'!I212</f>
        <v>41.437891</v>
      </c>
      <c r="J52" s="322">
        <f>+'GENERADO NO Sep Origen'!J52+'RECH-RECUP_PS locales'!J212</f>
        <v>36.893565000000009</v>
      </c>
      <c r="K52" s="322">
        <f>+'GENERADO NO Sep Origen'!K52+'RECH-RECUP_PS locales'!K212</f>
        <v>32.260358000000004</v>
      </c>
      <c r="L52" s="322">
        <f>+'GENERADO NO Sep Origen'!L52+'RECH-RECUP_PS locales'!L212</f>
        <v>32.546293000000006</v>
      </c>
      <c r="M52" s="322">
        <f>+'GENERADO NO Sep Origen'!M52+'RECH-RECUP_PS locales'!M212</f>
        <v>32.832917000000002</v>
      </c>
      <c r="N52" s="322">
        <f>+'GENERADO NO Sep Origen'!N52+'RECH-RECUP_PS locales'!N212</f>
        <v>33.118852000000004</v>
      </c>
      <c r="O52" s="322">
        <f>+'GENERADO NO Sep Origen'!O52+'RECH-RECUP_PS locales'!O212</f>
        <v>33.405476</v>
      </c>
      <c r="P52" s="322">
        <f>+'GENERADO NO Sep Origen'!P52+'RECH-RECUP_PS locales'!P212</f>
        <v>33.691411000000002</v>
      </c>
      <c r="Q52" s="322">
        <f>+'GENERADO NO Sep Origen'!Q52+'RECH-RECUP_PS locales'!Q212</f>
        <v>33.977346000000004</v>
      </c>
      <c r="R52" s="322">
        <f>+'GENERADO NO Sep Origen'!R52+'RECH-RECUP_PS locales'!R212</f>
        <v>34.26397</v>
      </c>
      <c r="S52" s="322">
        <f>+'GENERADO NO Sep Origen'!S52+'RECH-RECUP_PS locales'!S212</f>
        <v>34.54990500000001</v>
      </c>
      <c r="T52" s="322">
        <f>+'GENERADO NO Sep Origen'!T52+'RECH-RECUP_PS locales'!T212</f>
        <v>34.836529000000006</v>
      </c>
      <c r="U52" s="322">
        <f>+'GENERADO NO Sep Origen'!U52+'RECH-RECUP_PS locales'!U212</f>
        <v>35.122464000000008</v>
      </c>
      <c r="V52" s="322">
        <f>+'GENERADO NO Sep Origen'!V52+'RECH-RECUP_PS locales'!V212</f>
        <v>35.408399000000003</v>
      </c>
      <c r="W52" s="322">
        <f>+'GENERADO NO Sep Origen'!W52+'RECH-RECUP_PS locales'!W212</f>
        <v>35.695023000000006</v>
      </c>
      <c r="X52" s="322">
        <f>+'GENERADO NO Sep Origen'!X52+'RECH-RECUP_PS locales'!X212</f>
        <v>35.980958000000001</v>
      </c>
      <c r="Y52" s="322">
        <f>+'GENERADO NO Sep Origen'!Y52+'RECH-RECUP_PS locales'!Y212</f>
        <v>36.267582000000004</v>
      </c>
      <c r="Z52" s="322">
        <f>+'GENERADO NO Sep Origen'!Z52+'RECH-RECUP_PS locales'!Z212</f>
        <v>36.553516999999999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28"/>
      <c r="E53" s="278"/>
      <c r="F53" s="263"/>
      <c r="G53" s="322">
        <f>+'GENERADO NO Sep Origen'!G53+'RECH-RECUP_PS locales'!G213</f>
        <v>41.493276000000002</v>
      </c>
      <c r="H53" s="322">
        <f>+'GENERADO NO Sep Origen'!H53+'RECH-RECUP_PS locales'!H213</f>
        <v>38.953388799999999</v>
      </c>
      <c r="I53" s="322">
        <f>+'GENERADO NO Sep Origen'!I53+'RECH-RECUP_PS locales'!I213</f>
        <v>36.357152000000006</v>
      </c>
      <c r="J53" s="322">
        <f>+'GENERADO NO Sep Origen'!J53+'RECH-RECUP_PS locales'!J213</f>
        <v>32.407380000000003</v>
      </c>
      <c r="K53" s="322">
        <f>+'GENERADO NO Sep Origen'!K53+'RECH-RECUP_PS locales'!K213</f>
        <v>28.373020000000004</v>
      </c>
      <c r="L53" s="322">
        <f>+'GENERADO NO Sep Origen'!L53+'RECH-RECUP_PS locales'!L213</f>
        <v>28.663089000000006</v>
      </c>
      <c r="M53" s="322">
        <f>+'GENERADO NO Sep Origen'!M53+'RECH-RECUP_PS locales'!M213</f>
        <v>28.955914000000003</v>
      </c>
      <c r="N53" s="322">
        <f>+'GENERADO NO Sep Origen'!N53+'RECH-RECUP_PS locales'!N213</f>
        <v>29.251495000000006</v>
      </c>
      <c r="O53" s="322">
        <f>+'GENERADO NO Sep Origen'!O53+'RECH-RECUP_PS locales'!O213</f>
        <v>29.549832000000002</v>
      </c>
      <c r="P53" s="322">
        <f>+'GENERADO NO Sep Origen'!P53+'RECH-RECUP_PS locales'!P213</f>
        <v>29.851614000000005</v>
      </c>
      <c r="Q53" s="322">
        <f>+'GENERADO NO Sep Origen'!Q53+'RECH-RECUP_PS locales'!Q213</f>
        <v>30.156841</v>
      </c>
      <c r="R53" s="322">
        <f>+'GENERADO NO Sep Origen'!R53+'RECH-RECUP_PS locales'!R213</f>
        <v>30.464824</v>
      </c>
      <c r="S53" s="322">
        <f>+'GENERADO NO Sep Origen'!S53+'RECH-RECUP_PS locales'!S213</f>
        <v>30.775563000000002</v>
      </c>
      <c r="T53" s="322">
        <f>+'GENERADO NO Sep Origen'!T53+'RECH-RECUP_PS locales'!T213</f>
        <v>31.090436</v>
      </c>
      <c r="U53" s="322">
        <f>+'GENERADO NO Sep Origen'!U53+'RECH-RECUP_PS locales'!U213</f>
        <v>31.407376000000003</v>
      </c>
      <c r="V53" s="322">
        <f>+'GENERADO NO Sep Origen'!V53+'RECH-RECUP_PS locales'!V213</f>
        <v>31.728450000000002</v>
      </c>
      <c r="W53" s="322">
        <f>+'GENERADO NO Sep Origen'!W53+'RECH-RECUP_PS locales'!W213</f>
        <v>32.05228000000001</v>
      </c>
      <c r="X53" s="322">
        <f>+'GENERADO NO Sep Origen'!X53+'RECH-RECUP_PS locales'!X213</f>
        <v>32.379555000000003</v>
      </c>
      <c r="Y53" s="322">
        <f>+'GENERADO NO Sep Origen'!Y53+'RECH-RECUP_PS locales'!Y213</f>
        <v>32.710275000000003</v>
      </c>
      <c r="Z53" s="322">
        <f>+'GENERADO NO Sep Origen'!Z53+'RECH-RECUP_PS locales'!Z213</f>
        <v>33.044440000000009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28"/>
      <c r="E54" s="278"/>
      <c r="F54" s="263"/>
      <c r="G54" s="322">
        <f>+'GENERADO NO Sep Origen'!G54+'RECH-RECUP_PS locales'!G214</f>
        <v>67.538453400000009</v>
      </c>
      <c r="H54" s="322">
        <f>+'GENERADO NO Sep Origen'!H54+'RECH-RECUP_PS locales'!H214</f>
        <v>63.281003999999996</v>
      </c>
      <c r="I54" s="322">
        <f>+'GENERADO NO Sep Origen'!I54+'RECH-RECUP_PS locales'!I214</f>
        <v>58.943862000000003</v>
      </c>
      <c r="J54" s="322">
        <f>+'GENERADO NO Sep Origen'!J54+'RECH-RECUP_PS locales'!J214</f>
        <v>52.430805000000007</v>
      </c>
      <c r="K54" s="322">
        <f>+'GENERADO NO Sep Origen'!K54+'RECH-RECUP_PS locales'!K214</f>
        <v>45.805343999999998</v>
      </c>
      <c r="L54" s="322">
        <f>+'GENERADO NO Sep Origen'!L54+'RECH-RECUP_PS locales'!L214</f>
        <v>46.170656999999999</v>
      </c>
      <c r="M54" s="322">
        <f>+'GENERADO NO Sep Origen'!M54+'RECH-RECUP_PS locales'!M214</f>
        <v>46.535970000000006</v>
      </c>
      <c r="N54" s="322">
        <f>+'GENERADO NO Sep Origen'!N54+'RECH-RECUP_PS locales'!N214</f>
        <v>46.901946000000002</v>
      </c>
      <c r="O54" s="322">
        <f>+'GENERADO NO Sep Origen'!O54+'RECH-RECUP_PS locales'!O214</f>
        <v>47.26725900000001</v>
      </c>
      <c r="P54" s="322">
        <f>+'GENERADO NO Sep Origen'!P54+'RECH-RECUP_PS locales'!P214</f>
        <v>47.63257200000001</v>
      </c>
      <c r="Q54" s="322">
        <f>+'GENERADO NO Sep Origen'!Q54+'RECH-RECUP_PS locales'!Q214</f>
        <v>47.997884999999997</v>
      </c>
      <c r="R54" s="322">
        <f>+'GENERADO NO Sep Origen'!R54+'RECH-RECUP_PS locales'!R214</f>
        <v>48.363198000000004</v>
      </c>
      <c r="S54" s="322">
        <f>+'GENERADO NO Sep Origen'!S54+'RECH-RECUP_PS locales'!S214</f>
        <v>48.728511000000012</v>
      </c>
      <c r="T54" s="322">
        <f>+'GENERADO NO Sep Origen'!T54+'RECH-RECUP_PS locales'!T214</f>
        <v>49.094487000000001</v>
      </c>
      <c r="U54" s="322">
        <f>+'GENERADO NO Sep Origen'!U54+'RECH-RECUP_PS locales'!U214</f>
        <v>49.459800000000001</v>
      </c>
      <c r="V54" s="322">
        <f>+'GENERADO NO Sep Origen'!V54+'RECH-RECUP_PS locales'!V214</f>
        <v>49.825113000000002</v>
      </c>
      <c r="W54" s="322">
        <f>+'GENERADO NO Sep Origen'!W54+'RECH-RECUP_PS locales'!W214</f>
        <v>50.190426000000002</v>
      </c>
      <c r="X54" s="322">
        <f>+'GENERADO NO Sep Origen'!X54+'RECH-RECUP_PS locales'!X214</f>
        <v>50.555739000000003</v>
      </c>
      <c r="Y54" s="322">
        <f>+'GENERADO NO Sep Origen'!Y54+'RECH-RECUP_PS locales'!Y214</f>
        <v>50.921052000000003</v>
      </c>
      <c r="Z54" s="322">
        <f>+'GENERADO NO Sep Origen'!Z54+'RECH-RECUP_PS locales'!Z214</f>
        <v>51.287028000000007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28"/>
      <c r="E55" s="278"/>
      <c r="F55" s="263"/>
      <c r="G55" s="322">
        <f>+'GENERADO NO Sep Origen'!G55+'RECH-RECUP_PS locales'!G215</f>
        <v>28.134414000000003</v>
      </c>
      <c r="H55" s="322">
        <f>+'GENERADO NO Sep Origen'!H55+'RECH-RECUP_PS locales'!H215</f>
        <v>26.3820856</v>
      </c>
      <c r="I55" s="322">
        <f>+'GENERADO NO Sep Origen'!I55+'RECH-RECUP_PS locales'!I215</f>
        <v>24.595497999999999</v>
      </c>
      <c r="J55" s="322">
        <f>+'GENERADO NO Sep Origen'!J55+'RECH-RECUP_PS locales'!J215</f>
        <v>21.899070000000002</v>
      </c>
      <c r="K55" s="322">
        <f>+'GENERADO NO Sep Origen'!K55+'RECH-RECUP_PS locales'!K215</f>
        <v>19.150755000000004</v>
      </c>
      <c r="L55" s="322">
        <f>+'GENERADO NO Sep Origen'!L55+'RECH-RECUP_PS locales'!L215</f>
        <v>19.324383000000001</v>
      </c>
      <c r="M55" s="322">
        <f>+'GENERADO NO Sep Origen'!M55+'RECH-RECUP_PS locales'!M215</f>
        <v>19.500078000000002</v>
      </c>
      <c r="N55" s="322">
        <f>+'GENERADO NO Sep Origen'!N55+'RECH-RECUP_PS locales'!N215</f>
        <v>19.676462000000001</v>
      </c>
      <c r="O55" s="322">
        <f>+'GENERADO NO Sep Origen'!O55+'RECH-RECUP_PS locales'!O215</f>
        <v>19.854913000000003</v>
      </c>
      <c r="P55" s="322">
        <f>+'GENERADO NO Sep Origen'!P55+'RECH-RECUP_PS locales'!P215</f>
        <v>20.034742000000001</v>
      </c>
      <c r="Q55" s="322">
        <f>+'GENERADO NO Sep Origen'!Q55+'RECH-RECUP_PS locales'!Q215</f>
        <v>20.216638000000003</v>
      </c>
      <c r="R55" s="322">
        <f>+'GENERADO NO Sep Origen'!R55+'RECH-RECUP_PS locales'!R215</f>
        <v>20.399912</v>
      </c>
      <c r="S55" s="322">
        <f>+'GENERADO NO Sep Origen'!S55+'RECH-RECUP_PS locales'!S215</f>
        <v>20.584564</v>
      </c>
      <c r="T55" s="322">
        <f>+'GENERADO NO Sep Origen'!T55+'RECH-RECUP_PS locales'!T215</f>
        <v>20.771283000000004</v>
      </c>
      <c r="U55" s="322">
        <f>+'GENERADO NO Sep Origen'!U55+'RECH-RECUP_PS locales'!U215</f>
        <v>20.959380000000003</v>
      </c>
      <c r="V55" s="322">
        <f>+'GENERADO NO Sep Origen'!V55+'RECH-RECUP_PS locales'!V215</f>
        <v>21.149543999999999</v>
      </c>
      <c r="W55" s="322">
        <f>+'GENERADO NO Sep Origen'!W55+'RECH-RECUP_PS locales'!W215</f>
        <v>21.341086000000004</v>
      </c>
      <c r="X55" s="322">
        <f>+'GENERADO NO Sep Origen'!X55+'RECH-RECUP_PS locales'!X215</f>
        <v>21.534695000000006</v>
      </c>
      <c r="Y55" s="322">
        <f>+'GENERADO NO Sep Origen'!Y55+'RECH-RECUP_PS locales'!Y215</f>
        <v>21.729681999999997</v>
      </c>
      <c r="Z55" s="322">
        <f>+'GENERADO NO Sep Origen'!Z55+'RECH-RECUP_PS locales'!Z215</f>
        <v>21.926736000000002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28"/>
      <c r="E56" s="278"/>
      <c r="F56" s="263"/>
      <c r="G56" s="322">
        <f>+'GENERADO NO Sep Origen'!G56+'RECH-RECUP_PS locales'!G216</f>
        <v>62.049180600000007</v>
      </c>
      <c r="H56" s="322">
        <f>+'GENERADO NO Sep Origen'!H56+'RECH-RECUP_PS locales'!H216</f>
        <v>57.872066400000001</v>
      </c>
      <c r="I56" s="322">
        <f>+'GENERADO NO Sep Origen'!I56+'RECH-RECUP_PS locales'!I216</f>
        <v>53.666432999999998</v>
      </c>
      <c r="J56" s="322">
        <f>+'GENERADO NO Sep Origen'!J56+'RECH-RECUP_PS locales'!J216</f>
        <v>47.529449999999997</v>
      </c>
      <c r="K56" s="322">
        <f>+'GENERADO NO Sep Origen'!K56+'RECH-RECUP_PS locales'!K216</f>
        <v>41.347995000000004</v>
      </c>
      <c r="L56" s="322">
        <f>+'GENERADO NO Sep Origen'!L56+'RECH-RECUP_PS locales'!L216</f>
        <v>41.506451999999996</v>
      </c>
      <c r="M56" s="322">
        <f>+'GENERADO NO Sep Origen'!M56+'RECH-RECUP_PS locales'!M216</f>
        <v>41.667561000000006</v>
      </c>
      <c r="N56" s="322">
        <f>+'GENERADO NO Sep Origen'!N56+'RECH-RECUP_PS locales'!N216</f>
        <v>41.831322</v>
      </c>
      <c r="O56" s="322">
        <f>+'GENERADO NO Sep Origen'!O56+'RECH-RECUP_PS locales'!O216</f>
        <v>41.997735000000006</v>
      </c>
      <c r="P56" s="322">
        <f>+'GENERADO NO Sep Origen'!P56+'RECH-RECUP_PS locales'!P216</f>
        <v>42.166137000000006</v>
      </c>
      <c r="Q56" s="322">
        <f>+'GENERADO NO Sep Origen'!Q56+'RECH-RECUP_PS locales'!Q216</f>
        <v>42.338516999999996</v>
      </c>
      <c r="R56" s="322">
        <f>+'GENERADO NO Sep Origen'!R56+'RECH-RECUP_PS locales'!R216</f>
        <v>42.512886000000009</v>
      </c>
      <c r="S56" s="322">
        <f>+'GENERADO NO Sep Origen'!S56+'RECH-RECUP_PS locales'!S216</f>
        <v>42.690570000000008</v>
      </c>
      <c r="T56" s="322">
        <f>+'GENERADO NO Sep Origen'!T56+'RECH-RECUP_PS locales'!T216</f>
        <v>42.870906000000005</v>
      </c>
      <c r="U56" s="322">
        <f>+'GENERADO NO Sep Origen'!U56+'RECH-RECUP_PS locales'!U216</f>
        <v>43.053894</v>
      </c>
      <c r="V56" s="322">
        <f>+'GENERADO NO Sep Origen'!V56+'RECH-RECUP_PS locales'!V216</f>
        <v>43.240197000000002</v>
      </c>
      <c r="W56" s="322">
        <f>+'GENERADO NO Sep Origen'!W56+'RECH-RECUP_PS locales'!W216</f>
        <v>43.429152000000002</v>
      </c>
      <c r="X56" s="322">
        <f>+'GENERADO NO Sep Origen'!X56+'RECH-RECUP_PS locales'!X216</f>
        <v>43.622084999999998</v>
      </c>
      <c r="Y56" s="322">
        <f>+'GENERADO NO Sep Origen'!Y56+'RECH-RECUP_PS locales'!Y216</f>
        <v>43.817007000000004</v>
      </c>
      <c r="Z56" s="322">
        <f>+'GENERADO NO Sep Origen'!Z56+'RECH-RECUP_PS locales'!Z216</f>
        <v>44.015906999999999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28"/>
      <c r="E57" s="278"/>
      <c r="F57" s="263"/>
      <c r="G57" s="322">
        <f>+'GENERADO NO Sep Origen'!G57+'RECH-RECUP_PS locales'!G217</f>
        <v>10.615373999999999</v>
      </c>
      <c r="H57" s="322">
        <f>+'GENERADO NO Sep Origen'!H57+'RECH-RECUP_PS locales'!H217</f>
        <v>9.8690239999999996</v>
      </c>
      <c r="I57" s="322">
        <f>+'GENERADO NO Sep Origen'!I57+'RECH-RECUP_PS locales'!I217</f>
        <v>9.1220300000000023</v>
      </c>
      <c r="J57" s="322">
        <f>+'GENERADO NO Sep Origen'!J57+'RECH-RECUP_PS locales'!J217</f>
        <v>8.0522999999999989</v>
      </c>
      <c r="K57" s="322">
        <f>+'GENERADO NO Sep Origen'!K57+'RECH-RECUP_PS locales'!K217</f>
        <v>6.9822480000000002</v>
      </c>
      <c r="L57" s="322">
        <f>+'GENERADO NO Sep Origen'!L57+'RECH-RECUP_PS locales'!L217</f>
        <v>6.9852380000000007</v>
      </c>
      <c r="M57" s="322">
        <f>+'GENERADO NO Sep Origen'!M57+'RECH-RECUP_PS locales'!M217</f>
        <v>6.9882280000000003</v>
      </c>
      <c r="N57" s="322">
        <f>+'GENERADO NO Sep Origen'!N57+'RECH-RECUP_PS locales'!N217</f>
        <v>6.9912180000000017</v>
      </c>
      <c r="O57" s="322">
        <f>+'GENERADO NO Sep Origen'!O57+'RECH-RECUP_PS locales'!O217</f>
        <v>6.9942080000000004</v>
      </c>
      <c r="P57" s="322">
        <f>+'GENERADO NO Sep Origen'!P57+'RECH-RECUP_PS locales'!P217</f>
        <v>6.9971980000000009</v>
      </c>
      <c r="Q57" s="322">
        <f>+'GENERADO NO Sep Origen'!Q57+'RECH-RECUP_PS locales'!Q217</f>
        <v>7.0007860000000006</v>
      </c>
      <c r="R57" s="322">
        <f>+'GENERADO NO Sep Origen'!R57+'RECH-RECUP_PS locales'!R217</f>
        <v>7.0037760000000002</v>
      </c>
      <c r="S57" s="322">
        <f>+'GENERADO NO Sep Origen'!S57+'RECH-RECUP_PS locales'!S217</f>
        <v>7.0067660000000007</v>
      </c>
      <c r="T57" s="322">
        <f>+'GENERADO NO Sep Origen'!T57+'RECH-RECUP_PS locales'!T217</f>
        <v>7.0097560000000012</v>
      </c>
      <c r="U57" s="322">
        <f>+'GENERADO NO Sep Origen'!U57+'RECH-RECUP_PS locales'!U217</f>
        <v>7.0127459999999999</v>
      </c>
      <c r="V57" s="322">
        <f>+'GENERADO NO Sep Origen'!V57+'RECH-RECUP_PS locales'!V217</f>
        <v>7.0163340000000005</v>
      </c>
      <c r="W57" s="322">
        <f>+'GENERADO NO Sep Origen'!W57+'RECH-RECUP_PS locales'!W217</f>
        <v>7.019324000000001</v>
      </c>
      <c r="X57" s="322">
        <f>+'GENERADO NO Sep Origen'!X57+'RECH-RECUP_PS locales'!X217</f>
        <v>7.0223140000000015</v>
      </c>
      <c r="Y57" s="322">
        <f>+'GENERADO NO Sep Origen'!Y57+'RECH-RECUP_PS locales'!Y217</f>
        <v>7.0253040000000002</v>
      </c>
      <c r="Z57" s="322">
        <f>+'GENERADO NO Sep Origen'!Z57+'RECH-RECUP_PS locales'!Z217</f>
        <v>7.0282940000000007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28"/>
      <c r="E58" s="278"/>
      <c r="F58" s="263"/>
      <c r="G58" s="322">
        <f>+'GENERADO NO Sep Origen'!G58+'RECH-RECUP_PS locales'!G218</f>
        <v>22.820252400000001</v>
      </c>
      <c r="H58" s="322">
        <f>+'GENERADO NO Sep Origen'!H58+'RECH-RECUP_PS locales'!H218</f>
        <v>21.409540800000002</v>
      </c>
      <c r="I58" s="322">
        <f>+'GENERADO NO Sep Origen'!I58+'RECH-RECUP_PS locales'!I218</f>
        <v>19.967060999999998</v>
      </c>
      <c r="J58" s="322">
        <f>+'GENERADO NO Sep Origen'!J58+'RECH-RECUP_PS locales'!J218</f>
        <v>17.783355</v>
      </c>
      <c r="K58" s="322">
        <f>+'GENERADO NO Sep Origen'!K58+'RECH-RECUP_PS locales'!K218</f>
        <v>15.554864</v>
      </c>
      <c r="L58" s="322">
        <f>+'GENERADO NO Sep Origen'!L58+'RECH-RECUP_PS locales'!L218</f>
        <v>15.761564000000002</v>
      </c>
      <c r="M58" s="322">
        <f>+'GENERADO NO Sep Origen'!M58+'RECH-RECUP_PS locales'!M218</f>
        <v>15.968264000000003</v>
      </c>
      <c r="N58" s="322">
        <f>+'GENERADO NO Sep Origen'!N58+'RECH-RECUP_PS locales'!N218</f>
        <v>16.174964000000003</v>
      </c>
      <c r="O58" s="322">
        <f>+'GENERADO NO Sep Origen'!O58+'RECH-RECUP_PS locales'!O218</f>
        <v>16.380974999999999</v>
      </c>
      <c r="P58" s="322">
        <f>+'GENERADO NO Sep Origen'!P58+'RECH-RECUP_PS locales'!P218</f>
        <v>16.587675000000001</v>
      </c>
      <c r="Q58" s="322">
        <f>+'GENERADO NO Sep Origen'!Q58+'RECH-RECUP_PS locales'!Q218</f>
        <v>16.794375000000002</v>
      </c>
      <c r="R58" s="322">
        <f>+'GENERADO NO Sep Origen'!R58+'RECH-RECUP_PS locales'!R218</f>
        <v>17.001075</v>
      </c>
      <c r="S58" s="322">
        <f>+'GENERADO NO Sep Origen'!S58+'RECH-RECUP_PS locales'!S218</f>
        <v>17.207775000000002</v>
      </c>
      <c r="T58" s="322">
        <f>+'GENERADO NO Sep Origen'!T58+'RECH-RECUP_PS locales'!T218</f>
        <v>17.413786000000002</v>
      </c>
      <c r="U58" s="322">
        <f>+'GENERADO NO Sep Origen'!U58+'RECH-RECUP_PS locales'!U218</f>
        <v>17.620486</v>
      </c>
      <c r="V58" s="322">
        <f>+'GENERADO NO Sep Origen'!V58+'RECH-RECUP_PS locales'!V218</f>
        <v>17.827186000000005</v>
      </c>
      <c r="W58" s="322">
        <f>+'GENERADO NO Sep Origen'!W58+'RECH-RECUP_PS locales'!W218</f>
        <v>18.033886000000003</v>
      </c>
      <c r="X58" s="322">
        <f>+'GENERADO NO Sep Origen'!X58+'RECH-RECUP_PS locales'!X218</f>
        <v>18.240586</v>
      </c>
      <c r="Y58" s="322">
        <f>+'GENERADO NO Sep Origen'!Y58+'RECH-RECUP_PS locales'!Y218</f>
        <v>18.446597000000001</v>
      </c>
      <c r="Z58" s="322">
        <f>+'GENERADO NO Sep Origen'!Z58+'RECH-RECUP_PS locales'!Z218</f>
        <v>18.653297000000002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28"/>
      <c r="E59" s="278"/>
      <c r="F59" s="263"/>
      <c r="G59" s="322">
        <f>+'GENERADO NO Sep Origen'!G59+'RECH-RECUP_PS locales'!G219</f>
        <v>28.669608</v>
      </c>
      <c r="H59" s="322">
        <f>+'GENERADO NO Sep Origen'!H59+'RECH-RECUP_PS locales'!H219</f>
        <v>26.957453600000001</v>
      </c>
      <c r="I59" s="322">
        <f>+'GENERADO NO Sep Origen'!I59+'RECH-RECUP_PS locales'!I219</f>
        <v>25.197366000000002</v>
      </c>
      <c r="J59" s="322">
        <f>+'GENERADO NO Sep Origen'!J59+'RECH-RECUP_PS locales'!J219</f>
        <v>22.489754999999999</v>
      </c>
      <c r="K59" s="322">
        <f>+'GENERADO NO Sep Origen'!K59+'RECH-RECUP_PS locales'!K219</f>
        <v>19.713667999999998</v>
      </c>
      <c r="L59" s="322">
        <f>+'GENERADO NO Sep Origen'!L59+'RECH-RECUP_PS locales'!L219</f>
        <v>20.007871000000002</v>
      </c>
      <c r="M59" s="322">
        <f>+'GENERADO NO Sep Origen'!M59+'RECH-RECUP_PS locales'!M219</f>
        <v>20.302074000000005</v>
      </c>
      <c r="N59" s="322">
        <f>+'GENERADO NO Sep Origen'!N59+'RECH-RECUP_PS locales'!N219</f>
        <v>20.596277000000001</v>
      </c>
      <c r="O59" s="322">
        <f>+'GENERADO NO Sep Origen'!O59+'RECH-RECUP_PS locales'!O219</f>
        <v>20.890480000000004</v>
      </c>
      <c r="P59" s="322">
        <f>+'GENERADO NO Sep Origen'!P59+'RECH-RECUP_PS locales'!P219</f>
        <v>21.184683000000007</v>
      </c>
      <c r="Q59" s="322">
        <f>+'GENERADO NO Sep Origen'!Q59+'RECH-RECUP_PS locales'!Q219</f>
        <v>21.478886000000003</v>
      </c>
      <c r="R59" s="322">
        <f>+'GENERADO NO Sep Origen'!R59+'RECH-RECUP_PS locales'!R219</f>
        <v>21.773778</v>
      </c>
      <c r="S59" s="322">
        <f>+'GENERADO NO Sep Origen'!S59+'RECH-RECUP_PS locales'!S219</f>
        <v>22.067981000000003</v>
      </c>
      <c r="T59" s="322">
        <f>+'GENERADO NO Sep Origen'!T59+'RECH-RECUP_PS locales'!T219</f>
        <v>22.362183999999999</v>
      </c>
      <c r="U59" s="322">
        <f>+'GENERADO NO Sep Origen'!U59+'RECH-RECUP_PS locales'!U219</f>
        <v>22.656387000000002</v>
      </c>
      <c r="V59" s="322">
        <f>+'GENERADO NO Sep Origen'!V59+'RECH-RECUP_PS locales'!V219</f>
        <v>22.950589999999998</v>
      </c>
      <c r="W59" s="322">
        <f>+'GENERADO NO Sep Origen'!W59+'RECH-RECUP_PS locales'!W219</f>
        <v>23.244793000000001</v>
      </c>
      <c r="X59" s="322">
        <f>+'GENERADO NO Sep Origen'!X59+'RECH-RECUP_PS locales'!X219</f>
        <v>23.538996000000004</v>
      </c>
      <c r="Y59" s="322">
        <f>+'GENERADO NO Sep Origen'!Y59+'RECH-RECUP_PS locales'!Y219</f>
        <v>23.833199</v>
      </c>
      <c r="Z59" s="322">
        <f>+'GENERADO NO Sep Origen'!Z59+'RECH-RECUP_PS locales'!Z219</f>
        <v>24.127402000000004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28"/>
      <c r="E60" s="278"/>
      <c r="F60" s="263"/>
      <c r="G60" s="322">
        <f>+'GENERADO NO Sep Origen'!G60+'RECH-RECUP_PS locales'!G220</f>
        <v>12.7621296</v>
      </c>
      <c r="H60" s="322">
        <f>+'GENERADO NO Sep Origen'!H60+'RECH-RECUP_PS locales'!H220</f>
        <v>11.9621712</v>
      </c>
      <c r="I60" s="322">
        <f>+'GENERADO NO Sep Origen'!I60+'RECH-RECUP_PS locales'!I220</f>
        <v>11.145846000000001</v>
      </c>
      <c r="J60" s="322">
        <f>+'GENERADO NO Sep Origen'!J60+'RECH-RECUP_PS locales'!J220</f>
        <v>9.9180600000000005</v>
      </c>
      <c r="K60" s="322">
        <f>+'GENERADO NO Sep Origen'!K60+'RECH-RECUP_PS locales'!K220</f>
        <v>8.6674120000000006</v>
      </c>
      <c r="L60" s="322">
        <f>+'GENERADO NO Sep Origen'!L60+'RECH-RECUP_PS locales'!L220</f>
        <v>8.7397700000000018</v>
      </c>
      <c r="M60" s="322">
        <f>+'GENERADO NO Sep Origen'!M60+'RECH-RECUP_PS locales'!M220</f>
        <v>8.8115300000000012</v>
      </c>
      <c r="N60" s="322">
        <f>+'GENERADO NO Sep Origen'!N60+'RECH-RECUP_PS locales'!N220</f>
        <v>8.8838879999999989</v>
      </c>
      <c r="O60" s="322">
        <f>+'GENERADO NO Sep Origen'!O60+'RECH-RECUP_PS locales'!O220</f>
        <v>8.9556480000000001</v>
      </c>
      <c r="P60" s="322">
        <f>+'GENERADO NO Sep Origen'!P60+'RECH-RECUP_PS locales'!P220</f>
        <v>9.0274080000000012</v>
      </c>
      <c r="Q60" s="322">
        <f>+'GENERADO NO Sep Origen'!Q60+'RECH-RECUP_PS locales'!Q220</f>
        <v>9.0997660000000007</v>
      </c>
      <c r="R60" s="322">
        <f>+'GENERADO NO Sep Origen'!R60+'RECH-RECUP_PS locales'!R220</f>
        <v>9.1715260000000001</v>
      </c>
      <c r="S60" s="322">
        <f>+'GENERADO NO Sep Origen'!S60+'RECH-RECUP_PS locales'!S220</f>
        <v>9.2438840000000013</v>
      </c>
      <c r="T60" s="322">
        <f>+'GENERADO NO Sep Origen'!T60+'RECH-RECUP_PS locales'!T220</f>
        <v>9.3156440000000007</v>
      </c>
      <c r="U60" s="322">
        <f>+'GENERADO NO Sep Origen'!U60+'RECH-RECUP_PS locales'!U220</f>
        <v>9.3880020000000002</v>
      </c>
      <c r="V60" s="322">
        <f>+'GENERADO NO Sep Origen'!V60+'RECH-RECUP_PS locales'!V220</f>
        <v>9.4597620000000013</v>
      </c>
      <c r="W60" s="322">
        <f>+'GENERADO NO Sep Origen'!W60+'RECH-RECUP_PS locales'!W220</f>
        <v>9.5315220000000007</v>
      </c>
      <c r="X60" s="322">
        <f>+'GENERADO NO Sep Origen'!X60+'RECH-RECUP_PS locales'!X220</f>
        <v>9.6038800000000002</v>
      </c>
      <c r="Y60" s="322">
        <f>+'GENERADO NO Sep Origen'!Y60+'RECH-RECUP_PS locales'!Y220</f>
        <v>9.6756400000000014</v>
      </c>
      <c r="Z60" s="322">
        <f>+'GENERADO NO Sep Origen'!Z60+'RECH-RECUP_PS locales'!Z220</f>
        <v>9.7479979999999991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28"/>
      <c r="E61" s="278"/>
      <c r="F61" s="263"/>
      <c r="G61" s="322">
        <f>+'GENERADO NO Sep Origen'!G61+'RECH-RECUP_PS locales'!G221</f>
        <v>33.180978600000003</v>
      </c>
      <c r="H61" s="322">
        <f>+'GENERADO NO Sep Origen'!H61+'RECH-RECUP_PS locales'!H221</f>
        <v>31.254184800000004</v>
      </c>
      <c r="I61" s="322">
        <f>+'GENERADO NO Sep Origen'!I61+'RECH-RECUP_PS locales'!I221</f>
        <v>29.263579000000007</v>
      </c>
      <c r="J61" s="322">
        <f>+'GENERADO NO Sep Origen'!J61+'RECH-RECUP_PS locales'!J221</f>
        <v>26.163449999999997</v>
      </c>
      <c r="K61" s="322">
        <f>+'GENERADO NO Sep Origen'!K61+'RECH-RECUP_PS locales'!K221</f>
        <v>22.971260000000001</v>
      </c>
      <c r="L61" s="322">
        <f>+'GENERADO NO Sep Origen'!L61+'RECH-RECUP_PS locales'!L221</f>
        <v>23.346764999999998</v>
      </c>
      <c r="M61" s="322">
        <f>+'GENERADO NO Sep Origen'!M61+'RECH-RECUP_PS locales'!M221</f>
        <v>23.722958999999999</v>
      </c>
      <c r="N61" s="322">
        <f>+'GENERADO NO Sep Origen'!N61+'RECH-RECUP_PS locales'!N221</f>
        <v>24.098464000000003</v>
      </c>
      <c r="O61" s="322">
        <f>+'GENERADO NO Sep Origen'!O61+'RECH-RECUP_PS locales'!O221</f>
        <v>24.474658000000002</v>
      </c>
      <c r="P61" s="322">
        <f>+'GENERADO NO Sep Origen'!P61+'RECH-RECUP_PS locales'!P221</f>
        <v>24.850163000000002</v>
      </c>
      <c r="Q61" s="322">
        <f>+'GENERADO NO Sep Origen'!Q61+'RECH-RECUP_PS locales'!Q221</f>
        <v>25.226357</v>
      </c>
      <c r="R61" s="322">
        <f>+'GENERADO NO Sep Origen'!R61+'RECH-RECUP_PS locales'!R221</f>
        <v>25.601862000000004</v>
      </c>
      <c r="S61" s="322">
        <f>+'GENERADO NO Sep Origen'!S61+'RECH-RECUP_PS locales'!S221</f>
        <v>25.977367000000001</v>
      </c>
      <c r="T61" s="322">
        <f>+'GENERADO NO Sep Origen'!T61+'RECH-RECUP_PS locales'!T221</f>
        <v>26.353560999999999</v>
      </c>
      <c r="U61" s="322">
        <f>+'GENERADO NO Sep Origen'!U61+'RECH-RECUP_PS locales'!U221</f>
        <v>26.729066000000003</v>
      </c>
      <c r="V61" s="322">
        <f>+'GENERADO NO Sep Origen'!V61+'RECH-RECUP_PS locales'!V221</f>
        <v>27.105260000000001</v>
      </c>
      <c r="W61" s="322">
        <f>+'GENERADO NO Sep Origen'!W61+'RECH-RECUP_PS locales'!W221</f>
        <v>27.480765000000002</v>
      </c>
      <c r="X61" s="322">
        <f>+'GENERADO NO Sep Origen'!X61+'RECH-RECUP_PS locales'!X221</f>
        <v>27.856959</v>
      </c>
      <c r="Y61" s="322">
        <f>+'GENERADO NO Sep Origen'!Y61+'RECH-RECUP_PS locales'!Y221</f>
        <v>28.232464000000004</v>
      </c>
      <c r="Z61" s="322">
        <f>+'GENERADO NO Sep Origen'!Z61+'RECH-RECUP_PS locales'!Z221</f>
        <v>28.608658000000002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28"/>
      <c r="E62" s="278"/>
      <c r="F62" s="263"/>
      <c r="G62" s="322">
        <f>+'GENERADO NO Sep Origen'!G62+'RECH-RECUP_PS locales'!G222</f>
        <v>65.470382999999998</v>
      </c>
      <c r="H62" s="322">
        <f>+'GENERADO NO Sep Origen'!H62+'RECH-RECUP_PS locales'!H222</f>
        <v>61.369483200000005</v>
      </c>
      <c r="I62" s="322">
        <f>+'GENERADO NO Sep Origen'!I62+'RECH-RECUP_PS locales'!I222</f>
        <v>57.191655000000004</v>
      </c>
      <c r="J62" s="322">
        <f>+'GENERADO NO Sep Origen'!J62+'RECH-RECUP_PS locales'!J222</f>
        <v>50.901569999999992</v>
      </c>
      <c r="K62" s="322">
        <f>+'GENERADO NO Sep Origen'!K62+'RECH-RECUP_PS locales'!K222</f>
        <v>44.497245000000007</v>
      </c>
      <c r="L62" s="322">
        <f>+'GENERADO NO Sep Origen'!L62+'RECH-RECUP_PS locales'!L222</f>
        <v>44.883111</v>
      </c>
      <c r="M62" s="322">
        <f>+'GENERADO NO Sep Origen'!M62+'RECH-RECUP_PS locales'!M222</f>
        <v>45.272955000000003</v>
      </c>
      <c r="N62" s="322">
        <f>+'GENERADO NO Sep Origen'!N62+'RECH-RECUP_PS locales'!N222</f>
        <v>45.666114000000007</v>
      </c>
      <c r="O62" s="322">
        <f>+'GENERADO NO Sep Origen'!O62+'RECH-RECUP_PS locales'!O222</f>
        <v>46.061925000000002</v>
      </c>
      <c r="P62" s="322">
        <f>+'GENERADO NO Sep Origen'!P62+'RECH-RECUP_PS locales'!P222</f>
        <v>46.461714000000001</v>
      </c>
      <c r="Q62" s="322">
        <f>+'GENERADO NO Sep Origen'!Q62+'RECH-RECUP_PS locales'!Q222</f>
        <v>46.864818</v>
      </c>
      <c r="R62" s="322">
        <f>+'GENERADO NO Sep Origen'!R62+'RECH-RECUP_PS locales'!R222</f>
        <v>47.271900000000002</v>
      </c>
      <c r="S62" s="322">
        <f>+'GENERADO NO Sep Origen'!S62+'RECH-RECUP_PS locales'!S222</f>
        <v>47.682297000000005</v>
      </c>
      <c r="T62" s="322">
        <f>+'GENERADO NO Sep Origen'!T62+'RECH-RECUP_PS locales'!T222</f>
        <v>48.096008999999995</v>
      </c>
      <c r="U62" s="322">
        <f>+'GENERADO NO Sep Origen'!U62+'RECH-RECUP_PS locales'!U222</f>
        <v>48.513036</v>
      </c>
      <c r="V62" s="322">
        <f>+'GENERADO NO Sep Origen'!V62+'RECH-RECUP_PS locales'!V222</f>
        <v>48.934041000000008</v>
      </c>
      <c r="W62" s="322">
        <f>+'GENERADO NO Sep Origen'!W62+'RECH-RECUP_PS locales'!W222</f>
        <v>49.359024000000005</v>
      </c>
      <c r="X62" s="322">
        <f>+'GENERADO NO Sep Origen'!X62+'RECH-RECUP_PS locales'!X222</f>
        <v>49.787322000000003</v>
      </c>
      <c r="Y62" s="322">
        <f>+'GENERADO NO Sep Origen'!Y62+'RECH-RECUP_PS locales'!Y222</f>
        <v>50.219598000000005</v>
      </c>
      <c r="Z62" s="322">
        <f>+'GENERADO NO Sep Origen'!Z62+'RECH-RECUP_PS locales'!Z222</f>
        <v>50.655189000000007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28"/>
      <c r="E63" s="278"/>
      <c r="F63" s="263"/>
      <c r="G63" s="322">
        <f>+'GENERADO NO Sep Origen'!G63+'RECH-RECUP_PS locales'!G223</f>
        <v>292.58046180000002</v>
      </c>
      <c r="H63" s="322">
        <f>+'GENERADO NO Sep Origen'!H63+'RECH-RECUP_PS locales'!H223</f>
        <v>276.36255360000001</v>
      </c>
      <c r="I63" s="322">
        <f>+'GENERADO NO Sep Origen'!I63+'RECH-RECUP_PS locales'!I223</f>
        <v>259.46535599999999</v>
      </c>
      <c r="J63" s="322">
        <f>+'GENERADO NO Sep Origen'!J63+'RECH-RECUP_PS locales'!J223</f>
        <v>232.58371500000001</v>
      </c>
      <c r="K63" s="322">
        <f>+'GENERADO NO Sep Origen'!K63+'RECH-RECUP_PS locales'!K223</f>
        <v>204.73108500000001</v>
      </c>
      <c r="L63" s="322">
        <f>+'GENERADO NO Sep Origen'!L63+'RECH-RECUP_PS locales'!L223</f>
        <v>207.88895400000004</v>
      </c>
      <c r="M63" s="322">
        <f>+'GENERADO NO Sep Origen'!M63+'RECH-RECUP_PS locales'!M223</f>
        <v>211.04748600000002</v>
      </c>
      <c r="N63" s="322">
        <f>+'GENERADO NO Sep Origen'!N63+'RECH-RECUP_PS locales'!N223</f>
        <v>214.205355</v>
      </c>
      <c r="O63" s="322">
        <f>+'GENERADO NO Sep Origen'!O63+'RECH-RECUP_PS locales'!O223</f>
        <v>217.36388700000001</v>
      </c>
      <c r="P63" s="322">
        <f>+'GENERADO NO Sep Origen'!P63+'RECH-RECUP_PS locales'!P223</f>
        <v>220.52175599999998</v>
      </c>
      <c r="Q63" s="322">
        <f>+'GENERADO NO Sep Origen'!Q63+'RECH-RECUP_PS locales'!Q223</f>
        <v>223.68028800000002</v>
      </c>
      <c r="R63" s="322">
        <f>+'GENERADO NO Sep Origen'!R63+'RECH-RECUP_PS locales'!R223</f>
        <v>226.83882</v>
      </c>
      <c r="S63" s="322">
        <f>+'GENERADO NO Sep Origen'!S63+'RECH-RECUP_PS locales'!S223</f>
        <v>229.996689</v>
      </c>
      <c r="T63" s="322">
        <f>+'GENERADO NO Sep Origen'!T63+'RECH-RECUP_PS locales'!T223</f>
        <v>233.15522100000004</v>
      </c>
      <c r="U63" s="322">
        <f>+'GENERADO NO Sep Origen'!U63+'RECH-RECUP_PS locales'!U223</f>
        <v>236.31309000000002</v>
      </c>
      <c r="V63" s="322">
        <f>+'GENERADO NO Sep Origen'!V63+'RECH-RECUP_PS locales'!V223</f>
        <v>239.47162200000002</v>
      </c>
      <c r="W63" s="322">
        <f>+'GENERADO NO Sep Origen'!W63+'RECH-RECUP_PS locales'!W223</f>
        <v>242.629491</v>
      </c>
      <c r="X63" s="322">
        <f>+'GENERADO NO Sep Origen'!X63+'RECH-RECUP_PS locales'!X223</f>
        <v>245.78802300000001</v>
      </c>
      <c r="Y63" s="322">
        <f>+'GENERADO NO Sep Origen'!Y63+'RECH-RECUP_PS locales'!Y223</f>
        <v>248.94589199999999</v>
      </c>
      <c r="Z63" s="322">
        <f>+'GENERADO NO Sep Origen'!Z63+'RECH-RECUP_PS locales'!Z223</f>
        <v>252.10442399999999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28"/>
      <c r="E64" s="278"/>
      <c r="F64" s="263"/>
      <c r="G64" s="322">
        <f>+'GENERADO NO Sep Origen'!G64+'RECH-RECUP_PS locales'!G224</f>
        <v>11.778465600000001</v>
      </c>
      <c r="H64" s="322">
        <f>+'GENERADO NO Sep Origen'!H64+'RECH-RECUP_PS locales'!H224</f>
        <v>11.169094399999999</v>
      </c>
      <c r="I64" s="322">
        <f>+'GENERADO NO Sep Origen'!I64+'RECH-RECUP_PS locales'!I224</f>
        <v>10.528848000000002</v>
      </c>
      <c r="J64" s="322">
        <f>+'GENERADO NO Sep Origen'!J64+'RECH-RECUP_PS locales'!J224</f>
        <v>9.4785299999999992</v>
      </c>
      <c r="K64" s="322">
        <f>+'GENERADO NO Sep Origen'!K64+'RECH-RECUP_PS locales'!K224</f>
        <v>8.3797740000000012</v>
      </c>
      <c r="L64" s="322">
        <f>+'GENERADO NO Sep Origen'!L64+'RECH-RECUP_PS locales'!L224</f>
        <v>8.5484100000000005</v>
      </c>
      <c r="M64" s="322">
        <f>+'GENERADO NO Sep Origen'!M64+'RECH-RECUP_PS locales'!M224</f>
        <v>8.7194380000000002</v>
      </c>
      <c r="N64" s="322">
        <f>+'GENERADO NO Sep Origen'!N64+'RECH-RECUP_PS locales'!N224</f>
        <v>8.8934560000000005</v>
      </c>
      <c r="O64" s="322">
        <f>+'GENERADO NO Sep Origen'!O64+'RECH-RECUP_PS locales'!O224</f>
        <v>9.0698660000000011</v>
      </c>
      <c r="P64" s="322">
        <f>+'GENERADO NO Sep Origen'!P64+'RECH-RECUP_PS locales'!P224</f>
        <v>9.2492660000000022</v>
      </c>
      <c r="Q64" s="322">
        <f>+'GENERADO NO Sep Origen'!Q64+'RECH-RECUP_PS locales'!Q224</f>
        <v>9.4316560000000003</v>
      </c>
      <c r="R64" s="322">
        <f>+'GENERADO NO Sep Origen'!R64+'RECH-RECUP_PS locales'!R224</f>
        <v>9.6170360000000006</v>
      </c>
      <c r="S64" s="322">
        <f>+'GENERADO NO Sep Origen'!S64+'RECH-RECUP_PS locales'!S224</f>
        <v>9.8060039999999997</v>
      </c>
      <c r="T64" s="322">
        <f>+'GENERADO NO Sep Origen'!T64+'RECH-RECUP_PS locales'!T224</f>
        <v>9.997364000000001</v>
      </c>
      <c r="U64" s="322">
        <f>+'GENERADO NO Sep Origen'!U64+'RECH-RECUP_PS locales'!U224</f>
        <v>10.191714000000001</v>
      </c>
      <c r="V64" s="322">
        <f>+'GENERADO NO Sep Origen'!V64+'RECH-RECUP_PS locales'!V224</f>
        <v>10.389652000000002</v>
      </c>
      <c r="W64" s="322">
        <f>+'GENERADO NO Sep Origen'!W64+'RECH-RECUP_PS locales'!W224</f>
        <v>10.590580000000003</v>
      </c>
      <c r="X64" s="322">
        <f>+'GENERADO NO Sep Origen'!X64+'RECH-RECUP_PS locales'!X224</f>
        <v>10.795096000000001</v>
      </c>
      <c r="Y64" s="322">
        <f>+'GENERADO NO Sep Origen'!Y64+'RECH-RECUP_PS locales'!Y224</f>
        <v>11.002602</v>
      </c>
      <c r="Z64" s="322">
        <f>+'GENERADO NO Sep Origen'!Z64+'RECH-RECUP_PS locales'!Z224</f>
        <v>11.213696000000002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28"/>
      <c r="E65" s="278"/>
      <c r="F65" s="263"/>
      <c r="G65" s="322">
        <f>+'GENERADO NO Sep Origen'!G65+'RECH-RECUP_PS locales'!G225</f>
        <v>8.1197820000000007</v>
      </c>
      <c r="H65" s="322">
        <f>+'GENERADO NO Sep Origen'!H65+'RECH-RECUP_PS locales'!H225</f>
        <v>7.6353743999999999</v>
      </c>
      <c r="I65" s="322">
        <f>+'GENERADO NO Sep Origen'!I65+'RECH-RECUP_PS locales'!I225</f>
        <v>7.138096</v>
      </c>
      <c r="J65" s="322">
        <f>+'GENERADO NO Sep Origen'!J65+'RECH-RECUP_PS locales'!J225</f>
        <v>6.3721499999999995</v>
      </c>
      <c r="K65" s="322">
        <f>+'GENERADO NO Sep Origen'!K65+'RECH-RECUP_PS locales'!K225</f>
        <v>5.5859180000000013</v>
      </c>
      <c r="L65" s="322">
        <f>+'GENERADO NO Sep Origen'!L65+'RECH-RECUP_PS locales'!L225</f>
        <v>5.6499039999999994</v>
      </c>
      <c r="M65" s="322">
        <f>+'GENERADO NO Sep Origen'!M65+'RECH-RECUP_PS locales'!M225</f>
        <v>5.7138899999999992</v>
      </c>
      <c r="N65" s="322">
        <f>+'GENERADO NO Sep Origen'!N65+'RECH-RECUP_PS locales'!N225</f>
        <v>5.7772780000000008</v>
      </c>
      <c r="O65" s="322">
        <f>+'GENERADO NO Sep Origen'!O65+'RECH-RECUP_PS locales'!O225</f>
        <v>5.8412639999999989</v>
      </c>
      <c r="P65" s="322">
        <f>+'GENERADO NO Sep Origen'!P65+'RECH-RECUP_PS locales'!P225</f>
        <v>5.9052500000000006</v>
      </c>
      <c r="Q65" s="322">
        <f>+'GENERADO NO Sep Origen'!Q65+'RECH-RECUP_PS locales'!Q225</f>
        <v>5.9686380000000003</v>
      </c>
      <c r="R65" s="322">
        <f>+'GENERADO NO Sep Origen'!R65+'RECH-RECUP_PS locales'!R225</f>
        <v>6.0326240000000002</v>
      </c>
      <c r="S65" s="322">
        <f>+'GENERADO NO Sep Origen'!S65+'RECH-RECUP_PS locales'!S225</f>
        <v>6.0966100000000001</v>
      </c>
      <c r="T65" s="322">
        <f>+'GENERADO NO Sep Origen'!T65+'RECH-RECUP_PS locales'!T225</f>
        <v>6.1599979999999999</v>
      </c>
      <c r="U65" s="322">
        <f>+'GENERADO NO Sep Origen'!U65+'RECH-RECUP_PS locales'!U225</f>
        <v>6.2239839999999997</v>
      </c>
      <c r="V65" s="322">
        <f>+'GENERADO NO Sep Origen'!V65+'RECH-RECUP_PS locales'!V225</f>
        <v>6.2879700000000014</v>
      </c>
      <c r="W65" s="322">
        <f>+'GENERADO NO Sep Origen'!W65+'RECH-RECUP_PS locales'!W225</f>
        <v>6.3513579999999994</v>
      </c>
      <c r="X65" s="322">
        <f>+'GENERADO NO Sep Origen'!X65+'RECH-RECUP_PS locales'!X225</f>
        <v>6.4153439999999993</v>
      </c>
      <c r="Y65" s="322">
        <f>+'GENERADO NO Sep Origen'!Y65+'RECH-RECUP_PS locales'!Y225</f>
        <v>6.4787320000000008</v>
      </c>
      <c r="Z65" s="322">
        <f>+'GENERADO NO Sep Origen'!Z65+'RECH-RECUP_PS locales'!Z225</f>
        <v>6.5427180000000007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28"/>
      <c r="E66" s="278"/>
      <c r="F66" s="263"/>
      <c r="G66" s="322">
        <f>+'GENERADO NO Sep Origen'!G66+'RECH-RECUP_PS locales'!G226</f>
        <v>54.198361800000001</v>
      </c>
      <c r="H66" s="322">
        <f>+'GENERADO NO Sep Origen'!H66+'RECH-RECUP_PS locales'!H226</f>
        <v>51.060496800000003</v>
      </c>
      <c r="I66" s="322">
        <f>+'GENERADO NO Sep Origen'!I66+'RECH-RECUP_PS locales'!I226</f>
        <v>47.818773000000007</v>
      </c>
      <c r="J66" s="322">
        <f>+'GENERADO NO Sep Origen'!J66+'RECH-RECUP_PS locales'!J226</f>
        <v>42.759075000000003</v>
      </c>
      <c r="K66" s="322">
        <f>+'GENERADO NO Sep Origen'!K66+'RECH-RECUP_PS locales'!K226</f>
        <v>37.548433000000003</v>
      </c>
      <c r="L66" s="322">
        <f>+'GENERADO NO Sep Origen'!L66+'RECH-RECUP_PS locales'!L226</f>
        <v>38.039690000000007</v>
      </c>
      <c r="M66" s="322">
        <f>+'GENERADO NO Sep Origen'!M66+'RECH-RECUP_PS locales'!M226</f>
        <v>38.530258000000003</v>
      </c>
      <c r="N66" s="322">
        <f>+'GENERADO NO Sep Origen'!N66+'RECH-RECUP_PS locales'!N226</f>
        <v>39.021515000000008</v>
      </c>
      <c r="O66" s="322">
        <f>+'GENERADO NO Sep Origen'!O66+'RECH-RECUP_PS locales'!O226</f>
        <v>39.512772000000005</v>
      </c>
      <c r="P66" s="322">
        <f>+'GENERADO NO Sep Origen'!P66+'RECH-RECUP_PS locales'!P226</f>
        <v>40.003340000000009</v>
      </c>
      <c r="Q66" s="322">
        <f>+'GENERADO NO Sep Origen'!Q66+'RECH-RECUP_PS locales'!Q226</f>
        <v>40.493907999999998</v>
      </c>
      <c r="R66" s="322">
        <f>+'GENERADO NO Sep Origen'!R66+'RECH-RECUP_PS locales'!R226</f>
        <v>40.985165000000009</v>
      </c>
      <c r="S66" s="322">
        <f>+'GENERADO NO Sep Origen'!S66+'RECH-RECUP_PS locales'!S226</f>
        <v>41.475732999999998</v>
      </c>
      <c r="T66" s="322">
        <f>+'GENERADO NO Sep Origen'!T66+'RECH-RECUP_PS locales'!T226</f>
        <v>41.96699000000001</v>
      </c>
      <c r="U66" s="322">
        <f>+'GENERADO NO Sep Origen'!U66+'RECH-RECUP_PS locales'!U226</f>
        <v>42.458247</v>
      </c>
      <c r="V66" s="322">
        <f>+'GENERADO NO Sep Origen'!V66+'RECH-RECUP_PS locales'!V226</f>
        <v>42.94881500000001</v>
      </c>
      <c r="W66" s="322">
        <f>+'GENERADO NO Sep Origen'!W66+'RECH-RECUP_PS locales'!W226</f>
        <v>43.439383000000007</v>
      </c>
      <c r="X66" s="322">
        <f>+'GENERADO NO Sep Origen'!X66+'RECH-RECUP_PS locales'!X226</f>
        <v>43.930639999999997</v>
      </c>
      <c r="Y66" s="322">
        <f>+'GENERADO NO Sep Origen'!Y66+'RECH-RECUP_PS locales'!Y226</f>
        <v>44.421897000000001</v>
      </c>
      <c r="Z66" s="322">
        <f>+'GENERADO NO Sep Origen'!Z66+'RECH-RECUP_PS locales'!Z226</f>
        <v>44.912465000000005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28"/>
      <c r="E67" s="278"/>
      <c r="F67" s="263"/>
      <c r="G67" s="322">
        <f>+'GENERADO NO Sep Origen'!G67+'RECH-RECUP_PS locales'!G227</f>
        <v>9.3803292000000003</v>
      </c>
      <c r="H67" s="322">
        <f>+'GENERADO NO Sep Origen'!H67+'RECH-RECUP_PS locales'!H227</f>
        <v>8.7441584000000017</v>
      </c>
      <c r="I67" s="322">
        <f>+'GENERADO NO Sep Origen'!I67+'RECH-RECUP_PS locales'!I227</f>
        <v>8.1030840000000008</v>
      </c>
      <c r="J67" s="322">
        <f>+'GENERADO NO Sep Origen'!J67+'RECH-RECUP_PS locales'!J227</f>
        <v>7.1718599999999988</v>
      </c>
      <c r="K67" s="322">
        <f>+'GENERADO NO Sep Origen'!K67+'RECH-RECUP_PS locales'!K227</f>
        <v>6.2341499999999996</v>
      </c>
      <c r="L67" s="322">
        <f>+'GENERADO NO Sep Origen'!L67+'RECH-RECUP_PS locales'!L227</f>
        <v>6.253286000000001</v>
      </c>
      <c r="M67" s="322">
        <f>+'GENERADO NO Sep Origen'!M67+'RECH-RECUP_PS locales'!M227</f>
        <v>6.2718240000000005</v>
      </c>
      <c r="N67" s="322">
        <f>+'GENERADO NO Sep Origen'!N67+'RECH-RECUP_PS locales'!N227</f>
        <v>6.2909600000000001</v>
      </c>
      <c r="O67" s="322">
        <f>+'GENERADO NO Sep Origen'!O67+'RECH-RECUP_PS locales'!O227</f>
        <v>6.3100960000000006</v>
      </c>
      <c r="P67" s="322">
        <f>+'GENERADO NO Sep Origen'!P67+'RECH-RECUP_PS locales'!P227</f>
        <v>6.3292320000000002</v>
      </c>
      <c r="Q67" s="322">
        <f>+'GENERADO NO Sep Origen'!Q67+'RECH-RECUP_PS locales'!Q227</f>
        <v>6.3483680000000007</v>
      </c>
      <c r="R67" s="322">
        <f>+'GENERADO NO Sep Origen'!R67+'RECH-RECUP_PS locales'!R227</f>
        <v>6.3681020000000004</v>
      </c>
      <c r="S67" s="322">
        <f>+'GENERADO NO Sep Origen'!S67+'RECH-RECUP_PS locales'!S227</f>
        <v>6.387238</v>
      </c>
      <c r="T67" s="322">
        <f>+'GENERADO NO Sep Origen'!T67+'RECH-RECUP_PS locales'!T227</f>
        <v>6.4063740000000013</v>
      </c>
      <c r="U67" s="322">
        <f>+'GENERADO NO Sep Origen'!U67+'RECH-RECUP_PS locales'!U227</f>
        <v>6.4261079999999993</v>
      </c>
      <c r="V67" s="322">
        <f>+'GENERADO NO Sep Origen'!V67+'RECH-RECUP_PS locales'!V227</f>
        <v>6.4452440000000006</v>
      </c>
      <c r="W67" s="322">
        <f>+'GENERADO NO Sep Origen'!W67+'RECH-RECUP_PS locales'!W227</f>
        <v>6.4649780000000003</v>
      </c>
      <c r="X67" s="322">
        <f>+'GENERADO NO Sep Origen'!X67+'RECH-RECUP_PS locales'!X227</f>
        <v>6.4847119999999991</v>
      </c>
      <c r="Y67" s="322">
        <f>+'GENERADO NO Sep Origen'!Y67+'RECH-RECUP_PS locales'!Y227</f>
        <v>6.5044460000000006</v>
      </c>
      <c r="Z67" s="322">
        <f>+'GENERADO NO Sep Origen'!Z67+'RECH-RECUP_PS locales'!Z227</f>
        <v>6.5241800000000003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28"/>
      <c r="E68" s="278"/>
      <c r="F68" s="263"/>
      <c r="G68" s="322">
        <f>+'GENERADO NO Sep Origen'!G68+'RECH-RECUP_PS locales'!G228</f>
        <v>4.5430704000000004</v>
      </c>
      <c r="H68" s="322">
        <f>+'GENERADO NO Sep Origen'!H68+'RECH-RECUP_PS locales'!H228</f>
        <v>4.2565455999999999</v>
      </c>
      <c r="I68" s="322">
        <f>+'GENERADO NO Sep Origen'!I68+'RECH-RECUP_PS locales'!I228</f>
        <v>3.9647400000000004</v>
      </c>
      <c r="J68" s="322">
        <f>+'GENERADO NO Sep Origen'!J68+'RECH-RECUP_PS locales'!J228</f>
        <v>3.5272799999999997</v>
      </c>
      <c r="K68" s="322">
        <f>+'GENERADO NO Sep Origen'!K68+'RECH-RECUP_PS locales'!K228</f>
        <v>3.0814940000000002</v>
      </c>
      <c r="L68" s="322">
        <f>+'GENERADO NO Sep Origen'!L68+'RECH-RECUP_PS locales'!L228</f>
        <v>3.1060120000000002</v>
      </c>
      <c r="M68" s="322">
        <f>+'GENERADO NO Sep Origen'!M68+'RECH-RECUP_PS locales'!M228</f>
        <v>3.1305300000000003</v>
      </c>
      <c r="N68" s="322">
        <f>+'GENERADO NO Sep Origen'!N68+'RECH-RECUP_PS locales'!N228</f>
        <v>3.1550480000000003</v>
      </c>
      <c r="O68" s="322">
        <f>+'GENERADO NO Sep Origen'!O68+'RECH-RECUP_PS locales'!O228</f>
        <v>3.1801640000000004</v>
      </c>
      <c r="P68" s="322">
        <f>+'GENERADO NO Sep Origen'!P68+'RECH-RECUP_PS locales'!P228</f>
        <v>3.2046820000000005</v>
      </c>
      <c r="Q68" s="322">
        <f>+'GENERADO NO Sep Origen'!Q68+'RECH-RECUP_PS locales'!Q228</f>
        <v>3.2292000000000001</v>
      </c>
      <c r="R68" s="322">
        <f>+'GENERADO NO Sep Origen'!R68+'RECH-RECUP_PS locales'!R228</f>
        <v>3.2537180000000001</v>
      </c>
      <c r="S68" s="322">
        <f>+'GENERADO NO Sep Origen'!S68+'RECH-RECUP_PS locales'!S228</f>
        <v>3.2782360000000006</v>
      </c>
      <c r="T68" s="322">
        <f>+'GENERADO NO Sep Origen'!T68+'RECH-RECUP_PS locales'!T228</f>
        <v>3.3033519999999998</v>
      </c>
      <c r="U68" s="322">
        <f>+'GENERADO NO Sep Origen'!U68+'RECH-RECUP_PS locales'!U228</f>
        <v>3.3278700000000008</v>
      </c>
      <c r="V68" s="322">
        <f>+'GENERADO NO Sep Origen'!V68+'RECH-RECUP_PS locales'!V228</f>
        <v>3.3523880000000004</v>
      </c>
      <c r="W68" s="322">
        <f>+'GENERADO NO Sep Origen'!W68+'RECH-RECUP_PS locales'!W228</f>
        <v>3.376906</v>
      </c>
      <c r="X68" s="322">
        <f>+'GENERADO NO Sep Origen'!X68+'RECH-RECUP_PS locales'!X228</f>
        <v>3.4014240000000004</v>
      </c>
      <c r="Y68" s="322">
        <f>+'GENERADO NO Sep Origen'!Y68+'RECH-RECUP_PS locales'!Y228</f>
        <v>3.4265400000000001</v>
      </c>
      <c r="Z68" s="322">
        <f>+'GENERADO NO Sep Origen'!Z68+'RECH-RECUP_PS locales'!Z228</f>
        <v>3.4510580000000006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28"/>
      <c r="E69" s="278"/>
      <c r="F69" s="263"/>
      <c r="G69" s="322">
        <f>+'GENERADO NO Sep Origen'!G69+'RECH-RECUP_PS locales'!G229</f>
        <v>20.358360000000001</v>
      </c>
      <c r="H69" s="322">
        <f>+'GENERADO NO Sep Origen'!H69+'RECH-RECUP_PS locales'!H229</f>
        <v>19.193886400000004</v>
      </c>
      <c r="I69" s="322">
        <f>+'GENERADO NO Sep Origen'!I69+'RECH-RECUP_PS locales'!I229</f>
        <v>17.992069000000001</v>
      </c>
      <c r="J69" s="322">
        <f>+'GENERADO NO Sep Origen'!J69+'RECH-RECUP_PS locales'!J229</f>
        <v>16.106700000000004</v>
      </c>
      <c r="K69" s="322">
        <f>+'GENERADO NO Sep Origen'!K69+'RECH-RECUP_PS locales'!K229</f>
        <v>14.162395000000004</v>
      </c>
      <c r="L69" s="322">
        <f>+'GENERADO NO Sep Origen'!L69+'RECH-RECUP_PS locales'!L229</f>
        <v>14.368406000000002</v>
      </c>
      <c r="M69" s="322">
        <f>+'GENERADO NO Sep Origen'!M69+'RECH-RECUP_PS locales'!M229</f>
        <v>14.577862</v>
      </c>
      <c r="N69" s="322">
        <f>+'GENERADO NO Sep Origen'!N69+'RECH-RECUP_PS locales'!N229</f>
        <v>14.790074000000002</v>
      </c>
      <c r="O69" s="322">
        <f>+'GENERADO NO Sep Origen'!O69+'RECH-RECUP_PS locales'!O229</f>
        <v>15.005042</v>
      </c>
      <c r="P69" s="322">
        <f>+'GENERADO NO Sep Origen'!P69+'RECH-RECUP_PS locales'!P229</f>
        <v>15.224144000000003</v>
      </c>
      <c r="Q69" s="322">
        <f>+'GENERADO NO Sep Origen'!Q69+'RECH-RECUP_PS locales'!Q229</f>
        <v>15.445313000000001</v>
      </c>
      <c r="R69" s="322">
        <f>+'GENERADO NO Sep Origen'!R69+'RECH-RECUP_PS locales'!R229</f>
        <v>15.670616000000001</v>
      </c>
      <c r="S69" s="322">
        <f>+'GENERADO NO Sep Origen'!S69+'RECH-RECUP_PS locales'!S229</f>
        <v>15.898674999999999</v>
      </c>
      <c r="T69" s="322">
        <f>+'GENERADO NO Sep Origen'!T69+'RECH-RECUP_PS locales'!T229</f>
        <v>16.130179000000002</v>
      </c>
      <c r="U69" s="322">
        <f>+'GENERADO NO Sep Origen'!U69+'RECH-RECUP_PS locales'!U229</f>
        <v>16.365128000000002</v>
      </c>
      <c r="V69" s="322">
        <f>+'GENERADO NO Sep Origen'!V69+'RECH-RECUP_PS locales'!V229</f>
        <v>16.603522000000002</v>
      </c>
      <c r="W69" s="322">
        <f>+'GENERADO NO Sep Origen'!W69+'RECH-RECUP_PS locales'!W229</f>
        <v>16.844672000000003</v>
      </c>
      <c r="X69" s="322">
        <f>+'GENERADO NO Sep Origen'!X69+'RECH-RECUP_PS locales'!X229</f>
        <v>17.089956000000001</v>
      </c>
      <c r="Y69" s="322">
        <f>+'GENERADO NO Sep Origen'!Y69+'RECH-RECUP_PS locales'!Y229</f>
        <v>17.339374000000003</v>
      </c>
      <c r="Z69" s="322">
        <f>+'GENERADO NO Sep Origen'!Z69+'RECH-RECUP_PS locales'!Z229</f>
        <v>17.591548000000003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28"/>
      <c r="E70" s="278"/>
      <c r="F70" s="263"/>
      <c r="G70" s="322">
        <f>+'GENERADO NO Sep Origen'!G70+'RECH-RECUP_PS locales'!G230</f>
        <v>1.4080968000000003</v>
      </c>
      <c r="H70" s="322">
        <f>+'GENERADO NO Sep Origen'!H70+'RECH-RECUP_PS locales'!H230</f>
        <v>1.3237696000000001</v>
      </c>
      <c r="I70" s="322">
        <f>+'GENERADO NO Sep Origen'!I70+'RECH-RECUP_PS locales'!I230</f>
        <v>1.2363420000000001</v>
      </c>
      <c r="J70" s="322">
        <f>+'GENERADO NO Sep Origen'!J70+'RECH-RECUP_PS locales'!J230</f>
        <v>1.10331</v>
      </c>
      <c r="K70" s="322">
        <f>+'GENERADO NO Sep Origen'!K70+'RECH-RECUP_PS locales'!K230</f>
        <v>0.9669660000000001</v>
      </c>
      <c r="L70" s="322">
        <f>+'GENERADO NO Sep Origen'!L70+'RECH-RECUP_PS locales'!L230</f>
        <v>0.97832800000000009</v>
      </c>
      <c r="M70" s="322">
        <f>+'GENERADO NO Sep Origen'!M70+'RECH-RECUP_PS locales'!M230</f>
        <v>0.98909200000000008</v>
      </c>
      <c r="N70" s="322">
        <f>+'GENERADO NO Sep Origen'!N70+'RECH-RECUP_PS locales'!N230</f>
        <v>1.000454</v>
      </c>
      <c r="O70" s="322">
        <f>+'GENERADO NO Sep Origen'!O70+'RECH-RECUP_PS locales'!O230</f>
        <v>1.011816</v>
      </c>
      <c r="P70" s="322">
        <f>+'GENERADO NO Sep Origen'!P70+'RECH-RECUP_PS locales'!P230</f>
        <v>1.0231780000000001</v>
      </c>
      <c r="Q70" s="322">
        <f>+'GENERADO NO Sep Origen'!Q70+'RECH-RECUP_PS locales'!Q230</f>
        <v>1.0345400000000002</v>
      </c>
      <c r="R70" s="322">
        <f>+'GENERADO NO Sep Origen'!R70+'RECH-RECUP_PS locales'!R230</f>
        <v>1.0465</v>
      </c>
      <c r="S70" s="322">
        <f>+'GENERADO NO Sep Origen'!S70+'RECH-RECUP_PS locales'!S230</f>
        <v>1.0584600000000002</v>
      </c>
      <c r="T70" s="322">
        <f>+'GENERADO NO Sep Origen'!T70+'RECH-RECUP_PS locales'!T230</f>
        <v>1.0704200000000004</v>
      </c>
      <c r="U70" s="322">
        <f>+'GENERADO NO Sep Origen'!U70+'RECH-RECUP_PS locales'!U230</f>
        <v>1.0823800000000001</v>
      </c>
      <c r="V70" s="322">
        <f>+'GENERADO NO Sep Origen'!V70+'RECH-RECUP_PS locales'!V230</f>
        <v>1.094938</v>
      </c>
      <c r="W70" s="322">
        <f>+'GENERADO NO Sep Origen'!W70+'RECH-RECUP_PS locales'!W230</f>
        <v>1.1068980000000002</v>
      </c>
      <c r="X70" s="322">
        <f>+'GENERADO NO Sep Origen'!X70+'RECH-RECUP_PS locales'!X230</f>
        <v>1.119456</v>
      </c>
      <c r="Y70" s="322">
        <f>+'GENERADO NO Sep Origen'!Y70+'RECH-RECUP_PS locales'!Y230</f>
        <v>1.132612</v>
      </c>
      <c r="Z70" s="322">
        <f>+'GENERADO NO Sep Origen'!Z70+'RECH-RECUP_PS locales'!Z230</f>
        <v>1.1451700000000002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28"/>
      <c r="E71" s="278"/>
      <c r="F71" s="263"/>
      <c r="G71" s="322">
        <f>+'GENERADO NO Sep Origen'!G71+'RECH-RECUP_PS locales'!G231</f>
        <v>23.259951000000001</v>
      </c>
      <c r="H71" s="322">
        <f>+'GENERADO NO Sep Origen'!H71+'RECH-RECUP_PS locales'!H231</f>
        <v>21.899091200000001</v>
      </c>
      <c r="I71" s="322">
        <f>+'GENERADO NO Sep Origen'!I71+'RECH-RECUP_PS locales'!I231</f>
        <v>20.499552000000001</v>
      </c>
      <c r="J71" s="322">
        <f>+'GENERADO NO Sep Origen'!J71+'RECH-RECUP_PS locales'!J231</f>
        <v>18.327134999999998</v>
      </c>
      <c r="K71" s="322">
        <f>+'GENERADO NO Sep Origen'!K71+'RECH-RECUP_PS locales'!K231</f>
        <v>16.094351000000003</v>
      </c>
      <c r="L71" s="322">
        <f>+'GENERADO NO Sep Origen'!L71+'RECH-RECUP_PS locales'!L231</f>
        <v>16.308630000000001</v>
      </c>
      <c r="M71" s="322">
        <f>+'GENERADO NO Sep Origen'!M71+'RECH-RECUP_PS locales'!M231</f>
        <v>16.526353999999998</v>
      </c>
      <c r="N71" s="322">
        <f>+'GENERADO NO Sep Origen'!N71+'RECH-RECUP_PS locales'!N231</f>
        <v>16.747523000000001</v>
      </c>
      <c r="O71" s="322">
        <f>+'GENERADO NO Sep Origen'!O71+'RECH-RECUP_PS locales'!O231</f>
        <v>16.972826000000001</v>
      </c>
      <c r="P71" s="322">
        <f>+'GENERADO NO Sep Origen'!P71+'RECH-RECUP_PS locales'!P231</f>
        <v>17.201574000000001</v>
      </c>
      <c r="Q71" s="322">
        <f>+'GENERADO NO Sep Origen'!Q71+'RECH-RECUP_PS locales'!Q231</f>
        <v>17.433767000000003</v>
      </c>
      <c r="R71" s="322">
        <f>+'GENERADO NO Sep Origen'!R71+'RECH-RECUP_PS locales'!R231</f>
        <v>17.669405000000001</v>
      </c>
      <c r="S71" s="322">
        <f>+'GENERADO NO Sep Origen'!S71+'RECH-RECUP_PS locales'!S231</f>
        <v>17.909866000000001</v>
      </c>
      <c r="T71" s="322">
        <f>+'GENERADO NO Sep Origen'!T71+'RECH-RECUP_PS locales'!T231</f>
        <v>18.153772</v>
      </c>
      <c r="U71" s="322">
        <f>+'GENERADO NO Sep Origen'!U71+'RECH-RECUP_PS locales'!U231</f>
        <v>18.401123000000002</v>
      </c>
      <c r="V71" s="322">
        <f>+'GENERADO NO Sep Origen'!V71+'RECH-RECUP_PS locales'!V231</f>
        <v>18.653297000000002</v>
      </c>
      <c r="W71" s="322">
        <f>+'GENERADO NO Sep Origen'!W71+'RECH-RECUP_PS locales'!W231</f>
        <v>18.908916000000005</v>
      </c>
      <c r="X71" s="322">
        <f>+'GENERADO NO Sep Origen'!X71+'RECH-RECUP_PS locales'!X231</f>
        <v>19.169357999999999</v>
      </c>
      <c r="Y71" s="322">
        <f>+'GENERADO NO Sep Origen'!Y71+'RECH-RECUP_PS locales'!Y231</f>
        <v>19.433934000000001</v>
      </c>
      <c r="Z71" s="322">
        <f>+'GENERADO NO Sep Origen'!Z71+'RECH-RECUP_PS locales'!Z231</f>
        <v>19.702644000000003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28"/>
      <c r="E72" s="278"/>
      <c r="F72" s="263"/>
      <c r="G72" s="322">
        <f>+'GENERADO NO Sep Origen'!G72+'RECH-RECUP_PS locales'!G232</f>
        <v>8.4904776000000002</v>
      </c>
      <c r="H72" s="322">
        <f>+'GENERADO NO Sep Origen'!H72+'RECH-RECUP_PS locales'!H232</f>
        <v>7.9857840000000007</v>
      </c>
      <c r="I72" s="322">
        <f>+'GENERADO NO Sep Origen'!I72+'RECH-RECUP_PS locales'!I232</f>
        <v>7.4665359999999996</v>
      </c>
      <c r="J72" s="322">
        <f>+'GENERADO NO Sep Origen'!J72+'RECH-RECUP_PS locales'!J232</f>
        <v>6.6660900000000005</v>
      </c>
      <c r="K72" s="322">
        <f>+'GENERADO NO Sep Origen'!K72+'RECH-RECUP_PS locales'!K232</f>
        <v>5.8448519999999995</v>
      </c>
      <c r="L72" s="322">
        <f>+'GENERADO NO Sep Origen'!L72+'RECH-RECUP_PS locales'!L232</f>
        <v>5.934552</v>
      </c>
      <c r="M72" s="322">
        <f>+'GENERADO NO Sep Origen'!M72+'RECH-RECUP_PS locales'!M232</f>
        <v>6.0248500000000007</v>
      </c>
      <c r="N72" s="322">
        <f>+'GENERADO NO Sep Origen'!N72+'RECH-RECUP_PS locales'!N232</f>
        <v>6.1145500000000004</v>
      </c>
      <c r="O72" s="322">
        <f>+'GENERADO NO Sep Origen'!O72+'RECH-RECUP_PS locales'!O232</f>
        <v>6.20425</v>
      </c>
      <c r="P72" s="322">
        <f>+'GENERADO NO Sep Origen'!P72+'RECH-RECUP_PS locales'!P232</f>
        <v>6.2945480000000007</v>
      </c>
      <c r="Q72" s="322">
        <f>+'GENERADO NO Sep Origen'!Q72+'RECH-RECUP_PS locales'!Q232</f>
        <v>6.3842480000000004</v>
      </c>
      <c r="R72" s="322">
        <f>+'GENERADO NO Sep Origen'!R72+'RECH-RECUP_PS locales'!R232</f>
        <v>6.473948</v>
      </c>
      <c r="S72" s="322">
        <f>+'GENERADO NO Sep Origen'!S72+'RECH-RECUP_PS locales'!S232</f>
        <v>6.5636480000000006</v>
      </c>
      <c r="T72" s="322">
        <f>+'GENERADO NO Sep Origen'!T72+'RECH-RECUP_PS locales'!T232</f>
        <v>6.6539460000000012</v>
      </c>
      <c r="U72" s="322">
        <f>+'GENERADO NO Sep Origen'!U72+'RECH-RECUP_PS locales'!U232</f>
        <v>6.7436460000000009</v>
      </c>
      <c r="V72" s="322">
        <f>+'GENERADO NO Sep Origen'!V72+'RECH-RECUP_PS locales'!V232</f>
        <v>6.8333460000000006</v>
      </c>
      <c r="W72" s="322">
        <f>+'GENERADO NO Sep Origen'!W72+'RECH-RECUP_PS locales'!W232</f>
        <v>6.9236439999999995</v>
      </c>
      <c r="X72" s="322">
        <f>+'GENERADO NO Sep Origen'!X72+'RECH-RECUP_PS locales'!X232</f>
        <v>7.013344</v>
      </c>
      <c r="Y72" s="322">
        <f>+'GENERADO NO Sep Origen'!Y72+'RECH-RECUP_PS locales'!Y232</f>
        <v>7.1030440000000006</v>
      </c>
      <c r="Z72" s="322">
        <f>+'GENERADO NO Sep Origen'!Z72+'RECH-RECUP_PS locales'!Z232</f>
        <v>7.1933420000000003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28"/>
      <c r="E73" s="278"/>
      <c r="F73" s="263"/>
      <c r="G73" s="322">
        <f>+'GENERADO NO Sep Origen'!G73+'RECH-RECUP_PS locales'!G233</f>
        <v>13.039923600000002</v>
      </c>
      <c r="H73" s="322">
        <f>+'GENERADO NO Sep Origen'!H73+'RECH-RECUP_PS locales'!H233</f>
        <v>12.274492799999999</v>
      </c>
      <c r="I73" s="322">
        <f>+'GENERADO NO Sep Origen'!I73+'RECH-RECUP_PS locales'!I233</f>
        <v>11.485234</v>
      </c>
      <c r="J73" s="322">
        <f>+'GENERADO NO Sep Origen'!J73+'RECH-RECUP_PS locales'!J233</f>
        <v>10.262369999999999</v>
      </c>
      <c r="K73" s="322">
        <f>+'GENERADO NO Sep Origen'!K73+'RECH-RECUP_PS locales'!K233</f>
        <v>9.004684000000001</v>
      </c>
      <c r="L73" s="322">
        <f>+'GENERADO NO Sep Origen'!L73+'RECH-RECUP_PS locales'!L233</f>
        <v>9.1153140000000015</v>
      </c>
      <c r="M73" s="322">
        <f>+'GENERADO NO Sep Origen'!M73+'RECH-RECUP_PS locales'!M233</f>
        <v>9.2259440000000019</v>
      </c>
      <c r="N73" s="322">
        <f>+'GENERADO NO Sep Origen'!N73+'RECH-RECUP_PS locales'!N233</f>
        <v>9.3365740000000006</v>
      </c>
      <c r="O73" s="322">
        <f>+'GENERADO NO Sep Origen'!O73+'RECH-RECUP_PS locales'!O233</f>
        <v>9.4472039999999993</v>
      </c>
      <c r="P73" s="322">
        <f>+'GENERADO NO Sep Origen'!P73+'RECH-RECUP_PS locales'!P233</f>
        <v>9.5578340000000015</v>
      </c>
      <c r="Q73" s="322">
        <f>+'GENERADO NO Sep Origen'!Q73+'RECH-RECUP_PS locales'!Q233</f>
        <v>9.6684640000000002</v>
      </c>
      <c r="R73" s="322">
        <f>+'GENERADO NO Sep Origen'!R73+'RECH-RECUP_PS locales'!R233</f>
        <v>9.7796920000000007</v>
      </c>
      <c r="S73" s="322">
        <f>+'GENERADO NO Sep Origen'!S73+'RECH-RECUP_PS locales'!S233</f>
        <v>9.8903220000000012</v>
      </c>
      <c r="T73" s="322">
        <f>+'GENERADO NO Sep Origen'!T73+'RECH-RECUP_PS locales'!T233</f>
        <v>10.000952</v>
      </c>
      <c r="U73" s="322">
        <f>+'GENERADO NO Sep Origen'!U73+'RECH-RECUP_PS locales'!U233</f>
        <v>10.111582000000002</v>
      </c>
      <c r="V73" s="322">
        <f>+'GENERADO NO Sep Origen'!V73+'RECH-RECUP_PS locales'!V233</f>
        <v>10.222212000000003</v>
      </c>
      <c r="W73" s="322">
        <f>+'GENERADO NO Sep Origen'!W73+'RECH-RECUP_PS locales'!W233</f>
        <v>10.332841999999999</v>
      </c>
      <c r="X73" s="322">
        <f>+'GENERADO NO Sep Origen'!X73+'RECH-RECUP_PS locales'!X233</f>
        <v>10.443472</v>
      </c>
      <c r="Y73" s="322">
        <f>+'GENERADO NO Sep Origen'!Y73+'RECH-RECUP_PS locales'!Y233</f>
        <v>10.5547</v>
      </c>
      <c r="Z73" s="322">
        <f>+'GENERADO NO Sep Origen'!Z73+'RECH-RECUP_PS locales'!Z233</f>
        <v>10.665330000000001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28"/>
      <c r="E74" s="278"/>
      <c r="F74" s="263"/>
      <c r="G74" s="322">
        <f>+'GENERADO NO Sep Origen'!G74+'RECH-RECUP_PS locales'!G234</f>
        <v>2.4436764000000002</v>
      </c>
      <c r="H74" s="322">
        <f>+'GENERADO NO Sep Origen'!H74+'RECH-RECUP_PS locales'!H234</f>
        <v>2.3259072000000001</v>
      </c>
      <c r="I74" s="322">
        <f>+'GENERADO NO Sep Origen'!I74+'RECH-RECUP_PS locales'!I234</f>
        <v>2.2005479999999999</v>
      </c>
      <c r="J74" s="322">
        <f>+'GENERADO NO Sep Origen'!J74+'RECH-RECUP_PS locales'!J234</f>
        <v>1.9892700000000003</v>
      </c>
      <c r="K74" s="322">
        <f>+'GENERADO NO Sep Origen'!K74+'RECH-RECUP_PS locales'!K234</f>
        <v>1.7658940000000003</v>
      </c>
      <c r="L74" s="322">
        <f>+'GENERADO NO Sep Origen'!L74+'RECH-RECUP_PS locales'!L234</f>
        <v>1.8089500000000001</v>
      </c>
      <c r="M74" s="322">
        <f>+'GENERADO NO Sep Origen'!M74+'RECH-RECUP_PS locales'!M234</f>
        <v>1.8526040000000004</v>
      </c>
      <c r="N74" s="322">
        <f>+'GENERADO NO Sep Origen'!N74+'RECH-RECUP_PS locales'!N234</f>
        <v>1.8974540000000002</v>
      </c>
      <c r="O74" s="322">
        <f>+'GENERADO NO Sep Origen'!O74+'RECH-RECUP_PS locales'!O234</f>
        <v>1.9440980000000001</v>
      </c>
      <c r="P74" s="322">
        <f>+'GENERADO NO Sep Origen'!P74+'RECH-RECUP_PS locales'!P234</f>
        <v>1.9913400000000001</v>
      </c>
      <c r="Q74" s="322">
        <f>+'GENERADO NO Sep Origen'!Q74+'RECH-RECUP_PS locales'!Q234</f>
        <v>2.0391800000000004</v>
      </c>
      <c r="R74" s="322">
        <f>+'GENERADO NO Sep Origen'!R74+'RECH-RECUP_PS locales'!R234</f>
        <v>2.0888140000000002</v>
      </c>
      <c r="S74" s="322">
        <f>+'GENERADO NO Sep Origen'!S74+'RECH-RECUP_PS locales'!S234</f>
        <v>2.1396440000000001</v>
      </c>
      <c r="T74" s="322">
        <f>+'GENERADO NO Sep Origen'!T74+'RECH-RECUP_PS locales'!T234</f>
        <v>2.1916700000000002</v>
      </c>
      <c r="U74" s="322">
        <f>+'GENERADO NO Sep Origen'!U74+'RECH-RECUP_PS locales'!U234</f>
        <v>2.2448920000000001</v>
      </c>
      <c r="V74" s="322">
        <f>+'GENERADO NO Sep Origen'!V74+'RECH-RECUP_PS locales'!V234</f>
        <v>2.2993100000000002</v>
      </c>
      <c r="W74" s="322">
        <f>+'GENERADO NO Sep Origen'!W74+'RECH-RECUP_PS locales'!W234</f>
        <v>2.3555220000000001</v>
      </c>
      <c r="X74" s="322">
        <f>+'GENERADO NO Sep Origen'!X74+'RECH-RECUP_PS locales'!X234</f>
        <v>2.4123320000000001</v>
      </c>
      <c r="Y74" s="322">
        <f>+'GENERADO NO Sep Origen'!Y74+'RECH-RECUP_PS locales'!Y234</f>
        <v>2.470936</v>
      </c>
      <c r="Z74" s="322">
        <f>+'GENERADO NO Sep Origen'!Z74+'RECH-RECUP_PS locales'!Z234</f>
        <v>2.5313340000000002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28"/>
      <c r="E75" s="278"/>
      <c r="F75" s="263"/>
      <c r="G75" s="322">
        <f>+'GENERADO NO Sep Origen'!G75+'RECH-RECUP_PS locales'!G235</f>
        <v>9.5160383999999993</v>
      </c>
      <c r="H75" s="322">
        <f>+'GENERADO NO Sep Origen'!H75+'RECH-RECUP_PS locales'!H235</f>
        <v>8.9930000000000003</v>
      </c>
      <c r="I75" s="322">
        <f>+'GENERADO NO Sep Origen'!I75+'RECH-RECUP_PS locales'!I235</f>
        <v>8.447163999999999</v>
      </c>
      <c r="J75" s="322">
        <f>+'GENERADO NO Sep Origen'!J75+'RECH-RECUP_PS locales'!J235</f>
        <v>7.5755100000000004</v>
      </c>
      <c r="K75" s="322">
        <f>+'GENERADO NO Sep Origen'!K75+'RECH-RECUP_PS locales'!K235</f>
        <v>6.6712880000000006</v>
      </c>
      <c r="L75" s="322">
        <f>+'GENERADO NO Sep Origen'!L75+'RECH-RECUP_PS locales'!L235</f>
        <v>6.8016519999999998</v>
      </c>
      <c r="M75" s="322">
        <f>+'GENERADO NO Sep Origen'!M75+'RECH-RECUP_PS locales'!M235</f>
        <v>6.9314180000000007</v>
      </c>
      <c r="N75" s="322">
        <f>+'GENERADO NO Sep Origen'!N75+'RECH-RECUP_PS locales'!N235</f>
        <v>7.0611840000000008</v>
      </c>
      <c r="O75" s="322">
        <f>+'GENERADO NO Sep Origen'!O75+'RECH-RECUP_PS locales'!O235</f>
        <v>7.1915480000000001</v>
      </c>
      <c r="P75" s="322">
        <f>+'GENERADO NO Sep Origen'!P75+'RECH-RECUP_PS locales'!P235</f>
        <v>7.321314000000001</v>
      </c>
      <c r="Q75" s="322">
        <f>+'GENERADO NO Sep Origen'!Q75+'RECH-RECUP_PS locales'!Q235</f>
        <v>7.4516780000000011</v>
      </c>
      <c r="R75" s="322">
        <f>+'GENERADO NO Sep Origen'!R75+'RECH-RECUP_PS locales'!R235</f>
        <v>7.5814440000000003</v>
      </c>
      <c r="S75" s="322">
        <f>+'GENERADO NO Sep Origen'!S75+'RECH-RECUP_PS locales'!S235</f>
        <v>7.7118079999999996</v>
      </c>
      <c r="T75" s="322">
        <f>+'GENERADO NO Sep Origen'!T75+'RECH-RECUP_PS locales'!T235</f>
        <v>7.8415740000000014</v>
      </c>
      <c r="U75" s="322">
        <f>+'GENERADO NO Sep Origen'!U75+'RECH-RECUP_PS locales'!U235</f>
        <v>7.9719380000000006</v>
      </c>
      <c r="V75" s="322">
        <f>+'GENERADO NO Sep Origen'!V75+'RECH-RECUP_PS locales'!V235</f>
        <v>8.1017039999999998</v>
      </c>
      <c r="W75" s="322">
        <f>+'GENERADO NO Sep Origen'!W75+'RECH-RECUP_PS locales'!W235</f>
        <v>8.2320680000000017</v>
      </c>
      <c r="X75" s="322">
        <f>+'GENERADO NO Sep Origen'!X75+'RECH-RECUP_PS locales'!X235</f>
        <v>8.3618340000000018</v>
      </c>
      <c r="Y75" s="322">
        <f>+'GENERADO NO Sep Origen'!Y75+'RECH-RECUP_PS locales'!Y235</f>
        <v>8.4916</v>
      </c>
      <c r="Z75" s="322">
        <f>+'GENERADO NO Sep Origen'!Z75+'RECH-RECUP_PS locales'!Z235</f>
        <v>8.621964000000002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28"/>
      <c r="E76" s="278"/>
      <c r="F76" s="263"/>
      <c r="G76" s="322">
        <f>+'GENERADO NO Sep Origen'!G76+'RECH-RECUP_PS locales'!G236</f>
        <v>6.6187836000000004</v>
      </c>
      <c r="H76" s="322">
        <f>+'GENERADO NO Sep Origen'!H76+'RECH-RECUP_PS locales'!H236</f>
        <v>6.1880303999999997</v>
      </c>
      <c r="I76" s="322">
        <f>+'GENERADO NO Sep Origen'!I76+'RECH-RECUP_PS locales'!I236</f>
        <v>5.7516100000000003</v>
      </c>
      <c r="J76" s="322">
        <f>+'GENERADO NO Sep Origen'!J76+'RECH-RECUP_PS locales'!J236</f>
        <v>5.1059999999999999</v>
      </c>
      <c r="K76" s="322">
        <f>+'GENERADO NO Sep Origen'!K76+'RECH-RECUP_PS locales'!K236</f>
        <v>4.451512000000001</v>
      </c>
      <c r="L76" s="322">
        <f>+'GENERADO NO Sep Origen'!L76+'RECH-RECUP_PS locales'!L236</f>
        <v>4.4784220000000001</v>
      </c>
      <c r="M76" s="322">
        <f>+'GENERADO NO Sep Origen'!M76+'RECH-RECUP_PS locales'!M236</f>
        <v>4.5047340000000009</v>
      </c>
      <c r="N76" s="322">
        <f>+'GENERADO NO Sep Origen'!N76+'RECH-RECUP_PS locales'!N236</f>
        <v>4.5310459999999999</v>
      </c>
      <c r="O76" s="322">
        <f>+'GENERADO NO Sep Origen'!O76+'RECH-RECUP_PS locales'!O236</f>
        <v>4.5579560000000008</v>
      </c>
      <c r="P76" s="322">
        <f>+'GENERADO NO Sep Origen'!P76+'RECH-RECUP_PS locales'!P236</f>
        <v>4.5842679999999998</v>
      </c>
      <c r="Q76" s="322">
        <f>+'GENERADO NO Sep Origen'!Q76+'RECH-RECUP_PS locales'!Q236</f>
        <v>4.6111780000000007</v>
      </c>
      <c r="R76" s="322">
        <f>+'GENERADO NO Sep Origen'!R76+'RECH-RECUP_PS locales'!R236</f>
        <v>4.6374900000000006</v>
      </c>
      <c r="S76" s="322">
        <f>+'GENERADO NO Sep Origen'!S76+'RECH-RECUP_PS locales'!S236</f>
        <v>4.6638020000000004</v>
      </c>
      <c r="T76" s="322">
        <f>+'GENERADO NO Sep Origen'!T76+'RECH-RECUP_PS locales'!T236</f>
        <v>4.6907120000000004</v>
      </c>
      <c r="U76" s="322">
        <f>+'GENERADO NO Sep Origen'!U76+'RECH-RECUP_PS locales'!U236</f>
        <v>4.7170240000000003</v>
      </c>
      <c r="V76" s="322">
        <f>+'GENERADO NO Sep Origen'!V76+'RECH-RECUP_PS locales'!V236</f>
        <v>4.7439340000000012</v>
      </c>
      <c r="W76" s="322">
        <f>+'GENERADO NO Sep Origen'!W76+'RECH-RECUP_PS locales'!W236</f>
        <v>4.7702460000000002</v>
      </c>
      <c r="X76" s="322">
        <f>+'GENERADO NO Sep Origen'!X76+'RECH-RECUP_PS locales'!X236</f>
        <v>4.7971560000000011</v>
      </c>
      <c r="Y76" s="322">
        <f>+'GENERADO NO Sep Origen'!Y76+'RECH-RECUP_PS locales'!Y236</f>
        <v>4.8234680000000001</v>
      </c>
      <c r="Z76" s="322">
        <f>+'GENERADO NO Sep Origen'!Z76+'RECH-RECUP_PS locales'!Z236</f>
        <v>4.8497800000000009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28"/>
      <c r="E77" s="278"/>
      <c r="F77" s="263"/>
      <c r="G77" s="322">
        <f>+'GENERADO NO Sep Origen'!G77+'RECH-RECUP_PS locales'!G237</f>
        <v>1062.4153023000001</v>
      </c>
      <c r="H77" s="322">
        <f>+'GENERADO NO Sep Origen'!H77+'RECH-RECUP_PS locales'!H237</f>
        <v>995.0250431999998</v>
      </c>
      <c r="I77" s="322">
        <f>+'GENERADO NO Sep Origen'!I77+'RECH-RECUP_PS locales'!I237</f>
        <v>926.51720399999999</v>
      </c>
      <c r="J77" s="322">
        <f>+'GENERADO NO Sep Origen'!J77+'RECH-RECUP_PS locales'!J237</f>
        <v>823.91728499999999</v>
      </c>
      <c r="K77" s="322">
        <f>+'GENERADO NO Sep Origen'!K77+'RECH-RECUP_PS locales'!K237</f>
        <v>719.65413000000012</v>
      </c>
      <c r="L77" s="322">
        <f>+'GENERADO NO Sep Origen'!L77+'RECH-RECUP_PS locales'!L237</f>
        <v>725.29060499999991</v>
      </c>
      <c r="M77" s="322">
        <f>+'GENERADO NO Sep Origen'!M77+'RECH-RECUP_PS locales'!M237</f>
        <v>730.97015549999992</v>
      </c>
      <c r="N77" s="322">
        <f>+'GENERADO NO Sep Origen'!N77+'RECH-RECUP_PS locales'!N237</f>
        <v>736.69553099999996</v>
      </c>
      <c r="O77" s="322">
        <f>+'GENERADO NO Sep Origen'!O77+'RECH-RECUP_PS locales'!O237</f>
        <v>742.4648985</v>
      </c>
      <c r="P77" s="322">
        <f>+'GENERADO NO Sep Origen'!P77+'RECH-RECUP_PS locales'!P237</f>
        <v>748.27917450000007</v>
      </c>
      <c r="Q77" s="322">
        <f>+'GENERADO NO Sep Origen'!Q77+'RECH-RECUP_PS locales'!Q237</f>
        <v>754.13927549999994</v>
      </c>
      <c r="R77" s="322">
        <f>+'GENERADO NO Sep Origen'!R77+'RECH-RECUP_PS locales'!R237</f>
        <v>760.04520149999985</v>
      </c>
      <c r="S77" s="322">
        <f>+'GENERADO NO Sep Origen'!S77+'RECH-RECUP_PS locales'!S237</f>
        <v>765.99786900000004</v>
      </c>
      <c r="T77" s="322">
        <f>+'GENERADO NO Sep Origen'!T77+'RECH-RECUP_PS locales'!T237</f>
        <v>771.99636149999992</v>
      </c>
      <c r="U77" s="322">
        <f>+'GENERADO NO Sep Origen'!U77+'RECH-RECUP_PS locales'!U237</f>
        <v>778.04251199999999</v>
      </c>
      <c r="V77" s="322">
        <f>+'GENERADO NO Sep Origen'!V77+'RECH-RECUP_PS locales'!V237</f>
        <v>784.13540399999988</v>
      </c>
      <c r="W77" s="322">
        <f>+'GENERADO NO Sep Origen'!W77+'RECH-RECUP_PS locales'!W237</f>
        <v>790.27687049999986</v>
      </c>
      <c r="X77" s="322">
        <f>+'GENERADO NO Sep Origen'!X77+'RECH-RECUP_PS locales'!X237</f>
        <v>796.46691149999992</v>
      </c>
      <c r="Y77" s="322">
        <f>+'GENERADO NO Sep Origen'!Y77+'RECH-RECUP_PS locales'!Y237</f>
        <v>802.70369400000004</v>
      </c>
      <c r="Z77" s="322">
        <f>+'GENERADO NO Sep Origen'!Z77+'RECH-RECUP_PS locales'!Z237</f>
        <v>808.98996750000003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28"/>
      <c r="E78" s="278"/>
      <c r="F78" s="263"/>
      <c r="G78" s="322">
        <f>+'GENERADO NO Sep Origen'!G78+'RECH-RECUP_PS locales'!G238</f>
        <v>154.42568460000001</v>
      </c>
      <c r="H78" s="322">
        <f>+'GENERADO NO Sep Origen'!H78+'RECH-RECUP_PS locales'!H238</f>
        <v>148.0438608</v>
      </c>
      <c r="I78" s="322">
        <f>+'GENERADO NO Sep Origen'!I78+'RECH-RECUP_PS locales'!I238</f>
        <v>141.04009199999999</v>
      </c>
      <c r="J78" s="322">
        <f>+'GENERADO NO Sep Origen'!J78+'RECH-RECUP_PS locales'!J238</f>
        <v>128.26831500000003</v>
      </c>
      <c r="K78" s="322">
        <f>+'GENERADO NO Sep Origen'!K78+'RECH-RECUP_PS locales'!K238</f>
        <v>114.531261</v>
      </c>
      <c r="L78" s="322">
        <f>+'GENERADO NO Sep Origen'!L78+'RECH-RECUP_PS locales'!L238</f>
        <v>117.95101500000001</v>
      </c>
      <c r="M78" s="322">
        <f>+'GENERADO NO Sep Origen'!M78+'RECH-RECUP_PS locales'!M238</f>
        <v>121.42712400000001</v>
      </c>
      <c r="N78" s="322">
        <f>+'GENERADO NO Sep Origen'!N78+'RECH-RECUP_PS locales'!N238</f>
        <v>124.96025100000001</v>
      </c>
      <c r="O78" s="322">
        <f>+'GENERADO NO Sep Origen'!O78+'RECH-RECUP_PS locales'!O238</f>
        <v>128.55039599999998</v>
      </c>
      <c r="P78" s="322">
        <f>+'GENERADO NO Sep Origen'!P78+'RECH-RECUP_PS locales'!P238</f>
        <v>132.19888500000002</v>
      </c>
      <c r="Q78" s="322">
        <f>+'GENERADO NO Sep Origen'!Q78+'RECH-RECUP_PS locales'!Q238</f>
        <v>135.90770700000002</v>
      </c>
      <c r="R78" s="322">
        <f>+'GENERADO NO Sep Origen'!R78+'RECH-RECUP_PS locales'!R238</f>
        <v>139.676199</v>
      </c>
      <c r="S78" s="322">
        <f>+'GENERADO NO Sep Origen'!S78+'RECH-RECUP_PS locales'!S238</f>
        <v>143.50701299999997</v>
      </c>
      <c r="T78" s="322">
        <f>+'GENERADO NO Sep Origen'!T78+'RECH-RECUP_PS locales'!T238</f>
        <v>147.39948600000002</v>
      </c>
      <c r="U78" s="322">
        <f>+'GENERADO NO Sep Origen'!U78+'RECH-RECUP_PS locales'!U238</f>
        <v>151.35626999999999</v>
      </c>
      <c r="V78" s="322">
        <f>+'GENERADO NO Sep Origen'!V78+'RECH-RECUP_PS locales'!V238</f>
        <v>155.377365</v>
      </c>
      <c r="W78" s="322">
        <f>+'GENERADO NO Sep Origen'!W78+'RECH-RECUP_PS locales'!W238</f>
        <v>159.46343400000001</v>
      </c>
      <c r="X78" s="322">
        <f>+'GENERADO NO Sep Origen'!X78+'RECH-RECUP_PS locales'!X238</f>
        <v>163.616466</v>
      </c>
      <c r="Y78" s="322">
        <f>+'GENERADO NO Sep Origen'!Y78+'RECH-RECUP_PS locales'!Y238</f>
        <v>167.83778699999999</v>
      </c>
      <c r="Z78" s="322">
        <f>+'GENERADO NO Sep Origen'!Z78+'RECH-RECUP_PS locales'!Z238</f>
        <v>172.127397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28"/>
      <c r="E79" s="278"/>
      <c r="F79" s="263"/>
      <c r="G79" s="322">
        <f>+'GENERADO NO Sep Origen'!G79+'RECH-RECUP_PS locales'!G239</f>
        <v>17.272074600000003</v>
      </c>
      <c r="H79" s="322">
        <f>+'GENERADO NO Sep Origen'!H79+'RECH-RECUP_PS locales'!H239</f>
        <v>16.168816</v>
      </c>
      <c r="I79" s="322">
        <f>+'GENERADO NO Sep Origen'!I79+'RECH-RECUP_PS locales'!I239</f>
        <v>15.048502000000003</v>
      </c>
      <c r="J79" s="322">
        <f>+'GENERADO NO Sep Origen'!J79+'RECH-RECUP_PS locales'!J239</f>
        <v>13.374285</v>
      </c>
      <c r="K79" s="322">
        <f>+'GENERADO NO Sep Origen'!K79+'RECH-RECUP_PS locales'!K239</f>
        <v>11.675105</v>
      </c>
      <c r="L79" s="322">
        <f>+'GENERADO NO Sep Origen'!L79+'RECH-RECUP_PS locales'!L239</f>
        <v>11.758474</v>
      </c>
      <c r="M79" s="322">
        <f>+'GENERADO NO Sep Origen'!M79+'RECH-RECUP_PS locales'!M239</f>
        <v>11.842532000000002</v>
      </c>
      <c r="N79" s="322">
        <f>+'GENERADO NO Sep Origen'!N79+'RECH-RECUP_PS locales'!N239</f>
        <v>11.925901000000001</v>
      </c>
      <c r="O79" s="322">
        <f>+'GENERADO NO Sep Origen'!O79+'RECH-RECUP_PS locales'!O239</f>
        <v>12.009270000000001</v>
      </c>
      <c r="P79" s="322">
        <f>+'GENERADO NO Sep Origen'!P79+'RECH-RECUP_PS locales'!P239</f>
        <v>12.093328000000003</v>
      </c>
      <c r="Q79" s="322">
        <f>+'GENERADO NO Sep Origen'!Q79+'RECH-RECUP_PS locales'!Q239</f>
        <v>12.176697000000001</v>
      </c>
      <c r="R79" s="322">
        <f>+'GENERADO NO Sep Origen'!R79+'RECH-RECUP_PS locales'!R239</f>
        <v>12.260755</v>
      </c>
      <c r="S79" s="322">
        <f>+'GENERADO NO Sep Origen'!S79+'RECH-RECUP_PS locales'!S239</f>
        <v>12.344124000000001</v>
      </c>
      <c r="T79" s="322">
        <f>+'GENERADO NO Sep Origen'!T79+'RECH-RECUP_PS locales'!T239</f>
        <v>12.428182000000001</v>
      </c>
      <c r="U79" s="322">
        <f>+'GENERADO NO Sep Origen'!U79+'RECH-RECUP_PS locales'!U239</f>
        <v>12.511551000000001</v>
      </c>
      <c r="V79" s="322">
        <f>+'GENERADO NO Sep Origen'!V79+'RECH-RECUP_PS locales'!V239</f>
        <v>12.59492</v>
      </c>
      <c r="W79" s="322">
        <f>+'GENERADO NO Sep Origen'!W79+'RECH-RECUP_PS locales'!W239</f>
        <v>12.678978000000003</v>
      </c>
      <c r="X79" s="322">
        <f>+'GENERADO NO Sep Origen'!X79+'RECH-RECUP_PS locales'!X239</f>
        <v>12.762347</v>
      </c>
      <c r="Y79" s="322">
        <f>+'GENERADO NO Sep Origen'!Y79+'RECH-RECUP_PS locales'!Y239</f>
        <v>12.846405000000001</v>
      </c>
      <c r="Z79" s="322">
        <f>+'GENERADO NO Sep Origen'!Z79+'RECH-RECUP_PS locales'!Z239</f>
        <v>12.929774000000004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28"/>
      <c r="E80" s="278"/>
      <c r="F80" s="263"/>
      <c r="G80" s="322">
        <f>+'GENERADO NO Sep Origen'!G80+'RECH-RECUP_PS locales'!G240</f>
        <v>23.5789686</v>
      </c>
      <c r="H80" s="322">
        <f>+'GENERADO NO Sep Origen'!H80+'RECH-RECUP_PS locales'!H240</f>
        <v>22.196527200000002</v>
      </c>
      <c r="I80" s="322">
        <f>+'GENERADO NO Sep Origen'!I80+'RECH-RECUP_PS locales'!I240</f>
        <v>20.774357000000002</v>
      </c>
      <c r="J80" s="322">
        <f>+'GENERADO NO Sep Origen'!J80+'RECH-RECUP_PS locales'!J240</f>
        <v>18.568020000000001</v>
      </c>
      <c r="K80" s="322">
        <f>+'GENERADO NO Sep Origen'!K80+'RECH-RECUP_PS locales'!K240</f>
        <v>16.301740000000002</v>
      </c>
      <c r="L80" s="322">
        <f>+'GENERADO NO Sep Origen'!L80+'RECH-RECUP_PS locales'!L240</f>
        <v>16.513263000000002</v>
      </c>
      <c r="M80" s="322">
        <f>+'GENERADO NO Sep Origen'!M80+'RECH-RECUP_PS locales'!M240</f>
        <v>16.728231000000001</v>
      </c>
      <c r="N80" s="322">
        <f>+'GENERADO NO Sep Origen'!N80+'RECH-RECUP_PS locales'!N240</f>
        <v>16.945266000000004</v>
      </c>
      <c r="O80" s="322">
        <f>+'GENERADO NO Sep Origen'!O80+'RECH-RECUP_PS locales'!O240</f>
        <v>17.165746000000002</v>
      </c>
      <c r="P80" s="322">
        <f>+'GENERADO NO Sep Origen'!P80+'RECH-RECUP_PS locales'!P240</f>
        <v>17.388982000000002</v>
      </c>
      <c r="Q80" s="322">
        <f>+'GENERADO NO Sep Origen'!Q80+'RECH-RECUP_PS locales'!Q240</f>
        <v>17.614974000000004</v>
      </c>
      <c r="R80" s="322">
        <f>+'GENERADO NO Sep Origen'!R80+'RECH-RECUP_PS locales'!R240</f>
        <v>17.843722000000003</v>
      </c>
      <c r="S80" s="322">
        <f>+'GENERADO NO Sep Origen'!S80+'RECH-RECUP_PS locales'!S240</f>
        <v>18.075915000000002</v>
      </c>
      <c r="T80" s="322">
        <f>+'GENERADO NO Sep Origen'!T80+'RECH-RECUP_PS locales'!T240</f>
        <v>18.310864000000002</v>
      </c>
      <c r="U80" s="322">
        <f>+'GENERADO NO Sep Origen'!U80+'RECH-RECUP_PS locales'!U240</f>
        <v>18.548569000000001</v>
      </c>
      <c r="V80" s="322">
        <f>+'GENERADO NO Sep Origen'!V80+'RECH-RECUP_PS locales'!V240</f>
        <v>18.789719000000002</v>
      </c>
      <c r="W80" s="322">
        <f>+'GENERADO NO Sep Origen'!W80+'RECH-RECUP_PS locales'!W240</f>
        <v>19.033625000000001</v>
      </c>
      <c r="X80" s="322">
        <f>+'GENERADO NO Sep Origen'!X80+'RECH-RECUP_PS locales'!X240</f>
        <v>19.280976000000003</v>
      </c>
      <c r="Y80" s="322">
        <f>+'GENERADO NO Sep Origen'!Y80+'RECH-RECUP_PS locales'!Y240</f>
        <v>19.531772</v>
      </c>
      <c r="Z80" s="322">
        <f>+'GENERADO NO Sep Origen'!Z80+'RECH-RECUP_PS locales'!Z240</f>
        <v>19.785324000000003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28"/>
      <c r="E81" s="278"/>
      <c r="F81" s="263"/>
      <c r="G81" s="322">
        <f>+'GENERADO NO Sep Origen'!G81+'RECH-RECUP_PS locales'!G241</f>
        <v>2.6467847999999998</v>
      </c>
      <c r="H81" s="322">
        <f>+'GENERADO NO Sep Origen'!H81+'RECH-RECUP_PS locales'!H241</f>
        <v>2.4647168000000002</v>
      </c>
      <c r="I81" s="322">
        <f>+'GENERADO NO Sep Origen'!I81+'RECH-RECUP_PS locales'!I241</f>
        <v>2.2810940000000004</v>
      </c>
      <c r="J81" s="322">
        <f>+'GENERADO NO Sep Origen'!J81+'RECH-RECUP_PS locales'!J241</f>
        <v>2.0168699999999999</v>
      </c>
      <c r="K81" s="322">
        <f>+'GENERADO NO Sep Origen'!K81+'RECH-RECUP_PS locales'!K241</f>
        <v>1.7515420000000004</v>
      </c>
      <c r="L81" s="322">
        <f>+'GENERADO NO Sep Origen'!L81+'RECH-RECUP_PS locales'!L241</f>
        <v>1.7551300000000003</v>
      </c>
      <c r="M81" s="322">
        <f>+'GENERADO NO Sep Origen'!M81+'RECH-RECUP_PS locales'!M241</f>
        <v>1.7581200000000001</v>
      </c>
      <c r="N81" s="322">
        <f>+'GENERADO NO Sep Origen'!N81+'RECH-RECUP_PS locales'!N241</f>
        <v>1.7617080000000003</v>
      </c>
      <c r="O81" s="322">
        <f>+'GENERADO NO Sep Origen'!O81+'RECH-RECUP_PS locales'!O241</f>
        <v>1.7652960000000002</v>
      </c>
      <c r="P81" s="322">
        <f>+'GENERADO NO Sep Origen'!P81+'RECH-RECUP_PS locales'!P241</f>
        <v>1.768286</v>
      </c>
      <c r="Q81" s="322">
        <f>+'GENERADO NO Sep Origen'!Q81+'RECH-RECUP_PS locales'!Q241</f>
        <v>1.7718740000000002</v>
      </c>
      <c r="R81" s="322">
        <f>+'GENERADO NO Sep Origen'!R81+'RECH-RECUP_PS locales'!R241</f>
        <v>1.7754620000000001</v>
      </c>
      <c r="S81" s="322">
        <f>+'GENERADO NO Sep Origen'!S81+'RECH-RECUP_PS locales'!S241</f>
        <v>1.7790500000000002</v>
      </c>
      <c r="T81" s="322">
        <f>+'GENERADO NO Sep Origen'!T81+'RECH-RECUP_PS locales'!T241</f>
        <v>1.7820400000000001</v>
      </c>
      <c r="U81" s="322">
        <f>+'GENERADO NO Sep Origen'!U81+'RECH-RECUP_PS locales'!U241</f>
        <v>1.7856280000000002</v>
      </c>
      <c r="V81" s="322">
        <f>+'GENERADO NO Sep Origen'!V81+'RECH-RECUP_PS locales'!V241</f>
        <v>1.7892160000000004</v>
      </c>
      <c r="W81" s="322">
        <f>+'GENERADO NO Sep Origen'!W81+'RECH-RECUP_PS locales'!W241</f>
        <v>1.7928040000000003</v>
      </c>
      <c r="X81" s="322">
        <f>+'GENERADO NO Sep Origen'!X81+'RECH-RECUP_PS locales'!X241</f>
        <v>1.7957940000000001</v>
      </c>
      <c r="Y81" s="322">
        <f>+'GENERADO NO Sep Origen'!Y81+'RECH-RECUP_PS locales'!Y241</f>
        <v>1.7993820000000003</v>
      </c>
      <c r="Z81" s="322">
        <f>+'GENERADO NO Sep Origen'!Z81+'RECH-RECUP_PS locales'!Z241</f>
        <v>1.8029700000000002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28"/>
      <c r="E82" s="278"/>
      <c r="F82" s="263"/>
      <c r="G82" s="322">
        <f>+'GENERADO NO Sep Origen'!G82+'RECH-RECUP_PS locales'!G242</f>
        <v>8.6334731999999992</v>
      </c>
      <c r="H82" s="322">
        <f>+'GENERADO NO Sep Origen'!H82+'RECH-RECUP_PS locales'!H242</f>
        <v>8.0695776000000006</v>
      </c>
      <c r="I82" s="322">
        <f>+'GENERADO NO Sep Origen'!I82+'RECH-RECUP_PS locales'!I242</f>
        <v>7.4985980000000003</v>
      </c>
      <c r="J82" s="322">
        <f>+'GENERADO NO Sep Origen'!J82+'RECH-RECUP_PS locales'!J242</f>
        <v>6.6543599999999996</v>
      </c>
      <c r="K82" s="322">
        <f>+'GENERADO NO Sep Origen'!K82+'RECH-RECUP_PS locales'!K242</f>
        <v>5.8005999999999993</v>
      </c>
      <c r="L82" s="322">
        <f>+'GENERADO NO Sep Origen'!L82+'RECH-RECUP_PS locales'!L242</f>
        <v>5.8340880000000013</v>
      </c>
      <c r="M82" s="322">
        <f>+'GENERADO NO Sep Origen'!M82+'RECH-RECUP_PS locales'!M242</f>
        <v>5.8675760000000015</v>
      </c>
      <c r="N82" s="322">
        <f>+'GENERADO NO Sep Origen'!N82+'RECH-RECUP_PS locales'!N242</f>
        <v>5.901662</v>
      </c>
      <c r="O82" s="322">
        <f>+'GENERADO NO Sep Origen'!O82+'RECH-RECUP_PS locales'!O242</f>
        <v>5.9357480000000002</v>
      </c>
      <c r="P82" s="322">
        <f>+'GENERADO NO Sep Origen'!P82+'RECH-RECUP_PS locales'!P242</f>
        <v>5.9698340000000005</v>
      </c>
      <c r="Q82" s="322">
        <f>+'GENERADO NO Sep Origen'!Q82+'RECH-RECUP_PS locales'!Q242</f>
        <v>6.0045180000000009</v>
      </c>
      <c r="R82" s="322">
        <f>+'GENERADO NO Sep Origen'!R82+'RECH-RECUP_PS locales'!R242</f>
        <v>6.0392019999999995</v>
      </c>
      <c r="S82" s="322">
        <f>+'GENERADO NO Sep Origen'!S82+'RECH-RECUP_PS locales'!S242</f>
        <v>6.0738859999999999</v>
      </c>
      <c r="T82" s="322">
        <f>+'GENERADO NO Sep Origen'!T82+'RECH-RECUP_PS locales'!T242</f>
        <v>6.1091680000000004</v>
      </c>
      <c r="U82" s="322">
        <f>+'GENERADO NO Sep Origen'!U82+'RECH-RECUP_PS locales'!U242</f>
        <v>6.14445</v>
      </c>
      <c r="V82" s="322">
        <f>+'GENERADO NO Sep Origen'!V82+'RECH-RECUP_PS locales'!V242</f>
        <v>6.1797320000000013</v>
      </c>
      <c r="W82" s="322">
        <f>+'GENERADO NO Sep Origen'!W82+'RECH-RECUP_PS locales'!W242</f>
        <v>6.2156120000000001</v>
      </c>
      <c r="X82" s="322">
        <f>+'GENERADO NO Sep Origen'!X82+'RECH-RECUP_PS locales'!X242</f>
        <v>6.2514920000000007</v>
      </c>
      <c r="Y82" s="322">
        <f>+'GENERADO NO Sep Origen'!Y82+'RECH-RECUP_PS locales'!Y242</f>
        <v>6.2873720000000013</v>
      </c>
      <c r="Z82" s="322">
        <f>+'GENERADO NO Sep Origen'!Z82+'RECH-RECUP_PS locales'!Z242</f>
        <v>6.3238500000000002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28"/>
      <c r="E83" s="278"/>
      <c r="F83" s="263"/>
      <c r="G83" s="322">
        <f>+'GENERADO NO Sep Origen'!G83+'RECH-RECUP_PS locales'!G243</f>
        <v>99.3299868</v>
      </c>
      <c r="H83" s="322">
        <f>+'GENERADO NO Sep Origen'!H83+'RECH-RECUP_PS locales'!H243</f>
        <v>92.926936800000007</v>
      </c>
      <c r="I83" s="322">
        <f>+'GENERADO NO Sep Origen'!I83+'RECH-RECUP_PS locales'!I243</f>
        <v>86.428629000000001</v>
      </c>
      <c r="J83" s="322">
        <f>+'GENERADO NO Sep Origen'!J83+'RECH-RECUP_PS locales'!J243</f>
        <v>76.765455000000003</v>
      </c>
      <c r="K83" s="322">
        <f>+'GENERADO NO Sep Origen'!K83+'RECH-RECUP_PS locales'!K243</f>
        <v>66.967641000000015</v>
      </c>
      <c r="L83" s="322">
        <f>+'GENERADO NO Sep Origen'!L83+'RECH-RECUP_PS locales'!L243</f>
        <v>67.405220999999997</v>
      </c>
      <c r="M83" s="322">
        <f>+'GENERADO NO Sep Origen'!M83+'RECH-RECUP_PS locales'!M243</f>
        <v>67.842801000000009</v>
      </c>
      <c r="N83" s="322">
        <f>+'GENERADO NO Sep Origen'!N83+'RECH-RECUP_PS locales'!N243</f>
        <v>68.280381000000006</v>
      </c>
      <c r="O83" s="322">
        <f>+'GENERADO NO Sep Origen'!O83+'RECH-RECUP_PS locales'!O243</f>
        <v>68.717961000000003</v>
      </c>
      <c r="P83" s="322">
        <f>+'GENERADO NO Sep Origen'!P83+'RECH-RECUP_PS locales'!P243</f>
        <v>69.155540999999999</v>
      </c>
      <c r="Q83" s="322">
        <f>+'GENERADO NO Sep Origen'!Q83+'RECH-RECUP_PS locales'!Q243</f>
        <v>69.593120999999996</v>
      </c>
      <c r="R83" s="322">
        <f>+'GENERADO NO Sep Origen'!R83+'RECH-RECUP_PS locales'!R243</f>
        <v>70.030701000000008</v>
      </c>
      <c r="S83" s="322">
        <f>+'GENERADO NO Sep Origen'!S83+'RECH-RECUP_PS locales'!S243</f>
        <v>70.468943999999993</v>
      </c>
      <c r="T83" s="322">
        <f>+'GENERADO NO Sep Origen'!T83+'RECH-RECUP_PS locales'!T243</f>
        <v>70.906524000000005</v>
      </c>
      <c r="U83" s="322">
        <f>+'GENERADO NO Sep Origen'!U83+'RECH-RECUP_PS locales'!U243</f>
        <v>71.344104000000002</v>
      </c>
      <c r="V83" s="322">
        <f>+'GENERADO NO Sep Origen'!V83+'RECH-RECUP_PS locales'!V243</f>
        <v>71.781684000000013</v>
      </c>
      <c r="W83" s="322">
        <f>+'GENERADO NO Sep Origen'!W83+'RECH-RECUP_PS locales'!W243</f>
        <v>72.21926400000001</v>
      </c>
      <c r="X83" s="322">
        <f>+'GENERADO NO Sep Origen'!X83+'RECH-RECUP_PS locales'!X243</f>
        <v>72.656844000000007</v>
      </c>
      <c r="Y83" s="322">
        <f>+'GENERADO NO Sep Origen'!Y83+'RECH-RECUP_PS locales'!Y243</f>
        <v>73.094424000000004</v>
      </c>
      <c r="Z83" s="322">
        <f>+'GENERADO NO Sep Origen'!Z83+'RECH-RECUP_PS locales'!Z243</f>
        <v>73.532004000000001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28"/>
      <c r="E84" s="278"/>
      <c r="F84" s="263"/>
      <c r="G84" s="322">
        <f>+'GENERADO NO Sep Origen'!G84+'RECH-RECUP_PS locales'!G244</f>
        <v>100.69321680000002</v>
      </c>
      <c r="H84" s="322">
        <f>+'GENERADO NO Sep Origen'!H84+'RECH-RECUP_PS locales'!H244</f>
        <v>96.170985600000009</v>
      </c>
      <c r="I84" s="322">
        <f>+'GENERADO NO Sep Origen'!I84+'RECH-RECUP_PS locales'!I244</f>
        <v>91.251750000000001</v>
      </c>
      <c r="J84" s="322">
        <f>+'GENERADO NO Sep Origen'!J84+'RECH-RECUP_PS locales'!J244</f>
        <v>82.633769999999998</v>
      </c>
      <c r="K84" s="322">
        <f>+'GENERADO NO Sep Origen'!K84+'RECH-RECUP_PS locales'!K244</f>
        <v>73.450455000000005</v>
      </c>
      <c r="L84" s="322">
        <f>+'GENERADO NO Sep Origen'!L84+'RECH-RECUP_PS locales'!L244</f>
        <v>75.698688000000004</v>
      </c>
      <c r="M84" s="322">
        <f>+'GENERADO NO Sep Origen'!M84+'RECH-RECUP_PS locales'!M244</f>
        <v>77.947584000000006</v>
      </c>
      <c r="N84" s="322">
        <f>+'GENERADO NO Sep Origen'!N84+'RECH-RECUP_PS locales'!N244</f>
        <v>80.195817000000005</v>
      </c>
      <c r="O84" s="322">
        <f>+'GENERADO NO Sep Origen'!O84+'RECH-RECUP_PS locales'!O244</f>
        <v>82.444050000000004</v>
      </c>
      <c r="P84" s="322">
        <f>+'GENERADO NO Sep Origen'!P84+'RECH-RECUP_PS locales'!P244</f>
        <v>84.692946000000006</v>
      </c>
      <c r="Q84" s="322">
        <f>+'GENERADO NO Sep Origen'!Q84+'RECH-RECUP_PS locales'!Q244</f>
        <v>86.941179000000005</v>
      </c>
      <c r="R84" s="322">
        <f>+'GENERADO NO Sep Origen'!R84+'RECH-RECUP_PS locales'!R244</f>
        <v>89.190075000000007</v>
      </c>
      <c r="S84" s="322">
        <f>+'GENERADO NO Sep Origen'!S84+'RECH-RECUP_PS locales'!S244</f>
        <v>91.438308000000006</v>
      </c>
      <c r="T84" s="322">
        <f>+'GENERADO NO Sep Origen'!T84+'RECH-RECUP_PS locales'!T244</f>
        <v>93.68654100000002</v>
      </c>
      <c r="U84" s="322">
        <f>+'GENERADO NO Sep Origen'!U84+'RECH-RECUP_PS locales'!U244</f>
        <v>95.935437000000007</v>
      </c>
      <c r="V84" s="322">
        <f>+'GENERADO NO Sep Origen'!V84+'RECH-RECUP_PS locales'!V244</f>
        <v>98.183669999999992</v>
      </c>
      <c r="W84" s="322">
        <f>+'GENERADO NO Sep Origen'!W84+'RECH-RECUP_PS locales'!W244</f>
        <v>100.43256600000001</v>
      </c>
      <c r="X84" s="322">
        <f>+'GENERADO NO Sep Origen'!X84+'RECH-RECUP_PS locales'!X244</f>
        <v>102.68079900000001</v>
      </c>
      <c r="Y84" s="322">
        <f>+'GENERADO NO Sep Origen'!Y84+'RECH-RECUP_PS locales'!Y244</f>
        <v>104.929695</v>
      </c>
      <c r="Z84" s="322">
        <f>+'GENERADO NO Sep Origen'!Z84+'RECH-RECUP_PS locales'!Z244</f>
        <v>107.17792800000001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28"/>
      <c r="E85" s="278"/>
      <c r="F85" s="263"/>
      <c r="G85" s="322">
        <f>+'GENERADO NO Sep Origen'!G85+'RECH-RECUP_PS locales'!G245</f>
        <v>64.1051334</v>
      </c>
      <c r="H85" s="322">
        <f>+'GENERADO NO Sep Origen'!H85+'RECH-RECUP_PS locales'!H245</f>
        <v>60.654422400000001</v>
      </c>
      <c r="I85" s="322">
        <f>+'GENERADO NO Sep Origen'!I85+'RECH-RECUP_PS locales'!I245</f>
        <v>57.037329000000014</v>
      </c>
      <c r="J85" s="322">
        <f>+'GENERADO NO Sep Origen'!J85+'RECH-RECUP_PS locales'!J245</f>
        <v>51.208334999999991</v>
      </c>
      <c r="K85" s="322">
        <f>+'GENERADO NO Sep Origen'!K85+'RECH-RECUP_PS locales'!K245</f>
        <v>45.144996000000006</v>
      </c>
      <c r="L85" s="322">
        <f>+'GENERADO NO Sep Origen'!L85+'RECH-RECUP_PS locales'!L245</f>
        <v>45.908772000000006</v>
      </c>
      <c r="M85" s="322">
        <f>+'GENERADO NO Sep Origen'!M85+'RECH-RECUP_PS locales'!M245</f>
        <v>46.671884999999996</v>
      </c>
      <c r="N85" s="322">
        <f>+'GENERADO NO Sep Origen'!N85+'RECH-RECUP_PS locales'!N245</f>
        <v>47.436323999999999</v>
      </c>
      <c r="O85" s="322">
        <f>+'GENERADO NO Sep Origen'!O85+'RECH-RECUP_PS locales'!O245</f>
        <v>48.200099999999999</v>
      </c>
      <c r="P85" s="322">
        <f>+'GENERADO NO Sep Origen'!P85+'RECH-RECUP_PS locales'!P245</f>
        <v>48.963876000000006</v>
      </c>
      <c r="Q85" s="322">
        <f>+'GENERADO NO Sep Origen'!Q85+'RECH-RECUP_PS locales'!Q245</f>
        <v>49.728315000000002</v>
      </c>
      <c r="R85" s="322">
        <f>+'GENERADO NO Sep Origen'!R85+'RECH-RECUP_PS locales'!R245</f>
        <v>50.491427999999999</v>
      </c>
      <c r="S85" s="322">
        <f>+'GENERADO NO Sep Origen'!S85+'RECH-RECUP_PS locales'!S245</f>
        <v>51.255204000000006</v>
      </c>
      <c r="T85" s="322">
        <f>+'GENERADO NO Sep Origen'!T85+'RECH-RECUP_PS locales'!T245</f>
        <v>52.019643000000002</v>
      </c>
      <c r="U85" s="322">
        <f>+'GENERADO NO Sep Origen'!U85+'RECH-RECUP_PS locales'!U245</f>
        <v>52.783418999999995</v>
      </c>
      <c r="V85" s="322">
        <f>+'GENERADO NO Sep Origen'!V85+'RECH-RECUP_PS locales'!V245</f>
        <v>53.547195000000002</v>
      </c>
      <c r="W85" s="322">
        <f>+'GENERADO NO Sep Origen'!W85+'RECH-RECUP_PS locales'!W245</f>
        <v>54.310971000000002</v>
      </c>
      <c r="X85" s="322">
        <f>+'GENERADO NO Sep Origen'!X85+'RECH-RECUP_PS locales'!X245</f>
        <v>55.074747000000009</v>
      </c>
      <c r="Y85" s="322">
        <f>+'GENERADO NO Sep Origen'!Y85+'RECH-RECUP_PS locales'!Y245</f>
        <v>55.838522999999995</v>
      </c>
      <c r="Z85" s="322">
        <f>+'GENERADO NO Sep Origen'!Z85+'RECH-RECUP_PS locales'!Z245</f>
        <v>56.602962000000005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28"/>
      <c r="E86" s="278"/>
      <c r="F86" s="263"/>
      <c r="G86" s="322">
        <f>+'GENERADO NO Sep Origen'!G86+'RECH-RECUP_PS locales'!G246</f>
        <v>1073.3284484999999</v>
      </c>
      <c r="H86" s="322">
        <f>+'GENERADO NO Sep Origen'!H86+'RECH-RECUP_PS locales'!H246</f>
        <v>1008.6352655999999</v>
      </c>
      <c r="I86" s="322">
        <f>+'GENERADO NO Sep Origen'!I86+'RECH-RECUP_PS locales'!I246</f>
        <v>942.35298449999982</v>
      </c>
      <c r="J86" s="322">
        <f>+'GENERADO NO Sep Origen'!J86+'RECH-RECUP_PS locales'!J246</f>
        <v>840.82353750000004</v>
      </c>
      <c r="K86" s="322">
        <f>+'GENERADO NO Sep Origen'!K86+'RECH-RECUP_PS locales'!K246</f>
        <v>736.89441150000005</v>
      </c>
      <c r="L86" s="322">
        <f>+'GENERADO NO Sep Origen'!L86+'RECH-RECUP_PS locales'!L246</f>
        <v>745.16765700000019</v>
      </c>
      <c r="M86" s="322">
        <f>+'GENERADO NO Sep Origen'!M86+'RECH-RECUP_PS locales'!M246</f>
        <v>753.53346899999997</v>
      </c>
      <c r="N86" s="322">
        <f>+'GENERADO NO Sep Origen'!N86+'RECH-RECUP_PS locales'!N246</f>
        <v>761.9936805000001</v>
      </c>
      <c r="O86" s="322">
        <f>+'GENERADO NO Sep Origen'!O86+'RECH-RECUP_PS locales'!O246</f>
        <v>770.54829149999989</v>
      </c>
      <c r="P86" s="322">
        <f>+'GENERADO NO Sep Origen'!P86+'RECH-RECUP_PS locales'!P246</f>
        <v>779.19913499999984</v>
      </c>
      <c r="Q86" s="322">
        <f>+'GENERADO NO Sep Origen'!Q86+'RECH-RECUP_PS locales'!Q246</f>
        <v>787.94712749999997</v>
      </c>
      <c r="R86" s="322">
        <f>+'GENERADO NO Sep Origen'!R86+'RECH-RECUP_PS locales'!R246</f>
        <v>796.79318549999994</v>
      </c>
      <c r="S86" s="322">
        <f>+'GENERADO NO Sep Origen'!S86+'RECH-RECUP_PS locales'!S246</f>
        <v>805.7382255</v>
      </c>
      <c r="T86" s="322">
        <f>+'GENERADO NO Sep Origen'!T86+'RECH-RECUP_PS locales'!T246</f>
        <v>814.78408050000007</v>
      </c>
      <c r="U86" s="322">
        <f>+'GENERADO NO Sep Origen'!U86+'RECH-RECUP_PS locales'!U246</f>
        <v>823.93166700000006</v>
      </c>
      <c r="V86" s="322">
        <f>+'GENERADO NO Sep Origen'!V86+'RECH-RECUP_PS locales'!V246</f>
        <v>833.18190149999998</v>
      </c>
      <c r="W86" s="322">
        <f>+'GENERADO NO Sep Origen'!W86+'RECH-RECUP_PS locales'!W246</f>
        <v>842.53661699999998</v>
      </c>
      <c r="X86" s="322">
        <f>+'GENERADO NO Sep Origen'!X86+'RECH-RECUP_PS locales'!X246</f>
        <v>851.99489700000004</v>
      </c>
      <c r="Y86" s="322">
        <f>+'GENERADO NO Sep Origen'!Y86+'RECH-RECUP_PS locales'!Y246</f>
        <v>861.56040749999988</v>
      </c>
      <c r="Z86" s="322">
        <f>+'GENERADO NO Sep Origen'!Z86+'RECH-RECUP_PS locales'!Z246</f>
        <v>871.23314849999997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28"/>
      <c r="E87" s="278"/>
      <c r="F87" s="263"/>
      <c r="G87" s="322">
        <f>+'GENERADO NO Sep Origen'!G87+'RECH-RECUP_PS locales'!G247</f>
        <v>9.2464416000000007</v>
      </c>
      <c r="H87" s="322">
        <f>+'GENERADO NO Sep Origen'!H87+'RECH-RECUP_PS locales'!H247</f>
        <v>8.6671360000000011</v>
      </c>
      <c r="I87" s="322">
        <f>+'GENERADO NO Sep Origen'!I87+'RECH-RECUP_PS locales'!I247</f>
        <v>8.0772779999999997</v>
      </c>
      <c r="J87" s="322">
        <f>+'GENERADO NO Sep Origen'!J87+'RECH-RECUP_PS locales'!J247</f>
        <v>7.1891100000000003</v>
      </c>
      <c r="K87" s="322">
        <f>+'GENERADO NO Sep Origen'!K87+'RECH-RECUP_PS locales'!K247</f>
        <v>6.2843820000000008</v>
      </c>
      <c r="L87" s="322">
        <f>+'GENERADO NO Sep Origen'!L87+'RECH-RECUP_PS locales'!L247</f>
        <v>6.3393980000000001</v>
      </c>
      <c r="M87" s="322">
        <f>+'GENERADO NO Sep Origen'!M87+'RECH-RECUP_PS locales'!M247</f>
        <v>6.3944140000000012</v>
      </c>
      <c r="N87" s="322">
        <f>+'GENERADO NO Sep Origen'!N87+'RECH-RECUP_PS locales'!N247</f>
        <v>6.4500280000000005</v>
      </c>
      <c r="O87" s="322">
        <f>+'GENERADO NO Sep Origen'!O87+'RECH-RECUP_PS locales'!O247</f>
        <v>6.5056419999999999</v>
      </c>
      <c r="P87" s="322">
        <f>+'GENERADO NO Sep Origen'!P87+'RECH-RECUP_PS locales'!P247</f>
        <v>6.5624520000000004</v>
      </c>
      <c r="Q87" s="322">
        <f>+'GENERADO NO Sep Origen'!Q87+'RECH-RECUP_PS locales'!Q247</f>
        <v>6.619262</v>
      </c>
      <c r="R87" s="322">
        <f>+'GENERADO NO Sep Origen'!R87+'RECH-RECUP_PS locales'!R247</f>
        <v>6.6766700000000005</v>
      </c>
      <c r="S87" s="322">
        <f>+'GENERADO NO Sep Origen'!S87+'RECH-RECUP_PS locales'!S247</f>
        <v>6.7346760000000003</v>
      </c>
      <c r="T87" s="322">
        <f>+'GENERADO NO Sep Origen'!T87+'RECH-RECUP_PS locales'!T247</f>
        <v>6.7932800000000002</v>
      </c>
      <c r="U87" s="322">
        <f>+'GENERADO NO Sep Origen'!U87+'RECH-RECUP_PS locales'!U247</f>
        <v>6.8524820000000002</v>
      </c>
      <c r="V87" s="322">
        <f>+'GENERADO NO Sep Origen'!V87+'RECH-RECUP_PS locales'!V247</f>
        <v>6.9116840000000002</v>
      </c>
      <c r="W87" s="322">
        <f>+'GENERADO NO Sep Origen'!W87+'RECH-RECUP_PS locales'!W247</f>
        <v>6.9720820000000003</v>
      </c>
      <c r="X87" s="322">
        <f>+'GENERADO NO Sep Origen'!X87+'RECH-RECUP_PS locales'!X247</f>
        <v>7.0324800000000005</v>
      </c>
      <c r="Y87" s="322">
        <f>+'GENERADO NO Sep Origen'!Y87+'RECH-RECUP_PS locales'!Y247</f>
        <v>7.0934760000000008</v>
      </c>
      <c r="Z87" s="322">
        <f>+'GENERADO NO Sep Origen'!Z87+'RECH-RECUP_PS locales'!Z247</f>
        <v>7.1550700000000012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28"/>
      <c r="E88" s="278"/>
      <c r="F88" s="263"/>
      <c r="G88" s="322">
        <f>+'GENERADO NO Sep Origen'!G88+'RECH-RECUP_PS locales'!G248</f>
        <v>26.002033200000003</v>
      </c>
      <c r="H88" s="322">
        <f>+'GENERADO NO Sep Origen'!H88+'RECH-RECUP_PS locales'!H248</f>
        <v>24.451189600000003</v>
      </c>
      <c r="I88" s="322">
        <f>+'GENERADO NO Sep Origen'!I88+'RECH-RECUP_PS locales'!I248</f>
        <v>22.856568000000003</v>
      </c>
      <c r="J88" s="322">
        <f>+'GENERADO NO Sep Origen'!J88+'RECH-RECUP_PS locales'!J248</f>
        <v>20.401290000000003</v>
      </c>
      <c r="K88" s="322">
        <f>+'GENERADO NO Sep Origen'!K88+'RECH-RECUP_PS locales'!K248</f>
        <v>17.884373000000004</v>
      </c>
      <c r="L88" s="322">
        <f>+'GENERADO NO Sep Origen'!L88+'RECH-RECUP_PS locales'!L248</f>
        <v>18.153083000000002</v>
      </c>
      <c r="M88" s="322">
        <f>+'GENERADO NO Sep Origen'!M88+'RECH-RECUP_PS locales'!M248</f>
        <v>18.422482000000002</v>
      </c>
      <c r="N88" s="322">
        <f>+'GENERADO NO Sep Origen'!N88+'RECH-RECUP_PS locales'!N248</f>
        <v>18.691192000000001</v>
      </c>
      <c r="O88" s="322">
        <f>+'GENERADO NO Sep Origen'!O88+'RECH-RECUP_PS locales'!O248</f>
        <v>18.960591000000001</v>
      </c>
      <c r="P88" s="322">
        <f>+'GENERADO NO Sep Origen'!P88+'RECH-RECUP_PS locales'!P248</f>
        <v>19.229301</v>
      </c>
      <c r="Q88" s="322">
        <f>+'GENERADO NO Sep Origen'!Q88+'RECH-RECUP_PS locales'!Q248</f>
        <v>19.498699999999999</v>
      </c>
      <c r="R88" s="322">
        <f>+'GENERADO NO Sep Origen'!R88+'RECH-RECUP_PS locales'!R248</f>
        <v>19.767410000000002</v>
      </c>
      <c r="S88" s="322">
        <f>+'GENERADO NO Sep Origen'!S88+'RECH-RECUP_PS locales'!S248</f>
        <v>20.036809000000002</v>
      </c>
      <c r="T88" s="322">
        <f>+'GENERADO NO Sep Origen'!T88+'RECH-RECUP_PS locales'!T248</f>
        <v>20.305519000000004</v>
      </c>
      <c r="U88" s="322">
        <f>+'GENERADO NO Sep Origen'!U88+'RECH-RECUP_PS locales'!U248</f>
        <v>20.574918</v>
      </c>
      <c r="V88" s="322">
        <f>+'GENERADO NO Sep Origen'!V88+'RECH-RECUP_PS locales'!V248</f>
        <v>20.843628000000002</v>
      </c>
      <c r="W88" s="322">
        <f>+'GENERADO NO Sep Origen'!W88+'RECH-RECUP_PS locales'!W248</f>
        <v>21.113027000000002</v>
      </c>
      <c r="X88" s="322">
        <f>+'GENERADO NO Sep Origen'!X88+'RECH-RECUP_PS locales'!X248</f>
        <v>21.381737000000001</v>
      </c>
      <c r="Y88" s="322">
        <f>+'GENERADO NO Sep Origen'!Y88+'RECH-RECUP_PS locales'!Y248</f>
        <v>21.651136000000001</v>
      </c>
      <c r="Z88" s="322">
        <f>+'GENERADO NO Sep Origen'!Z88+'RECH-RECUP_PS locales'!Z248</f>
        <v>21.919846000000003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28"/>
      <c r="E89" s="278"/>
      <c r="F89" s="263"/>
      <c r="G89" s="322">
        <f>+'GENERADO NO Sep Origen'!G89+'RECH-RECUP_PS locales'!G249</f>
        <v>9.2601036000000008</v>
      </c>
      <c r="H89" s="322">
        <f>+'GENERADO NO Sep Origen'!H89+'RECH-RECUP_PS locales'!H249</f>
        <v>8.6755999999999993</v>
      </c>
      <c r="I89" s="322">
        <f>+'GENERADO NO Sep Origen'!I89+'RECH-RECUP_PS locales'!I249</f>
        <v>8.080406</v>
      </c>
      <c r="J89" s="322">
        <f>+'GENERADO NO Sep Origen'!J89+'RECH-RECUP_PS locales'!J249</f>
        <v>7.1877300000000002</v>
      </c>
      <c r="K89" s="322">
        <f>+'GENERADO NO Sep Origen'!K89+'RECH-RECUP_PS locales'!K249</f>
        <v>6.2789999999999999</v>
      </c>
      <c r="L89" s="322">
        <f>+'GENERADO NO Sep Origen'!L89+'RECH-RECUP_PS locales'!L249</f>
        <v>6.3292320000000002</v>
      </c>
      <c r="M89" s="322">
        <f>+'GENERADO NO Sep Origen'!M89+'RECH-RECUP_PS locales'!M249</f>
        <v>6.3788660000000004</v>
      </c>
      <c r="N89" s="322">
        <f>+'GENERADO NO Sep Origen'!N89+'RECH-RECUP_PS locales'!N249</f>
        <v>6.4290979999999998</v>
      </c>
      <c r="O89" s="322">
        <f>+'GENERADO NO Sep Origen'!O89+'RECH-RECUP_PS locales'!O249</f>
        <v>6.4787320000000008</v>
      </c>
      <c r="P89" s="322">
        <f>+'GENERADO NO Sep Origen'!P89+'RECH-RECUP_PS locales'!P249</f>
        <v>6.5289640000000002</v>
      </c>
      <c r="Q89" s="322">
        <f>+'GENERADO NO Sep Origen'!Q89+'RECH-RECUP_PS locales'!Q249</f>
        <v>6.5785980000000004</v>
      </c>
      <c r="R89" s="322">
        <f>+'GENERADO NO Sep Origen'!R89+'RECH-RECUP_PS locales'!R249</f>
        <v>6.6282320000000006</v>
      </c>
      <c r="S89" s="322">
        <f>+'GENERADO NO Sep Origen'!S89+'RECH-RECUP_PS locales'!S249</f>
        <v>6.6784640000000008</v>
      </c>
      <c r="T89" s="322">
        <f>+'GENERADO NO Sep Origen'!T89+'RECH-RECUP_PS locales'!T249</f>
        <v>6.728098000000001</v>
      </c>
      <c r="U89" s="322">
        <f>+'GENERADO NO Sep Origen'!U89+'RECH-RECUP_PS locales'!U249</f>
        <v>6.7783300000000004</v>
      </c>
      <c r="V89" s="322">
        <f>+'GENERADO NO Sep Origen'!V89+'RECH-RECUP_PS locales'!V249</f>
        <v>6.8279640000000015</v>
      </c>
      <c r="W89" s="322">
        <f>+'GENERADO NO Sep Origen'!W89+'RECH-RECUP_PS locales'!W249</f>
        <v>6.878196</v>
      </c>
      <c r="X89" s="322">
        <f>+'GENERADO NO Sep Origen'!X89+'RECH-RECUP_PS locales'!X249</f>
        <v>6.9278300000000002</v>
      </c>
      <c r="Y89" s="322">
        <f>+'GENERADO NO Sep Origen'!Y89+'RECH-RECUP_PS locales'!Y249</f>
        <v>6.9780619999999995</v>
      </c>
      <c r="Z89" s="322">
        <f>+'GENERADO NO Sep Origen'!Z89+'RECH-RECUP_PS locales'!Z249</f>
        <v>7.0276960000000006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28"/>
      <c r="E90" s="278"/>
      <c r="F90" s="263"/>
      <c r="G90" s="322">
        <f>+'GENERADO NO Sep Origen'!G90+'RECH-RECUP_PS locales'!G250</f>
        <v>31.672990800000001</v>
      </c>
      <c r="H90" s="322">
        <f>+'GENERADO NO Sep Origen'!H90+'RECH-RECUP_PS locales'!H250</f>
        <v>29.569039200000006</v>
      </c>
      <c r="I90" s="322">
        <f>+'GENERADO NO Sep Origen'!I90+'RECH-RECUP_PS locales'!I250</f>
        <v>27.444460000000003</v>
      </c>
      <c r="J90" s="322">
        <f>+'GENERADO NO Sep Origen'!J90+'RECH-RECUP_PS locales'!J250</f>
        <v>24.326999999999998</v>
      </c>
      <c r="K90" s="322">
        <f>+'GENERADO NO Sep Origen'!K90+'RECH-RECUP_PS locales'!K250</f>
        <v>21.179860000000001</v>
      </c>
      <c r="L90" s="322">
        <f>+'GENERADO NO Sep Origen'!L90+'RECH-RECUP_PS locales'!L250</f>
        <v>21.277009</v>
      </c>
      <c r="M90" s="322">
        <f>+'GENERADO NO Sep Origen'!M90+'RECH-RECUP_PS locales'!M250</f>
        <v>21.374847000000006</v>
      </c>
      <c r="N90" s="322">
        <f>+'GENERADO NO Sep Origen'!N90+'RECH-RECUP_PS locales'!N250</f>
        <v>21.472684999999998</v>
      </c>
      <c r="O90" s="322">
        <f>+'GENERADO NO Sep Origen'!O90+'RECH-RECUP_PS locales'!O250</f>
        <v>21.571212000000003</v>
      </c>
      <c r="P90" s="322">
        <f>+'GENERADO NO Sep Origen'!P90+'RECH-RECUP_PS locales'!P250</f>
        <v>21.669739000000007</v>
      </c>
      <c r="Q90" s="322">
        <f>+'GENERADO NO Sep Origen'!Q90+'RECH-RECUP_PS locales'!Q250</f>
        <v>21.769644</v>
      </c>
      <c r="R90" s="322">
        <f>+'GENERADO NO Sep Origen'!R90+'RECH-RECUP_PS locales'!R250</f>
        <v>21.869548999999999</v>
      </c>
      <c r="S90" s="322">
        <f>+'GENERADO NO Sep Origen'!S90+'RECH-RECUP_PS locales'!S250</f>
        <v>21.969453999999999</v>
      </c>
      <c r="T90" s="322">
        <f>+'GENERADO NO Sep Origen'!T90+'RECH-RECUP_PS locales'!T250</f>
        <v>22.070737000000005</v>
      </c>
      <c r="U90" s="322">
        <f>+'GENERADO NO Sep Origen'!U90+'RECH-RECUP_PS locales'!U250</f>
        <v>22.172020000000003</v>
      </c>
      <c r="V90" s="322">
        <f>+'GENERADO NO Sep Origen'!V90+'RECH-RECUP_PS locales'!V250</f>
        <v>22.273303000000002</v>
      </c>
      <c r="W90" s="322">
        <f>+'GENERADO NO Sep Origen'!W90+'RECH-RECUP_PS locales'!W250</f>
        <v>22.375274999999998</v>
      </c>
      <c r="X90" s="322">
        <f>+'GENERADO NO Sep Origen'!X90+'RECH-RECUP_PS locales'!X250</f>
        <v>22.477936</v>
      </c>
      <c r="Y90" s="322">
        <f>+'GENERADO NO Sep Origen'!Y90+'RECH-RECUP_PS locales'!Y250</f>
        <v>22.581285999999999</v>
      </c>
      <c r="Z90" s="322">
        <f>+'GENERADO NO Sep Origen'!Z90+'RECH-RECUP_PS locales'!Z250</f>
        <v>22.684636000000005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28"/>
      <c r="E91" s="278"/>
      <c r="F91" s="263"/>
      <c r="G91" s="322">
        <f>+'GENERADO NO Sep Origen'!G91+'RECH-RECUP_PS locales'!G251</f>
        <v>13.272177600000001</v>
      </c>
      <c r="H91" s="322">
        <f>+'GENERADO NO Sep Origen'!H91+'RECH-RECUP_PS locales'!H251</f>
        <v>12.421766399999999</v>
      </c>
      <c r="I91" s="322">
        <f>+'GENERADO NO Sep Origen'!I91+'RECH-RECUP_PS locales'!I251</f>
        <v>11.55796</v>
      </c>
      <c r="J91" s="322">
        <f>+'GENERADO NO Sep Origen'!J91+'RECH-RECUP_PS locales'!J251</f>
        <v>10.27134</v>
      </c>
      <c r="K91" s="322">
        <f>+'GENERADO NO Sep Origen'!K91+'RECH-RECUP_PS locales'!K251</f>
        <v>8.9652160000000016</v>
      </c>
      <c r="L91" s="322">
        <f>+'GENERADO NO Sep Origen'!L91+'RECH-RECUP_PS locales'!L251</f>
        <v>9.0292020000000015</v>
      </c>
      <c r="M91" s="322">
        <f>+'GENERADO NO Sep Origen'!M91+'RECH-RECUP_PS locales'!M251</f>
        <v>9.0937860000000015</v>
      </c>
      <c r="N91" s="322">
        <f>+'GENERADO NO Sep Origen'!N91+'RECH-RECUP_PS locales'!N251</f>
        <v>9.1583700000000015</v>
      </c>
      <c r="O91" s="322">
        <f>+'GENERADO NO Sep Origen'!O91+'RECH-RECUP_PS locales'!O251</f>
        <v>9.2235520000000015</v>
      </c>
      <c r="P91" s="322">
        <f>+'GENERADO NO Sep Origen'!P91+'RECH-RECUP_PS locales'!P251</f>
        <v>9.2893320000000017</v>
      </c>
      <c r="Q91" s="322">
        <f>+'GENERADO NO Sep Origen'!Q91+'RECH-RECUP_PS locales'!Q251</f>
        <v>9.355710000000002</v>
      </c>
      <c r="R91" s="322">
        <f>+'GENERADO NO Sep Origen'!R91+'RECH-RECUP_PS locales'!R251</f>
        <v>9.4226860000000006</v>
      </c>
      <c r="S91" s="322">
        <f>+'GENERADO NO Sep Origen'!S91+'RECH-RECUP_PS locales'!S251</f>
        <v>9.4896620000000009</v>
      </c>
      <c r="T91" s="322">
        <f>+'GENERADO NO Sep Origen'!T91+'RECH-RECUP_PS locales'!T251</f>
        <v>9.5572359999999996</v>
      </c>
      <c r="U91" s="322">
        <f>+'GENERADO NO Sep Origen'!U91+'RECH-RECUP_PS locales'!U251</f>
        <v>9.625408000000002</v>
      </c>
      <c r="V91" s="322">
        <f>+'GENERADO NO Sep Origen'!V91+'RECH-RECUP_PS locales'!V251</f>
        <v>9.6941780000000008</v>
      </c>
      <c r="W91" s="322">
        <f>+'GENERADO NO Sep Origen'!W91+'RECH-RECUP_PS locales'!W251</f>
        <v>9.7635459999999998</v>
      </c>
      <c r="X91" s="322">
        <f>+'GENERADO NO Sep Origen'!X91+'RECH-RECUP_PS locales'!X251</f>
        <v>9.8329140000000006</v>
      </c>
      <c r="Y91" s="322">
        <f>+'GENERADO NO Sep Origen'!Y91+'RECH-RECUP_PS locales'!Y251</f>
        <v>9.9034780000000016</v>
      </c>
      <c r="Z91" s="322">
        <f>+'GENERADO NO Sep Origen'!Z91+'RECH-RECUP_PS locales'!Z251</f>
        <v>9.9740420000000007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28"/>
      <c r="E92" s="278"/>
      <c r="F92" s="263"/>
      <c r="G92" s="322">
        <f>+'GENERADO NO Sep Origen'!G92+'RECH-RECUP_PS locales'!G252</f>
        <v>37.660867199999998</v>
      </c>
      <c r="H92" s="322">
        <f>+'GENERADO NO Sep Origen'!H92+'RECH-RECUP_PS locales'!H252</f>
        <v>35.401710399999999</v>
      </c>
      <c r="I92" s="322">
        <f>+'GENERADO NO Sep Origen'!I92+'RECH-RECUP_PS locales'!I252</f>
        <v>33.085621000000003</v>
      </c>
      <c r="J92" s="322">
        <f>+'GENERADO NO Sep Origen'!J92+'RECH-RECUP_PS locales'!J252</f>
        <v>29.530275000000003</v>
      </c>
      <c r="K92" s="322">
        <f>+'GENERADO NO Sep Origen'!K92+'RECH-RECUP_PS locales'!K252</f>
        <v>25.888486</v>
      </c>
      <c r="L92" s="322">
        <f>+'GENERADO NO Sep Origen'!L92+'RECH-RECUP_PS locales'!L252</f>
        <v>26.187512000000002</v>
      </c>
      <c r="M92" s="322">
        <f>+'GENERADO NO Sep Origen'!M92+'RECH-RECUP_PS locales'!M252</f>
        <v>26.489294000000001</v>
      </c>
      <c r="N92" s="322">
        <f>+'GENERADO NO Sep Origen'!N92+'RECH-RECUP_PS locales'!N252</f>
        <v>26.795209999999997</v>
      </c>
      <c r="O92" s="322">
        <f>+'GENERADO NO Sep Origen'!O92+'RECH-RECUP_PS locales'!O252</f>
        <v>27.104571000000007</v>
      </c>
      <c r="P92" s="322">
        <f>+'GENERADO NO Sep Origen'!P92+'RECH-RECUP_PS locales'!P252</f>
        <v>27.417377000000002</v>
      </c>
      <c r="Q92" s="322">
        <f>+'GENERADO NO Sep Origen'!Q92+'RECH-RECUP_PS locales'!Q252</f>
        <v>27.733628000000003</v>
      </c>
      <c r="R92" s="322">
        <f>+'GENERADO NO Sep Origen'!R92+'RECH-RECUP_PS locales'!R252</f>
        <v>28.054013000000005</v>
      </c>
      <c r="S92" s="322">
        <f>+'GENERADO NO Sep Origen'!S92+'RECH-RECUP_PS locales'!S252</f>
        <v>28.377842999999999</v>
      </c>
      <c r="T92" s="322">
        <f>+'GENERADO NO Sep Origen'!T92+'RECH-RECUP_PS locales'!T252</f>
        <v>28.705118000000002</v>
      </c>
      <c r="U92" s="322">
        <f>+'GENERADO NO Sep Origen'!U92+'RECH-RECUP_PS locales'!U252</f>
        <v>29.036527</v>
      </c>
      <c r="V92" s="322">
        <f>+'GENERADO NO Sep Origen'!V92+'RECH-RECUP_PS locales'!V252</f>
        <v>29.372070000000001</v>
      </c>
      <c r="W92" s="322">
        <f>+'GENERADO NO Sep Origen'!W92+'RECH-RECUP_PS locales'!W252</f>
        <v>29.711058000000001</v>
      </c>
      <c r="X92" s="322">
        <f>+'GENERADO NO Sep Origen'!X92+'RECH-RECUP_PS locales'!X252</f>
        <v>30.054180000000002</v>
      </c>
      <c r="Y92" s="322">
        <f>+'GENERADO NO Sep Origen'!Y92+'RECH-RECUP_PS locales'!Y252</f>
        <v>30.400747000000003</v>
      </c>
      <c r="Z92" s="322">
        <f>+'GENERADO NO Sep Origen'!Z92+'RECH-RECUP_PS locales'!Z252</f>
        <v>30.751448000000003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28"/>
      <c r="E93" s="278"/>
      <c r="F93" s="263"/>
      <c r="G93" s="322">
        <f>+'GENERADO NO Sep Origen'!G93+'RECH-RECUP_PS locales'!G253</f>
        <v>127.08635939999999</v>
      </c>
      <c r="H93" s="322">
        <f>+'GENERADO NO Sep Origen'!H93+'RECH-RECUP_PS locales'!H253</f>
        <v>120.00916079999999</v>
      </c>
      <c r="I93" s="322">
        <f>+'GENERADO NO Sep Origen'!I93+'RECH-RECUP_PS locales'!I253</f>
        <v>112.642374</v>
      </c>
      <c r="J93" s="322">
        <f>+'GENERADO NO Sep Origen'!J93+'RECH-RECUP_PS locales'!J253</f>
        <v>100.94710500000002</v>
      </c>
      <c r="K93" s="322">
        <f>+'GENERADO NO Sep Origen'!K93+'RECH-RECUP_PS locales'!K253</f>
        <v>88.836033000000015</v>
      </c>
      <c r="L93" s="322">
        <f>+'GENERADO NO Sep Origen'!L93+'RECH-RECUP_PS locales'!L253</f>
        <v>90.185237999999984</v>
      </c>
      <c r="M93" s="322">
        <f>+'GENERADO NO Sep Origen'!M93+'RECH-RECUP_PS locales'!M253</f>
        <v>91.533780000000007</v>
      </c>
      <c r="N93" s="322">
        <f>+'GENERADO NO Sep Origen'!N93+'RECH-RECUP_PS locales'!N253</f>
        <v>92.882984999999991</v>
      </c>
      <c r="O93" s="322">
        <f>+'GENERADO NO Sep Origen'!O93+'RECH-RECUP_PS locales'!O253</f>
        <v>94.232190000000003</v>
      </c>
      <c r="P93" s="322">
        <f>+'GENERADO NO Sep Origen'!P93+'RECH-RECUP_PS locales'!P253</f>
        <v>95.580732000000012</v>
      </c>
      <c r="Q93" s="322">
        <f>+'GENERADO NO Sep Origen'!Q93+'RECH-RECUP_PS locales'!Q253</f>
        <v>96.92993700000001</v>
      </c>
      <c r="R93" s="322">
        <f>+'GENERADO NO Sep Origen'!R93+'RECH-RECUP_PS locales'!R253</f>
        <v>98.279142000000007</v>
      </c>
      <c r="S93" s="322">
        <f>+'GENERADO NO Sep Origen'!S93+'RECH-RECUP_PS locales'!S253</f>
        <v>99.627684000000016</v>
      </c>
      <c r="T93" s="322">
        <f>+'GENERADO NO Sep Origen'!T93+'RECH-RECUP_PS locales'!T253</f>
        <v>100.976889</v>
      </c>
      <c r="U93" s="322">
        <f>+'GENERADO NO Sep Origen'!U93+'RECH-RECUP_PS locales'!U253</f>
        <v>102.32543099999998</v>
      </c>
      <c r="V93" s="322">
        <f>+'GENERADO NO Sep Origen'!V93+'RECH-RECUP_PS locales'!V253</f>
        <v>103.67463599999999</v>
      </c>
      <c r="W93" s="322">
        <f>+'GENERADO NO Sep Origen'!W93+'RECH-RECUP_PS locales'!W253</f>
        <v>105.023841</v>
      </c>
      <c r="X93" s="322">
        <f>+'GENERADO NO Sep Origen'!X93+'RECH-RECUP_PS locales'!X253</f>
        <v>106.37238300000001</v>
      </c>
      <c r="Y93" s="322">
        <f>+'GENERADO NO Sep Origen'!Y93+'RECH-RECUP_PS locales'!Y253</f>
        <v>107.721588</v>
      </c>
      <c r="Z93" s="322">
        <f>+'GENERADO NO Sep Origen'!Z93+'RECH-RECUP_PS locales'!Z253</f>
        <v>109.07013000000001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28"/>
      <c r="E94" s="278"/>
      <c r="F94" s="263"/>
      <c r="G94" s="322">
        <f>+'GENERADO NO Sep Origen'!G94+'RECH-RECUP_PS locales'!G254</f>
        <v>12.686533200000001</v>
      </c>
      <c r="H94" s="322">
        <f>+'GENERADO NO Sep Origen'!H94+'RECH-RECUP_PS locales'!H254</f>
        <v>11.942704000000001</v>
      </c>
      <c r="I94" s="322">
        <f>+'GENERADO NO Sep Origen'!I94+'RECH-RECUP_PS locales'!I254</f>
        <v>11.175562000000001</v>
      </c>
      <c r="J94" s="322">
        <f>+'GENERADO NO Sep Origen'!J94+'RECH-RECUP_PS locales'!J254</f>
        <v>9.9856800000000003</v>
      </c>
      <c r="K94" s="322">
        <f>+'GENERADO NO Sep Origen'!K94+'RECH-RECUP_PS locales'!K254</f>
        <v>8.7624940000000002</v>
      </c>
      <c r="L94" s="322">
        <f>+'GENERADO NO Sep Origen'!L94+'RECH-RECUP_PS locales'!L254</f>
        <v>8.8707320000000003</v>
      </c>
      <c r="M94" s="322">
        <f>+'GENERADO NO Sep Origen'!M94+'RECH-RECUP_PS locales'!M254</f>
        <v>8.9789700000000003</v>
      </c>
      <c r="N94" s="322">
        <f>+'GENERADO NO Sep Origen'!N94+'RECH-RECUP_PS locales'!N254</f>
        <v>9.0872080000000004</v>
      </c>
      <c r="O94" s="322">
        <f>+'GENERADO NO Sep Origen'!O94+'RECH-RECUP_PS locales'!O254</f>
        <v>9.1954460000000005</v>
      </c>
      <c r="P94" s="322">
        <f>+'GENERADO NO Sep Origen'!P94+'RECH-RECUP_PS locales'!P254</f>
        <v>9.3036840000000005</v>
      </c>
      <c r="Q94" s="322">
        <f>+'GENERADO NO Sep Origen'!Q94+'RECH-RECUP_PS locales'!Q254</f>
        <v>9.4119220000000006</v>
      </c>
      <c r="R94" s="322">
        <f>+'GENERADO NO Sep Origen'!R94+'RECH-RECUP_PS locales'!R254</f>
        <v>9.5201600000000006</v>
      </c>
      <c r="S94" s="322">
        <f>+'GENERADO NO Sep Origen'!S94+'RECH-RECUP_PS locales'!S254</f>
        <v>9.6283980000000007</v>
      </c>
      <c r="T94" s="322">
        <f>+'GENERADO NO Sep Origen'!T94+'RECH-RECUP_PS locales'!T254</f>
        <v>9.7366360000000007</v>
      </c>
      <c r="U94" s="322">
        <f>+'GENERADO NO Sep Origen'!U94+'RECH-RECUP_PS locales'!U254</f>
        <v>9.8448740000000008</v>
      </c>
      <c r="V94" s="322">
        <f>+'GENERADO NO Sep Origen'!V94+'RECH-RECUP_PS locales'!V254</f>
        <v>9.9531120000000008</v>
      </c>
      <c r="W94" s="322">
        <f>+'GENERADO NO Sep Origen'!W94+'RECH-RECUP_PS locales'!W254</f>
        <v>10.061350000000001</v>
      </c>
      <c r="X94" s="322">
        <f>+'GENERADO NO Sep Origen'!X94+'RECH-RECUP_PS locales'!X254</f>
        <v>10.169588000000001</v>
      </c>
      <c r="Y94" s="322">
        <f>+'GENERADO NO Sep Origen'!Y94+'RECH-RECUP_PS locales'!Y254</f>
        <v>10.277826000000001</v>
      </c>
      <c r="Z94" s="322">
        <f>+'GENERADO NO Sep Origen'!Z94+'RECH-RECUP_PS locales'!Z254</f>
        <v>10.386064000000001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28"/>
      <c r="E95" s="278"/>
      <c r="F95" s="263"/>
      <c r="G95" s="322">
        <f>+'GENERADO NO Sep Origen'!G95+'RECH-RECUP_PS locales'!G255</f>
        <v>8.8730136000000002</v>
      </c>
      <c r="H95" s="322">
        <f>+'GENERADO NO Sep Origen'!H95+'RECH-RECUP_PS locales'!H255</f>
        <v>8.2837168000000005</v>
      </c>
      <c r="I95" s="322">
        <f>+'GENERADO NO Sep Origen'!I95+'RECH-RECUP_PS locales'!I255</f>
        <v>7.6886240000000008</v>
      </c>
      <c r="J95" s="322">
        <f>+'GENERADO NO Sep Origen'!J95+'RECH-RECUP_PS locales'!J255</f>
        <v>6.8158199999999995</v>
      </c>
      <c r="K95" s="322">
        <f>+'GENERADO NO Sep Origen'!K95+'RECH-RECUP_PS locales'!K255</f>
        <v>5.933954</v>
      </c>
      <c r="L95" s="322">
        <f>+'GENERADO NO Sep Origen'!L95+'RECH-RECUP_PS locales'!L255</f>
        <v>5.9608640000000008</v>
      </c>
      <c r="M95" s="322">
        <f>+'GENERADO NO Sep Origen'!M95+'RECH-RECUP_PS locales'!M255</f>
        <v>5.988372</v>
      </c>
      <c r="N95" s="322">
        <f>+'GENERADO NO Sep Origen'!N95+'RECH-RECUP_PS locales'!N255</f>
        <v>6.0152820000000009</v>
      </c>
      <c r="O95" s="322">
        <f>+'GENERADO NO Sep Origen'!O95+'RECH-RECUP_PS locales'!O255</f>
        <v>6.0421920000000009</v>
      </c>
      <c r="P95" s="322">
        <f>+'GENERADO NO Sep Origen'!P95+'RECH-RECUP_PS locales'!P255</f>
        <v>6.0691020000000009</v>
      </c>
      <c r="Q95" s="322">
        <f>+'GENERADO NO Sep Origen'!Q95+'RECH-RECUP_PS locales'!Q255</f>
        <v>6.0966100000000001</v>
      </c>
      <c r="R95" s="322">
        <f>+'GENERADO NO Sep Origen'!R95+'RECH-RECUP_PS locales'!R255</f>
        <v>6.123520000000001</v>
      </c>
      <c r="S95" s="322">
        <f>+'GENERADO NO Sep Origen'!S95+'RECH-RECUP_PS locales'!S255</f>
        <v>6.150430000000001</v>
      </c>
      <c r="T95" s="322">
        <f>+'GENERADO NO Sep Origen'!T95+'RECH-RECUP_PS locales'!T255</f>
        <v>6.177938000000001</v>
      </c>
      <c r="U95" s="322">
        <f>+'GENERADO NO Sep Origen'!U95+'RECH-RECUP_PS locales'!U255</f>
        <v>6.2048480000000001</v>
      </c>
      <c r="V95" s="322">
        <f>+'GENERADO NO Sep Origen'!V95+'RECH-RECUP_PS locales'!V255</f>
        <v>6.2317580000000001</v>
      </c>
      <c r="W95" s="322">
        <f>+'GENERADO NO Sep Origen'!W95+'RECH-RECUP_PS locales'!W255</f>
        <v>6.258668000000001</v>
      </c>
      <c r="X95" s="322">
        <f>+'GENERADO NO Sep Origen'!X95+'RECH-RECUP_PS locales'!X255</f>
        <v>6.2861760000000011</v>
      </c>
      <c r="Y95" s="322">
        <f>+'GENERADO NO Sep Origen'!Y95+'RECH-RECUP_PS locales'!Y255</f>
        <v>6.3130860000000002</v>
      </c>
      <c r="Z95" s="322">
        <f>+'GENERADO NO Sep Origen'!Z95+'RECH-RECUP_PS locales'!Z255</f>
        <v>6.3399960000000002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28"/>
      <c r="E96" s="278"/>
      <c r="F96" s="263"/>
      <c r="G96" s="322">
        <f>+'GENERADO NO Sep Origen'!G96+'RECH-RECUP_PS locales'!G256</f>
        <v>7.0195356000000002</v>
      </c>
      <c r="H96" s="322">
        <f>+'GENERADO NO Sep Origen'!H96+'RECH-RECUP_PS locales'!H256</f>
        <v>6.6027664000000001</v>
      </c>
      <c r="I96" s="322">
        <f>+'GENERADO NO Sep Origen'!I96+'RECH-RECUP_PS locales'!I256</f>
        <v>6.173108</v>
      </c>
      <c r="J96" s="322">
        <f>+'GENERADO NO Sep Origen'!J96+'RECH-RECUP_PS locales'!J256</f>
        <v>5.5117200000000004</v>
      </c>
      <c r="K96" s="322">
        <f>+'GENERADO NO Sep Origen'!K96+'RECH-RECUP_PS locales'!K256</f>
        <v>4.8324379999999998</v>
      </c>
      <c r="L96" s="322">
        <f>+'GENERADO NO Sep Origen'!L96+'RECH-RECUP_PS locales'!L256</f>
        <v>4.9059920000000004</v>
      </c>
      <c r="M96" s="322">
        <f>+'GENERADO NO Sep Origen'!M96+'RECH-RECUP_PS locales'!M256</f>
        <v>4.9795460000000009</v>
      </c>
      <c r="N96" s="322">
        <f>+'GENERADO NO Sep Origen'!N96+'RECH-RECUP_PS locales'!N256</f>
        <v>5.0531000000000006</v>
      </c>
      <c r="O96" s="322">
        <f>+'GENERADO NO Sep Origen'!O96+'RECH-RECUP_PS locales'!O256</f>
        <v>5.1266540000000003</v>
      </c>
      <c r="P96" s="322">
        <f>+'GENERADO NO Sep Origen'!P96+'RECH-RECUP_PS locales'!P256</f>
        <v>5.1996100000000007</v>
      </c>
      <c r="Q96" s="322">
        <f>+'GENERADO NO Sep Origen'!Q96+'RECH-RECUP_PS locales'!Q256</f>
        <v>5.2731640000000004</v>
      </c>
      <c r="R96" s="322">
        <f>+'GENERADO NO Sep Origen'!R96+'RECH-RECUP_PS locales'!R256</f>
        <v>5.346718000000001</v>
      </c>
      <c r="S96" s="322">
        <f>+'GENERADO NO Sep Origen'!S96+'RECH-RECUP_PS locales'!S256</f>
        <v>5.4202720000000006</v>
      </c>
      <c r="T96" s="322">
        <f>+'GENERADO NO Sep Origen'!T96+'RECH-RECUP_PS locales'!T256</f>
        <v>5.4938260000000003</v>
      </c>
      <c r="U96" s="322">
        <f>+'GENERADO NO Sep Origen'!U96+'RECH-RECUP_PS locales'!U256</f>
        <v>5.5667819999999999</v>
      </c>
      <c r="V96" s="322">
        <f>+'GENERADO NO Sep Origen'!V96+'RECH-RECUP_PS locales'!V256</f>
        <v>5.6403360000000005</v>
      </c>
      <c r="W96" s="322">
        <f>+'GENERADO NO Sep Origen'!W96+'RECH-RECUP_PS locales'!W256</f>
        <v>5.7138899999999992</v>
      </c>
      <c r="X96" s="322">
        <f>+'GENERADO NO Sep Origen'!X96+'RECH-RECUP_PS locales'!X256</f>
        <v>5.7874440000000007</v>
      </c>
      <c r="Y96" s="322">
        <f>+'GENERADO NO Sep Origen'!Y96+'RECH-RECUP_PS locales'!Y256</f>
        <v>5.8609980000000004</v>
      </c>
      <c r="Z96" s="322">
        <f>+'GENERADO NO Sep Origen'!Z96+'RECH-RECUP_PS locales'!Z256</f>
        <v>5.933954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28"/>
      <c r="E97" s="278"/>
      <c r="F97" s="263"/>
      <c r="G97" s="322">
        <f>+'GENERADO NO Sep Origen'!G97+'RECH-RECUP_PS locales'!G257</f>
        <v>72.741952800000007</v>
      </c>
      <c r="H97" s="322">
        <f>+'GENERADO NO Sep Origen'!H97+'RECH-RECUP_PS locales'!H257</f>
        <v>68.850407999999987</v>
      </c>
      <c r="I97" s="322">
        <f>+'GENERADO NO Sep Origen'!I97+'RECH-RECUP_PS locales'!I257</f>
        <v>64.767500999999996</v>
      </c>
      <c r="J97" s="322">
        <f>+'GENERADO NO Sep Origen'!J97+'RECH-RECUP_PS locales'!J257</f>
        <v>58.168305000000004</v>
      </c>
      <c r="K97" s="322">
        <f>+'GENERADO NO Sep Origen'!K97+'RECH-RECUP_PS locales'!K257</f>
        <v>51.296310000000005</v>
      </c>
      <c r="L97" s="322">
        <f>+'GENERADO NO Sep Origen'!L97+'RECH-RECUP_PS locales'!L257</f>
        <v>52.180752000000005</v>
      </c>
      <c r="M97" s="322">
        <f>+'GENERADO NO Sep Origen'!M97+'RECH-RECUP_PS locales'!M257</f>
        <v>53.065193999999991</v>
      </c>
      <c r="N97" s="322">
        <f>+'GENERADO NO Sep Origen'!N97+'RECH-RECUP_PS locales'!N257</f>
        <v>53.948972999999995</v>
      </c>
      <c r="O97" s="322">
        <f>+'GENERADO NO Sep Origen'!O97+'RECH-RECUP_PS locales'!O257</f>
        <v>54.833415000000009</v>
      </c>
      <c r="P97" s="322">
        <f>+'GENERADO NO Sep Origen'!P97+'RECH-RECUP_PS locales'!P257</f>
        <v>55.717193999999992</v>
      </c>
      <c r="Q97" s="322">
        <f>+'GENERADO NO Sep Origen'!Q97+'RECH-RECUP_PS locales'!Q257</f>
        <v>56.601636000000006</v>
      </c>
      <c r="R97" s="322">
        <f>+'GENERADO NO Sep Origen'!R97+'RECH-RECUP_PS locales'!R257</f>
        <v>57.486077999999999</v>
      </c>
      <c r="S97" s="322">
        <f>+'GENERADO NO Sep Origen'!S97+'RECH-RECUP_PS locales'!S257</f>
        <v>58.369856999999996</v>
      </c>
      <c r="T97" s="322">
        <f>+'GENERADO NO Sep Origen'!T97+'RECH-RECUP_PS locales'!T257</f>
        <v>59.254299000000003</v>
      </c>
      <c r="U97" s="322">
        <f>+'GENERADO NO Sep Origen'!U97+'RECH-RECUP_PS locales'!U257</f>
        <v>60.138077999999993</v>
      </c>
      <c r="V97" s="322">
        <f>+'GENERADO NO Sep Origen'!V97+'RECH-RECUP_PS locales'!V257</f>
        <v>61.022520000000007</v>
      </c>
      <c r="W97" s="322">
        <f>+'GENERADO NO Sep Origen'!W97+'RECH-RECUP_PS locales'!W257</f>
        <v>61.906299000000011</v>
      </c>
      <c r="X97" s="322">
        <f>+'GENERADO NO Sep Origen'!X97+'RECH-RECUP_PS locales'!X257</f>
        <v>62.790741000000004</v>
      </c>
      <c r="Y97" s="322">
        <f>+'GENERADO NO Sep Origen'!Y97+'RECH-RECUP_PS locales'!Y257</f>
        <v>63.675183000000004</v>
      </c>
      <c r="Z97" s="322">
        <f>+'GENERADO NO Sep Origen'!Z97+'RECH-RECUP_PS locales'!Z257</f>
        <v>64.558962000000008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28"/>
      <c r="E98" s="278"/>
      <c r="F98" s="263"/>
      <c r="G98" s="322">
        <f>+'GENERADO NO Sep Origen'!G98+'RECH-RECUP_PS locales'!G258</f>
        <v>64.868542200000007</v>
      </c>
      <c r="H98" s="322">
        <f>+'GENERADO NO Sep Origen'!H98+'RECH-RECUP_PS locales'!H258</f>
        <v>60.793305600000011</v>
      </c>
      <c r="I98" s="322">
        <f>+'GENERADO NO Sep Origen'!I98+'RECH-RECUP_PS locales'!I258</f>
        <v>56.644578000000003</v>
      </c>
      <c r="J98" s="322">
        <f>+'GENERADO NO Sep Origen'!J98+'RECH-RECUP_PS locales'!J258</f>
        <v>50.405085</v>
      </c>
      <c r="K98" s="322">
        <f>+'GENERADO NO Sep Origen'!K98+'RECH-RECUP_PS locales'!K258</f>
        <v>44.055024000000003</v>
      </c>
      <c r="L98" s="322">
        <f>+'GENERADO NO Sep Origen'!L98+'RECH-RECUP_PS locales'!L258</f>
        <v>44.428292999999996</v>
      </c>
      <c r="M98" s="322">
        <f>+'GENERADO NO Sep Origen'!M98+'RECH-RECUP_PS locales'!M258</f>
        <v>44.805540000000008</v>
      </c>
      <c r="N98" s="322">
        <f>+'GENERADO NO Sep Origen'!N98+'RECH-RECUP_PS locales'!N258</f>
        <v>45.186102000000005</v>
      </c>
      <c r="O98" s="322">
        <f>+'GENERADO NO Sep Origen'!O98+'RECH-RECUP_PS locales'!O258</f>
        <v>45.569316000000001</v>
      </c>
      <c r="P98" s="322">
        <f>+'GENERADO NO Sep Origen'!P98+'RECH-RECUP_PS locales'!P258</f>
        <v>45.955845000000004</v>
      </c>
      <c r="Q98" s="322">
        <f>+'GENERADO NO Sep Origen'!Q98+'RECH-RECUP_PS locales'!Q258</f>
        <v>46.345688999999993</v>
      </c>
      <c r="R98" s="322">
        <f>+'GENERADO NO Sep Origen'!R98+'RECH-RECUP_PS locales'!R258</f>
        <v>46.738847999999997</v>
      </c>
      <c r="S98" s="322">
        <f>+'GENERADO NO Sep Origen'!S98+'RECH-RECUP_PS locales'!S258</f>
        <v>47.135984999999998</v>
      </c>
      <c r="T98" s="322">
        <f>+'GENERADO NO Sep Origen'!T98+'RECH-RECUP_PS locales'!T258</f>
        <v>47.535774000000004</v>
      </c>
      <c r="U98" s="322">
        <f>+'GENERADO NO Sep Origen'!U98+'RECH-RECUP_PS locales'!U258</f>
        <v>47.938877999999995</v>
      </c>
      <c r="V98" s="322">
        <f>+'GENERADO NO Sep Origen'!V98+'RECH-RECUP_PS locales'!V258</f>
        <v>48.345960000000005</v>
      </c>
      <c r="W98" s="322">
        <f>+'GENERADO NO Sep Origen'!W98+'RECH-RECUP_PS locales'!W258</f>
        <v>48.756356999999994</v>
      </c>
      <c r="X98" s="322">
        <f>+'GENERADO NO Sep Origen'!X98+'RECH-RECUP_PS locales'!X258</f>
        <v>49.170068999999998</v>
      </c>
      <c r="Y98" s="322">
        <f>+'GENERADO NO Sep Origen'!Y98+'RECH-RECUP_PS locales'!Y258</f>
        <v>49.587096000000003</v>
      </c>
      <c r="Z98" s="322">
        <f>+'GENERADO NO Sep Origen'!Z98+'RECH-RECUP_PS locales'!Z258</f>
        <v>50.007438000000008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28"/>
      <c r="E99" s="278"/>
      <c r="F99" s="263"/>
      <c r="G99" s="322">
        <f>+'GENERADO NO Sep Origen'!G99+'RECH-RECUP_PS locales'!G259</f>
        <v>23.081553000000003</v>
      </c>
      <c r="H99" s="322">
        <f>+'GENERADO NO Sep Origen'!H99+'RECH-RECUP_PS locales'!H259</f>
        <v>21.767439200000002</v>
      </c>
      <c r="I99" s="322">
        <f>+'GENERADO NO Sep Origen'!I99+'RECH-RECUP_PS locales'!I259</f>
        <v>20.405848000000002</v>
      </c>
      <c r="J99" s="322">
        <f>+'GENERADO NO Sep Origen'!J99+'RECH-RECUP_PS locales'!J259</f>
        <v>18.264330000000001</v>
      </c>
      <c r="K99" s="322">
        <f>+'GENERADO NO Sep Origen'!K99+'RECH-RECUP_PS locales'!K259</f>
        <v>16.054389</v>
      </c>
      <c r="L99" s="322">
        <f>+'GENERADO NO Sep Origen'!L99+'RECH-RECUP_PS locales'!L259</f>
        <v>16.279003000000003</v>
      </c>
      <c r="M99" s="322">
        <f>+'GENERADO NO Sep Origen'!M99+'RECH-RECUP_PS locales'!M259</f>
        <v>16.504306000000003</v>
      </c>
      <c r="N99" s="322">
        <f>+'GENERADO NO Sep Origen'!N99+'RECH-RECUP_PS locales'!N259</f>
        <v>16.729609000000004</v>
      </c>
      <c r="O99" s="322">
        <f>+'GENERADO NO Sep Origen'!O99+'RECH-RECUP_PS locales'!O259</f>
        <v>16.954222999999999</v>
      </c>
      <c r="P99" s="322">
        <f>+'GENERADO NO Sep Origen'!P99+'RECH-RECUP_PS locales'!P259</f>
        <v>17.179526000000003</v>
      </c>
      <c r="Q99" s="322">
        <f>+'GENERADO NO Sep Origen'!Q99+'RECH-RECUP_PS locales'!Q259</f>
        <v>17.404140000000002</v>
      </c>
      <c r="R99" s="322">
        <f>+'GENERADO NO Sep Origen'!R99+'RECH-RECUP_PS locales'!R259</f>
        <v>17.629443000000002</v>
      </c>
      <c r="S99" s="322">
        <f>+'GENERADO NO Sep Origen'!S99+'RECH-RECUP_PS locales'!S259</f>
        <v>17.854057000000001</v>
      </c>
      <c r="T99" s="322">
        <f>+'GENERADO NO Sep Origen'!T99+'RECH-RECUP_PS locales'!T259</f>
        <v>18.079360000000001</v>
      </c>
      <c r="U99" s="322">
        <f>+'GENERADO NO Sep Origen'!U99+'RECH-RECUP_PS locales'!U259</f>
        <v>18.303974000000004</v>
      </c>
      <c r="V99" s="322">
        <f>+'GENERADO NO Sep Origen'!V99+'RECH-RECUP_PS locales'!V259</f>
        <v>18.529277</v>
      </c>
      <c r="W99" s="322">
        <f>+'GENERADO NO Sep Origen'!W99+'RECH-RECUP_PS locales'!W259</f>
        <v>18.753891000000003</v>
      </c>
      <c r="X99" s="322">
        <f>+'GENERADO NO Sep Origen'!X99+'RECH-RECUP_PS locales'!X259</f>
        <v>18.979194000000003</v>
      </c>
      <c r="Y99" s="322">
        <f>+'GENERADO NO Sep Origen'!Y99+'RECH-RECUP_PS locales'!Y259</f>
        <v>19.204497000000003</v>
      </c>
      <c r="Z99" s="322">
        <f>+'GENERADO NO Sep Origen'!Z99+'RECH-RECUP_PS locales'!Z259</f>
        <v>19.429111000000002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28"/>
      <c r="E100" s="278"/>
      <c r="F100" s="263"/>
      <c r="G100" s="322">
        <f>+'GENERADO NO Sep Origen'!G100+'RECH-RECUP_PS locales'!G260</f>
        <v>22.298700600000004</v>
      </c>
      <c r="H100" s="322">
        <f>+'GENERADO NO Sep Origen'!H100+'RECH-RECUP_PS locales'!H260</f>
        <v>21.192071200000001</v>
      </c>
      <c r="I100" s="322">
        <f>+'GENERADO NO Sep Origen'!I100+'RECH-RECUP_PS locales'!I260</f>
        <v>20.020220000000002</v>
      </c>
      <c r="J100" s="322">
        <f>+'GENERADO NO Sep Origen'!J100+'RECH-RECUP_PS locales'!J260</f>
        <v>18.059220000000003</v>
      </c>
      <c r="K100" s="322">
        <f>+'GENERADO NO Sep Origen'!K100+'RECH-RECUP_PS locales'!K260</f>
        <v>15.999269000000002</v>
      </c>
      <c r="L100" s="322">
        <f>+'GENERADO NO Sep Origen'!L100+'RECH-RECUP_PS locales'!L260</f>
        <v>16.352726000000001</v>
      </c>
      <c r="M100" s="322">
        <f>+'GENERADO NO Sep Origen'!M100+'RECH-RECUP_PS locales'!M260</f>
        <v>16.712384</v>
      </c>
      <c r="N100" s="322">
        <f>+'GENERADO NO Sep Origen'!N100+'RECH-RECUP_PS locales'!N260</f>
        <v>17.077553999999999</v>
      </c>
      <c r="O100" s="322">
        <f>+'GENERADO NO Sep Origen'!O100+'RECH-RECUP_PS locales'!O260</f>
        <v>17.448925000000003</v>
      </c>
      <c r="P100" s="322">
        <f>+'GENERADO NO Sep Origen'!P100+'RECH-RECUP_PS locales'!P260</f>
        <v>17.825807999999999</v>
      </c>
      <c r="Q100" s="322">
        <f>+'GENERADO NO Sep Origen'!Q100+'RECH-RECUP_PS locales'!Q260</f>
        <v>18.208891999999999</v>
      </c>
      <c r="R100" s="322">
        <f>+'GENERADO NO Sep Origen'!R100+'RECH-RECUP_PS locales'!R260</f>
        <v>18.599555000000002</v>
      </c>
      <c r="S100" s="322">
        <f>+'GENERADO NO Sep Origen'!S100+'RECH-RECUP_PS locales'!S260</f>
        <v>18.995041000000004</v>
      </c>
      <c r="T100" s="322">
        <f>+'GENERADO NO Sep Origen'!T100+'RECH-RECUP_PS locales'!T260</f>
        <v>19.397417000000001</v>
      </c>
      <c r="U100" s="322">
        <f>+'GENERADO NO Sep Origen'!U100+'RECH-RECUP_PS locales'!U260</f>
        <v>19.806683000000003</v>
      </c>
      <c r="V100" s="322">
        <f>+'GENERADO NO Sep Origen'!V100+'RECH-RECUP_PS locales'!V260</f>
        <v>20.222149999999999</v>
      </c>
      <c r="W100" s="322">
        <f>+'GENERADO NO Sep Origen'!W100+'RECH-RECUP_PS locales'!W260</f>
        <v>20.644507000000004</v>
      </c>
      <c r="X100" s="322">
        <f>+'GENERADO NO Sep Origen'!X100+'RECH-RECUP_PS locales'!X260</f>
        <v>21.073754000000001</v>
      </c>
      <c r="Y100" s="322">
        <f>+'GENERADO NO Sep Origen'!Y100+'RECH-RECUP_PS locales'!Y260</f>
        <v>21.509891000000003</v>
      </c>
      <c r="Z100" s="322">
        <f>+'GENERADO NO Sep Origen'!Z100+'RECH-RECUP_PS locales'!Z260</f>
        <v>21.953606999999998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28"/>
      <c r="E101" s="278"/>
      <c r="F101" s="263"/>
      <c r="G101" s="322">
        <f>+'GENERADO NO Sep Origen'!G101+'RECH-RECUP_PS locales'!G261</f>
        <v>17.619426000000004</v>
      </c>
      <c r="H101" s="322">
        <f>+'GENERADO NO Sep Origen'!H101+'RECH-RECUP_PS locales'!H261</f>
        <v>16.620333600000002</v>
      </c>
      <c r="I101" s="322">
        <f>+'GENERADO NO Sep Origen'!I101+'RECH-RECUP_PS locales'!I261</f>
        <v>15.586399000000002</v>
      </c>
      <c r="J101" s="322">
        <f>+'GENERADO NO Sep Origen'!J101+'RECH-RECUP_PS locales'!J261</f>
        <v>13.959405</v>
      </c>
      <c r="K101" s="322">
        <f>+'GENERADO NO Sep Origen'!K101+'RECH-RECUP_PS locales'!K261</f>
        <v>12.280047</v>
      </c>
      <c r="L101" s="322">
        <f>+'GENERADO NO Sep Origen'!L101+'RECH-RECUP_PS locales'!L261</f>
        <v>12.464699000000003</v>
      </c>
      <c r="M101" s="322">
        <f>+'GENERADO NO Sep Origen'!M101+'RECH-RECUP_PS locales'!M261</f>
        <v>12.652107000000001</v>
      </c>
      <c r="N101" s="322">
        <f>+'GENERADO NO Sep Origen'!N101+'RECH-RECUP_PS locales'!N261</f>
        <v>12.842271</v>
      </c>
      <c r="O101" s="322">
        <f>+'GENERADO NO Sep Origen'!O101+'RECH-RECUP_PS locales'!O261</f>
        <v>13.035191000000001</v>
      </c>
      <c r="P101" s="322">
        <f>+'GENERADO NO Sep Origen'!P101+'RECH-RECUP_PS locales'!P261</f>
        <v>13.231556000000003</v>
      </c>
      <c r="Q101" s="322">
        <f>+'GENERADO NO Sep Origen'!Q101+'RECH-RECUP_PS locales'!Q261</f>
        <v>13.430677000000003</v>
      </c>
      <c r="R101" s="322">
        <f>+'GENERADO NO Sep Origen'!R101+'RECH-RECUP_PS locales'!R261</f>
        <v>13.632554000000001</v>
      </c>
      <c r="S101" s="322">
        <f>+'GENERADO NO Sep Origen'!S101+'RECH-RECUP_PS locales'!S261</f>
        <v>13.837187</v>
      </c>
      <c r="T101" s="322">
        <f>+'GENERADO NO Sep Origen'!T101+'RECH-RECUP_PS locales'!T261</f>
        <v>14.045265000000004</v>
      </c>
      <c r="U101" s="322">
        <f>+'GENERADO NO Sep Origen'!U101+'RECH-RECUP_PS locales'!U261</f>
        <v>14.256788</v>
      </c>
      <c r="V101" s="322">
        <f>+'GENERADO NO Sep Origen'!V101+'RECH-RECUP_PS locales'!V261</f>
        <v>14.471067000000001</v>
      </c>
      <c r="W101" s="322">
        <f>+'GENERADO NO Sep Origen'!W101+'RECH-RECUP_PS locales'!W261</f>
        <v>14.688791000000002</v>
      </c>
      <c r="X101" s="322">
        <f>+'GENERADO NO Sep Origen'!X101+'RECH-RECUP_PS locales'!X261</f>
        <v>14.909271</v>
      </c>
      <c r="Y101" s="322">
        <f>+'GENERADO NO Sep Origen'!Y101+'RECH-RECUP_PS locales'!Y261</f>
        <v>15.133196</v>
      </c>
      <c r="Z101" s="322">
        <f>+'GENERADO NO Sep Origen'!Z101+'RECH-RECUP_PS locales'!Z261</f>
        <v>15.361255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28"/>
      <c r="E102" s="278"/>
      <c r="F102" s="263"/>
      <c r="G102" s="322">
        <f>+'GENERADO NO Sep Origen'!G102+'RECH-RECUP_PS locales'!G262</f>
        <v>109.6632702</v>
      </c>
      <c r="H102" s="322">
        <f>+'GENERADO NO Sep Origen'!H102+'RECH-RECUP_PS locales'!H262</f>
        <v>102.98939999999999</v>
      </c>
      <c r="I102" s="322">
        <f>+'GENERADO NO Sep Origen'!I102+'RECH-RECUP_PS locales'!I262</f>
        <v>96.168507000000005</v>
      </c>
      <c r="J102" s="322">
        <f>+'GENERADO NO Sep Origen'!J102+'RECH-RECUP_PS locales'!J262</f>
        <v>85.764150000000001</v>
      </c>
      <c r="K102" s="322">
        <f>+'GENERADO NO Sep Origen'!K102+'RECH-RECUP_PS locales'!K262</f>
        <v>75.130497000000005</v>
      </c>
      <c r="L102" s="322">
        <f>+'GENERADO NO Sep Origen'!L102+'RECH-RECUP_PS locales'!L262</f>
        <v>75.945323999999999</v>
      </c>
      <c r="M102" s="322">
        <f>+'GENERADO NO Sep Origen'!M102+'RECH-RECUP_PS locales'!M262</f>
        <v>76.772748000000007</v>
      </c>
      <c r="N102" s="322">
        <f>+'GENERADO NO Sep Origen'!N102+'RECH-RECUP_PS locales'!N262</f>
        <v>77.614095000000006</v>
      </c>
      <c r="O102" s="322">
        <f>+'GENERADO NO Sep Origen'!O102+'RECH-RECUP_PS locales'!O262</f>
        <v>78.46936500000001</v>
      </c>
      <c r="P102" s="322">
        <f>+'GENERADO NO Sep Origen'!P102+'RECH-RECUP_PS locales'!P262</f>
        <v>79.337895000000003</v>
      </c>
      <c r="Q102" s="322">
        <f>+'GENERADO NO Sep Origen'!Q102+'RECH-RECUP_PS locales'!Q262</f>
        <v>80.220348000000001</v>
      </c>
      <c r="R102" s="322">
        <f>+'GENERADO NO Sep Origen'!R102+'RECH-RECUP_PS locales'!R262</f>
        <v>81.118050000000011</v>
      </c>
      <c r="S102" s="322">
        <f>+'GENERADO NO Sep Origen'!S102+'RECH-RECUP_PS locales'!S262</f>
        <v>82.030338</v>
      </c>
      <c r="T102" s="322">
        <f>+'GENERADO NO Sep Origen'!T102+'RECH-RECUP_PS locales'!T262</f>
        <v>82.956548999999995</v>
      </c>
      <c r="U102" s="322">
        <f>+'GENERADO NO Sep Origen'!U102+'RECH-RECUP_PS locales'!U262</f>
        <v>83.899335000000008</v>
      </c>
      <c r="V102" s="322">
        <f>+'GENERADO NO Sep Origen'!V102+'RECH-RECUP_PS locales'!V262</f>
        <v>84.856044000000011</v>
      </c>
      <c r="W102" s="322">
        <f>+'GENERADO NO Sep Origen'!W102+'RECH-RECUP_PS locales'!W262</f>
        <v>85.829991000000007</v>
      </c>
      <c r="X102" s="322">
        <f>+'GENERADO NO Sep Origen'!X102+'RECH-RECUP_PS locales'!X262</f>
        <v>86.818523999999996</v>
      </c>
      <c r="Y102" s="322">
        <f>+'GENERADO NO Sep Origen'!Y102+'RECH-RECUP_PS locales'!Y262</f>
        <v>87.822969000000015</v>
      </c>
      <c r="Z102" s="322">
        <f>+'GENERADO NO Sep Origen'!Z102+'RECH-RECUP_PS locales'!Z262</f>
        <v>88.844652000000025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28"/>
      <c r="E103" s="278"/>
      <c r="F103" s="263"/>
      <c r="G103" s="322">
        <f>+'GENERADO NO Sep Origen'!G103+'RECH-RECUP_PS locales'!G263</f>
        <v>102.4260336</v>
      </c>
      <c r="H103" s="322">
        <f>+'GENERADO NO Sep Origen'!H103+'RECH-RECUP_PS locales'!H263</f>
        <v>95.91667919999999</v>
      </c>
      <c r="I103" s="322">
        <f>+'GENERADO NO Sep Origen'!I103+'RECH-RECUP_PS locales'!I263</f>
        <v>89.301000000000002</v>
      </c>
      <c r="J103" s="322">
        <f>+'GENERADO NO Sep Origen'!J103+'RECH-RECUP_PS locales'!J263</f>
        <v>79.401645000000002</v>
      </c>
      <c r="K103" s="322">
        <f>+'GENERADO NO Sep Origen'!K103+'RECH-RECUP_PS locales'!K263</f>
        <v>69.344496000000007</v>
      </c>
      <c r="L103" s="322">
        <f>+'GENERADO NO Sep Origen'!L103+'RECH-RECUP_PS locales'!L263</f>
        <v>69.878211000000007</v>
      </c>
      <c r="M103" s="322">
        <f>+'GENERADO NO Sep Origen'!M103+'RECH-RECUP_PS locales'!M263</f>
        <v>70.415904000000012</v>
      </c>
      <c r="N103" s="322">
        <f>+'GENERADO NO Sep Origen'!N103+'RECH-RECUP_PS locales'!N263</f>
        <v>70.958238000000009</v>
      </c>
      <c r="O103" s="322">
        <f>+'GENERADO NO Sep Origen'!O103+'RECH-RECUP_PS locales'!O263</f>
        <v>71.504550000000009</v>
      </c>
      <c r="P103" s="322">
        <f>+'GENERADO NO Sep Origen'!P103+'RECH-RECUP_PS locales'!P263</f>
        <v>72.054840000000013</v>
      </c>
      <c r="Q103" s="322">
        <f>+'GENERADO NO Sep Origen'!Q103+'RECH-RECUP_PS locales'!Q263</f>
        <v>72.609108000000006</v>
      </c>
      <c r="R103" s="322">
        <f>+'GENERADO NO Sep Origen'!R103+'RECH-RECUP_PS locales'!R263</f>
        <v>73.168017000000006</v>
      </c>
      <c r="S103" s="322">
        <f>+'GENERADO NO Sep Origen'!S103+'RECH-RECUP_PS locales'!S263</f>
        <v>73.731567000000013</v>
      </c>
      <c r="T103" s="322">
        <f>+'GENERADO NO Sep Origen'!T103+'RECH-RECUP_PS locales'!T263</f>
        <v>74.299095000000008</v>
      </c>
      <c r="U103" s="322">
        <f>+'GENERADO NO Sep Origen'!U103+'RECH-RECUP_PS locales'!U263</f>
        <v>74.870601000000008</v>
      </c>
      <c r="V103" s="322">
        <f>+'GENERADO NO Sep Origen'!V103+'RECH-RECUP_PS locales'!V263</f>
        <v>75.447411000000002</v>
      </c>
      <c r="W103" s="322">
        <f>+'GENERADO NO Sep Origen'!W103+'RECH-RECUP_PS locales'!W263</f>
        <v>76.028199000000001</v>
      </c>
      <c r="X103" s="322">
        <f>+'GENERADO NO Sep Origen'!X103+'RECH-RECUP_PS locales'!X263</f>
        <v>76.612965000000003</v>
      </c>
      <c r="Y103" s="322">
        <f>+'GENERADO NO Sep Origen'!Y103+'RECH-RECUP_PS locales'!Y263</f>
        <v>77.203035</v>
      </c>
      <c r="Z103" s="322">
        <f>+'GENERADO NO Sep Origen'!Z103+'RECH-RECUP_PS locales'!Z263</f>
        <v>77.797083000000001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28"/>
      <c r="E104" s="278"/>
      <c r="F104" s="263"/>
      <c r="G104" s="322">
        <f>+'GENERADO NO Sep Origen'!G104+'RECH-RECUP_PS locales'!G264</f>
        <v>29.107207800000001</v>
      </c>
      <c r="H104" s="322">
        <f>+'GENERADO NO Sep Origen'!H104+'RECH-RECUP_PS locales'!H264</f>
        <v>27.5523256</v>
      </c>
      <c r="I104" s="322">
        <f>+'GENERADO NO Sep Origen'!I104+'RECH-RECUP_PS locales'!I264</f>
        <v>25.927176000000003</v>
      </c>
      <c r="J104" s="322">
        <f>+'GENERADO NO Sep Origen'!J104+'RECH-RECUP_PS locales'!J264</f>
        <v>23.299860000000002</v>
      </c>
      <c r="K104" s="322">
        <f>+'GENERADO NO Sep Origen'!K104+'RECH-RECUP_PS locales'!K264</f>
        <v>20.565961000000001</v>
      </c>
      <c r="L104" s="322">
        <f>+'GENERADO NO Sep Origen'!L104+'RECH-RECUP_PS locales'!L264</f>
        <v>20.944911000000001</v>
      </c>
      <c r="M104" s="322">
        <f>+'GENERADO NO Sep Origen'!M104+'RECH-RECUP_PS locales'!M264</f>
        <v>21.330062000000002</v>
      </c>
      <c r="N104" s="322">
        <f>+'GENERADO NO Sep Origen'!N104+'RECH-RECUP_PS locales'!N264</f>
        <v>21.720725000000002</v>
      </c>
      <c r="O104" s="322">
        <f>+'GENERADO NO Sep Origen'!O104+'RECH-RECUP_PS locales'!O264</f>
        <v>22.118278000000004</v>
      </c>
      <c r="P104" s="322">
        <f>+'GENERADO NO Sep Origen'!P104+'RECH-RECUP_PS locales'!P264</f>
        <v>22.522721000000004</v>
      </c>
      <c r="Q104" s="322">
        <f>+'GENERADO NO Sep Origen'!Q104+'RECH-RECUP_PS locales'!Q264</f>
        <v>22.933365000000002</v>
      </c>
      <c r="R104" s="322">
        <f>+'GENERADO NO Sep Origen'!R104+'RECH-RECUP_PS locales'!R264</f>
        <v>23.350898999999998</v>
      </c>
      <c r="S104" s="322">
        <f>+'GENERADO NO Sep Origen'!S104+'RECH-RECUP_PS locales'!S264</f>
        <v>23.774633999999999</v>
      </c>
      <c r="T104" s="322">
        <f>+'GENERADO NO Sep Origen'!T104+'RECH-RECUP_PS locales'!T264</f>
        <v>24.205947999999999</v>
      </c>
      <c r="U104" s="322">
        <f>+'GENERADO NO Sep Origen'!U104+'RECH-RECUP_PS locales'!U264</f>
        <v>24.644151999999998</v>
      </c>
      <c r="V104" s="322">
        <f>+'GENERADO NO Sep Origen'!V104+'RECH-RECUP_PS locales'!V264</f>
        <v>25.089246000000003</v>
      </c>
      <c r="W104" s="322">
        <f>+'GENERADO NO Sep Origen'!W104+'RECH-RECUP_PS locales'!W264</f>
        <v>25.541919</v>
      </c>
      <c r="X104" s="322">
        <f>+'GENERADO NO Sep Origen'!X104+'RECH-RECUP_PS locales'!X264</f>
        <v>26.001481999999999</v>
      </c>
      <c r="Y104" s="322">
        <f>+'GENERADO NO Sep Origen'!Y104+'RECH-RECUP_PS locales'!Y264</f>
        <v>26.469313</v>
      </c>
      <c r="Z104" s="322">
        <f>+'GENERADO NO Sep Origen'!Z104+'RECH-RECUP_PS locales'!Z264</f>
        <v>26.944034000000002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28"/>
      <c r="E105" s="278"/>
      <c r="F105" s="263"/>
      <c r="G105" s="322">
        <f>+'GENERADO NO Sep Origen'!G105+'RECH-RECUP_PS locales'!G265</f>
        <v>36.462452400000004</v>
      </c>
      <c r="H105" s="322">
        <f>+'GENERADO NO Sep Origen'!H105+'RECH-RECUP_PS locales'!H265</f>
        <v>34.082264800000004</v>
      </c>
      <c r="I105" s="322">
        <f>+'GENERADO NO Sep Origen'!I105+'RECH-RECUP_PS locales'!I265</f>
        <v>31.671051000000002</v>
      </c>
      <c r="J105" s="322">
        <f>+'GENERADO NO Sep Origen'!J105+'RECH-RECUP_PS locales'!J265</f>
        <v>28.106430000000003</v>
      </c>
      <c r="K105" s="322">
        <f>+'GENERADO NO Sep Origen'!K105+'RECH-RECUP_PS locales'!K265</f>
        <v>24.498083999999999</v>
      </c>
      <c r="L105" s="322">
        <f>+'GENERADO NO Sep Origen'!L105+'RECH-RECUP_PS locales'!L265</f>
        <v>24.637262</v>
      </c>
      <c r="M105" s="322">
        <f>+'GENERADO NO Sep Origen'!M105+'RECH-RECUP_PS locales'!M265</f>
        <v>24.777129000000002</v>
      </c>
      <c r="N105" s="322">
        <f>+'GENERADO NO Sep Origen'!N105+'RECH-RECUP_PS locales'!N265</f>
        <v>24.916307</v>
      </c>
      <c r="O105" s="322">
        <f>+'GENERADO NO Sep Origen'!O105+'RECH-RECUP_PS locales'!O265</f>
        <v>25.055485000000001</v>
      </c>
      <c r="P105" s="322">
        <f>+'GENERADO NO Sep Origen'!P105+'RECH-RECUP_PS locales'!P265</f>
        <v>25.195352000000003</v>
      </c>
      <c r="Q105" s="322">
        <f>+'GENERADO NO Sep Origen'!Q105+'RECH-RECUP_PS locales'!Q265</f>
        <v>25.334530000000004</v>
      </c>
      <c r="R105" s="322">
        <f>+'GENERADO NO Sep Origen'!R105+'RECH-RECUP_PS locales'!R265</f>
        <v>25.474397000000003</v>
      </c>
      <c r="S105" s="322">
        <f>+'GENERADO NO Sep Origen'!S105+'RECH-RECUP_PS locales'!S265</f>
        <v>25.613575000000004</v>
      </c>
      <c r="T105" s="322">
        <f>+'GENERADO NO Sep Origen'!T105+'RECH-RECUP_PS locales'!T265</f>
        <v>25.752753000000006</v>
      </c>
      <c r="U105" s="322">
        <f>+'GENERADO NO Sep Origen'!U105+'RECH-RECUP_PS locales'!U265</f>
        <v>25.892620000000001</v>
      </c>
      <c r="V105" s="322">
        <f>+'GENERADO NO Sep Origen'!V105+'RECH-RECUP_PS locales'!V265</f>
        <v>26.031798000000002</v>
      </c>
      <c r="W105" s="322">
        <f>+'GENERADO NO Sep Origen'!W105+'RECH-RECUP_PS locales'!W265</f>
        <v>26.171665000000001</v>
      </c>
      <c r="X105" s="322">
        <f>+'GENERADO NO Sep Origen'!X105+'RECH-RECUP_PS locales'!X265</f>
        <v>26.310843000000002</v>
      </c>
      <c r="Y105" s="322">
        <f>+'GENERADO NO Sep Origen'!Y105+'RECH-RECUP_PS locales'!Y265</f>
        <v>26.450021</v>
      </c>
      <c r="Z105" s="322">
        <f>+'GENERADO NO Sep Origen'!Z105+'RECH-RECUP_PS locales'!Z265</f>
        <v>26.589888000000002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28"/>
      <c r="E106" s="278"/>
      <c r="F106" s="263"/>
      <c r="G106" s="322">
        <f>+'GENERADO NO Sep Origen'!G106+'RECH-RECUP_PS locales'!G266</f>
        <v>5.1350904000000002</v>
      </c>
      <c r="H106" s="322">
        <f>+'GENERADO NO Sep Origen'!H106+'RECH-RECUP_PS locales'!H266</f>
        <v>4.7965488000000009</v>
      </c>
      <c r="I106" s="322">
        <f>+'GENERADO NO Sep Origen'!I106+'RECH-RECUP_PS locales'!I266</f>
        <v>4.4542720000000005</v>
      </c>
      <c r="J106" s="322">
        <f>+'GENERADO NO Sep Origen'!J106+'RECH-RECUP_PS locales'!J266</f>
        <v>3.9502500000000005</v>
      </c>
      <c r="K106" s="322">
        <f>+'GENERADO NO Sep Origen'!K106+'RECH-RECUP_PS locales'!K266</f>
        <v>3.4408920000000003</v>
      </c>
      <c r="L106" s="322">
        <f>+'GENERADO NO Sep Origen'!L106+'RECH-RECUP_PS locales'!L266</f>
        <v>3.4582340000000009</v>
      </c>
      <c r="M106" s="322">
        <f>+'GENERADO NO Sep Origen'!M106+'RECH-RECUP_PS locales'!M266</f>
        <v>3.4749780000000001</v>
      </c>
      <c r="N106" s="322">
        <f>+'GENERADO NO Sep Origen'!N106+'RECH-RECUP_PS locales'!N266</f>
        <v>3.4923200000000003</v>
      </c>
      <c r="O106" s="322">
        <f>+'GENERADO NO Sep Origen'!O106+'RECH-RECUP_PS locales'!O266</f>
        <v>3.5096620000000005</v>
      </c>
      <c r="P106" s="322">
        <f>+'GENERADO NO Sep Origen'!P106+'RECH-RECUP_PS locales'!P266</f>
        <v>3.5270039999999998</v>
      </c>
      <c r="Q106" s="322">
        <f>+'GENERADO NO Sep Origen'!Q106+'RECH-RECUP_PS locales'!Q266</f>
        <v>3.544346</v>
      </c>
      <c r="R106" s="322">
        <f>+'GENERADO NO Sep Origen'!R106+'RECH-RECUP_PS locales'!R266</f>
        <v>3.5616880000000006</v>
      </c>
      <c r="S106" s="322">
        <f>+'GENERADO NO Sep Origen'!S106+'RECH-RECUP_PS locales'!S266</f>
        <v>3.5790299999999999</v>
      </c>
      <c r="T106" s="322">
        <f>+'GENERADO NO Sep Origen'!T106+'RECH-RECUP_PS locales'!T266</f>
        <v>3.5963720000000006</v>
      </c>
      <c r="U106" s="322">
        <f>+'GENERADO NO Sep Origen'!U106+'RECH-RECUP_PS locales'!U266</f>
        <v>3.6137140000000003</v>
      </c>
      <c r="V106" s="322">
        <f>+'GENERADO NO Sep Origen'!V106+'RECH-RECUP_PS locales'!V266</f>
        <v>3.6310560000000009</v>
      </c>
      <c r="W106" s="322">
        <f>+'GENERADO NO Sep Origen'!W106+'RECH-RECUP_PS locales'!W266</f>
        <v>3.6478000000000002</v>
      </c>
      <c r="X106" s="322">
        <f>+'GENERADO NO Sep Origen'!X106+'RECH-RECUP_PS locales'!X266</f>
        <v>3.6651420000000003</v>
      </c>
      <c r="Y106" s="322">
        <f>+'GENERADO NO Sep Origen'!Y106+'RECH-RECUP_PS locales'!Y266</f>
        <v>3.6824840000000005</v>
      </c>
      <c r="Z106" s="322">
        <f>+'GENERADO NO Sep Origen'!Z106+'RECH-RECUP_PS locales'!Z266</f>
        <v>3.6998259999999998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28"/>
      <c r="E107" s="278"/>
      <c r="F107" s="263"/>
      <c r="G107" s="322">
        <f>+'GENERADO NO Sep Origen'!G107+'RECH-RECUP_PS locales'!G267</f>
        <v>102.575484</v>
      </c>
      <c r="H107" s="322">
        <f>+'GENERADO NO Sep Origen'!H107+'RECH-RECUP_PS locales'!H267</f>
        <v>95.923248000000001</v>
      </c>
      <c r="I107" s="322">
        <f>+'GENERADO NO Sep Origen'!I107+'RECH-RECUP_PS locales'!I267</f>
        <v>89.17962</v>
      </c>
      <c r="J107" s="322">
        <f>+'GENERADO NO Sep Origen'!J107+'RECH-RECUP_PS locales'!J267</f>
        <v>79.176734999999994</v>
      </c>
      <c r="K107" s="322">
        <f>+'GENERADO NO Sep Origen'!K107+'RECH-RECUP_PS locales'!K267</f>
        <v>69.044156999999998</v>
      </c>
      <c r="L107" s="322">
        <f>+'GENERADO NO Sep Origen'!L107+'RECH-RECUP_PS locales'!L267</f>
        <v>69.468477000000007</v>
      </c>
      <c r="M107" s="322">
        <f>+'GENERADO NO Sep Origen'!M107+'RECH-RECUP_PS locales'!M267</f>
        <v>69.892133999999999</v>
      </c>
      <c r="N107" s="322">
        <f>+'GENERADO NO Sep Origen'!N107+'RECH-RECUP_PS locales'!N267</f>
        <v>70.316454000000007</v>
      </c>
      <c r="O107" s="322">
        <f>+'GENERADO NO Sep Origen'!O107+'RECH-RECUP_PS locales'!O267</f>
        <v>70.740774000000016</v>
      </c>
      <c r="P107" s="322">
        <f>+'GENERADO NO Sep Origen'!P107+'RECH-RECUP_PS locales'!P267</f>
        <v>71.164431000000008</v>
      </c>
      <c r="Q107" s="322">
        <f>+'GENERADO NO Sep Origen'!Q107+'RECH-RECUP_PS locales'!Q267</f>
        <v>71.588751000000002</v>
      </c>
      <c r="R107" s="322">
        <f>+'GENERADO NO Sep Origen'!R107+'RECH-RECUP_PS locales'!R267</f>
        <v>72.013070999999997</v>
      </c>
      <c r="S107" s="322">
        <f>+'GENERADO NO Sep Origen'!S107+'RECH-RECUP_PS locales'!S267</f>
        <v>72.436728000000002</v>
      </c>
      <c r="T107" s="322">
        <f>+'GENERADO NO Sep Origen'!T107+'RECH-RECUP_PS locales'!T267</f>
        <v>72.861048000000011</v>
      </c>
      <c r="U107" s="322">
        <f>+'GENERADO NO Sep Origen'!U107+'RECH-RECUP_PS locales'!U267</f>
        <v>73.285368000000005</v>
      </c>
      <c r="V107" s="322">
        <f>+'GENERADO NO Sep Origen'!V107+'RECH-RECUP_PS locales'!V267</f>
        <v>73.709024999999997</v>
      </c>
      <c r="W107" s="322">
        <f>+'GENERADO NO Sep Origen'!W107+'RECH-RECUP_PS locales'!W267</f>
        <v>74.133344999999991</v>
      </c>
      <c r="X107" s="322">
        <f>+'GENERADO NO Sep Origen'!X107+'RECH-RECUP_PS locales'!X267</f>
        <v>74.557665000000014</v>
      </c>
      <c r="Y107" s="322">
        <f>+'GENERADO NO Sep Origen'!Y107+'RECH-RECUP_PS locales'!Y267</f>
        <v>74.981322000000006</v>
      </c>
      <c r="Z107" s="322">
        <f>+'GENERADO NO Sep Origen'!Z107+'RECH-RECUP_PS locales'!Z267</f>
        <v>75.405642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28"/>
      <c r="E108" s="278"/>
      <c r="F108" s="263"/>
      <c r="G108" s="322">
        <f>+'GENERADO NO Sep Origen'!G108+'RECH-RECUP_PS locales'!G268</f>
        <v>3.1513680000000002</v>
      </c>
      <c r="H108" s="322">
        <f>+'GENERADO NO Sep Origen'!H108+'RECH-RECUP_PS locales'!H268</f>
        <v>2.9886384000000001</v>
      </c>
      <c r="I108" s="322">
        <f>+'GENERADO NO Sep Origen'!I108+'RECH-RECUP_PS locales'!I268</f>
        <v>2.8175460000000001</v>
      </c>
      <c r="J108" s="322">
        <f>+'GENERADO NO Sep Origen'!J108+'RECH-RECUP_PS locales'!J268</f>
        <v>2.5371300000000003</v>
      </c>
      <c r="K108" s="322">
        <f>+'GENERADO NO Sep Origen'!K108+'RECH-RECUP_PS locales'!K268</f>
        <v>2.2436959999999999</v>
      </c>
      <c r="L108" s="322">
        <f>+'GENERADO NO Sep Origen'!L108+'RECH-RECUP_PS locales'!L268</f>
        <v>2.2897420000000004</v>
      </c>
      <c r="M108" s="322">
        <f>+'GENERADO NO Sep Origen'!M108+'RECH-RECUP_PS locales'!M268</f>
        <v>2.3363860000000001</v>
      </c>
      <c r="N108" s="322">
        <f>+'GENERADO NO Sep Origen'!N108+'RECH-RECUP_PS locales'!N268</f>
        <v>2.384226</v>
      </c>
      <c r="O108" s="322">
        <f>+'GENERADO NO Sep Origen'!O108+'RECH-RECUP_PS locales'!O268</f>
        <v>2.433262</v>
      </c>
      <c r="P108" s="322">
        <f>+'GENERADO NO Sep Origen'!P108+'RECH-RECUP_PS locales'!P268</f>
        <v>2.4828960000000002</v>
      </c>
      <c r="Q108" s="322">
        <f>+'GENERADO NO Sep Origen'!Q108+'RECH-RECUP_PS locales'!Q268</f>
        <v>2.5337260000000001</v>
      </c>
      <c r="R108" s="322">
        <f>+'GENERADO NO Sep Origen'!R108+'RECH-RECUP_PS locales'!R268</f>
        <v>2.5851540000000002</v>
      </c>
      <c r="S108" s="322">
        <f>+'GENERADO NO Sep Origen'!S108+'RECH-RECUP_PS locales'!S268</f>
        <v>2.6383760000000001</v>
      </c>
      <c r="T108" s="322">
        <f>+'GENERADO NO Sep Origen'!T108+'RECH-RECUP_PS locales'!T268</f>
        <v>2.692196</v>
      </c>
      <c r="U108" s="322">
        <f>+'GENERADO NO Sep Origen'!U108+'RECH-RECUP_PS locales'!U268</f>
        <v>2.7472120000000002</v>
      </c>
      <c r="V108" s="322">
        <f>+'GENERADO NO Sep Origen'!V108+'RECH-RECUP_PS locales'!V268</f>
        <v>2.8034240000000006</v>
      </c>
      <c r="W108" s="322">
        <f>+'GENERADO NO Sep Origen'!W108+'RECH-RECUP_PS locales'!W268</f>
        <v>2.8608320000000003</v>
      </c>
      <c r="X108" s="322">
        <f>+'GENERADO NO Sep Origen'!X108+'RECH-RECUP_PS locales'!X268</f>
        <v>2.9194360000000006</v>
      </c>
      <c r="Y108" s="322">
        <f>+'GENERADO NO Sep Origen'!Y108+'RECH-RECUP_PS locales'!Y268</f>
        <v>2.9792360000000002</v>
      </c>
      <c r="Z108" s="322">
        <f>+'GENERADO NO Sep Origen'!Z108+'RECH-RECUP_PS locales'!Z268</f>
        <v>3.0402320000000005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28"/>
      <c r="E109" s="278"/>
      <c r="F109" s="263"/>
      <c r="G109" s="322">
        <f>+'GENERADO NO Sep Origen'!G109+'RECH-RECUP_PS locales'!G269</f>
        <v>605.69357309999998</v>
      </c>
      <c r="H109" s="322">
        <f>+'GENERADO NO Sep Origen'!H109+'RECH-RECUP_PS locales'!H269</f>
        <v>573.82031159999997</v>
      </c>
      <c r="I109" s="322">
        <f>+'GENERADO NO Sep Origen'!I109+'RECH-RECUP_PS locales'!I269</f>
        <v>540.28140299999995</v>
      </c>
      <c r="J109" s="322">
        <f>+'GENERADO NO Sep Origen'!J109+'RECH-RECUP_PS locales'!J269</f>
        <v>485.6494725</v>
      </c>
      <c r="K109" s="322">
        <f>+'GENERADO NO Sep Origen'!K109+'RECH-RECUP_PS locales'!K269</f>
        <v>428.63605200000001</v>
      </c>
      <c r="L109" s="322">
        <f>+'GENERADO NO Sep Origen'!L109+'RECH-RECUP_PS locales'!L269</f>
        <v>436.37589449999996</v>
      </c>
      <c r="M109" s="322">
        <f>+'GENERADO NO Sep Origen'!M109+'RECH-RECUP_PS locales'!M269</f>
        <v>444.11573699999997</v>
      </c>
      <c r="N109" s="322">
        <f>+'GENERADO NO Sep Origen'!N109+'RECH-RECUP_PS locales'!N269</f>
        <v>451.85557949999998</v>
      </c>
      <c r="O109" s="322">
        <f>+'GENERADO NO Sep Origen'!O109+'RECH-RECUP_PS locales'!O269</f>
        <v>459.59542199999999</v>
      </c>
      <c r="P109" s="322">
        <f>+'GENERADO NO Sep Origen'!P109+'RECH-RECUP_PS locales'!P269</f>
        <v>467.33526449999999</v>
      </c>
      <c r="Q109" s="322">
        <f>+'GENERADO NO Sep Origen'!Q109+'RECH-RECUP_PS locales'!Q269</f>
        <v>475.07510699999989</v>
      </c>
      <c r="R109" s="322">
        <f>+'GENERADO NO Sep Origen'!R109+'RECH-RECUP_PS locales'!R269</f>
        <v>482.81494950000001</v>
      </c>
      <c r="S109" s="322">
        <f>+'GENERADO NO Sep Origen'!S109+'RECH-RECUP_PS locales'!S269</f>
        <v>490.55387549999995</v>
      </c>
      <c r="T109" s="322">
        <f>+'GENERADO NO Sep Origen'!T109+'RECH-RECUP_PS locales'!T269</f>
        <v>498.29371800000001</v>
      </c>
      <c r="U109" s="322">
        <f>+'GENERADO NO Sep Origen'!U109+'RECH-RECUP_PS locales'!U269</f>
        <v>506.03356049999996</v>
      </c>
      <c r="V109" s="322">
        <f>+'GENERADO NO Sep Origen'!V109+'RECH-RECUP_PS locales'!V269</f>
        <v>513.77340300000003</v>
      </c>
      <c r="W109" s="322">
        <f>+'GENERADO NO Sep Origen'!W109+'RECH-RECUP_PS locales'!W269</f>
        <v>521.51324550000004</v>
      </c>
      <c r="X109" s="322">
        <f>+'GENERADO NO Sep Origen'!X109+'RECH-RECUP_PS locales'!X269</f>
        <v>529.25308799999993</v>
      </c>
      <c r="Y109" s="322">
        <f>+'GENERADO NO Sep Origen'!Y109+'RECH-RECUP_PS locales'!Y269</f>
        <v>536.99293050000006</v>
      </c>
      <c r="Z109" s="322">
        <f>+'GENERADO NO Sep Origen'!Z109+'RECH-RECUP_PS locales'!Z269</f>
        <v>544.73277299999995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28"/>
      <c r="E110" s="278"/>
      <c r="F110" s="263"/>
      <c r="G110" s="322">
        <f>+'GENERADO NO Sep Origen'!G110+'RECH-RECUP_PS locales'!G270</f>
        <v>65.500676999999996</v>
      </c>
      <c r="H110" s="322">
        <f>+'GENERADO NO Sep Origen'!H110+'RECH-RECUP_PS locales'!H270</f>
        <v>62.471164800000004</v>
      </c>
      <c r="I110" s="322">
        <f>+'GENERADO NO Sep Origen'!I110+'RECH-RECUP_PS locales'!I270</f>
        <v>59.220435000000009</v>
      </c>
      <c r="J110" s="322">
        <f>+'GENERADO NO Sep Origen'!J110+'RECH-RECUP_PS locales'!J270</f>
        <v>53.601254999999995</v>
      </c>
      <c r="K110" s="322">
        <f>+'GENERADO NO Sep Origen'!K110+'RECH-RECUP_PS locales'!K270</f>
        <v>47.641854000000009</v>
      </c>
      <c r="L110" s="322">
        <f>+'GENERADO NO Sep Origen'!L110+'RECH-RECUP_PS locales'!L270</f>
        <v>48.847851000000006</v>
      </c>
      <c r="M110" s="322">
        <f>+'GENERADO NO Sep Origen'!M110+'RECH-RECUP_PS locales'!M270</f>
        <v>50.074401000000009</v>
      </c>
      <c r="N110" s="322">
        <f>+'GENERADO NO Sep Origen'!N110+'RECH-RECUP_PS locales'!N270</f>
        <v>51.320177999999999</v>
      </c>
      <c r="O110" s="322">
        <f>+'GENERADO NO Sep Origen'!O110+'RECH-RECUP_PS locales'!O270</f>
        <v>52.586508000000009</v>
      </c>
      <c r="P110" s="322">
        <f>+'GENERADO NO Sep Origen'!P110+'RECH-RECUP_PS locales'!P270</f>
        <v>53.873390999999998</v>
      </c>
      <c r="Q110" s="322">
        <f>+'GENERADO NO Sep Origen'!Q110+'RECH-RECUP_PS locales'!Q270</f>
        <v>55.182153</v>
      </c>
      <c r="R110" s="322">
        <f>+'GENERADO NO Sep Origen'!R110+'RECH-RECUP_PS locales'!R270</f>
        <v>56.511468000000001</v>
      </c>
      <c r="S110" s="322">
        <f>+'GENERADO NO Sep Origen'!S110+'RECH-RECUP_PS locales'!S270</f>
        <v>57.862662</v>
      </c>
      <c r="T110" s="322">
        <f>+'GENERADO NO Sep Origen'!T110+'RECH-RECUP_PS locales'!T270</f>
        <v>59.235735000000005</v>
      </c>
      <c r="U110" s="322">
        <f>+'GENERADO NO Sep Origen'!U110+'RECH-RECUP_PS locales'!U270</f>
        <v>60.632013000000008</v>
      </c>
      <c r="V110" s="322">
        <f>+'GENERADO NO Sep Origen'!V110+'RECH-RECUP_PS locales'!V270</f>
        <v>62.050170000000001</v>
      </c>
      <c r="W110" s="322">
        <f>+'GENERADO NO Sep Origen'!W110+'RECH-RECUP_PS locales'!W270</f>
        <v>63.491532000000007</v>
      </c>
      <c r="X110" s="322">
        <f>+'GENERADO NO Sep Origen'!X110+'RECH-RECUP_PS locales'!X270</f>
        <v>64.956761999999998</v>
      </c>
      <c r="Y110" s="322">
        <f>+'GENERADO NO Sep Origen'!Y110+'RECH-RECUP_PS locales'!Y270</f>
        <v>66.44586000000001</v>
      </c>
      <c r="Z110" s="322">
        <f>+'GENERADO NO Sep Origen'!Z110+'RECH-RECUP_PS locales'!Z270</f>
        <v>67.958826000000016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28"/>
      <c r="E111" s="278"/>
      <c r="F111" s="263"/>
      <c r="G111" s="322">
        <f>+'GENERADO NO Sep Origen'!G111+'RECH-RECUP_PS locales'!G271</f>
        <v>115.07579820000001</v>
      </c>
      <c r="H111" s="322">
        <f>+'GENERADO NO Sep Origen'!H111+'RECH-RECUP_PS locales'!H271</f>
        <v>108.92384159999999</v>
      </c>
      <c r="I111" s="322">
        <f>+'GENERADO NO Sep Origen'!I111+'RECH-RECUP_PS locales'!I271</f>
        <v>102.469863</v>
      </c>
      <c r="J111" s="322">
        <f>+'GENERADO NO Sep Origen'!J111+'RECH-RECUP_PS locales'!J271</f>
        <v>92.032560000000004</v>
      </c>
      <c r="K111" s="322">
        <f>+'GENERADO NO Sep Origen'!K111+'RECH-RECUP_PS locales'!K271</f>
        <v>81.164460000000005</v>
      </c>
      <c r="L111" s="322">
        <f>+'GENERADO NO Sep Origen'!L111+'RECH-RECUP_PS locales'!L271</f>
        <v>82.566705000000013</v>
      </c>
      <c r="M111" s="322">
        <f>+'GENERADO NO Sep Origen'!M111+'RECH-RECUP_PS locales'!M271</f>
        <v>83.968950000000007</v>
      </c>
      <c r="N111" s="322">
        <f>+'GENERADO NO Sep Origen'!N111+'RECH-RECUP_PS locales'!N271</f>
        <v>85.371195</v>
      </c>
      <c r="O111" s="322">
        <f>+'GENERADO NO Sep Origen'!O111+'RECH-RECUP_PS locales'!O271</f>
        <v>86.773440000000008</v>
      </c>
      <c r="P111" s="322">
        <f>+'GENERADO NO Sep Origen'!P111+'RECH-RECUP_PS locales'!P271</f>
        <v>88.175685000000001</v>
      </c>
      <c r="Q111" s="322">
        <f>+'GENERADO NO Sep Origen'!Q111+'RECH-RECUP_PS locales'!Q271</f>
        <v>89.577930000000009</v>
      </c>
      <c r="R111" s="322">
        <f>+'GENERADO NO Sep Origen'!R111+'RECH-RECUP_PS locales'!R271</f>
        <v>90.980175000000003</v>
      </c>
      <c r="S111" s="322">
        <f>+'GENERADO NO Sep Origen'!S111+'RECH-RECUP_PS locales'!S271</f>
        <v>92.383083000000013</v>
      </c>
      <c r="T111" s="322">
        <f>+'GENERADO NO Sep Origen'!T111+'RECH-RECUP_PS locales'!T271</f>
        <v>93.785328000000007</v>
      </c>
      <c r="U111" s="322">
        <f>+'GENERADO NO Sep Origen'!U111+'RECH-RECUP_PS locales'!U271</f>
        <v>95.187573000000015</v>
      </c>
      <c r="V111" s="322">
        <f>+'GENERADO NO Sep Origen'!V111+'RECH-RECUP_PS locales'!V271</f>
        <v>96.589817999999994</v>
      </c>
      <c r="W111" s="322">
        <f>+'GENERADO NO Sep Origen'!W111+'RECH-RECUP_PS locales'!W271</f>
        <v>97.992063000000002</v>
      </c>
      <c r="X111" s="322">
        <f>+'GENERADO NO Sep Origen'!X111+'RECH-RECUP_PS locales'!X271</f>
        <v>99.394307999999995</v>
      </c>
      <c r="Y111" s="322">
        <f>+'GENERADO NO Sep Origen'!Y111+'RECH-RECUP_PS locales'!Y271</f>
        <v>100.796553</v>
      </c>
      <c r="Z111" s="322">
        <f>+'GENERADO NO Sep Origen'!Z111+'RECH-RECUP_PS locales'!Z271</f>
        <v>102.19879800000001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28"/>
      <c r="E112" s="278"/>
      <c r="F112" s="263"/>
      <c r="G112" s="322">
        <f>+'GENERADO NO Sep Origen'!G112+'RECH-RECUP_PS locales'!G272</f>
        <v>4.6122911999999996</v>
      </c>
      <c r="H112" s="322">
        <f>+'GENERADO NO Sep Origen'!H112+'RECH-RECUP_PS locales'!H272</f>
        <v>4.3251039999999996</v>
      </c>
      <c r="I112" s="322">
        <f>+'GENERADO NO Sep Origen'!I112+'RECH-RECUP_PS locales'!I272</f>
        <v>4.0319919999999998</v>
      </c>
      <c r="J112" s="322">
        <f>+'GENERADO NO Sep Origen'!J112+'RECH-RECUP_PS locales'!J272</f>
        <v>3.5886900000000006</v>
      </c>
      <c r="K112" s="322">
        <f>+'GENERADO NO Sep Origen'!K112+'RECH-RECUP_PS locales'!K272</f>
        <v>3.1377059999999997</v>
      </c>
      <c r="L112" s="322">
        <f>+'GENERADO NO Sep Origen'!L112+'RECH-RECUP_PS locales'!L272</f>
        <v>3.177772</v>
      </c>
      <c r="M112" s="322">
        <f>+'GENERADO NO Sep Origen'!M112+'RECH-RECUP_PS locales'!M272</f>
        <v>3.2172400000000003</v>
      </c>
      <c r="N112" s="322">
        <f>+'GENERADO NO Sep Origen'!N112+'RECH-RECUP_PS locales'!N272</f>
        <v>3.2573059999999998</v>
      </c>
      <c r="O112" s="322">
        <f>+'GENERADO NO Sep Origen'!O112+'RECH-RECUP_PS locales'!O272</f>
        <v>3.2973720000000002</v>
      </c>
      <c r="P112" s="322">
        <f>+'GENERADO NO Sep Origen'!P112+'RECH-RECUP_PS locales'!P272</f>
        <v>3.3368400000000005</v>
      </c>
      <c r="Q112" s="322">
        <f>+'GENERADO NO Sep Origen'!Q112+'RECH-RECUP_PS locales'!Q272</f>
        <v>3.376906</v>
      </c>
      <c r="R112" s="322">
        <f>+'GENERADO NO Sep Origen'!R112+'RECH-RECUP_PS locales'!R272</f>
        <v>3.4169719999999999</v>
      </c>
      <c r="S112" s="322">
        <f>+'GENERADO NO Sep Origen'!S112+'RECH-RECUP_PS locales'!S272</f>
        <v>3.4564400000000006</v>
      </c>
      <c r="T112" s="322">
        <f>+'GENERADO NO Sep Origen'!T112+'RECH-RECUP_PS locales'!T272</f>
        <v>3.4965059999999997</v>
      </c>
      <c r="U112" s="322">
        <f>+'GENERADO NO Sep Origen'!U112+'RECH-RECUP_PS locales'!U272</f>
        <v>3.5359740000000004</v>
      </c>
      <c r="V112" s="322">
        <f>+'GENERADO NO Sep Origen'!V112+'RECH-RECUP_PS locales'!V272</f>
        <v>3.5760400000000008</v>
      </c>
      <c r="W112" s="322">
        <f>+'GENERADO NO Sep Origen'!W112+'RECH-RECUP_PS locales'!W272</f>
        <v>3.6161060000000003</v>
      </c>
      <c r="X112" s="322">
        <f>+'GENERADO NO Sep Origen'!X112+'RECH-RECUP_PS locales'!X272</f>
        <v>3.6555740000000005</v>
      </c>
      <c r="Y112" s="322">
        <f>+'GENERADO NO Sep Origen'!Y112+'RECH-RECUP_PS locales'!Y272</f>
        <v>3.69564</v>
      </c>
      <c r="Z112" s="322">
        <f>+'GENERADO NO Sep Origen'!Z112+'RECH-RECUP_PS locales'!Z272</f>
        <v>3.7357060000000004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28"/>
      <c r="E113" s="278"/>
      <c r="F113" s="263"/>
      <c r="G113" s="322">
        <f>+'GENERADO NO Sep Origen'!G113+'RECH-RECUP_PS locales'!G273</f>
        <v>8.1288900000000002</v>
      </c>
      <c r="H113" s="322">
        <f>+'GENERADO NO Sep Origen'!H113+'RECH-RECUP_PS locales'!H273</f>
        <v>7.6980079999999997</v>
      </c>
      <c r="I113" s="322">
        <f>+'GENERADO NO Sep Origen'!I113+'RECH-RECUP_PS locales'!I273</f>
        <v>7.2475760000000005</v>
      </c>
      <c r="J113" s="322">
        <f>+'GENERADO NO Sep Origen'!J113+'RECH-RECUP_PS locales'!J273</f>
        <v>6.5163600000000006</v>
      </c>
      <c r="K113" s="322">
        <f>+'GENERADO NO Sep Origen'!K113+'RECH-RECUP_PS locales'!K273</f>
        <v>5.7539560000000005</v>
      </c>
      <c r="L113" s="322">
        <f>+'GENERADO NO Sep Origen'!L113+'RECH-RECUP_PS locales'!L273</f>
        <v>5.8627920000000007</v>
      </c>
      <c r="M113" s="322">
        <f>+'GENERADO NO Sep Origen'!M113+'RECH-RECUP_PS locales'!M273</f>
        <v>5.972824000000001</v>
      </c>
      <c r="N113" s="322">
        <f>+'GENERADO NO Sep Origen'!N113+'RECH-RECUP_PS locales'!N273</f>
        <v>6.085248</v>
      </c>
      <c r="O113" s="322">
        <f>+'GENERADO NO Sep Origen'!O113+'RECH-RECUP_PS locales'!O273</f>
        <v>6.1988680000000009</v>
      </c>
      <c r="P113" s="322">
        <f>+'GENERADO NO Sep Origen'!P113+'RECH-RECUP_PS locales'!P273</f>
        <v>6.3148800000000005</v>
      </c>
      <c r="Q113" s="322">
        <f>+'GENERADO NO Sep Origen'!Q113+'RECH-RECUP_PS locales'!Q273</f>
        <v>6.4326860000000003</v>
      </c>
      <c r="R113" s="322">
        <f>+'GENERADO NO Sep Origen'!R113+'RECH-RECUP_PS locales'!R273</f>
        <v>6.5522860000000005</v>
      </c>
      <c r="S113" s="322">
        <f>+'GENERADO NO Sep Origen'!S113+'RECH-RECUP_PS locales'!S273</f>
        <v>6.6736800000000009</v>
      </c>
      <c r="T113" s="322">
        <f>+'GENERADO NO Sep Origen'!T113+'RECH-RECUP_PS locales'!T273</f>
        <v>6.7974660000000018</v>
      </c>
      <c r="U113" s="322">
        <f>+'GENERADO NO Sep Origen'!U113+'RECH-RECUP_PS locales'!U273</f>
        <v>6.9230460000000011</v>
      </c>
      <c r="V113" s="322">
        <f>+'GENERADO NO Sep Origen'!V113+'RECH-RECUP_PS locales'!V273</f>
        <v>7.0504200000000008</v>
      </c>
      <c r="W113" s="322">
        <f>+'GENERADO NO Sep Origen'!W113+'RECH-RECUP_PS locales'!W273</f>
        <v>7.1801860000000008</v>
      </c>
      <c r="X113" s="322">
        <f>+'GENERADO NO Sep Origen'!X113+'RECH-RECUP_PS locales'!X273</f>
        <v>7.3117459999999994</v>
      </c>
      <c r="Y113" s="322">
        <f>+'GENERADO NO Sep Origen'!Y113+'RECH-RECUP_PS locales'!Y273</f>
        <v>7.4456980000000001</v>
      </c>
      <c r="Z113" s="322">
        <f>+'GENERADO NO Sep Origen'!Z113+'RECH-RECUP_PS locales'!Z273</f>
        <v>7.5820420000000004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28"/>
      <c r="E114" s="278"/>
      <c r="F114" s="263"/>
      <c r="G114" s="322">
        <f>+'GENERADO NO Sep Origen'!G114+'RECH-RECUP_PS locales'!G274</f>
        <v>17.4662136</v>
      </c>
      <c r="H114" s="322">
        <f>+'GENERADO NO Sep Origen'!H114+'RECH-RECUP_PS locales'!H274</f>
        <v>16.458450400000004</v>
      </c>
      <c r="I114" s="322">
        <f>+'GENERADO NO Sep Origen'!I114+'RECH-RECUP_PS locales'!I274</f>
        <v>15.419714000000001</v>
      </c>
      <c r="J114" s="322">
        <f>+'GENERADO NO Sep Origen'!J114+'RECH-RECUP_PS locales'!J274</f>
        <v>13.796430000000001</v>
      </c>
      <c r="K114" s="322">
        <f>+'GENERADO NO Sep Origen'!K114+'RECH-RECUP_PS locales'!K274</f>
        <v>12.124333</v>
      </c>
      <c r="L114" s="322">
        <f>+'GENERADO NO Sep Origen'!L114+'RECH-RECUP_PS locales'!L274</f>
        <v>12.294516</v>
      </c>
      <c r="M114" s="322">
        <f>+'GENERADO NO Sep Origen'!M114+'RECH-RECUP_PS locales'!M274</f>
        <v>12.466766</v>
      </c>
      <c r="N114" s="322">
        <f>+'GENERADO NO Sep Origen'!N114+'RECH-RECUP_PS locales'!N274</f>
        <v>12.641772000000003</v>
      </c>
      <c r="O114" s="322">
        <f>+'GENERADO NO Sep Origen'!O114+'RECH-RECUP_PS locales'!O274</f>
        <v>12.818845</v>
      </c>
      <c r="P114" s="322">
        <f>+'GENERADO NO Sep Origen'!P114+'RECH-RECUP_PS locales'!P274</f>
        <v>12.998674000000001</v>
      </c>
      <c r="Q114" s="322">
        <f>+'GENERADO NO Sep Origen'!Q114+'RECH-RECUP_PS locales'!Q274</f>
        <v>13.181259000000001</v>
      </c>
      <c r="R114" s="322">
        <f>+'GENERADO NO Sep Origen'!R114+'RECH-RECUP_PS locales'!R274</f>
        <v>13.365911000000001</v>
      </c>
      <c r="S114" s="322">
        <f>+'GENERADO NO Sep Origen'!S114+'RECH-RECUP_PS locales'!S274</f>
        <v>13.553319000000002</v>
      </c>
      <c r="T114" s="322">
        <f>+'GENERADO NO Sep Origen'!T114+'RECH-RECUP_PS locales'!T274</f>
        <v>13.743482999999999</v>
      </c>
      <c r="U114" s="322">
        <f>+'GENERADO NO Sep Origen'!U114+'RECH-RECUP_PS locales'!U274</f>
        <v>13.936403000000002</v>
      </c>
      <c r="V114" s="322">
        <f>+'GENERADO NO Sep Origen'!V114+'RECH-RECUP_PS locales'!V274</f>
        <v>14.13139</v>
      </c>
      <c r="W114" s="322">
        <f>+'GENERADO NO Sep Origen'!W114+'RECH-RECUP_PS locales'!W274</f>
        <v>14.329822</v>
      </c>
      <c r="X114" s="322">
        <f>+'GENERADO NO Sep Origen'!X114+'RECH-RECUP_PS locales'!X274</f>
        <v>14.531010000000002</v>
      </c>
      <c r="Y114" s="322">
        <f>+'GENERADO NO Sep Origen'!Y114+'RECH-RECUP_PS locales'!Y274</f>
        <v>14.734265000000002</v>
      </c>
      <c r="Z114" s="322">
        <f>+'GENERADO NO Sep Origen'!Z114+'RECH-RECUP_PS locales'!Z274</f>
        <v>14.940965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28"/>
      <c r="E115" s="278"/>
      <c r="F115" s="263"/>
      <c r="G115" s="322">
        <f>+'GENERADO NO Sep Origen'!G115+'RECH-RECUP_PS locales'!G275</f>
        <v>13.406976</v>
      </c>
      <c r="H115" s="322">
        <f>+'GENERADO NO Sep Origen'!H115+'RECH-RECUP_PS locales'!H275</f>
        <v>12.5673472</v>
      </c>
      <c r="I115" s="322">
        <f>+'GENERADO NO Sep Origen'!I115+'RECH-RECUP_PS locales'!I275</f>
        <v>11.71045</v>
      </c>
      <c r="J115" s="322">
        <f>+'GENERADO NO Sep Origen'!J115+'RECH-RECUP_PS locales'!J275</f>
        <v>10.42107</v>
      </c>
      <c r="K115" s="322">
        <f>+'GENERADO NO Sep Origen'!K115+'RECH-RECUP_PS locales'!K275</f>
        <v>9.1075400000000002</v>
      </c>
      <c r="L115" s="322">
        <f>+'GENERADO NO Sep Origen'!L115+'RECH-RECUP_PS locales'!L275</f>
        <v>9.1840840000000004</v>
      </c>
      <c r="M115" s="322">
        <f>+'GENERADO NO Sep Origen'!M115+'RECH-RECUP_PS locales'!M275</f>
        <v>9.2606280000000005</v>
      </c>
      <c r="N115" s="322">
        <f>+'GENERADO NO Sep Origen'!N115+'RECH-RECUP_PS locales'!N275</f>
        <v>9.3365740000000006</v>
      </c>
      <c r="O115" s="322">
        <f>+'GENERADO NO Sep Origen'!O115+'RECH-RECUP_PS locales'!O275</f>
        <v>9.4131180000000008</v>
      </c>
      <c r="P115" s="322">
        <f>+'GENERADO NO Sep Origen'!P115+'RECH-RECUP_PS locales'!P275</f>
        <v>9.4890640000000008</v>
      </c>
      <c r="Q115" s="322">
        <f>+'GENERADO NO Sep Origen'!Q115+'RECH-RECUP_PS locales'!Q275</f>
        <v>9.565608000000001</v>
      </c>
      <c r="R115" s="322">
        <f>+'GENERADO NO Sep Origen'!R115+'RECH-RECUP_PS locales'!R275</f>
        <v>9.6415539999999993</v>
      </c>
      <c r="S115" s="322">
        <f>+'GENERADO NO Sep Origen'!S115+'RECH-RECUP_PS locales'!S275</f>
        <v>9.7180980000000012</v>
      </c>
      <c r="T115" s="322">
        <f>+'GENERADO NO Sep Origen'!T115+'RECH-RECUP_PS locales'!T275</f>
        <v>9.7940439999999995</v>
      </c>
      <c r="U115" s="322">
        <f>+'GENERADO NO Sep Origen'!U115+'RECH-RECUP_PS locales'!U275</f>
        <v>9.8705880000000015</v>
      </c>
      <c r="V115" s="322">
        <f>+'GENERADO NO Sep Origen'!V115+'RECH-RECUP_PS locales'!V275</f>
        <v>9.9471319999999999</v>
      </c>
      <c r="W115" s="322">
        <f>+'GENERADO NO Sep Origen'!W115+'RECH-RECUP_PS locales'!W275</f>
        <v>10.023078000000002</v>
      </c>
      <c r="X115" s="322">
        <f>+'GENERADO NO Sep Origen'!X115+'RECH-RECUP_PS locales'!X275</f>
        <v>10.099622</v>
      </c>
      <c r="Y115" s="322">
        <f>+'GENERADO NO Sep Origen'!Y115+'RECH-RECUP_PS locales'!Y275</f>
        <v>10.175568000000002</v>
      </c>
      <c r="Z115" s="322">
        <f>+'GENERADO NO Sep Origen'!Z115+'RECH-RECUP_PS locales'!Z275</f>
        <v>10.252112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28"/>
      <c r="E116" s="278"/>
      <c r="F116" s="263"/>
      <c r="G116" s="322">
        <f>+'GENERADO NO Sep Origen'!G116+'RECH-RECUP_PS locales'!G276</f>
        <v>12.661030800000001</v>
      </c>
      <c r="H116" s="322">
        <f>+'GENERADO NO Sep Origen'!H116+'RECH-RECUP_PS locales'!H276</f>
        <v>11.884302400000001</v>
      </c>
      <c r="I116" s="322">
        <f>+'GENERADO NO Sep Origen'!I116+'RECH-RECUP_PS locales'!I276</f>
        <v>11.088760000000001</v>
      </c>
      <c r="J116" s="322">
        <f>+'GENERADO NO Sep Origen'!J116+'RECH-RECUP_PS locales'!J276</f>
        <v>9.8808000000000007</v>
      </c>
      <c r="K116" s="322">
        <f>+'GENERADO NO Sep Origen'!K116+'RECH-RECUP_PS locales'!K276</f>
        <v>8.6470800000000008</v>
      </c>
      <c r="L116" s="322">
        <f>+'GENERADO NO Sep Origen'!L116+'RECH-RECUP_PS locales'!L276</f>
        <v>8.7308000000000003</v>
      </c>
      <c r="M116" s="322">
        <f>+'GENERADO NO Sep Origen'!M116+'RECH-RECUP_PS locales'!M276</f>
        <v>8.8145200000000017</v>
      </c>
      <c r="N116" s="322">
        <f>+'GENERADO NO Sep Origen'!N116+'RECH-RECUP_PS locales'!N276</f>
        <v>8.8982400000000013</v>
      </c>
      <c r="O116" s="322">
        <f>+'GENERADO NO Sep Origen'!O116+'RECH-RECUP_PS locales'!O276</f>
        <v>8.9819600000000008</v>
      </c>
      <c r="P116" s="322">
        <f>+'GENERADO NO Sep Origen'!P116+'RECH-RECUP_PS locales'!P276</f>
        <v>9.0656800000000004</v>
      </c>
      <c r="Q116" s="322">
        <f>+'GENERADO NO Sep Origen'!Q116+'RECH-RECUP_PS locales'!Q276</f>
        <v>9.1488019999999999</v>
      </c>
      <c r="R116" s="322">
        <f>+'GENERADO NO Sep Origen'!R116+'RECH-RECUP_PS locales'!R276</f>
        <v>9.2325220000000012</v>
      </c>
      <c r="S116" s="322">
        <f>+'GENERADO NO Sep Origen'!S116+'RECH-RECUP_PS locales'!S276</f>
        <v>9.316241999999999</v>
      </c>
      <c r="T116" s="322">
        <f>+'GENERADO NO Sep Origen'!T116+'RECH-RECUP_PS locales'!T276</f>
        <v>9.3999620000000021</v>
      </c>
      <c r="U116" s="322">
        <f>+'GENERADO NO Sep Origen'!U116+'RECH-RECUP_PS locales'!U276</f>
        <v>9.4836819999999999</v>
      </c>
      <c r="V116" s="322">
        <f>+'GENERADO NO Sep Origen'!V116+'RECH-RECUP_PS locales'!V276</f>
        <v>9.5674020000000013</v>
      </c>
      <c r="W116" s="322">
        <f>+'GENERADO NO Sep Origen'!W116+'RECH-RECUP_PS locales'!W276</f>
        <v>9.6511220000000009</v>
      </c>
      <c r="X116" s="322">
        <f>+'GENERADO NO Sep Origen'!X116+'RECH-RECUP_PS locales'!X276</f>
        <v>9.7348420000000004</v>
      </c>
      <c r="Y116" s="322">
        <f>+'GENERADO NO Sep Origen'!Y116+'RECH-RECUP_PS locales'!Y276</f>
        <v>9.8185620000000018</v>
      </c>
      <c r="Z116" s="322">
        <f>+'GENERADO NO Sep Origen'!Z116+'RECH-RECUP_PS locales'!Z276</f>
        <v>9.9016840000000013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28"/>
      <c r="E117" s="278"/>
      <c r="F117" s="263"/>
      <c r="G117" s="322">
        <f>+'GENERADO NO Sep Origen'!G117+'RECH-RECUP_PS locales'!G277</f>
        <v>22.8737718</v>
      </c>
      <c r="H117" s="322">
        <f>+'GENERADO NO Sep Origen'!H117+'RECH-RECUP_PS locales'!H277</f>
        <v>21.386136000000004</v>
      </c>
      <c r="I117" s="322">
        <f>+'GENERADO NO Sep Origen'!I117+'RECH-RECUP_PS locales'!I277</f>
        <v>19.880565000000004</v>
      </c>
      <c r="J117" s="322">
        <f>+'GENERADO NO Sep Origen'!J117+'RECH-RECUP_PS locales'!J277</f>
        <v>17.649000000000001</v>
      </c>
      <c r="K117" s="322">
        <f>+'GENERADO NO Sep Origen'!K117+'RECH-RECUP_PS locales'!K277</f>
        <v>15.389504000000001</v>
      </c>
      <c r="L117" s="322">
        <f>+'GENERADO NO Sep Origen'!L117+'RECH-RECUP_PS locales'!L277</f>
        <v>15.483897000000001</v>
      </c>
      <c r="M117" s="322">
        <f>+'GENERADO NO Sep Origen'!M117+'RECH-RECUP_PS locales'!M277</f>
        <v>15.578979</v>
      </c>
      <c r="N117" s="322">
        <f>+'GENERADO NO Sep Origen'!N117+'RECH-RECUP_PS locales'!N277</f>
        <v>15.67475</v>
      </c>
      <c r="O117" s="322">
        <f>+'GENERADO NO Sep Origen'!O117+'RECH-RECUP_PS locales'!O277</f>
        <v>15.770521000000002</v>
      </c>
      <c r="P117" s="322">
        <f>+'GENERADO NO Sep Origen'!P117+'RECH-RECUP_PS locales'!P277</f>
        <v>15.866981000000001</v>
      </c>
      <c r="Q117" s="322">
        <f>+'GENERADO NO Sep Origen'!Q117+'RECH-RECUP_PS locales'!Q277</f>
        <v>15.964819</v>
      </c>
      <c r="R117" s="322">
        <f>+'GENERADO NO Sep Origen'!R117+'RECH-RECUP_PS locales'!R277</f>
        <v>16.062657000000002</v>
      </c>
      <c r="S117" s="322">
        <f>+'GENERADO NO Sep Origen'!S117+'RECH-RECUP_PS locales'!S277</f>
        <v>16.161183999999999</v>
      </c>
      <c r="T117" s="322">
        <f>+'GENERADO NO Sep Origen'!T117+'RECH-RECUP_PS locales'!T277</f>
        <v>16.259711000000003</v>
      </c>
      <c r="U117" s="322">
        <f>+'GENERADO NO Sep Origen'!U117+'RECH-RECUP_PS locales'!U277</f>
        <v>16.359616000000003</v>
      </c>
      <c r="V117" s="322">
        <f>+'GENERADO NO Sep Origen'!V117+'RECH-RECUP_PS locales'!V277</f>
        <v>16.460210000000004</v>
      </c>
      <c r="W117" s="322">
        <f>+'GENERADO NO Sep Origen'!W117+'RECH-RECUP_PS locales'!W277</f>
        <v>16.560803999999997</v>
      </c>
      <c r="X117" s="322">
        <f>+'GENERADO NO Sep Origen'!X117+'RECH-RECUP_PS locales'!X277</f>
        <v>16.662776000000001</v>
      </c>
      <c r="Y117" s="322">
        <f>+'GENERADO NO Sep Origen'!Y117+'RECH-RECUP_PS locales'!Y277</f>
        <v>16.764748000000001</v>
      </c>
      <c r="Z117" s="322">
        <f>+'GENERADO NO Sep Origen'!Z117+'RECH-RECUP_PS locales'!Z277</f>
        <v>16.867409000000002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28"/>
      <c r="E118" s="278"/>
      <c r="F118" s="263"/>
      <c r="G118" s="322">
        <f>+'GENERADO NO Sep Origen'!G118+'RECH-RECUP_PS locales'!G278</f>
        <v>12.769416000000001</v>
      </c>
      <c r="H118" s="322">
        <f>+'GENERADO NO Sep Origen'!H118+'RECH-RECUP_PS locales'!H278</f>
        <v>12.059507200000001</v>
      </c>
      <c r="I118" s="322">
        <f>+'GENERADO NO Sep Origen'!I118+'RECH-RECUP_PS locales'!I278</f>
        <v>11.320232000000001</v>
      </c>
      <c r="J118" s="322">
        <f>+'GENERADO NO Sep Origen'!J118+'RECH-RECUP_PS locales'!J278</f>
        <v>10.145759999999999</v>
      </c>
      <c r="K118" s="322">
        <f>+'GENERADO NO Sep Origen'!K118+'RECH-RECUP_PS locales'!K278</f>
        <v>8.9293360000000011</v>
      </c>
      <c r="L118" s="322">
        <f>+'GENERADO NO Sep Origen'!L118+'RECH-RECUP_PS locales'!L278</f>
        <v>9.0656800000000004</v>
      </c>
      <c r="M118" s="322">
        <f>+'GENERADO NO Sep Origen'!M118+'RECH-RECUP_PS locales'!M278</f>
        <v>9.2014260000000014</v>
      </c>
      <c r="N118" s="322">
        <f>+'GENERADO NO Sep Origen'!N118+'RECH-RECUP_PS locales'!N278</f>
        <v>9.3377700000000026</v>
      </c>
      <c r="O118" s="322">
        <f>+'GENERADO NO Sep Origen'!O118+'RECH-RECUP_PS locales'!O278</f>
        <v>9.4741140000000001</v>
      </c>
      <c r="P118" s="322">
        <f>+'GENERADO NO Sep Origen'!P118+'RECH-RECUP_PS locales'!P278</f>
        <v>9.6104580000000013</v>
      </c>
      <c r="Q118" s="322">
        <f>+'GENERADO NO Sep Origen'!Q118+'RECH-RECUP_PS locales'!Q278</f>
        <v>9.7468019999999989</v>
      </c>
      <c r="R118" s="322">
        <f>+'GENERADO NO Sep Origen'!R118+'RECH-RECUP_PS locales'!R278</f>
        <v>9.883146</v>
      </c>
      <c r="S118" s="322">
        <f>+'GENERADO NO Sep Origen'!S118+'RECH-RECUP_PS locales'!S278</f>
        <v>10.019490000000001</v>
      </c>
      <c r="T118" s="322">
        <f>+'GENERADO NO Sep Origen'!T118+'RECH-RECUP_PS locales'!T278</f>
        <v>10.155834000000002</v>
      </c>
      <c r="U118" s="322">
        <f>+'GENERADO NO Sep Origen'!U118+'RECH-RECUP_PS locales'!U278</f>
        <v>10.291580000000002</v>
      </c>
      <c r="V118" s="322">
        <f>+'GENERADO NO Sep Origen'!V118+'RECH-RECUP_PS locales'!V278</f>
        <v>10.427924000000001</v>
      </c>
      <c r="W118" s="322">
        <f>+'GENERADO NO Sep Origen'!W118+'RECH-RECUP_PS locales'!W278</f>
        <v>10.564268</v>
      </c>
      <c r="X118" s="322">
        <f>+'GENERADO NO Sep Origen'!X118+'RECH-RECUP_PS locales'!X278</f>
        <v>10.700612</v>
      </c>
      <c r="Y118" s="322">
        <f>+'GENERADO NO Sep Origen'!Y118+'RECH-RECUP_PS locales'!Y278</f>
        <v>10.836956000000001</v>
      </c>
      <c r="Z118" s="322">
        <f>+'GENERADO NO Sep Origen'!Z118+'RECH-RECUP_PS locales'!Z278</f>
        <v>10.973300000000002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28"/>
      <c r="E119" s="278"/>
      <c r="F119" s="263"/>
      <c r="G119" s="322">
        <f>+'GENERADO NO Sep Origen'!G119+'RECH-RECUP_PS locales'!G279</f>
        <v>16.199587800000003</v>
      </c>
      <c r="H119" s="322">
        <f>+'GENERADO NO Sep Origen'!H119+'RECH-RECUP_PS locales'!H279</f>
        <v>15.121451200000001</v>
      </c>
      <c r="I119" s="322">
        <f>+'GENERADO NO Sep Origen'!I119+'RECH-RECUP_PS locales'!I279</f>
        <v>14.032174000000003</v>
      </c>
      <c r="J119" s="322">
        <f>+'GENERADO NO Sep Origen'!J119+'RECH-RECUP_PS locales'!J279</f>
        <v>12.436185000000002</v>
      </c>
      <c r="K119" s="322">
        <f>+'GENERADO NO Sep Origen'!K119+'RECH-RECUP_PS locales'!K279</f>
        <v>10.826257000000002</v>
      </c>
      <c r="L119" s="322">
        <f>+'GENERADO NO Sep Origen'!L119+'RECH-RECUP_PS locales'!L279</f>
        <v>10.873798000000001</v>
      </c>
      <c r="M119" s="322">
        <f>+'GENERADO NO Sep Origen'!M119+'RECH-RECUP_PS locales'!M279</f>
        <v>10.922028000000003</v>
      </c>
      <c r="N119" s="322">
        <f>+'GENERADO NO Sep Origen'!N119+'RECH-RECUP_PS locales'!N279</f>
        <v>10.970258000000001</v>
      </c>
      <c r="O119" s="322">
        <f>+'GENERADO NO Sep Origen'!O119+'RECH-RECUP_PS locales'!O279</f>
        <v>11.019177000000001</v>
      </c>
      <c r="P119" s="322">
        <f>+'GENERADO NO Sep Origen'!P119+'RECH-RECUP_PS locales'!P279</f>
        <v>11.068096000000001</v>
      </c>
      <c r="Q119" s="322">
        <f>+'GENERADO NO Sep Origen'!Q119+'RECH-RECUP_PS locales'!Q279</f>
        <v>11.117015000000002</v>
      </c>
      <c r="R119" s="322">
        <f>+'GENERADO NO Sep Origen'!R119+'RECH-RECUP_PS locales'!R279</f>
        <v>11.165934</v>
      </c>
      <c r="S119" s="322">
        <f>+'GENERADO NO Sep Origen'!S119+'RECH-RECUP_PS locales'!S279</f>
        <v>11.215542000000001</v>
      </c>
      <c r="T119" s="322">
        <f>+'GENERADO NO Sep Origen'!T119+'RECH-RECUP_PS locales'!T279</f>
        <v>11.26515</v>
      </c>
      <c r="U119" s="322">
        <f>+'GENERADO NO Sep Origen'!U119+'RECH-RECUP_PS locales'!U279</f>
        <v>11.315447000000001</v>
      </c>
      <c r="V119" s="322">
        <f>+'GENERADO NO Sep Origen'!V119+'RECH-RECUP_PS locales'!V279</f>
        <v>11.365055000000002</v>
      </c>
      <c r="W119" s="322">
        <f>+'GENERADO NO Sep Origen'!W119+'RECH-RECUP_PS locales'!W279</f>
        <v>11.416041</v>
      </c>
      <c r="X119" s="322">
        <f>+'GENERADO NO Sep Origen'!X119+'RECH-RECUP_PS locales'!X279</f>
        <v>11.466338000000002</v>
      </c>
      <c r="Y119" s="322">
        <f>+'GENERADO NO Sep Origen'!Y119+'RECH-RECUP_PS locales'!Y279</f>
        <v>11.517323999999999</v>
      </c>
      <c r="Z119" s="322">
        <f>+'GENERADO NO Sep Origen'!Z119+'RECH-RECUP_PS locales'!Z279</f>
        <v>11.568310000000002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28"/>
      <c r="E120" s="278"/>
      <c r="F120" s="263"/>
      <c r="G120" s="322">
        <f>+'GENERADO NO Sep Origen'!G120+'RECH-RECUP_PS locales'!G280</f>
        <v>34.935575399999998</v>
      </c>
      <c r="H120" s="322">
        <f>+'GENERADO NO Sep Origen'!H120+'RECH-RECUP_PS locales'!H280</f>
        <v>32.859363999999999</v>
      </c>
      <c r="I120" s="322">
        <f>+'GENERADO NO Sep Origen'!I120+'RECH-RECUP_PS locales'!I280</f>
        <v>30.722298000000002</v>
      </c>
      <c r="J120" s="322">
        <f>+'GENERADO NO Sep Origen'!J120+'RECH-RECUP_PS locales'!J280</f>
        <v>27.429090000000002</v>
      </c>
      <c r="K120" s="322">
        <f>+'GENERADO NO Sep Origen'!K120+'RECH-RECUP_PS locales'!K280</f>
        <v>24.050234000000003</v>
      </c>
      <c r="L120" s="322">
        <f>+'GENERADO NO Sep Origen'!L120+'RECH-RECUP_PS locales'!L280</f>
        <v>24.328589999999998</v>
      </c>
      <c r="M120" s="322">
        <f>+'GENERADO NO Sep Origen'!M120+'RECH-RECUP_PS locales'!M280</f>
        <v>24.606946000000004</v>
      </c>
      <c r="N120" s="322">
        <f>+'GENERADO NO Sep Origen'!N120+'RECH-RECUP_PS locales'!N280</f>
        <v>24.885302000000003</v>
      </c>
      <c r="O120" s="322">
        <f>+'GENERADO NO Sep Origen'!O120+'RECH-RECUP_PS locales'!O280</f>
        <v>25.163658000000005</v>
      </c>
      <c r="P120" s="322">
        <f>+'GENERADO NO Sep Origen'!P120+'RECH-RECUP_PS locales'!P280</f>
        <v>25.442014000000004</v>
      </c>
      <c r="Q120" s="322">
        <f>+'GENERADO NO Sep Origen'!Q120+'RECH-RECUP_PS locales'!Q280</f>
        <v>25.720370000000003</v>
      </c>
      <c r="R120" s="322">
        <f>+'GENERADO NO Sep Origen'!R120+'RECH-RECUP_PS locales'!R280</f>
        <v>25.998726000000005</v>
      </c>
      <c r="S120" s="322">
        <f>+'GENERADO NO Sep Origen'!S120+'RECH-RECUP_PS locales'!S280</f>
        <v>26.277082</v>
      </c>
      <c r="T120" s="322">
        <f>+'GENERADO NO Sep Origen'!T120+'RECH-RECUP_PS locales'!T280</f>
        <v>26.555438000000002</v>
      </c>
      <c r="U120" s="322">
        <f>+'GENERADO NO Sep Origen'!U120+'RECH-RECUP_PS locales'!U280</f>
        <v>26.833794000000005</v>
      </c>
      <c r="V120" s="322">
        <f>+'GENERADO NO Sep Origen'!V120+'RECH-RECUP_PS locales'!V280</f>
        <v>27.11215</v>
      </c>
      <c r="W120" s="322">
        <f>+'GENERADO NO Sep Origen'!W120+'RECH-RECUP_PS locales'!W280</f>
        <v>27.390506000000006</v>
      </c>
      <c r="X120" s="322">
        <f>+'GENERADO NO Sep Origen'!X120+'RECH-RECUP_PS locales'!X280</f>
        <v>27.668862000000004</v>
      </c>
      <c r="Y120" s="322">
        <f>+'GENERADO NO Sep Origen'!Y120+'RECH-RECUP_PS locales'!Y280</f>
        <v>27.947217999999999</v>
      </c>
      <c r="Z120" s="322">
        <f>+'GENERADO NO Sep Origen'!Z120+'RECH-RECUP_PS locales'!Z280</f>
        <v>28.225574000000002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28"/>
      <c r="E121" s="278"/>
      <c r="F121" s="263"/>
      <c r="G121" s="322">
        <f>+'GENERADO NO Sep Origen'!G121+'RECH-RECUP_PS locales'!G281</f>
        <v>7.4731140000000007</v>
      </c>
      <c r="H121" s="322">
        <f>+'GENERADO NO Sep Origen'!H121+'RECH-RECUP_PS locales'!H281</f>
        <v>6.9726432000000003</v>
      </c>
      <c r="I121" s="322">
        <f>+'GENERADO NO Sep Origen'!I121+'RECH-RECUP_PS locales'!I281</f>
        <v>6.4671400000000006</v>
      </c>
      <c r="J121" s="322">
        <f>+'GENERADO NO Sep Origen'!J121+'RECH-RECUP_PS locales'!J281</f>
        <v>5.7290700000000001</v>
      </c>
      <c r="K121" s="322">
        <f>+'GENERADO NO Sep Origen'!K121+'RECH-RECUP_PS locales'!K281</f>
        <v>4.9843299999999999</v>
      </c>
      <c r="L121" s="322">
        <f>+'GENERADO NO Sep Origen'!L121+'RECH-RECUP_PS locales'!L281</f>
        <v>5.0040640000000005</v>
      </c>
      <c r="M121" s="322">
        <f>+'GENERADO NO Sep Origen'!M121+'RECH-RECUP_PS locales'!M281</f>
        <v>5.0237980000000011</v>
      </c>
      <c r="N121" s="322">
        <f>+'GENERADO NO Sep Origen'!N121+'RECH-RECUP_PS locales'!N281</f>
        <v>5.0429340000000007</v>
      </c>
      <c r="O121" s="322">
        <f>+'GENERADO NO Sep Origen'!O121+'RECH-RECUP_PS locales'!O281</f>
        <v>5.0626680000000004</v>
      </c>
      <c r="P121" s="322">
        <f>+'GENERADO NO Sep Origen'!P121+'RECH-RECUP_PS locales'!P281</f>
        <v>5.081804</v>
      </c>
      <c r="Q121" s="322">
        <f>+'GENERADO NO Sep Origen'!Q121+'RECH-RECUP_PS locales'!Q281</f>
        <v>5.1015380000000006</v>
      </c>
      <c r="R121" s="322">
        <f>+'GENERADO NO Sep Origen'!R121+'RECH-RECUP_PS locales'!R281</f>
        <v>5.1206740000000002</v>
      </c>
      <c r="S121" s="322">
        <f>+'GENERADO NO Sep Origen'!S121+'RECH-RECUP_PS locales'!S281</f>
        <v>5.1404080000000008</v>
      </c>
      <c r="T121" s="322">
        <f>+'GENERADO NO Sep Origen'!T121+'RECH-RECUP_PS locales'!T281</f>
        <v>5.1595440000000004</v>
      </c>
      <c r="U121" s="322">
        <f>+'GENERADO NO Sep Origen'!U121+'RECH-RECUP_PS locales'!U281</f>
        <v>5.179278</v>
      </c>
      <c r="V121" s="322">
        <f>+'GENERADO NO Sep Origen'!V121+'RECH-RECUP_PS locales'!V281</f>
        <v>5.1984139999999996</v>
      </c>
      <c r="W121" s="322">
        <f>+'GENERADO NO Sep Origen'!W121+'RECH-RECUP_PS locales'!W281</f>
        <v>5.2181480000000002</v>
      </c>
      <c r="X121" s="322">
        <f>+'GENERADO NO Sep Origen'!X121+'RECH-RECUP_PS locales'!X281</f>
        <v>5.2372840000000007</v>
      </c>
      <c r="Y121" s="322">
        <f>+'GENERADO NO Sep Origen'!Y121+'RECH-RECUP_PS locales'!Y281</f>
        <v>5.2570180000000004</v>
      </c>
      <c r="Z121" s="322">
        <f>+'GENERADO NO Sep Origen'!Z121+'RECH-RECUP_PS locales'!Z281</f>
        <v>5.276154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28"/>
      <c r="E122" s="278"/>
      <c r="F122" s="263"/>
      <c r="G122" s="322">
        <f>+'GENERADO NO Sep Origen'!G122+'RECH-RECUP_PS locales'!G282</f>
        <v>36.253621799999998</v>
      </c>
      <c r="H122" s="322">
        <f>+'GENERADO NO Sep Origen'!H122+'RECH-RECUP_PS locales'!H282</f>
        <v>34.176859200000003</v>
      </c>
      <c r="I122" s="322">
        <f>+'GENERADO NO Sep Origen'!I122+'RECH-RECUP_PS locales'!I282</f>
        <v>32.032352000000003</v>
      </c>
      <c r="J122" s="322">
        <f>+'GENERADO NO Sep Origen'!J122+'RECH-RECUP_PS locales'!J282</f>
        <v>28.672469999999997</v>
      </c>
      <c r="K122" s="322">
        <f>+'GENERADO NO Sep Origen'!K122+'RECH-RECUP_PS locales'!K282</f>
        <v>25.207754000000005</v>
      </c>
      <c r="L122" s="322">
        <f>+'GENERADO NO Sep Origen'!L122+'RECH-RECUP_PS locales'!L282</f>
        <v>25.572235000000003</v>
      </c>
      <c r="M122" s="322">
        <f>+'GENERADO NO Sep Origen'!M122+'RECH-RECUP_PS locales'!M282</f>
        <v>25.940849999999998</v>
      </c>
      <c r="N122" s="322">
        <f>+'GENERADO NO Sep Origen'!N122+'RECH-RECUP_PS locales'!N282</f>
        <v>26.315666</v>
      </c>
      <c r="O122" s="322">
        <f>+'GENERADO NO Sep Origen'!O122+'RECH-RECUP_PS locales'!O282</f>
        <v>26.695993999999999</v>
      </c>
      <c r="P122" s="322">
        <f>+'GENERADO NO Sep Origen'!P122+'RECH-RECUP_PS locales'!P282</f>
        <v>27.081144999999999</v>
      </c>
      <c r="Q122" s="322">
        <f>+'GENERADO NO Sep Origen'!Q122+'RECH-RECUP_PS locales'!Q282</f>
        <v>27.472497000000004</v>
      </c>
      <c r="R122" s="322">
        <f>+'GENERADO NO Sep Origen'!R122+'RECH-RECUP_PS locales'!R282</f>
        <v>27.868672000000004</v>
      </c>
      <c r="S122" s="322">
        <f>+'GENERADO NO Sep Origen'!S122+'RECH-RECUP_PS locales'!S282</f>
        <v>28.271048</v>
      </c>
      <c r="T122" s="322">
        <f>+'GENERADO NO Sep Origen'!T122+'RECH-RECUP_PS locales'!T282</f>
        <v>28.679625000000001</v>
      </c>
      <c r="U122" s="322">
        <f>+'GENERADO NO Sep Origen'!U122+'RECH-RECUP_PS locales'!U282</f>
        <v>29.093714000000006</v>
      </c>
      <c r="V122" s="322">
        <f>+'GENERADO NO Sep Origen'!V122+'RECH-RECUP_PS locales'!V282</f>
        <v>29.514004000000007</v>
      </c>
      <c r="W122" s="322">
        <f>+'GENERADO NO Sep Origen'!W122+'RECH-RECUP_PS locales'!W282</f>
        <v>29.939806000000004</v>
      </c>
      <c r="X122" s="322">
        <f>+'GENERADO NO Sep Origen'!X122+'RECH-RECUP_PS locales'!X282</f>
        <v>30.372498000000004</v>
      </c>
      <c r="Y122" s="322">
        <f>+'GENERADO NO Sep Origen'!Y122+'RECH-RECUP_PS locales'!Y282</f>
        <v>30.810702000000003</v>
      </c>
      <c r="Z122" s="322">
        <f>+'GENERADO NO Sep Origen'!Z122+'RECH-RECUP_PS locales'!Z282</f>
        <v>31.255796000000004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28"/>
      <c r="E123" s="278"/>
      <c r="F123" s="263"/>
      <c r="G123" s="322">
        <f>+'GENERADO NO Sep Origen'!G123+'RECH-RECUP_PS locales'!G283</f>
        <v>21.381525</v>
      </c>
      <c r="H123" s="322">
        <f>+'GENERADO NO Sep Origen'!H123+'RECH-RECUP_PS locales'!H283</f>
        <v>20.1203264</v>
      </c>
      <c r="I123" s="322">
        <f>+'GENERADO NO Sep Origen'!I123+'RECH-RECUP_PS locales'!I283</f>
        <v>18.82189</v>
      </c>
      <c r="J123" s="322">
        <f>+'GENERADO NO Sep Origen'!J123+'RECH-RECUP_PS locales'!J283</f>
        <v>16.812660000000001</v>
      </c>
      <c r="K123" s="322">
        <f>+'GENERADO NO Sep Origen'!K123+'RECH-RECUP_PS locales'!K283</f>
        <v>14.748734000000002</v>
      </c>
      <c r="L123" s="322">
        <f>+'GENERADO NO Sep Origen'!L123+'RECH-RECUP_PS locales'!L283</f>
        <v>14.926496000000002</v>
      </c>
      <c r="M123" s="322">
        <f>+'GENERADO NO Sep Origen'!M123+'RECH-RECUP_PS locales'!M283</f>
        <v>15.103569000000002</v>
      </c>
      <c r="N123" s="322">
        <f>+'GENERADO NO Sep Origen'!N123+'RECH-RECUP_PS locales'!N283</f>
        <v>15.281331000000002</v>
      </c>
      <c r="O123" s="322">
        <f>+'GENERADO NO Sep Origen'!O123+'RECH-RECUP_PS locales'!O283</f>
        <v>15.459093000000001</v>
      </c>
      <c r="P123" s="322">
        <f>+'GENERADO NO Sep Origen'!P123+'RECH-RECUP_PS locales'!P283</f>
        <v>15.636855000000001</v>
      </c>
      <c r="Q123" s="322">
        <f>+'GENERADO NO Sep Origen'!Q123+'RECH-RECUP_PS locales'!Q283</f>
        <v>15.814617</v>
      </c>
      <c r="R123" s="322">
        <f>+'GENERADO NO Sep Origen'!R123+'RECH-RECUP_PS locales'!R283</f>
        <v>15.992379000000001</v>
      </c>
      <c r="S123" s="322">
        <f>+'GENERADO NO Sep Origen'!S123+'RECH-RECUP_PS locales'!S283</f>
        <v>16.169452</v>
      </c>
      <c r="T123" s="322">
        <f>+'GENERADO NO Sep Origen'!T123+'RECH-RECUP_PS locales'!T283</f>
        <v>16.347214000000001</v>
      </c>
      <c r="U123" s="322">
        <f>+'GENERADO NO Sep Origen'!U123+'RECH-RECUP_PS locales'!U283</f>
        <v>16.524976000000002</v>
      </c>
      <c r="V123" s="322">
        <f>+'GENERADO NO Sep Origen'!V123+'RECH-RECUP_PS locales'!V283</f>
        <v>16.702738</v>
      </c>
      <c r="W123" s="322">
        <f>+'GENERADO NO Sep Origen'!W123+'RECH-RECUP_PS locales'!W283</f>
        <v>16.880499999999998</v>
      </c>
      <c r="X123" s="322">
        <f>+'GENERADO NO Sep Origen'!X123+'RECH-RECUP_PS locales'!X283</f>
        <v>17.058261999999999</v>
      </c>
      <c r="Y123" s="322">
        <f>+'GENERADO NO Sep Origen'!Y123+'RECH-RECUP_PS locales'!Y283</f>
        <v>17.235335000000003</v>
      </c>
      <c r="Z123" s="322">
        <f>+'GENERADO NO Sep Origen'!Z123+'RECH-RECUP_PS locales'!Z283</f>
        <v>17.413097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28"/>
      <c r="E124" s="278"/>
      <c r="F124" s="263"/>
      <c r="G124" s="322">
        <f>+'GENERADO NO Sep Origen'!G124+'RECH-RECUP_PS locales'!G284</f>
        <v>24.634665000000002</v>
      </c>
      <c r="H124" s="322">
        <f>+'GENERADO NO Sep Origen'!H124+'RECH-RECUP_PS locales'!H284</f>
        <v>23.117116000000003</v>
      </c>
      <c r="I124" s="322">
        <f>+'GENERADO NO Sep Origen'!I124+'RECH-RECUP_PS locales'!I284</f>
        <v>21.566336</v>
      </c>
      <c r="J124" s="322">
        <f>+'GENERADO NO Sep Origen'!J124+'RECH-RECUP_PS locales'!J284</f>
        <v>19.211970000000001</v>
      </c>
      <c r="K124" s="322">
        <f>+'GENERADO NO Sep Origen'!K124+'RECH-RECUP_PS locales'!K284</f>
        <v>16.808844000000001</v>
      </c>
      <c r="L124" s="322">
        <f>+'GENERADO NO Sep Origen'!L124+'RECH-RECUP_PS locales'!L284</f>
        <v>16.967314000000002</v>
      </c>
      <c r="M124" s="322">
        <f>+'GENERADO NO Sep Origen'!M124+'RECH-RECUP_PS locales'!M284</f>
        <v>17.126473000000001</v>
      </c>
      <c r="N124" s="322">
        <f>+'GENERADO NO Sep Origen'!N124+'RECH-RECUP_PS locales'!N284</f>
        <v>17.284943000000002</v>
      </c>
      <c r="O124" s="322">
        <f>+'GENERADO NO Sep Origen'!O124+'RECH-RECUP_PS locales'!O284</f>
        <v>17.443413</v>
      </c>
      <c r="P124" s="322">
        <f>+'GENERADO NO Sep Origen'!P124+'RECH-RECUP_PS locales'!P284</f>
        <v>17.601883000000001</v>
      </c>
      <c r="Q124" s="322">
        <f>+'GENERADO NO Sep Origen'!Q124+'RECH-RECUP_PS locales'!Q284</f>
        <v>17.760353000000002</v>
      </c>
      <c r="R124" s="322">
        <f>+'GENERADO NO Sep Origen'!R124+'RECH-RECUP_PS locales'!R284</f>
        <v>17.919512000000005</v>
      </c>
      <c r="S124" s="322">
        <f>+'GENERADO NO Sep Origen'!S124+'RECH-RECUP_PS locales'!S284</f>
        <v>18.077982000000002</v>
      </c>
      <c r="T124" s="322">
        <f>+'GENERADO NO Sep Origen'!T124+'RECH-RECUP_PS locales'!T284</f>
        <v>18.236452</v>
      </c>
      <c r="U124" s="322">
        <f>+'GENERADO NO Sep Origen'!U124+'RECH-RECUP_PS locales'!U284</f>
        <v>18.394922000000001</v>
      </c>
      <c r="V124" s="322">
        <f>+'GENERADO NO Sep Origen'!V124+'RECH-RECUP_PS locales'!V284</f>
        <v>18.554081000000004</v>
      </c>
      <c r="W124" s="322">
        <f>+'GENERADO NO Sep Origen'!W124+'RECH-RECUP_PS locales'!W284</f>
        <v>18.712551000000001</v>
      </c>
      <c r="X124" s="322">
        <f>+'GENERADO NO Sep Origen'!X124+'RECH-RECUP_PS locales'!X284</f>
        <v>18.871020999999999</v>
      </c>
      <c r="Y124" s="322">
        <f>+'GENERADO NO Sep Origen'!Y124+'RECH-RECUP_PS locales'!Y284</f>
        <v>19.029491</v>
      </c>
      <c r="Z124" s="322">
        <f>+'GENERADO NO Sep Origen'!Z124+'RECH-RECUP_PS locales'!Z284</f>
        <v>19.187961000000001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28"/>
      <c r="E125" s="278"/>
      <c r="F125" s="263"/>
      <c r="G125" s="322">
        <f>+'GENERADO NO Sep Origen'!G125+'RECH-RECUP_PS locales'!G285</f>
        <v>7.7864291999999997</v>
      </c>
      <c r="H125" s="322">
        <f>+'GENERADO NO Sep Origen'!H125+'RECH-RECUP_PS locales'!H285</f>
        <v>7.3035856000000008</v>
      </c>
      <c r="I125" s="322">
        <f>+'GENERADO NO Sep Origen'!I125+'RECH-RECUP_PS locales'!I285</f>
        <v>6.8120019999999997</v>
      </c>
      <c r="J125" s="322">
        <f>+'GENERADO NO Sep Origen'!J125+'RECH-RECUP_PS locales'!J285</f>
        <v>6.0671700000000008</v>
      </c>
      <c r="K125" s="322">
        <f>+'GENERADO NO Sep Origen'!K125+'RECH-RECUP_PS locales'!K285</f>
        <v>5.3078479999999999</v>
      </c>
      <c r="L125" s="322">
        <f>+'GENERADO NO Sep Origen'!L125+'RECH-RECUP_PS locales'!L285</f>
        <v>5.3580800000000002</v>
      </c>
      <c r="M125" s="322">
        <f>+'GENERADO NO Sep Origen'!M125+'RECH-RECUP_PS locales'!M285</f>
        <v>5.4089099999999988</v>
      </c>
      <c r="N125" s="322">
        <f>+'GENERADO NO Sep Origen'!N125+'RECH-RECUP_PS locales'!N285</f>
        <v>5.45974</v>
      </c>
      <c r="O125" s="322">
        <f>+'GENERADO NO Sep Origen'!O125+'RECH-RECUP_PS locales'!O285</f>
        <v>5.5117660000000015</v>
      </c>
      <c r="P125" s="322">
        <f>+'GENERADO NO Sep Origen'!P125+'RECH-RECUP_PS locales'!P285</f>
        <v>5.5637920000000003</v>
      </c>
      <c r="Q125" s="322">
        <f>+'GENERADO NO Sep Origen'!Q125+'RECH-RECUP_PS locales'!Q285</f>
        <v>5.616416000000001</v>
      </c>
      <c r="R125" s="322">
        <f>+'GENERADO NO Sep Origen'!R125+'RECH-RECUP_PS locales'!R285</f>
        <v>5.6696380000000008</v>
      </c>
      <c r="S125" s="322">
        <f>+'GENERADO NO Sep Origen'!S125+'RECH-RECUP_PS locales'!S285</f>
        <v>5.7228599999999998</v>
      </c>
      <c r="T125" s="322">
        <f>+'GENERADO NO Sep Origen'!T125+'RECH-RECUP_PS locales'!T285</f>
        <v>5.7772780000000008</v>
      </c>
      <c r="U125" s="322">
        <f>+'GENERADO NO Sep Origen'!U125+'RECH-RECUP_PS locales'!U285</f>
        <v>5.8316960000000009</v>
      </c>
      <c r="V125" s="322">
        <f>+'GENERADO NO Sep Origen'!V125+'RECH-RECUP_PS locales'!V285</f>
        <v>5.8867119999999993</v>
      </c>
      <c r="W125" s="322">
        <f>+'GENERADO NO Sep Origen'!W125+'RECH-RECUP_PS locales'!W285</f>
        <v>5.9423260000000013</v>
      </c>
      <c r="X125" s="322">
        <f>+'GENERADO NO Sep Origen'!X125+'RECH-RECUP_PS locales'!X285</f>
        <v>5.9985379999999999</v>
      </c>
      <c r="Y125" s="322">
        <f>+'GENERADO NO Sep Origen'!Y125+'RECH-RECUP_PS locales'!Y285</f>
        <v>6.0553480000000004</v>
      </c>
      <c r="Z125" s="322">
        <f>+'GENERADO NO Sep Origen'!Z125+'RECH-RECUP_PS locales'!Z285</f>
        <v>6.1127560000000001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28"/>
      <c r="E126" s="278"/>
      <c r="F126" s="263"/>
      <c r="G126" s="322">
        <f>+'GENERADO NO Sep Origen'!G126+'RECH-RECUP_PS locales'!G286</f>
        <v>160.34311259999998</v>
      </c>
      <c r="H126" s="322">
        <f>+'GENERADO NO Sep Origen'!H126+'RECH-RECUP_PS locales'!H286</f>
        <v>150.6957792</v>
      </c>
      <c r="I126" s="322">
        <f>+'GENERADO NO Sep Origen'!I126+'RECH-RECUP_PS locales'!I286</f>
        <v>140.81640600000003</v>
      </c>
      <c r="J126" s="322">
        <f>+'GENERADO NO Sep Origen'!J126+'RECH-RECUP_PS locales'!J286</f>
        <v>125.67343500000001</v>
      </c>
      <c r="K126" s="322">
        <f>+'GENERADO NO Sep Origen'!K126+'RECH-RECUP_PS locales'!K286</f>
        <v>110.17004700000001</v>
      </c>
      <c r="L126" s="322">
        <f>+'GENERADO NO Sep Origen'!L126+'RECH-RECUP_PS locales'!L286</f>
        <v>111.444333</v>
      </c>
      <c r="M126" s="322">
        <f>+'GENERADO NO Sep Origen'!M126+'RECH-RECUP_PS locales'!M286</f>
        <v>112.73917200000001</v>
      </c>
      <c r="N126" s="322">
        <f>+'GENERADO NO Sep Origen'!N126+'RECH-RECUP_PS locales'!N286</f>
        <v>114.055227</v>
      </c>
      <c r="O126" s="322">
        <f>+'GENERADO NO Sep Origen'!O126+'RECH-RECUP_PS locales'!O286</f>
        <v>115.39249800000002</v>
      </c>
      <c r="P126" s="322">
        <f>+'GENERADO NO Sep Origen'!P126+'RECH-RECUP_PS locales'!P286</f>
        <v>116.75164800000002</v>
      </c>
      <c r="Q126" s="322">
        <f>+'GENERADO NO Sep Origen'!Q126+'RECH-RECUP_PS locales'!Q286</f>
        <v>118.132677</v>
      </c>
      <c r="R126" s="322">
        <f>+'GENERADO NO Sep Origen'!R126+'RECH-RECUP_PS locales'!R286</f>
        <v>119.536911</v>
      </c>
      <c r="S126" s="322">
        <f>+'GENERADO NO Sep Origen'!S126+'RECH-RECUP_PS locales'!S286</f>
        <v>120.96368700000001</v>
      </c>
      <c r="T126" s="322">
        <f>+'GENERADO NO Sep Origen'!T126+'RECH-RECUP_PS locales'!T286</f>
        <v>122.413668</v>
      </c>
      <c r="U126" s="322">
        <f>+'GENERADO NO Sep Origen'!U126+'RECH-RECUP_PS locales'!U286</f>
        <v>123.886854</v>
      </c>
      <c r="V126" s="322">
        <f>+'GENERADO NO Sep Origen'!V126+'RECH-RECUP_PS locales'!V286</f>
        <v>125.38523400000001</v>
      </c>
      <c r="W126" s="322">
        <f>+'GENERADO NO Sep Origen'!W126+'RECH-RECUP_PS locales'!W286</f>
        <v>126.90681900000001</v>
      </c>
      <c r="X126" s="322">
        <f>+'GENERADO NO Sep Origen'!X126+'RECH-RECUP_PS locales'!X286</f>
        <v>128.454261</v>
      </c>
      <c r="Y126" s="322">
        <f>+'GENERADO NO Sep Origen'!Y126+'RECH-RECUP_PS locales'!Y286</f>
        <v>130.02623400000002</v>
      </c>
      <c r="Z126" s="322">
        <f>+'GENERADO NO Sep Origen'!Z126+'RECH-RECUP_PS locales'!Z286</f>
        <v>131.624064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28"/>
      <c r="E127" s="278"/>
      <c r="F127" s="263"/>
      <c r="G127" s="322">
        <f>+'GENERADO NO Sep Origen'!G127+'RECH-RECUP_PS locales'!G287</f>
        <v>59.149034999999998</v>
      </c>
      <c r="H127" s="322">
        <f>+'GENERADO NO Sep Origen'!H127+'RECH-RECUP_PS locales'!H287</f>
        <v>55.694978400000004</v>
      </c>
      <c r="I127" s="322">
        <f>+'GENERADO NO Sep Origen'!I127+'RECH-RECUP_PS locales'!I287</f>
        <v>52.139645999999999</v>
      </c>
      <c r="J127" s="322">
        <f>+'GENERADO NO Sep Origen'!J127+'RECH-RECUP_PS locales'!J287</f>
        <v>46.615275000000004</v>
      </c>
      <c r="K127" s="322">
        <f>+'GENERADO NO Sep Origen'!K127+'RECH-RECUP_PS locales'!K287</f>
        <v>40.934946000000004</v>
      </c>
      <c r="L127" s="322">
        <f>+'GENERADO NO Sep Origen'!L127+'RECH-RECUP_PS locales'!L287</f>
        <v>41.477280000000007</v>
      </c>
      <c r="M127" s="322">
        <f>+'GENERADO NO Sep Origen'!M127+'RECH-RECUP_PS locales'!M287</f>
        <v>42.026907000000001</v>
      </c>
      <c r="N127" s="322">
        <f>+'GENERADO NO Sep Origen'!N127+'RECH-RECUP_PS locales'!N287</f>
        <v>42.583826999999999</v>
      </c>
      <c r="O127" s="322">
        <f>+'GENERADO NO Sep Origen'!O127+'RECH-RECUP_PS locales'!O287</f>
        <v>43.148040000000009</v>
      </c>
      <c r="P127" s="322">
        <f>+'GENERADO NO Sep Origen'!P127+'RECH-RECUP_PS locales'!P287</f>
        <v>43.719546000000001</v>
      </c>
      <c r="Q127" s="322">
        <f>+'GENERADO NO Sep Origen'!Q127+'RECH-RECUP_PS locales'!Q287</f>
        <v>44.299008000000001</v>
      </c>
      <c r="R127" s="322">
        <f>+'GENERADO NO Sep Origen'!R127+'RECH-RECUP_PS locales'!R287</f>
        <v>44.885762999999997</v>
      </c>
      <c r="S127" s="322">
        <f>+'GENERADO NO Sep Origen'!S127+'RECH-RECUP_PS locales'!S287</f>
        <v>45.480474000000001</v>
      </c>
      <c r="T127" s="322">
        <f>+'GENERADO NO Sep Origen'!T127+'RECH-RECUP_PS locales'!T287</f>
        <v>46.083140999999998</v>
      </c>
      <c r="U127" s="322">
        <f>+'GENERADO NO Sep Origen'!U127+'RECH-RECUP_PS locales'!U287</f>
        <v>46.693763999999994</v>
      </c>
      <c r="V127" s="322">
        <f>+'GENERADO NO Sep Origen'!V127+'RECH-RECUP_PS locales'!V287</f>
        <v>47.312342999999998</v>
      </c>
      <c r="W127" s="322">
        <f>+'GENERADO NO Sep Origen'!W127+'RECH-RECUP_PS locales'!W287</f>
        <v>47.938877999999995</v>
      </c>
      <c r="X127" s="322">
        <f>+'GENERADO NO Sep Origen'!X127+'RECH-RECUP_PS locales'!X287</f>
        <v>48.574032000000003</v>
      </c>
      <c r="Y127" s="322">
        <f>+'GENERADO NO Sep Origen'!Y127+'RECH-RECUP_PS locales'!Y287</f>
        <v>49.217804999999998</v>
      </c>
      <c r="Z127" s="322">
        <f>+'GENERADO NO Sep Origen'!Z127+'RECH-RECUP_PS locales'!Z287</f>
        <v>49.870197000000005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28"/>
      <c r="E128" s="278"/>
      <c r="F128" s="263"/>
      <c r="G128" s="322">
        <f>+'GENERADO NO Sep Origen'!G128+'RECH-RECUP_PS locales'!G288</f>
        <v>112.02216300000001</v>
      </c>
      <c r="H128" s="322">
        <f>+'GENERADO NO Sep Origen'!H128+'RECH-RECUP_PS locales'!H288</f>
        <v>107.64292560000001</v>
      </c>
      <c r="I128" s="322">
        <f>+'GENERADO NO Sep Origen'!I128+'RECH-RECUP_PS locales'!I288</f>
        <v>102.77764800000001</v>
      </c>
      <c r="J128" s="322">
        <f>+'GENERADO NO Sep Origen'!J128+'RECH-RECUP_PS locales'!J288</f>
        <v>93.668129999999991</v>
      </c>
      <c r="K128" s="322">
        <f>+'GENERADO NO Sep Origen'!K128+'RECH-RECUP_PS locales'!K288</f>
        <v>83.805852000000016</v>
      </c>
      <c r="L128" s="322">
        <f>+'GENERADO NO Sep Origen'!L128+'RECH-RECUP_PS locales'!L288</f>
        <v>86.475089999999994</v>
      </c>
      <c r="M128" s="322">
        <f>+'GENERADO NO Sep Origen'!M128+'RECH-RECUP_PS locales'!M288</f>
        <v>89.188086000000013</v>
      </c>
      <c r="N128" s="322">
        <f>+'GENERADO NO Sep Origen'!N128+'RECH-RECUP_PS locales'!N288</f>
        <v>91.945503000000002</v>
      </c>
      <c r="O128" s="322">
        <f>+'GENERADO NO Sep Origen'!O128+'RECH-RECUP_PS locales'!O288</f>
        <v>94.747341000000006</v>
      </c>
      <c r="P128" s="322">
        <f>+'GENERADO NO Sep Origen'!P128+'RECH-RECUP_PS locales'!P288</f>
        <v>97.595589000000018</v>
      </c>
      <c r="Q128" s="322">
        <f>+'GENERADO NO Sep Origen'!Q128+'RECH-RECUP_PS locales'!Q288</f>
        <v>100.48958400000001</v>
      </c>
      <c r="R128" s="322">
        <f>+'GENERADO NO Sep Origen'!R128+'RECH-RECUP_PS locales'!R288</f>
        <v>103.43131500000001</v>
      </c>
      <c r="S128" s="322">
        <f>+'GENERADO NO Sep Origen'!S128+'RECH-RECUP_PS locales'!S288</f>
        <v>106.420782</v>
      </c>
      <c r="T128" s="322">
        <f>+'GENERADO NO Sep Origen'!T128+'RECH-RECUP_PS locales'!T288</f>
        <v>109.45931100000001</v>
      </c>
      <c r="U128" s="322">
        <f>+'GENERADO NO Sep Origen'!U128+'RECH-RECUP_PS locales'!U288</f>
        <v>112.54690200000002</v>
      </c>
      <c r="V128" s="322">
        <f>+'GENERADO NO Sep Origen'!V128+'RECH-RECUP_PS locales'!V288</f>
        <v>115.68488099999999</v>
      </c>
      <c r="W128" s="322">
        <f>+'GENERADO NO Sep Origen'!W128+'RECH-RECUP_PS locales'!W288</f>
        <v>118.87457400000001</v>
      </c>
      <c r="X128" s="322">
        <f>+'GENERADO NO Sep Origen'!X128+'RECH-RECUP_PS locales'!X288</f>
        <v>122.11598099999999</v>
      </c>
      <c r="Y128" s="322">
        <f>+'GENERADO NO Sep Origen'!Y128+'RECH-RECUP_PS locales'!Y288</f>
        <v>125.41042800000001</v>
      </c>
      <c r="Z128" s="322">
        <f>+'GENERADO NO Sep Origen'!Z128+'RECH-RECUP_PS locales'!Z288</f>
        <v>128.758578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28"/>
      <c r="E129" s="278"/>
      <c r="F129" s="263"/>
      <c r="G129" s="322">
        <f>+'GENERADO NO Sep Origen'!G129+'RECH-RECUP_PS locales'!G289</f>
        <v>9.5415407999999999</v>
      </c>
      <c r="H129" s="322">
        <f>+'GENERADO NO Sep Origen'!H129+'RECH-RECUP_PS locales'!H289</f>
        <v>8.977764800000001</v>
      </c>
      <c r="I129" s="322">
        <f>+'GENERADO NO Sep Origen'!I129+'RECH-RECUP_PS locales'!I289</f>
        <v>8.3971160000000005</v>
      </c>
      <c r="J129" s="322">
        <f>+'GENERADO NO Sep Origen'!J129+'RECH-RECUP_PS locales'!J289</f>
        <v>7.4996100000000006</v>
      </c>
      <c r="K129" s="322">
        <f>+'GENERADO NO Sep Origen'!K129+'RECH-RECUP_PS locales'!K289</f>
        <v>6.5779999999999994</v>
      </c>
      <c r="L129" s="322">
        <f>+'GENERADO NO Sep Origen'!L129+'RECH-RECUP_PS locales'!L289</f>
        <v>6.6563379999999999</v>
      </c>
      <c r="M129" s="322">
        <f>+'GENERADO NO Sep Origen'!M129+'RECH-RECUP_PS locales'!M289</f>
        <v>6.7346760000000003</v>
      </c>
      <c r="N129" s="322">
        <f>+'GENERADO NO Sep Origen'!N129+'RECH-RECUP_PS locales'!N289</f>
        <v>6.8136119999999991</v>
      </c>
      <c r="O129" s="322">
        <f>+'GENERADO NO Sep Origen'!O129+'RECH-RECUP_PS locales'!O289</f>
        <v>6.8919499999999996</v>
      </c>
      <c r="P129" s="322">
        <f>+'GENERADO NO Sep Origen'!P129+'RECH-RECUP_PS locales'!P289</f>
        <v>6.970288</v>
      </c>
      <c r="Q129" s="322">
        <f>+'GENERADO NO Sep Origen'!Q129+'RECH-RECUP_PS locales'!Q289</f>
        <v>7.0486260000000014</v>
      </c>
      <c r="R129" s="322">
        <f>+'GENERADO NO Sep Origen'!R129+'RECH-RECUP_PS locales'!R289</f>
        <v>7.126964000000001</v>
      </c>
      <c r="S129" s="322">
        <f>+'GENERADO NO Sep Origen'!S129+'RECH-RECUP_PS locales'!S289</f>
        <v>7.2053019999999997</v>
      </c>
      <c r="T129" s="322">
        <f>+'GENERADO NO Sep Origen'!T129+'RECH-RECUP_PS locales'!T289</f>
        <v>7.2836400000000001</v>
      </c>
      <c r="U129" s="322">
        <f>+'GENERADO NO Sep Origen'!U129+'RECH-RECUP_PS locales'!U289</f>
        <v>7.3619780000000006</v>
      </c>
      <c r="V129" s="322">
        <f>+'GENERADO NO Sep Origen'!V129+'RECH-RECUP_PS locales'!V289</f>
        <v>7.4409140000000011</v>
      </c>
      <c r="W129" s="322">
        <f>+'GENERADO NO Sep Origen'!W129+'RECH-RECUP_PS locales'!W289</f>
        <v>7.5192520000000007</v>
      </c>
      <c r="X129" s="322">
        <f>+'GENERADO NO Sep Origen'!X129+'RECH-RECUP_PS locales'!X289</f>
        <v>7.5975900000000012</v>
      </c>
      <c r="Y129" s="322">
        <f>+'GENERADO NO Sep Origen'!Y129+'RECH-RECUP_PS locales'!Y289</f>
        <v>7.6759279999999999</v>
      </c>
      <c r="Z129" s="322">
        <f>+'GENERADO NO Sep Origen'!Z129+'RECH-RECUP_PS locales'!Z289</f>
        <v>7.7542660000000012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28"/>
      <c r="E130" s="278"/>
      <c r="F130" s="263"/>
      <c r="G130" s="322">
        <f>+'GENERADO NO Sep Origen'!G130+'RECH-RECUP_PS locales'!G290</f>
        <v>146.03828580000001</v>
      </c>
      <c r="H130" s="322">
        <f>+'GENERADO NO Sep Origen'!H130+'RECH-RECUP_PS locales'!H290</f>
        <v>137.52815040000002</v>
      </c>
      <c r="I130" s="322">
        <f>+'GENERADO NO Sep Origen'!I130+'RECH-RECUP_PS locales'!I290</f>
        <v>128.764239</v>
      </c>
      <c r="J130" s="322">
        <f>+'GENERADO NO Sep Origen'!J130+'RECH-RECUP_PS locales'!J290</f>
        <v>115.13556</v>
      </c>
      <c r="K130" s="322">
        <f>+'GENERADO NO Sep Origen'!K130+'RECH-RECUP_PS locales'!K290</f>
        <v>101.11877100000001</v>
      </c>
      <c r="L130" s="322">
        <f>+'GENERADO NO Sep Origen'!L130+'RECH-RECUP_PS locales'!L290</f>
        <v>102.471954</v>
      </c>
      <c r="M130" s="322">
        <f>+'GENERADO NO Sep Origen'!M130+'RECH-RECUP_PS locales'!M290</f>
        <v>103.84303799999998</v>
      </c>
      <c r="N130" s="322">
        <f>+'GENERADO NO Sep Origen'!N130+'RECH-RECUP_PS locales'!N290</f>
        <v>105.23268600000002</v>
      </c>
      <c r="O130" s="322">
        <f>+'GENERADO NO Sep Origen'!O130+'RECH-RECUP_PS locales'!O290</f>
        <v>106.64023499999999</v>
      </c>
      <c r="P130" s="322">
        <f>+'GENERADO NO Sep Origen'!P130+'RECH-RECUP_PS locales'!P290</f>
        <v>108.06701100000001</v>
      </c>
      <c r="Q130" s="322">
        <f>+'GENERADO NO Sep Origen'!Q130+'RECH-RECUP_PS locales'!Q290</f>
        <v>109.513014</v>
      </c>
      <c r="R130" s="322">
        <f>+'GENERADO NO Sep Origen'!R130+'RECH-RECUP_PS locales'!R290</f>
        <v>110.978244</v>
      </c>
      <c r="S130" s="322">
        <f>+'GENERADO NO Sep Origen'!S130+'RECH-RECUP_PS locales'!S290</f>
        <v>112.463364</v>
      </c>
      <c r="T130" s="322">
        <f>+'GENERADO NO Sep Origen'!T130+'RECH-RECUP_PS locales'!T290</f>
        <v>113.96837400000001</v>
      </c>
      <c r="U130" s="322">
        <f>+'GENERADO NO Sep Origen'!U130+'RECH-RECUP_PS locales'!U290</f>
        <v>115.49327400000001</v>
      </c>
      <c r="V130" s="322">
        <f>+'GENERADO NO Sep Origen'!V130+'RECH-RECUP_PS locales'!V290</f>
        <v>117.03806400000001</v>
      </c>
      <c r="W130" s="322">
        <f>+'GENERADO NO Sep Origen'!W130+'RECH-RECUP_PS locales'!W290</f>
        <v>118.60407000000001</v>
      </c>
      <c r="X130" s="322">
        <f>+'GENERADO NO Sep Origen'!X130+'RECH-RECUP_PS locales'!X290</f>
        <v>120.19129199999999</v>
      </c>
      <c r="Y130" s="322">
        <f>+'GENERADO NO Sep Origen'!Y130+'RECH-RECUP_PS locales'!Y290</f>
        <v>121.79906699999999</v>
      </c>
      <c r="Z130" s="322">
        <f>+'GENERADO NO Sep Origen'!Z130+'RECH-RECUP_PS locales'!Z290</f>
        <v>123.42872100000001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28"/>
      <c r="E131" s="278"/>
      <c r="F131" s="263"/>
      <c r="G131" s="322">
        <f>+'GENERADO NO Sep Origen'!G131+'RECH-RECUP_PS locales'!G291</f>
        <v>8.3857356000000003</v>
      </c>
      <c r="H131" s="322">
        <f>+'GENERADO NO Sep Origen'!H131+'RECH-RECUP_PS locales'!H291</f>
        <v>7.8969120000000004</v>
      </c>
      <c r="I131" s="322">
        <f>+'GENERADO NO Sep Origen'!I131+'RECH-RECUP_PS locales'!I291</f>
        <v>7.3938100000000002</v>
      </c>
      <c r="J131" s="322">
        <f>+'GENERADO NO Sep Origen'!J131+'RECH-RECUP_PS locales'!J291</f>
        <v>6.61158</v>
      </c>
      <c r="K131" s="322">
        <f>+'GENERADO NO Sep Origen'!K131+'RECH-RECUP_PS locales'!K291</f>
        <v>5.8065800000000003</v>
      </c>
      <c r="L131" s="322">
        <f>+'GENERADO NO Sep Origen'!L131+'RECH-RECUP_PS locales'!L291</f>
        <v>5.8843200000000007</v>
      </c>
      <c r="M131" s="322">
        <f>+'GENERADO NO Sep Origen'!M131+'RECH-RECUP_PS locales'!M291</f>
        <v>5.9626580000000002</v>
      </c>
      <c r="N131" s="322">
        <f>+'GENERADO NO Sep Origen'!N131+'RECH-RECUP_PS locales'!N291</f>
        <v>6.0427900000000001</v>
      </c>
      <c r="O131" s="322">
        <f>+'GENERADO NO Sep Origen'!O131+'RECH-RECUP_PS locales'!O291</f>
        <v>6.123520000000001</v>
      </c>
      <c r="P131" s="322">
        <f>+'GENERADO NO Sep Origen'!P131+'RECH-RECUP_PS locales'!P291</f>
        <v>6.2054460000000002</v>
      </c>
      <c r="Q131" s="322">
        <f>+'GENERADO NO Sep Origen'!Q131+'RECH-RECUP_PS locales'!Q291</f>
        <v>6.2885680000000006</v>
      </c>
      <c r="R131" s="322">
        <f>+'GENERADO NO Sep Origen'!R131+'RECH-RECUP_PS locales'!R291</f>
        <v>6.3722880000000011</v>
      </c>
      <c r="S131" s="322">
        <f>+'GENERADO NO Sep Origen'!S131+'RECH-RECUP_PS locales'!S291</f>
        <v>6.4578019999999992</v>
      </c>
      <c r="T131" s="322">
        <f>+'GENERADO NO Sep Origen'!T131+'RECH-RECUP_PS locales'!T291</f>
        <v>6.5439140000000018</v>
      </c>
      <c r="U131" s="322">
        <f>+'GENERADO NO Sep Origen'!U131+'RECH-RECUP_PS locales'!U291</f>
        <v>6.6318200000000012</v>
      </c>
      <c r="V131" s="322">
        <f>+'GENERADO NO Sep Origen'!V131+'RECH-RECUP_PS locales'!V291</f>
        <v>6.7203239999999997</v>
      </c>
      <c r="W131" s="322">
        <f>+'GENERADO NO Sep Origen'!W131+'RECH-RECUP_PS locales'!W291</f>
        <v>6.8100240000000021</v>
      </c>
      <c r="X131" s="322">
        <f>+'GENERADO NO Sep Origen'!X131+'RECH-RECUP_PS locales'!X291</f>
        <v>6.9015180000000012</v>
      </c>
      <c r="Y131" s="322">
        <f>+'GENERADO NO Sep Origen'!Y131+'RECH-RECUP_PS locales'!Y291</f>
        <v>6.9936100000000003</v>
      </c>
      <c r="Z131" s="322">
        <f>+'GENERADO NO Sep Origen'!Z131+'RECH-RECUP_PS locales'!Z291</f>
        <v>7.0868979999999997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28"/>
      <c r="E132" s="278"/>
      <c r="F132" s="263"/>
      <c r="G132" s="322">
        <f>+'GENERADO NO Sep Origen'!G132+'RECH-RECUP_PS locales'!G292</f>
        <v>1.9791684</v>
      </c>
      <c r="H132" s="322">
        <f>+'GENERADO NO Sep Origen'!H132+'RECH-RECUP_PS locales'!H292</f>
        <v>1.8883184</v>
      </c>
      <c r="I132" s="322">
        <f>+'GENERADO NO Sep Origen'!I132+'RECH-RECUP_PS locales'!I292</f>
        <v>1.789998</v>
      </c>
      <c r="J132" s="322">
        <f>+'GENERADO NO Sep Origen'!J132+'RECH-RECUP_PS locales'!J292</f>
        <v>1.6194299999999999</v>
      </c>
      <c r="K132" s="322">
        <f>+'GENERADO NO Sep Origen'!K132+'RECH-RECUP_PS locales'!K292</f>
        <v>1.4375920000000002</v>
      </c>
      <c r="L132" s="322">
        <f>+'GENERADO NO Sep Origen'!L132+'RECH-RECUP_PS locales'!L292</f>
        <v>1.480648</v>
      </c>
      <c r="M132" s="322">
        <f>+'GENERADO NO Sep Origen'!M132+'RECH-RECUP_PS locales'!M292</f>
        <v>1.5231060000000003</v>
      </c>
      <c r="N132" s="322">
        <f>+'GENERADO NO Sep Origen'!N132+'RECH-RECUP_PS locales'!N292</f>
        <v>1.5661619999999998</v>
      </c>
      <c r="O132" s="322">
        <f>+'GENERADO NO Sep Origen'!O132+'RECH-RECUP_PS locales'!O292</f>
        <v>1.6086200000000002</v>
      </c>
      <c r="P132" s="322">
        <f>+'GENERADO NO Sep Origen'!P132+'RECH-RECUP_PS locales'!P292</f>
        <v>1.651078</v>
      </c>
      <c r="Q132" s="322">
        <f>+'GENERADO NO Sep Origen'!Q132+'RECH-RECUP_PS locales'!Q292</f>
        <v>1.694134</v>
      </c>
      <c r="R132" s="322">
        <f>+'GENERADO NO Sep Origen'!R132+'RECH-RECUP_PS locales'!R292</f>
        <v>1.7365920000000004</v>
      </c>
      <c r="S132" s="322">
        <f>+'GENERADO NO Sep Origen'!S132+'RECH-RECUP_PS locales'!S292</f>
        <v>1.7790500000000002</v>
      </c>
      <c r="T132" s="322">
        <f>+'GENERADO NO Sep Origen'!T132+'RECH-RECUP_PS locales'!T292</f>
        <v>1.8221060000000002</v>
      </c>
      <c r="U132" s="322">
        <f>+'GENERADO NO Sep Origen'!U132+'RECH-RECUP_PS locales'!U292</f>
        <v>1.8645640000000001</v>
      </c>
      <c r="V132" s="322">
        <f>+'GENERADO NO Sep Origen'!V132+'RECH-RECUP_PS locales'!V292</f>
        <v>1.9076200000000001</v>
      </c>
      <c r="W132" s="322">
        <f>+'GENERADO NO Sep Origen'!W132+'RECH-RECUP_PS locales'!W292</f>
        <v>1.9500780000000002</v>
      </c>
      <c r="X132" s="322">
        <f>+'GENERADO NO Sep Origen'!X132+'RECH-RECUP_PS locales'!X292</f>
        <v>1.9925360000000001</v>
      </c>
      <c r="Y132" s="322">
        <f>+'GENERADO NO Sep Origen'!Y132+'RECH-RECUP_PS locales'!Y292</f>
        <v>2.0355920000000003</v>
      </c>
      <c r="Z132" s="322">
        <f>+'GENERADO NO Sep Origen'!Z132+'RECH-RECUP_PS locales'!Z292</f>
        <v>2.0780500000000002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28"/>
      <c r="E133" s="278"/>
      <c r="F133" s="263"/>
      <c r="G133" s="322">
        <f>+'GENERADO NO Sep Origen'!G133+'RECH-RECUP_PS locales'!G293</f>
        <v>6.9903899999999997</v>
      </c>
      <c r="H133" s="322">
        <f>+'GENERADO NO Sep Origen'!H133+'RECH-RECUP_PS locales'!H293</f>
        <v>6.5782208000000013</v>
      </c>
      <c r="I133" s="322">
        <f>+'GENERADO NO Sep Origen'!I133+'RECH-RECUP_PS locales'!I293</f>
        <v>6.1527760000000002</v>
      </c>
      <c r="J133" s="322">
        <f>+'GENERADO NO Sep Origen'!J133+'RECH-RECUP_PS locales'!J293</f>
        <v>5.4951600000000003</v>
      </c>
      <c r="K133" s="322">
        <f>+'GENERADO NO Sep Origen'!K133+'RECH-RECUP_PS locales'!K293</f>
        <v>4.8198800000000004</v>
      </c>
      <c r="L133" s="322">
        <f>+'GENERADO NO Sep Origen'!L133+'RECH-RECUP_PS locales'!L293</f>
        <v>4.8946300000000011</v>
      </c>
      <c r="M133" s="322">
        <f>+'GENERADO NO Sep Origen'!M133+'RECH-RECUP_PS locales'!M293</f>
        <v>4.9687820000000009</v>
      </c>
      <c r="N133" s="322">
        <f>+'GENERADO NO Sep Origen'!N133+'RECH-RECUP_PS locales'!N293</f>
        <v>5.0435320000000008</v>
      </c>
      <c r="O133" s="322">
        <f>+'GENERADO NO Sep Origen'!O133+'RECH-RECUP_PS locales'!O293</f>
        <v>5.1176840000000006</v>
      </c>
      <c r="P133" s="322">
        <f>+'GENERADO NO Sep Origen'!P133+'RECH-RECUP_PS locales'!P293</f>
        <v>5.1924340000000004</v>
      </c>
      <c r="Q133" s="322">
        <f>+'GENERADO NO Sep Origen'!Q133+'RECH-RECUP_PS locales'!Q293</f>
        <v>5.2665860000000002</v>
      </c>
      <c r="R133" s="322">
        <f>+'GENERADO NO Sep Origen'!R133+'RECH-RECUP_PS locales'!R293</f>
        <v>5.3407380000000009</v>
      </c>
      <c r="S133" s="322">
        <f>+'GENERADO NO Sep Origen'!S133+'RECH-RECUP_PS locales'!S293</f>
        <v>5.4154880000000007</v>
      </c>
      <c r="T133" s="322">
        <f>+'GENERADO NO Sep Origen'!T133+'RECH-RECUP_PS locales'!T293</f>
        <v>5.4896400000000005</v>
      </c>
      <c r="U133" s="322">
        <f>+'GENERADO NO Sep Origen'!U133+'RECH-RECUP_PS locales'!U293</f>
        <v>5.5643900000000013</v>
      </c>
      <c r="V133" s="322">
        <f>+'GENERADO NO Sep Origen'!V133+'RECH-RECUP_PS locales'!V293</f>
        <v>5.6385420000000011</v>
      </c>
      <c r="W133" s="322">
        <f>+'GENERADO NO Sep Origen'!W133+'RECH-RECUP_PS locales'!W293</f>
        <v>5.7132920000000009</v>
      </c>
      <c r="X133" s="322">
        <f>+'GENERADO NO Sep Origen'!X133+'RECH-RECUP_PS locales'!X293</f>
        <v>5.7874440000000007</v>
      </c>
      <c r="Y133" s="322">
        <f>+'GENERADO NO Sep Origen'!Y133+'RECH-RECUP_PS locales'!Y293</f>
        <v>5.8615960000000005</v>
      </c>
      <c r="Z133" s="322">
        <f>+'GENERADO NO Sep Origen'!Z133+'RECH-RECUP_PS locales'!Z293</f>
        <v>5.9363460000000003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28"/>
      <c r="E134" s="278"/>
      <c r="F134" s="263"/>
      <c r="G134" s="322">
        <f>+'GENERADO NO Sep Origen'!G134+'RECH-RECUP_PS locales'!G294</f>
        <v>40.7072754</v>
      </c>
      <c r="H134" s="322">
        <f>+'GENERADO NO Sep Origen'!H134+'RECH-RECUP_PS locales'!H294</f>
        <v>38.182005600000004</v>
      </c>
      <c r="I134" s="322">
        <f>+'GENERADO NO Sep Origen'!I134+'RECH-RECUP_PS locales'!I294</f>
        <v>35.605718000000003</v>
      </c>
      <c r="J134" s="322">
        <f>+'GENERADO NO Sep Origen'!J134+'RECH-RECUP_PS locales'!J294</f>
        <v>31.709370000000003</v>
      </c>
      <c r="K134" s="322">
        <f>+'GENERADO NO Sep Origen'!K134+'RECH-RECUP_PS locales'!K294</f>
        <v>27.737073000000002</v>
      </c>
      <c r="L134" s="322">
        <f>+'GENERADO NO Sep Origen'!L134+'RECH-RECUP_PS locales'!L294</f>
        <v>27.996137000000004</v>
      </c>
      <c r="M134" s="322">
        <f>+'GENERADO NO Sep Origen'!M134+'RECH-RECUP_PS locales'!M294</f>
        <v>28.256579000000002</v>
      </c>
      <c r="N134" s="322">
        <f>+'GENERADO NO Sep Origen'!N134+'RECH-RECUP_PS locales'!N294</f>
        <v>28.519777000000005</v>
      </c>
      <c r="O134" s="322">
        <f>+'GENERADO NO Sep Origen'!O134+'RECH-RECUP_PS locales'!O294</f>
        <v>28.785731000000006</v>
      </c>
      <c r="P134" s="322">
        <f>+'GENERADO NO Sep Origen'!P134+'RECH-RECUP_PS locales'!P294</f>
        <v>29.053752000000003</v>
      </c>
      <c r="Q134" s="322">
        <f>+'GENERADO NO Sep Origen'!Q134+'RECH-RECUP_PS locales'!Q294</f>
        <v>29.324529000000002</v>
      </c>
      <c r="R134" s="322">
        <f>+'GENERADO NO Sep Origen'!R134+'RECH-RECUP_PS locales'!R294</f>
        <v>29.598061999999999</v>
      </c>
      <c r="S134" s="322">
        <f>+'GENERADO NO Sep Origen'!S134+'RECH-RECUP_PS locales'!S294</f>
        <v>29.873662000000007</v>
      </c>
      <c r="T134" s="322">
        <f>+'GENERADO NO Sep Origen'!T134+'RECH-RECUP_PS locales'!T294</f>
        <v>30.152018000000002</v>
      </c>
      <c r="U134" s="322">
        <f>+'GENERADO NO Sep Origen'!U134+'RECH-RECUP_PS locales'!U294</f>
        <v>30.433130000000006</v>
      </c>
      <c r="V134" s="322">
        <f>+'GENERADO NO Sep Origen'!V134+'RECH-RECUP_PS locales'!V294</f>
        <v>30.716308999999999</v>
      </c>
      <c r="W134" s="322">
        <f>+'GENERADO NO Sep Origen'!W134+'RECH-RECUP_PS locales'!W294</f>
        <v>31.002933000000002</v>
      </c>
      <c r="X134" s="322">
        <f>+'GENERADO NO Sep Origen'!X134+'RECH-RECUP_PS locales'!X294</f>
        <v>31.291624000000002</v>
      </c>
      <c r="Y134" s="322">
        <f>+'GENERADO NO Sep Origen'!Y134+'RECH-RECUP_PS locales'!Y294</f>
        <v>31.583071000000007</v>
      </c>
      <c r="Z134" s="322">
        <f>+'GENERADO NO Sep Origen'!Z134+'RECH-RECUP_PS locales'!Z294</f>
        <v>31.877274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28"/>
      <c r="E135" s="278"/>
      <c r="F135" s="263"/>
      <c r="G135" s="322">
        <f>+'GENERADO NO Sep Origen'!G135+'RECH-RECUP_PS locales'!G295</f>
        <v>52.024005000000002</v>
      </c>
      <c r="H135" s="322">
        <f>+'GENERADO NO Sep Origen'!H135+'RECH-RECUP_PS locales'!H295</f>
        <v>48.533753600000004</v>
      </c>
      <c r="I135" s="322">
        <f>+'GENERADO NO Sep Origen'!I135+'RECH-RECUP_PS locales'!I295</f>
        <v>45.018465000000006</v>
      </c>
      <c r="J135" s="322">
        <f>+'GENERADO NO Sep Origen'!J135+'RECH-RECUP_PS locales'!J295</f>
        <v>39.881174999999999</v>
      </c>
      <c r="K135" s="322">
        <f>+'GENERADO NO Sep Origen'!K135+'RECH-RECUP_PS locales'!K295</f>
        <v>34.704240999999996</v>
      </c>
      <c r="L135" s="322">
        <f>+'GENERADO NO Sep Origen'!L135+'RECH-RECUP_PS locales'!L295</f>
        <v>34.846175000000002</v>
      </c>
      <c r="M135" s="322">
        <f>+'GENERADO NO Sep Origen'!M135+'RECH-RECUP_PS locales'!M295</f>
        <v>34.990864999999999</v>
      </c>
      <c r="N135" s="322">
        <f>+'GENERADO NO Sep Origen'!N135+'RECH-RECUP_PS locales'!N295</f>
        <v>35.138311000000002</v>
      </c>
      <c r="O135" s="322">
        <f>+'GENERADO NO Sep Origen'!O135+'RECH-RECUP_PS locales'!O295</f>
        <v>35.287135000000006</v>
      </c>
      <c r="P135" s="322">
        <f>+'GENERADO NO Sep Origen'!P135+'RECH-RECUP_PS locales'!P295</f>
        <v>35.43940400000001</v>
      </c>
      <c r="Q135" s="322">
        <f>+'GENERADO NO Sep Origen'!Q135+'RECH-RECUP_PS locales'!Q295</f>
        <v>35.593740000000004</v>
      </c>
      <c r="R135" s="322">
        <f>+'GENERADO NO Sep Origen'!R135+'RECH-RECUP_PS locales'!R295</f>
        <v>35.750143000000001</v>
      </c>
      <c r="S135" s="322">
        <f>+'GENERADO NO Sep Origen'!S135+'RECH-RECUP_PS locales'!S295</f>
        <v>35.909990999999998</v>
      </c>
      <c r="T135" s="322">
        <f>+'GENERADO NO Sep Origen'!T135+'RECH-RECUP_PS locales'!T295</f>
        <v>36.071905999999998</v>
      </c>
      <c r="U135" s="322">
        <f>+'GENERADO NO Sep Origen'!U135+'RECH-RECUP_PS locales'!U295</f>
        <v>36.236577000000004</v>
      </c>
      <c r="V135" s="322">
        <f>+'GENERADO NO Sep Origen'!V135+'RECH-RECUP_PS locales'!V295</f>
        <v>36.404004</v>
      </c>
      <c r="W135" s="322">
        <f>+'GENERADO NO Sep Origen'!W135+'RECH-RECUP_PS locales'!W295</f>
        <v>36.574187000000002</v>
      </c>
      <c r="X135" s="322">
        <f>+'GENERADO NO Sep Origen'!X135+'RECH-RECUP_PS locales'!X295</f>
        <v>36.747125999999994</v>
      </c>
      <c r="Y135" s="322">
        <f>+'GENERADO NO Sep Origen'!Y135+'RECH-RECUP_PS locales'!Y295</f>
        <v>36.922820999999999</v>
      </c>
      <c r="Z135" s="322">
        <f>+'GENERADO NO Sep Origen'!Z135+'RECH-RECUP_PS locales'!Z295</f>
        <v>37.101272000000009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28"/>
      <c r="E136" s="278"/>
      <c r="F136" s="263"/>
      <c r="G136" s="322">
        <f>+'GENERADO NO Sep Origen'!G136+'RECH-RECUP_PS locales'!G296</f>
        <v>8.3966651999999993</v>
      </c>
      <c r="H136" s="322">
        <f>+'GENERADO NO Sep Origen'!H136+'RECH-RECUP_PS locales'!H296</f>
        <v>7.8757520000000003</v>
      </c>
      <c r="I136" s="322">
        <f>+'GENERADO NO Sep Origen'!I136+'RECH-RECUP_PS locales'!I296</f>
        <v>7.3429800000000016</v>
      </c>
      <c r="J136" s="322">
        <f>+'GENERADO NO Sep Origen'!J136+'RECH-RECUP_PS locales'!J296</f>
        <v>6.5384399999999996</v>
      </c>
      <c r="K136" s="322">
        <f>+'GENERADO NO Sep Origen'!K136+'RECH-RECUP_PS locales'!K296</f>
        <v>5.7174779999999998</v>
      </c>
      <c r="L136" s="322">
        <f>+'GENERADO NO Sep Origen'!L136+'RECH-RECUP_PS locales'!L296</f>
        <v>5.7689059999999994</v>
      </c>
      <c r="M136" s="322">
        <f>+'GENERADO NO Sep Origen'!M136+'RECH-RECUP_PS locales'!M296</f>
        <v>5.8197360000000007</v>
      </c>
      <c r="N136" s="322">
        <f>+'GENERADO NO Sep Origen'!N136+'RECH-RECUP_PS locales'!N296</f>
        <v>5.8711640000000003</v>
      </c>
      <c r="O136" s="322">
        <f>+'GENERADO NO Sep Origen'!O136+'RECH-RECUP_PS locales'!O296</f>
        <v>5.9219940000000006</v>
      </c>
      <c r="P136" s="322">
        <f>+'GENERADO NO Sep Origen'!P136+'RECH-RECUP_PS locales'!P296</f>
        <v>5.9734220000000011</v>
      </c>
      <c r="Q136" s="322">
        <f>+'GENERADO NO Sep Origen'!Q136+'RECH-RECUP_PS locales'!Q296</f>
        <v>6.0242519999999997</v>
      </c>
      <c r="R136" s="322">
        <f>+'GENERADO NO Sep Origen'!R136+'RECH-RECUP_PS locales'!R296</f>
        <v>6.0756800000000002</v>
      </c>
      <c r="S136" s="322">
        <f>+'GENERADO NO Sep Origen'!S136+'RECH-RECUP_PS locales'!S296</f>
        <v>6.1265099999999997</v>
      </c>
      <c r="T136" s="322">
        <f>+'GENERADO NO Sep Origen'!T136+'RECH-RECUP_PS locales'!T296</f>
        <v>6.177938000000001</v>
      </c>
      <c r="U136" s="322">
        <f>+'GENERADO NO Sep Origen'!U136+'RECH-RECUP_PS locales'!U296</f>
        <v>6.2287680000000014</v>
      </c>
      <c r="V136" s="322">
        <f>+'GENERADO NO Sep Origen'!V136+'RECH-RECUP_PS locales'!V296</f>
        <v>6.2801960000000001</v>
      </c>
      <c r="W136" s="322">
        <f>+'GENERADO NO Sep Origen'!W136+'RECH-RECUP_PS locales'!W296</f>
        <v>6.3310260000000005</v>
      </c>
      <c r="X136" s="322">
        <f>+'GENERADO NO Sep Origen'!X136+'RECH-RECUP_PS locales'!X296</f>
        <v>6.3824540000000001</v>
      </c>
      <c r="Y136" s="322">
        <f>+'GENERADO NO Sep Origen'!Y136+'RECH-RECUP_PS locales'!Y296</f>
        <v>6.4332840000000004</v>
      </c>
      <c r="Z136" s="322">
        <f>+'GENERADO NO Sep Origen'!Z136+'RECH-RECUP_PS locales'!Z296</f>
        <v>6.4847119999999991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28"/>
      <c r="E137" s="278"/>
      <c r="F137" s="263"/>
      <c r="G137" s="322">
        <f>+'GENERADO NO Sep Origen'!G137+'RECH-RECUP_PS locales'!G297</f>
        <v>68.46444000000001</v>
      </c>
      <c r="H137" s="322">
        <f>+'GENERADO NO Sep Origen'!H137+'RECH-RECUP_PS locales'!H297</f>
        <v>64.756168799999998</v>
      </c>
      <c r="I137" s="322">
        <f>+'GENERADO NO Sep Origen'!I137+'RECH-RECUP_PS locales'!I297</f>
        <v>60.875537999999999</v>
      </c>
      <c r="J137" s="322">
        <f>+'GENERADO NO Sep Origen'!J137+'RECH-RECUP_PS locales'!J297</f>
        <v>54.637064999999993</v>
      </c>
      <c r="K137" s="322">
        <f>+'GENERADO NO Sep Origen'!K137+'RECH-RECUP_PS locales'!K297</f>
        <v>48.152363999999992</v>
      </c>
      <c r="L137" s="322">
        <f>+'GENERADO NO Sep Origen'!L137+'RECH-RECUP_PS locales'!L297</f>
        <v>48.952605000000005</v>
      </c>
      <c r="M137" s="322">
        <f>+'GENERADO NO Sep Origen'!M137+'RECH-RECUP_PS locales'!M297</f>
        <v>49.752846000000005</v>
      </c>
      <c r="N137" s="322">
        <f>+'GENERADO NO Sep Origen'!N137+'RECH-RECUP_PS locales'!N297</f>
        <v>50.553750000000008</v>
      </c>
      <c r="O137" s="322">
        <f>+'GENERADO NO Sep Origen'!O137+'RECH-RECUP_PS locales'!O297</f>
        <v>51.353327999999991</v>
      </c>
      <c r="P137" s="322">
        <f>+'GENERADO NO Sep Origen'!P137+'RECH-RECUP_PS locales'!P297</f>
        <v>52.153569000000005</v>
      </c>
      <c r="Q137" s="322">
        <f>+'GENERADO NO Sep Origen'!Q137+'RECH-RECUP_PS locales'!Q297</f>
        <v>52.954473</v>
      </c>
      <c r="R137" s="322">
        <f>+'GENERADO NO Sep Origen'!R137+'RECH-RECUP_PS locales'!R297</f>
        <v>53.754051000000004</v>
      </c>
      <c r="S137" s="322">
        <f>+'GENERADO NO Sep Origen'!S137+'RECH-RECUP_PS locales'!S297</f>
        <v>54.554955000000007</v>
      </c>
      <c r="T137" s="322">
        <f>+'GENERADO NO Sep Origen'!T137+'RECH-RECUP_PS locales'!T297</f>
        <v>55.354533000000004</v>
      </c>
      <c r="U137" s="322">
        <f>+'GENERADO NO Sep Origen'!U137+'RECH-RECUP_PS locales'!U297</f>
        <v>56.155436999999999</v>
      </c>
      <c r="V137" s="322">
        <f>+'GENERADO NO Sep Origen'!V137+'RECH-RECUP_PS locales'!V297</f>
        <v>56.955677999999992</v>
      </c>
      <c r="W137" s="322">
        <f>+'GENERADO NO Sep Origen'!W137+'RECH-RECUP_PS locales'!W297</f>
        <v>57.755256000000003</v>
      </c>
      <c r="X137" s="322">
        <f>+'GENERADO NO Sep Origen'!X137+'RECH-RECUP_PS locales'!X297</f>
        <v>58.556160000000006</v>
      </c>
      <c r="Y137" s="322">
        <f>+'GENERADO NO Sep Origen'!Y137+'RECH-RECUP_PS locales'!Y297</f>
        <v>59.355738000000002</v>
      </c>
      <c r="Z137" s="322">
        <f>+'GENERADO NO Sep Origen'!Z137+'RECH-RECUP_PS locales'!Z297</f>
        <v>60.156642000000005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28"/>
      <c r="E138" s="278"/>
      <c r="F138" s="263"/>
      <c r="G138" s="322">
        <f>+'GENERADO NO Sep Origen'!G138+'RECH-RECUP_PS locales'!G298</f>
        <v>5.3035883999999998</v>
      </c>
      <c r="H138" s="322">
        <f>+'GENERADO NO Sep Origen'!H138+'RECH-RECUP_PS locales'!H298</f>
        <v>4.9505935999999995</v>
      </c>
      <c r="I138" s="322">
        <f>+'GENERADO NO Sep Origen'!I138+'RECH-RECUP_PS locales'!I298</f>
        <v>4.5950319999999998</v>
      </c>
      <c r="J138" s="322">
        <f>+'GENERADO NO Sep Origen'!J138+'RECH-RECUP_PS locales'!J298</f>
        <v>4.0723800000000008</v>
      </c>
      <c r="K138" s="322">
        <f>+'GENERADO NO Sep Origen'!K138+'RECH-RECUP_PS locales'!K298</f>
        <v>3.5455420000000006</v>
      </c>
      <c r="L138" s="322">
        <f>+'GENERADO NO Sep Origen'!L138+'RECH-RECUP_PS locales'!L298</f>
        <v>3.5616880000000006</v>
      </c>
      <c r="M138" s="322">
        <f>+'GENERADO NO Sep Origen'!M138+'RECH-RECUP_PS locales'!M298</f>
        <v>3.5772360000000001</v>
      </c>
      <c r="N138" s="322">
        <f>+'GENERADO NO Sep Origen'!N138+'RECH-RECUP_PS locales'!N298</f>
        <v>3.5933820000000005</v>
      </c>
      <c r="O138" s="322">
        <f>+'GENERADO NO Sep Origen'!O138+'RECH-RECUP_PS locales'!O298</f>
        <v>3.60893</v>
      </c>
      <c r="P138" s="322">
        <f>+'GENERADO NO Sep Origen'!P138+'RECH-RECUP_PS locales'!P298</f>
        <v>3.625076</v>
      </c>
      <c r="Q138" s="322">
        <f>+'GENERADO NO Sep Origen'!Q138+'RECH-RECUP_PS locales'!Q298</f>
        <v>3.6412220000000004</v>
      </c>
      <c r="R138" s="322">
        <f>+'GENERADO NO Sep Origen'!R138+'RECH-RECUP_PS locales'!R298</f>
        <v>3.6567699999999999</v>
      </c>
      <c r="S138" s="322">
        <f>+'GENERADO NO Sep Origen'!S138+'RECH-RECUP_PS locales'!S298</f>
        <v>3.6729160000000003</v>
      </c>
      <c r="T138" s="322">
        <f>+'GENERADO NO Sep Origen'!T138+'RECH-RECUP_PS locales'!T298</f>
        <v>3.6884640000000006</v>
      </c>
      <c r="U138" s="322">
        <f>+'GENERADO NO Sep Origen'!U138+'RECH-RECUP_PS locales'!U298</f>
        <v>3.7046100000000006</v>
      </c>
      <c r="V138" s="322">
        <f>+'GENERADO NO Sep Origen'!V138+'RECH-RECUP_PS locales'!V298</f>
        <v>3.7201580000000001</v>
      </c>
      <c r="W138" s="322">
        <f>+'GENERADO NO Sep Origen'!W138+'RECH-RECUP_PS locales'!W298</f>
        <v>3.7363039999999996</v>
      </c>
      <c r="X138" s="322">
        <f>+'GENERADO NO Sep Origen'!X138+'RECH-RECUP_PS locales'!X298</f>
        <v>3.7524500000000001</v>
      </c>
      <c r="Y138" s="322">
        <f>+'GENERADO NO Sep Origen'!Y138+'RECH-RECUP_PS locales'!Y298</f>
        <v>3.767998</v>
      </c>
      <c r="Z138" s="322">
        <f>+'GENERADO NO Sep Origen'!Z138+'RECH-RECUP_PS locales'!Z298</f>
        <v>3.7841440000000004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28"/>
      <c r="E139" s="278"/>
      <c r="F139" s="263"/>
      <c r="G139" s="322">
        <f>+'GENERADO NO Sep Origen'!G139+'RECH-RECUP_PS locales'!G299</f>
        <v>120.04906320000001</v>
      </c>
      <c r="H139" s="322">
        <f>+'GENERADO NO Sep Origen'!H139+'RECH-RECUP_PS locales'!H299</f>
        <v>112.87825920000002</v>
      </c>
      <c r="I139" s="322">
        <f>+'GENERADO NO Sep Origen'!I139+'RECH-RECUP_PS locales'!I299</f>
        <v>105.521703</v>
      </c>
      <c r="J139" s="322">
        <f>+'GENERADO NO Sep Origen'!J139+'RECH-RECUP_PS locales'!J299</f>
        <v>94.206689999999995</v>
      </c>
      <c r="K139" s="322">
        <f>+'GENERADO NO Sep Origen'!K139+'RECH-RECUP_PS locales'!K299</f>
        <v>82.61046300000001</v>
      </c>
      <c r="L139" s="322">
        <f>+'GENERADO NO Sep Origen'!L139+'RECH-RECUP_PS locales'!L299</f>
        <v>83.586399</v>
      </c>
      <c r="M139" s="322">
        <f>+'GENERADO NO Sep Origen'!M139+'RECH-RECUP_PS locales'!M299</f>
        <v>84.573606000000012</v>
      </c>
      <c r="N139" s="322">
        <f>+'GENERADO NO Sep Origen'!N139+'RECH-RECUP_PS locales'!N299</f>
        <v>85.572084000000004</v>
      </c>
      <c r="O139" s="322">
        <f>+'GENERADO NO Sep Origen'!O139+'RECH-RECUP_PS locales'!O299</f>
        <v>86.583159000000023</v>
      </c>
      <c r="P139" s="322">
        <f>+'GENERADO NO Sep Origen'!P139+'RECH-RECUP_PS locales'!P299</f>
        <v>87.605505000000008</v>
      </c>
      <c r="Q139" s="322">
        <f>+'GENERADO NO Sep Origen'!Q139+'RECH-RECUP_PS locales'!Q299</f>
        <v>88.640448000000006</v>
      </c>
      <c r="R139" s="322">
        <f>+'GENERADO NO Sep Origen'!R139+'RECH-RECUP_PS locales'!R299</f>
        <v>89.687325000000016</v>
      </c>
      <c r="S139" s="322">
        <f>+'GENERADO NO Sep Origen'!S139+'RECH-RECUP_PS locales'!S299</f>
        <v>90.746798999999996</v>
      </c>
      <c r="T139" s="322">
        <f>+'GENERADO NO Sep Origen'!T139+'RECH-RECUP_PS locales'!T299</f>
        <v>91.818207000000001</v>
      </c>
      <c r="U139" s="322">
        <f>+'GENERADO NO Sep Origen'!U139+'RECH-RECUP_PS locales'!U299</f>
        <v>92.902875000000009</v>
      </c>
      <c r="V139" s="322">
        <f>+'GENERADO NO Sep Origen'!V139+'RECH-RECUP_PS locales'!V299</f>
        <v>94.000140000000002</v>
      </c>
      <c r="W139" s="322">
        <f>+'GENERADO NO Sep Origen'!W139+'RECH-RECUP_PS locales'!W299</f>
        <v>95.110002000000009</v>
      </c>
      <c r="X139" s="322">
        <f>+'GENERADO NO Sep Origen'!X139+'RECH-RECUP_PS locales'!X299</f>
        <v>96.233787000000007</v>
      </c>
      <c r="Y139" s="322">
        <f>+'GENERADO NO Sep Origen'!Y139+'RECH-RECUP_PS locales'!Y299</f>
        <v>97.370169000000004</v>
      </c>
      <c r="Z139" s="322">
        <f>+'GENERADO NO Sep Origen'!Z139+'RECH-RECUP_PS locales'!Z299</f>
        <v>98.520473999999993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28"/>
      <c r="E140" s="278"/>
      <c r="F140" s="263"/>
      <c r="G140" s="322">
        <f>+'GENERADO NO Sep Origen'!G140+'RECH-RECUP_PS locales'!G300</f>
        <v>7881.5096414999989</v>
      </c>
      <c r="H140" s="322">
        <f>+'GENERADO NO Sep Origen'!H140+'RECH-RECUP_PS locales'!H300</f>
        <v>7380.8734199999999</v>
      </c>
      <c r="I140" s="322">
        <f>+'GENERADO NO Sep Origen'!I140+'RECH-RECUP_PS locales'!I300</f>
        <v>6872.4710594999997</v>
      </c>
      <c r="J140" s="322">
        <f>+'GENERADO NO Sep Origen'!J140+'RECH-RECUP_PS locales'!J300</f>
        <v>6111.6404174999998</v>
      </c>
      <c r="K140" s="322">
        <f>+'GENERADO NO Sep Origen'!K140+'RECH-RECUP_PS locales'!K300</f>
        <v>5338.7646389999991</v>
      </c>
      <c r="L140" s="322">
        <f>+'GENERADO NO Sep Origen'!L140+'RECH-RECUP_PS locales'!L300</f>
        <v>5381.4588750000003</v>
      </c>
      <c r="M140" s="322">
        <f>+'GENERADO NO Sep Origen'!M140+'RECH-RECUP_PS locales'!M300</f>
        <v>5424.8505674999997</v>
      </c>
      <c r="N140" s="322">
        <f>+'GENERADO NO Sep Origen'!N140+'RECH-RECUP_PS locales'!N300</f>
        <v>5468.9497980000006</v>
      </c>
      <c r="O140" s="322">
        <f>+'GENERADO NO Sep Origen'!O140+'RECH-RECUP_PS locales'!O300</f>
        <v>5513.768481000001</v>
      </c>
      <c r="P140" s="322">
        <f>+'GENERADO NO Sep Origen'!P140+'RECH-RECUP_PS locales'!P300</f>
        <v>5559.3166980000005</v>
      </c>
      <c r="Q140" s="322">
        <f>+'GENERADO NO Sep Origen'!Q140+'RECH-RECUP_PS locales'!Q300</f>
        <v>5605.6091129999995</v>
      </c>
      <c r="R140" s="322">
        <f>+'GENERADO NO Sep Origen'!R140+'RECH-RECUP_PS locales'!R300</f>
        <v>5652.6576404999996</v>
      </c>
      <c r="S140" s="322">
        <f>+'GENERADO NO Sep Origen'!S140+'RECH-RECUP_PS locales'!S300</f>
        <v>5700.4723619999995</v>
      </c>
      <c r="T140" s="322">
        <f>+'GENERADO NO Sep Origen'!T140+'RECH-RECUP_PS locales'!T300</f>
        <v>5749.0670250000003</v>
      </c>
      <c r="U140" s="322">
        <f>+'GENERADO NO Sep Origen'!U140+'RECH-RECUP_PS locales'!U300</f>
        <v>5798.4553770000002</v>
      </c>
      <c r="V140" s="322">
        <f>+'GENERADO NO Sep Origen'!V140+'RECH-RECUP_PS locales'!V300</f>
        <v>5848.6493324999992</v>
      </c>
      <c r="W140" s="322">
        <f>+'GENERADO NO Sep Origen'!W140+'RECH-RECUP_PS locales'!W300</f>
        <v>5899.6617225</v>
      </c>
      <c r="X140" s="322">
        <f>+'GENERADO NO Sep Origen'!X140+'RECH-RECUP_PS locales'!X300</f>
        <v>5951.5053779999998</v>
      </c>
      <c r="Y140" s="322">
        <f>+'GENERADO NO Sep Origen'!Y140+'RECH-RECUP_PS locales'!Y300</f>
        <v>6004.195879500001</v>
      </c>
      <c r="Z140" s="322">
        <f>+'GENERADO NO Sep Origen'!Z140+'RECH-RECUP_PS locales'!Z300</f>
        <v>6057.7460579999997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28"/>
      <c r="E141" s="278"/>
      <c r="F141" s="263"/>
      <c r="G141" s="322">
        <f>+'GENERADO NO Sep Origen'!G141+'RECH-RECUP_PS locales'!G301</f>
        <v>3.0293207999999998</v>
      </c>
      <c r="H141" s="322">
        <f>+'GENERADO NO Sep Origen'!H141+'RECH-RECUP_PS locales'!H301</f>
        <v>2.8227440000000006</v>
      </c>
      <c r="I141" s="322">
        <f>+'GENERADO NO Sep Origen'!I141+'RECH-RECUP_PS locales'!I301</f>
        <v>2.615008</v>
      </c>
      <c r="J141" s="322">
        <f>+'GENERADO NO Sep Origen'!J141+'RECH-RECUP_PS locales'!J301</f>
        <v>2.3142600000000004</v>
      </c>
      <c r="K141" s="322">
        <f>+'GENERADO NO Sep Origen'!K141+'RECH-RECUP_PS locales'!K301</f>
        <v>2.0110739999999998</v>
      </c>
      <c r="L141" s="322">
        <f>+'GENERADO NO Sep Origen'!L141+'RECH-RECUP_PS locales'!L301</f>
        <v>2.0164560000000002</v>
      </c>
      <c r="M141" s="322">
        <f>+'GENERADO NO Sep Origen'!M141+'RECH-RECUP_PS locales'!M301</f>
        <v>2.0218380000000002</v>
      </c>
      <c r="N141" s="322">
        <f>+'GENERADO NO Sep Origen'!N141+'RECH-RECUP_PS locales'!N301</f>
        <v>2.0278179999999999</v>
      </c>
      <c r="O141" s="322">
        <f>+'GENERADO NO Sep Origen'!O141+'RECH-RECUP_PS locales'!O301</f>
        <v>2.0331999999999999</v>
      </c>
      <c r="P141" s="322">
        <f>+'GENERADO NO Sep Origen'!P141+'RECH-RECUP_PS locales'!P301</f>
        <v>2.0385819999999999</v>
      </c>
      <c r="Q141" s="322">
        <f>+'GENERADO NO Sep Origen'!Q141+'RECH-RECUP_PS locales'!Q301</f>
        <v>2.044562</v>
      </c>
      <c r="R141" s="322">
        <f>+'GENERADO NO Sep Origen'!R141+'RECH-RECUP_PS locales'!R301</f>
        <v>2.049944</v>
      </c>
      <c r="S141" s="322">
        <f>+'GENERADO NO Sep Origen'!S141+'RECH-RECUP_PS locales'!S301</f>
        <v>2.055326</v>
      </c>
      <c r="T141" s="322">
        <f>+'GENERADO NO Sep Origen'!T141+'RECH-RECUP_PS locales'!T301</f>
        <v>2.0613060000000001</v>
      </c>
      <c r="U141" s="322">
        <f>+'GENERADO NO Sep Origen'!U141+'RECH-RECUP_PS locales'!U301</f>
        <v>2.0666880000000001</v>
      </c>
      <c r="V141" s="322">
        <f>+'GENERADO NO Sep Origen'!V141+'RECH-RECUP_PS locales'!V301</f>
        <v>2.0720700000000001</v>
      </c>
      <c r="W141" s="322">
        <f>+'GENERADO NO Sep Origen'!W141+'RECH-RECUP_PS locales'!W301</f>
        <v>2.0780500000000002</v>
      </c>
      <c r="X141" s="322">
        <f>+'GENERADO NO Sep Origen'!X141+'RECH-RECUP_PS locales'!X301</f>
        <v>2.0834320000000002</v>
      </c>
      <c r="Y141" s="322">
        <f>+'GENERADO NO Sep Origen'!Y141+'RECH-RECUP_PS locales'!Y301</f>
        <v>2.0888140000000002</v>
      </c>
      <c r="Z141" s="322">
        <f>+'GENERADO NO Sep Origen'!Z141+'RECH-RECUP_PS locales'!Z301</f>
        <v>2.0947940000000003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28"/>
      <c r="E142" s="278"/>
      <c r="F142" s="263"/>
      <c r="G142" s="322">
        <f>+'GENERADO NO Sep Origen'!G142+'RECH-RECUP_PS locales'!G302</f>
        <v>3.1987296000000001</v>
      </c>
      <c r="H142" s="322">
        <f>+'GENERADO NO Sep Origen'!H142+'RECH-RECUP_PS locales'!H302</f>
        <v>2.9894848000000001</v>
      </c>
      <c r="I142" s="322">
        <f>+'GENERADO NO Sep Origen'!I142+'RECH-RECUP_PS locales'!I302</f>
        <v>2.7776640000000001</v>
      </c>
      <c r="J142" s="322">
        <f>+'GENERADO NO Sep Origen'!J142+'RECH-RECUP_PS locales'!J302</f>
        <v>2.4646800000000004</v>
      </c>
      <c r="K142" s="322">
        <f>+'GENERADO NO Sep Origen'!K142+'RECH-RECUP_PS locales'!K302</f>
        <v>2.1480160000000001</v>
      </c>
      <c r="L142" s="322">
        <f>+'GENERADO NO Sep Origen'!L142+'RECH-RECUP_PS locales'!L302</f>
        <v>2.1599759999999999</v>
      </c>
      <c r="M142" s="322">
        <f>+'GENERADO NO Sep Origen'!M142+'RECH-RECUP_PS locales'!M302</f>
        <v>2.1719360000000001</v>
      </c>
      <c r="N142" s="322">
        <f>+'GENERADO NO Sep Origen'!N142+'RECH-RECUP_PS locales'!N302</f>
        <v>2.1838960000000003</v>
      </c>
      <c r="O142" s="322">
        <f>+'GENERADO NO Sep Origen'!O142+'RECH-RECUP_PS locales'!O302</f>
        <v>2.195856</v>
      </c>
      <c r="P142" s="322">
        <f>+'GENERADO NO Sep Origen'!P142+'RECH-RECUP_PS locales'!P302</f>
        <v>2.2078160000000002</v>
      </c>
      <c r="Q142" s="322">
        <f>+'GENERADO NO Sep Origen'!Q142+'RECH-RECUP_PS locales'!Q302</f>
        <v>2.219776</v>
      </c>
      <c r="R142" s="322">
        <f>+'GENERADO NO Sep Origen'!R142+'RECH-RECUP_PS locales'!R302</f>
        <v>2.2317360000000002</v>
      </c>
      <c r="S142" s="322">
        <f>+'GENERADO NO Sep Origen'!S142+'RECH-RECUP_PS locales'!S302</f>
        <v>2.2436959999999999</v>
      </c>
      <c r="T142" s="322">
        <f>+'GENERADO NO Sep Origen'!T142+'RECH-RECUP_PS locales'!T302</f>
        <v>2.2556560000000001</v>
      </c>
      <c r="U142" s="322">
        <f>+'GENERADO NO Sep Origen'!U142+'RECH-RECUP_PS locales'!U302</f>
        <v>2.2676160000000003</v>
      </c>
      <c r="V142" s="322">
        <f>+'GENERADO NO Sep Origen'!V142+'RECH-RECUP_PS locales'!V302</f>
        <v>2.279576</v>
      </c>
      <c r="W142" s="322">
        <f>+'GENERADO NO Sep Origen'!W142+'RECH-RECUP_PS locales'!W302</f>
        <v>2.2915360000000002</v>
      </c>
      <c r="X142" s="322">
        <f>+'GENERADO NO Sep Origen'!X142+'RECH-RECUP_PS locales'!X302</f>
        <v>2.303496</v>
      </c>
      <c r="Y142" s="322">
        <f>+'GENERADO NO Sep Origen'!Y142+'RECH-RECUP_PS locales'!Y302</f>
        <v>2.3154560000000002</v>
      </c>
      <c r="Z142" s="322">
        <f>+'GENERADO NO Sep Origen'!Z142+'RECH-RECUP_PS locales'!Z302</f>
        <v>2.3274160000000004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28"/>
      <c r="E143" s="278"/>
      <c r="F143" s="263"/>
      <c r="G143" s="322">
        <f>+'GENERADO NO Sep Origen'!G143+'RECH-RECUP_PS locales'!G303</f>
        <v>11.662794</v>
      </c>
      <c r="H143" s="322">
        <f>+'GENERADO NO Sep Origen'!H143+'RECH-RECUP_PS locales'!H303</f>
        <v>11.178404799999999</v>
      </c>
      <c r="I143" s="322">
        <f>+'GENERADO NO Sep Origen'!I143+'RECH-RECUP_PS locales'!I303</f>
        <v>10.648494000000001</v>
      </c>
      <c r="J143" s="322">
        <f>+'GENERADO NO Sep Origen'!J143+'RECH-RECUP_PS locales'!J303</f>
        <v>9.6827700000000014</v>
      </c>
      <c r="K143" s="322">
        <f>+'GENERADO NO Sep Origen'!K143+'RECH-RECUP_PS locales'!K303</f>
        <v>8.6440900000000003</v>
      </c>
      <c r="L143" s="322">
        <f>+'GENERADO NO Sep Origen'!L143+'RECH-RECUP_PS locales'!L303</f>
        <v>8.9012300000000018</v>
      </c>
      <c r="M143" s="322">
        <f>+'GENERADO NO Sep Origen'!M143+'RECH-RECUP_PS locales'!M303</f>
        <v>9.1625560000000004</v>
      </c>
      <c r="N143" s="322">
        <f>+'GENERADO NO Sep Origen'!N143+'RECH-RECUP_PS locales'!N303</f>
        <v>9.4274700000000013</v>
      </c>
      <c r="O143" s="322">
        <f>+'GENERADO NO Sep Origen'!O143+'RECH-RECUP_PS locales'!O303</f>
        <v>9.6971680000000013</v>
      </c>
      <c r="P143" s="322">
        <f>+'GENERADO NO Sep Origen'!P143+'RECH-RECUP_PS locales'!P303</f>
        <v>9.9716500000000003</v>
      </c>
      <c r="Q143" s="322">
        <f>+'GENERADO NO Sep Origen'!Q143+'RECH-RECUP_PS locales'!Q303</f>
        <v>10.24972</v>
      </c>
      <c r="R143" s="322">
        <f>+'GENERADO NO Sep Origen'!R143+'RECH-RECUP_PS locales'!R303</f>
        <v>10.533172</v>
      </c>
      <c r="S143" s="322">
        <f>+'GENERADO NO Sep Origen'!S143+'RECH-RECUP_PS locales'!S303</f>
        <v>10.820810000000002</v>
      </c>
      <c r="T143" s="322">
        <f>+'GENERADO NO Sep Origen'!T143+'RECH-RECUP_PS locales'!T303</f>
        <v>11.113232</v>
      </c>
      <c r="U143" s="322">
        <f>+'GENERADO NO Sep Origen'!U143+'RECH-RECUP_PS locales'!U303</f>
        <v>11.410437999999999</v>
      </c>
      <c r="V143" s="322">
        <f>+'GENERADO NO Sep Origen'!V143+'RECH-RECUP_PS locales'!V303</f>
        <v>11.712427999999999</v>
      </c>
      <c r="W143" s="322">
        <f>+'GENERADO NO Sep Origen'!W143+'RECH-RECUP_PS locales'!W303</f>
        <v>12.019202</v>
      </c>
      <c r="X143" s="322">
        <f>+'GENERADO NO Sep Origen'!X143+'RECH-RECUP_PS locales'!X303</f>
        <v>12.331358</v>
      </c>
      <c r="Y143" s="322">
        <f>+'GENERADO NO Sep Origen'!Y143+'RECH-RECUP_PS locales'!Y303</f>
        <v>12.648298000000002</v>
      </c>
      <c r="Z143" s="322">
        <f>+'GENERADO NO Sep Origen'!Z143+'RECH-RECUP_PS locales'!Z303</f>
        <v>12.97062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28"/>
      <c r="E144" s="278"/>
      <c r="F144" s="263"/>
      <c r="G144" s="322">
        <f>+'GENERADO NO Sep Origen'!G144+'RECH-RECUP_PS locales'!G304</f>
        <v>18.876607200000002</v>
      </c>
      <c r="H144" s="322">
        <f>+'GENERADO NO Sep Origen'!H144+'RECH-RECUP_PS locales'!H304</f>
        <v>18.238190400000004</v>
      </c>
      <c r="I144" s="322">
        <f>+'GENERADO NO Sep Origen'!I144+'RECH-RECUP_PS locales'!I304</f>
        <v>17.503727000000005</v>
      </c>
      <c r="J144" s="322">
        <f>+'GENERADO NO Sep Origen'!J144+'RECH-RECUP_PS locales'!J304</f>
        <v>16.030380000000001</v>
      </c>
      <c r="K144" s="322">
        <f>+'GENERADO NO Sep Origen'!K144+'RECH-RECUP_PS locales'!K304</f>
        <v>14.409057000000004</v>
      </c>
      <c r="L144" s="322">
        <f>+'GENERADO NO Sep Origen'!L144+'RECH-RECUP_PS locales'!L304</f>
        <v>14.934075</v>
      </c>
      <c r="M144" s="322">
        <f>+'GENERADO NO Sep Origen'!M144+'RECH-RECUP_PS locales'!M304</f>
        <v>15.467361000000002</v>
      </c>
      <c r="N144" s="322">
        <f>+'GENERADO NO Sep Origen'!N144+'RECH-RECUP_PS locales'!N304</f>
        <v>16.008915000000002</v>
      </c>
      <c r="O144" s="322">
        <f>+'GENERADO NO Sep Origen'!O144+'RECH-RECUP_PS locales'!O304</f>
        <v>16.559426000000002</v>
      </c>
      <c r="P144" s="322">
        <f>+'GENERADO NO Sep Origen'!P144+'RECH-RECUP_PS locales'!P304</f>
        <v>17.119582999999999</v>
      </c>
      <c r="Q144" s="322">
        <f>+'GENERADO NO Sep Origen'!Q144+'RECH-RECUP_PS locales'!Q304</f>
        <v>17.688008</v>
      </c>
      <c r="R144" s="322">
        <f>+'GENERADO NO Sep Origen'!R144+'RECH-RECUP_PS locales'!R304</f>
        <v>18.266078999999998</v>
      </c>
      <c r="S144" s="322">
        <f>+'GENERADO NO Sep Origen'!S144+'RECH-RECUP_PS locales'!S304</f>
        <v>18.853796000000003</v>
      </c>
      <c r="T144" s="322">
        <f>+'GENERADO NO Sep Origen'!T144+'RECH-RECUP_PS locales'!T304</f>
        <v>19.451159000000001</v>
      </c>
      <c r="U144" s="322">
        <f>+'GENERADO NO Sep Origen'!U144+'RECH-RECUP_PS locales'!U304</f>
        <v>20.058168000000002</v>
      </c>
      <c r="V144" s="322">
        <f>+'GENERADO NO Sep Origen'!V144+'RECH-RECUP_PS locales'!V304</f>
        <v>20.674823000000004</v>
      </c>
      <c r="W144" s="322">
        <f>+'GENERADO NO Sep Origen'!W144+'RECH-RECUP_PS locales'!W304</f>
        <v>21.301813000000003</v>
      </c>
      <c r="X144" s="322">
        <f>+'GENERADO NO Sep Origen'!X144+'RECH-RECUP_PS locales'!X304</f>
        <v>21.938449000000002</v>
      </c>
      <c r="Y144" s="322">
        <f>+'GENERADO NO Sep Origen'!Y144+'RECH-RECUP_PS locales'!Y304</f>
        <v>22.586109</v>
      </c>
      <c r="Z144" s="322">
        <f>+'GENERADO NO Sep Origen'!Z144+'RECH-RECUP_PS locales'!Z304</f>
        <v>23.244104000000007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28"/>
      <c r="E145" s="278"/>
      <c r="F145" s="263"/>
      <c r="G145" s="322">
        <f>+'GENERADO NO Sep Origen'!G145+'RECH-RECUP_PS locales'!G305</f>
        <v>6.7462955999999998</v>
      </c>
      <c r="H145" s="322">
        <f>+'GENERADO NO Sep Origen'!H145+'RECH-RECUP_PS locales'!H305</f>
        <v>6.3132976000000012</v>
      </c>
      <c r="I145" s="322">
        <f>+'GENERADO NO Sep Origen'!I145+'RECH-RECUP_PS locales'!I305</f>
        <v>5.8743840000000001</v>
      </c>
      <c r="J145" s="322">
        <f>+'GENERADO NO Sep Origen'!J145+'RECH-RECUP_PS locales'!J305</f>
        <v>5.2198500000000001</v>
      </c>
      <c r="K145" s="322">
        <f>+'GENERADO NO Sep Origen'!K145+'RECH-RECUP_PS locales'!K305</f>
        <v>4.5555640000000004</v>
      </c>
      <c r="L145" s="322">
        <f>+'GENERADO NO Sep Origen'!L145+'RECH-RECUP_PS locales'!L305</f>
        <v>4.5866600000000002</v>
      </c>
      <c r="M145" s="322">
        <f>+'GENERADO NO Sep Origen'!M145+'RECH-RECUP_PS locales'!M305</f>
        <v>4.6183540000000001</v>
      </c>
      <c r="N145" s="322">
        <f>+'GENERADO NO Sep Origen'!N145+'RECH-RECUP_PS locales'!N305</f>
        <v>4.650048</v>
      </c>
      <c r="O145" s="322">
        <f>+'GENERADO NO Sep Origen'!O145+'RECH-RECUP_PS locales'!O305</f>
        <v>4.6811439999999997</v>
      </c>
      <c r="P145" s="322">
        <f>+'GENERADO NO Sep Origen'!P145+'RECH-RECUP_PS locales'!P305</f>
        <v>4.7128380000000005</v>
      </c>
      <c r="Q145" s="322">
        <f>+'GENERADO NO Sep Origen'!Q145+'RECH-RECUP_PS locales'!Q305</f>
        <v>4.7445320000000004</v>
      </c>
      <c r="R145" s="322">
        <f>+'GENERADO NO Sep Origen'!R145+'RECH-RECUP_PS locales'!R305</f>
        <v>4.7756280000000002</v>
      </c>
      <c r="S145" s="322">
        <f>+'GENERADO NO Sep Origen'!S145+'RECH-RECUP_PS locales'!S305</f>
        <v>4.8073220000000001</v>
      </c>
      <c r="T145" s="322">
        <f>+'GENERADO NO Sep Origen'!T145+'RECH-RECUP_PS locales'!T305</f>
        <v>4.8390160000000009</v>
      </c>
      <c r="U145" s="322">
        <f>+'GENERADO NO Sep Origen'!U145+'RECH-RECUP_PS locales'!U305</f>
        <v>4.8701120000000007</v>
      </c>
      <c r="V145" s="322">
        <f>+'GENERADO NO Sep Origen'!V145+'RECH-RECUP_PS locales'!V305</f>
        <v>4.9018060000000006</v>
      </c>
      <c r="W145" s="322">
        <f>+'GENERADO NO Sep Origen'!W145+'RECH-RECUP_PS locales'!W305</f>
        <v>4.9335000000000004</v>
      </c>
      <c r="X145" s="322">
        <f>+'GENERADO NO Sep Origen'!X145+'RECH-RECUP_PS locales'!X305</f>
        <v>4.9645960000000002</v>
      </c>
      <c r="Y145" s="322">
        <f>+'GENERADO NO Sep Origen'!Y145+'RECH-RECUP_PS locales'!Y305</f>
        <v>4.9962900000000001</v>
      </c>
      <c r="Z145" s="322">
        <f>+'GENERADO NO Sep Origen'!Z145+'RECH-RECUP_PS locales'!Z305</f>
        <v>5.0279840000000009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28"/>
      <c r="E146" s="278"/>
      <c r="F146" s="263"/>
      <c r="G146" s="322">
        <f>+'GENERADO NO Sep Origen'!G146+'RECH-RECUP_PS locales'!G306</f>
        <v>2.7278460000000004</v>
      </c>
      <c r="H146" s="322">
        <f>+'GENERADO NO Sep Origen'!H146+'RECH-RECUP_PS locales'!H306</f>
        <v>2.5400464</v>
      </c>
      <c r="I146" s="322">
        <f>+'GENERADO NO Sep Origen'!I146+'RECH-RECUP_PS locales'!I306</f>
        <v>2.3522560000000001</v>
      </c>
      <c r="J146" s="322">
        <f>+'GENERADO NO Sep Origen'!J146+'RECH-RECUP_PS locales'!J306</f>
        <v>2.0796600000000001</v>
      </c>
      <c r="K146" s="322">
        <f>+'GENERADO NO Sep Origen'!K146+'RECH-RECUP_PS locales'!K306</f>
        <v>1.8065580000000003</v>
      </c>
      <c r="L146" s="322">
        <f>+'GENERADO NO Sep Origen'!L146+'RECH-RECUP_PS locales'!L306</f>
        <v>1.810146</v>
      </c>
      <c r="M146" s="322">
        <f>+'GENERADO NO Sep Origen'!M146+'RECH-RECUP_PS locales'!M306</f>
        <v>1.8143320000000001</v>
      </c>
      <c r="N146" s="322">
        <f>+'GENERADO NO Sep Origen'!N146+'RECH-RECUP_PS locales'!N306</f>
        <v>1.8179200000000002</v>
      </c>
      <c r="O146" s="322">
        <f>+'GENERADO NO Sep Origen'!O146+'RECH-RECUP_PS locales'!O306</f>
        <v>1.8221060000000002</v>
      </c>
      <c r="P146" s="322">
        <f>+'GENERADO NO Sep Origen'!P146+'RECH-RECUP_PS locales'!P306</f>
        <v>1.8256940000000004</v>
      </c>
      <c r="Q146" s="322">
        <f>+'GENERADO NO Sep Origen'!Q146+'RECH-RECUP_PS locales'!Q306</f>
        <v>1.8298800000000002</v>
      </c>
      <c r="R146" s="322">
        <f>+'GENERADO NO Sep Origen'!R146+'RECH-RECUP_PS locales'!R306</f>
        <v>1.8340660000000004</v>
      </c>
      <c r="S146" s="322">
        <f>+'GENERADO NO Sep Origen'!S146+'RECH-RECUP_PS locales'!S306</f>
        <v>1.8376540000000001</v>
      </c>
      <c r="T146" s="322">
        <f>+'GENERADO NO Sep Origen'!T146+'RECH-RECUP_PS locales'!T306</f>
        <v>1.8418400000000001</v>
      </c>
      <c r="U146" s="322">
        <f>+'GENERADO NO Sep Origen'!U146+'RECH-RECUP_PS locales'!U306</f>
        <v>1.8454280000000003</v>
      </c>
      <c r="V146" s="322">
        <f>+'GENERADO NO Sep Origen'!V146+'RECH-RECUP_PS locales'!V306</f>
        <v>1.8496139999999999</v>
      </c>
      <c r="W146" s="322">
        <f>+'GENERADO NO Sep Origen'!W146+'RECH-RECUP_PS locales'!W306</f>
        <v>1.853202</v>
      </c>
      <c r="X146" s="322">
        <f>+'GENERADO NO Sep Origen'!X146+'RECH-RECUP_PS locales'!X306</f>
        <v>1.857388</v>
      </c>
      <c r="Y146" s="322">
        <f>+'GENERADO NO Sep Origen'!Y146+'RECH-RECUP_PS locales'!Y306</f>
        <v>1.860976</v>
      </c>
      <c r="Z146" s="322">
        <f>+'GENERADO NO Sep Origen'!Z146+'RECH-RECUP_PS locales'!Z306</f>
        <v>1.865162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28"/>
      <c r="E147" s="278"/>
      <c r="F147" s="263"/>
      <c r="G147" s="322">
        <f>+'GENERADO NO Sep Origen'!G147+'RECH-RECUP_PS locales'!G307</f>
        <v>4.0075200000000004</v>
      </c>
      <c r="H147" s="322">
        <f>+'GENERADO NO Sep Origen'!H147+'RECH-RECUP_PS locales'!H307</f>
        <v>3.7351632000000001</v>
      </c>
      <c r="I147" s="322">
        <f>+'GENERADO NO Sep Origen'!I147+'RECH-RECUP_PS locales'!I307</f>
        <v>3.46035</v>
      </c>
      <c r="J147" s="322">
        <f>+'GENERADO NO Sep Origen'!J147+'RECH-RECUP_PS locales'!J307</f>
        <v>3.0622199999999999</v>
      </c>
      <c r="K147" s="322">
        <f>+'GENERADO NO Sep Origen'!K147+'RECH-RECUP_PS locales'!K307</f>
        <v>2.6616980000000003</v>
      </c>
      <c r="L147" s="322">
        <f>+'GENERADO NO Sep Origen'!L147+'RECH-RECUP_PS locales'!L307</f>
        <v>2.6694720000000003</v>
      </c>
      <c r="M147" s="322">
        <f>+'GENERADO NO Sep Origen'!M147+'RECH-RECUP_PS locales'!M307</f>
        <v>2.6772460000000002</v>
      </c>
      <c r="N147" s="322">
        <f>+'GENERADO NO Sep Origen'!N147+'RECH-RECUP_PS locales'!N307</f>
        <v>2.6844220000000001</v>
      </c>
      <c r="O147" s="322">
        <f>+'GENERADO NO Sep Origen'!O147+'RECH-RECUP_PS locales'!O307</f>
        <v>2.692196</v>
      </c>
      <c r="P147" s="322">
        <f>+'GENERADO NO Sep Origen'!P147+'RECH-RECUP_PS locales'!P307</f>
        <v>2.6999700000000004</v>
      </c>
      <c r="Q147" s="322">
        <f>+'GENERADO NO Sep Origen'!Q147+'RECH-RECUP_PS locales'!Q307</f>
        <v>2.7077440000000004</v>
      </c>
      <c r="R147" s="322">
        <f>+'GENERADO NO Sep Origen'!R147+'RECH-RECUP_PS locales'!R307</f>
        <v>2.7155180000000003</v>
      </c>
      <c r="S147" s="322">
        <f>+'GENERADO NO Sep Origen'!S147+'RECH-RECUP_PS locales'!S307</f>
        <v>2.7232919999999998</v>
      </c>
      <c r="T147" s="322">
        <f>+'GENERADO NO Sep Origen'!T147+'RECH-RECUP_PS locales'!T307</f>
        <v>2.7304680000000001</v>
      </c>
      <c r="U147" s="322">
        <f>+'GENERADO NO Sep Origen'!U147+'RECH-RECUP_PS locales'!U307</f>
        <v>2.7382420000000005</v>
      </c>
      <c r="V147" s="322">
        <f>+'GENERADO NO Sep Origen'!V147+'RECH-RECUP_PS locales'!V307</f>
        <v>2.746016</v>
      </c>
      <c r="W147" s="322">
        <f>+'GENERADO NO Sep Origen'!W147+'RECH-RECUP_PS locales'!W307</f>
        <v>2.7537900000000004</v>
      </c>
      <c r="X147" s="322">
        <f>+'GENERADO NO Sep Origen'!X147+'RECH-RECUP_PS locales'!X307</f>
        <v>2.7615640000000004</v>
      </c>
      <c r="Y147" s="322">
        <f>+'GENERADO NO Sep Origen'!Y147+'RECH-RECUP_PS locales'!Y307</f>
        <v>2.7687400000000006</v>
      </c>
      <c r="Z147" s="322">
        <f>+'GENERADO NO Sep Origen'!Z147+'RECH-RECUP_PS locales'!Z307</f>
        <v>2.7765140000000001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28"/>
      <c r="E148" s="278"/>
      <c r="F148" s="263"/>
      <c r="G148" s="322">
        <f>+'GENERADO NO Sep Origen'!G148+'RECH-RECUP_PS locales'!G308</f>
        <v>0.6967620000000001</v>
      </c>
      <c r="H148" s="322">
        <f>+'GENERADO NO Sep Origen'!H148+'RECH-RECUP_PS locales'!H308</f>
        <v>0.64580320000000002</v>
      </c>
      <c r="I148" s="322">
        <f>+'GENERADO NO Sep Origen'!I148+'RECH-RECUP_PS locales'!I308</f>
        <v>0.59432000000000007</v>
      </c>
      <c r="J148" s="322">
        <f>+'GENERADO NO Sep Origen'!J148+'RECH-RECUP_PS locales'!J308</f>
        <v>0.52302000000000004</v>
      </c>
      <c r="K148" s="322">
        <f>+'GENERADO NO Sep Origen'!K148+'RECH-RECUP_PS locales'!K308</f>
        <v>0.45208800000000005</v>
      </c>
      <c r="L148" s="322">
        <f>+'GENERADO NO Sep Origen'!L148+'RECH-RECUP_PS locales'!L308</f>
        <v>0.45089200000000007</v>
      </c>
      <c r="M148" s="322">
        <f>+'GENERADO NO Sep Origen'!M148+'RECH-RECUP_PS locales'!M308</f>
        <v>0.44969599999999998</v>
      </c>
      <c r="N148" s="322">
        <f>+'GENERADO NO Sep Origen'!N148+'RECH-RECUP_PS locales'!N308</f>
        <v>0.44850000000000001</v>
      </c>
      <c r="O148" s="322">
        <f>+'GENERADO NO Sep Origen'!O148+'RECH-RECUP_PS locales'!O308</f>
        <v>0.44730400000000009</v>
      </c>
      <c r="P148" s="322">
        <f>+'GENERADO NO Sep Origen'!P148+'RECH-RECUP_PS locales'!P308</f>
        <v>0.44610800000000006</v>
      </c>
      <c r="Q148" s="322">
        <f>+'GENERADO NO Sep Origen'!Q148+'RECH-RECUP_PS locales'!Q308</f>
        <v>0.44491199999999997</v>
      </c>
      <c r="R148" s="322">
        <f>+'GENERADO NO Sep Origen'!R148+'RECH-RECUP_PS locales'!R308</f>
        <v>0.443716</v>
      </c>
      <c r="S148" s="322">
        <f>+'GENERADO NO Sep Origen'!S148+'RECH-RECUP_PS locales'!S308</f>
        <v>0.44252000000000002</v>
      </c>
      <c r="T148" s="322">
        <f>+'GENERADO NO Sep Origen'!T148+'RECH-RECUP_PS locales'!T308</f>
        <v>0.44132400000000005</v>
      </c>
      <c r="U148" s="322">
        <f>+'GENERADO NO Sep Origen'!U148+'RECH-RECUP_PS locales'!U308</f>
        <v>0.44012800000000007</v>
      </c>
      <c r="V148" s="322">
        <f>+'GENERADO NO Sep Origen'!V148+'RECH-RECUP_PS locales'!V308</f>
        <v>0.43893199999999999</v>
      </c>
      <c r="W148" s="322">
        <f>+'GENERADO NO Sep Origen'!W148+'RECH-RECUP_PS locales'!W308</f>
        <v>0.43773600000000001</v>
      </c>
      <c r="X148" s="322">
        <f>+'GENERADO NO Sep Origen'!X148+'RECH-RECUP_PS locales'!X308</f>
        <v>0.43654000000000004</v>
      </c>
      <c r="Y148" s="322">
        <f>+'GENERADO NO Sep Origen'!Y148+'RECH-RECUP_PS locales'!Y308</f>
        <v>0.43534400000000006</v>
      </c>
      <c r="Z148" s="322">
        <f>+'GENERADO NO Sep Origen'!Z148+'RECH-RECUP_PS locales'!Z308</f>
        <v>0.43414800000000009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28"/>
      <c r="E149" s="278"/>
      <c r="F149" s="263"/>
      <c r="G149" s="322">
        <f>+'GENERADO NO Sep Origen'!G149+'RECH-RECUP_PS locales'!G309</f>
        <v>1.2505284000000001</v>
      </c>
      <c r="H149" s="322">
        <f>+'GENERADO NO Sep Origen'!H149+'RECH-RECUP_PS locales'!H309</f>
        <v>1.1900383999999999</v>
      </c>
      <c r="I149" s="322">
        <f>+'GENERADO NO Sep Origen'!I149+'RECH-RECUP_PS locales'!I309</f>
        <v>1.12608</v>
      </c>
      <c r="J149" s="322">
        <f>+'GENERADO NO Sep Origen'!J149+'RECH-RECUP_PS locales'!J309</f>
        <v>1.0170600000000001</v>
      </c>
      <c r="K149" s="322">
        <f>+'GENERADO NO Sep Origen'!K149+'RECH-RECUP_PS locales'!K309</f>
        <v>0.90238200000000002</v>
      </c>
      <c r="L149" s="322">
        <f>+'GENERADO NO Sep Origen'!L149+'RECH-RECUP_PS locales'!L309</f>
        <v>0.92391000000000001</v>
      </c>
      <c r="M149" s="322">
        <f>+'GENERADO NO Sep Origen'!M149+'RECH-RECUP_PS locales'!M309</f>
        <v>0.9460360000000001</v>
      </c>
      <c r="N149" s="322">
        <f>+'GENERADO NO Sep Origen'!N149+'RECH-RECUP_PS locales'!N309</f>
        <v>0.96876000000000018</v>
      </c>
      <c r="O149" s="322">
        <f>+'GENERADO NO Sep Origen'!O149+'RECH-RECUP_PS locales'!O309</f>
        <v>0.99148400000000003</v>
      </c>
      <c r="P149" s="322">
        <f>+'GENERADO NO Sep Origen'!P149+'RECH-RECUP_PS locales'!P309</f>
        <v>1.0154040000000002</v>
      </c>
      <c r="Q149" s="322">
        <f>+'GENERADO NO Sep Origen'!Q149+'RECH-RECUP_PS locales'!Q309</f>
        <v>1.0393240000000001</v>
      </c>
      <c r="R149" s="322">
        <f>+'GENERADO NO Sep Origen'!R149+'RECH-RECUP_PS locales'!R309</f>
        <v>1.0644400000000003</v>
      </c>
      <c r="S149" s="322">
        <f>+'GENERADO NO Sep Origen'!S149+'RECH-RECUP_PS locales'!S309</f>
        <v>1.089556</v>
      </c>
      <c r="T149" s="322">
        <f>+'GENERADO NO Sep Origen'!T149+'RECH-RECUP_PS locales'!T309</f>
        <v>1.1158680000000001</v>
      </c>
      <c r="U149" s="322">
        <f>+'GENERADO NO Sep Origen'!U149+'RECH-RECUP_PS locales'!U309</f>
        <v>1.1421800000000002</v>
      </c>
      <c r="V149" s="322">
        <f>+'GENERADO NO Sep Origen'!V149+'RECH-RECUP_PS locales'!V309</f>
        <v>1.1696880000000001</v>
      </c>
      <c r="W149" s="322">
        <f>+'GENERADO NO Sep Origen'!W149+'RECH-RECUP_PS locales'!W309</f>
        <v>1.1971960000000001</v>
      </c>
      <c r="X149" s="322">
        <f>+'GENERADO NO Sep Origen'!X149+'RECH-RECUP_PS locales'!X309</f>
        <v>1.2259</v>
      </c>
      <c r="Y149" s="322">
        <f>+'GENERADO NO Sep Origen'!Y149+'RECH-RECUP_PS locales'!Y309</f>
        <v>1.2552020000000002</v>
      </c>
      <c r="Z149" s="322">
        <f>+'GENERADO NO Sep Origen'!Z149+'RECH-RECUP_PS locales'!Z309</f>
        <v>1.2851020000000002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28"/>
      <c r="E150" s="278"/>
      <c r="F150" s="263"/>
      <c r="G150" s="322">
        <f>+'GENERADO NO Sep Origen'!G150+'RECH-RECUP_PS locales'!G310</f>
        <v>4.4228448</v>
      </c>
      <c r="H150" s="322">
        <f>+'GENERADO NO Sep Origen'!H150+'RECH-RECUP_PS locales'!H310</f>
        <v>4.1329712000000001</v>
      </c>
      <c r="I150" s="322">
        <f>+'GENERADO NO Sep Origen'!I150+'RECH-RECUP_PS locales'!I310</f>
        <v>3.83962</v>
      </c>
      <c r="J150" s="322">
        <f>+'GENERADO NO Sep Origen'!J150+'RECH-RECUP_PS locales'!J310</f>
        <v>3.4072199999999997</v>
      </c>
      <c r="K150" s="322">
        <f>+'GENERADO NO Sep Origen'!K150+'RECH-RECUP_PS locales'!K310</f>
        <v>2.9690700000000003</v>
      </c>
      <c r="L150" s="322">
        <f>+'GENERADO NO Sep Origen'!L150+'RECH-RECUP_PS locales'!L310</f>
        <v>2.9858140000000004</v>
      </c>
      <c r="M150" s="322">
        <f>+'GENERADO NO Sep Origen'!M150+'RECH-RECUP_PS locales'!M310</f>
        <v>3.0019600000000004</v>
      </c>
      <c r="N150" s="322">
        <f>+'GENERADO NO Sep Origen'!N150+'RECH-RECUP_PS locales'!N310</f>
        <v>3.0181059999999995</v>
      </c>
      <c r="O150" s="322">
        <f>+'GENERADO NO Sep Origen'!O150+'RECH-RECUP_PS locales'!O310</f>
        <v>3.0348499999999996</v>
      </c>
      <c r="P150" s="322">
        <f>+'GENERADO NO Sep Origen'!P150+'RECH-RECUP_PS locales'!P310</f>
        <v>3.050996</v>
      </c>
      <c r="Q150" s="322">
        <f>+'GENERADO NO Sep Origen'!Q150+'RECH-RECUP_PS locales'!Q310</f>
        <v>3.0677400000000006</v>
      </c>
      <c r="R150" s="322">
        <f>+'GENERADO NO Sep Origen'!R150+'RECH-RECUP_PS locales'!R310</f>
        <v>3.0838860000000006</v>
      </c>
      <c r="S150" s="322">
        <f>+'GENERADO NO Sep Origen'!S150+'RECH-RECUP_PS locales'!S310</f>
        <v>3.1000320000000006</v>
      </c>
      <c r="T150" s="322">
        <f>+'GENERADO NO Sep Origen'!T150+'RECH-RECUP_PS locales'!T310</f>
        <v>3.1167760000000002</v>
      </c>
      <c r="U150" s="322">
        <f>+'GENERADO NO Sep Origen'!U150+'RECH-RECUP_PS locales'!U310</f>
        <v>3.1329220000000007</v>
      </c>
      <c r="V150" s="322">
        <f>+'GENERADO NO Sep Origen'!V150+'RECH-RECUP_PS locales'!V310</f>
        <v>3.1496660000000003</v>
      </c>
      <c r="W150" s="322">
        <f>+'GENERADO NO Sep Origen'!W150+'RECH-RECUP_PS locales'!W310</f>
        <v>3.1658120000000007</v>
      </c>
      <c r="X150" s="322">
        <f>+'GENERADO NO Sep Origen'!X150+'RECH-RECUP_PS locales'!X310</f>
        <v>3.1825559999999999</v>
      </c>
      <c r="Y150" s="322">
        <f>+'GENERADO NO Sep Origen'!Y150+'RECH-RECUP_PS locales'!Y310</f>
        <v>3.1987019999999999</v>
      </c>
      <c r="Z150" s="322">
        <f>+'GENERADO NO Sep Origen'!Z150+'RECH-RECUP_PS locales'!Z310</f>
        <v>3.2148479999999999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28"/>
      <c r="E151" s="278"/>
      <c r="F151" s="263"/>
      <c r="G151" s="322">
        <f>+'GENERADO NO Sep Origen'!G151+'RECH-RECUP_PS locales'!G311</f>
        <v>35.040515400000004</v>
      </c>
      <c r="H151" s="322">
        <f>+'GENERADO NO Sep Origen'!H151+'RECH-RECUP_PS locales'!H311</f>
        <v>33.3303856</v>
      </c>
      <c r="I151" s="322">
        <f>+'GENERADO NO Sep Origen'!I151+'RECH-RECUP_PS locales'!I311</f>
        <v>31.503464999999998</v>
      </c>
      <c r="J151" s="322">
        <f>+'GENERADO NO Sep Origen'!J151+'RECH-RECUP_PS locales'!J311</f>
        <v>28.422840000000001</v>
      </c>
      <c r="K151" s="322">
        <f>+'GENERADO NO Sep Origen'!K151+'RECH-RECUP_PS locales'!K311</f>
        <v>25.17606</v>
      </c>
      <c r="L151" s="322">
        <f>+'GENERADO NO Sep Origen'!L151+'RECH-RECUP_PS locales'!L311</f>
        <v>25.836122000000003</v>
      </c>
      <c r="M151" s="322">
        <f>+'GENERADO NO Sep Origen'!M151+'RECH-RECUP_PS locales'!M311</f>
        <v>26.496873000000008</v>
      </c>
      <c r="N151" s="322">
        <f>+'GENERADO NO Sep Origen'!N151+'RECH-RECUP_PS locales'!N311</f>
        <v>27.157624000000002</v>
      </c>
      <c r="O151" s="322">
        <f>+'GENERADO NO Sep Origen'!O151+'RECH-RECUP_PS locales'!O311</f>
        <v>27.817686000000002</v>
      </c>
      <c r="P151" s="322">
        <f>+'GENERADO NO Sep Origen'!P151+'RECH-RECUP_PS locales'!P311</f>
        <v>28.478437000000003</v>
      </c>
      <c r="Q151" s="322">
        <f>+'GENERADO NO Sep Origen'!Q151+'RECH-RECUP_PS locales'!Q311</f>
        <v>29.138499000000003</v>
      </c>
      <c r="R151" s="322">
        <f>+'GENERADO NO Sep Origen'!R151+'RECH-RECUP_PS locales'!R311</f>
        <v>29.799250000000001</v>
      </c>
      <c r="S151" s="322">
        <f>+'GENERADO NO Sep Origen'!S151+'RECH-RECUP_PS locales'!S311</f>
        <v>30.459312000000004</v>
      </c>
      <c r="T151" s="322">
        <f>+'GENERADO NO Sep Origen'!T151+'RECH-RECUP_PS locales'!T311</f>
        <v>31.120752000000003</v>
      </c>
      <c r="U151" s="322">
        <f>+'GENERADO NO Sep Origen'!U151+'RECH-RECUP_PS locales'!U311</f>
        <v>31.780814000000007</v>
      </c>
      <c r="V151" s="322">
        <f>+'GENERADO NO Sep Origen'!V151+'RECH-RECUP_PS locales'!V311</f>
        <v>32.441565000000004</v>
      </c>
      <c r="W151" s="322">
        <f>+'GENERADO NO Sep Origen'!W151+'RECH-RECUP_PS locales'!W311</f>
        <v>33.101627000000008</v>
      </c>
      <c r="X151" s="322">
        <f>+'GENERADO NO Sep Origen'!X151+'RECH-RECUP_PS locales'!X311</f>
        <v>33.762377999999998</v>
      </c>
      <c r="Y151" s="322">
        <f>+'GENERADO NO Sep Origen'!Y151+'RECH-RECUP_PS locales'!Y311</f>
        <v>34.422440000000009</v>
      </c>
      <c r="Z151" s="322">
        <f>+'GENERADO NO Sep Origen'!Z151+'RECH-RECUP_PS locales'!Z311</f>
        <v>35.083880000000001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28"/>
      <c r="E152" s="278"/>
      <c r="F152" s="263"/>
      <c r="G152" s="322">
        <f>+'GENERADO NO Sep Origen'!G152+'RECH-RECUP_PS locales'!G312</f>
        <v>3.1012740000000001</v>
      </c>
      <c r="H152" s="322">
        <f>+'GENERADO NO Sep Origen'!H152+'RECH-RECUP_PS locales'!H312</f>
        <v>2.8811456</v>
      </c>
      <c r="I152" s="322">
        <f>+'GENERADO NO Sep Origen'!I152+'RECH-RECUP_PS locales'!I312</f>
        <v>2.6619280000000001</v>
      </c>
      <c r="J152" s="322">
        <f>+'GENERADO NO Sep Origen'!J152+'RECH-RECUP_PS locales'!J312</f>
        <v>2.3480700000000003</v>
      </c>
      <c r="K152" s="322">
        <f>+'GENERADO NO Sep Origen'!K152+'RECH-RECUP_PS locales'!K312</f>
        <v>2.0349940000000002</v>
      </c>
      <c r="L152" s="322">
        <f>+'GENERADO NO Sep Origen'!L152+'RECH-RECUP_PS locales'!L312</f>
        <v>2.0349940000000002</v>
      </c>
      <c r="M152" s="322">
        <f>+'GENERADO NO Sep Origen'!M152+'RECH-RECUP_PS locales'!M312</f>
        <v>2.0343960000000001</v>
      </c>
      <c r="N152" s="322">
        <f>+'GENERADO NO Sep Origen'!N152+'RECH-RECUP_PS locales'!N312</f>
        <v>2.0343960000000001</v>
      </c>
      <c r="O152" s="322">
        <f>+'GENERADO NO Sep Origen'!O152+'RECH-RECUP_PS locales'!O312</f>
        <v>2.033798</v>
      </c>
      <c r="P152" s="322">
        <f>+'GENERADO NO Sep Origen'!P152+'RECH-RECUP_PS locales'!P312</f>
        <v>2.033798</v>
      </c>
      <c r="Q152" s="322">
        <f>+'GENERADO NO Sep Origen'!Q152+'RECH-RECUP_PS locales'!Q312</f>
        <v>2.0331999999999999</v>
      </c>
      <c r="R152" s="322">
        <f>+'GENERADO NO Sep Origen'!R152+'RECH-RECUP_PS locales'!R312</f>
        <v>2.0331999999999999</v>
      </c>
      <c r="S152" s="322">
        <f>+'GENERADO NO Sep Origen'!S152+'RECH-RECUP_PS locales'!S312</f>
        <v>2.0326019999999998</v>
      </c>
      <c r="T152" s="322">
        <f>+'GENERADO NO Sep Origen'!T152+'RECH-RECUP_PS locales'!T312</f>
        <v>2.0326019999999998</v>
      </c>
      <c r="U152" s="322">
        <f>+'GENERADO NO Sep Origen'!U152+'RECH-RECUP_PS locales'!U312</f>
        <v>2.0326019999999998</v>
      </c>
      <c r="V152" s="322">
        <f>+'GENERADO NO Sep Origen'!V152+'RECH-RECUP_PS locales'!V312</f>
        <v>2.0320040000000006</v>
      </c>
      <c r="W152" s="322">
        <f>+'GENERADO NO Sep Origen'!W152+'RECH-RECUP_PS locales'!W312</f>
        <v>2.0320040000000006</v>
      </c>
      <c r="X152" s="322">
        <f>+'GENERADO NO Sep Origen'!X152+'RECH-RECUP_PS locales'!X312</f>
        <v>2.0314060000000005</v>
      </c>
      <c r="Y152" s="322">
        <f>+'GENERADO NO Sep Origen'!Y152+'RECH-RECUP_PS locales'!Y312</f>
        <v>2.0314060000000005</v>
      </c>
      <c r="Z152" s="322">
        <f>+'GENERADO NO Sep Origen'!Z152+'RECH-RECUP_PS locales'!Z312</f>
        <v>2.0308080000000004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28"/>
      <c r="E153" s="278"/>
      <c r="F153" s="263"/>
      <c r="G153" s="322">
        <f>+'GENERADO NO Sep Origen'!G153+'RECH-RECUP_PS locales'!G313</f>
        <v>24.879175199999999</v>
      </c>
      <c r="H153" s="322">
        <f>+'GENERADO NO Sep Origen'!H153+'RECH-RECUP_PS locales'!H313</f>
        <v>24.151803200000003</v>
      </c>
      <c r="I153" s="322">
        <f>+'GENERADO NO Sep Origen'!I153+'RECH-RECUP_PS locales'!I313</f>
        <v>23.311573000000003</v>
      </c>
      <c r="J153" s="322">
        <f>+'GENERADO NO Sep Origen'!J153+'RECH-RECUP_PS locales'!J313</f>
        <v>21.488055000000003</v>
      </c>
      <c r="K153" s="322">
        <f>+'GENERADO NO Sep Origen'!K153+'RECH-RECUP_PS locales'!K313</f>
        <v>19.455293000000001</v>
      </c>
      <c r="L153" s="322">
        <f>+'GENERADO NO Sep Origen'!L153+'RECH-RECUP_PS locales'!L313</f>
        <v>20.325499999999998</v>
      </c>
      <c r="M153" s="322">
        <f>+'GENERADO NO Sep Origen'!M153+'RECH-RECUP_PS locales'!M313</f>
        <v>21.233601999999998</v>
      </c>
      <c r="N153" s="322">
        <f>+'GENERADO NO Sep Origen'!N153+'RECH-RECUP_PS locales'!N313</f>
        <v>22.182355000000005</v>
      </c>
      <c r="O153" s="322">
        <f>+'GENERADO NO Sep Origen'!O153+'RECH-RECUP_PS locales'!O313</f>
        <v>23.173137000000004</v>
      </c>
      <c r="P153" s="322">
        <f>+'GENERADO NO Sep Origen'!P153+'RECH-RECUP_PS locales'!P313</f>
        <v>24.208704000000001</v>
      </c>
      <c r="Q153" s="322">
        <f>+'GENERADO NO Sep Origen'!Q153+'RECH-RECUP_PS locales'!Q313</f>
        <v>25.291812</v>
      </c>
      <c r="R153" s="322">
        <f>+'GENERADO NO Sep Origen'!R153+'RECH-RECUP_PS locales'!R313</f>
        <v>26.421772000000004</v>
      </c>
      <c r="S153" s="322">
        <f>+'GENERADO NO Sep Origen'!S153+'RECH-RECUP_PS locales'!S313</f>
        <v>27.602029000000002</v>
      </c>
      <c r="T153" s="322">
        <f>+'GENERADO NO Sep Origen'!T153+'RECH-RECUP_PS locales'!T313</f>
        <v>28.836028000000002</v>
      </c>
      <c r="U153" s="322">
        <f>+'GENERADO NO Sep Origen'!U153+'RECH-RECUP_PS locales'!U313</f>
        <v>30.124458000000001</v>
      </c>
      <c r="V153" s="322">
        <f>+'GENERADO NO Sep Origen'!V153+'RECH-RECUP_PS locales'!V313</f>
        <v>31.470764000000003</v>
      </c>
      <c r="W153" s="322">
        <f>+'GENERADO NO Sep Origen'!W153+'RECH-RECUP_PS locales'!W313</f>
        <v>32.877701999999999</v>
      </c>
      <c r="X153" s="322">
        <f>+'GENERADO NO Sep Origen'!X153+'RECH-RECUP_PS locales'!X313</f>
        <v>34.345961000000003</v>
      </c>
      <c r="Y153" s="322">
        <f>+'GENERADO NO Sep Origen'!Y153+'RECH-RECUP_PS locales'!Y313</f>
        <v>35.881053000000009</v>
      </c>
      <c r="Z153" s="322">
        <f>+'GENERADO NO Sep Origen'!Z153+'RECH-RECUP_PS locales'!Z313</f>
        <v>37.485045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28"/>
      <c r="E154" s="278"/>
      <c r="F154" s="263"/>
      <c r="G154" s="322">
        <f>+'GENERADO NO Sep Origen'!G154+'RECH-RECUP_PS locales'!G314</f>
        <v>5.1842736</v>
      </c>
      <c r="H154" s="322">
        <f>+'GENERADO NO Sep Origen'!H154+'RECH-RECUP_PS locales'!H314</f>
        <v>4.8253264000000007</v>
      </c>
      <c r="I154" s="322">
        <f>+'GENERADO NO Sep Origen'!I154+'RECH-RECUP_PS locales'!I314</f>
        <v>4.4660019999999996</v>
      </c>
      <c r="J154" s="322">
        <f>+'GENERADO NO Sep Origen'!J154+'RECH-RECUP_PS locales'!J314</f>
        <v>3.9468000000000005</v>
      </c>
      <c r="K154" s="322">
        <f>+'GENERADO NO Sep Origen'!K154+'RECH-RECUP_PS locales'!K314</f>
        <v>3.4259420000000005</v>
      </c>
      <c r="L154" s="322">
        <f>+'GENERADO NO Sep Origen'!L154+'RECH-RECUP_PS locales'!L314</f>
        <v>3.431324</v>
      </c>
      <c r="M154" s="322">
        <f>+'GENERADO NO Sep Origen'!M154+'RECH-RECUP_PS locales'!M314</f>
        <v>3.4373040000000001</v>
      </c>
      <c r="N154" s="322">
        <f>+'GENERADO NO Sep Origen'!N154+'RECH-RECUP_PS locales'!N314</f>
        <v>3.4426860000000001</v>
      </c>
      <c r="O154" s="322">
        <f>+'GENERADO NO Sep Origen'!O154+'RECH-RECUP_PS locales'!O314</f>
        <v>3.4480680000000006</v>
      </c>
      <c r="P154" s="322">
        <f>+'GENERADO NO Sep Origen'!P154+'RECH-RECUP_PS locales'!P314</f>
        <v>3.4540480000000002</v>
      </c>
      <c r="Q154" s="322">
        <f>+'GENERADO NO Sep Origen'!Q154+'RECH-RECUP_PS locales'!Q314</f>
        <v>3.4594299999999998</v>
      </c>
      <c r="R154" s="322">
        <f>+'GENERADO NO Sep Origen'!R154+'RECH-RECUP_PS locales'!R314</f>
        <v>3.4648120000000002</v>
      </c>
      <c r="S154" s="322">
        <f>+'GENERADO NO Sep Origen'!S154+'RECH-RECUP_PS locales'!S314</f>
        <v>3.4707920000000003</v>
      </c>
      <c r="T154" s="322">
        <f>+'GENERADO NO Sep Origen'!T154+'RECH-RECUP_PS locales'!T314</f>
        <v>3.4761739999999999</v>
      </c>
      <c r="U154" s="322">
        <f>+'GENERADO NO Sep Origen'!U154+'RECH-RECUP_PS locales'!U314</f>
        <v>3.4821539999999995</v>
      </c>
      <c r="V154" s="322">
        <f>+'GENERADO NO Sep Origen'!V154+'RECH-RECUP_PS locales'!V314</f>
        <v>3.4875360000000004</v>
      </c>
      <c r="W154" s="322">
        <f>+'GENERADO NO Sep Origen'!W154+'RECH-RECUP_PS locales'!W314</f>
        <v>3.4929180000000004</v>
      </c>
      <c r="X154" s="322">
        <f>+'GENERADO NO Sep Origen'!X154+'RECH-RECUP_PS locales'!X314</f>
        <v>3.4988980000000005</v>
      </c>
      <c r="Y154" s="322">
        <f>+'GENERADO NO Sep Origen'!Y154+'RECH-RECUP_PS locales'!Y314</f>
        <v>3.5042799999999996</v>
      </c>
      <c r="Z154" s="322">
        <f>+'GENERADO NO Sep Origen'!Z154+'RECH-RECUP_PS locales'!Z314</f>
        <v>3.5102600000000006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28"/>
      <c r="E155" s="278"/>
      <c r="F155" s="263"/>
      <c r="G155" s="322">
        <f>+'GENERADO NO Sep Origen'!G155+'RECH-RECUP_PS locales'!G315</f>
        <v>11.580822000000001</v>
      </c>
      <c r="H155" s="322">
        <f>+'GENERADO NO Sep Origen'!H155+'RECH-RECUP_PS locales'!H315</f>
        <v>10.842384000000001</v>
      </c>
      <c r="I155" s="322">
        <f>+'GENERADO NO Sep Origen'!I155+'RECH-RECUP_PS locales'!I315</f>
        <v>10.093273999999999</v>
      </c>
      <c r="J155" s="322">
        <f>+'GENERADO NO Sep Origen'!J155+'RECH-RECUP_PS locales'!J315</f>
        <v>8.9720699999999987</v>
      </c>
      <c r="K155" s="322">
        <f>+'GENERADO NO Sep Origen'!K155+'RECH-RECUP_PS locales'!K315</f>
        <v>7.8343980000000002</v>
      </c>
      <c r="L155" s="322">
        <f>+'GENERADO NO Sep Origen'!L155+'RECH-RECUP_PS locales'!L315</f>
        <v>7.8936000000000002</v>
      </c>
      <c r="M155" s="322">
        <f>+'GENERADO NO Sep Origen'!M155+'RECH-RECUP_PS locales'!M315</f>
        <v>7.9528020000000001</v>
      </c>
      <c r="N155" s="322">
        <f>+'GENERADO NO Sep Origen'!N155+'RECH-RECUP_PS locales'!N315</f>
        <v>8.0126020000000011</v>
      </c>
      <c r="O155" s="322">
        <f>+'GENERADO NO Sep Origen'!O155+'RECH-RECUP_PS locales'!O315</f>
        <v>8.0724020000000003</v>
      </c>
      <c r="P155" s="322">
        <f>+'GENERADO NO Sep Origen'!P155+'RECH-RECUP_PS locales'!P315</f>
        <v>8.1333979999999997</v>
      </c>
      <c r="Q155" s="322">
        <f>+'GENERADO NO Sep Origen'!Q155+'RECH-RECUP_PS locales'!Q315</f>
        <v>8.1943939999999991</v>
      </c>
      <c r="R155" s="322">
        <f>+'GENERADO NO Sep Origen'!R155+'RECH-RECUP_PS locales'!R315</f>
        <v>8.2559880000000003</v>
      </c>
      <c r="S155" s="322">
        <f>+'GENERADO NO Sep Origen'!S155+'RECH-RECUP_PS locales'!S315</f>
        <v>8.3175820000000016</v>
      </c>
      <c r="T155" s="322">
        <f>+'GENERADO NO Sep Origen'!T155+'RECH-RECUP_PS locales'!T315</f>
        <v>8.3803720000000013</v>
      </c>
      <c r="U155" s="322">
        <f>+'GENERADO NO Sep Origen'!U155+'RECH-RECUP_PS locales'!U315</f>
        <v>8.4431620000000009</v>
      </c>
      <c r="V155" s="322">
        <f>+'GENERADO NO Sep Origen'!V155+'RECH-RECUP_PS locales'!V315</f>
        <v>8.5065500000000007</v>
      </c>
      <c r="W155" s="322">
        <f>+'GENERADO NO Sep Origen'!W155+'RECH-RECUP_PS locales'!W315</f>
        <v>8.5705360000000006</v>
      </c>
      <c r="X155" s="322">
        <f>+'GENERADO NO Sep Origen'!X155+'RECH-RECUP_PS locales'!X315</f>
        <v>8.6351200000000006</v>
      </c>
      <c r="Y155" s="322">
        <f>+'GENERADO NO Sep Origen'!Y155+'RECH-RECUP_PS locales'!Y315</f>
        <v>8.6997040000000005</v>
      </c>
      <c r="Z155" s="322">
        <f>+'GENERADO NO Sep Origen'!Z155+'RECH-RECUP_PS locales'!Z315</f>
        <v>8.7648860000000006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28"/>
      <c r="E156" s="278"/>
      <c r="F156" s="263"/>
      <c r="G156" s="322">
        <f>+'GENERADO NO Sep Origen'!G156+'RECH-RECUP_PS locales'!G316</f>
        <v>3.7242611999999999</v>
      </c>
      <c r="H156" s="322">
        <f>+'GENERADO NO Sep Origen'!H156+'RECH-RECUP_PS locales'!H316</f>
        <v>3.6014320000000004</v>
      </c>
      <c r="I156" s="322">
        <f>+'GENERADO NO Sep Origen'!I156+'RECH-RECUP_PS locales'!I316</f>
        <v>3.4619140000000002</v>
      </c>
      <c r="J156" s="322">
        <f>+'GENERADO NO Sep Origen'!J156+'RECH-RECUP_PS locales'!J316</f>
        <v>3.1788300000000005</v>
      </c>
      <c r="K156" s="322">
        <f>+'GENERADO NO Sep Origen'!K156+'RECH-RECUP_PS locales'!K316</f>
        <v>2.8662140000000007</v>
      </c>
      <c r="L156" s="322">
        <f>+'GENERADO NO Sep Origen'!L156+'RECH-RECUP_PS locales'!L316</f>
        <v>2.9828239999999999</v>
      </c>
      <c r="M156" s="322">
        <f>+'GENERADO NO Sep Origen'!M156+'RECH-RECUP_PS locales'!M316</f>
        <v>3.1036200000000003</v>
      </c>
      <c r="N156" s="322">
        <f>+'GENERADO NO Sep Origen'!N156+'RECH-RECUP_PS locales'!N316</f>
        <v>3.2292000000000001</v>
      </c>
      <c r="O156" s="322">
        <f>+'GENERADO NO Sep Origen'!O156+'RECH-RECUP_PS locales'!O316</f>
        <v>3.3601619999999999</v>
      </c>
      <c r="P156" s="322">
        <f>+'GENERADO NO Sep Origen'!P156+'RECH-RECUP_PS locales'!P316</f>
        <v>3.4965059999999997</v>
      </c>
      <c r="Q156" s="322">
        <f>+'GENERADO NO Sep Origen'!Q156+'RECH-RECUP_PS locales'!Q316</f>
        <v>3.6382320000000004</v>
      </c>
      <c r="R156" s="322">
        <f>+'GENERADO NO Sep Origen'!R156+'RECH-RECUP_PS locales'!R316</f>
        <v>3.7859380000000007</v>
      </c>
      <c r="S156" s="322">
        <f>+'GENERADO NO Sep Origen'!S156+'RECH-RECUP_PS locales'!S316</f>
        <v>3.9390260000000001</v>
      </c>
      <c r="T156" s="322">
        <f>+'GENERADO NO Sep Origen'!T156+'RECH-RECUP_PS locales'!T316</f>
        <v>4.0986920000000007</v>
      </c>
      <c r="U156" s="322">
        <f>+'GENERADO NO Sep Origen'!U156+'RECH-RECUP_PS locales'!U316</f>
        <v>4.2649360000000005</v>
      </c>
      <c r="V156" s="322">
        <f>+'GENERADO NO Sep Origen'!V156+'RECH-RECUP_PS locales'!V316</f>
        <v>4.4377580000000005</v>
      </c>
      <c r="W156" s="322">
        <f>+'GENERADO NO Sep Origen'!W156+'RECH-RECUP_PS locales'!W316</f>
        <v>4.6177560000000009</v>
      </c>
      <c r="X156" s="322">
        <f>+'GENERADO NO Sep Origen'!X156+'RECH-RECUP_PS locales'!X316</f>
        <v>4.8049300000000006</v>
      </c>
      <c r="Y156" s="322">
        <f>+'GENERADO NO Sep Origen'!Y156+'RECH-RECUP_PS locales'!Y316</f>
        <v>4.9998780000000007</v>
      </c>
      <c r="Z156" s="322">
        <f>+'GENERADO NO Sep Origen'!Z156+'RECH-RECUP_PS locales'!Z316</f>
        <v>5.2026000000000003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28"/>
      <c r="E157" s="278"/>
      <c r="F157" s="263"/>
      <c r="G157" s="322">
        <f>+'GENERADO NO Sep Origen'!G157+'RECH-RECUP_PS locales'!G317</f>
        <v>6.7854600000000005</v>
      </c>
      <c r="H157" s="322">
        <f>+'GENERADO NO Sep Origen'!H157+'RECH-RECUP_PS locales'!H317</f>
        <v>6.4360255999999998</v>
      </c>
      <c r="I157" s="322">
        <f>+'GENERADO NO Sep Origen'!I157+'RECH-RECUP_PS locales'!I317</f>
        <v>6.069102</v>
      </c>
      <c r="J157" s="322">
        <f>+'GENERADO NO Sep Origen'!J157+'RECH-RECUP_PS locales'!J317</f>
        <v>5.46549</v>
      </c>
      <c r="K157" s="322">
        <f>+'GENERADO NO Sep Origen'!K157+'RECH-RECUP_PS locales'!K317</f>
        <v>4.8342320000000001</v>
      </c>
      <c r="L157" s="322">
        <f>+'GENERADO NO Sep Origen'!L157+'RECH-RECUP_PS locales'!L317</f>
        <v>4.9340980000000005</v>
      </c>
      <c r="M157" s="322">
        <f>+'GENERADO NO Sep Origen'!M157+'RECH-RECUP_PS locales'!M317</f>
        <v>5.0363560000000014</v>
      </c>
      <c r="N157" s="322">
        <f>+'GENERADO NO Sep Origen'!N157+'RECH-RECUP_PS locales'!N317</f>
        <v>5.1404080000000008</v>
      </c>
      <c r="O157" s="322">
        <f>+'GENERADO NO Sep Origen'!O157+'RECH-RECUP_PS locales'!O317</f>
        <v>5.2462540000000004</v>
      </c>
      <c r="P157" s="322">
        <f>+'GENERADO NO Sep Origen'!P157+'RECH-RECUP_PS locales'!P317</f>
        <v>5.3544920000000005</v>
      </c>
      <c r="Q157" s="322">
        <f>+'GENERADO NO Sep Origen'!Q157+'RECH-RECUP_PS locales'!Q317</f>
        <v>5.4651220000000009</v>
      </c>
      <c r="R157" s="322">
        <f>+'GENERADO NO Sep Origen'!R157+'RECH-RECUP_PS locales'!R317</f>
        <v>5.5781440000000009</v>
      </c>
      <c r="S157" s="322">
        <f>+'GENERADO NO Sep Origen'!S157+'RECH-RECUP_PS locales'!S317</f>
        <v>5.6929600000000002</v>
      </c>
      <c r="T157" s="322">
        <f>+'GENERADO NO Sep Origen'!T157+'RECH-RECUP_PS locales'!T317</f>
        <v>5.810766000000001</v>
      </c>
      <c r="U157" s="322">
        <f>+'GENERADO NO Sep Origen'!U157+'RECH-RECUP_PS locales'!U317</f>
        <v>5.9309639999999995</v>
      </c>
      <c r="V157" s="322">
        <f>+'GENERADO NO Sep Origen'!V157+'RECH-RECUP_PS locales'!V317</f>
        <v>6.052956</v>
      </c>
      <c r="W157" s="322">
        <f>+'GENERADO NO Sep Origen'!W157+'RECH-RECUP_PS locales'!W317</f>
        <v>6.177938000000001</v>
      </c>
      <c r="X157" s="322">
        <f>+'GENERADO NO Sep Origen'!X157+'RECH-RECUP_PS locales'!X317</f>
        <v>6.3059099999999999</v>
      </c>
      <c r="Y157" s="322">
        <f>+'GENERADO NO Sep Origen'!Y157+'RECH-RECUP_PS locales'!Y317</f>
        <v>6.4356760000000008</v>
      </c>
      <c r="Z157" s="322">
        <f>+'GENERADO NO Sep Origen'!Z157+'RECH-RECUP_PS locales'!Z317</f>
        <v>6.5690300000000015</v>
      </c>
    </row>
    <row r="158" spans="1:26" ht="24.95" customHeigh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28"/>
      <c r="E158" s="278"/>
      <c r="F158" s="263"/>
      <c r="G158" s="322">
        <f>+'GENERADO NO Sep Origen'!G158+'RECH-RECUP_PS locales'!G318</f>
        <v>18.882903600000002</v>
      </c>
      <c r="H158" s="322">
        <f>+'GENERADO NO Sep Origen'!H158+'RECH-RECUP_PS locales'!H318</f>
        <v>18.2635456</v>
      </c>
      <c r="I158" s="322">
        <f>+'GENERADO NO Sep Origen'!I158+'RECH-RECUP_PS locales'!I318</f>
        <v>17.561391000000004</v>
      </c>
      <c r="J158" s="322">
        <f>+'GENERADO NO Sep Origen'!J158+'RECH-RECUP_PS locales'!J318</f>
        <v>16.127369999999999</v>
      </c>
      <c r="K158" s="322">
        <f>+'GENERADO NO Sep Origen'!K158+'RECH-RECUP_PS locales'!K318</f>
        <v>14.546857000000003</v>
      </c>
      <c r="L158" s="322">
        <f>+'GENERADO NO Sep Origen'!L158+'RECH-RECUP_PS locales'!L318</f>
        <v>15.140086000000002</v>
      </c>
      <c r="M158" s="322">
        <f>+'GENERADO NO Sep Origen'!M158+'RECH-RECUP_PS locales'!M318</f>
        <v>15.757430000000001</v>
      </c>
      <c r="N158" s="322">
        <f>+'GENERADO NO Sep Origen'!N158+'RECH-RECUP_PS locales'!N318</f>
        <v>16.399578000000002</v>
      </c>
      <c r="O158" s="322">
        <f>+'GENERADO NO Sep Origen'!O158+'RECH-RECUP_PS locales'!O318</f>
        <v>17.068597</v>
      </c>
      <c r="P158" s="322">
        <f>+'GENERADO NO Sep Origen'!P158+'RECH-RECUP_PS locales'!P318</f>
        <v>17.764487000000003</v>
      </c>
      <c r="Q158" s="322">
        <f>+'GENERADO NO Sep Origen'!Q158+'RECH-RECUP_PS locales'!Q318</f>
        <v>18.488626000000004</v>
      </c>
      <c r="R158" s="322">
        <f>+'GENERADO NO Sep Origen'!R158+'RECH-RECUP_PS locales'!R318</f>
        <v>19.242392000000002</v>
      </c>
      <c r="S158" s="322">
        <f>+'GENERADO NO Sep Origen'!S158+'RECH-RECUP_PS locales'!S318</f>
        <v>20.027163000000002</v>
      </c>
      <c r="T158" s="322">
        <f>+'GENERADO NO Sep Origen'!T158+'RECH-RECUP_PS locales'!T318</f>
        <v>20.843628000000002</v>
      </c>
      <c r="U158" s="322">
        <f>+'GENERADO NO Sep Origen'!U158+'RECH-RECUP_PS locales'!U318</f>
        <v>21.693165</v>
      </c>
      <c r="V158" s="322">
        <f>+'GENERADO NO Sep Origen'!V158+'RECH-RECUP_PS locales'!V318</f>
        <v>22.577840999999999</v>
      </c>
      <c r="W158" s="322">
        <f>+'GENERADO NO Sep Origen'!W158+'RECH-RECUP_PS locales'!W318</f>
        <v>23.498345000000004</v>
      </c>
      <c r="X158" s="322">
        <f>+'GENERADO NO Sep Origen'!X158+'RECH-RECUP_PS locales'!X318</f>
        <v>24.456744</v>
      </c>
      <c r="Y158" s="322">
        <f>+'GENERADO NO Sep Origen'!Y158+'RECH-RECUP_PS locales'!Y318</f>
        <v>25.453727000000001</v>
      </c>
      <c r="Z158" s="322">
        <f>+'GENERADO NO Sep Origen'!Z158+'RECH-RECUP_PS locales'!Z318</f>
        <v>26.491361000000005</v>
      </c>
    </row>
    <row r="159" spans="1:26" ht="24.95" customHeight="1">
      <c r="A159" s="314"/>
      <c r="B159" s="315"/>
      <c r="C159" s="314"/>
      <c r="D159" s="330"/>
      <c r="E159" s="331"/>
      <c r="F159" s="332"/>
      <c r="G159" s="326"/>
      <c r="H159" s="326"/>
      <c r="I159" s="326"/>
      <c r="J159" s="326"/>
      <c r="K159" s="326"/>
      <c r="L159" s="326"/>
      <c r="M159" s="326"/>
      <c r="N159" s="326"/>
      <c r="O159" s="326"/>
      <c r="P159" s="326"/>
      <c r="Q159" s="326"/>
      <c r="R159" s="326"/>
      <c r="S159" s="326"/>
      <c r="T159" s="326"/>
      <c r="U159" s="326"/>
      <c r="V159" s="326"/>
      <c r="W159" s="326"/>
      <c r="X159" s="326"/>
      <c r="Y159" s="326"/>
      <c r="Z159" s="326"/>
    </row>
  </sheetData>
  <autoFilter ref="A4:Z140" xr:uid="{00000000-0009-0000-0000-000016000000}">
    <filterColumn colId="1" showButton="0"/>
  </autoFilter>
  <mergeCells count="2">
    <mergeCell ref="F2:Z2"/>
    <mergeCell ref="B4:C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>
    <tabColor rgb="FF33CC33"/>
  </sheetPr>
  <dimension ref="A1:Z158"/>
  <sheetViews>
    <sheetView view="pageBreakPreview" zoomScale="80" zoomScaleSheetLayoutView="80" workbookViewId="0">
      <pane xSplit="3" ySplit="4" topLeftCell="D5" activePane="bottomRight" state="frozen"/>
      <selection activeCell="F10" sqref="F10"/>
      <selection pane="topRight" activeCell="F10" sqref="F10"/>
      <selection pane="bottomLeft" activeCell="F10" sqref="F10"/>
      <selection pane="bottomRight" activeCell="G5" sqref="G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285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24" thickBot="1">
      <c r="A2" s="333"/>
      <c r="B2" s="317"/>
      <c r="C2" s="317"/>
      <c r="E2" s="273"/>
      <c r="F2" s="964" t="s">
        <v>286</v>
      </c>
      <c r="G2" s="965"/>
      <c r="H2" s="965"/>
      <c r="I2" s="965"/>
      <c r="J2" s="965"/>
      <c r="K2" s="965"/>
      <c r="L2" s="965"/>
      <c r="M2" s="965"/>
      <c r="N2" s="965"/>
      <c r="O2" s="965"/>
      <c r="P2" s="965"/>
      <c r="Q2" s="965"/>
      <c r="R2" s="965"/>
      <c r="S2" s="965"/>
      <c r="T2" s="965"/>
      <c r="U2" s="965"/>
      <c r="V2" s="965"/>
      <c r="W2" s="965"/>
      <c r="X2" s="965"/>
      <c r="Y2" s="965"/>
      <c r="Z2" s="966"/>
    </row>
    <row r="3" spans="1:26" ht="62.25" customHeight="1" thickBot="1">
      <c r="A3" s="318"/>
      <c r="B3" s="319"/>
      <c r="C3" s="319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54.75" customHeight="1" thickBot="1">
      <c r="A4" s="253" t="s">
        <v>28</v>
      </c>
      <c r="B4" s="967" t="s">
        <v>22</v>
      </c>
      <c r="C4" s="967"/>
      <c r="D4" s="290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28"/>
      <c r="E5" s="277"/>
      <c r="F5" s="259"/>
      <c r="G5" s="321">
        <f>+'RECHAZADOS A CA'!G5+'INGRESO A PS DE CA'!G5</f>
        <v>886.05104999999992</v>
      </c>
      <c r="H5" s="321">
        <f>+'RECHAZADOS A CA'!H5+'INGRESO A PS DE CA'!H5</f>
        <v>893.16872999999987</v>
      </c>
      <c r="I5" s="321">
        <f>+'RECHAZADOS A CA'!I5+'INGRESO A PS DE CA'!I5</f>
        <v>900.3428100000001</v>
      </c>
      <c r="J5" s="321">
        <f>+'RECHAZADOS A CA'!J5+'INGRESO A PS DE CA'!J5</f>
        <v>907.57470000000001</v>
      </c>
      <c r="K5" s="321">
        <f>+'RECHAZADOS A CA'!K5+'INGRESO A PS DE CA'!K5</f>
        <v>914.86439999999993</v>
      </c>
      <c r="L5" s="321">
        <f>+'RECHAZADOS A CA'!L5+'INGRESO A PS DE CA'!L5</f>
        <v>922.21332000000007</v>
      </c>
      <c r="M5" s="321">
        <f>+'RECHAZADOS A CA'!M5+'INGRESO A PS DE CA'!M5</f>
        <v>929.62145999999984</v>
      </c>
      <c r="N5" s="321">
        <f>+'RECHAZADOS A CA'!N5+'INGRESO A PS DE CA'!N5</f>
        <v>937.08881999999994</v>
      </c>
      <c r="O5" s="321">
        <f>+'RECHAZADOS A CA'!O5+'INGRESO A PS DE CA'!O5</f>
        <v>944.61539999999991</v>
      </c>
      <c r="P5" s="321">
        <f>+'RECHAZADOS A CA'!P5+'INGRESO A PS DE CA'!P5</f>
        <v>952.20261000000005</v>
      </c>
      <c r="Q5" s="321">
        <f>+'RECHAZADOS A CA'!Q5+'INGRESO A PS DE CA'!Q5</f>
        <v>959.85185999999999</v>
      </c>
      <c r="R5" s="321">
        <f>+'RECHAZADOS A CA'!R5+'INGRESO A PS DE CA'!R5</f>
        <v>967.56173999999987</v>
      </c>
      <c r="S5" s="321">
        <f>+'RECHAZADOS A CA'!S5+'INGRESO A PS DE CA'!S5</f>
        <v>975.33225000000004</v>
      </c>
      <c r="T5" s="321">
        <f>+'RECHAZADOS A CA'!T5+'INGRESO A PS DE CA'!T5</f>
        <v>983.16761999999994</v>
      </c>
      <c r="U5" s="321">
        <f>+'RECHAZADOS A CA'!U5+'INGRESO A PS DE CA'!U5</f>
        <v>991.06502999999987</v>
      </c>
      <c r="V5" s="321">
        <f>+'RECHAZADOS A CA'!V5+'INGRESO A PS DE CA'!V5</f>
        <v>999.02447999999993</v>
      </c>
      <c r="W5" s="321">
        <f>+'RECHAZADOS A CA'!W5+'INGRESO A PS DE CA'!W5</f>
        <v>1007.0501999999999</v>
      </c>
      <c r="X5" s="321">
        <f>+'RECHAZADOS A CA'!X5+'INGRESO A PS DE CA'!X5</f>
        <v>1015.1379599999999</v>
      </c>
      <c r="Y5" s="321">
        <f>+'RECHAZADOS A CA'!Y5+'INGRESO A PS DE CA'!Y5</f>
        <v>1023.2919899999999</v>
      </c>
      <c r="Z5" s="321">
        <f>+'RECHAZADOS A CA'!Z5+'INGRESO A PS DE CA'!Z5</f>
        <v>1031.5122899999999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28"/>
      <c r="E6" s="278"/>
      <c r="F6" s="263"/>
      <c r="G6" s="322">
        <f>+'RECHAZADOS A CA'!G6+'INGRESO A PS DE CA'!G6</f>
        <v>542.53274999999996</v>
      </c>
      <c r="H6" s="322">
        <f>+'RECHAZADOS A CA'!H6+'INGRESO A PS DE CA'!H6</f>
        <v>546.77826000000005</v>
      </c>
      <c r="I6" s="322">
        <f>+'RECHAZADOS A CA'!I6+'INGRESO A PS DE CA'!I6</f>
        <v>551.09285999999997</v>
      </c>
      <c r="J6" s="322">
        <f>+'RECHAZADOS A CA'!J6+'INGRESO A PS DE CA'!J6</f>
        <v>555.47795999999994</v>
      </c>
      <c r="K6" s="322">
        <f>+'RECHAZADOS A CA'!K6+'INGRESO A PS DE CA'!K6</f>
        <v>559.93355999999994</v>
      </c>
      <c r="L6" s="322">
        <f>+'RECHAZADOS A CA'!L6+'INGRESO A PS DE CA'!L6</f>
        <v>564.46248000000003</v>
      </c>
      <c r="M6" s="322">
        <f>+'RECHAZADOS A CA'!M6+'INGRESO A PS DE CA'!M6</f>
        <v>569.06613000000004</v>
      </c>
      <c r="N6" s="322">
        <f>+'RECHAZADOS A CA'!N6+'INGRESO A PS DE CA'!N6</f>
        <v>573.74310000000003</v>
      </c>
      <c r="O6" s="322">
        <f>+'RECHAZADOS A CA'!O6+'INGRESO A PS DE CA'!O6</f>
        <v>578.49761999999998</v>
      </c>
      <c r="P6" s="322">
        <f>+'RECHAZADOS A CA'!P6+'INGRESO A PS DE CA'!P6</f>
        <v>583.32968999999991</v>
      </c>
      <c r="Q6" s="322">
        <f>+'RECHAZADOS A CA'!Q6+'INGRESO A PS DE CA'!Q6</f>
        <v>588.24072000000001</v>
      </c>
      <c r="R6" s="322">
        <f>+'RECHAZADOS A CA'!R6+'INGRESO A PS DE CA'!R6</f>
        <v>593.23070999999993</v>
      </c>
      <c r="S6" s="322">
        <f>+'RECHAZADOS A CA'!S6+'INGRESO A PS DE CA'!S6</f>
        <v>598.30247999999995</v>
      </c>
      <c r="T6" s="322">
        <f>+'RECHAZADOS A CA'!T6+'INGRESO A PS DE CA'!T6</f>
        <v>603.45743999999991</v>
      </c>
      <c r="U6" s="322">
        <f>+'RECHAZADOS A CA'!U6+'INGRESO A PS DE CA'!U6</f>
        <v>608.697</v>
      </c>
      <c r="V6" s="322">
        <f>+'RECHAZADOS A CA'!V6+'INGRESO A PS DE CA'!V6</f>
        <v>614.0211599999999</v>
      </c>
      <c r="W6" s="322">
        <f>+'RECHAZADOS A CA'!W6+'INGRESO A PS DE CA'!W6</f>
        <v>619.43273999999997</v>
      </c>
      <c r="X6" s="322">
        <f>+'RECHAZADOS A CA'!X6+'INGRESO A PS DE CA'!X6</f>
        <v>624.93173999999999</v>
      </c>
      <c r="Y6" s="322">
        <f>+'RECHAZADOS A CA'!Y6+'INGRESO A PS DE CA'!Y6</f>
        <v>630.52098000000001</v>
      </c>
      <c r="Z6" s="322">
        <f>+'RECHAZADOS A CA'!Z6+'INGRESO A PS DE CA'!Z6</f>
        <v>636.20186999999999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28"/>
      <c r="E7" s="278"/>
      <c r="F7" s="263"/>
      <c r="G7" s="322">
        <f>+'RECHAZADOS A CA'!G7+'INGRESO A PS DE CA'!G7</f>
        <v>552.61284000000001</v>
      </c>
      <c r="H7" s="322">
        <f>+'RECHAZADOS A CA'!H7+'INGRESO A PS DE CA'!H7</f>
        <v>558.56163000000004</v>
      </c>
      <c r="I7" s="322">
        <f>+'RECHAZADOS A CA'!I7+'INGRESO A PS DE CA'!I7</f>
        <v>564.51182999999992</v>
      </c>
      <c r="J7" s="322">
        <f>+'RECHAZADOS A CA'!J7+'INGRESO A PS DE CA'!J7</f>
        <v>570.46202999999991</v>
      </c>
      <c r="K7" s="322">
        <f>+'RECHAZADOS A CA'!K7+'INGRESO A PS DE CA'!K7</f>
        <v>576.41223000000002</v>
      </c>
      <c r="L7" s="322">
        <f>+'RECHAZADOS A CA'!L7+'INGRESO A PS DE CA'!L7</f>
        <v>582.3624299999999</v>
      </c>
      <c r="M7" s="322">
        <f>+'RECHAZADOS A CA'!M7+'INGRESO A PS DE CA'!M7</f>
        <v>588.31263000000001</v>
      </c>
      <c r="N7" s="322">
        <f>+'RECHAZADOS A CA'!N7+'INGRESO A PS DE CA'!N7</f>
        <v>594.26283000000001</v>
      </c>
      <c r="O7" s="322">
        <f>+'RECHAZADOS A CA'!O7+'INGRESO A PS DE CA'!O7</f>
        <v>600.21162000000004</v>
      </c>
      <c r="P7" s="322">
        <f>+'RECHAZADOS A CA'!P7+'INGRESO A PS DE CA'!P7</f>
        <v>606.16181999999992</v>
      </c>
      <c r="Q7" s="322">
        <f>+'RECHAZADOS A CA'!Q7+'INGRESO A PS DE CA'!Q7</f>
        <v>612.11202000000003</v>
      </c>
      <c r="R7" s="322">
        <f>+'RECHAZADOS A CA'!R7+'INGRESO A PS DE CA'!R7</f>
        <v>618.06222000000002</v>
      </c>
      <c r="S7" s="322">
        <f>+'RECHAZADOS A CA'!S7+'INGRESO A PS DE CA'!S7</f>
        <v>624.01241999999991</v>
      </c>
      <c r="T7" s="322">
        <f>+'RECHAZADOS A CA'!T7+'INGRESO A PS DE CA'!T7</f>
        <v>629.96262000000002</v>
      </c>
      <c r="U7" s="322">
        <f>+'RECHAZADOS A CA'!U7+'INGRESO A PS DE CA'!U7</f>
        <v>635.9128199999999</v>
      </c>
      <c r="V7" s="322">
        <f>+'RECHAZADOS A CA'!V7+'INGRESO A PS DE CA'!V7</f>
        <v>641.86161000000004</v>
      </c>
      <c r="W7" s="322">
        <f>+'RECHAZADOS A CA'!W7+'INGRESO A PS DE CA'!W7</f>
        <v>647.81180999999992</v>
      </c>
      <c r="X7" s="322">
        <f>+'RECHAZADOS A CA'!X7+'INGRESO A PS DE CA'!X7</f>
        <v>653.76201000000003</v>
      </c>
      <c r="Y7" s="322">
        <f>+'RECHAZADOS A CA'!Y7+'INGRESO A PS DE CA'!Y7</f>
        <v>659.71220999999991</v>
      </c>
      <c r="Z7" s="322">
        <f>+'RECHAZADOS A CA'!Z7+'INGRESO A PS DE CA'!Z7</f>
        <v>665.66240999999991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28"/>
      <c r="E8" s="278"/>
      <c r="F8" s="263"/>
      <c r="G8" s="322">
        <f>+'RECHAZADOS A CA'!G8+'INGRESO A PS DE CA'!G8</f>
        <v>542.90357999999992</v>
      </c>
      <c r="H8" s="322">
        <f>+'RECHAZADOS A CA'!H8+'INGRESO A PS DE CA'!H8</f>
        <v>550.58948999999996</v>
      </c>
      <c r="I8" s="322">
        <f>+'RECHAZADOS A CA'!I8+'INGRESO A PS DE CA'!I8</f>
        <v>558.27680999999995</v>
      </c>
      <c r="J8" s="322">
        <f>+'RECHAZADOS A CA'!J8+'INGRESO A PS DE CA'!J8</f>
        <v>565.96271999999999</v>
      </c>
      <c r="K8" s="322">
        <f>+'RECHAZADOS A CA'!K8+'INGRESO A PS DE CA'!K8</f>
        <v>573.65003999999988</v>
      </c>
      <c r="L8" s="322">
        <f>+'RECHAZADOS A CA'!L8+'INGRESO A PS DE CA'!L8</f>
        <v>581.33594999999991</v>
      </c>
      <c r="M8" s="322">
        <f>+'RECHAZADOS A CA'!M8+'INGRESO A PS DE CA'!M8</f>
        <v>589.02327000000002</v>
      </c>
      <c r="N8" s="322">
        <f>+'RECHAZADOS A CA'!N8+'INGRESO A PS DE CA'!N8</f>
        <v>596.70917999999995</v>
      </c>
      <c r="O8" s="322">
        <f>+'RECHAZADOS A CA'!O8+'INGRESO A PS DE CA'!O8</f>
        <v>604.39508999999998</v>
      </c>
      <c r="P8" s="322">
        <f>+'RECHAZADOS A CA'!P8+'INGRESO A PS DE CA'!P8</f>
        <v>612.08240999999987</v>
      </c>
      <c r="Q8" s="322">
        <f>+'RECHAZADOS A CA'!Q8+'INGRESO A PS DE CA'!Q8</f>
        <v>619.7683199999999</v>
      </c>
      <c r="R8" s="322">
        <f>+'RECHAZADOS A CA'!R8+'INGRESO A PS DE CA'!R8</f>
        <v>627.45564000000002</v>
      </c>
      <c r="S8" s="322">
        <f>+'RECHAZADOS A CA'!S8+'INGRESO A PS DE CA'!S8</f>
        <v>635.14154999999994</v>
      </c>
      <c r="T8" s="322">
        <f>+'RECHAZADOS A CA'!T8+'INGRESO A PS DE CA'!T8</f>
        <v>642.82887000000005</v>
      </c>
      <c r="U8" s="322">
        <f>+'RECHAZADOS A CA'!U8+'INGRESO A PS DE CA'!U8</f>
        <v>650.51477999999986</v>
      </c>
      <c r="V8" s="322">
        <f>+'RECHAZADOS A CA'!V8+'INGRESO A PS DE CA'!V8</f>
        <v>658.2006899999999</v>
      </c>
      <c r="W8" s="322">
        <f>+'RECHAZADOS A CA'!W8+'INGRESO A PS DE CA'!W8</f>
        <v>665.88801000000001</v>
      </c>
      <c r="X8" s="322">
        <f>+'RECHAZADOS A CA'!X8+'INGRESO A PS DE CA'!X8</f>
        <v>673.57391999999993</v>
      </c>
      <c r="Y8" s="322">
        <f>+'RECHAZADOS A CA'!Y8+'INGRESO A PS DE CA'!Y8</f>
        <v>681.26124000000004</v>
      </c>
      <c r="Z8" s="322">
        <f>+'RECHAZADOS A CA'!Z8+'INGRESO A PS DE CA'!Z8</f>
        <v>688.94714999999985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28"/>
      <c r="E9" s="278"/>
      <c r="F9" s="263"/>
      <c r="G9" s="322">
        <f>+'RECHAZADOS A CA'!G9+'INGRESO A PS DE CA'!G9</f>
        <v>242.69166000000001</v>
      </c>
      <c r="H9" s="322">
        <f>+'RECHAZADOS A CA'!H9+'INGRESO A PS DE CA'!H9</f>
        <v>247.49484000000001</v>
      </c>
      <c r="I9" s="322">
        <f>+'RECHAZADOS A CA'!I9+'INGRESO A PS DE CA'!I9</f>
        <v>252.297</v>
      </c>
      <c r="J9" s="322">
        <f>+'RECHAZADOS A CA'!J9+'INGRESO A PS DE CA'!J9</f>
        <v>257.10017999999997</v>
      </c>
      <c r="K9" s="322">
        <f>+'RECHAZADOS A CA'!K9+'INGRESO A PS DE CA'!K9</f>
        <v>261.90336000000002</v>
      </c>
      <c r="L9" s="322">
        <f>+'RECHAZADOS A CA'!L9+'INGRESO A PS DE CA'!L9</f>
        <v>266.70552000000004</v>
      </c>
      <c r="M9" s="322">
        <f>+'RECHAZADOS A CA'!M9+'INGRESO A PS DE CA'!M9</f>
        <v>271.50870000000003</v>
      </c>
      <c r="N9" s="322">
        <f>+'RECHAZADOS A CA'!N9+'INGRESO A PS DE CA'!N9</f>
        <v>276.31188000000003</v>
      </c>
      <c r="O9" s="322">
        <f>+'RECHAZADOS A CA'!O9+'INGRESO A PS DE CA'!O9</f>
        <v>281.11403999999999</v>
      </c>
      <c r="P9" s="322">
        <f>+'RECHAZADOS A CA'!P9+'INGRESO A PS DE CA'!P9</f>
        <v>285.91722000000004</v>
      </c>
      <c r="Q9" s="322">
        <f>+'RECHAZADOS A CA'!Q9+'INGRESO A PS DE CA'!Q9</f>
        <v>290.72040000000004</v>
      </c>
      <c r="R9" s="322">
        <f>+'RECHAZADOS A CA'!R9+'INGRESO A PS DE CA'!R9</f>
        <v>295.52358000000004</v>
      </c>
      <c r="S9" s="322">
        <f>+'RECHAZADOS A CA'!S9+'INGRESO A PS DE CA'!S9</f>
        <v>300.32574</v>
      </c>
      <c r="T9" s="322">
        <f>+'RECHAZADOS A CA'!T9+'INGRESO A PS DE CA'!T9</f>
        <v>305.12891999999999</v>
      </c>
      <c r="U9" s="322">
        <f>+'RECHAZADOS A CA'!U9+'INGRESO A PS DE CA'!U9</f>
        <v>309.93209999999999</v>
      </c>
      <c r="V9" s="322">
        <f>+'RECHAZADOS A CA'!V9+'INGRESO A PS DE CA'!V9</f>
        <v>314.73426000000001</v>
      </c>
      <c r="W9" s="322">
        <f>+'RECHAZADOS A CA'!W9+'INGRESO A PS DE CA'!W9</f>
        <v>319.53744</v>
      </c>
      <c r="X9" s="322">
        <f>+'RECHAZADOS A CA'!X9+'INGRESO A PS DE CA'!X9</f>
        <v>324.34062</v>
      </c>
      <c r="Y9" s="322">
        <f>+'RECHAZADOS A CA'!Y9+'INGRESO A PS DE CA'!Y9</f>
        <v>329.14278000000002</v>
      </c>
      <c r="Z9" s="322">
        <f>+'RECHAZADOS A CA'!Z9+'INGRESO A PS DE CA'!Z9</f>
        <v>333.94596000000001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28"/>
      <c r="E10" s="278"/>
      <c r="F10" s="263"/>
      <c r="G10" s="322">
        <f>+'RECHAZADOS A CA'!G10+'INGRESO A PS DE CA'!G10</f>
        <v>809.58675000000005</v>
      </c>
      <c r="H10" s="322">
        <f>+'RECHAZADOS A CA'!H10+'INGRESO A PS DE CA'!H10</f>
        <v>822.67295999999999</v>
      </c>
      <c r="I10" s="322">
        <f>+'RECHAZADOS A CA'!I10+'INGRESO A PS DE CA'!I10</f>
        <v>835.75916999999993</v>
      </c>
      <c r="J10" s="322">
        <f>+'RECHAZADOS A CA'!J10+'INGRESO A PS DE CA'!J10</f>
        <v>848.84678999999994</v>
      </c>
      <c r="K10" s="322">
        <f>+'RECHAZADOS A CA'!K10+'INGRESO A PS DE CA'!K10</f>
        <v>861.93299999999999</v>
      </c>
      <c r="L10" s="322">
        <f>+'RECHAZADOS A CA'!L10+'INGRESO A PS DE CA'!L10</f>
        <v>875.02062000000001</v>
      </c>
      <c r="M10" s="322">
        <f>+'RECHAZADOS A CA'!M10+'INGRESO A PS DE CA'!M10</f>
        <v>888.10682999999995</v>
      </c>
      <c r="N10" s="322">
        <f>+'RECHAZADOS A CA'!N10+'INGRESO A PS DE CA'!N10</f>
        <v>901.19303999999988</v>
      </c>
      <c r="O10" s="322">
        <f>+'RECHAZADOS A CA'!O10+'INGRESO A PS DE CA'!O10</f>
        <v>914.2806599999999</v>
      </c>
      <c r="P10" s="322">
        <f>+'RECHAZADOS A CA'!P10+'INGRESO A PS DE CA'!P10</f>
        <v>927.36687000000006</v>
      </c>
      <c r="Q10" s="322">
        <f>+'RECHAZADOS A CA'!Q10+'INGRESO A PS DE CA'!Q10</f>
        <v>940.45448999999996</v>
      </c>
      <c r="R10" s="322">
        <f>+'RECHAZADOS A CA'!R10+'INGRESO A PS DE CA'!R10</f>
        <v>953.54070000000002</v>
      </c>
      <c r="S10" s="322">
        <f>+'RECHAZADOS A CA'!S10+'INGRESO A PS DE CA'!S10</f>
        <v>966.62690999999995</v>
      </c>
      <c r="T10" s="322">
        <f>+'RECHAZADOS A CA'!T10+'INGRESO A PS DE CA'!T10</f>
        <v>979.71452999999997</v>
      </c>
      <c r="U10" s="322">
        <f>+'RECHAZADOS A CA'!U10+'INGRESO A PS DE CA'!U10</f>
        <v>992.80073999999991</v>
      </c>
      <c r="V10" s="322">
        <f>+'RECHAZADOS A CA'!V10+'INGRESO A PS DE CA'!V10</f>
        <v>1005.88836</v>
      </c>
      <c r="W10" s="322">
        <f>+'RECHAZADOS A CA'!W10+'INGRESO A PS DE CA'!W10</f>
        <v>1018.97457</v>
      </c>
      <c r="X10" s="322">
        <f>+'RECHAZADOS A CA'!X10+'INGRESO A PS DE CA'!X10</f>
        <v>1032.0621899999999</v>
      </c>
      <c r="Y10" s="322">
        <f>+'RECHAZADOS A CA'!Y10+'INGRESO A PS DE CA'!Y10</f>
        <v>1045.1483999999998</v>
      </c>
      <c r="Z10" s="322">
        <f>+'RECHAZADOS A CA'!Z10+'INGRESO A PS DE CA'!Z10</f>
        <v>1058.23461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28"/>
      <c r="E11" s="278"/>
      <c r="F11" s="263"/>
      <c r="G11" s="322">
        <f>+'RECHAZADOS A CA'!G11+'INGRESO A PS DE CA'!G11</f>
        <v>632.07339000000002</v>
      </c>
      <c r="H11" s="322">
        <f>+'RECHAZADOS A CA'!H11+'INGRESO A PS DE CA'!H11</f>
        <v>635.50955999999996</v>
      </c>
      <c r="I11" s="322">
        <f>+'RECHAZADOS A CA'!I11+'INGRESO A PS DE CA'!I11</f>
        <v>639.00212999999997</v>
      </c>
      <c r="J11" s="322">
        <f>+'RECHAZADOS A CA'!J11+'INGRESO A PS DE CA'!J11</f>
        <v>642.55250999999998</v>
      </c>
      <c r="K11" s="322">
        <f>+'RECHAZADOS A CA'!K11+'INGRESO A PS DE CA'!K11</f>
        <v>646.16069999999991</v>
      </c>
      <c r="L11" s="322">
        <f>+'RECHAZADOS A CA'!L11+'INGRESO A PS DE CA'!L11</f>
        <v>649.82669999999996</v>
      </c>
      <c r="M11" s="322">
        <f>+'RECHAZADOS A CA'!M11+'INGRESO A PS DE CA'!M11</f>
        <v>653.55332999999996</v>
      </c>
      <c r="N11" s="322">
        <f>+'RECHAZADOS A CA'!N11+'INGRESO A PS DE CA'!N11</f>
        <v>657.34059000000002</v>
      </c>
      <c r="O11" s="322">
        <f>+'RECHAZADOS A CA'!O11+'INGRESO A PS DE CA'!O11</f>
        <v>661.18988999999999</v>
      </c>
      <c r="P11" s="322">
        <f>+'RECHAZADOS A CA'!P11+'INGRESO A PS DE CA'!P11</f>
        <v>665.10122999999999</v>
      </c>
      <c r="Q11" s="322">
        <f>+'RECHAZADOS A CA'!Q11+'INGRESO A PS DE CA'!Q11</f>
        <v>669.07742999999994</v>
      </c>
      <c r="R11" s="322">
        <f>+'RECHAZADOS A CA'!R11+'INGRESO A PS DE CA'!R11</f>
        <v>673.11707999999999</v>
      </c>
      <c r="S11" s="322">
        <f>+'RECHAZADOS A CA'!S11+'INGRESO A PS DE CA'!S11</f>
        <v>677.22299999999996</v>
      </c>
      <c r="T11" s="322">
        <f>+'RECHAZADOS A CA'!T11+'INGRESO A PS DE CA'!T11</f>
        <v>681.39659999999992</v>
      </c>
      <c r="U11" s="322">
        <f>+'RECHAZADOS A CA'!U11+'INGRESO A PS DE CA'!U11</f>
        <v>685.63788</v>
      </c>
      <c r="V11" s="322">
        <f>+'RECHAZADOS A CA'!V11+'INGRESO A PS DE CA'!V11</f>
        <v>689.94965999999988</v>
      </c>
      <c r="W11" s="322">
        <f>+'RECHAZADOS A CA'!W11+'INGRESO A PS DE CA'!W11</f>
        <v>694.33052999999995</v>
      </c>
      <c r="X11" s="322">
        <f>+'RECHAZADOS A CA'!X11+'INGRESO A PS DE CA'!X11</f>
        <v>698.78189999999995</v>
      </c>
      <c r="Y11" s="322">
        <f>+'RECHAZADOS A CA'!Y11+'INGRESO A PS DE CA'!Y11</f>
        <v>703.30799999999999</v>
      </c>
      <c r="Z11" s="322">
        <f>+'RECHAZADOS A CA'!Z11+'INGRESO A PS DE CA'!Z11</f>
        <v>707.90601000000004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28"/>
      <c r="E12" s="278"/>
      <c r="F12" s="263"/>
      <c r="G12" s="322">
        <f>+'RECHAZADOS A CA'!G12+'INGRESO A PS DE CA'!G12</f>
        <v>196.29390000000001</v>
      </c>
      <c r="H12" s="322">
        <f>+'RECHAZADOS A CA'!H12+'INGRESO A PS DE CA'!H12</f>
        <v>197.05686000000003</v>
      </c>
      <c r="I12" s="322">
        <f>+'RECHAZADOS A CA'!I12+'INGRESO A PS DE CA'!I12</f>
        <v>197.82084</v>
      </c>
      <c r="J12" s="322">
        <f>+'RECHAZADOS A CA'!J12+'INGRESO A PS DE CA'!J12</f>
        <v>198.58482000000001</v>
      </c>
      <c r="K12" s="322">
        <f>+'RECHAZADOS A CA'!K12+'INGRESO A PS DE CA'!K12</f>
        <v>199.34880000000004</v>
      </c>
      <c r="L12" s="322">
        <f>+'RECHAZADOS A CA'!L12+'INGRESO A PS DE CA'!L12</f>
        <v>200.11277999999999</v>
      </c>
      <c r="M12" s="322">
        <f>+'RECHAZADOS A CA'!M12+'INGRESO A PS DE CA'!M12</f>
        <v>200.87676000000005</v>
      </c>
      <c r="N12" s="322">
        <f>+'RECHAZADOS A CA'!N12+'INGRESO A PS DE CA'!N12</f>
        <v>201.64073999999999</v>
      </c>
      <c r="O12" s="322">
        <f>+'RECHAZADOS A CA'!O12+'INGRESO A PS DE CA'!O12</f>
        <v>202.40370000000001</v>
      </c>
      <c r="P12" s="322">
        <f>+'RECHAZADOS A CA'!P12+'INGRESO A PS DE CA'!P12</f>
        <v>203.16767999999996</v>
      </c>
      <c r="Q12" s="322">
        <f>+'RECHAZADOS A CA'!Q12+'INGRESO A PS DE CA'!Q12</f>
        <v>203.93165999999999</v>
      </c>
      <c r="R12" s="322">
        <f>+'RECHAZADOS A CA'!R12+'INGRESO A PS DE CA'!R12</f>
        <v>204.69564000000003</v>
      </c>
      <c r="S12" s="322">
        <f>+'RECHAZADOS A CA'!S12+'INGRESO A PS DE CA'!S12</f>
        <v>205.45962</v>
      </c>
      <c r="T12" s="322">
        <f>+'RECHAZADOS A CA'!T12+'INGRESO A PS DE CA'!T12</f>
        <v>206.2236</v>
      </c>
      <c r="U12" s="322">
        <f>+'RECHAZADOS A CA'!U12+'INGRESO A PS DE CA'!U12</f>
        <v>206.98758000000001</v>
      </c>
      <c r="V12" s="322">
        <f>+'RECHAZADOS A CA'!V12+'INGRESO A PS DE CA'!V12</f>
        <v>207.75054</v>
      </c>
      <c r="W12" s="322">
        <f>+'RECHAZADOS A CA'!W12+'INGRESO A PS DE CA'!W12</f>
        <v>208.51451999999998</v>
      </c>
      <c r="X12" s="322">
        <f>+'RECHAZADOS A CA'!X12+'INGRESO A PS DE CA'!X12</f>
        <v>209.27850000000001</v>
      </c>
      <c r="Y12" s="322">
        <f>+'RECHAZADOS A CA'!Y12+'INGRESO A PS DE CA'!Y12</f>
        <v>210.04248000000001</v>
      </c>
      <c r="Z12" s="322">
        <f>+'RECHAZADOS A CA'!Z12+'INGRESO A PS DE CA'!Z12</f>
        <v>210.80646000000002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28"/>
      <c r="E13" s="278"/>
      <c r="F13" s="263"/>
      <c r="G13" s="322">
        <f>+'RECHAZADOS A CA'!G13+'INGRESO A PS DE CA'!G13</f>
        <v>190.29834</v>
      </c>
      <c r="H13" s="322">
        <f>+'RECHAZADOS A CA'!H13+'INGRESO A PS DE CA'!H13</f>
        <v>191.56211999999999</v>
      </c>
      <c r="I13" s="322">
        <f>+'RECHAZADOS A CA'!I13+'INGRESO A PS DE CA'!I13</f>
        <v>192.83405999999999</v>
      </c>
      <c r="J13" s="322">
        <f>+'RECHAZADOS A CA'!J13+'INGRESO A PS DE CA'!J13</f>
        <v>194.11416</v>
      </c>
      <c r="K13" s="322">
        <f>+'RECHAZADOS A CA'!K13+'INGRESO A PS DE CA'!K13</f>
        <v>195.40242000000001</v>
      </c>
      <c r="L13" s="322">
        <f>+'RECHAZADOS A CA'!L13+'INGRESO A PS DE CA'!L13</f>
        <v>196.69986</v>
      </c>
      <c r="M13" s="322">
        <f>+'RECHAZADOS A CA'!M13+'INGRESO A PS DE CA'!M13</f>
        <v>198.00648000000001</v>
      </c>
      <c r="N13" s="322">
        <f>+'RECHAZADOS A CA'!N13+'INGRESO A PS DE CA'!N13</f>
        <v>199.32023999999998</v>
      </c>
      <c r="O13" s="322">
        <f>+'RECHAZADOS A CA'!O13+'INGRESO A PS DE CA'!O13</f>
        <v>200.64420000000001</v>
      </c>
      <c r="P13" s="322">
        <f>+'RECHAZADOS A CA'!P13+'INGRESO A PS DE CA'!P13</f>
        <v>201.97632000000002</v>
      </c>
      <c r="Q13" s="322">
        <f>+'RECHAZADOS A CA'!Q13+'INGRESO A PS DE CA'!Q13</f>
        <v>203.31761999999998</v>
      </c>
      <c r="R13" s="322">
        <f>+'RECHAZADOS A CA'!R13+'INGRESO A PS DE CA'!R13</f>
        <v>204.66708000000006</v>
      </c>
      <c r="S13" s="322">
        <f>+'RECHAZADOS A CA'!S13+'INGRESO A PS DE CA'!S13</f>
        <v>206.02572000000001</v>
      </c>
      <c r="T13" s="322">
        <f>+'RECHAZADOS A CA'!T13+'INGRESO A PS DE CA'!T13</f>
        <v>207.39354</v>
      </c>
      <c r="U13" s="322">
        <f>+'RECHAZADOS A CA'!U13+'INGRESO A PS DE CA'!U13</f>
        <v>208.77053999999998</v>
      </c>
      <c r="V13" s="322">
        <f>+'RECHAZADOS A CA'!V13+'INGRESO A PS DE CA'!V13</f>
        <v>210.15672000000001</v>
      </c>
      <c r="W13" s="322">
        <f>+'RECHAZADOS A CA'!W13+'INGRESO A PS DE CA'!W13</f>
        <v>211.55208000000002</v>
      </c>
      <c r="X13" s="322">
        <f>+'RECHAZADOS A CA'!X13+'INGRESO A PS DE CA'!X13</f>
        <v>212.95661999999999</v>
      </c>
      <c r="Y13" s="322">
        <f>+'RECHAZADOS A CA'!Y13+'INGRESO A PS DE CA'!Y13</f>
        <v>214.37034</v>
      </c>
      <c r="Z13" s="322">
        <f>+'RECHAZADOS A CA'!Z13+'INGRESO A PS DE CA'!Z13</f>
        <v>215.79323999999997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28"/>
      <c r="E14" s="278"/>
      <c r="F14" s="263"/>
      <c r="G14" s="322">
        <f>+'RECHAZADOS A CA'!G14+'INGRESO A PS DE CA'!G14</f>
        <v>484.83131999999995</v>
      </c>
      <c r="H14" s="322">
        <f>+'RECHAZADOS A CA'!H14+'INGRESO A PS DE CA'!H14</f>
        <v>492.67514999999997</v>
      </c>
      <c r="I14" s="322">
        <f>+'RECHAZADOS A CA'!I14+'INGRESO A PS DE CA'!I14</f>
        <v>500.64587999999992</v>
      </c>
      <c r="J14" s="322">
        <f>+'RECHAZADOS A CA'!J14+'INGRESO A PS DE CA'!J14</f>
        <v>508.74491999999998</v>
      </c>
      <c r="K14" s="322">
        <f>+'RECHAZADOS A CA'!K14+'INGRESO A PS DE CA'!K14</f>
        <v>516.97509000000002</v>
      </c>
      <c r="L14" s="322">
        <f>+'RECHAZADOS A CA'!L14+'INGRESO A PS DE CA'!L14</f>
        <v>525.33920999999998</v>
      </c>
      <c r="M14" s="322">
        <f>+'RECHAZADOS A CA'!M14+'INGRESO A PS DE CA'!M14</f>
        <v>533.83868999999993</v>
      </c>
      <c r="N14" s="322">
        <f>+'RECHAZADOS A CA'!N14+'INGRESO A PS DE CA'!N14</f>
        <v>542.47635000000002</v>
      </c>
      <c r="O14" s="322">
        <f>+'RECHAZADOS A CA'!O14+'INGRESO A PS DE CA'!O14</f>
        <v>551.25218999999993</v>
      </c>
      <c r="P14" s="322">
        <f>+'RECHAZADOS A CA'!P14+'INGRESO A PS DE CA'!P14</f>
        <v>560.17043999999999</v>
      </c>
      <c r="Q14" s="322">
        <f>+'RECHAZADOS A CA'!Q14+'INGRESO A PS DE CA'!Q14</f>
        <v>569.2339199999999</v>
      </c>
      <c r="R14" s="322">
        <f>+'RECHAZADOS A CA'!R14+'INGRESO A PS DE CA'!R14</f>
        <v>578.44263000000001</v>
      </c>
      <c r="S14" s="322">
        <f>+'RECHAZADOS A CA'!S14+'INGRESO A PS DE CA'!S14</f>
        <v>587.80079999999998</v>
      </c>
      <c r="T14" s="322">
        <f>+'RECHAZADOS A CA'!T14+'INGRESO A PS DE CA'!T14</f>
        <v>597.31124999999997</v>
      </c>
      <c r="U14" s="322">
        <f>+'RECHAZADOS A CA'!U14+'INGRESO A PS DE CA'!U14</f>
        <v>606.97397999999998</v>
      </c>
      <c r="V14" s="322">
        <f>+'RECHAZADOS A CA'!V14+'INGRESO A PS DE CA'!V14</f>
        <v>616.79462999999998</v>
      </c>
      <c r="W14" s="322">
        <f>+'RECHAZADOS A CA'!W14+'INGRESO A PS DE CA'!W14</f>
        <v>626.77319999999997</v>
      </c>
      <c r="X14" s="322">
        <f>+'RECHAZADOS A CA'!X14+'INGRESO A PS DE CA'!X14</f>
        <v>636.91391999999996</v>
      </c>
      <c r="Y14" s="322">
        <f>+'RECHAZADOS A CA'!Y14+'INGRESO A PS DE CA'!Y14</f>
        <v>647.21819999999991</v>
      </c>
      <c r="Z14" s="322">
        <f>+'RECHAZADOS A CA'!Z14+'INGRESO A PS DE CA'!Z14</f>
        <v>657.68885999999998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28"/>
      <c r="E15" s="278"/>
      <c r="F15" s="263"/>
      <c r="G15" s="322">
        <f>+'RECHAZADOS A CA'!G15+'INGRESO A PS DE CA'!G15</f>
        <v>3169.2612300000001</v>
      </c>
      <c r="H15" s="322">
        <f>+'RECHAZADOS A CA'!H15+'INGRESO A PS DE CA'!H15</f>
        <v>3217.3746599999995</v>
      </c>
      <c r="I15" s="322">
        <f>+'RECHAZADOS A CA'!I15+'INGRESO A PS DE CA'!I15</f>
        <v>3265.4866799999995</v>
      </c>
      <c r="J15" s="322">
        <f>+'RECHAZADOS A CA'!J15+'INGRESO A PS DE CA'!J15</f>
        <v>3313.5986999999996</v>
      </c>
      <c r="K15" s="322">
        <f>+'RECHAZADOS A CA'!K15+'INGRESO A PS DE CA'!K15</f>
        <v>3361.7107199999996</v>
      </c>
      <c r="L15" s="322">
        <f>+'RECHAZADOS A CA'!L15+'INGRESO A PS DE CA'!L15</f>
        <v>3409.8227399999996</v>
      </c>
      <c r="M15" s="322">
        <f>+'RECHAZADOS A CA'!M15+'INGRESO A PS DE CA'!M15</f>
        <v>3457.9347599999996</v>
      </c>
      <c r="N15" s="322">
        <f>+'RECHAZADOS A CA'!N15+'INGRESO A PS DE CA'!N15</f>
        <v>3506.04819</v>
      </c>
      <c r="O15" s="322">
        <f>+'RECHAZADOS A CA'!O15+'INGRESO A PS DE CA'!O15</f>
        <v>3554.16021</v>
      </c>
      <c r="P15" s="322">
        <f>+'RECHAZADOS A CA'!P15+'INGRESO A PS DE CA'!P15</f>
        <v>3602.27223</v>
      </c>
      <c r="Q15" s="322">
        <f>+'RECHAZADOS A CA'!Q15+'INGRESO A PS DE CA'!Q15</f>
        <v>3650.3842500000001</v>
      </c>
      <c r="R15" s="322">
        <f>+'RECHAZADOS A CA'!R15+'INGRESO A PS DE CA'!R15</f>
        <v>3698.4962700000001</v>
      </c>
      <c r="S15" s="322">
        <f>+'RECHAZADOS A CA'!S15+'INGRESO A PS DE CA'!S15</f>
        <v>3746.6082899999992</v>
      </c>
      <c r="T15" s="322">
        <f>+'RECHAZADOS A CA'!T15+'INGRESO A PS DE CA'!T15</f>
        <v>3794.7217199999996</v>
      </c>
      <c r="U15" s="322">
        <f>+'RECHAZADOS A CA'!U15+'INGRESO A PS DE CA'!U15</f>
        <v>3842.83374</v>
      </c>
      <c r="V15" s="322">
        <f>+'RECHAZADOS A CA'!V15+'INGRESO A PS DE CA'!V15</f>
        <v>3890.9457599999996</v>
      </c>
      <c r="W15" s="322">
        <f>+'RECHAZADOS A CA'!W15+'INGRESO A PS DE CA'!W15</f>
        <v>3939.0577800000001</v>
      </c>
      <c r="X15" s="322">
        <f>+'RECHAZADOS A CA'!X15+'INGRESO A PS DE CA'!X15</f>
        <v>3987.1697999999997</v>
      </c>
      <c r="Y15" s="322">
        <f>+'RECHAZADOS A CA'!Y15+'INGRESO A PS DE CA'!Y15</f>
        <v>4035.2818200000002</v>
      </c>
      <c r="Z15" s="322">
        <f>+'RECHAZADOS A CA'!Z15+'INGRESO A PS DE CA'!Z15</f>
        <v>4083.3952499999996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28"/>
      <c r="E16" s="278"/>
      <c r="F16" s="263"/>
      <c r="G16" s="322">
        <f>+'RECHAZADOS A CA'!G16+'INGRESO A PS DE CA'!G16</f>
        <v>638.05883999999992</v>
      </c>
      <c r="H16" s="322">
        <f>+'RECHAZADOS A CA'!H16+'INGRESO A PS DE CA'!H16</f>
        <v>637.46945999999991</v>
      </c>
      <c r="I16" s="322">
        <f>+'RECHAZADOS A CA'!I16+'INGRESO A PS DE CA'!I16</f>
        <v>636.88007999999991</v>
      </c>
      <c r="J16" s="322">
        <f>+'RECHAZADOS A CA'!J16+'INGRESO A PS DE CA'!J16</f>
        <v>636.29210999999998</v>
      </c>
      <c r="K16" s="322">
        <f>+'RECHAZADOS A CA'!K16+'INGRESO A PS DE CA'!K16</f>
        <v>635.70414000000005</v>
      </c>
      <c r="L16" s="322">
        <f>+'RECHAZADOS A CA'!L16+'INGRESO A PS DE CA'!L16</f>
        <v>635.11757999999998</v>
      </c>
      <c r="M16" s="322">
        <f>+'RECHAZADOS A CA'!M16+'INGRESO A PS DE CA'!M16</f>
        <v>634.53102000000001</v>
      </c>
      <c r="N16" s="322">
        <f>+'RECHAZADOS A CA'!N16+'INGRESO A PS DE CA'!N16</f>
        <v>633.94445999999994</v>
      </c>
      <c r="O16" s="322">
        <f>+'RECHAZADOS A CA'!O16+'INGRESO A PS DE CA'!O16</f>
        <v>633.35930999999994</v>
      </c>
      <c r="P16" s="322">
        <f>+'RECHAZADOS A CA'!P16+'INGRESO A PS DE CA'!P16</f>
        <v>632.77415999999994</v>
      </c>
      <c r="Q16" s="322">
        <f>+'RECHAZADOS A CA'!Q16+'INGRESO A PS DE CA'!Q16</f>
        <v>632.1904199999999</v>
      </c>
      <c r="R16" s="322">
        <f>+'RECHAZADOS A CA'!R16+'INGRESO A PS DE CA'!R16</f>
        <v>631.60667999999998</v>
      </c>
      <c r="S16" s="322">
        <f>+'RECHAZADOS A CA'!S16+'INGRESO A PS DE CA'!S16</f>
        <v>631.02293999999995</v>
      </c>
      <c r="T16" s="322">
        <f>+'RECHAZADOS A CA'!T16+'INGRESO A PS DE CA'!T16</f>
        <v>630.44060999999999</v>
      </c>
      <c r="U16" s="322">
        <f>+'RECHAZADOS A CA'!U16+'INGRESO A PS DE CA'!U16</f>
        <v>629.85827999999992</v>
      </c>
      <c r="V16" s="322">
        <f>+'RECHAZADOS A CA'!V16+'INGRESO A PS DE CA'!V16</f>
        <v>629.27594999999997</v>
      </c>
      <c r="W16" s="322">
        <f>+'RECHAZADOS A CA'!W16+'INGRESO A PS DE CA'!W16</f>
        <v>628.69502999999986</v>
      </c>
      <c r="X16" s="322">
        <f>+'RECHAZADOS A CA'!X16+'INGRESO A PS DE CA'!X16</f>
        <v>628.11552000000006</v>
      </c>
      <c r="Y16" s="322">
        <f>+'RECHAZADOS A CA'!Y16+'INGRESO A PS DE CA'!Y16</f>
        <v>627.53459999999995</v>
      </c>
      <c r="Z16" s="322">
        <f>+'RECHAZADOS A CA'!Z16+'INGRESO A PS DE CA'!Z16</f>
        <v>626.95508999999993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28"/>
      <c r="E17" s="278"/>
      <c r="F17" s="263"/>
      <c r="G17" s="322">
        <f>+'RECHAZADOS A CA'!G17+'INGRESO A PS DE CA'!G17</f>
        <v>977.01014999999995</v>
      </c>
      <c r="H17" s="322">
        <f>+'RECHAZADOS A CA'!H17+'INGRESO A PS DE CA'!H17</f>
        <v>984.73835999999994</v>
      </c>
      <c r="I17" s="322">
        <f>+'RECHAZADOS A CA'!I17+'INGRESO A PS DE CA'!I17</f>
        <v>992.59205999999995</v>
      </c>
      <c r="J17" s="322">
        <f>+'RECHAZADOS A CA'!J17+'INGRESO A PS DE CA'!J17</f>
        <v>1000.5740699999999</v>
      </c>
      <c r="K17" s="322">
        <f>+'RECHAZADOS A CA'!K17+'INGRESO A PS DE CA'!K17</f>
        <v>1008.6858</v>
      </c>
      <c r="L17" s="322">
        <f>+'RECHAZADOS A CA'!L17+'INGRESO A PS DE CA'!L17</f>
        <v>1016.9300699999999</v>
      </c>
      <c r="M17" s="322">
        <f>+'RECHAZADOS A CA'!M17+'INGRESO A PS DE CA'!M17</f>
        <v>1025.3097</v>
      </c>
      <c r="N17" s="322">
        <f>+'RECHAZADOS A CA'!N17+'INGRESO A PS DE CA'!N17</f>
        <v>1033.8246899999999</v>
      </c>
      <c r="O17" s="322">
        <f>+'RECHAZADOS A CA'!O17+'INGRESO A PS DE CA'!O17</f>
        <v>1042.4792699999998</v>
      </c>
      <c r="P17" s="322">
        <f>+'RECHAZADOS A CA'!P17+'INGRESO A PS DE CA'!P17</f>
        <v>1051.2748499999998</v>
      </c>
      <c r="Q17" s="322">
        <f>+'RECHAZADOS A CA'!Q17+'INGRESO A PS DE CA'!Q17</f>
        <v>1060.21425</v>
      </c>
      <c r="R17" s="322">
        <f>+'RECHAZADOS A CA'!R17+'INGRESO A PS DE CA'!R17</f>
        <v>1069.3002900000001</v>
      </c>
      <c r="S17" s="322">
        <f>+'RECHAZADOS A CA'!S17+'INGRESO A PS DE CA'!S17</f>
        <v>1078.53297</v>
      </c>
      <c r="T17" s="322">
        <f>+'RECHAZADOS A CA'!T17+'INGRESO A PS DE CA'!T17</f>
        <v>1087.91652</v>
      </c>
      <c r="U17" s="322">
        <f>+'RECHAZADOS A CA'!U17+'INGRESO A PS DE CA'!U17</f>
        <v>1097.4537600000001</v>
      </c>
      <c r="V17" s="322">
        <f>+'RECHAZADOS A CA'!V17+'INGRESO A PS DE CA'!V17</f>
        <v>1107.1460999999999</v>
      </c>
      <c r="W17" s="322">
        <f>+'RECHAZADOS A CA'!W17+'INGRESO A PS DE CA'!W17</f>
        <v>1116.9977699999999</v>
      </c>
      <c r="X17" s="322">
        <f>+'RECHAZADOS A CA'!X17+'INGRESO A PS DE CA'!X17</f>
        <v>1127.0087699999999</v>
      </c>
      <c r="Y17" s="322">
        <f>+'RECHAZADOS A CA'!Y17+'INGRESO A PS DE CA'!Y17</f>
        <v>1137.1833299999998</v>
      </c>
      <c r="Z17" s="322">
        <f>+'RECHAZADOS A CA'!Z17+'INGRESO A PS DE CA'!Z17</f>
        <v>1147.5242700000001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28"/>
      <c r="E18" s="278"/>
      <c r="F18" s="263"/>
      <c r="G18" s="322">
        <f>+'RECHAZADOS A CA'!G18+'INGRESO A PS DE CA'!G18</f>
        <v>546.33128999999997</v>
      </c>
      <c r="H18" s="322">
        <f>+'RECHAZADOS A CA'!H18+'INGRESO A PS DE CA'!H18</f>
        <v>552.64667999999995</v>
      </c>
      <c r="I18" s="322">
        <f>+'RECHAZADOS A CA'!I18+'INGRESO A PS DE CA'!I18</f>
        <v>559.03679999999997</v>
      </c>
      <c r="J18" s="322">
        <f>+'RECHAZADOS A CA'!J18+'INGRESO A PS DE CA'!J18</f>
        <v>565.49883</v>
      </c>
      <c r="K18" s="322">
        <f>+'RECHAZADOS A CA'!K18+'INGRESO A PS DE CA'!K18</f>
        <v>572.03700000000003</v>
      </c>
      <c r="L18" s="322">
        <f>+'RECHAZADOS A CA'!L18+'INGRESO A PS DE CA'!L18</f>
        <v>578.65130999999997</v>
      </c>
      <c r="M18" s="322">
        <f>+'RECHAZADOS A CA'!M18+'INGRESO A PS DE CA'!M18</f>
        <v>585.34034999999994</v>
      </c>
      <c r="N18" s="322">
        <f>+'RECHAZADOS A CA'!N18+'INGRESO A PS DE CA'!N18</f>
        <v>592.10834999999997</v>
      </c>
      <c r="O18" s="322">
        <f>+'RECHAZADOS A CA'!O18+'INGRESO A PS DE CA'!O18</f>
        <v>598.95389999999998</v>
      </c>
      <c r="P18" s="322">
        <f>+'RECHAZADOS A CA'!P18+'INGRESO A PS DE CA'!P18</f>
        <v>605.87840999999992</v>
      </c>
      <c r="Q18" s="322">
        <f>+'RECHAZADOS A CA'!Q18+'INGRESO A PS DE CA'!Q18</f>
        <v>612.88328999999987</v>
      </c>
      <c r="R18" s="322">
        <f>+'RECHAZADOS A CA'!R18+'INGRESO A PS DE CA'!R18</f>
        <v>619.96853999999996</v>
      </c>
      <c r="S18" s="322">
        <f>+'RECHAZADOS A CA'!S18+'INGRESO A PS DE CA'!S18</f>
        <v>627.13697999999999</v>
      </c>
      <c r="T18" s="322">
        <f>+'RECHAZADOS A CA'!T18+'INGRESO A PS DE CA'!T18</f>
        <v>634.38720000000001</v>
      </c>
      <c r="U18" s="322">
        <f>+'RECHAZADOS A CA'!U18+'INGRESO A PS DE CA'!U18</f>
        <v>641.72060999999997</v>
      </c>
      <c r="V18" s="322">
        <f>+'RECHAZADOS A CA'!V18+'INGRESO A PS DE CA'!V18</f>
        <v>649.14002999999991</v>
      </c>
      <c r="W18" s="322">
        <f>+'RECHAZADOS A CA'!W18+'INGRESO A PS DE CA'!W18</f>
        <v>656.64545999999996</v>
      </c>
      <c r="X18" s="322">
        <f>+'RECHAZADOS A CA'!X18+'INGRESO A PS DE CA'!X18</f>
        <v>664.23689999999988</v>
      </c>
      <c r="Y18" s="322">
        <f>+'RECHAZADOS A CA'!Y18+'INGRESO A PS DE CA'!Y18</f>
        <v>671.91575999999998</v>
      </c>
      <c r="Z18" s="322">
        <f>+'RECHAZADOS A CA'!Z18+'INGRESO A PS DE CA'!Z18</f>
        <v>679.68485999999996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28"/>
      <c r="E19" s="278"/>
      <c r="F19" s="263"/>
      <c r="G19" s="322">
        <f>+'RECHAZADOS A CA'!G19+'INGRESO A PS DE CA'!G19</f>
        <v>912.69581999999991</v>
      </c>
      <c r="H19" s="322">
        <f>+'RECHAZADOS A CA'!H19+'INGRESO A PS DE CA'!H19</f>
        <v>922.98599999999999</v>
      </c>
      <c r="I19" s="322">
        <f>+'RECHAZADOS A CA'!I19+'INGRESO A PS DE CA'!I19</f>
        <v>933.27617999999984</v>
      </c>
      <c r="J19" s="322">
        <f>+'RECHAZADOS A CA'!J19+'INGRESO A PS DE CA'!J19</f>
        <v>943.56494999999995</v>
      </c>
      <c r="K19" s="322">
        <f>+'RECHAZADOS A CA'!K19+'INGRESO A PS DE CA'!K19</f>
        <v>953.85512999999992</v>
      </c>
      <c r="L19" s="322">
        <f>+'RECHAZADOS A CA'!L19+'INGRESO A PS DE CA'!L19</f>
        <v>964.14530999999999</v>
      </c>
      <c r="M19" s="322">
        <f>+'RECHAZADOS A CA'!M19+'INGRESO A PS DE CA'!M19</f>
        <v>974.43549000000007</v>
      </c>
      <c r="N19" s="322">
        <f>+'RECHAZADOS A CA'!N19+'INGRESO A PS DE CA'!N19</f>
        <v>984.72425999999984</v>
      </c>
      <c r="O19" s="322">
        <f>+'RECHAZADOS A CA'!O19+'INGRESO A PS DE CA'!O19</f>
        <v>995.01443999999992</v>
      </c>
      <c r="P19" s="322">
        <f>+'RECHAZADOS A CA'!P19+'INGRESO A PS DE CA'!P19</f>
        <v>1005.3046199999999</v>
      </c>
      <c r="Q19" s="322">
        <f>+'RECHAZADOS A CA'!Q19+'INGRESO A PS DE CA'!Q19</f>
        <v>1015.5933899999998</v>
      </c>
      <c r="R19" s="322">
        <f>+'RECHAZADOS A CA'!R19+'INGRESO A PS DE CA'!R19</f>
        <v>1025.88357</v>
      </c>
      <c r="S19" s="322">
        <f>+'RECHAZADOS A CA'!S19+'INGRESO A PS DE CA'!S19</f>
        <v>1036.1737499999999</v>
      </c>
      <c r="T19" s="322">
        <f>+'RECHAZADOS A CA'!T19+'INGRESO A PS DE CA'!T19</f>
        <v>1046.4639299999999</v>
      </c>
      <c r="U19" s="322">
        <f>+'RECHAZADOS A CA'!U19+'INGRESO A PS DE CA'!U19</f>
        <v>1056.7527</v>
      </c>
      <c r="V19" s="322">
        <f>+'RECHAZADOS A CA'!V19+'INGRESO A PS DE CA'!V19</f>
        <v>1067.04288</v>
      </c>
      <c r="W19" s="322">
        <f>+'RECHAZADOS A CA'!W19+'INGRESO A PS DE CA'!W19</f>
        <v>1077.3330599999999</v>
      </c>
      <c r="X19" s="322">
        <f>+'RECHAZADOS A CA'!X19+'INGRESO A PS DE CA'!X19</f>
        <v>1087.6218299999998</v>
      </c>
      <c r="Y19" s="322">
        <f>+'RECHAZADOS A CA'!Y19+'INGRESO A PS DE CA'!Y19</f>
        <v>1097.91201</v>
      </c>
      <c r="Z19" s="322">
        <f>+'RECHAZADOS A CA'!Z19+'INGRESO A PS DE CA'!Z19</f>
        <v>1108.20219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28"/>
      <c r="E20" s="278"/>
      <c r="F20" s="263"/>
      <c r="G20" s="322">
        <f>+'RECHAZADOS A CA'!G20+'INGRESO A PS DE CA'!G20</f>
        <v>873.15660000000003</v>
      </c>
      <c r="H20" s="322">
        <f>+'RECHAZADOS A CA'!H20+'INGRESO A PS DE CA'!H20</f>
        <v>890.44742999999994</v>
      </c>
      <c r="I20" s="322">
        <f>+'RECHAZADOS A CA'!I20+'INGRESO A PS DE CA'!I20</f>
        <v>908.07947999999999</v>
      </c>
      <c r="J20" s="322">
        <f>+'RECHAZADOS A CA'!J20+'INGRESO A PS DE CA'!J20</f>
        <v>926.05979999999988</v>
      </c>
      <c r="K20" s="322">
        <f>+'RECHAZADOS A CA'!K20+'INGRESO A PS DE CA'!K20</f>
        <v>944.39684999999997</v>
      </c>
      <c r="L20" s="322">
        <f>+'RECHAZADOS A CA'!L20+'INGRESO A PS DE CA'!L20</f>
        <v>963.09768000000008</v>
      </c>
      <c r="M20" s="322">
        <f>+'RECHAZADOS A CA'!M20+'INGRESO A PS DE CA'!M20</f>
        <v>982.16792999999996</v>
      </c>
      <c r="N20" s="322">
        <f>+'RECHAZADOS A CA'!N20+'INGRESO A PS DE CA'!N20</f>
        <v>1001.6174699999999</v>
      </c>
      <c r="O20" s="322">
        <f>+'RECHAZADOS A CA'!O20+'INGRESO A PS DE CA'!O20</f>
        <v>1021.45053</v>
      </c>
      <c r="P20" s="322">
        <f>+'RECHAZADOS A CA'!P20+'INGRESO A PS DE CA'!P20</f>
        <v>1041.67698</v>
      </c>
      <c r="Q20" s="322">
        <f>+'RECHAZADOS A CA'!Q20+'INGRESO A PS DE CA'!Q20</f>
        <v>1062.30387</v>
      </c>
      <c r="R20" s="322">
        <f>+'RECHAZADOS A CA'!R20+'INGRESO A PS DE CA'!R20</f>
        <v>1083.33825</v>
      </c>
      <c r="S20" s="322">
        <f>+'RECHAZADOS A CA'!S20+'INGRESO A PS DE CA'!S20</f>
        <v>1104.78999</v>
      </c>
      <c r="T20" s="322">
        <f>+'RECHAZADOS A CA'!T20+'INGRESO A PS DE CA'!T20</f>
        <v>1126.6661399999998</v>
      </c>
      <c r="U20" s="322">
        <f>+'RECHAZADOS A CA'!U20+'INGRESO A PS DE CA'!U20</f>
        <v>1148.9765699999998</v>
      </c>
      <c r="V20" s="322">
        <f>+'RECHAZADOS A CA'!V20+'INGRESO A PS DE CA'!V20</f>
        <v>1171.7269199999998</v>
      </c>
      <c r="W20" s="322">
        <f>+'RECHAZADOS A CA'!W20+'INGRESO A PS DE CA'!W20</f>
        <v>1194.9298799999999</v>
      </c>
      <c r="X20" s="322">
        <f>+'RECHAZADOS A CA'!X20+'INGRESO A PS DE CA'!X20</f>
        <v>1218.5910899999999</v>
      </c>
      <c r="Y20" s="322">
        <f>+'RECHAZADOS A CA'!Y20+'INGRESO A PS DE CA'!Y20</f>
        <v>1242.7204199999999</v>
      </c>
      <c r="Z20" s="322">
        <f>+'RECHAZADOS A CA'!Z20+'INGRESO A PS DE CA'!Z20</f>
        <v>1267.3277399999999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28"/>
      <c r="E21" s="278"/>
      <c r="F21" s="263"/>
      <c r="G21" s="322">
        <f>+'RECHAZADOS A CA'!G21+'INGRESO A PS DE CA'!G21</f>
        <v>503.59418999999997</v>
      </c>
      <c r="H21" s="322">
        <f>+'RECHAZADOS A CA'!H21+'INGRESO A PS DE CA'!H21</f>
        <v>507.22917000000001</v>
      </c>
      <c r="I21" s="322">
        <f>+'RECHAZADOS A CA'!I21+'INGRESO A PS DE CA'!I21</f>
        <v>510.92336999999998</v>
      </c>
      <c r="J21" s="322">
        <f>+'RECHAZADOS A CA'!J21+'INGRESO A PS DE CA'!J21</f>
        <v>514.67819999999995</v>
      </c>
      <c r="K21" s="322">
        <f>+'RECHAZADOS A CA'!K21+'INGRESO A PS DE CA'!K21</f>
        <v>518.49365999999998</v>
      </c>
      <c r="L21" s="322">
        <f>+'RECHAZADOS A CA'!L21+'INGRESO A PS DE CA'!L21</f>
        <v>522.37257</v>
      </c>
      <c r="M21" s="322">
        <f>+'RECHAZADOS A CA'!M21+'INGRESO A PS DE CA'!M21</f>
        <v>526.31352000000004</v>
      </c>
      <c r="N21" s="322">
        <f>+'RECHAZADOS A CA'!N21+'INGRESO A PS DE CA'!N21</f>
        <v>530.31932999999992</v>
      </c>
      <c r="O21" s="322">
        <f>+'RECHAZADOS A CA'!O21+'INGRESO A PS DE CA'!O21</f>
        <v>534.39140999999995</v>
      </c>
      <c r="P21" s="322">
        <f>+'RECHAZADOS A CA'!P21+'INGRESO A PS DE CA'!P21</f>
        <v>538.52834999999993</v>
      </c>
      <c r="Q21" s="322">
        <f>+'RECHAZADOS A CA'!Q21+'INGRESO A PS DE CA'!Q21</f>
        <v>542.73297000000002</v>
      </c>
      <c r="R21" s="322">
        <f>+'RECHAZADOS A CA'!R21+'INGRESO A PS DE CA'!R21</f>
        <v>547.00667999999996</v>
      </c>
      <c r="S21" s="322">
        <f>+'RECHAZADOS A CA'!S21+'INGRESO A PS DE CA'!S21</f>
        <v>551.35089000000005</v>
      </c>
      <c r="T21" s="322">
        <f>+'RECHAZADOS A CA'!T21+'INGRESO A PS DE CA'!T21</f>
        <v>555.76418999999999</v>
      </c>
      <c r="U21" s="322">
        <f>+'RECHAZADOS A CA'!U21+'INGRESO A PS DE CA'!U21</f>
        <v>560.25080999999989</v>
      </c>
      <c r="V21" s="322">
        <f>+'RECHAZADOS A CA'!V21+'INGRESO A PS DE CA'!V21</f>
        <v>564.81074999999998</v>
      </c>
      <c r="W21" s="322">
        <f>+'RECHAZADOS A CA'!W21+'INGRESO A PS DE CA'!W21</f>
        <v>569.44401000000005</v>
      </c>
      <c r="X21" s="322">
        <f>+'RECHAZADOS A CA'!X21+'INGRESO A PS DE CA'!X21</f>
        <v>574.15340999999989</v>
      </c>
      <c r="Y21" s="322">
        <f>+'RECHAZADOS A CA'!Y21+'INGRESO A PS DE CA'!Y21</f>
        <v>578.93894999999998</v>
      </c>
      <c r="Z21" s="322">
        <f>+'RECHAZADOS A CA'!Z21+'INGRESO A PS DE CA'!Z21</f>
        <v>583.80345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28"/>
      <c r="E22" s="278"/>
      <c r="F22" s="263"/>
      <c r="G22" s="322">
        <f>+'RECHAZADOS A CA'!G22+'INGRESO A PS DE CA'!G22</f>
        <v>922.71104999999989</v>
      </c>
      <c r="H22" s="322">
        <f>+'RECHAZADOS A CA'!H22+'INGRESO A PS DE CA'!H22</f>
        <v>929.40431999999998</v>
      </c>
      <c r="I22" s="322">
        <f>+'RECHAZADOS A CA'!I22+'INGRESO A PS DE CA'!I22</f>
        <v>936.14552999999989</v>
      </c>
      <c r="J22" s="322">
        <f>+'RECHAZADOS A CA'!J22+'INGRESO A PS DE CA'!J22</f>
        <v>942.93608999999992</v>
      </c>
      <c r="K22" s="322">
        <f>+'RECHAZADOS A CA'!K22+'INGRESO A PS DE CA'!K22</f>
        <v>949.77599999999984</v>
      </c>
      <c r="L22" s="322">
        <f>+'RECHAZADOS A CA'!L22+'INGRESO A PS DE CA'!L22</f>
        <v>956.66525999999988</v>
      </c>
      <c r="M22" s="322">
        <f>+'RECHAZADOS A CA'!M22+'INGRESO A PS DE CA'!M22</f>
        <v>963.60386999999992</v>
      </c>
      <c r="N22" s="322">
        <f>+'RECHAZADOS A CA'!N22+'INGRESO A PS DE CA'!N22</f>
        <v>970.59324000000004</v>
      </c>
      <c r="O22" s="322">
        <f>+'RECHAZADOS A CA'!O22+'INGRESO A PS DE CA'!O22</f>
        <v>977.63337000000001</v>
      </c>
      <c r="P22" s="322">
        <f>+'RECHAZADOS A CA'!P22+'INGRESO A PS DE CA'!P22</f>
        <v>984.72566999999992</v>
      </c>
      <c r="Q22" s="322">
        <f>+'RECHAZADOS A CA'!Q22+'INGRESO A PS DE CA'!Q22</f>
        <v>991.86731999999995</v>
      </c>
      <c r="R22" s="322">
        <f>+'RECHAZADOS A CA'!R22+'INGRESO A PS DE CA'!R22</f>
        <v>999.06254999999987</v>
      </c>
      <c r="S22" s="322">
        <f>+'RECHAZADOS A CA'!S22+'INGRESO A PS DE CA'!S22</f>
        <v>1006.30854</v>
      </c>
      <c r="T22" s="322">
        <f>+'RECHAZADOS A CA'!T22+'INGRESO A PS DE CA'!T22</f>
        <v>1013.6081100000001</v>
      </c>
      <c r="U22" s="322">
        <f>+'RECHAZADOS A CA'!U22+'INGRESO A PS DE CA'!U22</f>
        <v>1020.9612599999998</v>
      </c>
      <c r="V22" s="322">
        <f>+'RECHAZADOS A CA'!V22+'INGRESO A PS DE CA'!V22</f>
        <v>1028.3665799999999</v>
      </c>
      <c r="W22" s="322">
        <f>+'RECHAZADOS A CA'!W22+'INGRESO A PS DE CA'!W22</f>
        <v>1035.82548</v>
      </c>
      <c r="X22" s="322">
        <f>+'RECHAZADOS A CA'!X22+'INGRESO A PS DE CA'!X22</f>
        <v>1043.3393699999999</v>
      </c>
      <c r="Y22" s="322">
        <f>+'RECHAZADOS A CA'!Y22+'INGRESO A PS DE CA'!Y22</f>
        <v>1050.9068399999999</v>
      </c>
      <c r="Z22" s="322">
        <f>+'RECHAZADOS A CA'!Z22+'INGRESO A PS DE CA'!Z22</f>
        <v>1058.5293000000001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28"/>
      <c r="E23" s="278"/>
      <c r="F23" s="263"/>
      <c r="G23" s="322">
        <f>+'RECHAZADOS A CA'!G23+'INGRESO A PS DE CA'!G23</f>
        <v>178.79172</v>
      </c>
      <c r="H23" s="322">
        <f>+'RECHAZADOS A CA'!H23+'INGRESO A PS DE CA'!H23</f>
        <v>179.81783999999999</v>
      </c>
      <c r="I23" s="322">
        <f>+'RECHAZADOS A CA'!I23+'INGRESO A PS DE CA'!I23</f>
        <v>180.84395999999998</v>
      </c>
      <c r="J23" s="322">
        <f>+'RECHAZADOS A CA'!J23+'INGRESO A PS DE CA'!J23</f>
        <v>181.87008000000003</v>
      </c>
      <c r="K23" s="322">
        <f>+'RECHAZADOS A CA'!K23+'INGRESO A PS DE CA'!K23</f>
        <v>182.89620000000002</v>
      </c>
      <c r="L23" s="322">
        <f>+'RECHAZADOS A CA'!L23+'INGRESO A PS DE CA'!L23</f>
        <v>183.92130000000003</v>
      </c>
      <c r="M23" s="322">
        <f>+'RECHAZADOS A CA'!M23+'INGRESO A PS DE CA'!M23</f>
        <v>184.94742000000002</v>
      </c>
      <c r="N23" s="322">
        <f>+'RECHAZADOS A CA'!N23+'INGRESO A PS DE CA'!N23</f>
        <v>185.97354000000001</v>
      </c>
      <c r="O23" s="322">
        <f>+'RECHAZADOS A CA'!O23+'INGRESO A PS DE CA'!O23</f>
        <v>186.99966000000001</v>
      </c>
      <c r="P23" s="322">
        <f>+'RECHAZADOS A CA'!P23+'INGRESO A PS DE CA'!P23</f>
        <v>188.02578</v>
      </c>
      <c r="Q23" s="322">
        <f>+'RECHAZADOS A CA'!Q23+'INGRESO A PS DE CA'!Q23</f>
        <v>189.05189999999999</v>
      </c>
      <c r="R23" s="322">
        <f>+'RECHAZADOS A CA'!R23+'INGRESO A PS DE CA'!R23</f>
        <v>190.07801999999998</v>
      </c>
      <c r="S23" s="322">
        <f>+'RECHAZADOS A CA'!S23+'INGRESO A PS DE CA'!S23</f>
        <v>191.10414</v>
      </c>
      <c r="T23" s="322">
        <f>+'RECHAZADOS A CA'!T23+'INGRESO A PS DE CA'!T23</f>
        <v>192.13026000000002</v>
      </c>
      <c r="U23" s="322">
        <f>+'RECHAZADOS A CA'!U23+'INGRESO A PS DE CA'!U23</f>
        <v>193.15536</v>
      </c>
      <c r="V23" s="322">
        <f>+'RECHAZADOS A CA'!V23+'INGRESO A PS DE CA'!V23</f>
        <v>194.18148000000002</v>
      </c>
      <c r="W23" s="322">
        <f>+'RECHAZADOS A CA'!W23+'INGRESO A PS DE CA'!W23</f>
        <v>195.20760000000001</v>
      </c>
      <c r="X23" s="322">
        <f>+'RECHAZADOS A CA'!X23+'INGRESO A PS DE CA'!X23</f>
        <v>196.23372000000001</v>
      </c>
      <c r="Y23" s="322">
        <f>+'RECHAZADOS A CA'!Y23+'INGRESO A PS DE CA'!Y23</f>
        <v>197.25984</v>
      </c>
      <c r="Z23" s="322">
        <f>+'RECHAZADOS A CA'!Z23+'INGRESO A PS DE CA'!Z23</f>
        <v>198.28595999999999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28"/>
      <c r="E24" s="278"/>
      <c r="F24" s="263"/>
      <c r="G24" s="322">
        <f>+'RECHAZADOS A CA'!G24+'INGRESO A PS DE CA'!G24</f>
        <v>303.03996000000001</v>
      </c>
      <c r="H24" s="322">
        <f>+'RECHAZADOS A CA'!H24+'INGRESO A PS DE CA'!H24</f>
        <v>303.34800000000001</v>
      </c>
      <c r="I24" s="322">
        <f>+'RECHAZADOS A CA'!I24+'INGRESO A PS DE CA'!I24</f>
        <v>303.66012000000001</v>
      </c>
      <c r="J24" s="322">
        <f>+'RECHAZADOS A CA'!J24+'INGRESO A PS DE CA'!J24</f>
        <v>303.97836000000001</v>
      </c>
      <c r="K24" s="322">
        <f>+'RECHAZADOS A CA'!K24+'INGRESO A PS DE CA'!K24</f>
        <v>304.30170000000004</v>
      </c>
      <c r="L24" s="322">
        <f>+'RECHAZADOS A CA'!L24+'INGRESO A PS DE CA'!L24</f>
        <v>304.63014000000004</v>
      </c>
      <c r="M24" s="322">
        <f>+'RECHAZADOS A CA'!M24+'INGRESO A PS DE CA'!M24</f>
        <v>304.96368000000001</v>
      </c>
      <c r="N24" s="322">
        <f>+'RECHAZADOS A CA'!N24+'INGRESO A PS DE CA'!N24</f>
        <v>305.30334000000005</v>
      </c>
      <c r="O24" s="322">
        <f>+'RECHAZADOS A CA'!O24+'INGRESO A PS DE CA'!O24</f>
        <v>305.6481</v>
      </c>
      <c r="P24" s="322">
        <f>+'RECHAZADOS A CA'!P24+'INGRESO A PS DE CA'!P24</f>
        <v>305.99796000000003</v>
      </c>
      <c r="Q24" s="322">
        <f>+'RECHAZADOS A CA'!Q24+'INGRESO A PS DE CA'!Q24</f>
        <v>306.35394000000002</v>
      </c>
      <c r="R24" s="322">
        <f>+'RECHAZADOS A CA'!R24+'INGRESO A PS DE CA'!R24</f>
        <v>306.71603999999996</v>
      </c>
      <c r="S24" s="322">
        <f>+'RECHAZADOS A CA'!S24+'INGRESO A PS DE CA'!S24</f>
        <v>307.08426000000003</v>
      </c>
      <c r="T24" s="322">
        <f>+'RECHAZADOS A CA'!T24+'INGRESO A PS DE CA'!T24</f>
        <v>307.45758000000001</v>
      </c>
      <c r="U24" s="322">
        <f>+'RECHAZADOS A CA'!U24+'INGRESO A PS DE CA'!U24</f>
        <v>307.83803999999998</v>
      </c>
      <c r="V24" s="322">
        <f>+'RECHAZADOS A CA'!V24+'INGRESO A PS DE CA'!V24</f>
        <v>308.22359999999998</v>
      </c>
      <c r="W24" s="322">
        <f>+'RECHAZADOS A CA'!W24+'INGRESO A PS DE CA'!W24</f>
        <v>308.61629999999997</v>
      </c>
      <c r="X24" s="322">
        <f>+'RECHAZADOS A CA'!X24+'INGRESO A PS DE CA'!X24</f>
        <v>309.01511999999997</v>
      </c>
      <c r="Y24" s="322">
        <f>+'RECHAZADOS A CA'!Y24+'INGRESO A PS DE CA'!Y24</f>
        <v>309.42005999999998</v>
      </c>
      <c r="Z24" s="322">
        <f>+'RECHAZADOS A CA'!Z24+'INGRESO A PS DE CA'!Z24</f>
        <v>309.83214000000004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28"/>
      <c r="E25" s="278"/>
      <c r="F25" s="263"/>
      <c r="G25" s="322">
        <f>+'RECHAZADOS A CA'!G25+'INGRESO A PS DE CA'!G25</f>
        <v>489.55340999999999</v>
      </c>
      <c r="H25" s="322">
        <f>+'RECHAZADOS A CA'!H25+'INGRESO A PS DE CA'!H25</f>
        <v>496.71479999999997</v>
      </c>
      <c r="I25" s="322">
        <f>+'RECHAZADOS A CA'!I25+'INGRESO A PS DE CA'!I25</f>
        <v>503.99180999999999</v>
      </c>
      <c r="J25" s="322">
        <f>+'RECHAZADOS A CA'!J25+'INGRESO A PS DE CA'!J25</f>
        <v>511.38866999999999</v>
      </c>
      <c r="K25" s="322">
        <f>+'RECHAZADOS A CA'!K25+'INGRESO A PS DE CA'!K25</f>
        <v>518.90537999999992</v>
      </c>
      <c r="L25" s="322">
        <f>+'RECHAZADOS A CA'!L25+'INGRESO A PS DE CA'!L25</f>
        <v>526.54476</v>
      </c>
      <c r="M25" s="322">
        <f>+'RECHAZADOS A CA'!M25+'INGRESO A PS DE CA'!M25</f>
        <v>534.30822000000001</v>
      </c>
      <c r="N25" s="322">
        <f>+'RECHAZADOS A CA'!N25+'INGRESO A PS DE CA'!N25</f>
        <v>542.19857999999999</v>
      </c>
      <c r="O25" s="322">
        <f>+'RECHAZADOS A CA'!O25+'INGRESO A PS DE CA'!O25</f>
        <v>550.21865999999989</v>
      </c>
      <c r="P25" s="322">
        <f>+'RECHAZADOS A CA'!P25+'INGRESO A PS DE CA'!P25</f>
        <v>558.36845999999991</v>
      </c>
      <c r="Q25" s="322">
        <f>+'RECHAZADOS A CA'!Q25+'INGRESO A PS DE CA'!Q25</f>
        <v>566.65220999999997</v>
      </c>
      <c r="R25" s="322">
        <f>+'RECHAZADOS A CA'!R25+'INGRESO A PS DE CA'!R25</f>
        <v>575.06990999999994</v>
      </c>
      <c r="S25" s="322">
        <f>+'RECHAZADOS A CA'!S25+'INGRESO A PS DE CA'!S25</f>
        <v>583.62578999999994</v>
      </c>
      <c r="T25" s="322">
        <f>+'RECHAZADOS A CA'!T25+'INGRESO A PS DE CA'!T25</f>
        <v>592.32126000000005</v>
      </c>
      <c r="U25" s="322">
        <f>+'RECHAZADOS A CA'!U25+'INGRESO A PS DE CA'!U25</f>
        <v>601.15773000000002</v>
      </c>
      <c r="V25" s="322">
        <f>+'RECHAZADOS A CA'!V25+'INGRESO A PS DE CA'!V25</f>
        <v>610.13942999999995</v>
      </c>
      <c r="W25" s="322">
        <f>+'RECHAZADOS A CA'!W25+'INGRESO A PS DE CA'!W25</f>
        <v>619.26635999999996</v>
      </c>
      <c r="X25" s="322">
        <f>+'RECHAZADOS A CA'!X25+'INGRESO A PS DE CA'!X25</f>
        <v>628.54415999999992</v>
      </c>
      <c r="Y25" s="322">
        <f>+'RECHAZADOS A CA'!Y25+'INGRESO A PS DE CA'!Y25</f>
        <v>637.97141999999997</v>
      </c>
      <c r="Z25" s="322">
        <f>+'RECHAZADOS A CA'!Z25+'INGRESO A PS DE CA'!Z25</f>
        <v>647.55377999999996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28"/>
      <c r="E26" s="278"/>
      <c r="F26" s="263"/>
      <c r="G26" s="322">
        <f>+'RECHAZADOS A CA'!G26+'INGRESO A PS DE CA'!G26</f>
        <v>650.39774999999997</v>
      </c>
      <c r="H26" s="322">
        <f>+'RECHAZADOS A CA'!H26+'INGRESO A PS DE CA'!H26</f>
        <v>658.96914000000004</v>
      </c>
      <c r="I26" s="322">
        <f>+'RECHAZADOS A CA'!I26+'INGRESO A PS DE CA'!I26</f>
        <v>667.54052999999988</v>
      </c>
      <c r="J26" s="322">
        <f>+'RECHAZADOS A CA'!J26+'INGRESO A PS DE CA'!J26</f>
        <v>676.11191999999994</v>
      </c>
      <c r="K26" s="322">
        <f>+'RECHAZADOS A CA'!K26+'INGRESO A PS DE CA'!K26</f>
        <v>684.68330999999989</v>
      </c>
      <c r="L26" s="322">
        <f>+'RECHAZADOS A CA'!L26+'INGRESO A PS DE CA'!L26</f>
        <v>693.25469999999996</v>
      </c>
      <c r="M26" s="322">
        <f>+'RECHAZADOS A CA'!M26+'INGRESO A PS DE CA'!M26</f>
        <v>701.82467999999994</v>
      </c>
      <c r="N26" s="322">
        <f>+'RECHAZADOS A CA'!N26+'INGRESO A PS DE CA'!N26</f>
        <v>710.3960699999999</v>
      </c>
      <c r="O26" s="322">
        <f>+'RECHAZADOS A CA'!O26+'INGRESO A PS DE CA'!O26</f>
        <v>718.96745999999996</v>
      </c>
      <c r="P26" s="322">
        <f>+'RECHAZADOS A CA'!P26+'INGRESO A PS DE CA'!P26</f>
        <v>727.53885000000002</v>
      </c>
      <c r="Q26" s="322">
        <f>+'RECHAZADOS A CA'!Q26+'INGRESO A PS DE CA'!Q26</f>
        <v>736.11023999999998</v>
      </c>
      <c r="R26" s="322">
        <f>+'RECHAZADOS A CA'!R26+'INGRESO A PS DE CA'!R26</f>
        <v>744.68163000000004</v>
      </c>
      <c r="S26" s="322">
        <f>+'RECHAZADOS A CA'!S26+'INGRESO A PS DE CA'!S26</f>
        <v>753.25301999999988</v>
      </c>
      <c r="T26" s="322">
        <f>+'RECHAZADOS A CA'!T26+'INGRESO A PS DE CA'!T26</f>
        <v>761.82440999999994</v>
      </c>
      <c r="U26" s="322">
        <f>+'RECHAZADOS A CA'!U26+'INGRESO A PS DE CA'!U26</f>
        <v>770.39579999999989</v>
      </c>
      <c r="V26" s="322">
        <f>+'RECHAZADOS A CA'!V26+'INGRESO A PS DE CA'!V26</f>
        <v>778.96718999999996</v>
      </c>
      <c r="W26" s="322">
        <f>+'RECHAZADOS A CA'!W26+'INGRESO A PS DE CA'!W26</f>
        <v>787.53857999999991</v>
      </c>
      <c r="X26" s="322">
        <f>+'RECHAZADOS A CA'!X26+'INGRESO A PS DE CA'!X26</f>
        <v>796.10996999999998</v>
      </c>
      <c r="Y26" s="322">
        <f>+'RECHAZADOS A CA'!Y26+'INGRESO A PS DE CA'!Y26</f>
        <v>804.68136000000004</v>
      </c>
      <c r="Z26" s="322">
        <f>+'RECHAZADOS A CA'!Z26+'INGRESO A PS DE CA'!Z26</f>
        <v>813.25275000000011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28"/>
      <c r="E27" s="278"/>
      <c r="F27" s="263"/>
      <c r="G27" s="322">
        <f>+'RECHAZADOS A CA'!G27+'INGRESO A PS DE CA'!G27</f>
        <v>495.11867999999998</v>
      </c>
      <c r="H27" s="322">
        <f>+'RECHAZADOS A CA'!H27+'INGRESO A PS DE CA'!H27</f>
        <v>496.23539999999997</v>
      </c>
      <c r="I27" s="322">
        <f>+'RECHAZADOS A CA'!I27+'INGRESO A PS DE CA'!I27</f>
        <v>497.37044999999995</v>
      </c>
      <c r="J27" s="322">
        <f>+'RECHAZADOS A CA'!J27+'INGRESO A PS DE CA'!J27</f>
        <v>498.52524</v>
      </c>
      <c r="K27" s="322">
        <f>+'RECHAZADOS A CA'!K27+'INGRESO A PS DE CA'!K27</f>
        <v>499.69695000000002</v>
      </c>
      <c r="L27" s="322">
        <f>+'RECHAZADOS A CA'!L27+'INGRESO A PS DE CA'!L27</f>
        <v>500.88839999999993</v>
      </c>
      <c r="M27" s="322">
        <f>+'RECHAZADOS A CA'!M27+'INGRESO A PS DE CA'!M27</f>
        <v>502.09958999999998</v>
      </c>
      <c r="N27" s="322">
        <f>+'RECHAZADOS A CA'!N27+'INGRESO A PS DE CA'!N27</f>
        <v>503.33051999999998</v>
      </c>
      <c r="O27" s="322">
        <f>+'RECHAZADOS A CA'!O27+'INGRESO A PS DE CA'!O27</f>
        <v>504.58118999999994</v>
      </c>
      <c r="P27" s="322">
        <f>+'RECHAZADOS A CA'!P27+'INGRESO A PS DE CA'!P27</f>
        <v>505.85300999999993</v>
      </c>
      <c r="Q27" s="322">
        <f>+'RECHAZADOS A CA'!Q27+'INGRESO A PS DE CA'!Q27</f>
        <v>507.14598000000001</v>
      </c>
      <c r="R27" s="322">
        <f>+'RECHAZADOS A CA'!R27+'INGRESO A PS DE CA'!R27</f>
        <v>508.45868999999993</v>
      </c>
      <c r="S27" s="322">
        <f>+'RECHAZADOS A CA'!S27+'INGRESO A PS DE CA'!S27</f>
        <v>509.79255000000001</v>
      </c>
      <c r="T27" s="322">
        <f>+'RECHAZADOS A CA'!T27+'INGRESO A PS DE CA'!T27</f>
        <v>511.14896999999996</v>
      </c>
      <c r="U27" s="322">
        <f>+'RECHAZADOS A CA'!U27+'INGRESO A PS DE CA'!U27</f>
        <v>512.52794999999992</v>
      </c>
      <c r="V27" s="322">
        <f>+'RECHAZADOS A CA'!V27+'INGRESO A PS DE CA'!V27</f>
        <v>513.92948999999999</v>
      </c>
      <c r="W27" s="322">
        <f>+'RECHAZADOS A CA'!W27+'INGRESO A PS DE CA'!W27</f>
        <v>515.35217999999998</v>
      </c>
      <c r="X27" s="322">
        <f>+'RECHAZADOS A CA'!X27+'INGRESO A PS DE CA'!X27</f>
        <v>516.80024999999989</v>
      </c>
      <c r="Y27" s="322">
        <f>+'RECHAZADOS A CA'!Y27+'INGRESO A PS DE CA'!Y27</f>
        <v>518.27087999999992</v>
      </c>
      <c r="Z27" s="322">
        <f>+'RECHAZADOS A CA'!Z27+'INGRESO A PS DE CA'!Z27</f>
        <v>519.76548000000003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28"/>
      <c r="E28" s="278"/>
      <c r="F28" s="263"/>
      <c r="G28" s="322">
        <f>+'RECHAZADOS A CA'!G28+'INGRESO A PS DE CA'!G28</f>
        <v>260.19281999999998</v>
      </c>
      <c r="H28" s="322">
        <f>+'RECHAZADOS A CA'!H28+'INGRESO A PS DE CA'!H28</f>
        <v>259.14731999999998</v>
      </c>
      <c r="I28" s="322">
        <f>+'RECHAZADOS A CA'!I28+'INGRESO A PS DE CA'!I28</f>
        <v>258.08550000000002</v>
      </c>
      <c r="J28" s="322">
        <f>+'RECHAZADOS A CA'!J28+'INGRESO A PS DE CA'!J28</f>
        <v>257.00531999999998</v>
      </c>
      <c r="K28" s="322">
        <f>+'RECHAZADOS A CA'!K28+'INGRESO A PS DE CA'!K28</f>
        <v>255.90881999999999</v>
      </c>
      <c r="L28" s="322">
        <f>+'RECHAZADOS A CA'!L28+'INGRESO A PS DE CA'!L28</f>
        <v>254.79293999999999</v>
      </c>
      <c r="M28" s="322">
        <f>+'RECHAZADOS A CA'!M28+'INGRESO A PS DE CA'!M28</f>
        <v>253.65971999999999</v>
      </c>
      <c r="N28" s="322">
        <f>+'RECHAZADOS A CA'!N28+'INGRESO A PS DE CA'!N28</f>
        <v>252.50814000000003</v>
      </c>
      <c r="O28" s="322">
        <f>+'RECHAZADOS A CA'!O28+'INGRESO A PS DE CA'!O28</f>
        <v>251.33717999999999</v>
      </c>
      <c r="P28" s="322">
        <f>+'RECHAZADOS A CA'!P28+'INGRESO A PS DE CA'!P28</f>
        <v>250.14786000000001</v>
      </c>
      <c r="Q28" s="322">
        <f>+'RECHAZADOS A CA'!Q28+'INGRESO A PS DE CA'!Q28</f>
        <v>248.93916000000002</v>
      </c>
      <c r="R28" s="322">
        <f>+'RECHAZADOS A CA'!R28+'INGRESO A PS DE CA'!R28</f>
        <v>247.71006</v>
      </c>
      <c r="S28" s="322">
        <f>+'RECHAZADOS A CA'!S28+'INGRESO A PS DE CA'!S28</f>
        <v>246.46158000000003</v>
      </c>
      <c r="T28" s="322">
        <f>+'RECHAZADOS A CA'!T28+'INGRESO A PS DE CA'!T28</f>
        <v>245.19168000000002</v>
      </c>
      <c r="U28" s="322">
        <f>+'RECHAZADOS A CA'!U28+'INGRESO A PS DE CA'!U28</f>
        <v>243.9024</v>
      </c>
      <c r="V28" s="322">
        <f>+'RECHAZADOS A CA'!V28+'INGRESO A PS DE CA'!V28</f>
        <v>242.59067999999999</v>
      </c>
      <c r="W28" s="322">
        <f>+'RECHAZADOS A CA'!W28+'INGRESO A PS DE CA'!W28</f>
        <v>241.25855999999999</v>
      </c>
      <c r="X28" s="322">
        <f>+'RECHAZADOS A CA'!X28+'INGRESO A PS DE CA'!X28</f>
        <v>239.904</v>
      </c>
      <c r="Y28" s="322">
        <f>+'RECHAZADOS A CA'!Y28+'INGRESO A PS DE CA'!Y28</f>
        <v>238.52802000000003</v>
      </c>
      <c r="Z28" s="322">
        <f>+'RECHAZADOS A CA'!Z28+'INGRESO A PS DE CA'!Z28</f>
        <v>237.12960000000001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28"/>
      <c r="E29" s="278"/>
      <c r="F29" s="263"/>
      <c r="G29" s="322">
        <f>+'RECHAZADOS A CA'!G29+'INGRESO A PS DE CA'!G29</f>
        <v>26.451240000000002</v>
      </c>
      <c r="H29" s="322">
        <f>+'RECHAZADOS A CA'!H29+'INGRESO A PS DE CA'!H29</f>
        <v>26.55724</v>
      </c>
      <c r="I29" s="322">
        <f>+'RECHAZADOS A CA'!I29+'INGRESO A PS DE CA'!I29</f>
        <v>26.663240000000002</v>
      </c>
      <c r="J29" s="322">
        <f>+'RECHAZADOS A CA'!J29+'INGRESO A PS DE CA'!J29</f>
        <v>26.770300000000002</v>
      </c>
      <c r="K29" s="322">
        <f>+'RECHAZADOS A CA'!K29+'INGRESO A PS DE CA'!K29</f>
        <v>26.877359999999999</v>
      </c>
      <c r="L29" s="322">
        <f>+'RECHAZADOS A CA'!L29+'INGRESO A PS DE CA'!L29</f>
        <v>26.984420000000004</v>
      </c>
      <c r="M29" s="322">
        <f>+'RECHAZADOS A CA'!M29+'INGRESO A PS DE CA'!M29</f>
        <v>27.09254</v>
      </c>
      <c r="N29" s="322">
        <f>+'RECHAZADOS A CA'!N29+'INGRESO A PS DE CA'!N29</f>
        <v>27.201720000000002</v>
      </c>
      <c r="O29" s="322">
        <f>+'RECHAZADOS A CA'!O29+'INGRESO A PS DE CA'!O29</f>
        <v>27.309840000000001</v>
      </c>
      <c r="P29" s="322">
        <f>+'RECHAZADOS A CA'!P29+'INGRESO A PS DE CA'!P29</f>
        <v>27.420080000000006</v>
      </c>
      <c r="Q29" s="322">
        <f>+'RECHAZADOS A CA'!Q29+'INGRESO A PS DE CA'!Q29</f>
        <v>27.529260000000001</v>
      </c>
      <c r="R29" s="322">
        <f>+'RECHAZADOS A CA'!R29+'INGRESO A PS DE CA'!R29</f>
        <v>27.639500000000002</v>
      </c>
      <c r="S29" s="322">
        <f>+'RECHAZADOS A CA'!S29+'INGRESO A PS DE CA'!S29</f>
        <v>27.750800000000005</v>
      </c>
      <c r="T29" s="322">
        <f>+'RECHAZADOS A CA'!T29+'INGRESO A PS DE CA'!T29</f>
        <v>27.861039999999999</v>
      </c>
      <c r="U29" s="322">
        <f>+'RECHAZADOS A CA'!U29+'INGRESO A PS DE CA'!U29</f>
        <v>27.973399999999998</v>
      </c>
      <c r="V29" s="322">
        <f>+'RECHAZADOS A CA'!V29+'INGRESO A PS DE CA'!V29</f>
        <v>28.084700000000002</v>
      </c>
      <c r="W29" s="322">
        <f>+'RECHAZADOS A CA'!W29+'INGRESO A PS DE CA'!W29</f>
        <v>28.198120000000003</v>
      </c>
      <c r="X29" s="322">
        <f>+'RECHAZADOS A CA'!X29+'INGRESO A PS DE CA'!X29</f>
        <v>28.310479999999998</v>
      </c>
      <c r="Y29" s="322">
        <f>+'RECHAZADOS A CA'!Y29+'INGRESO A PS DE CA'!Y29</f>
        <v>28.4239</v>
      </c>
      <c r="Z29" s="322">
        <f>+'RECHAZADOS A CA'!Z29+'INGRESO A PS DE CA'!Z29</f>
        <v>28.537320000000001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28"/>
      <c r="E30" s="278"/>
      <c r="F30" s="263"/>
      <c r="G30" s="322">
        <f>+'RECHAZADOS A CA'!G30+'INGRESO A PS DE CA'!G30</f>
        <v>44.470179999999999</v>
      </c>
      <c r="H30" s="322">
        <f>+'RECHAZADOS A CA'!H30+'INGRESO A PS DE CA'!H30</f>
        <v>44.81362</v>
      </c>
      <c r="I30" s="322">
        <f>+'RECHAZADOS A CA'!I30+'INGRESO A PS DE CA'!I30</f>
        <v>45.158120000000004</v>
      </c>
      <c r="J30" s="322">
        <f>+'RECHAZADOS A CA'!J30+'INGRESO A PS DE CA'!J30</f>
        <v>45.501560000000005</v>
      </c>
      <c r="K30" s="322">
        <f>+'RECHAZADOS A CA'!K30+'INGRESO A PS DE CA'!K30</f>
        <v>45.846060000000008</v>
      </c>
      <c r="L30" s="322">
        <f>+'RECHAZADOS A CA'!L30+'INGRESO A PS DE CA'!L30</f>
        <v>46.189500000000002</v>
      </c>
      <c r="M30" s="322">
        <f>+'RECHAZADOS A CA'!M30+'INGRESO A PS DE CA'!M30</f>
        <v>46.533999999999999</v>
      </c>
      <c r="N30" s="322">
        <f>+'RECHAZADOS A CA'!N30+'INGRESO A PS DE CA'!N30</f>
        <v>46.87744</v>
      </c>
      <c r="O30" s="322">
        <f>+'RECHAZADOS A CA'!O30+'INGRESO A PS DE CA'!O30</f>
        <v>47.221940000000004</v>
      </c>
      <c r="P30" s="322">
        <f>+'RECHAZADOS A CA'!P30+'INGRESO A PS DE CA'!P30</f>
        <v>47.565380000000005</v>
      </c>
      <c r="Q30" s="322">
        <f>+'RECHAZADOS A CA'!Q30+'INGRESO A PS DE CA'!Q30</f>
        <v>47.909880000000001</v>
      </c>
      <c r="R30" s="322">
        <f>+'RECHAZADOS A CA'!R30+'INGRESO A PS DE CA'!R30</f>
        <v>48.253320000000002</v>
      </c>
      <c r="S30" s="322">
        <f>+'RECHAZADOS A CA'!S30+'INGRESO A PS DE CA'!S30</f>
        <v>48.597819999999999</v>
      </c>
      <c r="T30" s="322">
        <f>+'RECHAZADOS A CA'!T30+'INGRESO A PS DE CA'!T30</f>
        <v>48.94126</v>
      </c>
      <c r="U30" s="322">
        <f>+'RECHAZADOS A CA'!U30+'INGRESO A PS DE CA'!U30</f>
        <v>49.284700000000001</v>
      </c>
      <c r="V30" s="322">
        <f>+'RECHAZADOS A CA'!V30+'INGRESO A PS DE CA'!V30</f>
        <v>49.629200000000012</v>
      </c>
      <c r="W30" s="322">
        <f>+'RECHAZADOS A CA'!W30+'INGRESO A PS DE CA'!W30</f>
        <v>49.972639999999998</v>
      </c>
      <c r="X30" s="322">
        <f>+'RECHAZADOS A CA'!X30+'INGRESO A PS DE CA'!X30</f>
        <v>50.317140000000002</v>
      </c>
      <c r="Y30" s="322">
        <f>+'RECHAZADOS A CA'!Y30+'INGRESO A PS DE CA'!Y30</f>
        <v>50.660580000000003</v>
      </c>
      <c r="Z30" s="322">
        <f>+'RECHAZADOS A CA'!Z30+'INGRESO A PS DE CA'!Z30</f>
        <v>51.005079999999992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28"/>
      <c r="E31" s="278"/>
      <c r="F31" s="263"/>
      <c r="G31" s="322">
        <f>+'RECHAZADOS A CA'!G31+'INGRESO A PS DE CA'!G31</f>
        <v>9.5597200000000004</v>
      </c>
      <c r="H31" s="322">
        <f>+'RECHAZADOS A CA'!H31+'INGRESO A PS DE CA'!H31</f>
        <v>9.6121599999999994</v>
      </c>
      <c r="I31" s="322">
        <f>+'RECHAZADOS A CA'!I31+'INGRESO A PS DE CA'!I31</f>
        <v>9.6655200000000008</v>
      </c>
      <c r="J31" s="322">
        <f>+'RECHAZADOS A CA'!J31+'INGRESO A PS DE CA'!J31</f>
        <v>9.7188800000000004</v>
      </c>
      <c r="K31" s="322">
        <f>+'RECHAZADOS A CA'!K31+'INGRESO A PS DE CA'!K31</f>
        <v>9.7713199999999993</v>
      </c>
      <c r="L31" s="322">
        <f>+'RECHAZADOS A CA'!L31+'INGRESO A PS DE CA'!L31</f>
        <v>9.8246800000000007</v>
      </c>
      <c r="M31" s="322">
        <f>+'RECHAZADOS A CA'!M31+'INGRESO A PS DE CA'!M31</f>
        <v>9.8780400000000004</v>
      </c>
      <c r="N31" s="322">
        <f>+'RECHAZADOS A CA'!N31+'INGRESO A PS DE CA'!N31</f>
        <v>9.9304799999999993</v>
      </c>
      <c r="O31" s="322">
        <f>+'RECHAZADOS A CA'!O31+'INGRESO A PS DE CA'!O31</f>
        <v>9.9838400000000007</v>
      </c>
      <c r="P31" s="322">
        <f>+'RECHAZADOS A CA'!P31+'INGRESO A PS DE CA'!P31</f>
        <v>10.0372</v>
      </c>
      <c r="Q31" s="322">
        <f>+'RECHAZADOS A CA'!Q31+'INGRESO A PS DE CA'!Q31</f>
        <v>10.089640000000001</v>
      </c>
      <c r="R31" s="322">
        <f>+'RECHAZADOS A CA'!R31+'INGRESO A PS DE CA'!R31</f>
        <v>10.143000000000001</v>
      </c>
      <c r="S31" s="322">
        <f>+'RECHAZADOS A CA'!S31+'INGRESO A PS DE CA'!S31</f>
        <v>10.19636</v>
      </c>
      <c r="T31" s="322">
        <f>+'RECHAZADOS A CA'!T31+'INGRESO A PS DE CA'!T31</f>
        <v>10.248800000000001</v>
      </c>
      <c r="U31" s="322">
        <f>+'RECHAZADOS A CA'!U31+'INGRESO A PS DE CA'!U31</f>
        <v>10.302160000000001</v>
      </c>
      <c r="V31" s="322">
        <f>+'RECHAZADOS A CA'!V31+'INGRESO A PS DE CA'!V31</f>
        <v>10.35552</v>
      </c>
      <c r="W31" s="322">
        <f>+'RECHAZADOS A CA'!W31+'INGRESO A PS DE CA'!W31</f>
        <v>10.408880000000002</v>
      </c>
      <c r="X31" s="322">
        <f>+'RECHAZADOS A CA'!X31+'INGRESO A PS DE CA'!X31</f>
        <v>10.461319999999999</v>
      </c>
      <c r="Y31" s="322">
        <f>+'RECHAZADOS A CA'!Y31+'INGRESO A PS DE CA'!Y31</f>
        <v>10.51468</v>
      </c>
      <c r="Z31" s="322">
        <f>+'RECHAZADOS A CA'!Z31+'INGRESO A PS DE CA'!Z31</f>
        <v>10.568040000000002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28"/>
      <c r="E32" s="278"/>
      <c r="F32" s="263"/>
      <c r="G32" s="322">
        <f>+'RECHAZADOS A CA'!G32+'INGRESO A PS DE CA'!G32</f>
        <v>8.9083600000000001</v>
      </c>
      <c r="H32" s="322">
        <f>+'RECHAZADOS A CA'!H32+'INGRESO A PS DE CA'!H32</f>
        <v>8.9819600000000008</v>
      </c>
      <c r="I32" s="322">
        <f>+'RECHAZADOS A CA'!I32+'INGRESO A PS DE CA'!I32</f>
        <v>9.0555599999999998</v>
      </c>
      <c r="J32" s="322">
        <f>+'RECHAZADOS A CA'!J32+'INGRESO A PS DE CA'!J32</f>
        <v>9.1291600000000006</v>
      </c>
      <c r="K32" s="322">
        <f>+'RECHAZADOS A CA'!K32+'INGRESO A PS DE CA'!K32</f>
        <v>9.2027599999999996</v>
      </c>
      <c r="L32" s="322">
        <f>+'RECHAZADOS A CA'!L32+'INGRESO A PS DE CA'!L32</f>
        <v>9.3103999999999996</v>
      </c>
      <c r="M32" s="322">
        <f>+'RECHAZADOS A CA'!M32+'INGRESO A PS DE CA'!M32</f>
        <v>9.4180400000000013</v>
      </c>
      <c r="N32" s="322">
        <f>+'RECHAZADOS A CA'!N32+'INGRESO A PS DE CA'!N32</f>
        <v>9.5256799999999995</v>
      </c>
      <c r="O32" s="322">
        <f>+'RECHAZADOS A CA'!O32+'INGRESO A PS DE CA'!O32</f>
        <v>9.6333199999999994</v>
      </c>
      <c r="P32" s="322">
        <f>+'RECHAZADOS A CA'!P32+'INGRESO A PS DE CA'!P32</f>
        <v>9.7409600000000012</v>
      </c>
      <c r="Q32" s="322">
        <f>+'RECHAZADOS A CA'!Q32+'INGRESO A PS DE CA'!Q32</f>
        <v>9.8486000000000011</v>
      </c>
      <c r="R32" s="322">
        <f>+'RECHAZADOS A CA'!R32+'INGRESO A PS DE CA'!R32</f>
        <v>9.9562399999999993</v>
      </c>
      <c r="S32" s="322">
        <f>+'RECHAZADOS A CA'!S32+'INGRESO A PS DE CA'!S32</f>
        <v>10.063880000000001</v>
      </c>
      <c r="T32" s="322">
        <f>+'RECHAZADOS A CA'!T32+'INGRESO A PS DE CA'!T32</f>
        <v>10.171520000000001</v>
      </c>
      <c r="U32" s="322">
        <f>+'RECHAZADOS A CA'!U32+'INGRESO A PS DE CA'!U32</f>
        <v>10.279159999999999</v>
      </c>
      <c r="V32" s="322">
        <f>+'RECHAZADOS A CA'!V32+'INGRESO A PS DE CA'!V32</f>
        <v>10.386800000000001</v>
      </c>
      <c r="W32" s="322">
        <f>+'RECHAZADOS A CA'!W32+'INGRESO A PS DE CA'!W32</f>
        <v>10.494440000000001</v>
      </c>
      <c r="X32" s="322">
        <f>+'RECHAZADOS A CA'!X32+'INGRESO A PS DE CA'!X32</f>
        <v>10.602079999999999</v>
      </c>
      <c r="Y32" s="322">
        <f>+'RECHAZADOS A CA'!Y32+'INGRESO A PS DE CA'!Y32</f>
        <v>10.709720000000001</v>
      </c>
      <c r="Z32" s="322">
        <f>+'RECHAZADOS A CA'!Z32+'INGRESO A PS DE CA'!Z32</f>
        <v>10.817360000000001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28"/>
      <c r="E33" s="278"/>
      <c r="F33" s="263"/>
      <c r="G33" s="322">
        <f>+'RECHAZADOS A CA'!G33+'INGRESO A PS DE CA'!G33</f>
        <v>9.4695600000000013</v>
      </c>
      <c r="H33" s="322">
        <f>+'RECHAZADOS A CA'!H33+'INGRESO A PS DE CA'!H33</f>
        <v>9.6038800000000002</v>
      </c>
      <c r="I33" s="322">
        <f>+'RECHAZADOS A CA'!I33+'INGRESO A PS DE CA'!I33</f>
        <v>9.7382000000000009</v>
      </c>
      <c r="J33" s="322">
        <f>+'RECHAZADOS A CA'!J33+'INGRESO A PS DE CA'!J33</f>
        <v>9.8716000000000008</v>
      </c>
      <c r="K33" s="322">
        <f>+'RECHAZADOS A CA'!K33+'INGRESO A PS DE CA'!K33</f>
        <v>10.00592</v>
      </c>
      <c r="L33" s="322">
        <f>+'RECHAZADOS A CA'!L33+'INGRESO A PS DE CA'!L33</f>
        <v>10.173360000000001</v>
      </c>
      <c r="M33" s="322">
        <f>+'RECHAZADOS A CA'!M33+'INGRESO A PS DE CA'!M33</f>
        <v>10.339880000000001</v>
      </c>
      <c r="N33" s="322">
        <f>+'RECHAZADOS A CA'!N33+'INGRESO A PS DE CA'!N33</f>
        <v>10.50732</v>
      </c>
      <c r="O33" s="322">
        <f>+'RECHAZADOS A CA'!O33+'INGRESO A PS DE CA'!O33</f>
        <v>10.674760000000001</v>
      </c>
      <c r="P33" s="322">
        <f>+'RECHAZADOS A CA'!P33+'INGRESO A PS DE CA'!P33</f>
        <v>10.8422</v>
      </c>
      <c r="Q33" s="322">
        <f>+'RECHAZADOS A CA'!Q33+'INGRESO A PS DE CA'!Q33</f>
        <v>11.00872</v>
      </c>
      <c r="R33" s="322">
        <f>+'RECHAZADOS A CA'!R33+'INGRESO A PS DE CA'!R33</f>
        <v>11.176159999999999</v>
      </c>
      <c r="S33" s="322">
        <f>+'RECHAZADOS A CA'!S33+'INGRESO A PS DE CA'!S33</f>
        <v>11.3436</v>
      </c>
      <c r="T33" s="322">
        <f>+'RECHAZADOS A CA'!T33+'INGRESO A PS DE CA'!T33</f>
        <v>11.510120000000001</v>
      </c>
      <c r="U33" s="322">
        <f>+'RECHAZADOS A CA'!U33+'INGRESO A PS DE CA'!U33</f>
        <v>11.677560000000001</v>
      </c>
      <c r="V33" s="322">
        <f>+'RECHAZADOS A CA'!V33+'INGRESO A PS DE CA'!V33</f>
        <v>11.845000000000001</v>
      </c>
      <c r="W33" s="322">
        <f>+'RECHAZADOS A CA'!W33+'INGRESO A PS DE CA'!W33</f>
        <v>12.011520000000001</v>
      </c>
      <c r="X33" s="322">
        <f>+'RECHAZADOS A CA'!X33+'INGRESO A PS DE CA'!X33</f>
        <v>12.178960000000002</v>
      </c>
      <c r="Y33" s="322">
        <f>+'RECHAZADOS A CA'!Y33+'INGRESO A PS DE CA'!Y33</f>
        <v>12.346399999999999</v>
      </c>
      <c r="Z33" s="322">
        <f>+'RECHAZADOS A CA'!Z33+'INGRESO A PS DE CA'!Z33</f>
        <v>12.513839999999998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28"/>
      <c r="E34" s="278"/>
      <c r="F34" s="263"/>
      <c r="G34" s="322">
        <f>+'RECHAZADOS A CA'!G34+'INGRESO A PS DE CA'!G34</f>
        <v>32.341659999999997</v>
      </c>
      <c r="H34" s="322">
        <f>+'RECHAZADOS A CA'!H34+'INGRESO A PS DE CA'!H34</f>
        <v>32.635280000000002</v>
      </c>
      <c r="I34" s="322">
        <f>+'RECHAZADOS A CA'!I34+'INGRESO A PS DE CA'!I34</f>
        <v>32.932079999999999</v>
      </c>
      <c r="J34" s="322">
        <f>+'RECHAZADOS A CA'!J34+'INGRESO A PS DE CA'!J34</f>
        <v>33.231000000000002</v>
      </c>
      <c r="K34" s="322">
        <f>+'RECHAZADOS A CA'!K34+'INGRESO A PS DE CA'!K34</f>
        <v>33.533099999999997</v>
      </c>
      <c r="L34" s="322">
        <f>+'RECHAZADOS A CA'!L34+'INGRESO A PS DE CA'!L34</f>
        <v>33.838380000000008</v>
      </c>
      <c r="M34" s="322">
        <f>+'RECHAZADOS A CA'!M34+'INGRESO A PS DE CA'!M34</f>
        <v>34.145780000000002</v>
      </c>
      <c r="N34" s="322">
        <f>+'RECHAZADOS A CA'!N34+'INGRESO A PS DE CA'!N34</f>
        <v>34.455300000000001</v>
      </c>
      <c r="O34" s="322">
        <f>+'RECHAZADOS A CA'!O34+'INGRESO A PS DE CA'!O34</f>
        <v>34.769060000000003</v>
      </c>
      <c r="P34" s="322">
        <f>+'RECHAZADOS A CA'!P34+'INGRESO A PS DE CA'!P34</f>
        <v>35.084940000000003</v>
      </c>
      <c r="Q34" s="322">
        <f>+'RECHAZADOS A CA'!Q34+'INGRESO A PS DE CA'!Q34</f>
        <v>35.402940000000001</v>
      </c>
      <c r="R34" s="322">
        <f>+'RECHAZADOS A CA'!R34+'INGRESO A PS DE CA'!R34</f>
        <v>35.725180000000002</v>
      </c>
      <c r="S34" s="322">
        <f>+'RECHAZADOS A CA'!S34+'INGRESO A PS DE CA'!S34</f>
        <v>36.04954</v>
      </c>
      <c r="T34" s="322">
        <f>+'RECHAZADOS A CA'!T34+'INGRESO A PS DE CA'!T34</f>
        <v>36.377079999999999</v>
      </c>
      <c r="U34" s="322">
        <f>+'RECHAZADOS A CA'!U34+'INGRESO A PS DE CA'!U34</f>
        <v>36.707800000000006</v>
      </c>
      <c r="V34" s="322">
        <f>+'RECHAZADOS A CA'!V34+'INGRESO A PS DE CA'!V34</f>
        <v>37.041700000000006</v>
      </c>
      <c r="W34" s="322">
        <f>+'RECHAZADOS A CA'!W34+'INGRESO A PS DE CA'!W34</f>
        <v>37.377720000000004</v>
      </c>
      <c r="X34" s="322">
        <f>+'RECHAZADOS A CA'!X34+'INGRESO A PS DE CA'!X34</f>
        <v>37.717980000000004</v>
      </c>
      <c r="Y34" s="322">
        <f>+'RECHAZADOS A CA'!Y34+'INGRESO A PS DE CA'!Y34</f>
        <v>38.060360000000003</v>
      </c>
      <c r="Z34" s="322">
        <f>+'RECHAZADOS A CA'!Z34+'INGRESO A PS DE CA'!Z34</f>
        <v>38.405920000000009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28"/>
      <c r="E35" s="278"/>
      <c r="F35" s="263"/>
      <c r="G35" s="322">
        <f>+'RECHAZADOS A CA'!G35+'INGRESO A PS DE CA'!G35</f>
        <v>20.275680000000001</v>
      </c>
      <c r="H35" s="322">
        <f>+'RECHAZADOS A CA'!H35+'INGRESO A PS DE CA'!H35</f>
        <v>20.399700000000003</v>
      </c>
      <c r="I35" s="322">
        <f>+'RECHAZADOS A CA'!I35+'INGRESO A PS DE CA'!I35</f>
        <v>20.522659999999998</v>
      </c>
      <c r="J35" s="322">
        <f>+'RECHAZADOS A CA'!J35+'INGRESO A PS DE CA'!J35</f>
        <v>20.647740000000002</v>
      </c>
      <c r="K35" s="322">
        <f>+'RECHAZADOS A CA'!K35+'INGRESO A PS DE CA'!K35</f>
        <v>20.772819999999999</v>
      </c>
      <c r="L35" s="322">
        <f>+'RECHAZADOS A CA'!L35+'INGRESO A PS DE CA'!L35</f>
        <v>20.898960000000002</v>
      </c>
      <c r="M35" s="322">
        <f>+'RECHAZADOS A CA'!M35+'INGRESO A PS DE CA'!M35</f>
        <v>21.025100000000002</v>
      </c>
      <c r="N35" s="322">
        <f>+'RECHAZADOS A CA'!N35+'INGRESO A PS DE CA'!N35</f>
        <v>21.153359999999999</v>
      </c>
      <c r="O35" s="322">
        <f>+'RECHAZADOS A CA'!O35+'INGRESO A PS DE CA'!O35</f>
        <v>21.281620000000004</v>
      </c>
      <c r="P35" s="322">
        <f>+'RECHAZADOS A CA'!P35+'INGRESO A PS DE CA'!P35</f>
        <v>21.410940000000004</v>
      </c>
      <c r="Q35" s="322">
        <f>+'RECHAZADOS A CA'!Q35+'INGRESO A PS DE CA'!Q35</f>
        <v>21.540260000000004</v>
      </c>
      <c r="R35" s="322">
        <f>+'RECHAZADOS A CA'!R35+'INGRESO A PS DE CA'!R35</f>
        <v>21.671700000000001</v>
      </c>
      <c r="S35" s="322">
        <f>+'RECHAZADOS A CA'!S35+'INGRESO A PS DE CA'!S35</f>
        <v>21.803139999999999</v>
      </c>
      <c r="T35" s="322">
        <f>+'RECHAZADOS A CA'!T35+'INGRESO A PS DE CA'!T35</f>
        <v>21.93458</v>
      </c>
      <c r="U35" s="322">
        <f>+'RECHAZADOS A CA'!U35+'INGRESO A PS DE CA'!U35</f>
        <v>22.06814</v>
      </c>
      <c r="V35" s="322">
        <f>+'RECHAZADOS A CA'!V35+'INGRESO A PS DE CA'!V35</f>
        <v>22.201700000000002</v>
      </c>
      <c r="W35" s="322">
        <f>+'RECHAZADOS A CA'!W35+'INGRESO A PS DE CA'!W35</f>
        <v>22.336320000000001</v>
      </c>
      <c r="X35" s="322">
        <f>+'RECHAZADOS A CA'!X35+'INGRESO A PS DE CA'!X35</f>
        <v>22.472000000000001</v>
      </c>
      <c r="Y35" s="322">
        <f>+'RECHAZADOS A CA'!Y35+'INGRESO A PS DE CA'!Y35</f>
        <v>22.608740000000001</v>
      </c>
      <c r="Z35" s="322">
        <f>+'RECHAZADOS A CA'!Z35+'INGRESO A PS DE CA'!Z35</f>
        <v>22.745480000000001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28"/>
      <c r="E36" s="278"/>
      <c r="F36" s="263"/>
      <c r="G36" s="322">
        <f>+'RECHAZADOS A CA'!G36+'INGRESO A PS DE CA'!G36</f>
        <v>66.193919999999991</v>
      </c>
      <c r="H36" s="322">
        <f>+'RECHAZADOS A CA'!H36+'INGRESO A PS DE CA'!H36</f>
        <v>66.99054000000001</v>
      </c>
      <c r="I36" s="322">
        <f>+'RECHAZADOS A CA'!I36+'INGRESO A PS DE CA'!I36</f>
        <v>67.786140000000003</v>
      </c>
      <c r="J36" s="322">
        <f>+'RECHAZADOS A CA'!J36+'INGRESO A PS DE CA'!J36</f>
        <v>68.581740000000011</v>
      </c>
      <c r="K36" s="322">
        <f>+'RECHAZADOS A CA'!K36+'INGRESO A PS DE CA'!K36</f>
        <v>69.37733999999999</v>
      </c>
      <c r="L36" s="322">
        <f>+'RECHAZADOS A CA'!L36+'INGRESO A PS DE CA'!L36</f>
        <v>70.422839999999994</v>
      </c>
      <c r="M36" s="322">
        <f>+'RECHAZADOS A CA'!M36+'INGRESO A PS DE CA'!M36</f>
        <v>71.467320000000001</v>
      </c>
      <c r="N36" s="322">
        <f>+'RECHAZADOS A CA'!N36+'INGRESO A PS DE CA'!N36</f>
        <v>72.512820000000005</v>
      </c>
      <c r="O36" s="322">
        <f>+'RECHAZADOS A CA'!O36+'INGRESO A PS DE CA'!O36</f>
        <v>73.557299999999998</v>
      </c>
      <c r="P36" s="322">
        <f>+'RECHAZADOS A CA'!P36+'INGRESO A PS DE CA'!P36</f>
        <v>74.602800000000002</v>
      </c>
      <c r="Q36" s="322">
        <f>+'RECHAZADOS A CA'!Q36+'INGRESO A PS DE CA'!Q36</f>
        <v>75.647279999999995</v>
      </c>
      <c r="R36" s="322">
        <f>+'RECHAZADOS A CA'!R36+'INGRESO A PS DE CA'!R36</f>
        <v>76.692779999999999</v>
      </c>
      <c r="S36" s="322">
        <f>+'RECHAZADOS A CA'!S36+'INGRESO A PS DE CA'!S36</f>
        <v>77.738280000000003</v>
      </c>
      <c r="T36" s="322">
        <f>+'RECHAZADOS A CA'!T36+'INGRESO A PS DE CA'!T36</f>
        <v>78.782759999999996</v>
      </c>
      <c r="U36" s="322">
        <f>+'RECHAZADOS A CA'!U36+'INGRESO A PS DE CA'!U36</f>
        <v>79.82826</v>
      </c>
      <c r="V36" s="322">
        <f>+'RECHAZADOS A CA'!V36+'INGRESO A PS DE CA'!V36</f>
        <v>80.872740000000007</v>
      </c>
      <c r="W36" s="322">
        <f>+'RECHAZADOS A CA'!W36+'INGRESO A PS DE CA'!W36</f>
        <v>81.918240000000011</v>
      </c>
      <c r="X36" s="322">
        <f>+'RECHAZADOS A CA'!X36+'INGRESO A PS DE CA'!X36</f>
        <v>82.962720000000004</v>
      </c>
      <c r="Y36" s="322">
        <f>+'RECHAZADOS A CA'!Y36+'INGRESO A PS DE CA'!Y36</f>
        <v>84.008219999999994</v>
      </c>
      <c r="Z36" s="322">
        <f>+'RECHAZADOS A CA'!Z36+'INGRESO A PS DE CA'!Z36</f>
        <v>85.053719999999998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28"/>
      <c r="E37" s="278"/>
      <c r="F37" s="263"/>
      <c r="G37" s="322">
        <f>+'RECHAZADOS A CA'!G37+'INGRESO A PS DE CA'!G37</f>
        <v>473.90522999999996</v>
      </c>
      <c r="H37" s="322">
        <f>+'RECHAZADOS A CA'!H37+'INGRESO A PS DE CA'!H37</f>
        <v>479.33513999999997</v>
      </c>
      <c r="I37" s="322">
        <f>+'RECHAZADOS A CA'!I37+'INGRESO A PS DE CA'!I37</f>
        <v>484.76363999999995</v>
      </c>
      <c r="J37" s="322">
        <f>+'RECHAZADOS A CA'!J37+'INGRESO A PS DE CA'!J37</f>
        <v>490.19213999999994</v>
      </c>
      <c r="K37" s="322">
        <f>+'RECHAZADOS A CA'!K37+'INGRESO A PS DE CA'!K37</f>
        <v>495.62205</v>
      </c>
      <c r="L37" s="322">
        <f>+'RECHAZADOS A CA'!L37+'INGRESO A PS DE CA'!L37</f>
        <v>502.79894999999993</v>
      </c>
      <c r="M37" s="322">
        <f>+'RECHAZADOS A CA'!M37+'INGRESO A PS DE CA'!M37</f>
        <v>509.97725999999994</v>
      </c>
      <c r="N37" s="322">
        <f>+'RECHAZADOS A CA'!N37+'INGRESO A PS DE CA'!N37</f>
        <v>517.15415999999993</v>
      </c>
      <c r="O37" s="322">
        <f>+'RECHAZADOS A CA'!O37+'INGRESO A PS DE CA'!O37</f>
        <v>524.33246999999994</v>
      </c>
      <c r="P37" s="322">
        <f>+'RECHAZADOS A CA'!P37+'INGRESO A PS DE CA'!P37</f>
        <v>531.50936999999999</v>
      </c>
      <c r="Q37" s="322">
        <f>+'RECHAZADOS A CA'!Q37+'INGRESO A PS DE CA'!Q37</f>
        <v>538.68767999999989</v>
      </c>
      <c r="R37" s="322">
        <f>+'RECHAZADOS A CA'!R37+'INGRESO A PS DE CA'!R37</f>
        <v>545.86457999999993</v>
      </c>
      <c r="S37" s="322">
        <f>+'RECHAZADOS A CA'!S37+'INGRESO A PS DE CA'!S37</f>
        <v>553.04147999999998</v>
      </c>
      <c r="T37" s="322">
        <f>+'RECHAZADOS A CA'!T37+'INGRESO A PS DE CA'!T37</f>
        <v>560.21978999999988</v>
      </c>
      <c r="U37" s="322">
        <f>+'RECHAZADOS A CA'!U37+'INGRESO A PS DE CA'!U37</f>
        <v>567.39668999999992</v>
      </c>
      <c r="V37" s="322">
        <f>+'RECHAZADOS A CA'!V37+'INGRESO A PS DE CA'!V37</f>
        <v>574.57500000000005</v>
      </c>
      <c r="W37" s="322">
        <f>+'RECHAZADOS A CA'!W37+'INGRESO A PS DE CA'!W37</f>
        <v>581.75189999999998</v>
      </c>
      <c r="X37" s="322">
        <f>+'RECHAZADOS A CA'!X37+'INGRESO A PS DE CA'!X37</f>
        <v>588.93020999999999</v>
      </c>
      <c r="Y37" s="322">
        <f>+'RECHAZADOS A CA'!Y37+'INGRESO A PS DE CA'!Y37</f>
        <v>596.10711000000003</v>
      </c>
      <c r="Z37" s="322">
        <f>+'RECHAZADOS A CA'!Z37+'INGRESO A PS DE CA'!Z37</f>
        <v>603.28541999999993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28"/>
      <c r="E38" s="278"/>
      <c r="F38" s="263"/>
      <c r="G38" s="322">
        <f>+'RECHAZADOS A CA'!G38+'INGRESO A PS DE CA'!G38</f>
        <v>51.188459999999999</v>
      </c>
      <c r="H38" s="322">
        <f>+'RECHAZADOS A CA'!H38+'INGRESO A PS DE CA'!H38</f>
        <v>51.94</v>
      </c>
      <c r="I38" s="322">
        <f>+'RECHAZADOS A CA'!I38+'INGRESO A PS DE CA'!I38</f>
        <v>52.704260000000005</v>
      </c>
      <c r="J38" s="322">
        <f>+'RECHAZADOS A CA'!J38+'INGRESO A PS DE CA'!J38</f>
        <v>53.480179999999997</v>
      </c>
      <c r="K38" s="322">
        <f>+'RECHAZADOS A CA'!K38+'INGRESO A PS DE CA'!K38</f>
        <v>54.269880000000008</v>
      </c>
      <c r="L38" s="322">
        <f>+'RECHAZADOS A CA'!L38+'INGRESO A PS DE CA'!L38</f>
        <v>55.071240000000003</v>
      </c>
      <c r="M38" s="322">
        <f>+'RECHAZADOS A CA'!M38+'INGRESO A PS DE CA'!M38</f>
        <v>55.886380000000003</v>
      </c>
      <c r="N38" s="322">
        <f>+'RECHAZADOS A CA'!N38+'INGRESO A PS DE CA'!N38</f>
        <v>56.715300000000006</v>
      </c>
      <c r="O38" s="322">
        <f>+'RECHAZADOS A CA'!O38+'INGRESO A PS DE CA'!O38</f>
        <v>57.556940000000012</v>
      </c>
      <c r="P38" s="322">
        <f>+'RECHAZADOS A CA'!P38+'INGRESO A PS DE CA'!P38</f>
        <v>58.412360000000007</v>
      </c>
      <c r="Q38" s="322">
        <f>+'RECHAZADOS A CA'!Q38+'INGRESO A PS DE CA'!Q38</f>
        <v>59.281560000000013</v>
      </c>
      <c r="R38" s="322">
        <f>+'RECHAZADOS A CA'!R38+'INGRESO A PS DE CA'!R38</f>
        <v>60.165600000000005</v>
      </c>
      <c r="S38" s="322">
        <f>+'RECHAZADOS A CA'!S38+'INGRESO A PS DE CA'!S38</f>
        <v>61.063420000000008</v>
      </c>
      <c r="T38" s="322">
        <f>+'RECHAZADOS A CA'!T38+'INGRESO A PS DE CA'!T38</f>
        <v>61.976080000000003</v>
      </c>
      <c r="U38" s="322">
        <f>+'RECHAZADOS A CA'!U38+'INGRESO A PS DE CA'!U38</f>
        <v>62.903580000000005</v>
      </c>
      <c r="V38" s="322">
        <f>+'RECHAZADOS A CA'!V38+'INGRESO A PS DE CA'!V38</f>
        <v>63.846980000000002</v>
      </c>
      <c r="W38" s="322">
        <f>+'RECHAZADOS A CA'!W38+'INGRESO A PS DE CA'!W38</f>
        <v>64.805220000000006</v>
      </c>
      <c r="X38" s="322">
        <f>+'RECHAZADOS A CA'!X38+'INGRESO A PS DE CA'!X38</f>
        <v>65.778300000000002</v>
      </c>
      <c r="Y38" s="322">
        <f>+'RECHAZADOS A CA'!Y38+'INGRESO A PS DE CA'!Y38</f>
        <v>66.768339999999995</v>
      </c>
      <c r="Z38" s="322">
        <f>+'RECHAZADOS A CA'!Z38+'INGRESO A PS DE CA'!Z38</f>
        <v>67.774280000000005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28"/>
      <c r="E39" s="278"/>
      <c r="F39" s="263"/>
      <c r="G39" s="322">
        <f>+'RECHAZADOS A CA'!G39+'INGRESO A PS DE CA'!G39</f>
        <v>35.541800000000002</v>
      </c>
      <c r="H39" s="322">
        <f>+'RECHAZADOS A CA'!H39+'INGRESO A PS DE CA'!H39</f>
        <v>35.902200000000008</v>
      </c>
      <c r="I39" s="322">
        <f>+'RECHAZADOS A CA'!I39+'INGRESO A PS DE CA'!I39</f>
        <v>36.265779999999999</v>
      </c>
      <c r="J39" s="322">
        <f>+'RECHAZADOS A CA'!J39+'INGRESO A PS DE CA'!J39</f>
        <v>36.632539999999999</v>
      </c>
      <c r="K39" s="322">
        <f>+'RECHAZADOS A CA'!K39+'INGRESO A PS DE CA'!K39</f>
        <v>37.003540000000001</v>
      </c>
      <c r="L39" s="322">
        <f>+'RECHAZADOS A CA'!L39+'INGRESO A PS DE CA'!L39</f>
        <v>37.378779999999999</v>
      </c>
      <c r="M39" s="322">
        <f>+'RECHAZADOS A CA'!M39+'INGRESO A PS DE CA'!M39</f>
        <v>37.757200000000005</v>
      </c>
      <c r="N39" s="322">
        <f>+'RECHAZADOS A CA'!N39+'INGRESO A PS DE CA'!N39</f>
        <v>38.139859999999999</v>
      </c>
      <c r="O39" s="322">
        <f>+'RECHAZADOS A CA'!O39+'INGRESO A PS DE CA'!O39</f>
        <v>38.525700000000008</v>
      </c>
      <c r="P39" s="322">
        <f>+'RECHAZADOS A CA'!P39+'INGRESO A PS DE CA'!P39</f>
        <v>38.915779999999998</v>
      </c>
      <c r="Q39" s="322">
        <f>+'RECHAZADOS A CA'!Q39+'INGRESO A PS DE CA'!Q39</f>
        <v>39.310099999999998</v>
      </c>
      <c r="R39" s="322">
        <f>+'RECHAZADOS A CA'!R39+'INGRESO A PS DE CA'!R39</f>
        <v>39.708660000000002</v>
      </c>
      <c r="S39" s="322">
        <f>+'RECHAZADOS A CA'!S39+'INGRESO A PS DE CA'!S39</f>
        <v>40.110399999999998</v>
      </c>
      <c r="T39" s="322">
        <f>+'RECHAZADOS A CA'!T39+'INGRESO A PS DE CA'!T39</f>
        <v>40.516380000000005</v>
      </c>
      <c r="U39" s="322">
        <f>+'RECHAZADOS A CA'!U39+'INGRESO A PS DE CA'!U39</f>
        <v>40.927660000000003</v>
      </c>
      <c r="V39" s="322">
        <f>+'RECHAZADOS A CA'!V39+'INGRESO A PS DE CA'!V39</f>
        <v>41.342120000000001</v>
      </c>
      <c r="W39" s="322">
        <f>+'RECHAZADOS A CA'!W39+'INGRESO A PS DE CA'!W39</f>
        <v>41.760820000000002</v>
      </c>
      <c r="X39" s="322">
        <f>+'RECHAZADOS A CA'!X39+'INGRESO A PS DE CA'!X39</f>
        <v>42.183759999999999</v>
      </c>
      <c r="Y39" s="322">
        <f>+'RECHAZADOS A CA'!Y39+'INGRESO A PS DE CA'!Y39</f>
        <v>42.610939999999999</v>
      </c>
      <c r="Z39" s="322">
        <f>+'RECHAZADOS A CA'!Z39+'INGRESO A PS DE CA'!Z39</f>
        <v>43.042360000000002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28"/>
      <c r="E40" s="278"/>
      <c r="F40" s="263"/>
      <c r="G40" s="322">
        <f>+'RECHAZADOS A CA'!G40+'INGRESO A PS DE CA'!G40</f>
        <v>16.474520000000002</v>
      </c>
      <c r="H40" s="322">
        <f>+'RECHAZADOS A CA'!H40+'INGRESO A PS DE CA'!H40</f>
        <v>16.570979999999999</v>
      </c>
      <c r="I40" s="322">
        <f>+'RECHAZADOS A CA'!I40+'INGRESO A PS DE CA'!I40</f>
        <v>16.667440000000003</v>
      </c>
      <c r="J40" s="322">
        <f>+'RECHAZADOS A CA'!J40+'INGRESO A PS DE CA'!J40</f>
        <v>16.76708</v>
      </c>
      <c r="K40" s="322">
        <f>+'RECHAZADOS A CA'!K40+'INGRESO A PS DE CA'!K40</f>
        <v>16.867780000000003</v>
      </c>
      <c r="L40" s="322">
        <f>+'RECHAZADOS A CA'!L40+'INGRESO A PS DE CA'!L40</f>
        <v>16.969540000000002</v>
      </c>
      <c r="M40" s="322">
        <f>+'RECHAZADOS A CA'!M40+'INGRESO A PS DE CA'!M40</f>
        <v>17.073420000000002</v>
      </c>
      <c r="N40" s="322">
        <f>+'RECHAZADOS A CA'!N40+'INGRESO A PS DE CA'!N40</f>
        <v>17.178360000000001</v>
      </c>
      <c r="O40" s="322">
        <f>+'RECHAZADOS A CA'!O40+'INGRESO A PS DE CA'!O40</f>
        <v>17.286480000000001</v>
      </c>
      <c r="P40" s="322">
        <f>+'RECHAZADOS A CA'!P40+'INGRESO A PS DE CA'!P40</f>
        <v>17.394600000000001</v>
      </c>
      <c r="Q40" s="322">
        <f>+'RECHAZADOS A CA'!Q40+'INGRESO A PS DE CA'!Q40</f>
        <v>17.5059</v>
      </c>
      <c r="R40" s="322">
        <f>+'RECHAZADOS A CA'!R40+'INGRESO A PS DE CA'!R40</f>
        <v>17.618260000000003</v>
      </c>
      <c r="S40" s="322">
        <f>+'RECHAZADOS A CA'!S40+'INGRESO A PS DE CA'!S40</f>
        <v>17.732740000000003</v>
      </c>
      <c r="T40" s="322">
        <f>+'RECHAZADOS A CA'!T40+'INGRESO A PS DE CA'!T40</f>
        <v>17.849340000000002</v>
      </c>
      <c r="U40" s="322">
        <f>+'RECHAZADOS A CA'!U40+'INGRESO A PS DE CA'!U40</f>
        <v>17.966999999999999</v>
      </c>
      <c r="V40" s="322">
        <f>+'RECHAZADOS A CA'!V40+'INGRESO A PS DE CA'!V40</f>
        <v>18.08784</v>
      </c>
      <c r="W40" s="322">
        <f>+'RECHAZADOS A CA'!W40+'INGRESO A PS DE CA'!W40</f>
        <v>18.20974</v>
      </c>
      <c r="X40" s="322">
        <f>+'RECHAZADOS A CA'!X40+'INGRESO A PS DE CA'!X40</f>
        <v>18.333760000000002</v>
      </c>
      <c r="Y40" s="322">
        <f>+'RECHAZADOS A CA'!Y40+'INGRESO A PS DE CA'!Y40</f>
        <v>18.459900000000001</v>
      </c>
      <c r="Z40" s="322">
        <f>+'RECHAZADOS A CA'!Z40+'INGRESO A PS DE CA'!Z40</f>
        <v>18.588159999999998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28"/>
      <c r="E41" s="278"/>
      <c r="F41" s="263"/>
      <c r="G41" s="322">
        <f>+'RECHAZADOS A CA'!G41+'INGRESO A PS DE CA'!G41</f>
        <v>104.5245</v>
      </c>
      <c r="H41" s="322">
        <f>+'RECHAZADOS A CA'!H41+'INGRESO A PS DE CA'!H41</f>
        <v>105.54653999999999</v>
      </c>
      <c r="I41" s="322">
        <f>+'RECHAZADOS A CA'!I41+'INGRESO A PS DE CA'!I41</f>
        <v>106.57877999999999</v>
      </c>
      <c r="J41" s="322">
        <f>+'RECHAZADOS A CA'!J41+'INGRESO A PS DE CA'!J41</f>
        <v>107.62122000000001</v>
      </c>
      <c r="K41" s="322">
        <f>+'RECHAZADOS A CA'!K41+'INGRESO A PS DE CA'!K41</f>
        <v>108.67386000000002</v>
      </c>
      <c r="L41" s="322">
        <f>+'RECHAZADOS A CA'!L41+'INGRESO A PS DE CA'!L41</f>
        <v>109.7367</v>
      </c>
      <c r="M41" s="322">
        <f>+'RECHAZADOS A CA'!M41+'INGRESO A PS DE CA'!M41</f>
        <v>110.80974000000001</v>
      </c>
      <c r="N41" s="322">
        <f>+'RECHAZADOS A CA'!N41+'INGRESO A PS DE CA'!N41</f>
        <v>111.89297999999999</v>
      </c>
      <c r="O41" s="322">
        <f>+'RECHAZADOS A CA'!O41+'INGRESO A PS DE CA'!O41</f>
        <v>112.98744000000001</v>
      </c>
      <c r="P41" s="322">
        <f>+'RECHAZADOS A CA'!P41+'INGRESO A PS DE CA'!P41</f>
        <v>114.09209999999999</v>
      </c>
      <c r="Q41" s="322">
        <f>+'RECHAZADOS A CA'!Q41+'INGRESO A PS DE CA'!Q41</f>
        <v>115.20797999999999</v>
      </c>
      <c r="R41" s="322">
        <f>+'RECHAZADOS A CA'!R41+'INGRESO A PS DE CA'!R41</f>
        <v>116.33508</v>
      </c>
      <c r="S41" s="322">
        <f>+'RECHAZADOS A CA'!S41+'INGRESO A PS DE CA'!S41</f>
        <v>117.47237999999999</v>
      </c>
      <c r="T41" s="322">
        <f>+'RECHAZADOS A CA'!T41+'INGRESO A PS DE CA'!T41</f>
        <v>118.62192000000002</v>
      </c>
      <c r="U41" s="322">
        <f>+'RECHAZADOS A CA'!U41+'INGRESO A PS DE CA'!U41</f>
        <v>119.78166</v>
      </c>
      <c r="V41" s="322">
        <f>+'RECHAZADOS A CA'!V41+'INGRESO A PS DE CA'!V41</f>
        <v>120.95364000000001</v>
      </c>
      <c r="W41" s="322">
        <f>+'RECHAZADOS A CA'!W41+'INGRESO A PS DE CA'!W41</f>
        <v>122.13582</v>
      </c>
      <c r="X41" s="322">
        <f>+'RECHAZADOS A CA'!X41+'INGRESO A PS DE CA'!X41</f>
        <v>123.33024</v>
      </c>
      <c r="Y41" s="322">
        <f>+'RECHAZADOS A CA'!Y41+'INGRESO A PS DE CA'!Y41</f>
        <v>124.5369</v>
      </c>
      <c r="Z41" s="322">
        <f>+'RECHAZADOS A CA'!Z41+'INGRESO A PS DE CA'!Z41</f>
        <v>125.75478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28"/>
      <c r="E42" s="278"/>
      <c r="F42" s="263"/>
      <c r="G42" s="322">
        <f>+'RECHAZADOS A CA'!G42+'INGRESO A PS DE CA'!G42</f>
        <v>31.027260000000002</v>
      </c>
      <c r="H42" s="322">
        <f>+'RECHAZADOS A CA'!H42+'INGRESO A PS DE CA'!H42</f>
        <v>31.239260000000002</v>
      </c>
      <c r="I42" s="322">
        <f>+'RECHAZADOS A CA'!I42+'INGRESO A PS DE CA'!I42</f>
        <v>31.453380000000003</v>
      </c>
      <c r="J42" s="322">
        <f>+'RECHAZADOS A CA'!J42+'INGRESO A PS DE CA'!J42</f>
        <v>31.668560000000003</v>
      </c>
      <c r="K42" s="322">
        <f>+'RECHAZADOS A CA'!K42+'INGRESO A PS DE CA'!K42</f>
        <v>31.885860000000001</v>
      </c>
      <c r="L42" s="322">
        <f>+'RECHAZADOS A CA'!L42+'INGRESO A PS DE CA'!L42</f>
        <v>32.104219999999998</v>
      </c>
      <c r="M42" s="322">
        <f>+'RECHAZADOS A CA'!M42+'INGRESO A PS DE CA'!M42</f>
        <v>32.323640000000005</v>
      </c>
      <c r="N42" s="322">
        <f>+'RECHAZADOS A CA'!N42+'INGRESO A PS DE CA'!N42</f>
        <v>32.545180000000002</v>
      </c>
      <c r="O42" s="322">
        <f>+'RECHAZADOS A CA'!O42+'INGRESO A PS DE CA'!O42</f>
        <v>32.767780000000002</v>
      </c>
      <c r="P42" s="322">
        <f>+'RECHAZADOS A CA'!P42+'INGRESO A PS DE CA'!P42</f>
        <v>32.9925</v>
      </c>
      <c r="Q42" s="322">
        <f>+'RECHAZADOS A CA'!Q42+'INGRESO A PS DE CA'!Q42</f>
        <v>33.21828</v>
      </c>
      <c r="R42" s="322">
        <f>+'RECHAZADOS A CA'!R42+'INGRESO A PS DE CA'!R42</f>
        <v>33.446179999999998</v>
      </c>
      <c r="S42" s="322">
        <f>+'RECHAZADOS A CA'!S42+'INGRESO A PS DE CA'!S42</f>
        <v>33.675139999999999</v>
      </c>
      <c r="T42" s="322">
        <f>+'RECHAZADOS A CA'!T42+'INGRESO A PS DE CA'!T42</f>
        <v>33.906220000000005</v>
      </c>
      <c r="U42" s="322">
        <f>+'RECHAZADOS A CA'!U42+'INGRESO A PS DE CA'!U42</f>
        <v>34.138359999999999</v>
      </c>
      <c r="V42" s="322">
        <f>+'RECHAZADOS A CA'!V42+'INGRESO A PS DE CA'!V42</f>
        <v>34.372620000000005</v>
      </c>
      <c r="W42" s="322">
        <f>+'RECHAZADOS A CA'!W42+'INGRESO A PS DE CA'!W42</f>
        <v>34.607939999999999</v>
      </c>
      <c r="X42" s="322">
        <f>+'RECHAZADOS A CA'!X42+'INGRESO A PS DE CA'!X42</f>
        <v>34.844319999999996</v>
      </c>
      <c r="Y42" s="322">
        <f>+'RECHAZADOS A CA'!Y42+'INGRESO A PS DE CA'!Y42</f>
        <v>35.082819999999998</v>
      </c>
      <c r="Z42" s="322">
        <f>+'RECHAZADOS A CA'!Z42+'INGRESO A PS DE CA'!Z42</f>
        <v>35.323440000000005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28"/>
      <c r="E43" s="278"/>
      <c r="F43" s="263"/>
      <c r="G43" s="322">
        <f>+'RECHAZADOS A CA'!G43+'INGRESO A PS DE CA'!G43</f>
        <v>37.221899999999998</v>
      </c>
      <c r="H43" s="322">
        <f>+'RECHAZADOS A CA'!H43+'INGRESO A PS DE CA'!H43</f>
        <v>37.33426</v>
      </c>
      <c r="I43" s="322">
        <f>+'RECHAZADOS A CA'!I43+'INGRESO A PS DE CA'!I43</f>
        <v>37.447679999999998</v>
      </c>
      <c r="J43" s="322">
        <f>+'RECHAZADOS A CA'!J43+'INGRESO A PS DE CA'!J43</f>
        <v>37.560040000000001</v>
      </c>
      <c r="K43" s="322">
        <f>+'RECHAZADOS A CA'!K43+'INGRESO A PS DE CA'!K43</f>
        <v>37.672400000000003</v>
      </c>
      <c r="L43" s="322">
        <f>+'RECHAZADOS A CA'!L43+'INGRESO A PS DE CA'!L43</f>
        <v>37.784759999999999</v>
      </c>
      <c r="M43" s="322">
        <f>+'RECHAZADOS A CA'!M43+'INGRESO A PS DE CA'!M43</f>
        <v>37.897120000000001</v>
      </c>
      <c r="N43" s="322">
        <f>+'RECHAZADOS A CA'!N43+'INGRESO A PS DE CA'!N43</f>
        <v>38.010539999999999</v>
      </c>
      <c r="O43" s="322">
        <f>+'RECHAZADOS A CA'!O43+'INGRESO A PS DE CA'!O43</f>
        <v>38.122900000000001</v>
      </c>
      <c r="P43" s="322">
        <f>+'RECHAZADOS A CA'!P43+'INGRESO A PS DE CA'!P43</f>
        <v>38.235260000000004</v>
      </c>
      <c r="Q43" s="322">
        <f>+'RECHAZADOS A CA'!Q43+'INGRESO A PS DE CA'!Q43</f>
        <v>38.347619999999999</v>
      </c>
      <c r="R43" s="322">
        <f>+'RECHAZADOS A CA'!R43+'INGRESO A PS DE CA'!R43</f>
        <v>38.459980000000002</v>
      </c>
      <c r="S43" s="322">
        <f>+'RECHAZADOS A CA'!S43+'INGRESO A PS DE CA'!S43</f>
        <v>38.572340000000004</v>
      </c>
      <c r="T43" s="322">
        <f>+'RECHAZADOS A CA'!T43+'INGRESO A PS DE CA'!T43</f>
        <v>38.685760000000002</v>
      </c>
      <c r="U43" s="322">
        <f>+'RECHAZADOS A CA'!U43+'INGRESO A PS DE CA'!U43</f>
        <v>38.798120000000004</v>
      </c>
      <c r="V43" s="322">
        <f>+'RECHAZADOS A CA'!V43+'INGRESO A PS DE CA'!V43</f>
        <v>38.91048</v>
      </c>
      <c r="W43" s="322">
        <f>+'RECHAZADOS A CA'!W43+'INGRESO A PS DE CA'!W43</f>
        <v>39.022840000000002</v>
      </c>
      <c r="X43" s="322">
        <f>+'RECHAZADOS A CA'!X43+'INGRESO A PS DE CA'!X43</f>
        <v>39.135200000000005</v>
      </c>
      <c r="Y43" s="322">
        <f>+'RECHAZADOS A CA'!Y43+'INGRESO A PS DE CA'!Y43</f>
        <v>39.248620000000003</v>
      </c>
      <c r="Z43" s="322">
        <f>+'RECHAZADOS A CA'!Z43+'INGRESO A PS DE CA'!Z43</f>
        <v>39.360980000000005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28"/>
      <c r="E44" s="278"/>
      <c r="F44" s="263"/>
      <c r="G44" s="322">
        <f>+'RECHAZADOS A CA'!G44+'INGRESO A PS DE CA'!G44</f>
        <v>28.61788</v>
      </c>
      <c r="H44" s="322">
        <f>+'RECHAZADOS A CA'!H44+'INGRESO A PS DE CA'!H44</f>
        <v>29.171200000000002</v>
      </c>
      <c r="I44" s="322">
        <f>+'RECHAZADOS A CA'!I44+'INGRESO A PS DE CA'!I44</f>
        <v>29.735120000000002</v>
      </c>
      <c r="J44" s="322">
        <f>+'RECHAZADOS A CA'!J44+'INGRESO A PS DE CA'!J44</f>
        <v>30.309640000000002</v>
      </c>
      <c r="K44" s="322">
        <f>+'RECHAZADOS A CA'!K44+'INGRESO A PS DE CA'!K44</f>
        <v>30.894760000000005</v>
      </c>
      <c r="L44" s="322">
        <f>+'RECHAZADOS A CA'!L44+'INGRESO A PS DE CA'!L44</f>
        <v>31.491540000000001</v>
      </c>
      <c r="M44" s="322">
        <f>+'RECHAZADOS A CA'!M44+'INGRESO A PS DE CA'!M44</f>
        <v>32.099980000000002</v>
      </c>
      <c r="N44" s="322">
        <f>+'RECHAZADOS A CA'!N44+'INGRESO A PS DE CA'!N44</f>
        <v>32.720080000000003</v>
      </c>
      <c r="O44" s="322">
        <f>+'RECHAZADOS A CA'!O44+'INGRESO A PS DE CA'!O44</f>
        <v>33.352899999999998</v>
      </c>
      <c r="P44" s="322">
        <f>+'RECHAZADOS A CA'!P44+'INGRESO A PS DE CA'!P44</f>
        <v>33.997380000000007</v>
      </c>
      <c r="Q44" s="322">
        <f>+'RECHAZADOS A CA'!Q44+'INGRESO A PS DE CA'!Q44</f>
        <v>34.654580000000003</v>
      </c>
      <c r="R44" s="322">
        <f>+'RECHAZADOS A CA'!R44+'INGRESO A PS DE CA'!R44</f>
        <v>35.323440000000005</v>
      </c>
      <c r="S44" s="322">
        <f>+'RECHAZADOS A CA'!S44+'INGRESO A PS DE CA'!S44</f>
        <v>36.006080000000004</v>
      </c>
      <c r="T44" s="322">
        <f>+'RECHAZADOS A CA'!T44+'INGRESO A PS DE CA'!T44</f>
        <v>36.701440000000005</v>
      </c>
      <c r="U44" s="322">
        <f>+'RECHAZADOS A CA'!U44+'INGRESO A PS DE CA'!U44</f>
        <v>37.410580000000003</v>
      </c>
      <c r="V44" s="322">
        <f>+'RECHAZADOS A CA'!V44+'INGRESO A PS DE CA'!V44</f>
        <v>38.133499999999998</v>
      </c>
      <c r="W44" s="322">
        <f>+'RECHAZADOS A CA'!W44+'INGRESO A PS DE CA'!W44</f>
        <v>38.871259999999999</v>
      </c>
      <c r="X44" s="322">
        <f>+'RECHAZADOS A CA'!X44+'INGRESO A PS DE CA'!X44</f>
        <v>39.621740000000003</v>
      </c>
      <c r="Y44" s="322">
        <f>+'RECHAZADOS A CA'!Y44+'INGRESO A PS DE CA'!Y44</f>
        <v>40.387060000000005</v>
      </c>
      <c r="Z44" s="322">
        <f>+'RECHAZADOS A CA'!Z44+'INGRESO A PS DE CA'!Z44</f>
        <v>41.168279999999996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28"/>
      <c r="E45" s="278"/>
      <c r="F45" s="263"/>
      <c r="G45" s="322">
        <f>+'RECHAZADOS A CA'!G45+'INGRESO A PS DE CA'!G45</f>
        <v>104.98860000000001</v>
      </c>
      <c r="H45" s="322">
        <f>+'RECHAZADOS A CA'!H45+'INGRESO A PS DE CA'!H45</f>
        <v>106.01268</v>
      </c>
      <c r="I45" s="322">
        <f>+'RECHAZADOS A CA'!I45+'INGRESO A PS DE CA'!I45</f>
        <v>107.03778</v>
      </c>
      <c r="J45" s="322">
        <f>+'RECHAZADOS A CA'!J45+'INGRESO A PS DE CA'!J45</f>
        <v>108.06186</v>
      </c>
      <c r="K45" s="322">
        <f>+'RECHAZADOS A CA'!K45+'INGRESO A PS DE CA'!K45</f>
        <v>109.08594000000002</v>
      </c>
      <c r="L45" s="322">
        <f>+'RECHAZADOS A CA'!L45+'INGRESO A PS DE CA'!L45</f>
        <v>110.11002000000002</v>
      </c>
      <c r="M45" s="322">
        <f>+'RECHAZADOS A CA'!M45+'INGRESO A PS DE CA'!M45</f>
        <v>111.1341</v>
      </c>
      <c r="N45" s="322">
        <f>+'RECHAZADOS A CA'!N45+'INGRESO A PS DE CA'!N45</f>
        <v>112.15817999999999</v>
      </c>
      <c r="O45" s="322">
        <f>+'RECHAZADOS A CA'!O45+'INGRESO A PS DE CA'!O45</f>
        <v>113.18225999999999</v>
      </c>
      <c r="P45" s="322">
        <f>+'RECHAZADOS A CA'!P45+'INGRESO A PS DE CA'!P45</f>
        <v>114.20634</v>
      </c>
      <c r="Q45" s="322">
        <f>+'RECHAZADOS A CA'!Q45+'INGRESO A PS DE CA'!Q45</f>
        <v>115.23042</v>
      </c>
      <c r="R45" s="322">
        <f>+'RECHAZADOS A CA'!R45+'INGRESO A PS DE CA'!R45</f>
        <v>116.25450000000001</v>
      </c>
      <c r="S45" s="322">
        <f>+'RECHAZADOS A CA'!S45+'INGRESO A PS DE CA'!S45</f>
        <v>117.27858000000001</v>
      </c>
      <c r="T45" s="322">
        <f>+'RECHAZADOS A CA'!T45+'INGRESO A PS DE CA'!T45</f>
        <v>118.30266</v>
      </c>
      <c r="U45" s="322">
        <f>+'RECHAZADOS A CA'!U45+'INGRESO A PS DE CA'!U45</f>
        <v>119.32674</v>
      </c>
      <c r="V45" s="322">
        <f>+'RECHAZADOS A CA'!V45+'INGRESO A PS DE CA'!V45</f>
        <v>120.35184</v>
      </c>
      <c r="W45" s="322">
        <f>+'RECHAZADOS A CA'!W45+'INGRESO A PS DE CA'!W45</f>
        <v>121.37592000000001</v>
      </c>
      <c r="X45" s="322">
        <f>+'RECHAZADOS A CA'!X45+'INGRESO A PS DE CA'!X45</f>
        <v>122.4</v>
      </c>
      <c r="Y45" s="322">
        <f>+'RECHAZADOS A CA'!Y45+'INGRESO A PS DE CA'!Y45</f>
        <v>123.42408</v>
      </c>
      <c r="Z45" s="322">
        <f>+'RECHAZADOS A CA'!Z45+'INGRESO A PS DE CA'!Z45</f>
        <v>124.44816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28"/>
      <c r="E46" s="278"/>
      <c r="F46" s="263"/>
      <c r="G46" s="322">
        <f>+'RECHAZADOS A CA'!G46+'INGRESO A PS DE CA'!G46</f>
        <v>49.997020000000006</v>
      </c>
      <c r="H46" s="322">
        <f>+'RECHAZADOS A CA'!H46+'INGRESO A PS DE CA'!H46</f>
        <v>51.300820000000002</v>
      </c>
      <c r="I46" s="322">
        <f>+'RECHAZADOS A CA'!I46+'INGRESO A PS DE CA'!I46</f>
        <v>52.625819999999997</v>
      </c>
      <c r="J46" s="322">
        <f>+'RECHAZADOS A CA'!J46+'INGRESO A PS DE CA'!J46</f>
        <v>53.972020000000001</v>
      </c>
      <c r="K46" s="322">
        <f>+'RECHAZADOS A CA'!K46+'INGRESO A PS DE CA'!K46</f>
        <v>55.340480000000007</v>
      </c>
      <c r="L46" s="322">
        <f>+'RECHAZADOS A CA'!L46+'INGRESO A PS DE CA'!L46</f>
        <v>56.730139999999992</v>
      </c>
      <c r="M46" s="322">
        <f>+'RECHAZADOS A CA'!M46+'INGRESO A PS DE CA'!M46</f>
        <v>58.144179999999999</v>
      </c>
      <c r="N46" s="322">
        <f>+'RECHAZADOS A CA'!N46+'INGRESO A PS DE CA'!N46</f>
        <v>59.580479999999994</v>
      </c>
      <c r="O46" s="322">
        <f>+'RECHAZADOS A CA'!O46+'INGRESO A PS DE CA'!O46</f>
        <v>61.040100000000002</v>
      </c>
      <c r="P46" s="322">
        <f>+'RECHAZADOS A CA'!P46+'INGRESO A PS DE CA'!P46</f>
        <v>62.523040000000009</v>
      </c>
      <c r="Q46" s="322">
        <f>+'RECHAZADOS A CA'!Q46+'INGRESO A PS DE CA'!Q46</f>
        <v>64.031420000000011</v>
      </c>
      <c r="R46" s="322">
        <f>+'RECHAZADOS A CA'!R46+'INGRESO A PS DE CA'!R46</f>
        <v>65.563120000000012</v>
      </c>
      <c r="S46" s="322">
        <f>+'RECHAZADOS A CA'!S46+'INGRESO A PS DE CA'!S46</f>
        <v>67.120260000000016</v>
      </c>
      <c r="T46" s="322">
        <f>+'RECHAZADOS A CA'!T46+'INGRESO A PS DE CA'!T46</f>
        <v>68.702839999999995</v>
      </c>
      <c r="U46" s="322">
        <f>+'RECHAZADOS A CA'!U46+'INGRESO A PS DE CA'!U46</f>
        <v>70.311920000000001</v>
      </c>
      <c r="V46" s="322">
        <f>+'RECHAZADOS A CA'!V46+'INGRESO A PS DE CA'!V46</f>
        <v>71.946439999999996</v>
      </c>
      <c r="W46" s="322">
        <f>+'RECHAZADOS A CA'!W46+'INGRESO A PS DE CA'!W46</f>
        <v>73.608519999999999</v>
      </c>
      <c r="X46" s="322">
        <f>+'RECHAZADOS A CA'!X46+'INGRESO A PS DE CA'!X46</f>
        <v>75.296040000000005</v>
      </c>
      <c r="Y46" s="322">
        <f>+'RECHAZADOS A CA'!Y46+'INGRESO A PS DE CA'!Y46</f>
        <v>77.012180000000001</v>
      </c>
      <c r="Z46" s="322">
        <f>+'RECHAZADOS A CA'!Z46+'INGRESO A PS DE CA'!Z46</f>
        <v>78.75694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28"/>
      <c r="E47" s="278"/>
      <c r="F47" s="263"/>
      <c r="G47" s="322">
        <f>+'RECHAZADOS A CA'!G47+'INGRESO A PS DE CA'!G47</f>
        <v>16.893219999999999</v>
      </c>
      <c r="H47" s="322">
        <f>+'RECHAZADOS A CA'!H47+'INGRESO A PS DE CA'!H47</f>
        <v>17.085080000000001</v>
      </c>
      <c r="I47" s="322">
        <f>+'RECHAZADOS A CA'!I47+'INGRESO A PS DE CA'!I47</f>
        <v>17.276940000000003</v>
      </c>
      <c r="J47" s="322">
        <f>+'RECHAZADOS A CA'!J47+'INGRESO A PS DE CA'!J47</f>
        <v>17.468799999999998</v>
      </c>
      <c r="K47" s="322">
        <f>+'RECHAZADOS A CA'!K47+'INGRESO A PS DE CA'!K47</f>
        <v>17.66066</v>
      </c>
      <c r="L47" s="322">
        <f>+'RECHAZADOS A CA'!L47+'INGRESO A PS DE CA'!L47</f>
        <v>17.852520000000002</v>
      </c>
      <c r="M47" s="322">
        <f>+'RECHAZADOS A CA'!M47+'INGRESO A PS DE CA'!M47</f>
        <v>18.04438</v>
      </c>
      <c r="N47" s="322">
        <f>+'RECHAZADOS A CA'!N47+'INGRESO A PS DE CA'!N47</f>
        <v>18.237299999999998</v>
      </c>
      <c r="O47" s="322">
        <f>+'RECHAZADOS A CA'!O47+'INGRESO A PS DE CA'!O47</f>
        <v>18.42916</v>
      </c>
      <c r="P47" s="322">
        <f>+'RECHAZADOS A CA'!P47+'INGRESO A PS DE CA'!P47</f>
        <v>18.621020000000001</v>
      </c>
      <c r="Q47" s="322">
        <f>+'RECHAZADOS A CA'!Q47+'INGRESO A PS DE CA'!Q47</f>
        <v>18.81288</v>
      </c>
      <c r="R47" s="322">
        <f>+'RECHAZADOS A CA'!R47+'INGRESO A PS DE CA'!R47</f>
        <v>19.004740000000002</v>
      </c>
      <c r="S47" s="322">
        <f>+'RECHAZADOS A CA'!S47+'INGRESO A PS DE CA'!S47</f>
        <v>19.196600000000004</v>
      </c>
      <c r="T47" s="322">
        <f>+'RECHAZADOS A CA'!T47+'INGRESO A PS DE CA'!T47</f>
        <v>19.388460000000002</v>
      </c>
      <c r="U47" s="322">
        <f>+'RECHAZADOS A CA'!U47+'INGRESO A PS DE CA'!U47</f>
        <v>19.58032</v>
      </c>
      <c r="V47" s="322">
        <f>+'RECHAZADOS A CA'!V47+'INGRESO A PS DE CA'!V47</f>
        <v>19.772179999999999</v>
      </c>
      <c r="W47" s="322">
        <f>+'RECHAZADOS A CA'!W47+'INGRESO A PS DE CA'!W47</f>
        <v>19.965100000000003</v>
      </c>
      <c r="X47" s="322">
        <f>+'RECHAZADOS A CA'!X47+'INGRESO A PS DE CA'!X47</f>
        <v>20.156960000000002</v>
      </c>
      <c r="Y47" s="322">
        <f>+'RECHAZADOS A CA'!Y47+'INGRESO A PS DE CA'!Y47</f>
        <v>20.34882</v>
      </c>
      <c r="Z47" s="322">
        <f>+'RECHAZADOS A CA'!Z47+'INGRESO A PS DE CA'!Z47</f>
        <v>20.540680000000002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28"/>
      <c r="E48" s="278"/>
      <c r="F48" s="263"/>
      <c r="G48" s="322">
        <f>+'RECHAZADOS A CA'!G48+'INGRESO A PS DE CA'!G48</f>
        <v>21.914440000000003</v>
      </c>
      <c r="H48" s="322">
        <f>+'RECHAZADOS A CA'!H48+'INGRESO A PS DE CA'!H48</f>
        <v>22.078740000000003</v>
      </c>
      <c r="I48" s="322">
        <f>+'RECHAZADOS A CA'!I48+'INGRESO A PS DE CA'!I48</f>
        <v>22.244100000000003</v>
      </c>
      <c r="J48" s="322">
        <f>+'RECHAZADOS A CA'!J48+'INGRESO A PS DE CA'!J48</f>
        <v>22.410520000000002</v>
      </c>
      <c r="K48" s="322">
        <f>+'RECHAZADOS A CA'!K48+'INGRESO A PS DE CA'!K48</f>
        <v>22.579060000000002</v>
      </c>
      <c r="L48" s="322">
        <f>+'RECHAZADOS A CA'!L48+'INGRESO A PS DE CA'!L48</f>
        <v>22.747600000000002</v>
      </c>
      <c r="M48" s="322">
        <f>+'RECHAZADOS A CA'!M48+'INGRESO A PS DE CA'!M48</f>
        <v>22.918260000000004</v>
      </c>
      <c r="N48" s="322">
        <f>+'RECHAZADOS A CA'!N48+'INGRESO A PS DE CA'!N48</f>
        <v>23.089980000000001</v>
      </c>
      <c r="O48" s="322">
        <f>+'RECHAZADOS A CA'!O48+'INGRESO A PS DE CA'!O48</f>
        <v>23.262760000000004</v>
      </c>
      <c r="P48" s="322">
        <f>+'RECHAZADOS A CA'!P48+'INGRESO A PS DE CA'!P48</f>
        <v>23.437660000000001</v>
      </c>
      <c r="Q48" s="322">
        <f>+'RECHAZADOS A CA'!Q48+'INGRESO A PS DE CA'!Q48</f>
        <v>23.612560000000002</v>
      </c>
      <c r="R48" s="322">
        <f>+'RECHAZADOS A CA'!R48+'INGRESO A PS DE CA'!R48</f>
        <v>23.789580000000001</v>
      </c>
      <c r="S48" s="322">
        <f>+'RECHAZADOS A CA'!S48+'INGRESO A PS DE CA'!S48</f>
        <v>23.968720000000001</v>
      </c>
      <c r="T48" s="322">
        <f>+'RECHAZADOS A CA'!T48+'INGRESO A PS DE CA'!T48</f>
        <v>24.147860000000001</v>
      </c>
      <c r="U48" s="322">
        <f>+'RECHAZADOS A CA'!U48+'INGRESO A PS DE CA'!U48</f>
        <v>24.329120000000003</v>
      </c>
      <c r="V48" s="322">
        <f>+'RECHAZADOS A CA'!V48+'INGRESO A PS DE CA'!V48</f>
        <v>24.511440000000004</v>
      </c>
      <c r="W48" s="322">
        <f>+'RECHAZADOS A CA'!W48+'INGRESO A PS DE CA'!W48</f>
        <v>24.69482</v>
      </c>
      <c r="X48" s="322">
        <f>+'RECHAZADOS A CA'!X48+'INGRESO A PS DE CA'!X48</f>
        <v>24.879260000000002</v>
      </c>
      <c r="Y48" s="322">
        <f>+'RECHAZADOS A CA'!Y48+'INGRESO A PS DE CA'!Y48</f>
        <v>25.065819999999999</v>
      </c>
      <c r="Z48" s="322">
        <f>+'RECHAZADOS A CA'!Z48+'INGRESO A PS DE CA'!Z48</f>
        <v>25.253440000000001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28"/>
      <c r="E49" s="278"/>
      <c r="F49" s="263"/>
      <c r="G49" s="322">
        <f>+'RECHAZADOS A CA'!G49+'INGRESO A PS DE CA'!G49</f>
        <v>5.1032399999999996</v>
      </c>
      <c r="H49" s="322">
        <f>+'RECHAZADOS A CA'!H49+'INGRESO A PS DE CA'!H49</f>
        <v>5.1216400000000002</v>
      </c>
      <c r="I49" s="322">
        <f>+'RECHAZADOS A CA'!I49+'INGRESO A PS DE CA'!I49</f>
        <v>5.1409599999999998</v>
      </c>
      <c r="J49" s="322">
        <f>+'RECHAZADOS A CA'!J49+'INGRESO A PS DE CA'!J49</f>
        <v>5.1593600000000004</v>
      </c>
      <c r="K49" s="322">
        <f>+'RECHAZADOS A CA'!K49+'INGRESO A PS DE CA'!K49</f>
        <v>5.1777600000000001</v>
      </c>
      <c r="L49" s="322">
        <f>+'RECHAZADOS A CA'!L49+'INGRESO A PS DE CA'!L49</f>
        <v>5.1961599999999999</v>
      </c>
      <c r="M49" s="322">
        <f>+'RECHAZADOS A CA'!M49+'INGRESO A PS DE CA'!M49</f>
        <v>5.2145600000000005</v>
      </c>
      <c r="N49" s="322">
        <f>+'RECHAZADOS A CA'!N49+'INGRESO A PS DE CA'!N49</f>
        <v>5.2338800000000001</v>
      </c>
      <c r="O49" s="322">
        <f>+'RECHAZADOS A CA'!O49+'INGRESO A PS DE CA'!O49</f>
        <v>5.2522800000000007</v>
      </c>
      <c r="P49" s="322">
        <f>+'RECHAZADOS A CA'!P49+'INGRESO A PS DE CA'!P49</f>
        <v>5.2706800000000005</v>
      </c>
      <c r="Q49" s="322">
        <f>+'RECHAZADOS A CA'!Q49+'INGRESO A PS DE CA'!Q49</f>
        <v>5.2890800000000002</v>
      </c>
      <c r="R49" s="322">
        <f>+'RECHAZADOS A CA'!R49+'INGRESO A PS DE CA'!R49</f>
        <v>5.3084000000000007</v>
      </c>
      <c r="S49" s="322">
        <f>+'RECHAZADOS A CA'!S49+'INGRESO A PS DE CA'!S49</f>
        <v>5.3268000000000004</v>
      </c>
      <c r="T49" s="322">
        <f>+'RECHAZADOS A CA'!T49+'INGRESO A PS DE CA'!T49</f>
        <v>5.3452000000000002</v>
      </c>
      <c r="U49" s="322">
        <f>+'RECHAZADOS A CA'!U49+'INGRESO A PS DE CA'!U49</f>
        <v>5.3635999999999999</v>
      </c>
      <c r="V49" s="322">
        <f>+'RECHAZADOS A CA'!V49+'INGRESO A PS DE CA'!V49</f>
        <v>5.3829200000000004</v>
      </c>
      <c r="W49" s="322">
        <f>+'RECHAZADOS A CA'!W49+'INGRESO A PS DE CA'!W49</f>
        <v>5.401320000000001</v>
      </c>
      <c r="X49" s="322">
        <f>+'RECHAZADOS A CA'!X49+'INGRESO A PS DE CA'!X49</f>
        <v>5.4197199999999999</v>
      </c>
      <c r="Y49" s="322">
        <f>+'RECHAZADOS A CA'!Y49+'INGRESO A PS DE CA'!Y49</f>
        <v>5.4381199999999996</v>
      </c>
      <c r="Z49" s="322">
        <f>+'RECHAZADOS A CA'!Z49+'INGRESO A PS DE CA'!Z49</f>
        <v>5.4574400000000001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28"/>
      <c r="E50" s="278"/>
      <c r="F50" s="263"/>
      <c r="G50" s="322">
        <f>+'RECHAZADOS A CA'!G50+'INGRESO A PS DE CA'!G50</f>
        <v>16.680160000000001</v>
      </c>
      <c r="H50" s="322">
        <f>+'RECHAZADOS A CA'!H50+'INGRESO A PS DE CA'!H50</f>
        <v>16.859299999999998</v>
      </c>
      <c r="I50" s="322">
        <f>+'RECHAZADOS A CA'!I50+'INGRESO A PS DE CA'!I50</f>
        <v>17.038440000000001</v>
      </c>
      <c r="J50" s="322">
        <f>+'RECHAZADOS A CA'!J50+'INGRESO A PS DE CA'!J50</f>
        <v>17.216519999999999</v>
      </c>
      <c r="K50" s="322">
        <f>+'RECHAZADOS A CA'!K50+'INGRESO A PS DE CA'!K50</f>
        <v>17.395659999999999</v>
      </c>
      <c r="L50" s="322">
        <f>+'RECHAZADOS A CA'!L50+'INGRESO A PS DE CA'!L50</f>
        <v>17.5748</v>
      </c>
      <c r="M50" s="322">
        <f>+'RECHAZADOS A CA'!M50+'INGRESO A PS DE CA'!M50</f>
        <v>17.753940000000004</v>
      </c>
      <c r="N50" s="322">
        <f>+'RECHAZADOS A CA'!N50+'INGRESO A PS DE CA'!N50</f>
        <v>17.93308</v>
      </c>
      <c r="O50" s="322">
        <f>+'RECHAZADOS A CA'!O50+'INGRESO A PS DE CA'!O50</f>
        <v>18.112220000000001</v>
      </c>
      <c r="P50" s="322">
        <f>+'RECHAZADOS A CA'!P50+'INGRESO A PS DE CA'!P50</f>
        <v>18.290299999999998</v>
      </c>
      <c r="Q50" s="322">
        <f>+'RECHAZADOS A CA'!Q50+'INGRESO A PS DE CA'!Q50</f>
        <v>18.469440000000002</v>
      </c>
      <c r="R50" s="322">
        <f>+'RECHAZADOS A CA'!R50+'INGRESO A PS DE CA'!R50</f>
        <v>18.648580000000003</v>
      </c>
      <c r="S50" s="322">
        <f>+'RECHAZADOS A CA'!S50+'INGRESO A PS DE CA'!S50</f>
        <v>18.827720000000003</v>
      </c>
      <c r="T50" s="322">
        <f>+'RECHAZADOS A CA'!T50+'INGRESO A PS DE CA'!T50</f>
        <v>19.00686</v>
      </c>
      <c r="U50" s="322">
        <f>+'RECHAZADOS A CA'!U50+'INGRESO A PS DE CA'!U50</f>
        <v>19.186</v>
      </c>
      <c r="V50" s="322">
        <f>+'RECHAZADOS A CA'!V50+'INGRESO A PS DE CA'!V50</f>
        <v>19.36514</v>
      </c>
      <c r="W50" s="322">
        <f>+'RECHAZADOS A CA'!W50+'INGRESO A PS DE CA'!W50</f>
        <v>19.543220000000002</v>
      </c>
      <c r="X50" s="322">
        <f>+'RECHAZADOS A CA'!X50+'INGRESO A PS DE CA'!X50</f>
        <v>19.722360000000002</v>
      </c>
      <c r="Y50" s="322">
        <f>+'RECHAZADOS A CA'!Y50+'INGRESO A PS DE CA'!Y50</f>
        <v>19.901499999999999</v>
      </c>
      <c r="Z50" s="322">
        <f>+'RECHAZADOS A CA'!Z50+'INGRESO A PS DE CA'!Z50</f>
        <v>20.080639999999999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28"/>
      <c r="E51" s="278"/>
      <c r="F51" s="263"/>
      <c r="G51" s="322">
        <f>+'RECHAZADOS A CA'!G51+'INGRESO A PS DE CA'!G51</f>
        <v>8.5458800000000004</v>
      </c>
      <c r="H51" s="322">
        <f>+'RECHAZADOS A CA'!H51+'INGRESO A PS DE CA'!H51</f>
        <v>8.7004400000000004</v>
      </c>
      <c r="I51" s="322">
        <f>+'RECHAZADOS A CA'!I51+'INGRESO A PS DE CA'!I51</f>
        <v>8.8559199999999993</v>
      </c>
      <c r="J51" s="322">
        <f>+'RECHAZADOS A CA'!J51+'INGRESO A PS DE CA'!J51</f>
        <v>9.0104799999999994</v>
      </c>
      <c r="K51" s="322">
        <f>+'RECHAZADOS A CA'!K51+'INGRESO A PS DE CA'!K51</f>
        <v>9.1650400000000012</v>
      </c>
      <c r="L51" s="322">
        <f>+'RECHAZADOS A CA'!L51+'INGRESO A PS DE CA'!L51</f>
        <v>9.35548</v>
      </c>
      <c r="M51" s="322">
        <f>+'RECHAZADOS A CA'!M51+'INGRESO A PS DE CA'!M51</f>
        <v>9.5449999999999999</v>
      </c>
      <c r="N51" s="322">
        <f>+'RECHAZADOS A CA'!N51+'INGRESO A PS DE CA'!N51</f>
        <v>9.7354400000000005</v>
      </c>
      <c r="O51" s="322">
        <f>+'RECHAZADOS A CA'!O51+'INGRESO A PS DE CA'!O51</f>
        <v>9.9249600000000004</v>
      </c>
      <c r="P51" s="322">
        <f>+'RECHAZADOS A CA'!P51+'INGRESO A PS DE CA'!P51</f>
        <v>10.115399999999999</v>
      </c>
      <c r="Q51" s="322">
        <f>+'RECHAZADOS A CA'!Q51+'INGRESO A PS DE CA'!Q51</f>
        <v>10.304919999999999</v>
      </c>
      <c r="R51" s="322">
        <f>+'RECHAZADOS A CA'!R51+'INGRESO A PS DE CA'!R51</f>
        <v>10.49536</v>
      </c>
      <c r="S51" s="322">
        <f>+'RECHAZADOS A CA'!S51+'INGRESO A PS DE CA'!S51</f>
        <v>10.684880000000001</v>
      </c>
      <c r="T51" s="322">
        <f>+'RECHAZADOS A CA'!T51+'INGRESO A PS DE CA'!T51</f>
        <v>10.8744</v>
      </c>
      <c r="U51" s="322">
        <f>+'RECHAZADOS A CA'!U51+'INGRESO A PS DE CA'!U51</f>
        <v>11.06484</v>
      </c>
      <c r="V51" s="322">
        <f>+'RECHAZADOS A CA'!V51+'INGRESO A PS DE CA'!V51</f>
        <v>11.25436</v>
      </c>
      <c r="W51" s="322">
        <f>+'RECHAZADOS A CA'!W51+'INGRESO A PS DE CA'!W51</f>
        <v>11.444800000000001</v>
      </c>
      <c r="X51" s="322">
        <f>+'RECHAZADOS A CA'!X51+'INGRESO A PS DE CA'!X51</f>
        <v>11.634319999999999</v>
      </c>
      <c r="Y51" s="322">
        <f>+'RECHAZADOS A CA'!Y51+'INGRESO A PS DE CA'!Y51</f>
        <v>11.824759999999999</v>
      </c>
      <c r="Z51" s="322">
        <f>+'RECHAZADOS A CA'!Z51+'INGRESO A PS DE CA'!Z51</f>
        <v>12.014280000000001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28"/>
      <c r="E52" s="278"/>
      <c r="F52" s="263"/>
      <c r="G52" s="322">
        <f>+'RECHAZADOS A CA'!G52+'INGRESO A PS DE CA'!G52</f>
        <v>47.869600000000005</v>
      </c>
      <c r="H52" s="322">
        <f>+'RECHAZADOS A CA'!H52+'INGRESO A PS DE CA'!H52</f>
        <v>48.310560000000002</v>
      </c>
      <c r="I52" s="322">
        <f>+'RECHAZADOS A CA'!I52+'INGRESO A PS DE CA'!I52</f>
        <v>48.750459999999997</v>
      </c>
      <c r="J52" s="322">
        <f>+'RECHAZADOS A CA'!J52+'INGRESO A PS DE CA'!J52</f>
        <v>49.191420000000008</v>
      </c>
      <c r="K52" s="322">
        <f>+'RECHAZADOS A CA'!K52+'INGRESO A PS DE CA'!K52</f>
        <v>49.631320000000002</v>
      </c>
      <c r="L52" s="322">
        <f>+'RECHAZADOS A CA'!L52+'INGRESO A PS DE CA'!L52</f>
        <v>50.071220000000011</v>
      </c>
      <c r="M52" s="322">
        <f>+'RECHAZADOS A CA'!M52+'INGRESO A PS DE CA'!M52</f>
        <v>50.512180000000001</v>
      </c>
      <c r="N52" s="322">
        <f>+'RECHAZADOS A CA'!N52+'INGRESO A PS DE CA'!N52</f>
        <v>50.952080000000002</v>
      </c>
      <c r="O52" s="322">
        <f>+'RECHAZADOS A CA'!O52+'INGRESO A PS DE CA'!O52</f>
        <v>51.393039999999999</v>
      </c>
      <c r="P52" s="322">
        <f>+'RECHAZADOS A CA'!P52+'INGRESO A PS DE CA'!P52</f>
        <v>51.832940000000001</v>
      </c>
      <c r="Q52" s="322">
        <f>+'RECHAZADOS A CA'!Q52+'INGRESO A PS DE CA'!Q52</f>
        <v>52.272840000000002</v>
      </c>
      <c r="R52" s="322">
        <f>+'RECHAZADOS A CA'!R52+'INGRESO A PS DE CA'!R52</f>
        <v>52.713800000000006</v>
      </c>
      <c r="S52" s="322">
        <f>+'RECHAZADOS A CA'!S52+'INGRESO A PS DE CA'!S52</f>
        <v>53.153700000000015</v>
      </c>
      <c r="T52" s="322">
        <f>+'RECHAZADOS A CA'!T52+'INGRESO A PS DE CA'!T52</f>
        <v>53.594660000000005</v>
      </c>
      <c r="U52" s="322">
        <f>+'RECHAZADOS A CA'!U52+'INGRESO A PS DE CA'!U52</f>
        <v>54.034560000000013</v>
      </c>
      <c r="V52" s="322">
        <f>+'RECHAZADOS A CA'!V52+'INGRESO A PS DE CA'!V52</f>
        <v>54.474460000000001</v>
      </c>
      <c r="W52" s="322">
        <f>+'RECHAZADOS A CA'!W52+'INGRESO A PS DE CA'!W52</f>
        <v>54.915420000000012</v>
      </c>
      <c r="X52" s="322">
        <f>+'RECHAZADOS A CA'!X52+'INGRESO A PS DE CA'!X52</f>
        <v>55.355319999999999</v>
      </c>
      <c r="Y52" s="322">
        <f>+'RECHAZADOS A CA'!Y52+'INGRESO A PS DE CA'!Y52</f>
        <v>55.796280000000003</v>
      </c>
      <c r="Z52" s="322">
        <f>+'RECHAZADOS A CA'!Z52+'INGRESO A PS DE CA'!Z52</f>
        <v>56.236179999999997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28"/>
      <c r="E53" s="278"/>
      <c r="F53" s="263"/>
      <c r="G53" s="322">
        <f>+'RECHAZADOS A CA'!G53+'INGRESO A PS DE CA'!G53</f>
        <v>41.912399999999998</v>
      </c>
      <c r="H53" s="322">
        <f>+'RECHAZADOS A CA'!H53+'INGRESO A PS DE CA'!H53</f>
        <v>42.34064</v>
      </c>
      <c r="I53" s="322">
        <f>+'RECHAZADOS A CA'!I53+'INGRESO A PS DE CA'!I53</f>
        <v>42.773120000000006</v>
      </c>
      <c r="J53" s="322">
        <f>+'RECHAZADOS A CA'!J53+'INGRESO A PS DE CA'!J53</f>
        <v>43.209840000000007</v>
      </c>
      <c r="K53" s="322">
        <f>+'RECHAZADOS A CA'!K53+'INGRESO A PS DE CA'!K53</f>
        <v>43.650800000000004</v>
      </c>
      <c r="L53" s="322">
        <f>+'RECHAZADOS A CA'!L53+'INGRESO A PS DE CA'!L53</f>
        <v>44.097060000000006</v>
      </c>
      <c r="M53" s="322">
        <f>+'RECHAZADOS A CA'!M53+'INGRESO A PS DE CA'!M53</f>
        <v>44.547560000000004</v>
      </c>
      <c r="N53" s="322">
        <f>+'RECHAZADOS A CA'!N53+'INGRESO A PS DE CA'!N53</f>
        <v>45.002300000000005</v>
      </c>
      <c r="O53" s="322">
        <f>+'RECHAZADOS A CA'!O53+'INGRESO A PS DE CA'!O53</f>
        <v>45.461280000000002</v>
      </c>
      <c r="P53" s="322">
        <f>+'RECHAZADOS A CA'!P53+'INGRESO A PS DE CA'!P53</f>
        <v>45.925560000000004</v>
      </c>
      <c r="Q53" s="322">
        <f>+'RECHAZADOS A CA'!Q53+'INGRESO A PS DE CA'!Q53</f>
        <v>46.395139999999998</v>
      </c>
      <c r="R53" s="322">
        <f>+'RECHAZADOS A CA'!R53+'INGRESO A PS DE CA'!R53</f>
        <v>46.868960000000001</v>
      </c>
      <c r="S53" s="322">
        <f>+'RECHAZADOS A CA'!S53+'INGRESO A PS DE CA'!S53</f>
        <v>47.347020000000001</v>
      </c>
      <c r="T53" s="322">
        <f>+'RECHAZADOS A CA'!T53+'INGRESO A PS DE CA'!T53</f>
        <v>47.831440000000001</v>
      </c>
      <c r="U53" s="322">
        <f>+'RECHAZADOS A CA'!U53+'INGRESO A PS DE CA'!U53</f>
        <v>48.319040000000001</v>
      </c>
      <c r="V53" s="322">
        <f>+'RECHAZADOS A CA'!V53+'INGRESO A PS DE CA'!V53</f>
        <v>48.813000000000002</v>
      </c>
      <c r="W53" s="322">
        <f>+'RECHAZADOS A CA'!W53+'INGRESO A PS DE CA'!W53</f>
        <v>49.311200000000014</v>
      </c>
      <c r="X53" s="322">
        <f>+'RECHAZADOS A CA'!X53+'INGRESO A PS DE CA'!X53</f>
        <v>49.814700000000002</v>
      </c>
      <c r="Y53" s="322">
        <f>+'RECHAZADOS A CA'!Y53+'INGRESO A PS DE CA'!Y53</f>
        <v>50.323500000000003</v>
      </c>
      <c r="Z53" s="322">
        <f>+'RECHAZADOS A CA'!Z53+'INGRESO A PS DE CA'!Z53</f>
        <v>50.837600000000009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28"/>
      <c r="E54" s="278"/>
      <c r="F54" s="263"/>
      <c r="G54" s="322">
        <f>+'RECHAZADOS A CA'!G54+'INGRESO A PS DE CA'!G54</f>
        <v>68.220660000000009</v>
      </c>
      <c r="H54" s="322">
        <f>+'RECHAZADOS A CA'!H54+'INGRESO A PS DE CA'!H54</f>
        <v>68.783699999999996</v>
      </c>
      <c r="I54" s="322">
        <f>+'RECHAZADOS A CA'!I54+'INGRESO A PS DE CA'!I54</f>
        <v>69.34572</v>
      </c>
      <c r="J54" s="322">
        <f>+'RECHAZADOS A CA'!J54+'INGRESO A PS DE CA'!J54</f>
        <v>69.907740000000004</v>
      </c>
      <c r="K54" s="322">
        <f>+'RECHAZADOS A CA'!K54+'INGRESO A PS DE CA'!K54</f>
        <v>70.469759999999994</v>
      </c>
      <c r="L54" s="322">
        <f>+'RECHAZADOS A CA'!L54+'INGRESO A PS DE CA'!L54</f>
        <v>71.031779999999998</v>
      </c>
      <c r="M54" s="322">
        <f>+'RECHAZADOS A CA'!M54+'INGRESO A PS DE CA'!M54</f>
        <v>71.593800000000002</v>
      </c>
      <c r="N54" s="322">
        <f>+'RECHAZADOS A CA'!N54+'INGRESO A PS DE CA'!N54</f>
        <v>72.156840000000003</v>
      </c>
      <c r="O54" s="322">
        <f>+'RECHAZADOS A CA'!O54+'INGRESO A PS DE CA'!O54</f>
        <v>72.718860000000006</v>
      </c>
      <c r="P54" s="322">
        <f>+'RECHAZADOS A CA'!P54+'INGRESO A PS DE CA'!P54</f>
        <v>73.28088000000001</v>
      </c>
      <c r="Q54" s="322">
        <f>+'RECHAZADOS A CA'!Q54+'INGRESO A PS DE CA'!Q54</f>
        <v>73.8429</v>
      </c>
      <c r="R54" s="322">
        <f>+'RECHAZADOS A CA'!R54+'INGRESO A PS DE CA'!R54</f>
        <v>74.404920000000004</v>
      </c>
      <c r="S54" s="322">
        <f>+'RECHAZADOS A CA'!S54+'INGRESO A PS DE CA'!S54</f>
        <v>74.966940000000008</v>
      </c>
      <c r="T54" s="322">
        <f>+'RECHAZADOS A CA'!T54+'INGRESO A PS DE CA'!T54</f>
        <v>75.529979999999995</v>
      </c>
      <c r="U54" s="322">
        <f>+'RECHAZADOS A CA'!U54+'INGRESO A PS DE CA'!U54</f>
        <v>76.091999999999999</v>
      </c>
      <c r="V54" s="322">
        <f>+'RECHAZADOS A CA'!V54+'INGRESO A PS DE CA'!V54</f>
        <v>76.654020000000003</v>
      </c>
      <c r="W54" s="322">
        <f>+'RECHAZADOS A CA'!W54+'INGRESO A PS DE CA'!W54</f>
        <v>77.216040000000007</v>
      </c>
      <c r="X54" s="322">
        <f>+'RECHAZADOS A CA'!X54+'INGRESO A PS DE CA'!X54</f>
        <v>77.778059999999996</v>
      </c>
      <c r="Y54" s="322">
        <f>+'RECHAZADOS A CA'!Y54+'INGRESO A PS DE CA'!Y54</f>
        <v>78.34008</v>
      </c>
      <c r="Z54" s="322">
        <f>+'RECHAZADOS A CA'!Z54+'INGRESO A PS DE CA'!Z54</f>
        <v>78.903120000000001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28"/>
      <c r="E55" s="278"/>
      <c r="F55" s="263"/>
      <c r="G55" s="322">
        <f>+'RECHAZADOS A CA'!G55+'INGRESO A PS DE CA'!G55</f>
        <v>28.418600000000001</v>
      </c>
      <c r="H55" s="322">
        <f>+'RECHAZADOS A CA'!H55+'INGRESO A PS DE CA'!H55</f>
        <v>28.676179999999999</v>
      </c>
      <c r="I55" s="322">
        <f>+'RECHAZADOS A CA'!I55+'INGRESO A PS DE CA'!I55</f>
        <v>28.935879999999997</v>
      </c>
      <c r="J55" s="322">
        <f>+'RECHAZADOS A CA'!J55+'INGRESO A PS DE CA'!J55</f>
        <v>29.198760000000004</v>
      </c>
      <c r="K55" s="322">
        <f>+'RECHAZADOS A CA'!K55+'INGRESO A PS DE CA'!K55</f>
        <v>29.462700000000005</v>
      </c>
      <c r="L55" s="322">
        <f>+'RECHAZADOS A CA'!L55+'INGRESO A PS DE CA'!L55</f>
        <v>29.72982</v>
      </c>
      <c r="M55" s="322">
        <f>+'RECHAZADOS A CA'!M55+'INGRESO A PS DE CA'!M55</f>
        <v>30.000120000000003</v>
      </c>
      <c r="N55" s="322">
        <f>+'RECHAZADOS A CA'!N55+'INGRESO A PS DE CA'!N55</f>
        <v>30.271480000000004</v>
      </c>
      <c r="O55" s="322">
        <f>+'RECHAZADOS A CA'!O55+'INGRESO A PS DE CA'!O55</f>
        <v>30.546020000000006</v>
      </c>
      <c r="P55" s="322">
        <f>+'RECHAZADOS A CA'!P55+'INGRESO A PS DE CA'!P55</f>
        <v>30.822680000000002</v>
      </c>
      <c r="Q55" s="322">
        <f>+'RECHAZADOS A CA'!Q55+'INGRESO A PS DE CA'!Q55</f>
        <v>31.102520000000005</v>
      </c>
      <c r="R55" s="322">
        <f>+'RECHAZADOS A CA'!R55+'INGRESO A PS DE CA'!R55</f>
        <v>31.384480000000003</v>
      </c>
      <c r="S55" s="322">
        <f>+'RECHAZADOS A CA'!S55+'INGRESO A PS DE CA'!S55</f>
        <v>31.668559999999999</v>
      </c>
      <c r="T55" s="322">
        <f>+'RECHAZADOS A CA'!T55+'INGRESO A PS DE CA'!T55</f>
        <v>31.955820000000003</v>
      </c>
      <c r="U55" s="322">
        <f>+'RECHAZADOS A CA'!U55+'INGRESO A PS DE CA'!U55</f>
        <v>32.245200000000004</v>
      </c>
      <c r="V55" s="322">
        <f>+'RECHAZADOS A CA'!V55+'INGRESO A PS DE CA'!V55</f>
        <v>32.537759999999999</v>
      </c>
      <c r="W55" s="322">
        <f>+'RECHAZADOS A CA'!W55+'INGRESO A PS DE CA'!W55</f>
        <v>32.832440000000005</v>
      </c>
      <c r="X55" s="322">
        <f>+'RECHAZADOS A CA'!X55+'INGRESO A PS DE CA'!X55</f>
        <v>33.130300000000005</v>
      </c>
      <c r="Y55" s="322">
        <f>+'RECHAZADOS A CA'!Y55+'INGRESO A PS DE CA'!Y55</f>
        <v>33.430279999999996</v>
      </c>
      <c r="Z55" s="322">
        <f>+'RECHAZADOS A CA'!Z55+'INGRESO A PS DE CA'!Z55</f>
        <v>33.733440000000002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28"/>
      <c r="E56" s="278"/>
      <c r="F56" s="263"/>
      <c r="G56" s="322">
        <f>+'RECHAZADOS A CA'!G56+'INGRESO A PS DE CA'!G56</f>
        <v>62.675940000000004</v>
      </c>
      <c r="H56" s="322">
        <f>+'RECHAZADOS A CA'!H56+'INGRESO A PS DE CA'!H56</f>
        <v>62.904420000000002</v>
      </c>
      <c r="I56" s="322">
        <f>+'RECHAZADOS A CA'!I56+'INGRESO A PS DE CA'!I56</f>
        <v>63.136979999999994</v>
      </c>
      <c r="J56" s="322">
        <f>+'RECHAZADOS A CA'!J56+'INGRESO A PS DE CA'!J56</f>
        <v>63.372599999999998</v>
      </c>
      <c r="K56" s="322">
        <f>+'RECHAZADOS A CA'!K56+'INGRESO A PS DE CA'!K56</f>
        <v>63.612300000000005</v>
      </c>
      <c r="L56" s="322">
        <f>+'RECHAZADOS A CA'!L56+'INGRESO A PS DE CA'!L56</f>
        <v>63.856079999999992</v>
      </c>
      <c r="M56" s="322">
        <f>+'RECHAZADOS A CA'!M56+'INGRESO A PS DE CA'!M56</f>
        <v>64.103940000000009</v>
      </c>
      <c r="N56" s="322">
        <f>+'RECHAZADOS A CA'!N56+'INGRESO A PS DE CA'!N56</f>
        <v>64.355879999999999</v>
      </c>
      <c r="O56" s="322">
        <f>+'RECHAZADOS A CA'!O56+'INGRESO A PS DE CA'!O56</f>
        <v>64.611900000000006</v>
      </c>
      <c r="P56" s="322">
        <f>+'RECHAZADOS A CA'!P56+'INGRESO A PS DE CA'!P56</f>
        <v>64.870980000000003</v>
      </c>
      <c r="Q56" s="322">
        <f>+'RECHAZADOS A CA'!Q56+'INGRESO A PS DE CA'!Q56</f>
        <v>65.136179999999996</v>
      </c>
      <c r="R56" s="322">
        <f>+'RECHAZADOS A CA'!R56+'INGRESO A PS DE CA'!R56</f>
        <v>65.404440000000008</v>
      </c>
      <c r="S56" s="322">
        <f>+'RECHAZADOS A CA'!S56+'INGRESO A PS DE CA'!S56</f>
        <v>65.677800000000005</v>
      </c>
      <c r="T56" s="322">
        <f>+'RECHAZADOS A CA'!T56+'INGRESO A PS DE CA'!T56</f>
        <v>65.955240000000003</v>
      </c>
      <c r="U56" s="322">
        <f>+'RECHAZADOS A CA'!U56+'INGRESO A PS DE CA'!U56</f>
        <v>66.23675999999999</v>
      </c>
      <c r="V56" s="322">
        <f>+'RECHAZADOS A CA'!V56+'INGRESO A PS DE CA'!V56</f>
        <v>66.523380000000003</v>
      </c>
      <c r="W56" s="322">
        <f>+'RECHAZADOS A CA'!W56+'INGRESO A PS DE CA'!W56</f>
        <v>66.814080000000004</v>
      </c>
      <c r="X56" s="322">
        <f>+'RECHAZADOS A CA'!X56+'INGRESO A PS DE CA'!X56</f>
        <v>67.110900000000001</v>
      </c>
      <c r="Y56" s="322">
        <f>+'RECHAZADOS A CA'!Y56+'INGRESO A PS DE CA'!Y56</f>
        <v>67.410780000000003</v>
      </c>
      <c r="Z56" s="322">
        <f>+'RECHAZADOS A CA'!Z56+'INGRESO A PS DE CA'!Z56</f>
        <v>67.71678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28"/>
      <c r="E57" s="278"/>
      <c r="F57" s="263"/>
      <c r="G57" s="322">
        <f>+'RECHAZADOS A CA'!G57+'INGRESO A PS DE CA'!G57</f>
        <v>10.7226</v>
      </c>
      <c r="H57" s="322">
        <f>+'RECHAZADOS A CA'!H57+'INGRESO A PS DE CA'!H57</f>
        <v>10.7272</v>
      </c>
      <c r="I57" s="322">
        <f>+'RECHAZADOS A CA'!I57+'INGRESO A PS DE CA'!I57</f>
        <v>10.731800000000003</v>
      </c>
      <c r="J57" s="322">
        <f>+'RECHAZADOS A CA'!J57+'INGRESO A PS DE CA'!J57</f>
        <v>10.7364</v>
      </c>
      <c r="K57" s="322">
        <f>+'RECHAZADOS A CA'!K57+'INGRESO A PS DE CA'!K57</f>
        <v>10.74192</v>
      </c>
      <c r="L57" s="322">
        <f>+'RECHAZADOS A CA'!L57+'INGRESO A PS DE CA'!L57</f>
        <v>10.74652</v>
      </c>
      <c r="M57" s="322">
        <f>+'RECHAZADOS A CA'!M57+'INGRESO A PS DE CA'!M57</f>
        <v>10.75112</v>
      </c>
      <c r="N57" s="322">
        <f>+'RECHAZADOS A CA'!N57+'INGRESO A PS DE CA'!N57</f>
        <v>10.755720000000002</v>
      </c>
      <c r="O57" s="322">
        <f>+'RECHAZADOS A CA'!O57+'INGRESO A PS DE CA'!O57</f>
        <v>10.76032</v>
      </c>
      <c r="P57" s="322">
        <f>+'RECHAZADOS A CA'!P57+'INGRESO A PS DE CA'!P57</f>
        <v>10.76492</v>
      </c>
      <c r="Q57" s="322">
        <f>+'RECHAZADOS A CA'!Q57+'INGRESO A PS DE CA'!Q57</f>
        <v>10.770440000000001</v>
      </c>
      <c r="R57" s="322">
        <f>+'RECHAZADOS A CA'!R57+'INGRESO A PS DE CA'!R57</f>
        <v>10.775040000000001</v>
      </c>
      <c r="S57" s="322">
        <f>+'RECHAZADOS A CA'!S57+'INGRESO A PS DE CA'!S57</f>
        <v>10.779640000000001</v>
      </c>
      <c r="T57" s="322">
        <f>+'RECHAZADOS A CA'!T57+'INGRESO A PS DE CA'!T57</f>
        <v>10.78424</v>
      </c>
      <c r="U57" s="322">
        <f>+'RECHAZADOS A CA'!U57+'INGRESO A PS DE CA'!U57</f>
        <v>10.78884</v>
      </c>
      <c r="V57" s="322">
        <f>+'RECHAZADOS A CA'!V57+'INGRESO A PS DE CA'!V57</f>
        <v>10.794360000000001</v>
      </c>
      <c r="W57" s="322">
        <f>+'RECHAZADOS A CA'!W57+'INGRESO A PS DE CA'!W57</f>
        <v>10.798960000000001</v>
      </c>
      <c r="X57" s="322">
        <f>+'RECHAZADOS A CA'!X57+'INGRESO A PS DE CA'!X57</f>
        <v>10.803560000000001</v>
      </c>
      <c r="Y57" s="322">
        <f>+'RECHAZADOS A CA'!Y57+'INGRESO A PS DE CA'!Y57</f>
        <v>10.808159999999999</v>
      </c>
      <c r="Z57" s="322">
        <f>+'RECHAZADOS A CA'!Z57+'INGRESO A PS DE CA'!Z57</f>
        <v>10.812760000000001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28"/>
      <c r="E58" s="278"/>
      <c r="F58" s="263"/>
      <c r="G58" s="322">
        <f>+'RECHAZADOS A CA'!G58+'INGRESO A PS DE CA'!G58</f>
        <v>23.05076</v>
      </c>
      <c r="H58" s="322">
        <f>+'RECHAZADOS A CA'!H58+'INGRESO A PS DE CA'!H58</f>
        <v>23.271240000000002</v>
      </c>
      <c r="I58" s="322">
        <f>+'RECHAZADOS A CA'!I58+'INGRESO A PS DE CA'!I58</f>
        <v>23.490659999999998</v>
      </c>
      <c r="J58" s="322">
        <f>+'RECHAZADOS A CA'!J58+'INGRESO A PS DE CA'!J58</f>
        <v>23.71114</v>
      </c>
      <c r="K58" s="322">
        <f>+'RECHAZADOS A CA'!K58+'INGRESO A PS DE CA'!K58</f>
        <v>23.93056</v>
      </c>
      <c r="L58" s="322">
        <f>+'RECHAZADOS A CA'!L58+'INGRESO A PS DE CA'!L58</f>
        <v>24.248560000000001</v>
      </c>
      <c r="M58" s="322">
        <f>+'RECHAZADOS A CA'!M58+'INGRESO A PS DE CA'!M58</f>
        <v>24.566560000000003</v>
      </c>
      <c r="N58" s="322">
        <f>+'RECHAZADOS A CA'!N58+'INGRESO A PS DE CA'!N58</f>
        <v>24.88456</v>
      </c>
      <c r="O58" s="322">
        <f>+'RECHAZADOS A CA'!O58+'INGRESO A PS DE CA'!O58</f>
        <v>25.201499999999999</v>
      </c>
      <c r="P58" s="322">
        <f>+'RECHAZADOS A CA'!P58+'INGRESO A PS DE CA'!P58</f>
        <v>25.519500000000001</v>
      </c>
      <c r="Q58" s="322">
        <f>+'RECHAZADOS A CA'!Q58+'INGRESO A PS DE CA'!Q58</f>
        <v>25.837499999999999</v>
      </c>
      <c r="R58" s="322">
        <f>+'RECHAZADOS A CA'!R58+'INGRESO A PS DE CA'!R58</f>
        <v>26.1555</v>
      </c>
      <c r="S58" s="322">
        <f>+'RECHAZADOS A CA'!S58+'INGRESO A PS DE CA'!S58</f>
        <v>26.473500000000001</v>
      </c>
      <c r="T58" s="322">
        <f>+'RECHAZADOS A CA'!T58+'INGRESO A PS DE CA'!T58</f>
        <v>26.790440000000004</v>
      </c>
      <c r="U58" s="322">
        <f>+'RECHAZADOS A CA'!U58+'INGRESO A PS DE CA'!U58</f>
        <v>27.108440000000002</v>
      </c>
      <c r="V58" s="322">
        <f>+'RECHAZADOS A CA'!V58+'INGRESO A PS DE CA'!V58</f>
        <v>27.426440000000007</v>
      </c>
      <c r="W58" s="322">
        <f>+'RECHAZADOS A CA'!W58+'INGRESO A PS DE CA'!W58</f>
        <v>27.744440000000004</v>
      </c>
      <c r="X58" s="322">
        <f>+'RECHAZADOS A CA'!X58+'INGRESO A PS DE CA'!X58</f>
        <v>28.062440000000002</v>
      </c>
      <c r="Y58" s="322">
        <f>+'RECHAZADOS A CA'!Y58+'INGRESO A PS DE CA'!Y58</f>
        <v>28.379380000000001</v>
      </c>
      <c r="Z58" s="322">
        <f>+'RECHAZADOS A CA'!Z58+'INGRESO A PS DE CA'!Z58</f>
        <v>28.697380000000003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28"/>
      <c r="E59" s="278"/>
      <c r="F59" s="263"/>
      <c r="G59" s="322">
        <f>+'RECHAZADOS A CA'!G59+'INGRESO A PS DE CA'!G59</f>
        <v>28.959199999999999</v>
      </c>
      <c r="H59" s="322">
        <f>+'RECHAZADOS A CA'!H59+'INGRESO A PS DE CA'!H59</f>
        <v>29.301580000000001</v>
      </c>
      <c r="I59" s="322">
        <f>+'RECHAZADOS A CA'!I59+'INGRESO A PS DE CA'!I59</f>
        <v>29.643960000000003</v>
      </c>
      <c r="J59" s="322">
        <f>+'RECHAZADOS A CA'!J59+'INGRESO A PS DE CA'!J59</f>
        <v>29.986339999999998</v>
      </c>
      <c r="K59" s="322">
        <f>+'RECHAZADOS A CA'!K59+'INGRESO A PS DE CA'!K59</f>
        <v>30.328719999999997</v>
      </c>
      <c r="L59" s="322">
        <f>+'RECHAZADOS A CA'!L59+'INGRESO A PS DE CA'!L59</f>
        <v>30.78134</v>
      </c>
      <c r="M59" s="322">
        <f>+'RECHAZADOS A CA'!M59+'INGRESO A PS DE CA'!M59</f>
        <v>31.233960000000003</v>
      </c>
      <c r="N59" s="322">
        <f>+'RECHAZADOS A CA'!N59+'INGRESO A PS DE CA'!N59</f>
        <v>31.686579999999999</v>
      </c>
      <c r="O59" s="322">
        <f>+'RECHAZADOS A CA'!O59+'INGRESO A PS DE CA'!O59</f>
        <v>32.139200000000002</v>
      </c>
      <c r="P59" s="322">
        <f>+'RECHAZADOS A CA'!P59+'INGRESO A PS DE CA'!P59</f>
        <v>32.591820000000006</v>
      </c>
      <c r="Q59" s="322">
        <f>+'RECHAZADOS A CA'!Q59+'INGRESO A PS DE CA'!Q59</f>
        <v>33.044440000000002</v>
      </c>
      <c r="R59" s="322">
        <f>+'RECHAZADOS A CA'!R59+'INGRESO A PS DE CA'!R59</f>
        <v>33.49812</v>
      </c>
      <c r="S59" s="322">
        <f>+'RECHAZADOS A CA'!S59+'INGRESO A PS DE CA'!S59</f>
        <v>33.950740000000003</v>
      </c>
      <c r="T59" s="322">
        <f>+'RECHAZADOS A CA'!T59+'INGRESO A PS DE CA'!T59</f>
        <v>34.403359999999999</v>
      </c>
      <c r="U59" s="322">
        <f>+'RECHAZADOS A CA'!U59+'INGRESO A PS DE CA'!U59</f>
        <v>34.855980000000002</v>
      </c>
      <c r="V59" s="322">
        <f>+'RECHAZADOS A CA'!V59+'INGRESO A PS DE CA'!V59</f>
        <v>35.308599999999998</v>
      </c>
      <c r="W59" s="322">
        <f>+'RECHAZADOS A CA'!W59+'INGRESO A PS DE CA'!W59</f>
        <v>35.761220000000002</v>
      </c>
      <c r="X59" s="322">
        <f>+'RECHAZADOS A CA'!X59+'INGRESO A PS DE CA'!X59</f>
        <v>36.213840000000005</v>
      </c>
      <c r="Y59" s="322">
        <f>+'RECHAZADOS A CA'!Y59+'INGRESO A PS DE CA'!Y59</f>
        <v>36.666460000000001</v>
      </c>
      <c r="Z59" s="322">
        <f>+'RECHAZADOS A CA'!Z59+'INGRESO A PS DE CA'!Z59</f>
        <v>37.119080000000004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28"/>
      <c r="E60" s="278"/>
      <c r="F60" s="263"/>
      <c r="G60" s="322">
        <f>+'RECHAZADOS A CA'!G60+'INGRESO A PS DE CA'!G60</f>
        <v>12.89104</v>
      </c>
      <c r="H60" s="322">
        <f>+'RECHAZADOS A CA'!H60+'INGRESO A PS DE CA'!H60</f>
        <v>13.002359999999999</v>
      </c>
      <c r="I60" s="322">
        <f>+'RECHAZADOS A CA'!I60+'INGRESO A PS DE CA'!I60</f>
        <v>13.11276</v>
      </c>
      <c r="J60" s="322">
        <f>+'RECHAZADOS A CA'!J60+'INGRESO A PS DE CA'!J60</f>
        <v>13.224080000000001</v>
      </c>
      <c r="K60" s="322">
        <f>+'RECHAZADOS A CA'!K60+'INGRESO A PS DE CA'!K60</f>
        <v>13.334480000000001</v>
      </c>
      <c r="L60" s="322">
        <f>+'RECHAZADOS A CA'!L60+'INGRESO A PS DE CA'!L60</f>
        <v>13.445800000000002</v>
      </c>
      <c r="M60" s="322">
        <f>+'RECHAZADOS A CA'!M60+'INGRESO A PS DE CA'!M60</f>
        <v>13.5562</v>
      </c>
      <c r="N60" s="322">
        <f>+'RECHAZADOS A CA'!N60+'INGRESO A PS DE CA'!N60</f>
        <v>13.66752</v>
      </c>
      <c r="O60" s="322">
        <f>+'RECHAZADOS A CA'!O60+'INGRESO A PS DE CA'!O60</f>
        <v>13.77792</v>
      </c>
      <c r="P60" s="322">
        <f>+'RECHAZADOS A CA'!P60+'INGRESO A PS DE CA'!P60</f>
        <v>13.88832</v>
      </c>
      <c r="Q60" s="322">
        <f>+'RECHAZADOS A CA'!Q60+'INGRESO A PS DE CA'!Q60</f>
        <v>13.999640000000001</v>
      </c>
      <c r="R60" s="322">
        <f>+'RECHAZADOS A CA'!R60+'INGRESO A PS DE CA'!R60</f>
        <v>14.110040000000001</v>
      </c>
      <c r="S60" s="322">
        <f>+'RECHAZADOS A CA'!S60+'INGRESO A PS DE CA'!S60</f>
        <v>14.221360000000001</v>
      </c>
      <c r="T60" s="322">
        <f>+'RECHAZADOS A CA'!T60+'INGRESO A PS DE CA'!T60</f>
        <v>14.331760000000001</v>
      </c>
      <c r="U60" s="322">
        <f>+'RECHAZADOS A CA'!U60+'INGRESO A PS DE CA'!U60</f>
        <v>14.44308</v>
      </c>
      <c r="V60" s="322">
        <f>+'RECHAZADOS A CA'!V60+'INGRESO A PS DE CA'!V60</f>
        <v>14.553480000000002</v>
      </c>
      <c r="W60" s="322">
        <f>+'RECHAZADOS A CA'!W60+'INGRESO A PS DE CA'!W60</f>
        <v>14.663880000000001</v>
      </c>
      <c r="X60" s="322">
        <f>+'RECHAZADOS A CA'!X60+'INGRESO A PS DE CA'!X60</f>
        <v>14.7752</v>
      </c>
      <c r="Y60" s="322">
        <f>+'RECHAZADOS A CA'!Y60+'INGRESO A PS DE CA'!Y60</f>
        <v>14.8856</v>
      </c>
      <c r="Z60" s="322">
        <f>+'RECHAZADOS A CA'!Z60+'INGRESO A PS DE CA'!Z60</f>
        <v>14.996919999999999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28"/>
      <c r="E61" s="278"/>
      <c r="F61" s="263"/>
      <c r="G61" s="322">
        <f>+'RECHAZADOS A CA'!G61+'INGRESO A PS DE CA'!G61</f>
        <v>33.51614</v>
      </c>
      <c r="H61" s="322">
        <f>+'RECHAZADOS A CA'!H61+'INGRESO A PS DE CA'!H61</f>
        <v>33.971940000000004</v>
      </c>
      <c r="I61" s="322">
        <f>+'RECHAZADOS A CA'!I61+'INGRESO A PS DE CA'!I61</f>
        <v>34.427740000000007</v>
      </c>
      <c r="J61" s="322">
        <f>+'RECHAZADOS A CA'!J61+'INGRESO A PS DE CA'!J61</f>
        <v>34.884599999999999</v>
      </c>
      <c r="K61" s="322">
        <f>+'RECHAZADOS A CA'!K61+'INGRESO A PS DE CA'!K61</f>
        <v>35.340400000000002</v>
      </c>
      <c r="L61" s="322">
        <f>+'RECHAZADOS A CA'!L61+'INGRESO A PS DE CA'!L61</f>
        <v>35.918099999999995</v>
      </c>
      <c r="M61" s="322">
        <f>+'RECHAZADOS A CA'!M61+'INGRESO A PS DE CA'!M61</f>
        <v>36.496859999999998</v>
      </c>
      <c r="N61" s="322">
        <f>+'RECHAZADOS A CA'!N61+'INGRESO A PS DE CA'!N61</f>
        <v>37.074560000000005</v>
      </c>
      <c r="O61" s="322">
        <f>+'RECHAZADOS A CA'!O61+'INGRESO A PS DE CA'!O61</f>
        <v>37.653320000000001</v>
      </c>
      <c r="P61" s="322">
        <f>+'RECHAZADOS A CA'!P61+'INGRESO A PS DE CA'!P61</f>
        <v>38.231020000000001</v>
      </c>
      <c r="Q61" s="322">
        <f>+'RECHAZADOS A CA'!Q61+'INGRESO A PS DE CA'!Q61</f>
        <v>38.809779999999996</v>
      </c>
      <c r="R61" s="322">
        <f>+'RECHAZADOS A CA'!R61+'INGRESO A PS DE CA'!R61</f>
        <v>39.387480000000004</v>
      </c>
      <c r="S61" s="322">
        <f>+'RECHAZADOS A CA'!S61+'INGRESO A PS DE CA'!S61</f>
        <v>39.965180000000004</v>
      </c>
      <c r="T61" s="322">
        <f>+'RECHAZADOS A CA'!T61+'INGRESO A PS DE CA'!T61</f>
        <v>40.543939999999999</v>
      </c>
      <c r="U61" s="322">
        <f>+'RECHAZADOS A CA'!U61+'INGRESO A PS DE CA'!U61</f>
        <v>41.121639999999999</v>
      </c>
      <c r="V61" s="322">
        <f>+'RECHAZADOS A CA'!V61+'INGRESO A PS DE CA'!V61</f>
        <v>41.700400000000002</v>
      </c>
      <c r="W61" s="322">
        <f>+'RECHAZADOS A CA'!W61+'INGRESO A PS DE CA'!W61</f>
        <v>42.278100000000002</v>
      </c>
      <c r="X61" s="322">
        <f>+'RECHAZADOS A CA'!X61+'INGRESO A PS DE CA'!X61</f>
        <v>42.856859999999998</v>
      </c>
      <c r="Y61" s="322">
        <f>+'RECHAZADOS A CA'!Y61+'INGRESO A PS DE CA'!Y61</f>
        <v>43.434560000000005</v>
      </c>
      <c r="Z61" s="322">
        <f>+'RECHAZADOS A CA'!Z61+'INGRESO A PS DE CA'!Z61</f>
        <v>44.01332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28"/>
      <c r="E62" s="278"/>
      <c r="F62" s="263"/>
      <c r="G62" s="322">
        <f>+'RECHAZADOS A CA'!G62+'INGRESO A PS DE CA'!G62</f>
        <v>66.131699999999995</v>
      </c>
      <c r="H62" s="322">
        <f>+'RECHAZADOS A CA'!H62+'INGRESO A PS DE CA'!H62</f>
        <v>66.705960000000005</v>
      </c>
      <c r="I62" s="322">
        <f>+'RECHAZADOS A CA'!I62+'INGRESO A PS DE CA'!I62</f>
        <v>67.284300000000002</v>
      </c>
      <c r="J62" s="322">
        <f>+'RECHAZADOS A CA'!J62+'INGRESO A PS DE CA'!J62</f>
        <v>67.868759999999995</v>
      </c>
      <c r="K62" s="322">
        <f>+'RECHAZADOS A CA'!K62+'INGRESO A PS DE CA'!K62</f>
        <v>68.457300000000004</v>
      </c>
      <c r="L62" s="322">
        <f>+'RECHAZADOS A CA'!L62+'INGRESO A PS DE CA'!L62</f>
        <v>69.050939999999997</v>
      </c>
      <c r="M62" s="322">
        <f>+'RECHAZADOS A CA'!M62+'INGRESO A PS DE CA'!M62</f>
        <v>69.650700000000001</v>
      </c>
      <c r="N62" s="322">
        <f>+'RECHAZADOS A CA'!N62+'INGRESO A PS DE CA'!N62</f>
        <v>70.255560000000003</v>
      </c>
      <c r="O62" s="322">
        <f>+'RECHAZADOS A CA'!O62+'INGRESO A PS DE CA'!O62</f>
        <v>70.864500000000007</v>
      </c>
      <c r="P62" s="322">
        <f>+'RECHAZADOS A CA'!P62+'INGRESO A PS DE CA'!P62</f>
        <v>71.479559999999992</v>
      </c>
      <c r="Q62" s="322">
        <f>+'RECHAZADOS A CA'!Q62+'INGRESO A PS DE CA'!Q62</f>
        <v>72.099720000000005</v>
      </c>
      <c r="R62" s="322">
        <f>+'RECHAZADOS A CA'!R62+'INGRESO A PS DE CA'!R62</f>
        <v>72.725999999999999</v>
      </c>
      <c r="S62" s="322">
        <f>+'RECHAZADOS A CA'!S62+'INGRESO A PS DE CA'!S62</f>
        <v>73.357380000000006</v>
      </c>
      <c r="T62" s="322">
        <f>+'RECHAZADOS A CA'!T62+'INGRESO A PS DE CA'!T62</f>
        <v>73.993859999999998</v>
      </c>
      <c r="U62" s="322">
        <f>+'RECHAZADOS A CA'!U62+'INGRESO A PS DE CA'!U62</f>
        <v>74.635440000000003</v>
      </c>
      <c r="V62" s="322">
        <f>+'RECHAZADOS A CA'!V62+'INGRESO A PS DE CA'!V62</f>
        <v>75.283140000000003</v>
      </c>
      <c r="W62" s="322">
        <f>+'RECHAZADOS A CA'!W62+'INGRESO A PS DE CA'!W62</f>
        <v>75.936960000000013</v>
      </c>
      <c r="X62" s="322">
        <f>+'RECHAZADOS A CA'!X62+'INGRESO A PS DE CA'!X62</f>
        <v>76.595880000000008</v>
      </c>
      <c r="Y62" s="322">
        <f>+'RECHAZADOS A CA'!Y62+'INGRESO A PS DE CA'!Y62</f>
        <v>77.260919999999999</v>
      </c>
      <c r="Z62" s="322">
        <f>+'RECHAZADOS A CA'!Z62+'INGRESO A PS DE CA'!Z62</f>
        <v>77.931060000000002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28"/>
      <c r="E63" s="278"/>
      <c r="F63" s="263"/>
      <c r="G63" s="322">
        <f>+'RECHAZADOS A CA'!G63+'INGRESO A PS DE CA'!G63</f>
        <v>295.53582</v>
      </c>
      <c r="H63" s="322">
        <f>+'RECHAZADOS A CA'!H63+'INGRESO A PS DE CA'!H63</f>
        <v>300.39408000000003</v>
      </c>
      <c r="I63" s="322">
        <f>+'RECHAZADOS A CA'!I63+'INGRESO A PS DE CA'!I63</f>
        <v>305.25335999999999</v>
      </c>
      <c r="J63" s="322">
        <f>+'RECHAZADOS A CA'!J63+'INGRESO A PS DE CA'!J63</f>
        <v>310.11162000000002</v>
      </c>
      <c r="K63" s="322">
        <f>+'RECHAZADOS A CA'!K63+'INGRESO A PS DE CA'!K63</f>
        <v>314.97090000000003</v>
      </c>
      <c r="L63" s="322">
        <f>+'RECHAZADOS A CA'!L63+'INGRESO A PS DE CA'!L63</f>
        <v>319.82916000000006</v>
      </c>
      <c r="M63" s="322">
        <f>+'RECHAZADOS A CA'!M63+'INGRESO A PS DE CA'!M63</f>
        <v>324.68844000000001</v>
      </c>
      <c r="N63" s="322">
        <f>+'RECHAZADOS A CA'!N63+'INGRESO A PS DE CA'!N63</f>
        <v>329.54669999999999</v>
      </c>
      <c r="O63" s="322">
        <f>+'RECHAZADOS A CA'!O63+'INGRESO A PS DE CA'!O63</f>
        <v>334.40598</v>
      </c>
      <c r="P63" s="322">
        <f>+'RECHAZADOS A CA'!P63+'INGRESO A PS DE CA'!P63</f>
        <v>339.26423999999997</v>
      </c>
      <c r="Q63" s="322">
        <f>+'RECHAZADOS A CA'!Q63+'INGRESO A PS DE CA'!Q63</f>
        <v>344.12352000000004</v>
      </c>
      <c r="R63" s="322">
        <f>+'RECHAZADOS A CA'!R63+'INGRESO A PS DE CA'!R63</f>
        <v>348.9828</v>
      </c>
      <c r="S63" s="322">
        <f>+'RECHAZADOS A CA'!S63+'INGRESO A PS DE CA'!S63</f>
        <v>353.84105999999997</v>
      </c>
      <c r="T63" s="322">
        <f>+'RECHAZADOS A CA'!T63+'INGRESO A PS DE CA'!T63</f>
        <v>358.70034000000004</v>
      </c>
      <c r="U63" s="322">
        <f>+'RECHAZADOS A CA'!U63+'INGRESO A PS DE CA'!U63</f>
        <v>363.55860000000001</v>
      </c>
      <c r="V63" s="322">
        <f>+'RECHAZADOS A CA'!V63+'INGRESO A PS DE CA'!V63</f>
        <v>368.41788000000003</v>
      </c>
      <c r="W63" s="322">
        <f>+'RECHAZADOS A CA'!W63+'INGRESO A PS DE CA'!W63</f>
        <v>373.27614</v>
      </c>
      <c r="X63" s="322">
        <f>+'RECHAZADOS A CA'!X63+'INGRESO A PS DE CA'!X63</f>
        <v>378.13542000000001</v>
      </c>
      <c r="Y63" s="322">
        <f>+'RECHAZADOS A CA'!Y63+'INGRESO A PS DE CA'!Y63</f>
        <v>382.99367999999998</v>
      </c>
      <c r="Z63" s="322">
        <f>+'RECHAZADOS A CA'!Z63+'INGRESO A PS DE CA'!Z63</f>
        <v>387.85296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28"/>
      <c r="E64" s="278"/>
      <c r="F64" s="263"/>
      <c r="G64" s="322">
        <f>+'RECHAZADOS A CA'!G64+'INGRESO A PS DE CA'!G64</f>
        <v>11.897440000000001</v>
      </c>
      <c r="H64" s="322">
        <f>+'RECHAZADOS A CA'!H64+'INGRESO A PS DE CA'!H64</f>
        <v>12.140319999999999</v>
      </c>
      <c r="I64" s="322">
        <f>+'RECHAZADOS A CA'!I64+'INGRESO A PS DE CA'!I64</f>
        <v>12.386880000000001</v>
      </c>
      <c r="J64" s="322">
        <f>+'RECHAZADOS A CA'!J64+'INGRESO A PS DE CA'!J64</f>
        <v>12.63804</v>
      </c>
      <c r="K64" s="322">
        <f>+'RECHAZADOS A CA'!K64+'INGRESO A PS DE CA'!K64</f>
        <v>12.891960000000001</v>
      </c>
      <c r="L64" s="322">
        <f>+'RECHAZADOS A CA'!L64+'INGRESO A PS DE CA'!L64</f>
        <v>13.151400000000001</v>
      </c>
      <c r="M64" s="322">
        <f>+'RECHAZADOS A CA'!M64+'INGRESO A PS DE CA'!M64</f>
        <v>13.41452</v>
      </c>
      <c r="N64" s="322">
        <f>+'RECHAZADOS A CA'!N64+'INGRESO A PS DE CA'!N64</f>
        <v>13.68224</v>
      </c>
      <c r="O64" s="322">
        <f>+'RECHAZADOS A CA'!O64+'INGRESO A PS DE CA'!O64</f>
        <v>13.953640000000002</v>
      </c>
      <c r="P64" s="322">
        <f>+'RECHAZADOS A CA'!P64+'INGRESO A PS DE CA'!P64</f>
        <v>14.229640000000003</v>
      </c>
      <c r="Q64" s="322">
        <f>+'RECHAZADOS A CA'!Q64+'INGRESO A PS DE CA'!Q64</f>
        <v>14.51024</v>
      </c>
      <c r="R64" s="322">
        <f>+'RECHAZADOS A CA'!R64+'INGRESO A PS DE CA'!R64</f>
        <v>14.795440000000001</v>
      </c>
      <c r="S64" s="322">
        <f>+'RECHAZADOS A CA'!S64+'INGRESO A PS DE CA'!S64</f>
        <v>15.08616</v>
      </c>
      <c r="T64" s="322">
        <f>+'RECHAZADOS A CA'!T64+'INGRESO A PS DE CA'!T64</f>
        <v>15.380560000000001</v>
      </c>
      <c r="U64" s="322">
        <f>+'RECHAZADOS A CA'!U64+'INGRESO A PS DE CA'!U64</f>
        <v>15.679560000000002</v>
      </c>
      <c r="V64" s="322">
        <f>+'RECHAZADOS A CA'!V64+'INGRESO A PS DE CA'!V64</f>
        <v>15.984080000000002</v>
      </c>
      <c r="W64" s="322">
        <f>+'RECHAZADOS A CA'!W64+'INGRESO A PS DE CA'!W64</f>
        <v>16.293200000000002</v>
      </c>
      <c r="X64" s="322">
        <f>+'RECHAZADOS A CA'!X64+'INGRESO A PS DE CA'!X64</f>
        <v>16.607839999999999</v>
      </c>
      <c r="Y64" s="322">
        <f>+'RECHAZADOS A CA'!Y64+'INGRESO A PS DE CA'!Y64</f>
        <v>16.92708</v>
      </c>
      <c r="Z64" s="322">
        <f>+'RECHAZADOS A CA'!Z64+'INGRESO A PS DE CA'!Z64</f>
        <v>17.251840000000001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28"/>
      <c r="E65" s="278"/>
      <c r="F65" s="263"/>
      <c r="G65" s="322">
        <f>+'RECHAZADOS A CA'!G65+'INGRESO A PS DE CA'!G65</f>
        <v>8.2018000000000004</v>
      </c>
      <c r="H65" s="322">
        <f>+'RECHAZADOS A CA'!H65+'INGRESO A PS DE CA'!H65</f>
        <v>8.2993199999999998</v>
      </c>
      <c r="I65" s="322">
        <f>+'RECHAZADOS A CA'!I65+'INGRESO A PS DE CA'!I65</f>
        <v>8.3977599999999999</v>
      </c>
      <c r="J65" s="322">
        <f>+'RECHAZADOS A CA'!J65+'INGRESO A PS DE CA'!J65</f>
        <v>8.4962</v>
      </c>
      <c r="K65" s="322">
        <f>+'RECHAZADOS A CA'!K65+'INGRESO A PS DE CA'!K65</f>
        <v>8.5937200000000011</v>
      </c>
      <c r="L65" s="322">
        <f>+'RECHAZADOS A CA'!L65+'INGRESO A PS DE CA'!L65</f>
        <v>8.6921599999999994</v>
      </c>
      <c r="M65" s="322">
        <f>+'RECHAZADOS A CA'!M65+'INGRESO A PS DE CA'!M65</f>
        <v>8.7905999999999995</v>
      </c>
      <c r="N65" s="322">
        <f>+'RECHAZADOS A CA'!N65+'INGRESO A PS DE CA'!N65</f>
        <v>8.8881200000000007</v>
      </c>
      <c r="O65" s="322">
        <f>+'RECHAZADOS A CA'!O65+'INGRESO A PS DE CA'!O65</f>
        <v>8.986559999999999</v>
      </c>
      <c r="P65" s="322">
        <f>+'RECHAZADOS A CA'!P65+'INGRESO A PS DE CA'!P65</f>
        <v>9.0850000000000009</v>
      </c>
      <c r="Q65" s="322">
        <f>+'RECHAZADOS A CA'!Q65+'INGRESO A PS DE CA'!Q65</f>
        <v>9.1825200000000002</v>
      </c>
      <c r="R65" s="322">
        <f>+'RECHAZADOS A CA'!R65+'INGRESO A PS DE CA'!R65</f>
        <v>9.2809600000000003</v>
      </c>
      <c r="S65" s="322">
        <f>+'RECHAZADOS A CA'!S65+'INGRESO A PS DE CA'!S65</f>
        <v>9.3794000000000004</v>
      </c>
      <c r="T65" s="322">
        <f>+'RECHAZADOS A CA'!T65+'INGRESO A PS DE CA'!T65</f>
        <v>9.4769199999999998</v>
      </c>
      <c r="U65" s="322">
        <f>+'RECHAZADOS A CA'!U65+'INGRESO A PS DE CA'!U65</f>
        <v>9.5753599999999999</v>
      </c>
      <c r="V65" s="322">
        <f>+'RECHAZADOS A CA'!V65+'INGRESO A PS DE CA'!V65</f>
        <v>9.6738000000000017</v>
      </c>
      <c r="W65" s="322">
        <f>+'RECHAZADOS A CA'!W65+'INGRESO A PS DE CA'!W65</f>
        <v>9.7713199999999993</v>
      </c>
      <c r="X65" s="322">
        <f>+'RECHAZADOS A CA'!X65+'INGRESO A PS DE CA'!X65</f>
        <v>9.8697599999999994</v>
      </c>
      <c r="Y65" s="322">
        <f>+'RECHAZADOS A CA'!Y65+'INGRESO A PS DE CA'!Y65</f>
        <v>9.9672800000000006</v>
      </c>
      <c r="Z65" s="322">
        <f>+'RECHAZADOS A CA'!Z65+'INGRESO A PS DE CA'!Z65</f>
        <v>10.065720000000001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28"/>
      <c r="E66" s="278"/>
      <c r="F66" s="263"/>
      <c r="G66" s="322">
        <f>+'RECHAZADOS A CA'!G66+'INGRESO A PS DE CA'!G66</f>
        <v>54.745820000000002</v>
      </c>
      <c r="H66" s="322">
        <f>+'RECHAZADOS A CA'!H66+'INGRESO A PS DE CA'!H66</f>
        <v>55.500540000000001</v>
      </c>
      <c r="I66" s="322">
        <f>+'RECHAZADOS A CA'!I66+'INGRESO A PS DE CA'!I66</f>
        <v>56.257380000000012</v>
      </c>
      <c r="J66" s="322">
        <f>+'RECHAZADOS A CA'!J66+'INGRESO A PS DE CA'!J66</f>
        <v>57.012100000000004</v>
      </c>
      <c r="K66" s="322">
        <f>+'RECHAZADOS A CA'!K66+'INGRESO A PS DE CA'!K66</f>
        <v>57.766820000000003</v>
      </c>
      <c r="L66" s="322">
        <f>+'RECHAZADOS A CA'!L66+'INGRESO A PS DE CA'!L66</f>
        <v>58.522600000000011</v>
      </c>
      <c r="M66" s="322">
        <f>+'RECHAZADOS A CA'!M66+'INGRESO A PS DE CA'!M66</f>
        <v>59.277320000000003</v>
      </c>
      <c r="N66" s="322">
        <f>+'RECHAZADOS A CA'!N66+'INGRESO A PS DE CA'!N66</f>
        <v>60.033100000000005</v>
      </c>
      <c r="O66" s="322">
        <f>+'RECHAZADOS A CA'!O66+'INGRESO A PS DE CA'!O66</f>
        <v>60.788880000000006</v>
      </c>
      <c r="P66" s="322">
        <f>+'RECHAZADOS A CA'!P66+'INGRESO A PS DE CA'!P66</f>
        <v>61.543600000000012</v>
      </c>
      <c r="Q66" s="322">
        <f>+'RECHAZADOS A CA'!Q66+'INGRESO A PS DE CA'!Q66</f>
        <v>62.298319999999997</v>
      </c>
      <c r="R66" s="322">
        <f>+'RECHAZADOS A CA'!R66+'INGRESO A PS DE CA'!R66</f>
        <v>63.054100000000005</v>
      </c>
      <c r="S66" s="322">
        <f>+'RECHAZADOS A CA'!S66+'INGRESO A PS DE CA'!S66</f>
        <v>63.808819999999997</v>
      </c>
      <c r="T66" s="322">
        <f>+'RECHAZADOS A CA'!T66+'INGRESO A PS DE CA'!T66</f>
        <v>64.564600000000013</v>
      </c>
      <c r="U66" s="322">
        <f>+'RECHAZADOS A CA'!U66+'INGRESO A PS DE CA'!U66</f>
        <v>65.32038</v>
      </c>
      <c r="V66" s="322">
        <f>+'RECHAZADOS A CA'!V66+'INGRESO A PS DE CA'!V66</f>
        <v>66.075100000000006</v>
      </c>
      <c r="W66" s="322">
        <f>+'RECHAZADOS A CA'!W66+'INGRESO A PS DE CA'!W66</f>
        <v>66.829820000000012</v>
      </c>
      <c r="X66" s="322">
        <f>+'RECHAZADOS A CA'!X66+'INGRESO A PS DE CA'!X66</f>
        <v>67.585599999999999</v>
      </c>
      <c r="Y66" s="322">
        <f>+'RECHAZADOS A CA'!Y66+'INGRESO A PS DE CA'!Y66</f>
        <v>68.341380000000001</v>
      </c>
      <c r="Z66" s="322">
        <f>+'RECHAZADOS A CA'!Z66+'INGRESO A PS DE CA'!Z66</f>
        <v>69.096100000000007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28"/>
      <c r="E67" s="278"/>
      <c r="F67" s="263"/>
      <c r="G67" s="322">
        <f>+'RECHAZADOS A CA'!G67+'INGRESO A PS DE CA'!G67</f>
        <v>9.4750800000000002</v>
      </c>
      <c r="H67" s="322">
        <f>+'RECHAZADOS A CA'!H67+'INGRESO A PS DE CA'!H67</f>
        <v>9.5045200000000012</v>
      </c>
      <c r="I67" s="322">
        <f>+'RECHAZADOS A CA'!I67+'INGRESO A PS DE CA'!I67</f>
        <v>9.5330400000000015</v>
      </c>
      <c r="J67" s="322">
        <f>+'RECHAZADOS A CA'!J67+'INGRESO A PS DE CA'!J67</f>
        <v>9.562479999999999</v>
      </c>
      <c r="K67" s="322">
        <f>+'RECHAZADOS A CA'!K67+'INGRESO A PS DE CA'!K67</f>
        <v>9.5909999999999993</v>
      </c>
      <c r="L67" s="322">
        <f>+'RECHAZADOS A CA'!L67+'INGRESO A PS DE CA'!L67</f>
        <v>9.6204400000000003</v>
      </c>
      <c r="M67" s="322">
        <f>+'RECHAZADOS A CA'!M67+'INGRESO A PS DE CA'!M67</f>
        <v>9.6489600000000006</v>
      </c>
      <c r="N67" s="322">
        <f>+'RECHAZADOS A CA'!N67+'INGRESO A PS DE CA'!N67</f>
        <v>9.6783999999999999</v>
      </c>
      <c r="O67" s="322">
        <f>+'RECHAZADOS A CA'!O67+'INGRESO A PS DE CA'!O67</f>
        <v>9.7078400000000009</v>
      </c>
      <c r="P67" s="322">
        <f>+'RECHAZADOS A CA'!P67+'INGRESO A PS DE CA'!P67</f>
        <v>9.7372800000000002</v>
      </c>
      <c r="Q67" s="322">
        <f>+'RECHAZADOS A CA'!Q67+'INGRESO A PS DE CA'!Q67</f>
        <v>9.7667200000000012</v>
      </c>
      <c r="R67" s="322">
        <f>+'RECHAZADOS A CA'!R67+'INGRESO A PS DE CA'!R67</f>
        <v>9.7970799999999993</v>
      </c>
      <c r="S67" s="322">
        <f>+'RECHAZADOS A CA'!S67+'INGRESO A PS DE CA'!S67</f>
        <v>9.8265200000000004</v>
      </c>
      <c r="T67" s="322">
        <f>+'RECHAZADOS A CA'!T67+'INGRESO A PS DE CA'!T67</f>
        <v>9.8559600000000014</v>
      </c>
      <c r="U67" s="322">
        <f>+'RECHAZADOS A CA'!U67+'INGRESO A PS DE CA'!U67</f>
        <v>9.8863199999999996</v>
      </c>
      <c r="V67" s="322">
        <f>+'RECHAZADOS A CA'!V67+'INGRESO A PS DE CA'!V67</f>
        <v>9.9157600000000006</v>
      </c>
      <c r="W67" s="322">
        <f>+'RECHAZADOS A CA'!W67+'INGRESO A PS DE CA'!W67</f>
        <v>9.9461200000000005</v>
      </c>
      <c r="X67" s="322">
        <f>+'RECHAZADOS A CA'!X67+'INGRESO A PS DE CA'!X67</f>
        <v>9.9764799999999987</v>
      </c>
      <c r="Y67" s="322">
        <f>+'RECHAZADOS A CA'!Y67+'INGRESO A PS DE CA'!Y67</f>
        <v>10.00684</v>
      </c>
      <c r="Z67" s="322">
        <f>+'RECHAZADOS A CA'!Z67+'INGRESO A PS DE CA'!Z67</f>
        <v>10.0372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28"/>
      <c r="E68" s="278"/>
      <c r="F68" s="263"/>
      <c r="G68" s="322">
        <f>+'RECHAZADOS A CA'!G68+'INGRESO A PS DE CA'!G68</f>
        <v>4.5889600000000002</v>
      </c>
      <c r="H68" s="322">
        <f>+'RECHAZADOS A CA'!H68+'INGRESO A PS DE CA'!H68</f>
        <v>4.6266800000000003</v>
      </c>
      <c r="I68" s="322">
        <f>+'RECHAZADOS A CA'!I68+'INGRESO A PS DE CA'!I68</f>
        <v>4.6644000000000005</v>
      </c>
      <c r="J68" s="322">
        <f>+'RECHAZADOS A CA'!J68+'INGRESO A PS DE CA'!J68</f>
        <v>4.7030399999999997</v>
      </c>
      <c r="K68" s="322">
        <f>+'RECHAZADOS A CA'!K68+'INGRESO A PS DE CA'!K68</f>
        <v>4.7407599999999999</v>
      </c>
      <c r="L68" s="322">
        <f>+'RECHAZADOS A CA'!L68+'INGRESO A PS DE CA'!L68</f>
        <v>4.7784800000000001</v>
      </c>
      <c r="M68" s="322">
        <f>+'RECHAZADOS A CA'!M68+'INGRESO A PS DE CA'!M68</f>
        <v>4.8162000000000003</v>
      </c>
      <c r="N68" s="322">
        <f>+'RECHAZADOS A CA'!N68+'INGRESO A PS DE CA'!N68</f>
        <v>4.8539200000000005</v>
      </c>
      <c r="O68" s="322">
        <f>+'RECHAZADOS A CA'!O68+'INGRESO A PS DE CA'!O68</f>
        <v>4.8925600000000005</v>
      </c>
      <c r="P68" s="322">
        <f>+'RECHAZADOS A CA'!P68+'INGRESO A PS DE CA'!P68</f>
        <v>4.9302800000000007</v>
      </c>
      <c r="Q68" s="322">
        <f>+'RECHAZADOS A CA'!Q68+'INGRESO A PS DE CA'!Q68</f>
        <v>4.968</v>
      </c>
      <c r="R68" s="322">
        <f>+'RECHAZADOS A CA'!R68+'INGRESO A PS DE CA'!R68</f>
        <v>5.0057200000000002</v>
      </c>
      <c r="S68" s="322">
        <f>+'RECHAZADOS A CA'!S68+'INGRESO A PS DE CA'!S68</f>
        <v>5.0434400000000004</v>
      </c>
      <c r="T68" s="322">
        <f>+'RECHAZADOS A CA'!T68+'INGRESO A PS DE CA'!T68</f>
        <v>5.0820799999999995</v>
      </c>
      <c r="U68" s="322">
        <f>+'RECHAZADOS A CA'!U68+'INGRESO A PS DE CA'!U68</f>
        <v>5.1198000000000006</v>
      </c>
      <c r="V68" s="322">
        <f>+'RECHAZADOS A CA'!V68+'INGRESO A PS DE CA'!V68</f>
        <v>5.1575200000000008</v>
      </c>
      <c r="W68" s="322">
        <f>+'RECHAZADOS A CA'!W68+'INGRESO A PS DE CA'!W68</f>
        <v>5.1952400000000001</v>
      </c>
      <c r="X68" s="322">
        <f>+'RECHAZADOS A CA'!X68+'INGRESO A PS DE CA'!X68</f>
        <v>5.2329600000000003</v>
      </c>
      <c r="Y68" s="322">
        <f>+'RECHAZADOS A CA'!Y68+'INGRESO A PS DE CA'!Y68</f>
        <v>5.2716000000000003</v>
      </c>
      <c r="Z68" s="322">
        <f>+'RECHAZADOS A CA'!Z68+'INGRESO A PS DE CA'!Z68</f>
        <v>5.3093200000000005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28"/>
      <c r="E69" s="278"/>
      <c r="F69" s="263"/>
      <c r="G69" s="322">
        <f>+'RECHAZADOS A CA'!G69+'INGRESO A PS DE CA'!G69</f>
        <v>20.564</v>
      </c>
      <c r="H69" s="322">
        <f>+'RECHAZADOS A CA'!H69+'INGRESO A PS DE CA'!H69</f>
        <v>20.862920000000003</v>
      </c>
      <c r="I69" s="322">
        <f>+'RECHAZADOS A CA'!I69+'INGRESO A PS DE CA'!I69</f>
        <v>21.16714</v>
      </c>
      <c r="J69" s="322">
        <f>+'RECHAZADOS A CA'!J69+'INGRESO A PS DE CA'!J69</f>
        <v>21.475600000000004</v>
      </c>
      <c r="K69" s="322">
        <f>+'RECHAZADOS A CA'!K69+'INGRESO A PS DE CA'!K69</f>
        <v>21.788300000000003</v>
      </c>
      <c r="L69" s="322">
        <f>+'RECHAZADOS A CA'!L69+'INGRESO A PS DE CA'!L69</f>
        <v>22.105240000000002</v>
      </c>
      <c r="M69" s="322">
        <f>+'RECHAZADOS A CA'!M69+'INGRESO A PS DE CA'!M69</f>
        <v>22.427479999999999</v>
      </c>
      <c r="N69" s="322">
        <f>+'RECHAZADOS A CA'!N69+'INGRESO A PS DE CA'!N69</f>
        <v>22.753960000000003</v>
      </c>
      <c r="O69" s="322">
        <f>+'RECHAZADOS A CA'!O69+'INGRESO A PS DE CA'!O69</f>
        <v>23.084679999999999</v>
      </c>
      <c r="P69" s="322">
        <f>+'RECHAZADOS A CA'!P69+'INGRESO A PS DE CA'!P69</f>
        <v>23.421760000000003</v>
      </c>
      <c r="Q69" s="322">
        <f>+'RECHAZADOS A CA'!Q69+'INGRESO A PS DE CA'!Q69</f>
        <v>23.76202</v>
      </c>
      <c r="R69" s="322">
        <f>+'RECHAZADOS A CA'!R69+'INGRESO A PS DE CA'!R69</f>
        <v>24.108640000000001</v>
      </c>
      <c r="S69" s="322">
        <f>+'RECHAZADOS A CA'!S69+'INGRESO A PS DE CA'!S69</f>
        <v>24.459499999999998</v>
      </c>
      <c r="T69" s="322">
        <f>+'RECHAZADOS A CA'!T69+'INGRESO A PS DE CA'!T69</f>
        <v>24.815660000000001</v>
      </c>
      <c r="U69" s="322">
        <f>+'RECHAZADOS A CA'!U69+'INGRESO A PS DE CA'!U69</f>
        <v>25.177120000000002</v>
      </c>
      <c r="V69" s="322">
        <f>+'RECHAZADOS A CA'!V69+'INGRESO A PS DE CA'!V69</f>
        <v>25.543880000000001</v>
      </c>
      <c r="W69" s="322">
        <f>+'RECHAZADOS A CA'!W69+'INGRESO A PS DE CA'!W69</f>
        <v>25.914880000000004</v>
      </c>
      <c r="X69" s="322">
        <f>+'RECHAZADOS A CA'!X69+'INGRESO A PS DE CA'!X69</f>
        <v>26.29224</v>
      </c>
      <c r="Y69" s="322">
        <f>+'RECHAZADOS A CA'!Y69+'INGRESO A PS DE CA'!Y69</f>
        <v>26.675960000000003</v>
      </c>
      <c r="Z69" s="322">
        <f>+'RECHAZADOS A CA'!Z69+'INGRESO A PS DE CA'!Z69</f>
        <v>27.063920000000003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28"/>
      <c r="E70" s="278"/>
      <c r="F70" s="263"/>
      <c r="G70" s="322">
        <f>+'RECHAZADOS A CA'!G70+'INGRESO A PS DE CA'!G70</f>
        <v>1.4223200000000003</v>
      </c>
      <c r="H70" s="322">
        <f>+'RECHAZADOS A CA'!H70+'INGRESO A PS DE CA'!H70</f>
        <v>1.4388800000000002</v>
      </c>
      <c r="I70" s="322">
        <f>+'RECHAZADOS A CA'!I70+'INGRESO A PS DE CA'!I70</f>
        <v>1.45452</v>
      </c>
      <c r="J70" s="322">
        <f>+'RECHAZADOS A CA'!J70+'INGRESO A PS DE CA'!J70</f>
        <v>1.4710800000000002</v>
      </c>
      <c r="K70" s="322">
        <f>+'RECHAZADOS A CA'!K70+'INGRESO A PS DE CA'!K70</f>
        <v>1.4876400000000001</v>
      </c>
      <c r="L70" s="322">
        <f>+'RECHAZADOS A CA'!L70+'INGRESO A PS DE CA'!L70</f>
        <v>1.50512</v>
      </c>
      <c r="M70" s="322">
        <f>+'RECHAZADOS A CA'!M70+'INGRESO A PS DE CA'!M70</f>
        <v>1.5216800000000001</v>
      </c>
      <c r="N70" s="322">
        <f>+'RECHAZADOS A CA'!N70+'INGRESO A PS DE CA'!N70</f>
        <v>1.5391599999999999</v>
      </c>
      <c r="O70" s="322">
        <f>+'RECHAZADOS A CA'!O70+'INGRESO A PS DE CA'!O70</f>
        <v>1.55664</v>
      </c>
      <c r="P70" s="322">
        <f>+'RECHAZADOS A CA'!P70+'INGRESO A PS DE CA'!P70</f>
        <v>1.5741200000000002</v>
      </c>
      <c r="Q70" s="322">
        <f>+'RECHAZADOS A CA'!Q70+'INGRESO A PS DE CA'!Q70</f>
        <v>1.5916000000000001</v>
      </c>
      <c r="R70" s="322">
        <f>+'RECHAZADOS A CA'!R70+'INGRESO A PS DE CA'!R70</f>
        <v>1.6099999999999999</v>
      </c>
      <c r="S70" s="322">
        <f>+'RECHAZADOS A CA'!S70+'INGRESO A PS DE CA'!S70</f>
        <v>1.6284000000000001</v>
      </c>
      <c r="T70" s="322">
        <f>+'RECHAZADOS A CA'!T70+'INGRESO A PS DE CA'!T70</f>
        <v>1.6468000000000003</v>
      </c>
      <c r="U70" s="322">
        <f>+'RECHAZADOS A CA'!U70+'INGRESO A PS DE CA'!U70</f>
        <v>1.6652</v>
      </c>
      <c r="V70" s="322">
        <f>+'RECHAZADOS A CA'!V70+'INGRESO A PS DE CA'!V70</f>
        <v>1.68452</v>
      </c>
      <c r="W70" s="322">
        <f>+'RECHAZADOS A CA'!W70+'INGRESO A PS DE CA'!W70</f>
        <v>1.7029200000000002</v>
      </c>
      <c r="X70" s="322">
        <f>+'RECHAZADOS A CA'!X70+'INGRESO A PS DE CA'!X70</f>
        <v>1.72224</v>
      </c>
      <c r="Y70" s="322">
        <f>+'RECHAZADOS A CA'!Y70+'INGRESO A PS DE CA'!Y70</f>
        <v>1.74248</v>
      </c>
      <c r="Z70" s="322">
        <f>+'RECHAZADOS A CA'!Z70+'INGRESO A PS DE CA'!Z70</f>
        <v>1.7618000000000003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28"/>
      <c r="E71" s="278"/>
      <c r="F71" s="263"/>
      <c r="G71" s="322">
        <f>+'RECHAZADOS A CA'!G71+'INGRESO A PS DE CA'!G71</f>
        <v>23.494900000000001</v>
      </c>
      <c r="H71" s="322">
        <f>+'RECHAZADOS A CA'!H71+'INGRESO A PS DE CA'!H71</f>
        <v>23.803360000000001</v>
      </c>
      <c r="I71" s="322">
        <f>+'RECHAZADOS A CA'!I71+'INGRESO A PS DE CA'!I71</f>
        <v>24.11712</v>
      </c>
      <c r="J71" s="322">
        <f>+'RECHAZADOS A CA'!J71+'INGRESO A PS DE CA'!J71</f>
        <v>24.43618</v>
      </c>
      <c r="K71" s="322">
        <f>+'RECHAZADOS A CA'!K71+'INGRESO A PS DE CA'!K71</f>
        <v>24.760540000000006</v>
      </c>
      <c r="L71" s="322">
        <f>+'RECHAZADOS A CA'!L71+'INGRESO A PS DE CA'!L71</f>
        <v>25.090199999999999</v>
      </c>
      <c r="M71" s="322">
        <f>+'RECHAZADOS A CA'!M71+'INGRESO A PS DE CA'!M71</f>
        <v>25.425159999999998</v>
      </c>
      <c r="N71" s="322">
        <f>+'RECHAZADOS A CA'!N71+'INGRESO A PS DE CA'!N71</f>
        <v>25.765419999999999</v>
      </c>
      <c r="O71" s="322">
        <f>+'RECHAZADOS A CA'!O71+'INGRESO A PS DE CA'!O71</f>
        <v>26.11204</v>
      </c>
      <c r="P71" s="322">
        <f>+'RECHAZADOS A CA'!P71+'INGRESO A PS DE CA'!P71</f>
        <v>26.46396</v>
      </c>
      <c r="Q71" s="322">
        <f>+'RECHAZADOS A CA'!Q71+'INGRESO A PS DE CA'!Q71</f>
        <v>26.821180000000005</v>
      </c>
      <c r="R71" s="322">
        <f>+'RECHAZADOS A CA'!R71+'INGRESO A PS DE CA'!R71</f>
        <v>27.183700000000002</v>
      </c>
      <c r="S71" s="322">
        <f>+'RECHAZADOS A CA'!S71+'INGRESO A PS DE CA'!S71</f>
        <v>27.553640000000001</v>
      </c>
      <c r="T71" s="322">
        <f>+'RECHAZADOS A CA'!T71+'INGRESO A PS DE CA'!T71</f>
        <v>27.928879999999999</v>
      </c>
      <c r="U71" s="322">
        <f>+'RECHAZADOS A CA'!U71+'INGRESO A PS DE CA'!U71</f>
        <v>28.309420000000003</v>
      </c>
      <c r="V71" s="322">
        <f>+'RECHAZADOS A CA'!V71+'INGRESO A PS DE CA'!V71</f>
        <v>28.697380000000003</v>
      </c>
      <c r="W71" s="322">
        <f>+'RECHAZADOS A CA'!W71+'INGRESO A PS DE CA'!W71</f>
        <v>29.090640000000008</v>
      </c>
      <c r="X71" s="322">
        <f>+'RECHAZADOS A CA'!X71+'INGRESO A PS DE CA'!X71</f>
        <v>29.491319999999998</v>
      </c>
      <c r="Y71" s="322">
        <f>+'RECHAZADOS A CA'!Y71+'INGRESO A PS DE CA'!Y71</f>
        <v>29.89836</v>
      </c>
      <c r="Z71" s="322">
        <f>+'RECHAZADOS A CA'!Z71+'INGRESO A PS DE CA'!Z71</f>
        <v>30.311760000000003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28"/>
      <c r="E72" s="278"/>
      <c r="F72" s="263"/>
      <c r="G72" s="322">
        <f>+'RECHAZADOS A CA'!G72+'INGRESO A PS DE CA'!G72</f>
        <v>8.5762400000000003</v>
      </c>
      <c r="H72" s="322">
        <f>+'RECHAZADOS A CA'!H72+'INGRESO A PS DE CA'!H72</f>
        <v>8.680200000000001</v>
      </c>
      <c r="I72" s="322">
        <f>+'RECHAZADOS A CA'!I72+'INGRESO A PS DE CA'!I72</f>
        <v>8.78416</v>
      </c>
      <c r="J72" s="322">
        <f>+'RECHAZADOS A CA'!J72+'INGRESO A PS DE CA'!J72</f>
        <v>8.8881200000000007</v>
      </c>
      <c r="K72" s="322">
        <f>+'RECHAZADOS A CA'!K72+'INGRESO A PS DE CA'!K72</f>
        <v>8.9920799999999996</v>
      </c>
      <c r="L72" s="322">
        <f>+'RECHAZADOS A CA'!L72+'INGRESO A PS DE CA'!L72</f>
        <v>9.1300799999999995</v>
      </c>
      <c r="M72" s="322">
        <f>+'RECHAZADOS A CA'!M72+'INGRESO A PS DE CA'!M72</f>
        <v>9.2690000000000001</v>
      </c>
      <c r="N72" s="322">
        <f>+'RECHAZADOS A CA'!N72+'INGRESO A PS DE CA'!N72</f>
        <v>9.407</v>
      </c>
      <c r="O72" s="322">
        <f>+'RECHAZADOS A CA'!O72+'INGRESO A PS DE CA'!O72</f>
        <v>9.5449999999999999</v>
      </c>
      <c r="P72" s="322">
        <f>+'RECHAZADOS A CA'!P72+'INGRESO A PS DE CA'!P72</f>
        <v>9.6839200000000005</v>
      </c>
      <c r="Q72" s="322">
        <f>+'RECHAZADOS A CA'!Q72+'INGRESO A PS DE CA'!Q72</f>
        <v>9.8219200000000004</v>
      </c>
      <c r="R72" s="322">
        <f>+'RECHAZADOS A CA'!R72+'INGRESO A PS DE CA'!R72</f>
        <v>9.9599200000000003</v>
      </c>
      <c r="S72" s="322">
        <f>+'RECHAZADOS A CA'!S72+'INGRESO A PS DE CA'!S72</f>
        <v>10.09792</v>
      </c>
      <c r="T72" s="322">
        <f>+'RECHAZADOS A CA'!T72+'INGRESO A PS DE CA'!T72</f>
        <v>10.236840000000001</v>
      </c>
      <c r="U72" s="322">
        <f>+'RECHAZADOS A CA'!U72+'INGRESO A PS DE CA'!U72</f>
        <v>10.374840000000001</v>
      </c>
      <c r="V72" s="322">
        <f>+'RECHAZADOS A CA'!V72+'INGRESO A PS DE CA'!V72</f>
        <v>10.512840000000001</v>
      </c>
      <c r="W72" s="322">
        <f>+'RECHAZADOS A CA'!W72+'INGRESO A PS DE CA'!W72</f>
        <v>10.651759999999999</v>
      </c>
      <c r="X72" s="322">
        <f>+'RECHAZADOS A CA'!X72+'INGRESO A PS DE CA'!X72</f>
        <v>10.789759999999999</v>
      </c>
      <c r="Y72" s="322">
        <f>+'RECHAZADOS A CA'!Y72+'INGRESO A PS DE CA'!Y72</f>
        <v>10.927760000000001</v>
      </c>
      <c r="Z72" s="322">
        <f>+'RECHAZADOS A CA'!Z72+'INGRESO A PS DE CA'!Z72</f>
        <v>11.06668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28"/>
      <c r="E73" s="278"/>
      <c r="F73" s="263"/>
      <c r="G73" s="322">
        <f>+'RECHAZADOS A CA'!G73+'INGRESO A PS DE CA'!G73</f>
        <v>13.171640000000002</v>
      </c>
      <c r="H73" s="322">
        <f>+'RECHAZADOS A CA'!H73+'INGRESO A PS DE CA'!H73</f>
        <v>13.341839999999999</v>
      </c>
      <c r="I73" s="322">
        <f>+'RECHAZADOS A CA'!I73+'INGRESO A PS DE CA'!I73</f>
        <v>13.512040000000001</v>
      </c>
      <c r="J73" s="322">
        <f>+'RECHAZADOS A CA'!J73+'INGRESO A PS DE CA'!J73</f>
        <v>13.683159999999999</v>
      </c>
      <c r="K73" s="322">
        <f>+'RECHAZADOS A CA'!K73+'INGRESO A PS DE CA'!K73</f>
        <v>13.853360000000002</v>
      </c>
      <c r="L73" s="322">
        <f>+'RECHAZADOS A CA'!L73+'INGRESO A PS DE CA'!L73</f>
        <v>14.023560000000002</v>
      </c>
      <c r="M73" s="322">
        <f>+'RECHAZADOS A CA'!M73+'INGRESO A PS DE CA'!M73</f>
        <v>14.193760000000001</v>
      </c>
      <c r="N73" s="322">
        <f>+'RECHAZADOS A CA'!N73+'INGRESO A PS DE CA'!N73</f>
        <v>14.363960000000001</v>
      </c>
      <c r="O73" s="322">
        <f>+'RECHAZADOS A CA'!O73+'INGRESO A PS DE CA'!O73</f>
        <v>14.53416</v>
      </c>
      <c r="P73" s="322">
        <f>+'RECHAZADOS A CA'!P73+'INGRESO A PS DE CA'!P73</f>
        <v>14.704360000000001</v>
      </c>
      <c r="Q73" s="322">
        <f>+'RECHAZADOS A CA'!Q73+'INGRESO A PS DE CA'!Q73</f>
        <v>14.874559999999999</v>
      </c>
      <c r="R73" s="322">
        <f>+'RECHAZADOS A CA'!R73+'INGRESO A PS DE CA'!R73</f>
        <v>15.045680000000001</v>
      </c>
      <c r="S73" s="322">
        <f>+'RECHAZADOS A CA'!S73+'INGRESO A PS DE CA'!S73</f>
        <v>15.215880000000002</v>
      </c>
      <c r="T73" s="322">
        <f>+'RECHAZADOS A CA'!T73+'INGRESO A PS DE CA'!T73</f>
        <v>15.38608</v>
      </c>
      <c r="U73" s="322">
        <f>+'RECHAZADOS A CA'!U73+'INGRESO A PS DE CA'!U73</f>
        <v>15.556280000000001</v>
      </c>
      <c r="V73" s="322">
        <f>+'RECHAZADOS A CA'!V73+'INGRESO A PS DE CA'!V73</f>
        <v>15.726480000000002</v>
      </c>
      <c r="W73" s="322">
        <f>+'RECHAZADOS A CA'!W73+'INGRESO A PS DE CA'!W73</f>
        <v>15.89668</v>
      </c>
      <c r="X73" s="322">
        <f>+'RECHAZADOS A CA'!X73+'INGRESO A PS DE CA'!X73</f>
        <v>16.066880000000001</v>
      </c>
      <c r="Y73" s="322">
        <f>+'RECHAZADOS A CA'!Y73+'INGRESO A PS DE CA'!Y73</f>
        <v>16.238</v>
      </c>
      <c r="Z73" s="322">
        <f>+'RECHAZADOS A CA'!Z73+'INGRESO A PS DE CA'!Z73</f>
        <v>16.408200000000001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28"/>
      <c r="E74" s="278"/>
      <c r="F74" s="263"/>
      <c r="G74" s="322">
        <f>+'RECHAZADOS A CA'!G74+'INGRESO A PS DE CA'!G74</f>
        <v>2.4683600000000001</v>
      </c>
      <c r="H74" s="322">
        <f>+'RECHAZADOS A CA'!H74+'INGRESO A PS DE CA'!H74</f>
        <v>2.5281600000000002</v>
      </c>
      <c r="I74" s="322">
        <f>+'RECHAZADOS A CA'!I74+'INGRESO A PS DE CA'!I74</f>
        <v>2.5888800000000001</v>
      </c>
      <c r="J74" s="322">
        <f>+'RECHAZADOS A CA'!J74+'INGRESO A PS DE CA'!J74</f>
        <v>2.6523600000000003</v>
      </c>
      <c r="K74" s="322">
        <f>+'RECHAZADOS A CA'!K74+'INGRESO A PS DE CA'!K74</f>
        <v>2.7167600000000003</v>
      </c>
      <c r="L74" s="322">
        <f>+'RECHAZADOS A CA'!L74+'INGRESO A PS DE CA'!L74</f>
        <v>2.7829999999999999</v>
      </c>
      <c r="M74" s="322">
        <f>+'RECHAZADOS A CA'!M74+'INGRESO A PS DE CA'!M74</f>
        <v>2.8501600000000002</v>
      </c>
      <c r="N74" s="322">
        <f>+'RECHAZADOS A CA'!N74+'INGRESO A PS DE CA'!N74</f>
        <v>2.9191600000000002</v>
      </c>
      <c r="O74" s="322">
        <f>+'RECHAZADOS A CA'!O74+'INGRESO A PS DE CA'!O74</f>
        <v>2.99092</v>
      </c>
      <c r="P74" s="322">
        <f>+'RECHAZADOS A CA'!P74+'INGRESO A PS DE CA'!P74</f>
        <v>3.0636000000000001</v>
      </c>
      <c r="Q74" s="322">
        <f>+'RECHAZADOS A CA'!Q74+'INGRESO A PS DE CA'!Q74</f>
        <v>3.1372000000000004</v>
      </c>
      <c r="R74" s="322">
        <f>+'RECHAZADOS A CA'!R74+'INGRESO A PS DE CA'!R74</f>
        <v>3.2135600000000002</v>
      </c>
      <c r="S74" s="322">
        <f>+'RECHAZADOS A CA'!S74+'INGRESO A PS DE CA'!S74</f>
        <v>3.29176</v>
      </c>
      <c r="T74" s="322">
        <f>+'RECHAZADOS A CA'!T74+'INGRESO A PS DE CA'!T74</f>
        <v>3.3718000000000004</v>
      </c>
      <c r="U74" s="322">
        <f>+'RECHAZADOS A CA'!U74+'INGRESO A PS DE CA'!U74</f>
        <v>3.4536800000000003</v>
      </c>
      <c r="V74" s="322">
        <f>+'RECHAZADOS A CA'!V74+'INGRESO A PS DE CA'!V74</f>
        <v>3.5373999999999999</v>
      </c>
      <c r="W74" s="322">
        <f>+'RECHAZADOS A CA'!W74+'INGRESO A PS DE CA'!W74</f>
        <v>3.6238800000000002</v>
      </c>
      <c r="X74" s="322">
        <f>+'RECHAZADOS A CA'!X74+'INGRESO A PS DE CA'!X74</f>
        <v>3.7112800000000004</v>
      </c>
      <c r="Y74" s="322">
        <f>+'RECHAZADOS A CA'!Y74+'INGRESO A PS DE CA'!Y74</f>
        <v>3.8014399999999999</v>
      </c>
      <c r="Z74" s="322">
        <f>+'RECHAZADOS A CA'!Z74+'INGRESO A PS DE CA'!Z74</f>
        <v>3.8943600000000003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28"/>
      <c r="E75" s="278"/>
      <c r="F75" s="263"/>
      <c r="G75" s="322">
        <f>+'RECHAZADOS A CA'!G75+'INGRESO A PS DE CA'!G75</f>
        <v>9.6121599999999994</v>
      </c>
      <c r="H75" s="322">
        <f>+'RECHAZADOS A CA'!H75+'INGRESO A PS DE CA'!H75</f>
        <v>9.7750000000000004</v>
      </c>
      <c r="I75" s="322">
        <f>+'RECHAZADOS A CA'!I75+'INGRESO A PS DE CA'!I75</f>
        <v>9.9378399999999996</v>
      </c>
      <c r="J75" s="322">
        <f>+'RECHAZADOS A CA'!J75+'INGRESO A PS DE CA'!J75</f>
        <v>10.100680000000001</v>
      </c>
      <c r="K75" s="322">
        <f>+'RECHAZADOS A CA'!K75+'INGRESO A PS DE CA'!K75</f>
        <v>10.26352</v>
      </c>
      <c r="L75" s="322">
        <f>+'RECHAZADOS A CA'!L75+'INGRESO A PS DE CA'!L75</f>
        <v>10.464079999999999</v>
      </c>
      <c r="M75" s="322">
        <f>+'RECHAZADOS A CA'!M75+'INGRESO A PS DE CA'!M75</f>
        <v>10.663720000000001</v>
      </c>
      <c r="N75" s="322">
        <f>+'RECHAZADOS A CA'!N75+'INGRESO A PS DE CA'!N75</f>
        <v>10.86336</v>
      </c>
      <c r="O75" s="322">
        <f>+'RECHAZADOS A CA'!O75+'INGRESO A PS DE CA'!O75</f>
        <v>11.06392</v>
      </c>
      <c r="P75" s="322">
        <f>+'RECHAZADOS A CA'!P75+'INGRESO A PS DE CA'!P75</f>
        <v>11.263560000000002</v>
      </c>
      <c r="Q75" s="322">
        <f>+'RECHAZADOS A CA'!Q75+'INGRESO A PS DE CA'!Q75</f>
        <v>11.464120000000001</v>
      </c>
      <c r="R75" s="322">
        <f>+'RECHAZADOS A CA'!R75+'INGRESO A PS DE CA'!R75</f>
        <v>11.66376</v>
      </c>
      <c r="S75" s="322">
        <f>+'RECHAZADOS A CA'!S75+'INGRESO A PS DE CA'!S75</f>
        <v>11.864319999999999</v>
      </c>
      <c r="T75" s="322">
        <f>+'RECHAZADOS A CA'!T75+'INGRESO A PS DE CA'!T75</f>
        <v>12.063960000000002</v>
      </c>
      <c r="U75" s="322">
        <f>+'RECHAZADOS A CA'!U75+'INGRESO A PS DE CA'!U75</f>
        <v>12.264520000000001</v>
      </c>
      <c r="V75" s="322">
        <f>+'RECHAZADOS A CA'!V75+'INGRESO A PS DE CA'!V75</f>
        <v>12.46416</v>
      </c>
      <c r="W75" s="322">
        <f>+'RECHAZADOS A CA'!W75+'INGRESO A PS DE CA'!W75</f>
        <v>12.664720000000003</v>
      </c>
      <c r="X75" s="322">
        <f>+'RECHAZADOS A CA'!X75+'INGRESO A PS DE CA'!X75</f>
        <v>12.864360000000001</v>
      </c>
      <c r="Y75" s="322">
        <f>+'RECHAZADOS A CA'!Y75+'INGRESO A PS DE CA'!Y75</f>
        <v>13.064</v>
      </c>
      <c r="Z75" s="322">
        <f>+'RECHAZADOS A CA'!Z75+'INGRESO A PS DE CA'!Z75</f>
        <v>13.264560000000003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28"/>
      <c r="E76" s="278"/>
      <c r="F76" s="263"/>
      <c r="G76" s="322">
        <f>+'RECHAZADOS A CA'!G76+'INGRESO A PS DE CA'!G76</f>
        <v>6.6856400000000002</v>
      </c>
      <c r="H76" s="322">
        <f>+'RECHAZADOS A CA'!H76+'INGRESO A PS DE CA'!H76</f>
        <v>6.7261199999999999</v>
      </c>
      <c r="I76" s="322">
        <f>+'RECHAZADOS A CA'!I76+'INGRESO A PS DE CA'!I76</f>
        <v>6.7666000000000004</v>
      </c>
      <c r="J76" s="322">
        <f>+'RECHAZADOS A CA'!J76+'INGRESO A PS DE CA'!J76</f>
        <v>6.8079999999999998</v>
      </c>
      <c r="K76" s="322">
        <f>+'RECHAZADOS A CA'!K76+'INGRESO A PS DE CA'!K76</f>
        <v>6.8484800000000003</v>
      </c>
      <c r="L76" s="322">
        <f>+'RECHAZADOS A CA'!L76+'INGRESO A PS DE CA'!L76</f>
        <v>6.8898799999999998</v>
      </c>
      <c r="M76" s="322">
        <f>+'RECHAZADOS A CA'!M76+'INGRESO A PS DE CA'!M76</f>
        <v>6.9303600000000003</v>
      </c>
      <c r="N76" s="322">
        <f>+'RECHAZADOS A CA'!N76+'INGRESO A PS DE CA'!N76</f>
        <v>6.9708399999999999</v>
      </c>
      <c r="O76" s="322">
        <f>+'RECHAZADOS A CA'!O76+'INGRESO A PS DE CA'!O76</f>
        <v>7.0122400000000003</v>
      </c>
      <c r="P76" s="322">
        <f>+'RECHAZADOS A CA'!P76+'INGRESO A PS DE CA'!P76</f>
        <v>7.052719999999999</v>
      </c>
      <c r="Q76" s="322">
        <f>+'RECHAZADOS A CA'!Q76+'INGRESO A PS DE CA'!Q76</f>
        <v>7.0941200000000002</v>
      </c>
      <c r="R76" s="322">
        <f>+'RECHAZADOS A CA'!R76+'INGRESO A PS DE CA'!R76</f>
        <v>7.1346000000000007</v>
      </c>
      <c r="S76" s="322">
        <f>+'RECHAZADOS A CA'!S76+'INGRESO A PS DE CA'!S76</f>
        <v>7.1750800000000003</v>
      </c>
      <c r="T76" s="322">
        <f>+'RECHAZADOS A CA'!T76+'INGRESO A PS DE CA'!T76</f>
        <v>7.2164800000000007</v>
      </c>
      <c r="U76" s="322">
        <f>+'RECHAZADOS A CA'!U76+'INGRESO A PS DE CA'!U76</f>
        <v>7.2569600000000003</v>
      </c>
      <c r="V76" s="322">
        <f>+'RECHAZADOS A CA'!V76+'INGRESO A PS DE CA'!V76</f>
        <v>7.2983600000000006</v>
      </c>
      <c r="W76" s="322">
        <f>+'RECHAZADOS A CA'!W76+'INGRESO A PS DE CA'!W76</f>
        <v>7.3388400000000003</v>
      </c>
      <c r="X76" s="322">
        <f>+'RECHAZADOS A CA'!X76+'INGRESO A PS DE CA'!X76</f>
        <v>7.3802400000000006</v>
      </c>
      <c r="Y76" s="322">
        <f>+'RECHAZADOS A CA'!Y76+'INGRESO A PS DE CA'!Y76</f>
        <v>7.4207200000000002</v>
      </c>
      <c r="Z76" s="322">
        <f>+'RECHAZADOS A CA'!Z76+'INGRESO A PS DE CA'!Z76</f>
        <v>7.4612000000000016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28"/>
      <c r="E77" s="278"/>
      <c r="F77" s="263"/>
      <c r="G77" s="322">
        <f>+'RECHAZADOS A CA'!G77+'INGRESO A PS DE CA'!G77</f>
        <v>1073.1467700000001</v>
      </c>
      <c r="H77" s="322">
        <f>+'RECHAZADOS A CA'!H77+'INGRESO A PS DE CA'!H77</f>
        <v>1081.5489599999999</v>
      </c>
      <c r="I77" s="322">
        <f>+'RECHAZADOS A CA'!I77+'INGRESO A PS DE CA'!I77</f>
        <v>1090.0202400000001</v>
      </c>
      <c r="J77" s="322">
        <f>+'RECHAZADOS A CA'!J77+'INGRESO A PS DE CA'!J77</f>
        <v>1098.55638</v>
      </c>
      <c r="K77" s="322">
        <f>+'RECHAZADOS A CA'!K77+'INGRESO A PS DE CA'!K77</f>
        <v>1107.1602</v>
      </c>
      <c r="L77" s="322">
        <f>+'RECHAZADOS A CA'!L77+'INGRESO A PS DE CA'!L77</f>
        <v>1115.8317</v>
      </c>
      <c r="M77" s="322">
        <f>+'RECHAZADOS A CA'!M77+'INGRESO A PS DE CA'!M77</f>
        <v>1124.5694699999999</v>
      </c>
      <c r="N77" s="322">
        <f>+'RECHAZADOS A CA'!N77+'INGRESO A PS DE CA'!N77</f>
        <v>1133.3777399999999</v>
      </c>
      <c r="O77" s="322">
        <f>+'RECHAZADOS A CA'!O77+'INGRESO A PS DE CA'!O77</f>
        <v>1142.25369</v>
      </c>
      <c r="P77" s="322">
        <f>+'RECHAZADOS A CA'!P77+'INGRESO A PS DE CA'!P77</f>
        <v>1151.1987300000001</v>
      </c>
      <c r="Q77" s="322">
        <f>+'RECHAZADOS A CA'!Q77+'INGRESO A PS DE CA'!Q77</f>
        <v>1160.2142699999999</v>
      </c>
      <c r="R77" s="322">
        <f>+'RECHAZADOS A CA'!R77+'INGRESO A PS DE CA'!R77</f>
        <v>1169.3003099999999</v>
      </c>
      <c r="S77" s="322">
        <f>+'RECHAZADOS A CA'!S77+'INGRESO A PS DE CA'!S77</f>
        <v>1178.4582600000001</v>
      </c>
      <c r="T77" s="322">
        <f>+'RECHAZADOS A CA'!T77+'INGRESO A PS DE CA'!T77</f>
        <v>1187.6867099999999</v>
      </c>
      <c r="U77" s="322">
        <f>+'RECHAZADOS A CA'!U77+'INGRESO A PS DE CA'!U77</f>
        <v>1196.98848</v>
      </c>
      <c r="V77" s="322">
        <f>+'RECHAZADOS A CA'!V77+'INGRESO A PS DE CA'!V77</f>
        <v>1206.3621599999999</v>
      </c>
      <c r="W77" s="322">
        <f>+'RECHAZADOS A CA'!W77+'INGRESO A PS DE CA'!W77</f>
        <v>1215.8105699999999</v>
      </c>
      <c r="X77" s="322">
        <f>+'RECHAZADOS A CA'!X77+'INGRESO A PS DE CA'!X77</f>
        <v>1225.3337099999999</v>
      </c>
      <c r="Y77" s="322">
        <f>+'RECHAZADOS A CA'!Y77+'INGRESO A PS DE CA'!Y77</f>
        <v>1234.92876</v>
      </c>
      <c r="Z77" s="322">
        <f>+'RECHAZADOS A CA'!Z77+'INGRESO A PS DE CA'!Z77</f>
        <v>1244.59995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28"/>
      <c r="E78" s="278"/>
      <c r="F78" s="263"/>
      <c r="G78" s="322">
        <f>+'RECHAZADOS A CA'!G78+'INGRESO A PS DE CA'!G78</f>
        <v>155.98554000000001</v>
      </c>
      <c r="H78" s="322">
        <f>+'RECHAZADOS A CA'!H78+'INGRESO A PS DE CA'!H78</f>
        <v>160.91723999999999</v>
      </c>
      <c r="I78" s="322">
        <f>+'RECHAZADOS A CA'!I78+'INGRESO A PS DE CA'!I78</f>
        <v>165.92952</v>
      </c>
      <c r="J78" s="322">
        <f>+'RECHAZADOS A CA'!J78+'INGRESO A PS DE CA'!J78</f>
        <v>171.02442000000002</v>
      </c>
      <c r="K78" s="322">
        <f>+'RECHAZADOS A CA'!K78+'INGRESO A PS DE CA'!K78</f>
        <v>176.20194000000001</v>
      </c>
      <c r="L78" s="322">
        <f>+'RECHAZADOS A CA'!L78+'INGRESO A PS DE CA'!L78</f>
        <v>181.4631</v>
      </c>
      <c r="M78" s="322">
        <f>+'RECHAZADOS A CA'!M78+'INGRESO A PS DE CA'!M78</f>
        <v>186.81095999999999</v>
      </c>
      <c r="N78" s="322">
        <f>+'RECHAZADOS A CA'!N78+'INGRESO A PS DE CA'!N78</f>
        <v>192.24654000000001</v>
      </c>
      <c r="O78" s="322">
        <f>+'RECHAZADOS A CA'!O78+'INGRESO A PS DE CA'!O78</f>
        <v>197.76983999999999</v>
      </c>
      <c r="P78" s="322">
        <f>+'RECHAZADOS A CA'!P78+'INGRESO A PS DE CA'!P78</f>
        <v>203.38290000000001</v>
      </c>
      <c r="Q78" s="322">
        <f>+'RECHAZADOS A CA'!Q78+'INGRESO A PS DE CA'!Q78</f>
        <v>209.08877999999999</v>
      </c>
      <c r="R78" s="322">
        <f>+'RECHAZADOS A CA'!R78+'INGRESO A PS DE CA'!R78</f>
        <v>214.88646</v>
      </c>
      <c r="S78" s="322">
        <f>+'RECHAZADOS A CA'!S78+'INGRESO A PS DE CA'!S78</f>
        <v>220.78001999999998</v>
      </c>
      <c r="T78" s="322">
        <f>+'RECHAZADOS A CA'!T78+'INGRESO A PS DE CA'!T78</f>
        <v>226.76844</v>
      </c>
      <c r="U78" s="322">
        <f>+'RECHAZADOS A CA'!U78+'INGRESO A PS DE CA'!U78</f>
        <v>232.85579999999999</v>
      </c>
      <c r="V78" s="322">
        <f>+'RECHAZADOS A CA'!V78+'INGRESO A PS DE CA'!V78</f>
        <v>239.0421</v>
      </c>
      <c r="W78" s="322">
        <f>+'RECHAZADOS A CA'!W78+'INGRESO A PS DE CA'!W78</f>
        <v>245.32836</v>
      </c>
      <c r="X78" s="322">
        <f>+'RECHAZADOS A CA'!X78+'INGRESO A PS DE CA'!X78</f>
        <v>251.71764000000002</v>
      </c>
      <c r="Y78" s="322">
        <f>+'RECHAZADOS A CA'!Y78+'INGRESO A PS DE CA'!Y78</f>
        <v>258.21197999999998</v>
      </c>
      <c r="Z78" s="322">
        <f>+'RECHAZADOS A CA'!Z78+'INGRESO A PS DE CA'!Z78</f>
        <v>264.81137999999999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28"/>
      <c r="E79" s="278"/>
      <c r="F79" s="263"/>
      <c r="G79" s="322">
        <f>+'RECHAZADOS A CA'!G79+'INGRESO A PS DE CA'!G79</f>
        <v>17.446540000000002</v>
      </c>
      <c r="H79" s="322">
        <f>+'RECHAZADOS A CA'!H79+'INGRESO A PS DE CA'!H79</f>
        <v>17.5748</v>
      </c>
      <c r="I79" s="322">
        <f>+'RECHAZADOS A CA'!I79+'INGRESO A PS DE CA'!I79</f>
        <v>17.704120000000003</v>
      </c>
      <c r="J79" s="322">
        <f>+'RECHAZADOS A CA'!J79+'INGRESO A PS DE CA'!J79</f>
        <v>17.832380000000001</v>
      </c>
      <c r="K79" s="322">
        <f>+'RECHAZADOS A CA'!K79+'INGRESO A PS DE CA'!K79</f>
        <v>17.9617</v>
      </c>
      <c r="L79" s="322">
        <f>+'RECHAZADOS A CA'!L79+'INGRESO A PS DE CA'!L79</f>
        <v>18.089959999999998</v>
      </c>
      <c r="M79" s="322">
        <f>+'RECHAZADOS A CA'!M79+'INGRESO A PS DE CA'!M79</f>
        <v>18.219280000000001</v>
      </c>
      <c r="N79" s="322">
        <f>+'RECHAZADOS A CA'!N79+'INGRESO A PS DE CA'!N79</f>
        <v>18.347540000000002</v>
      </c>
      <c r="O79" s="322">
        <f>+'RECHAZADOS A CA'!O79+'INGRESO A PS DE CA'!O79</f>
        <v>18.4758</v>
      </c>
      <c r="P79" s="322">
        <f>+'RECHAZADOS A CA'!P79+'INGRESO A PS DE CA'!P79</f>
        <v>18.605120000000003</v>
      </c>
      <c r="Q79" s="322">
        <f>+'RECHAZADOS A CA'!Q79+'INGRESO A PS DE CA'!Q79</f>
        <v>18.73338</v>
      </c>
      <c r="R79" s="322">
        <f>+'RECHAZADOS A CA'!R79+'INGRESO A PS DE CA'!R79</f>
        <v>18.8627</v>
      </c>
      <c r="S79" s="322">
        <f>+'RECHAZADOS A CA'!S79+'INGRESO A PS DE CA'!S79</f>
        <v>18.990960000000001</v>
      </c>
      <c r="T79" s="322">
        <f>+'RECHAZADOS A CA'!T79+'INGRESO A PS DE CA'!T79</f>
        <v>19.120280000000001</v>
      </c>
      <c r="U79" s="322">
        <f>+'RECHAZADOS A CA'!U79+'INGRESO A PS DE CA'!U79</f>
        <v>19.248540000000002</v>
      </c>
      <c r="V79" s="322">
        <f>+'RECHAZADOS A CA'!V79+'INGRESO A PS DE CA'!V79</f>
        <v>19.376799999999999</v>
      </c>
      <c r="W79" s="322">
        <f>+'RECHAZADOS A CA'!W79+'INGRESO A PS DE CA'!W79</f>
        <v>19.506120000000003</v>
      </c>
      <c r="X79" s="322">
        <f>+'RECHAZADOS A CA'!X79+'INGRESO A PS DE CA'!X79</f>
        <v>19.63438</v>
      </c>
      <c r="Y79" s="322">
        <f>+'RECHAZADOS A CA'!Y79+'INGRESO A PS DE CA'!Y79</f>
        <v>19.7637</v>
      </c>
      <c r="Z79" s="322">
        <f>+'RECHAZADOS A CA'!Z79+'INGRESO A PS DE CA'!Z79</f>
        <v>19.891960000000005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28"/>
      <c r="E80" s="278"/>
      <c r="F80" s="263"/>
      <c r="G80" s="322">
        <f>+'RECHAZADOS A CA'!G80+'INGRESO A PS DE CA'!G80</f>
        <v>23.817139999999998</v>
      </c>
      <c r="H80" s="322">
        <f>+'RECHAZADOS A CA'!H80+'INGRESO A PS DE CA'!H80</f>
        <v>24.126660000000001</v>
      </c>
      <c r="I80" s="322">
        <f>+'RECHAZADOS A CA'!I80+'INGRESO A PS DE CA'!I80</f>
        <v>24.440420000000003</v>
      </c>
      <c r="J80" s="322">
        <f>+'RECHAZADOS A CA'!J80+'INGRESO A PS DE CA'!J80</f>
        <v>24.757360000000002</v>
      </c>
      <c r="K80" s="322">
        <f>+'RECHAZADOS A CA'!K80+'INGRESO A PS DE CA'!K80</f>
        <v>25.079600000000003</v>
      </c>
      <c r="L80" s="322">
        <f>+'RECHAZADOS A CA'!L80+'INGRESO A PS DE CA'!L80</f>
        <v>25.40502</v>
      </c>
      <c r="M80" s="322">
        <f>+'RECHAZADOS A CA'!M80+'INGRESO A PS DE CA'!M80</f>
        <v>25.73574</v>
      </c>
      <c r="N80" s="322">
        <f>+'RECHAZADOS A CA'!N80+'INGRESO A PS DE CA'!N80</f>
        <v>26.069640000000007</v>
      </c>
      <c r="O80" s="322">
        <f>+'RECHAZADOS A CA'!O80+'INGRESO A PS DE CA'!O80</f>
        <v>26.408840000000001</v>
      </c>
      <c r="P80" s="322">
        <f>+'RECHAZADOS A CA'!P80+'INGRESO A PS DE CA'!P80</f>
        <v>26.752280000000003</v>
      </c>
      <c r="Q80" s="322">
        <f>+'RECHAZADOS A CA'!Q80+'INGRESO A PS DE CA'!Q80</f>
        <v>27.099960000000003</v>
      </c>
      <c r="R80" s="322">
        <f>+'RECHAZADOS A CA'!R80+'INGRESO A PS DE CA'!R80</f>
        <v>27.451880000000003</v>
      </c>
      <c r="S80" s="322">
        <f>+'RECHAZADOS A CA'!S80+'INGRESO A PS DE CA'!S80</f>
        <v>27.809100000000001</v>
      </c>
      <c r="T80" s="322">
        <f>+'RECHAZADOS A CA'!T80+'INGRESO A PS DE CA'!T80</f>
        <v>28.170560000000002</v>
      </c>
      <c r="U80" s="322">
        <f>+'RECHAZADOS A CA'!U80+'INGRESO A PS DE CA'!U80</f>
        <v>28.536259999999999</v>
      </c>
      <c r="V80" s="322">
        <f>+'RECHAZADOS A CA'!V80+'INGRESO A PS DE CA'!V80</f>
        <v>28.907260000000001</v>
      </c>
      <c r="W80" s="322">
        <f>+'RECHAZADOS A CA'!W80+'INGRESO A PS DE CA'!W80</f>
        <v>29.282499999999999</v>
      </c>
      <c r="X80" s="322">
        <f>+'RECHAZADOS A CA'!X80+'INGRESO A PS DE CA'!X80</f>
        <v>29.663040000000002</v>
      </c>
      <c r="Y80" s="322">
        <f>+'RECHAZADOS A CA'!Y80+'INGRESO A PS DE CA'!Y80</f>
        <v>30.04888</v>
      </c>
      <c r="Z80" s="322">
        <f>+'RECHAZADOS A CA'!Z80+'INGRESO A PS DE CA'!Z80</f>
        <v>30.438960000000002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28"/>
      <c r="E81" s="278"/>
      <c r="F81" s="263"/>
      <c r="G81" s="322">
        <f>+'RECHAZADOS A CA'!G81+'INGRESO A PS DE CA'!G81</f>
        <v>2.6735199999999999</v>
      </c>
      <c r="H81" s="322">
        <f>+'RECHAZADOS A CA'!H81+'INGRESO A PS DE CA'!H81</f>
        <v>2.6790400000000001</v>
      </c>
      <c r="I81" s="322">
        <f>+'RECHAZADOS A CA'!I81+'INGRESO A PS DE CA'!I81</f>
        <v>2.6836400000000005</v>
      </c>
      <c r="J81" s="322">
        <f>+'RECHAZADOS A CA'!J81+'INGRESO A PS DE CA'!J81</f>
        <v>2.6891600000000002</v>
      </c>
      <c r="K81" s="322">
        <f>+'RECHAZADOS A CA'!K81+'INGRESO A PS DE CA'!K81</f>
        <v>2.6946800000000004</v>
      </c>
      <c r="L81" s="322">
        <f>+'RECHAZADOS A CA'!L81+'INGRESO A PS DE CA'!L81</f>
        <v>2.7002000000000002</v>
      </c>
      <c r="M81" s="322">
        <f>+'RECHAZADOS A CA'!M81+'INGRESO A PS DE CA'!M81</f>
        <v>2.7048000000000001</v>
      </c>
      <c r="N81" s="322">
        <f>+'RECHAZADOS A CA'!N81+'INGRESO A PS DE CA'!N81</f>
        <v>2.7103200000000003</v>
      </c>
      <c r="O81" s="322">
        <f>+'RECHAZADOS A CA'!O81+'INGRESO A PS DE CA'!O81</f>
        <v>2.71584</v>
      </c>
      <c r="P81" s="322">
        <f>+'RECHAZADOS A CA'!P81+'INGRESO A PS DE CA'!P81</f>
        <v>2.72044</v>
      </c>
      <c r="Q81" s="322">
        <f>+'RECHAZADOS A CA'!Q81+'INGRESO A PS DE CA'!Q81</f>
        <v>2.7259600000000002</v>
      </c>
      <c r="R81" s="322">
        <f>+'RECHAZADOS A CA'!R81+'INGRESO A PS DE CA'!R81</f>
        <v>2.7314799999999999</v>
      </c>
      <c r="S81" s="322">
        <f>+'RECHAZADOS A CA'!S81+'INGRESO A PS DE CA'!S81</f>
        <v>2.7370000000000001</v>
      </c>
      <c r="T81" s="322">
        <f>+'RECHAZADOS A CA'!T81+'INGRESO A PS DE CA'!T81</f>
        <v>2.7416</v>
      </c>
      <c r="U81" s="322">
        <f>+'RECHAZADOS A CA'!U81+'INGRESO A PS DE CA'!U81</f>
        <v>2.7471200000000002</v>
      </c>
      <c r="V81" s="322">
        <f>+'RECHAZADOS A CA'!V81+'INGRESO A PS DE CA'!V81</f>
        <v>2.7526400000000004</v>
      </c>
      <c r="W81" s="322">
        <f>+'RECHAZADOS A CA'!W81+'INGRESO A PS DE CA'!W81</f>
        <v>2.7581600000000002</v>
      </c>
      <c r="X81" s="322">
        <f>+'RECHAZADOS A CA'!X81+'INGRESO A PS DE CA'!X81</f>
        <v>2.7627600000000001</v>
      </c>
      <c r="Y81" s="322">
        <f>+'RECHAZADOS A CA'!Y81+'INGRESO A PS DE CA'!Y81</f>
        <v>2.7682800000000003</v>
      </c>
      <c r="Z81" s="322">
        <f>+'RECHAZADOS A CA'!Z81+'INGRESO A PS DE CA'!Z81</f>
        <v>2.7738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28"/>
      <c r="E82" s="278"/>
      <c r="F82" s="263"/>
      <c r="G82" s="322">
        <f>+'RECHAZADOS A CA'!G82+'INGRESO A PS DE CA'!G82</f>
        <v>8.7206799999999998</v>
      </c>
      <c r="H82" s="322">
        <f>+'RECHAZADOS A CA'!H82+'INGRESO A PS DE CA'!H82</f>
        <v>8.7712800000000009</v>
      </c>
      <c r="I82" s="322">
        <f>+'RECHAZADOS A CA'!I82+'INGRESO A PS DE CA'!I82</f>
        <v>8.8218800000000002</v>
      </c>
      <c r="J82" s="322">
        <f>+'RECHAZADOS A CA'!J82+'INGRESO A PS DE CA'!J82</f>
        <v>8.8724799999999995</v>
      </c>
      <c r="K82" s="322">
        <f>+'RECHAZADOS A CA'!K82+'INGRESO A PS DE CA'!K82</f>
        <v>8.9239999999999995</v>
      </c>
      <c r="L82" s="322">
        <f>+'RECHAZADOS A CA'!L82+'INGRESO A PS DE CA'!L82</f>
        <v>8.9755200000000013</v>
      </c>
      <c r="M82" s="322">
        <f>+'RECHAZADOS A CA'!M82+'INGRESO A PS DE CA'!M82</f>
        <v>9.0270400000000013</v>
      </c>
      <c r="N82" s="322">
        <f>+'RECHAZADOS A CA'!N82+'INGRESO A PS DE CA'!N82</f>
        <v>9.0794800000000002</v>
      </c>
      <c r="O82" s="322">
        <f>+'RECHAZADOS A CA'!O82+'INGRESO A PS DE CA'!O82</f>
        <v>9.1319200000000009</v>
      </c>
      <c r="P82" s="322">
        <f>+'RECHAZADOS A CA'!P82+'INGRESO A PS DE CA'!P82</f>
        <v>9.1843599999999999</v>
      </c>
      <c r="Q82" s="322">
        <f>+'RECHAZADOS A CA'!Q82+'INGRESO A PS DE CA'!Q82</f>
        <v>9.2377200000000013</v>
      </c>
      <c r="R82" s="322">
        <f>+'RECHAZADOS A CA'!R82+'INGRESO A PS DE CA'!R82</f>
        <v>9.2910799999999991</v>
      </c>
      <c r="S82" s="322">
        <f>+'RECHAZADOS A CA'!S82+'INGRESO A PS DE CA'!S82</f>
        <v>9.3444400000000005</v>
      </c>
      <c r="T82" s="322">
        <f>+'RECHAZADOS A CA'!T82+'INGRESO A PS DE CA'!T82</f>
        <v>9.3987200000000009</v>
      </c>
      <c r="U82" s="322">
        <f>+'RECHAZADOS A CA'!U82+'INGRESO A PS DE CA'!U82</f>
        <v>9.4529999999999994</v>
      </c>
      <c r="V82" s="322">
        <f>+'RECHAZADOS A CA'!V82+'INGRESO A PS DE CA'!V82</f>
        <v>9.5072800000000015</v>
      </c>
      <c r="W82" s="322">
        <f>+'RECHAZADOS A CA'!W82+'INGRESO A PS DE CA'!W82</f>
        <v>9.562479999999999</v>
      </c>
      <c r="X82" s="322">
        <f>+'RECHAZADOS A CA'!X82+'INGRESO A PS DE CA'!X82</f>
        <v>9.61768</v>
      </c>
      <c r="Y82" s="322">
        <f>+'RECHAZADOS A CA'!Y82+'INGRESO A PS DE CA'!Y82</f>
        <v>9.672880000000001</v>
      </c>
      <c r="Z82" s="322">
        <f>+'RECHAZADOS A CA'!Z82+'INGRESO A PS DE CA'!Z82</f>
        <v>9.7289999999999992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28"/>
      <c r="E83" s="278"/>
      <c r="F83" s="263"/>
      <c r="G83" s="322">
        <f>+'RECHAZADOS A CA'!G83+'INGRESO A PS DE CA'!G83</f>
        <v>100.33332</v>
      </c>
      <c r="H83" s="322">
        <f>+'RECHAZADOS A CA'!H83+'INGRESO A PS DE CA'!H83</f>
        <v>101.00754000000001</v>
      </c>
      <c r="I83" s="322">
        <f>+'RECHAZADOS A CA'!I83+'INGRESO A PS DE CA'!I83</f>
        <v>101.68074</v>
      </c>
      <c r="J83" s="322">
        <f>+'RECHAZADOS A CA'!J83+'INGRESO A PS DE CA'!J83</f>
        <v>102.35394000000001</v>
      </c>
      <c r="K83" s="322">
        <f>+'RECHAZADOS A CA'!K83+'INGRESO A PS DE CA'!K83</f>
        <v>103.02714</v>
      </c>
      <c r="L83" s="322">
        <f>+'RECHAZADOS A CA'!L83+'INGRESO A PS DE CA'!L83</f>
        <v>103.70034</v>
      </c>
      <c r="M83" s="322">
        <f>+'RECHAZADOS A CA'!M83+'INGRESO A PS DE CA'!M83</f>
        <v>104.37354000000001</v>
      </c>
      <c r="N83" s="322">
        <f>+'RECHAZADOS A CA'!N83+'INGRESO A PS DE CA'!N83</f>
        <v>105.04674</v>
      </c>
      <c r="O83" s="322">
        <f>+'RECHAZADOS A CA'!O83+'INGRESO A PS DE CA'!O83</f>
        <v>105.71994000000001</v>
      </c>
      <c r="P83" s="322">
        <f>+'RECHAZADOS A CA'!P83+'INGRESO A PS DE CA'!P83</f>
        <v>106.39313999999999</v>
      </c>
      <c r="Q83" s="322">
        <f>+'RECHAZADOS A CA'!Q83+'INGRESO A PS DE CA'!Q83</f>
        <v>107.06634</v>
      </c>
      <c r="R83" s="322">
        <f>+'RECHAZADOS A CA'!R83+'INGRESO A PS DE CA'!R83</f>
        <v>107.73954000000001</v>
      </c>
      <c r="S83" s="322">
        <f>+'RECHAZADOS A CA'!S83+'INGRESO A PS DE CA'!S83</f>
        <v>108.41376</v>
      </c>
      <c r="T83" s="322">
        <f>+'RECHAZADOS A CA'!T83+'INGRESO A PS DE CA'!T83</f>
        <v>109.08696</v>
      </c>
      <c r="U83" s="322">
        <f>+'RECHAZADOS A CA'!U83+'INGRESO A PS DE CA'!U83</f>
        <v>109.76016</v>
      </c>
      <c r="V83" s="322">
        <f>+'RECHAZADOS A CA'!V83+'INGRESO A PS DE CA'!V83</f>
        <v>110.43336000000002</v>
      </c>
      <c r="W83" s="322">
        <f>+'RECHAZADOS A CA'!W83+'INGRESO A PS DE CA'!W83</f>
        <v>111.10656</v>
      </c>
      <c r="X83" s="322">
        <f>+'RECHAZADOS A CA'!X83+'INGRESO A PS DE CA'!X83</f>
        <v>111.77976000000001</v>
      </c>
      <c r="Y83" s="322">
        <f>+'RECHAZADOS A CA'!Y83+'INGRESO A PS DE CA'!Y83</f>
        <v>112.45296</v>
      </c>
      <c r="Z83" s="322">
        <f>+'RECHAZADOS A CA'!Z83+'INGRESO A PS DE CA'!Z83</f>
        <v>113.12616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28"/>
      <c r="E84" s="278"/>
      <c r="F84" s="263"/>
      <c r="G84" s="322">
        <f>+'RECHAZADOS A CA'!G84+'INGRESO A PS DE CA'!G84</f>
        <v>101.71032000000001</v>
      </c>
      <c r="H84" s="322">
        <f>+'RECHAZADOS A CA'!H84+'INGRESO A PS DE CA'!H84</f>
        <v>104.53368</v>
      </c>
      <c r="I84" s="322">
        <f>+'RECHAZADOS A CA'!I84+'INGRESO A PS DE CA'!I84</f>
        <v>107.355</v>
      </c>
      <c r="J84" s="322">
        <f>+'RECHAZADOS A CA'!J84+'INGRESO A PS DE CA'!J84</f>
        <v>110.17836</v>
      </c>
      <c r="K84" s="322">
        <f>+'RECHAZADOS A CA'!K84+'INGRESO A PS DE CA'!K84</f>
        <v>113.00069999999999</v>
      </c>
      <c r="L84" s="322">
        <f>+'RECHAZADOS A CA'!L84+'INGRESO A PS DE CA'!L84</f>
        <v>116.45952</v>
      </c>
      <c r="M84" s="322">
        <f>+'RECHAZADOS A CA'!M84+'INGRESO A PS DE CA'!M84</f>
        <v>119.91936000000001</v>
      </c>
      <c r="N84" s="322">
        <f>+'RECHAZADOS A CA'!N84+'INGRESO A PS DE CA'!N84</f>
        <v>123.37818000000001</v>
      </c>
      <c r="O84" s="322">
        <f>+'RECHAZADOS A CA'!O84+'INGRESO A PS DE CA'!O84</f>
        <v>126.837</v>
      </c>
      <c r="P84" s="322">
        <f>+'RECHAZADOS A CA'!P84+'INGRESO A PS DE CA'!P84</f>
        <v>130.29684</v>
      </c>
      <c r="Q84" s="322">
        <f>+'RECHAZADOS A CA'!Q84+'INGRESO A PS DE CA'!Q84</f>
        <v>133.75566000000001</v>
      </c>
      <c r="R84" s="322">
        <f>+'RECHAZADOS A CA'!R84+'INGRESO A PS DE CA'!R84</f>
        <v>137.21549999999999</v>
      </c>
      <c r="S84" s="322">
        <f>+'RECHAZADOS A CA'!S84+'INGRESO A PS DE CA'!S84</f>
        <v>140.67431999999999</v>
      </c>
      <c r="T84" s="322">
        <f>+'RECHAZADOS A CA'!T84+'INGRESO A PS DE CA'!T84</f>
        <v>144.13314000000003</v>
      </c>
      <c r="U84" s="322">
        <f>+'RECHAZADOS A CA'!U84+'INGRESO A PS DE CA'!U84</f>
        <v>147.59298000000001</v>
      </c>
      <c r="V84" s="322">
        <f>+'RECHAZADOS A CA'!V84+'INGRESO A PS DE CA'!V84</f>
        <v>151.05179999999999</v>
      </c>
      <c r="W84" s="322">
        <f>+'RECHAZADOS A CA'!W84+'INGRESO A PS DE CA'!W84</f>
        <v>154.51164</v>
      </c>
      <c r="X84" s="322">
        <f>+'RECHAZADOS A CA'!X84+'INGRESO A PS DE CA'!X84</f>
        <v>157.97046</v>
      </c>
      <c r="Y84" s="322">
        <f>+'RECHAZADOS A CA'!Y84+'INGRESO A PS DE CA'!Y84</f>
        <v>161.43029999999999</v>
      </c>
      <c r="Z84" s="322">
        <f>+'RECHAZADOS A CA'!Z84+'INGRESO A PS DE CA'!Z84</f>
        <v>164.88911999999999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28"/>
      <c r="E85" s="278"/>
      <c r="F85" s="263"/>
      <c r="G85" s="322">
        <f>+'RECHAZADOS A CA'!G85+'INGRESO A PS DE CA'!G85</f>
        <v>64.752660000000006</v>
      </c>
      <c r="H85" s="322">
        <f>+'RECHAZADOS A CA'!H85+'INGRESO A PS DE CA'!H85</f>
        <v>65.928719999999998</v>
      </c>
      <c r="I85" s="322">
        <f>+'RECHAZADOS A CA'!I85+'INGRESO A PS DE CA'!I85</f>
        <v>67.102740000000011</v>
      </c>
      <c r="J85" s="322">
        <f>+'RECHAZADOS A CA'!J85+'INGRESO A PS DE CA'!J85</f>
        <v>68.277779999999993</v>
      </c>
      <c r="K85" s="322">
        <f>+'RECHAZADOS A CA'!K85+'INGRESO A PS DE CA'!K85</f>
        <v>69.45384</v>
      </c>
      <c r="L85" s="322">
        <f>+'RECHAZADOS A CA'!L85+'INGRESO A PS DE CA'!L85</f>
        <v>70.628880000000009</v>
      </c>
      <c r="M85" s="322">
        <f>+'RECHAZADOS A CA'!M85+'INGRESO A PS DE CA'!M85</f>
        <v>71.802899999999994</v>
      </c>
      <c r="N85" s="322">
        <f>+'RECHAZADOS A CA'!N85+'INGRESO A PS DE CA'!N85</f>
        <v>72.978960000000001</v>
      </c>
      <c r="O85" s="322">
        <f>+'RECHAZADOS A CA'!O85+'INGRESO A PS DE CA'!O85</f>
        <v>74.153999999999996</v>
      </c>
      <c r="P85" s="322">
        <f>+'RECHAZADOS A CA'!P85+'INGRESO A PS DE CA'!P85</f>
        <v>75.329040000000006</v>
      </c>
      <c r="Q85" s="322">
        <f>+'RECHAZADOS A CA'!Q85+'INGRESO A PS DE CA'!Q85</f>
        <v>76.505099999999999</v>
      </c>
      <c r="R85" s="322">
        <f>+'RECHAZADOS A CA'!R85+'INGRESO A PS DE CA'!R85</f>
        <v>77.679119999999998</v>
      </c>
      <c r="S85" s="322">
        <f>+'RECHAZADOS A CA'!S85+'INGRESO A PS DE CA'!S85</f>
        <v>78.854160000000007</v>
      </c>
      <c r="T85" s="322">
        <f>+'RECHAZADOS A CA'!T85+'INGRESO A PS DE CA'!T85</f>
        <v>80.03022</v>
      </c>
      <c r="U85" s="322">
        <f>+'RECHAZADOS A CA'!U85+'INGRESO A PS DE CA'!U85</f>
        <v>81.205259999999996</v>
      </c>
      <c r="V85" s="322">
        <f>+'RECHAZADOS A CA'!V85+'INGRESO A PS DE CA'!V85</f>
        <v>82.380300000000005</v>
      </c>
      <c r="W85" s="322">
        <f>+'RECHAZADOS A CA'!W85+'INGRESO A PS DE CA'!W85</f>
        <v>83.555340000000001</v>
      </c>
      <c r="X85" s="322">
        <f>+'RECHAZADOS A CA'!X85+'INGRESO A PS DE CA'!X85</f>
        <v>84.730380000000011</v>
      </c>
      <c r="Y85" s="322">
        <f>+'RECHAZADOS A CA'!Y85+'INGRESO A PS DE CA'!Y85</f>
        <v>85.905419999999992</v>
      </c>
      <c r="Z85" s="322">
        <f>+'RECHAZADOS A CA'!Z85+'INGRESO A PS DE CA'!Z85</f>
        <v>87.081479999999999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28"/>
      <c r="E86" s="278"/>
      <c r="F86" s="263"/>
      <c r="G86" s="322">
        <f>+'RECHAZADOS A CA'!G86+'INGRESO A PS DE CA'!G86</f>
        <v>1084.1701499999999</v>
      </c>
      <c r="H86" s="322">
        <f>+'RECHAZADOS A CA'!H86+'INGRESO A PS DE CA'!H86</f>
        <v>1096.34268</v>
      </c>
      <c r="I86" s="322">
        <f>+'RECHAZADOS A CA'!I86+'INGRESO A PS DE CA'!I86</f>
        <v>1108.6505699999998</v>
      </c>
      <c r="J86" s="322">
        <f>+'RECHAZADOS A CA'!J86+'INGRESO A PS DE CA'!J86</f>
        <v>1121.0980500000001</v>
      </c>
      <c r="K86" s="322">
        <f>+'RECHAZADOS A CA'!K86+'INGRESO A PS DE CA'!K86</f>
        <v>1133.68371</v>
      </c>
      <c r="L86" s="322">
        <f>+'RECHAZADOS A CA'!L86+'INGRESO A PS DE CA'!L86</f>
        <v>1146.4117800000001</v>
      </c>
      <c r="M86" s="322">
        <f>+'RECHAZADOS A CA'!M86+'INGRESO A PS DE CA'!M86</f>
        <v>1159.28226</v>
      </c>
      <c r="N86" s="322">
        <f>+'RECHAZADOS A CA'!N86+'INGRESO A PS DE CA'!N86</f>
        <v>1172.2979700000001</v>
      </c>
      <c r="O86" s="322">
        <f>+'RECHAZADOS A CA'!O86+'INGRESO A PS DE CA'!O86</f>
        <v>1185.4589099999998</v>
      </c>
      <c r="P86" s="322">
        <f>+'RECHAZADOS A CA'!P86+'INGRESO A PS DE CA'!P86</f>
        <v>1198.7678999999998</v>
      </c>
      <c r="Q86" s="322">
        <f>+'RECHAZADOS A CA'!Q86+'INGRESO A PS DE CA'!Q86</f>
        <v>1212.2263499999999</v>
      </c>
      <c r="R86" s="322">
        <f>+'RECHAZADOS A CA'!R86+'INGRESO A PS DE CA'!R86</f>
        <v>1225.8356699999999</v>
      </c>
      <c r="S86" s="322">
        <f>+'RECHAZADOS A CA'!S86+'INGRESO A PS DE CA'!S86</f>
        <v>1239.59727</v>
      </c>
      <c r="T86" s="322">
        <f>+'RECHAZADOS A CA'!T86+'INGRESO A PS DE CA'!T86</f>
        <v>1253.51397</v>
      </c>
      <c r="U86" s="322">
        <f>+'RECHAZADOS A CA'!U86+'INGRESO A PS DE CA'!U86</f>
        <v>1267.58718</v>
      </c>
      <c r="V86" s="322">
        <f>+'RECHAZADOS A CA'!V86+'INGRESO A PS DE CA'!V86</f>
        <v>1281.8183099999999</v>
      </c>
      <c r="W86" s="322">
        <f>+'RECHAZADOS A CA'!W86+'INGRESO A PS DE CA'!W86</f>
        <v>1296.21018</v>
      </c>
      <c r="X86" s="322">
        <f>+'RECHAZADOS A CA'!X86+'INGRESO A PS DE CA'!X86</f>
        <v>1310.7613799999999</v>
      </c>
      <c r="Y86" s="322">
        <f>+'RECHAZADOS A CA'!Y86+'INGRESO A PS DE CA'!Y86</f>
        <v>1325.4775499999998</v>
      </c>
      <c r="Z86" s="322">
        <f>+'RECHAZADOS A CA'!Z86+'INGRESO A PS DE CA'!Z86</f>
        <v>1340.35869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28"/>
      <c r="E87" s="278"/>
      <c r="F87" s="263"/>
      <c r="G87" s="322">
        <f>+'RECHAZADOS A CA'!G87+'INGRESO A PS DE CA'!G87</f>
        <v>9.3398400000000006</v>
      </c>
      <c r="H87" s="322">
        <f>+'RECHAZADOS A CA'!H87+'INGRESO A PS DE CA'!H87</f>
        <v>9.4208000000000016</v>
      </c>
      <c r="I87" s="322">
        <f>+'RECHAZADOS A CA'!I87+'INGRESO A PS DE CA'!I87</f>
        <v>9.5026799999999998</v>
      </c>
      <c r="J87" s="322">
        <f>+'RECHAZADOS A CA'!J87+'INGRESO A PS DE CA'!J87</f>
        <v>9.5854800000000004</v>
      </c>
      <c r="K87" s="322">
        <f>+'RECHAZADOS A CA'!K87+'INGRESO A PS DE CA'!K87</f>
        <v>9.6682800000000011</v>
      </c>
      <c r="L87" s="322">
        <f>+'RECHAZADOS A CA'!L87+'INGRESO A PS DE CA'!L87</f>
        <v>9.7529199999999996</v>
      </c>
      <c r="M87" s="322">
        <f>+'RECHAZADOS A CA'!M87+'INGRESO A PS DE CA'!M87</f>
        <v>9.8375600000000016</v>
      </c>
      <c r="N87" s="322">
        <f>+'RECHAZADOS A CA'!N87+'INGRESO A PS DE CA'!N87</f>
        <v>9.9231200000000008</v>
      </c>
      <c r="O87" s="322">
        <f>+'RECHAZADOS A CA'!O87+'INGRESO A PS DE CA'!O87</f>
        <v>10.00868</v>
      </c>
      <c r="P87" s="322">
        <f>+'RECHAZADOS A CA'!P87+'INGRESO A PS DE CA'!P87</f>
        <v>10.096080000000001</v>
      </c>
      <c r="Q87" s="322">
        <f>+'RECHAZADOS A CA'!Q87+'INGRESO A PS DE CA'!Q87</f>
        <v>10.183479999999999</v>
      </c>
      <c r="R87" s="322">
        <f>+'RECHAZADOS A CA'!R87+'INGRESO A PS DE CA'!R87</f>
        <v>10.271800000000001</v>
      </c>
      <c r="S87" s="322">
        <f>+'RECHAZADOS A CA'!S87+'INGRESO A PS DE CA'!S87</f>
        <v>10.361040000000001</v>
      </c>
      <c r="T87" s="322">
        <f>+'RECHAZADOS A CA'!T87+'INGRESO A PS DE CA'!T87</f>
        <v>10.4512</v>
      </c>
      <c r="U87" s="322">
        <f>+'RECHAZADOS A CA'!U87+'INGRESO A PS DE CA'!U87</f>
        <v>10.54228</v>
      </c>
      <c r="V87" s="322">
        <f>+'RECHAZADOS A CA'!V87+'INGRESO A PS DE CA'!V87</f>
        <v>10.63336</v>
      </c>
      <c r="W87" s="322">
        <f>+'RECHAZADOS A CA'!W87+'INGRESO A PS DE CA'!W87</f>
        <v>10.726280000000001</v>
      </c>
      <c r="X87" s="322">
        <f>+'RECHAZADOS A CA'!X87+'INGRESO A PS DE CA'!X87</f>
        <v>10.8192</v>
      </c>
      <c r="Y87" s="322">
        <f>+'RECHAZADOS A CA'!Y87+'INGRESO A PS DE CA'!Y87</f>
        <v>10.913040000000001</v>
      </c>
      <c r="Z87" s="322">
        <f>+'RECHAZADOS A CA'!Z87+'INGRESO A PS DE CA'!Z87</f>
        <v>11.007800000000001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28"/>
      <c r="E88" s="278"/>
      <c r="F88" s="263"/>
      <c r="G88" s="322">
        <f>+'RECHAZADOS A CA'!G88+'INGRESO A PS DE CA'!G88</f>
        <v>26.264680000000002</v>
      </c>
      <c r="H88" s="322">
        <f>+'RECHAZADOS A CA'!H88+'INGRESO A PS DE CA'!H88</f>
        <v>26.577380000000002</v>
      </c>
      <c r="I88" s="322">
        <f>+'RECHAZADOS A CA'!I88+'INGRESO A PS DE CA'!I88</f>
        <v>26.890080000000005</v>
      </c>
      <c r="J88" s="322">
        <f>+'RECHAZADOS A CA'!J88+'INGRESO A PS DE CA'!J88</f>
        <v>27.201720000000002</v>
      </c>
      <c r="K88" s="322">
        <f>+'RECHAZADOS A CA'!K88+'INGRESO A PS DE CA'!K88</f>
        <v>27.514420000000001</v>
      </c>
      <c r="L88" s="322">
        <f>+'RECHAZADOS A CA'!L88+'INGRESO A PS DE CA'!L88</f>
        <v>27.927820000000004</v>
      </c>
      <c r="M88" s="322">
        <f>+'RECHAZADOS A CA'!M88+'INGRESO A PS DE CA'!M88</f>
        <v>28.342280000000002</v>
      </c>
      <c r="N88" s="322">
        <f>+'RECHAZADOS A CA'!N88+'INGRESO A PS DE CA'!N88</f>
        <v>28.755680000000002</v>
      </c>
      <c r="O88" s="322">
        <f>+'RECHAZADOS A CA'!O88+'INGRESO A PS DE CA'!O88</f>
        <v>29.170140000000004</v>
      </c>
      <c r="P88" s="322">
        <f>+'RECHAZADOS A CA'!P88+'INGRESO A PS DE CA'!P88</f>
        <v>29.583539999999999</v>
      </c>
      <c r="Q88" s="322">
        <f>+'RECHAZADOS A CA'!Q88+'INGRESO A PS DE CA'!Q88</f>
        <v>29.997999999999998</v>
      </c>
      <c r="R88" s="322">
        <f>+'RECHAZADOS A CA'!R88+'INGRESO A PS DE CA'!R88</f>
        <v>30.4114</v>
      </c>
      <c r="S88" s="322">
        <f>+'RECHAZADOS A CA'!S88+'INGRESO A PS DE CA'!S88</f>
        <v>30.825860000000002</v>
      </c>
      <c r="T88" s="322">
        <f>+'RECHAZADOS A CA'!T88+'INGRESO A PS DE CA'!T88</f>
        <v>31.239260000000002</v>
      </c>
      <c r="U88" s="322">
        <f>+'RECHAZADOS A CA'!U88+'INGRESO A PS DE CA'!U88</f>
        <v>31.65372</v>
      </c>
      <c r="V88" s="322">
        <f>+'RECHAZADOS A CA'!V88+'INGRESO A PS DE CA'!V88</f>
        <v>32.067120000000003</v>
      </c>
      <c r="W88" s="322">
        <f>+'RECHAZADOS A CA'!W88+'INGRESO A PS DE CA'!W88</f>
        <v>32.481580000000001</v>
      </c>
      <c r="X88" s="322">
        <f>+'RECHAZADOS A CA'!X88+'INGRESO A PS DE CA'!X88</f>
        <v>32.894980000000004</v>
      </c>
      <c r="Y88" s="322">
        <f>+'RECHAZADOS A CA'!Y88+'INGRESO A PS DE CA'!Y88</f>
        <v>33.309440000000002</v>
      </c>
      <c r="Z88" s="322">
        <f>+'RECHAZADOS A CA'!Z88+'INGRESO A PS DE CA'!Z88</f>
        <v>33.722840000000005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28"/>
      <c r="E89" s="278"/>
      <c r="F89" s="263"/>
      <c r="G89" s="322">
        <f>+'RECHAZADOS A CA'!G89+'INGRESO A PS DE CA'!G89</f>
        <v>9.3536400000000004</v>
      </c>
      <c r="H89" s="322">
        <f>+'RECHAZADOS A CA'!H89+'INGRESO A PS DE CA'!H89</f>
        <v>9.43</v>
      </c>
      <c r="I89" s="322">
        <f>+'RECHAZADOS A CA'!I89+'INGRESO A PS DE CA'!I89</f>
        <v>9.5063600000000008</v>
      </c>
      <c r="J89" s="322">
        <f>+'RECHAZADOS A CA'!J89+'INGRESO A PS DE CA'!J89</f>
        <v>9.5836400000000008</v>
      </c>
      <c r="K89" s="322">
        <f>+'RECHAZADOS A CA'!K89+'INGRESO A PS DE CA'!K89</f>
        <v>9.66</v>
      </c>
      <c r="L89" s="322">
        <f>+'RECHAZADOS A CA'!L89+'INGRESO A PS DE CA'!L89</f>
        <v>9.7372800000000002</v>
      </c>
      <c r="M89" s="322">
        <f>+'RECHAZADOS A CA'!M89+'INGRESO A PS DE CA'!M89</f>
        <v>9.8136400000000013</v>
      </c>
      <c r="N89" s="322">
        <f>+'RECHAZADOS A CA'!N89+'INGRESO A PS DE CA'!N89</f>
        <v>9.8909199999999995</v>
      </c>
      <c r="O89" s="322">
        <f>+'RECHAZADOS A CA'!O89+'INGRESO A PS DE CA'!O89</f>
        <v>9.9672800000000006</v>
      </c>
      <c r="P89" s="322">
        <f>+'RECHAZADOS A CA'!P89+'INGRESO A PS DE CA'!P89</f>
        <v>10.044560000000001</v>
      </c>
      <c r="Q89" s="322">
        <f>+'RECHAZADOS A CA'!Q89+'INGRESO A PS DE CA'!Q89</f>
        <v>10.12092</v>
      </c>
      <c r="R89" s="322">
        <f>+'RECHAZADOS A CA'!R89+'INGRESO A PS DE CA'!R89</f>
        <v>10.197280000000001</v>
      </c>
      <c r="S89" s="322">
        <f>+'RECHAZADOS A CA'!S89+'INGRESO A PS DE CA'!S89</f>
        <v>10.274560000000001</v>
      </c>
      <c r="T89" s="322">
        <f>+'RECHAZADOS A CA'!T89+'INGRESO A PS DE CA'!T89</f>
        <v>10.35092</v>
      </c>
      <c r="U89" s="322">
        <f>+'RECHAZADOS A CA'!U89+'INGRESO A PS DE CA'!U89</f>
        <v>10.4282</v>
      </c>
      <c r="V89" s="322">
        <f>+'RECHAZADOS A CA'!V89+'INGRESO A PS DE CA'!V89</f>
        <v>10.504560000000001</v>
      </c>
      <c r="W89" s="322">
        <f>+'RECHAZADOS A CA'!W89+'INGRESO A PS DE CA'!W89</f>
        <v>10.58184</v>
      </c>
      <c r="X89" s="322">
        <f>+'RECHAZADOS A CA'!X89+'INGRESO A PS DE CA'!X89</f>
        <v>10.658200000000001</v>
      </c>
      <c r="Y89" s="322">
        <f>+'RECHAZADOS A CA'!Y89+'INGRESO A PS DE CA'!Y89</f>
        <v>10.735479999999999</v>
      </c>
      <c r="Z89" s="322">
        <f>+'RECHAZADOS A CA'!Z89+'INGRESO A PS DE CA'!Z89</f>
        <v>10.81184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28"/>
      <c r="E90" s="278"/>
      <c r="F90" s="263"/>
      <c r="G90" s="322">
        <f>+'RECHAZADOS A CA'!G90+'INGRESO A PS DE CA'!G90</f>
        <v>31.992920000000002</v>
      </c>
      <c r="H90" s="322">
        <f>+'RECHAZADOS A CA'!H90+'INGRESO A PS DE CA'!H90</f>
        <v>32.140260000000005</v>
      </c>
      <c r="I90" s="322">
        <f>+'RECHAZADOS A CA'!I90+'INGRESO A PS DE CA'!I90</f>
        <v>32.287600000000005</v>
      </c>
      <c r="J90" s="322">
        <f>+'RECHAZADOS A CA'!J90+'INGRESO A PS DE CA'!J90</f>
        <v>32.436</v>
      </c>
      <c r="K90" s="322">
        <f>+'RECHAZADOS A CA'!K90+'INGRESO A PS DE CA'!K90</f>
        <v>32.584400000000002</v>
      </c>
      <c r="L90" s="322">
        <f>+'RECHAZADOS A CA'!L90+'INGRESO A PS DE CA'!L90</f>
        <v>32.73386</v>
      </c>
      <c r="M90" s="322">
        <f>+'RECHAZADOS A CA'!M90+'INGRESO A PS DE CA'!M90</f>
        <v>32.884380000000007</v>
      </c>
      <c r="N90" s="322">
        <f>+'RECHAZADOS A CA'!N90+'INGRESO A PS DE CA'!N90</f>
        <v>33.0349</v>
      </c>
      <c r="O90" s="322">
        <f>+'RECHAZADOS A CA'!O90+'INGRESO A PS DE CA'!O90</f>
        <v>33.186480000000003</v>
      </c>
      <c r="P90" s="322">
        <f>+'RECHAZADOS A CA'!P90+'INGRESO A PS DE CA'!P90</f>
        <v>33.338060000000006</v>
      </c>
      <c r="Q90" s="322">
        <f>+'RECHAZADOS A CA'!Q90+'INGRESO A PS DE CA'!Q90</f>
        <v>33.491759999999999</v>
      </c>
      <c r="R90" s="322">
        <f>+'RECHAZADOS A CA'!R90+'INGRESO A PS DE CA'!R90</f>
        <v>33.64546</v>
      </c>
      <c r="S90" s="322">
        <f>+'RECHAZADOS A CA'!S90+'INGRESO A PS DE CA'!S90</f>
        <v>33.799160000000001</v>
      </c>
      <c r="T90" s="322">
        <f>+'RECHAZADOS A CA'!T90+'INGRESO A PS DE CA'!T90</f>
        <v>33.954980000000006</v>
      </c>
      <c r="U90" s="322">
        <f>+'RECHAZADOS A CA'!U90+'INGRESO A PS DE CA'!U90</f>
        <v>34.110800000000005</v>
      </c>
      <c r="V90" s="322">
        <f>+'RECHAZADOS A CA'!V90+'INGRESO A PS DE CA'!V90</f>
        <v>34.266620000000003</v>
      </c>
      <c r="W90" s="322">
        <f>+'RECHAZADOS A CA'!W90+'INGRESO A PS DE CA'!W90</f>
        <v>34.423499999999997</v>
      </c>
      <c r="X90" s="322">
        <f>+'RECHAZADOS A CA'!X90+'INGRESO A PS DE CA'!X90</f>
        <v>34.581440000000001</v>
      </c>
      <c r="Y90" s="322">
        <f>+'RECHAZADOS A CA'!Y90+'INGRESO A PS DE CA'!Y90</f>
        <v>34.74044</v>
      </c>
      <c r="Z90" s="322">
        <f>+'RECHAZADOS A CA'!Z90+'INGRESO A PS DE CA'!Z90</f>
        <v>34.899440000000006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28"/>
      <c r="E91" s="278"/>
      <c r="F91" s="263"/>
      <c r="G91" s="322">
        <f>+'RECHAZADOS A CA'!G91+'INGRESO A PS DE CA'!G91</f>
        <v>13.40624</v>
      </c>
      <c r="H91" s="322">
        <f>+'RECHAZADOS A CA'!H91+'INGRESO A PS DE CA'!H91</f>
        <v>13.501919999999998</v>
      </c>
      <c r="I91" s="322">
        <f>+'RECHAZADOS A CA'!I91+'INGRESO A PS DE CA'!I91</f>
        <v>13.5976</v>
      </c>
      <c r="J91" s="322">
        <f>+'RECHAZADOS A CA'!J91+'INGRESO A PS DE CA'!J91</f>
        <v>13.695120000000001</v>
      </c>
      <c r="K91" s="322">
        <f>+'RECHAZADOS A CA'!K91+'INGRESO A PS DE CA'!K91</f>
        <v>13.792640000000002</v>
      </c>
      <c r="L91" s="322">
        <f>+'RECHAZADOS A CA'!L91+'INGRESO A PS DE CA'!L91</f>
        <v>13.891080000000002</v>
      </c>
      <c r="M91" s="322">
        <f>+'RECHAZADOS A CA'!M91+'INGRESO A PS DE CA'!M91</f>
        <v>13.990440000000001</v>
      </c>
      <c r="N91" s="322">
        <f>+'RECHAZADOS A CA'!N91+'INGRESO A PS DE CA'!N91</f>
        <v>14.0898</v>
      </c>
      <c r="O91" s="322">
        <f>+'RECHAZADOS A CA'!O91+'INGRESO A PS DE CA'!O91</f>
        <v>14.190080000000002</v>
      </c>
      <c r="P91" s="322">
        <f>+'RECHAZADOS A CA'!P91+'INGRESO A PS DE CA'!P91</f>
        <v>14.29128</v>
      </c>
      <c r="Q91" s="322">
        <f>+'RECHAZADOS A CA'!Q91+'INGRESO A PS DE CA'!Q91</f>
        <v>14.393400000000003</v>
      </c>
      <c r="R91" s="322">
        <f>+'RECHAZADOS A CA'!R91+'INGRESO A PS DE CA'!R91</f>
        <v>14.49644</v>
      </c>
      <c r="S91" s="322">
        <f>+'RECHAZADOS A CA'!S91+'INGRESO A PS DE CA'!S91</f>
        <v>14.599480000000002</v>
      </c>
      <c r="T91" s="322">
        <f>+'RECHAZADOS A CA'!T91+'INGRESO A PS DE CA'!T91</f>
        <v>14.703440000000001</v>
      </c>
      <c r="U91" s="322">
        <f>+'RECHAZADOS A CA'!U91+'INGRESO A PS DE CA'!U91</f>
        <v>14.808320000000002</v>
      </c>
      <c r="V91" s="322">
        <f>+'RECHAZADOS A CA'!V91+'INGRESO A PS DE CA'!V91</f>
        <v>14.91412</v>
      </c>
      <c r="W91" s="322">
        <f>+'RECHAZADOS A CA'!W91+'INGRESO A PS DE CA'!W91</f>
        <v>15.02084</v>
      </c>
      <c r="X91" s="322">
        <f>+'RECHAZADOS A CA'!X91+'INGRESO A PS DE CA'!X91</f>
        <v>15.127560000000001</v>
      </c>
      <c r="Y91" s="322">
        <f>+'RECHAZADOS A CA'!Y91+'INGRESO A PS DE CA'!Y91</f>
        <v>15.236120000000001</v>
      </c>
      <c r="Z91" s="322">
        <f>+'RECHAZADOS A CA'!Z91+'INGRESO A PS DE CA'!Z91</f>
        <v>15.34468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28"/>
      <c r="E92" s="278"/>
      <c r="F92" s="263"/>
      <c r="G92" s="322">
        <f>+'RECHAZADOS A CA'!G92+'INGRESO A PS DE CA'!G92</f>
        <v>38.04128</v>
      </c>
      <c r="H92" s="322">
        <f>+'RECHAZADOS A CA'!H92+'INGRESO A PS DE CA'!H92</f>
        <v>38.480119999999999</v>
      </c>
      <c r="I92" s="322">
        <f>+'RECHAZADOS A CA'!I92+'INGRESO A PS DE CA'!I92</f>
        <v>38.924260000000004</v>
      </c>
      <c r="J92" s="322">
        <f>+'RECHAZADOS A CA'!J92+'INGRESO A PS DE CA'!J92</f>
        <v>39.373700000000007</v>
      </c>
      <c r="K92" s="322">
        <f>+'RECHAZADOS A CA'!K92+'INGRESO A PS DE CA'!K92</f>
        <v>39.828440000000001</v>
      </c>
      <c r="L92" s="322">
        <f>+'RECHAZADOS A CA'!L92+'INGRESO A PS DE CA'!L92</f>
        <v>40.28848</v>
      </c>
      <c r="M92" s="322">
        <f>+'RECHAZADOS A CA'!M92+'INGRESO A PS DE CA'!M92</f>
        <v>40.752760000000002</v>
      </c>
      <c r="N92" s="322">
        <f>+'RECHAZADOS A CA'!N92+'INGRESO A PS DE CA'!N92</f>
        <v>41.223399999999998</v>
      </c>
      <c r="O92" s="322">
        <f>+'RECHAZADOS A CA'!O92+'INGRESO A PS DE CA'!O92</f>
        <v>41.699340000000007</v>
      </c>
      <c r="P92" s="322">
        <f>+'RECHAZADOS A CA'!P92+'INGRESO A PS DE CA'!P92</f>
        <v>42.180579999999999</v>
      </c>
      <c r="Q92" s="322">
        <f>+'RECHAZADOS A CA'!Q92+'INGRESO A PS DE CA'!Q92</f>
        <v>42.667120000000004</v>
      </c>
      <c r="R92" s="322">
        <f>+'RECHAZADOS A CA'!R92+'INGRESO A PS DE CA'!R92</f>
        <v>43.160020000000003</v>
      </c>
      <c r="S92" s="322">
        <f>+'RECHAZADOS A CA'!S92+'INGRESO A PS DE CA'!S92</f>
        <v>43.65822</v>
      </c>
      <c r="T92" s="322">
        <f>+'RECHAZADOS A CA'!T92+'INGRESO A PS DE CA'!T92</f>
        <v>44.161720000000003</v>
      </c>
      <c r="U92" s="322">
        <f>+'RECHAZADOS A CA'!U92+'INGRESO A PS DE CA'!U92</f>
        <v>44.671579999999999</v>
      </c>
      <c r="V92" s="322">
        <f>+'RECHAZADOS A CA'!V92+'INGRESO A PS DE CA'!V92</f>
        <v>45.187800000000003</v>
      </c>
      <c r="W92" s="322">
        <f>+'RECHAZADOS A CA'!W92+'INGRESO A PS DE CA'!W92</f>
        <v>45.709319999999998</v>
      </c>
      <c r="X92" s="322">
        <f>+'RECHAZADOS A CA'!X92+'INGRESO A PS DE CA'!X92</f>
        <v>46.237200000000001</v>
      </c>
      <c r="Y92" s="322">
        <f>+'RECHAZADOS A CA'!Y92+'INGRESO A PS DE CA'!Y92</f>
        <v>46.770380000000003</v>
      </c>
      <c r="Z92" s="322">
        <f>+'RECHAZADOS A CA'!Z92+'INGRESO A PS DE CA'!Z92</f>
        <v>47.309920000000005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28"/>
      <c r="E93" s="278"/>
      <c r="F93" s="263"/>
      <c r="G93" s="322">
        <f>+'RECHAZADOS A CA'!G93+'INGRESO A PS DE CA'!G93</f>
        <v>128.37006</v>
      </c>
      <c r="H93" s="322">
        <f>+'RECHAZADOS A CA'!H93+'INGRESO A PS DE CA'!H93</f>
        <v>130.44474</v>
      </c>
      <c r="I93" s="322">
        <f>+'RECHAZADOS A CA'!I93+'INGRESO A PS DE CA'!I93</f>
        <v>132.52044000000001</v>
      </c>
      <c r="J93" s="322">
        <f>+'RECHAZADOS A CA'!J93+'INGRESO A PS DE CA'!J93</f>
        <v>134.59614000000002</v>
      </c>
      <c r="K93" s="322">
        <f>+'RECHAZADOS A CA'!K93+'INGRESO A PS DE CA'!K93</f>
        <v>136.67082000000002</v>
      </c>
      <c r="L93" s="322">
        <f>+'RECHAZADOS A CA'!L93+'INGRESO A PS DE CA'!L93</f>
        <v>138.74651999999998</v>
      </c>
      <c r="M93" s="322">
        <f>+'RECHAZADOS A CA'!M93+'INGRESO A PS DE CA'!M93</f>
        <v>140.8212</v>
      </c>
      <c r="N93" s="322">
        <f>+'RECHAZADOS A CA'!N93+'INGRESO A PS DE CA'!N93</f>
        <v>142.89689999999999</v>
      </c>
      <c r="O93" s="322">
        <f>+'RECHAZADOS A CA'!O93+'INGRESO A PS DE CA'!O93</f>
        <v>144.9726</v>
      </c>
      <c r="P93" s="322">
        <f>+'RECHAZADOS A CA'!P93+'INGRESO A PS DE CA'!P93</f>
        <v>147.04728</v>
      </c>
      <c r="Q93" s="322">
        <f>+'RECHAZADOS A CA'!Q93+'INGRESO A PS DE CA'!Q93</f>
        <v>149.12298000000001</v>
      </c>
      <c r="R93" s="322">
        <f>+'RECHAZADOS A CA'!R93+'INGRESO A PS DE CA'!R93</f>
        <v>151.19868</v>
      </c>
      <c r="S93" s="322">
        <f>+'RECHAZADOS A CA'!S93+'INGRESO A PS DE CA'!S93</f>
        <v>153.27336000000003</v>
      </c>
      <c r="T93" s="322">
        <f>+'RECHAZADOS A CA'!T93+'INGRESO A PS DE CA'!T93</f>
        <v>155.34906000000001</v>
      </c>
      <c r="U93" s="322">
        <f>+'RECHAZADOS A CA'!U93+'INGRESO A PS DE CA'!U93</f>
        <v>157.42373999999998</v>
      </c>
      <c r="V93" s="322">
        <f>+'RECHAZADOS A CA'!V93+'INGRESO A PS DE CA'!V93</f>
        <v>159.49943999999999</v>
      </c>
      <c r="W93" s="322">
        <f>+'RECHAZADOS A CA'!W93+'INGRESO A PS DE CA'!W93</f>
        <v>161.57514</v>
      </c>
      <c r="X93" s="322">
        <f>+'RECHAZADOS A CA'!X93+'INGRESO A PS DE CA'!X93</f>
        <v>163.64982000000001</v>
      </c>
      <c r="Y93" s="322">
        <f>+'RECHAZADOS A CA'!Y93+'INGRESO A PS DE CA'!Y93</f>
        <v>165.72551999999999</v>
      </c>
      <c r="Z93" s="322">
        <f>+'RECHAZADOS A CA'!Z93+'INGRESO A PS DE CA'!Z93</f>
        <v>167.80020000000002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28"/>
      <c r="E94" s="278"/>
      <c r="F94" s="263"/>
      <c r="G94" s="322">
        <f>+'RECHAZADOS A CA'!G94+'INGRESO A PS DE CA'!G94</f>
        <v>12.814680000000001</v>
      </c>
      <c r="H94" s="322">
        <f>+'RECHAZADOS A CA'!H94+'INGRESO A PS DE CA'!H94</f>
        <v>12.981200000000001</v>
      </c>
      <c r="I94" s="322">
        <f>+'RECHAZADOS A CA'!I94+'INGRESO A PS DE CA'!I94</f>
        <v>13.147720000000001</v>
      </c>
      <c r="J94" s="322">
        <f>+'RECHAZADOS A CA'!J94+'INGRESO A PS DE CA'!J94</f>
        <v>13.31424</v>
      </c>
      <c r="K94" s="322">
        <f>+'RECHAZADOS A CA'!K94+'INGRESO A PS DE CA'!K94</f>
        <v>13.48076</v>
      </c>
      <c r="L94" s="322">
        <f>+'RECHAZADOS A CA'!L94+'INGRESO A PS DE CA'!L94</f>
        <v>13.64728</v>
      </c>
      <c r="M94" s="322">
        <f>+'RECHAZADOS A CA'!M94+'INGRESO A PS DE CA'!M94</f>
        <v>13.813800000000001</v>
      </c>
      <c r="N94" s="322">
        <f>+'RECHAZADOS A CA'!N94+'INGRESO A PS DE CA'!N94</f>
        <v>13.980319999999999</v>
      </c>
      <c r="O94" s="322">
        <f>+'RECHAZADOS A CA'!O94+'INGRESO A PS DE CA'!O94</f>
        <v>14.146840000000001</v>
      </c>
      <c r="P94" s="322">
        <f>+'RECHAZADOS A CA'!P94+'INGRESO A PS DE CA'!P94</f>
        <v>14.313359999999999</v>
      </c>
      <c r="Q94" s="322">
        <f>+'RECHAZADOS A CA'!Q94+'INGRESO A PS DE CA'!Q94</f>
        <v>14.479880000000001</v>
      </c>
      <c r="R94" s="322">
        <f>+'RECHAZADOS A CA'!R94+'INGRESO A PS DE CA'!R94</f>
        <v>14.6464</v>
      </c>
      <c r="S94" s="322">
        <f>+'RECHAZADOS A CA'!S94+'INGRESO A PS DE CA'!S94</f>
        <v>14.81292</v>
      </c>
      <c r="T94" s="322">
        <f>+'RECHAZADOS A CA'!T94+'INGRESO A PS DE CA'!T94</f>
        <v>14.97944</v>
      </c>
      <c r="U94" s="322">
        <f>+'RECHAZADOS A CA'!U94+'INGRESO A PS DE CA'!U94</f>
        <v>15.145960000000001</v>
      </c>
      <c r="V94" s="322">
        <f>+'RECHAZADOS A CA'!V94+'INGRESO A PS DE CA'!V94</f>
        <v>15.312480000000001</v>
      </c>
      <c r="W94" s="322">
        <f>+'RECHAZADOS A CA'!W94+'INGRESO A PS DE CA'!W94</f>
        <v>15.478999999999999</v>
      </c>
      <c r="X94" s="322">
        <f>+'RECHAZADOS A CA'!X94+'INGRESO A PS DE CA'!X94</f>
        <v>15.645520000000001</v>
      </c>
      <c r="Y94" s="322">
        <f>+'RECHAZADOS A CA'!Y94+'INGRESO A PS DE CA'!Y94</f>
        <v>15.812040000000001</v>
      </c>
      <c r="Z94" s="322">
        <f>+'RECHAZADOS A CA'!Z94+'INGRESO A PS DE CA'!Z94</f>
        <v>15.978560000000002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28"/>
      <c r="E95" s="278"/>
      <c r="F95" s="263"/>
      <c r="G95" s="322">
        <f>+'RECHAZADOS A CA'!G95+'INGRESO A PS DE CA'!G95</f>
        <v>8.9626400000000004</v>
      </c>
      <c r="H95" s="322">
        <f>+'RECHAZADOS A CA'!H95+'INGRESO A PS DE CA'!H95</f>
        <v>9.0040399999999998</v>
      </c>
      <c r="I95" s="322">
        <f>+'RECHAZADOS A CA'!I95+'INGRESO A PS DE CA'!I95</f>
        <v>9.045440000000001</v>
      </c>
      <c r="J95" s="322">
        <f>+'RECHAZADOS A CA'!J95+'INGRESO A PS DE CA'!J95</f>
        <v>9.0877599999999994</v>
      </c>
      <c r="K95" s="322">
        <f>+'RECHAZADOS A CA'!K95+'INGRESO A PS DE CA'!K95</f>
        <v>9.1291600000000006</v>
      </c>
      <c r="L95" s="322">
        <f>+'RECHAZADOS A CA'!L95+'INGRESO A PS DE CA'!L95</f>
        <v>9.17056</v>
      </c>
      <c r="M95" s="322">
        <f>+'RECHAZADOS A CA'!M95+'INGRESO A PS DE CA'!M95</f>
        <v>9.2128800000000002</v>
      </c>
      <c r="N95" s="322">
        <f>+'RECHAZADOS A CA'!N95+'INGRESO A PS DE CA'!N95</f>
        <v>9.2542800000000014</v>
      </c>
      <c r="O95" s="322">
        <f>+'RECHAZADOS A CA'!O95+'INGRESO A PS DE CA'!O95</f>
        <v>9.2956800000000008</v>
      </c>
      <c r="P95" s="322">
        <f>+'RECHAZADOS A CA'!P95+'INGRESO A PS DE CA'!P95</f>
        <v>9.3370800000000003</v>
      </c>
      <c r="Q95" s="322">
        <f>+'RECHAZADOS A CA'!Q95+'INGRESO A PS DE CA'!Q95</f>
        <v>9.3794000000000004</v>
      </c>
      <c r="R95" s="322">
        <f>+'RECHAZADOS A CA'!R95+'INGRESO A PS DE CA'!R95</f>
        <v>9.4208000000000016</v>
      </c>
      <c r="S95" s="322">
        <f>+'RECHAZADOS A CA'!S95+'INGRESO A PS DE CA'!S95</f>
        <v>9.4622000000000011</v>
      </c>
      <c r="T95" s="322">
        <f>+'RECHAZADOS A CA'!T95+'INGRESO A PS DE CA'!T95</f>
        <v>9.5045200000000012</v>
      </c>
      <c r="U95" s="322">
        <f>+'RECHAZADOS A CA'!U95+'INGRESO A PS DE CA'!U95</f>
        <v>9.5459200000000006</v>
      </c>
      <c r="V95" s="322">
        <f>+'RECHAZADOS A CA'!V95+'INGRESO A PS DE CA'!V95</f>
        <v>9.5873200000000001</v>
      </c>
      <c r="W95" s="322">
        <f>+'RECHAZADOS A CA'!W95+'INGRESO A PS DE CA'!W95</f>
        <v>9.6287200000000013</v>
      </c>
      <c r="X95" s="322">
        <f>+'RECHAZADOS A CA'!X95+'INGRESO A PS DE CA'!X95</f>
        <v>9.6710400000000014</v>
      </c>
      <c r="Y95" s="322">
        <f>+'RECHAZADOS A CA'!Y95+'INGRESO A PS DE CA'!Y95</f>
        <v>9.7124400000000009</v>
      </c>
      <c r="Z95" s="322">
        <f>+'RECHAZADOS A CA'!Z95+'INGRESO A PS DE CA'!Z95</f>
        <v>9.7538400000000003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28"/>
      <c r="E96" s="278"/>
      <c r="F96" s="263"/>
      <c r="G96" s="322">
        <f>+'RECHAZADOS A CA'!G96+'INGRESO A PS DE CA'!G96</f>
        <v>7.0904400000000001</v>
      </c>
      <c r="H96" s="322">
        <f>+'RECHAZADOS A CA'!H96+'INGRESO A PS DE CA'!H96</f>
        <v>7.17692</v>
      </c>
      <c r="I96" s="322">
        <f>+'RECHAZADOS A CA'!I96+'INGRESO A PS DE CA'!I96</f>
        <v>7.26248</v>
      </c>
      <c r="J96" s="322">
        <f>+'RECHAZADOS A CA'!J96+'INGRESO A PS DE CA'!J96</f>
        <v>7.3489599999999999</v>
      </c>
      <c r="K96" s="322">
        <f>+'RECHAZADOS A CA'!K96+'INGRESO A PS DE CA'!K96</f>
        <v>7.4345199999999991</v>
      </c>
      <c r="L96" s="322">
        <f>+'RECHAZADOS A CA'!L96+'INGRESO A PS DE CA'!L96</f>
        <v>7.5476800000000006</v>
      </c>
      <c r="M96" s="322">
        <f>+'RECHAZADOS A CA'!M96+'INGRESO A PS DE CA'!M96</f>
        <v>7.6608400000000003</v>
      </c>
      <c r="N96" s="322">
        <f>+'RECHAZADOS A CA'!N96+'INGRESO A PS DE CA'!N96</f>
        <v>7.7740000000000009</v>
      </c>
      <c r="O96" s="322">
        <f>+'RECHAZADOS A CA'!O96+'INGRESO A PS DE CA'!O96</f>
        <v>7.8871599999999997</v>
      </c>
      <c r="P96" s="322">
        <f>+'RECHAZADOS A CA'!P96+'INGRESO A PS DE CA'!P96</f>
        <v>7.9994000000000005</v>
      </c>
      <c r="Q96" s="322">
        <f>+'RECHAZADOS A CA'!Q96+'INGRESO A PS DE CA'!Q96</f>
        <v>8.1125600000000002</v>
      </c>
      <c r="R96" s="322">
        <f>+'RECHAZADOS A CA'!R96+'INGRESO A PS DE CA'!R96</f>
        <v>8.2257200000000008</v>
      </c>
      <c r="S96" s="322">
        <f>+'RECHAZADOS A CA'!S96+'INGRESO A PS DE CA'!S96</f>
        <v>8.3388800000000014</v>
      </c>
      <c r="T96" s="322">
        <f>+'RECHAZADOS A CA'!T96+'INGRESO A PS DE CA'!T96</f>
        <v>8.4520400000000002</v>
      </c>
      <c r="U96" s="322">
        <f>+'RECHAZADOS A CA'!U96+'INGRESO A PS DE CA'!U96</f>
        <v>8.5642800000000001</v>
      </c>
      <c r="V96" s="322">
        <f>+'RECHAZADOS A CA'!V96+'INGRESO A PS DE CA'!V96</f>
        <v>8.6774400000000007</v>
      </c>
      <c r="W96" s="322">
        <f>+'RECHAZADOS A CA'!W96+'INGRESO A PS DE CA'!W96</f>
        <v>8.7905999999999995</v>
      </c>
      <c r="X96" s="322">
        <f>+'RECHAZADOS A CA'!X96+'INGRESO A PS DE CA'!X96</f>
        <v>8.9037600000000001</v>
      </c>
      <c r="Y96" s="322">
        <f>+'RECHAZADOS A CA'!Y96+'INGRESO A PS DE CA'!Y96</f>
        <v>9.0169200000000007</v>
      </c>
      <c r="Z96" s="322">
        <f>+'RECHAZADOS A CA'!Z96+'INGRESO A PS DE CA'!Z96</f>
        <v>9.1291600000000006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28"/>
      <c r="E97" s="278"/>
      <c r="F97" s="263"/>
      <c r="G97" s="322">
        <f>+'RECHAZADOS A CA'!G97+'INGRESO A PS DE CA'!G97</f>
        <v>73.47672</v>
      </c>
      <c r="H97" s="322">
        <f>+'RECHAZADOS A CA'!H97+'INGRESO A PS DE CA'!H97</f>
        <v>74.837399999999988</v>
      </c>
      <c r="I97" s="322">
        <f>+'RECHAZADOS A CA'!I97+'INGRESO A PS DE CA'!I97</f>
        <v>76.197059999999993</v>
      </c>
      <c r="J97" s="322">
        <f>+'RECHAZADOS A CA'!J97+'INGRESO A PS DE CA'!J97</f>
        <v>77.55774000000001</v>
      </c>
      <c r="K97" s="322">
        <f>+'RECHAZADOS A CA'!K97+'INGRESO A PS DE CA'!K97</f>
        <v>78.917400000000001</v>
      </c>
      <c r="L97" s="322">
        <f>+'RECHAZADOS A CA'!L97+'INGRESO A PS DE CA'!L97</f>
        <v>80.278080000000003</v>
      </c>
      <c r="M97" s="322">
        <f>+'RECHAZADOS A CA'!M97+'INGRESO A PS DE CA'!M97</f>
        <v>81.638759999999991</v>
      </c>
      <c r="N97" s="322">
        <f>+'RECHAZADOS A CA'!N97+'INGRESO A PS DE CA'!N97</f>
        <v>82.998419999999996</v>
      </c>
      <c r="O97" s="322">
        <f>+'RECHAZADOS A CA'!O97+'INGRESO A PS DE CA'!O97</f>
        <v>84.359100000000012</v>
      </c>
      <c r="P97" s="322">
        <f>+'RECHAZADOS A CA'!P97+'INGRESO A PS DE CA'!P97</f>
        <v>85.718759999999989</v>
      </c>
      <c r="Q97" s="322">
        <f>+'RECHAZADOS A CA'!Q97+'INGRESO A PS DE CA'!Q97</f>
        <v>87.079440000000005</v>
      </c>
      <c r="R97" s="322">
        <f>+'RECHAZADOS A CA'!R97+'INGRESO A PS DE CA'!R97</f>
        <v>88.440119999999993</v>
      </c>
      <c r="S97" s="322">
        <f>+'RECHAZADOS A CA'!S97+'INGRESO A PS DE CA'!S97</f>
        <v>89.799779999999998</v>
      </c>
      <c r="T97" s="322">
        <f>+'RECHAZADOS A CA'!T97+'INGRESO A PS DE CA'!T97</f>
        <v>91.16046</v>
      </c>
      <c r="U97" s="322">
        <f>+'RECHAZADOS A CA'!U97+'INGRESO A PS DE CA'!U97</f>
        <v>92.520119999999991</v>
      </c>
      <c r="V97" s="322">
        <f>+'RECHAZADOS A CA'!V97+'INGRESO A PS DE CA'!V97</f>
        <v>93.880800000000008</v>
      </c>
      <c r="W97" s="322">
        <f>+'RECHAZADOS A CA'!W97+'INGRESO A PS DE CA'!W97</f>
        <v>95.240460000000013</v>
      </c>
      <c r="X97" s="322">
        <f>+'RECHAZADOS A CA'!X97+'INGRESO A PS DE CA'!X97</f>
        <v>96.601140000000001</v>
      </c>
      <c r="Y97" s="322">
        <f>+'RECHAZADOS A CA'!Y97+'INGRESO A PS DE CA'!Y97</f>
        <v>97.961820000000003</v>
      </c>
      <c r="Z97" s="322">
        <f>+'RECHAZADOS A CA'!Z97+'INGRESO A PS DE CA'!Z97</f>
        <v>99.321480000000008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28"/>
      <c r="E98" s="278"/>
      <c r="F98" s="263"/>
      <c r="G98" s="322">
        <f>+'RECHAZADOS A CA'!G98+'INGRESO A PS DE CA'!G98</f>
        <v>65.523780000000002</v>
      </c>
      <c r="H98" s="322">
        <f>+'RECHAZADOS A CA'!H98+'INGRESO A PS DE CA'!H98</f>
        <v>66.07968000000001</v>
      </c>
      <c r="I98" s="322">
        <f>+'RECHAZADOS A CA'!I98+'INGRESO A PS DE CA'!I98</f>
        <v>66.640680000000003</v>
      </c>
      <c r="J98" s="322">
        <f>+'RECHAZADOS A CA'!J98+'INGRESO A PS DE CA'!J98</f>
        <v>67.206779999999995</v>
      </c>
      <c r="K98" s="322">
        <f>+'RECHAZADOS A CA'!K98+'INGRESO A PS DE CA'!K98</f>
        <v>67.776960000000003</v>
      </c>
      <c r="L98" s="322">
        <f>+'RECHAZADOS A CA'!L98+'INGRESO A PS DE CA'!L98</f>
        <v>68.351219999999998</v>
      </c>
      <c r="M98" s="322">
        <f>+'RECHAZADOS A CA'!M98+'INGRESO A PS DE CA'!M98</f>
        <v>68.931600000000003</v>
      </c>
      <c r="N98" s="322">
        <f>+'RECHAZADOS A CA'!N98+'INGRESO A PS DE CA'!N98</f>
        <v>69.517080000000007</v>
      </c>
      <c r="O98" s="322">
        <f>+'RECHAZADOS A CA'!O98+'INGRESO A PS DE CA'!O98</f>
        <v>70.106639999999999</v>
      </c>
      <c r="P98" s="322">
        <f>+'RECHAZADOS A CA'!P98+'INGRESO A PS DE CA'!P98</f>
        <v>70.701300000000003</v>
      </c>
      <c r="Q98" s="322">
        <f>+'RECHAZADOS A CA'!Q98+'INGRESO A PS DE CA'!Q98</f>
        <v>71.301059999999993</v>
      </c>
      <c r="R98" s="322">
        <f>+'RECHAZADOS A CA'!R98+'INGRESO A PS DE CA'!R98</f>
        <v>71.905919999999995</v>
      </c>
      <c r="S98" s="322">
        <f>+'RECHAZADOS A CA'!S98+'INGRESO A PS DE CA'!S98</f>
        <v>72.516899999999993</v>
      </c>
      <c r="T98" s="322">
        <f>+'RECHAZADOS A CA'!T98+'INGRESO A PS DE CA'!T98</f>
        <v>73.131960000000007</v>
      </c>
      <c r="U98" s="322">
        <f>+'RECHAZADOS A CA'!U98+'INGRESO A PS DE CA'!U98</f>
        <v>73.752119999999991</v>
      </c>
      <c r="V98" s="322">
        <f>+'RECHAZADOS A CA'!V98+'INGRESO A PS DE CA'!V98</f>
        <v>74.378399999999999</v>
      </c>
      <c r="W98" s="322">
        <f>+'RECHAZADOS A CA'!W98+'INGRESO A PS DE CA'!W98</f>
        <v>75.009779999999992</v>
      </c>
      <c r="X98" s="322">
        <f>+'RECHAZADOS A CA'!X98+'INGRESO A PS DE CA'!X98</f>
        <v>75.646259999999998</v>
      </c>
      <c r="Y98" s="322">
        <f>+'RECHAZADOS A CA'!Y98+'INGRESO A PS DE CA'!Y98</f>
        <v>76.287840000000003</v>
      </c>
      <c r="Z98" s="322">
        <f>+'RECHAZADOS A CA'!Z98+'INGRESO A PS DE CA'!Z98</f>
        <v>76.934520000000006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28"/>
      <c r="E99" s="278"/>
      <c r="F99" s="263"/>
      <c r="G99" s="322">
        <f>+'RECHAZADOS A CA'!G99+'INGRESO A PS DE CA'!G99</f>
        <v>23.314700000000002</v>
      </c>
      <c r="H99" s="322">
        <f>+'RECHAZADOS A CA'!H99+'INGRESO A PS DE CA'!H99</f>
        <v>23.660260000000001</v>
      </c>
      <c r="I99" s="322">
        <f>+'RECHAZADOS A CA'!I99+'INGRESO A PS DE CA'!I99</f>
        <v>24.006880000000002</v>
      </c>
      <c r="J99" s="322">
        <f>+'RECHAZADOS A CA'!J99+'INGRESO A PS DE CA'!J99</f>
        <v>24.352440000000001</v>
      </c>
      <c r="K99" s="322">
        <f>+'RECHAZADOS A CA'!K99+'INGRESO A PS DE CA'!K99</f>
        <v>24.699060000000003</v>
      </c>
      <c r="L99" s="322">
        <f>+'RECHAZADOS A CA'!L99+'INGRESO A PS DE CA'!L99</f>
        <v>25.044620000000002</v>
      </c>
      <c r="M99" s="322">
        <f>+'RECHAZADOS A CA'!M99+'INGRESO A PS DE CA'!M99</f>
        <v>25.391240000000003</v>
      </c>
      <c r="N99" s="322">
        <f>+'RECHAZADOS A CA'!N99+'INGRESO A PS DE CA'!N99</f>
        <v>25.737860000000005</v>
      </c>
      <c r="O99" s="322">
        <f>+'RECHAZADOS A CA'!O99+'INGRESO A PS DE CA'!O99</f>
        <v>26.083419999999997</v>
      </c>
      <c r="P99" s="322">
        <f>+'RECHAZADOS A CA'!P99+'INGRESO A PS DE CA'!P99</f>
        <v>26.430040000000005</v>
      </c>
      <c r="Q99" s="322">
        <f>+'RECHAZADOS A CA'!Q99+'INGRESO A PS DE CA'!Q99</f>
        <v>26.775600000000001</v>
      </c>
      <c r="R99" s="322">
        <f>+'RECHAZADOS A CA'!R99+'INGRESO A PS DE CA'!R99</f>
        <v>27.122220000000002</v>
      </c>
      <c r="S99" s="322">
        <f>+'RECHAZADOS A CA'!S99+'INGRESO A PS DE CA'!S99</f>
        <v>27.467780000000001</v>
      </c>
      <c r="T99" s="322">
        <f>+'RECHAZADOS A CA'!T99+'INGRESO A PS DE CA'!T99</f>
        <v>27.814399999999999</v>
      </c>
      <c r="U99" s="322">
        <f>+'RECHAZADOS A CA'!U99+'INGRESO A PS DE CA'!U99</f>
        <v>28.159960000000005</v>
      </c>
      <c r="V99" s="322">
        <f>+'RECHAZADOS A CA'!V99+'INGRESO A PS DE CA'!V99</f>
        <v>28.50658</v>
      </c>
      <c r="W99" s="322">
        <f>+'RECHAZADOS A CA'!W99+'INGRESO A PS DE CA'!W99</f>
        <v>28.852140000000006</v>
      </c>
      <c r="X99" s="322">
        <f>+'RECHAZADOS A CA'!X99+'INGRESO A PS DE CA'!X99</f>
        <v>29.198760000000004</v>
      </c>
      <c r="Y99" s="322">
        <f>+'RECHAZADOS A CA'!Y99+'INGRESO A PS DE CA'!Y99</f>
        <v>29.545380000000002</v>
      </c>
      <c r="Z99" s="322">
        <f>+'RECHAZADOS A CA'!Z99+'INGRESO A PS DE CA'!Z99</f>
        <v>29.890940000000004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28"/>
      <c r="E100" s="278"/>
      <c r="F100" s="263"/>
      <c r="G100" s="322">
        <f>+'RECHAZADOS A CA'!G100+'INGRESO A PS DE CA'!G100</f>
        <v>22.523940000000003</v>
      </c>
      <c r="H100" s="322">
        <f>+'RECHAZADOS A CA'!H100+'INGRESO A PS DE CA'!H100</f>
        <v>23.034860000000002</v>
      </c>
      <c r="I100" s="322">
        <f>+'RECHAZADOS A CA'!I100+'INGRESO A PS DE CA'!I100</f>
        <v>23.5532</v>
      </c>
      <c r="J100" s="322">
        <f>+'RECHAZADOS A CA'!J100+'INGRESO A PS DE CA'!J100</f>
        <v>24.078960000000002</v>
      </c>
      <c r="K100" s="322">
        <f>+'RECHAZADOS A CA'!K100+'INGRESO A PS DE CA'!K100</f>
        <v>24.614260000000002</v>
      </c>
      <c r="L100" s="322">
        <f>+'RECHAZADOS A CA'!L100+'INGRESO A PS DE CA'!L100</f>
        <v>25.15804</v>
      </c>
      <c r="M100" s="322">
        <f>+'RECHAZADOS A CA'!M100+'INGRESO A PS DE CA'!M100</f>
        <v>25.711359999999999</v>
      </c>
      <c r="N100" s="322">
        <f>+'RECHAZADOS A CA'!N100+'INGRESO A PS DE CA'!N100</f>
        <v>26.273159999999997</v>
      </c>
      <c r="O100" s="322">
        <f>+'RECHAZADOS A CA'!O100+'INGRESO A PS DE CA'!O100</f>
        <v>26.844500000000004</v>
      </c>
      <c r="P100" s="322">
        <f>+'RECHAZADOS A CA'!P100+'INGRESO A PS DE CA'!P100</f>
        <v>27.424319999999998</v>
      </c>
      <c r="Q100" s="322">
        <f>+'RECHAZADOS A CA'!Q100+'INGRESO A PS DE CA'!Q100</f>
        <v>28.013680000000001</v>
      </c>
      <c r="R100" s="322">
        <f>+'RECHAZADOS A CA'!R100+'INGRESO A PS DE CA'!R100</f>
        <v>28.614699999999999</v>
      </c>
      <c r="S100" s="322">
        <f>+'RECHAZADOS A CA'!S100+'INGRESO A PS DE CA'!S100</f>
        <v>29.223140000000004</v>
      </c>
      <c r="T100" s="322">
        <f>+'RECHAZADOS A CA'!T100+'INGRESO A PS DE CA'!T100</f>
        <v>29.842179999999999</v>
      </c>
      <c r="U100" s="322">
        <f>+'RECHAZADOS A CA'!U100+'INGRESO A PS DE CA'!U100</f>
        <v>30.471820000000005</v>
      </c>
      <c r="V100" s="322">
        <f>+'RECHAZADOS A CA'!V100+'INGRESO A PS DE CA'!V100</f>
        <v>31.110999999999997</v>
      </c>
      <c r="W100" s="322">
        <f>+'RECHAZADOS A CA'!W100+'INGRESO A PS DE CA'!W100</f>
        <v>31.760780000000004</v>
      </c>
      <c r="X100" s="322">
        <f>+'RECHAZADOS A CA'!X100+'INGRESO A PS DE CA'!X100</f>
        <v>32.42116</v>
      </c>
      <c r="Y100" s="322">
        <f>+'RECHAZADOS A CA'!Y100+'INGRESO A PS DE CA'!Y100</f>
        <v>33.092140000000001</v>
      </c>
      <c r="Z100" s="322">
        <f>+'RECHAZADOS A CA'!Z100+'INGRESO A PS DE CA'!Z100</f>
        <v>33.77478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28"/>
      <c r="E101" s="278"/>
      <c r="F101" s="263"/>
      <c r="G101" s="322">
        <f>+'RECHAZADOS A CA'!G101+'INGRESO A PS DE CA'!G101</f>
        <v>17.797400000000003</v>
      </c>
      <c r="H101" s="322">
        <f>+'RECHAZADOS A CA'!H101+'INGRESO A PS DE CA'!H101</f>
        <v>18.065580000000001</v>
      </c>
      <c r="I101" s="322">
        <f>+'RECHAZADOS A CA'!I101+'INGRESO A PS DE CA'!I101</f>
        <v>18.336940000000002</v>
      </c>
      <c r="J101" s="322">
        <f>+'RECHAZADOS A CA'!J101+'INGRESO A PS DE CA'!J101</f>
        <v>18.612539999999999</v>
      </c>
      <c r="K101" s="322">
        <f>+'RECHAZADOS A CA'!K101+'INGRESO A PS DE CA'!K101</f>
        <v>18.892379999999999</v>
      </c>
      <c r="L101" s="322">
        <f>+'RECHAZADOS A CA'!L101+'INGRESO A PS DE CA'!L101</f>
        <v>19.176460000000002</v>
      </c>
      <c r="M101" s="322">
        <f>+'RECHAZADOS A CA'!M101+'INGRESO A PS DE CA'!M101</f>
        <v>19.464780000000001</v>
      </c>
      <c r="N101" s="322">
        <f>+'RECHAZADOS A CA'!N101+'INGRESO A PS DE CA'!N101</f>
        <v>19.757339999999999</v>
      </c>
      <c r="O101" s="322">
        <f>+'RECHAZADOS A CA'!O101+'INGRESO A PS DE CA'!O101</f>
        <v>20.05414</v>
      </c>
      <c r="P101" s="322">
        <f>+'RECHAZADOS A CA'!P101+'INGRESO A PS DE CA'!P101</f>
        <v>20.356240000000003</v>
      </c>
      <c r="Q101" s="322">
        <f>+'RECHAZADOS A CA'!Q101+'INGRESO A PS DE CA'!Q101</f>
        <v>20.662580000000002</v>
      </c>
      <c r="R101" s="322">
        <f>+'RECHAZADOS A CA'!R101+'INGRESO A PS DE CA'!R101</f>
        <v>20.97316</v>
      </c>
      <c r="S101" s="322">
        <f>+'RECHAZADOS A CA'!S101+'INGRESO A PS DE CA'!S101</f>
        <v>21.287980000000001</v>
      </c>
      <c r="T101" s="322">
        <f>+'RECHAZADOS A CA'!T101+'INGRESO A PS DE CA'!T101</f>
        <v>21.608100000000004</v>
      </c>
      <c r="U101" s="322">
        <f>+'RECHAZADOS A CA'!U101+'INGRESO A PS DE CA'!U101</f>
        <v>21.933520000000001</v>
      </c>
      <c r="V101" s="322">
        <f>+'RECHAZADOS A CA'!V101+'INGRESO A PS DE CA'!V101</f>
        <v>22.263180000000002</v>
      </c>
      <c r="W101" s="322">
        <f>+'RECHAZADOS A CA'!W101+'INGRESO A PS DE CA'!W101</f>
        <v>22.598140000000001</v>
      </c>
      <c r="X101" s="322">
        <f>+'RECHAZADOS A CA'!X101+'INGRESO A PS DE CA'!X101</f>
        <v>22.937339999999999</v>
      </c>
      <c r="Y101" s="322">
        <f>+'RECHAZADOS A CA'!Y101+'INGRESO A PS DE CA'!Y101</f>
        <v>23.281839999999999</v>
      </c>
      <c r="Z101" s="322">
        <f>+'RECHAZADOS A CA'!Z101+'INGRESO A PS DE CA'!Z101</f>
        <v>23.6327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28"/>
      <c r="E102" s="278"/>
      <c r="F102" s="263"/>
      <c r="G102" s="322">
        <f>+'RECHAZADOS A CA'!G102+'INGRESO A PS DE CA'!G102</f>
        <v>110.77097999999999</v>
      </c>
      <c r="H102" s="322">
        <f>+'RECHAZADOS A CA'!H102+'INGRESO A PS DE CA'!H102</f>
        <v>111.94499999999999</v>
      </c>
      <c r="I102" s="322">
        <f>+'RECHAZADOS A CA'!I102+'INGRESO A PS DE CA'!I102</f>
        <v>113.13942</v>
      </c>
      <c r="J102" s="322">
        <f>+'RECHAZADOS A CA'!J102+'INGRESO A PS DE CA'!J102</f>
        <v>114.3522</v>
      </c>
      <c r="K102" s="322">
        <f>+'RECHAZADOS A CA'!K102+'INGRESO A PS DE CA'!K102</f>
        <v>115.58538</v>
      </c>
      <c r="L102" s="322">
        <f>+'RECHAZADOS A CA'!L102+'INGRESO A PS DE CA'!L102</f>
        <v>116.83896</v>
      </c>
      <c r="M102" s="322">
        <f>+'RECHAZADOS A CA'!M102+'INGRESO A PS DE CA'!M102</f>
        <v>118.11192</v>
      </c>
      <c r="N102" s="322">
        <f>+'RECHAZADOS A CA'!N102+'INGRESO A PS DE CA'!N102</f>
        <v>119.4063</v>
      </c>
      <c r="O102" s="322">
        <f>+'RECHAZADOS A CA'!O102+'INGRESO A PS DE CA'!O102</f>
        <v>120.72210000000001</v>
      </c>
      <c r="P102" s="322">
        <f>+'RECHAZADOS A CA'!P102+'INGRESO A PS DE CA'!P102</f>
        <v>122.0583</v>
      </c>
      <c r="Q102" s="322">
        <f>+'RECHAZADOS A CA'!Q102+'INGRESO A PS DE CA'!Q102</f>
        <v>123.41592</v>
      </c>
      <c r="R102" s="322">
        <f>+'RECHAZADOS A CA'!R102+'INGRESO A PS DE CA'!R102</f>
        <v>124.797</v>
      </c>
      <c r="S102" s="322">
        <f>+'RECHAZADOS A CA'!S102+'INGRESO A PS DE CA'!S102</f>
        <v>126.20052</v>
      </c>
      <c r="T102" s="322">
        <f>+'RECHAZADOS A CA'!T102+'INGRESO A PS DE CA'!T102</f>
        <v>127.62546</v>
      </c>
      <c r="U102" s="322">
        <f>+'RECHAZADOS A CA'!U102+'INGRESO A PS DE CA'!U102</f>
        <v>129.07590000000002</v>
      </c>
      <c r="V102" s="322">
        <f>+'RECHAZADOS A CA'!V102+'INGRESO A PS DE CA'!V102</f>
        <v>130.54776000000001</v>
      </c>
      <c r="W102" s="322">
        <f>+'RECHAZADOS A CA'!W102+'INGRESO A PS DE CA'!W102</f>
        <v>132.04614000000001</v>
      </c>
      <c r="X102" s="322">
        <f>+'RECHAZADOS A CA'!X102+'INGRESO A PS DE CA'!X102</f>
        <v>133.56695999999999</v>
      </c>
      <c r="Y102" s="322">
        <f>+'RECHAZADOS A CA'!Y102+'INGRESO A PS DE CA'!Y102</f>
        <v>135.11226000000002</v>
      </c>
      <c r="Z102" s="322">
        <f>+'RECHAZADOS A CA'!Z102+'INGRESO A PS DE CA'!Z102</f>
        <v>136.68408000000002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28"/>
      <c r="E103" s="278"/>
      <c r="F103" s="263"/>
      <c r="G103" s="322">
        <f>+'RECHAZADOS A CA'!G103+'INGRESO A PS DE CA'!G103</f>
        <v>103.46064</v>
      </c>
      <c r="H103" s="322">
        <f>+'RECHAZADOS A CA'!H103+'INGRESO A PS DE CA'!H103</f>
        <v>104.25725999999999</v>
      </c>
      <c r="I103" s="322">
        <f>+'RECHAZADOS A CA'!I103+'INGRESO A PS DE CA'!I103</f>
        <v>105.06</v>
      </c>
      <c r="J103" s="322">
        <f>+'RECHAZADOS A CA'!J103+'INGRESO A PS DE CA'!J103</f>
        <v>105.86886</v>
      </c>
      <c r="K103" s="322">
        <f>+'RECHAZADOS A CA'!K103+'INGRESO A PS DE CA'!K103</f>
        <v>106.68384</v>
      </c>
      <c r="L103" s="322">
        <f>+'RECHAZADOS A CA'!L103+'INGRESO A PS DE CA'!L103</f>
        <v>107.50494</v>
      </c>
      <c r="M103" s="322">
        <f>+'RECHAZADOS A CA'!M103+'INGRESO A PS DE CA'!M103</f>
        <v>108.33216000000002</v>
      </c>
      <c r="N103" s="322">
        <f>+'RECHAZADOS A CA'!N103+'INGRESO A PS DE CA'!N103</f>
        <v>109.16652000000001</v>
      </c>
      <c r="O103" s="322">
        <f>+'RECHAZADOS A CA'!O103+'INGRESO A PS DE CA'!O103</f>
        <v>110.00700000000001</v>
      </c>
      <c r="P103" s="322">
        <f>+'RECHAZADOS A CA'!P103+'INGRESO A PS DE CA'!P103</f>
        <v>110.8536</v>
      </c>
      <c r="Q103" s="322">
        <f>+'RECHAZADOS A CA'!Q103+'INGRESO A PS DE CA'!Q103</f>
        <v>111.70632000000001</v>
      </c>
      <c r="R103" s="322">
        <f>+'RECHAZADOS A CA'!R103+'INGRESO A PS DE CA'!R103</f>
        <v>112.56618</v>
      </c>
      <c r="S103" s="322">
        <f>+'RECHAZADOS A CA'!S103+'INGRESO A PS DE CA'!S103</f>
        <v>113.43318000000002</v>
      </c>
      <c r="T103" s="322">
        <f>+'RECHAZADOS A CA'!T103+'INGRESO A PS DE CA'!T103</f>
        <v>114.30630000000001</v>
      </c>
      <c r="U103" s="322">
        <f>+'RECHAZADOS A CA'!U103+'INGRESO A PS DE CA'!U103</f>
        <v>115.18554</v>
      </c>
      <c r="V103" s="322">
        <f>+'RECHAZADOS A CA'!V103+'INGRESO A PS DE CA'!V103</f>
        <v>116.07294</v>
      </c>
      <c r="W103" s="322">
        <f>+'RECHAZADOS A CA'!W103+'INGRESO A PS DE CA'!W103</f>
        <v>116.96646000000001</v>
      </c>
      <c r="X103" s="322">
        <f>+'RECHAZADOS A CA'!X103+'INGRESO A PS DE CA'!X103</f>
        <v>117.8661</v>
      </c>
      <c r="Y103" s="322">
        <f>+'RECHAZADOS A CA'!Y103+'INGRESO A PS DE CA'!Y103</f>
        <v>118.7739</v>
      </c>
      <c r="Z103" s="322">
        <f>+'RECHAZADOS A CA'!Z103+'INGRESO A PS DE CA'!Z103</f>
        <v>119.68782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28"/>
      <c r="E104" s="278"/>
      <c r="F104" s="263"/>
      <c r="G104" s="322">
        <f>+'RECHAZADOS A CA'!G104+'INGRESO A PS DE CA'!G104</f>
        <v>29.401220000000002</v>
      </c>
      <c r="H104" s="322">
        <f>+'RECHAZADOS A CA'!H104+'INGRESO A PS DE CA'!H104</f>
        <v>29.948180000000001</v>
      </c>
      <c r="I104" s="322">
        <f>+'RECHAZADOS A CA'!I104+'INGRESO A PS DE CA'!I104</f>
        <v>30.502560000000003</v>
      </c>
      <c r="J104" s="322">
        <f>+'RECHAZADOS A CA'!J104+'INGRESO A PS DE CA'!J104</f>
        <v>31.066480000000002</v>
      </c>
      <c r="K104" s="322">
        <f>+'RECHAZADOS A CA'!K104+'INGRESO A PS DE CA'!K104</f>
        <v>31.639940000000003</v>
      </c>
      <c r="L104" s="322">
        <f>+'RECHAZADOS A CA'!L104+'INGRESO A PS DE CA'!L104</f>
        <v>32.222940000000001</v>
      </c>
      <c r="M104" s="322">
        <f>+'RECHAZADOS A CA'!M104+'INGRESO A PS DE CA'!M104</f>
        <v>32.815480000000001</v>
      </c>
      <c r="N104" s="322">
        <f>+'RECHAZADOS A CA'!N104+'INGRESO A PS DE CA'!N104</f>
        <v>33.416499999999999</v>
      </c>
      <c r="O104" s="322">
        <f>+'RECHAZADOS A CA'!O104+'INGRESO A PS DE CA'!O104</f>
        <v>34.028120000000001</v>
      </c>
      <c r="P104" s="322">
        <f>+'RECHAZADOS A CA'!P104+'INGRESO A PS DE CA'!P104</f>
        <v>34.650340000000007</v>
      </c>
      <c r="Q104" s="322">
        <f>+'RECHAZADOS A CA'!Q104+'INGRESO A PS DE CA'!Q104</f>
        <v>35.2821</v>
      </c>
      <c r="R104" s="322">
        <f>+'RECHAZADOS A CA'!R104+'INGRESO A PS DE CA'!R104</f>
        <v>35.924459999999996</v>
      </c>
      <c r="S104" s="322">
        <f>+'RECHAZADOS A CA'!S104+'INGRESO A PS DE CA'!S104</f>
        <v>36.576360000000001</v>
      </c>
      <c r="T104" s="322">
        <f>+'RECHAZADOS A CA'!T104+'INGRESO A PS DE CA'!T104</f>
        <v>37.239919999999998</v>
      </c>
      <c r="U104" s="322">
        <f>+'RECHAZADOS A CA'!U104+'INGRESO A PS DE CA'!U104</f>
        <v>37.914079999999998</v>
      </c>
      <c r="V104" s="322">
        <f>+'RECHAZADOS A CA'!V104+'INGRESO A PS DE CA'!V104</f>
        <v>38.598840000000003</v>
      </c>
      <c r="W104" s="322">
        <f>+'RECHAZADOS A CA'!W104+'INGRESO A PS DE CA'!W104</f>
        <v>39.295259999999999</v>
      </c>
      <c r="X104" s="322">
        <f>+'RECHAZADOS A CA'!X104+'INGRESO A PS DE CA'!X104</f>
        <v>40.002279999999999</v>
      </c>
      <c r="Y104" s="322">
        <f>+'RECHAZADOS A CA'!Y104+'INGRESO A PS DE CA'!Y104</f>
        <v>40.722020000000001</v>
      </c>
      <c r="Z104" s="322">
        <f>+'RECHAZADOS A CA'!Z104+'INGRESO A PS DE CA'!Z104</f>
        <v>41.452359999999999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28"/>
      <c r="E105" s="278"/>
      <c r="F105" s="263"/>
      <c r="G105" s="322">
        <f>+'RECHAZADOS A CA'!G105+'INGRESO A PS DE CA'!G105</f>
        <v>36.830760000000005</v>
      </c>
      <c r="H105" s="322">
        <f>+'RECHAZADOS A CA'!H105+'INGRESO A PS DE CA'!H105</f>
        <v>37.045940000000002</v>
      </c>
      <c r="I105" s="322">
        <f>+'RECHAZADOS A CA'!I105+'INGRESO A PS DE CA'!I105</f>
        <v>37.260060000000003</v>
      </c>
      <c r="J105" s="322">
        <f>+'RECHAZADOS A CA'!J105+'INGRESO A PS DE CA'!J105</f>
        <v>37.475240000000007</v>
      </c>
      <c r="K105" s="322">
        <f>+'RECHAZADOS A CA'!K105+'INGRESO A PS DE CA'!K105</f>
        <v>37.689360000000001</v>
      </c>
      <c r="L105" s="322">
        <f>+'RECHAZADOS A CA'!L105+'INGRESO A PS DE CA'!L105</f>
        <v>37.903480000000002</v>
      </c>
      <c r="M105" s="322">
        <f>+'RECHAZADOS A CA'!M105+'INGRESO A PS DE CA'!M105</f>
        <v>38.118660000000006</v>
      </c>
      <c r="N105" s="322">
        <f>+'RECHAZADOS A CA'!N105+'INGRESO A PS DE CA'!N105</f>
        <v>38.33278</v>
      </c>
      <c r="O105" s="322">
        <f>+'RECHAZADOS A CA'!O105+'INGRESO A PS DE CA'!O105</f>
        <v>38.546900000000001</v>
      </c>
      <c r="P105" s="322">
        <f>+'RECHAZADOS A CA'!P105+'INGRESO A PS DE CA'!P105</f>
        <v>38.762080000000005</v>
      </c>
      <c r="Q105" s="322">
        <f>+'RECHAZADOS A CA'!Q105+'INGRESO A PS DE CA'!Q105</f>
        <v>38.976200000000006</v>
      </c>
      <c r="R105" s="322">
        <f>+'RECHAZADOS A CA'!R105+'INGRESO A PS DE CA'!R105</f>
        <v>39.191380000000002</v>
      </c>
      <c r="S105" s="322">
        <f>+'RECHAZADOS A CA'!S105+'INGRESO A PS DE CA'!S105</f>
        <v>39.405500000000004</v>
      </c>
      <c r="T105" s="322">
        <f>+'RECHAZADOS A CA'!T105+'INGRESO A PS DE CA'!T105</f>
        <v>39.619620000000005</v>
      </c>
      <c r="U105" s="322">
        <f>+'RECHAZADOS A CA'!U105+'INGRESO A PS DE CA'!U105</f>
        <v>39.834800000000001</v>
      </c>
      <c r="V105" s="322">
        <f>+'RECHAZADOS A CA'!V105+'INGRESO A PS DE CA'!V105</f>
        <v>40.048920000000003</v>
      </c>
      <c r="W105" s="322">
        <f>+'RECHAZADOS A CA'!W105+'INGRESO A PS DE CA'!W105</f>
        <v>40.264099999999999</v>
      </c>
      <c r="X105" s="322">
        <f>+'RECHAZADOS A CA'!X105+'INGRESO A PS DE CA'!X105</f>
        <v>40.47822</v>
      </c>
      <c r="Y105" s="322">
        <f>+'RECHAZADOS A CA'!Y105+'INGRESO A PS DE CA'!Y105</f>
        <v>40.692340000000002</v>
      </c>
      <c r="Z105" s="322">
        <f>+'RECHAZADOS A CA'!Z105+'INGRESO A PS DE CA'!Z105</f>
        <v>40.907520000000005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28"/>
      <c r="E106" s="278"/>
      <c r="F106" s="263"/>
      <c r="G106" s="322">
        <f>+'RECHAZADOS A CA'!G106+'INGRESO A PS DE CA'!G106</f>
        <v>5.18696</v>
      </c>
      <c r="H106" s="322">
        <f>+'RECHAZADOS A CA'!H106+'INGRESO A PS DE CA'!H106</f>
        <v>5.2136400000000007</v>
      </c>
      <c r="I106" s="322">
        <f>+'RECHAZADOS A CA'!I106+'INGRESO A PS DE CA'!I106</f>
        <v>5.2403200000000005</v>
      </c>
      <c r="J106" s="322">
        <f>+'RECHAZADOS A CA'!J106+'INGRESO A PS DE CA'!J106</f>
        <v>5.2670000000000003</v>
      </c>
      <c r="K106" s="322">
        <f>+'RECHAZADOS A CA'!K106+'INGRESO A PS DE CA'!K106</f>
        <v>5.2936800000000002</v>
      </c>
      <c r="L106" s="322">
        <f>+'RECHAZADOS A CA'!L106+'INGRESO A PS DE CA'!L106</f>
        <v>5.3203600000000009</v>
      </c>
      <c r="M106" s="322">
        <f>+'RECHAZADOS A CA'!M106+'INGRESO A PS DE CA'!M106</f>
        <v>5.34612</v>
      </c>
      <c r="N106" s="322">
        <f>+'RECHAZADOS A CA'!N106+'INGRESO A PS DE CA'!N106</f>
        <v>5.3727999999999998</v>
      </c>
      <c r="O106" s="322">
        <f>+'RECHAZADOS A CA'!O106+'INGRESO A PS DE CA'!O106</f>
        <v>5.3994800000000005</v>
      </c>
      <c r="P106" s="322">
        <f>+'RECHAZADOS A CA'!P106+'INGRESO A PS DE CA'!P106</f>
        <v>5.4261599999999994</v>
      </c>
      <c r="Q106" s="322">
        <f>+'RECHAZADOS A CA'!Q106+'INGRESO A PS DE CA'!Q106</f>
        <v>5.4528400000000001</v>
      </c>
      <c r="R106" s="322">
        <f>+'RECHAZADOS A CA'!R106+'INGRESO A PS DE CA'!R106</f>
        <v>5.4795200000000008</v>
      </c>
      <c r="S106" s="322">
        <f>+'RECHAZADOS A CA'!S106+'INGRESO A PS DE CA'!S106</f>
        <v>5.5061999999999998</v>
      </c>
      <c r="T106" s="322">
        <f>+'RECHAZADOS A CA'!T106+'INGRESO A PS DE CA'!T106</f>
        <v>5.5328800000000005</v>
      </c>
      <c r="U106" s="322">
        <f>+'RECHAZADOS A CA'!U106+'INGRESO A PS DE CA'!U106</f>
        <v>5.5595600000000003</v>
      </c>
      <c r="V106" s="322">
        <f>+'RECHAZADOS A CA'!V106+'INGRESO A PS DE CA'!V106</f>
        <v>5.586240000000001</v>
      </c>
      <c r="W106" s="322">
        <f>+'RECHAZADOS A CA'!W106+'INGRESO A PS DE CA'!W106</f>
        <v>5.6120000000000001</v>
      </c>
      <c r="X106" s="322">
        <f>+'RECHAZADOS A CA'!X106+'INGRESO A PS DE CA'!X106</f>
        <v>5.6386799999999999</v>
      </c>
      <c r="Y106" s="322">
        <f>+'RECHAZADOS A CA'!Y106+'INGRESO A PS DE CA'!Y106</f>
        <v>5.6653600000000006</v>
      </c>
      <c r="Z106" s="322">
        <f>+'RECHAZADOS A CA'!Z106+'INGRESO A PS DE CA'!Z106</f>
        <v>5.6920399999999995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28"/>
      <c r="E107" s="278"/>
      <c r="F107" s="263"/>
      <c r="G107" s="322">
        <f>+'RECHAZADOS A CA'!G107+'INGRESO A PS DE CA'!G107</f>
        <v>103.61160000000001</v>
      </c>
      <c r="H107" s="322">
        <f>+'RECHAZADOS A CA'!H107+'INGRESO A PS DE CA'!H107</f>
        <v>104.26439999999999</v>
      </c>
      <c r="I107" s="322">
        <f>+'RECHAZADOS A CA'!I107+'INGRESO A PS DE CA'!I107</f>
        <v>104.91719999999999</v>
      </c>
      <c r="J107" s="322">
        <f>+'RECHAZADOS A CA'!J107+'INGRESO A PS DE CA'!J107</f>
        <v>105.56898</v>
      </c>
      <c r="K107" s="322">
        <f>+'RECHAZADOS A CA'!K107+'INGRESO A PS DE CA'!K107</f>
        <v>106.22178</v>
      </c>
      <c r="L107" s="322">
        <f>+'RECHAZADOS A CA'!L107+'INGRESO A PS DE CA'!L107</f>
        <v>106.87458000000001</v>
      </c>
      <c r="M107" s="322">
        <f>+'RECHAZADOS A CA'!M107+'INGRESO A PS DE CA'!M107</f>
        <v>107.52636</v>
      </c>
      <c r="N107" s="322">
        <f>+'RECHAZADOS A CA'!N107+'INGRESO A PS DE CA'!N107</f>
        <v>108.17916000000001</v>
      </c>
      <c r="O107" s="322">
        <f>+'RECHAZADOS A CA'!O107+'INGRESO A PS DE CA'!O107</f>
        <v>108.83196000000001</v>
      </c>
      <c r="P107" s="322">
        <f>+'RECHAZADOS A CA'!P107+'INGRESO A PS DE CA'!P107</f>
        <v>109.48374000000001</v>
      </c>
      <c r="Q107" s="322">
        <f>+'RECHAZADOS A CA'!Q107+'INGRESO A PS DE CA'!Q107</f>
        <v>110.13654</v>
      </c>
      <c r="R107" s="322">
        <f>+'RECHAZADOS A CA'!R107+'INGRESO A PS DE CA'!R107</f>
        <v>110.78934</v>
      </c>
      <c r="S107" s="322">
        <f>+'RECHAZADOS A CA'!S107+'INGRESO A PS DE CA'!S107</f>
        <v>111.44112</v>
      </c>
      <c r="T107" s="322">
        <f>+'RECHAZADOS A CA'!T107+'INGRESO A PS DE CA'!T107</f>
        <v>112.09392</v>
      </c>
      <c r="U107" s="322">
        <f>+'RECHAZADOS A CA'!U107+'INGRESO A PS DE CA'!U107</f>
        <v>112.74672000000001</v>
      </c>
      <c r="V107" s="322">
        <f>+'RECHAZADOS A CA'!V107+'INGRESO A PS DE CA'!V107</f>
        <v>113.39849999999998</v>
      </c>
      <c r="W107" s="322">
        <f>+'RECHAZADOS A CA'!W107+'INGRESO A PS DE CA'!W107</f>
        <v>114.0513</v>
      </c>
      <c r="X107" s="322">
        <f>+'RECHAZADOS A CA'!X107+'INGRESO A PS DE CA'!X107</f>
        <v>114.70410000000001</v>
      </c>
      <c r="Y107" s="322">
        <f>+'RECHAZADOS A CA'!Y107+'INGRESO A PS DE CA'!Y107</f>
        <v>115.35588000000001</v>
      </c>
      <c r="Z107" s="322">
        <f>+'RECHAZADOS A CA'!Z107+'INGRESO A PS DE CA'!Z107</f>
        <v>116.00868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28"/>
      <c r="E108" s="278"/>
      <c r="F108" s="263"/>
      <c r="G108" s="322">
        <f>+'RECHAZADOS A CA'!G108+'INGRESO A PS DE CA'!G108</f>
        <v>3.1832000000000003</v>
      </c>
      <c r="H108" s="322">
        <f>+'RECHAZADOS A CA'!H108+'INGRESO A PS DE CA'!H108</f>
        <v>3.2485200000000001</v>
      </c>
      <c r="I108" s="322">
        <f>+'RECHAZADOS A CA'!I108+'INGRESO A PS DE CA'!I108</f>
        <v>3.3147600000000002</v>
      </c>
      <c r="J108" s="322">
        <f>+'RECHAZADOS A CA'!J108+'INGRESO A PS DE CA'!J108</f>
        <v>3.3828400000000003</v>
      </c>
      <c r="K108" s="322">
        <f>+'RECHAZADOS A CA'!K108+'INGRESO A PS DE CA'!K108</f>
        <v>3.4518399999999998</v>
      </c>
      <c r="L108" s="322">
        <f>+'RECHAZADOS A CA'!L108+'INGRESO A PS DE CA'!L108</f>
        <v>3.5226800000000003</v>
      </c>
      <c r="M108" s="322">
        <f>+'RECHAZADOS A CA'!M108+'INGRESO A PS DE CA'!M108</f>
        <v>3.5944400000000001</v>
      </c>
      <c r="N108" s="322">
        <f>+'RECHAZADOS A CA'!N108+'INGRESO A PS DE CA'!N108</f>
        <v>3.66804</v>
      </c>
      <c r="O108" s="322">
        <f>+'RECHAZADOS A CA'!O108+'INGRESO A PS DE CA'!O108</f>
        <v>3.7434799999999999</v>
      </c>
      <c r="P108" s="322">
        <f>+'RECHAZADOS A CA'!P108+'INGRESO A PS DE CA'!P108</f>
        <v>3.8198400000000001</v>
      </c>
      <c r="Q108" s="322">
        <f>+'RECHAZADOS A CA'!Q108+'INGRESO A PS DE CA'!Q108</f>
        <v>3.8980399999999999</v>
      </c>
      <c r="R108" s="322">
        <f>+'RECHAZADOS A CA'!R108+'INGRESO A PS DE CA'!R108</f>
        <v>3.9771600000000005</v>
      </c>
      <c r="S108" s="322">
        <f>+'RECHAZADOS A CA'!S108+'INGRESO A PS DE CA'!S108</f>
        <v>4.0590399999999995</v>
      </c>
      <c r="T108" s="322">
        <f>+'RECHAZADOS A CA'!T108+'INGRESO A PS DE CA'!T108</f>
        <v>4.1418400000000002</v>
      </c>
      <c r="U108" s="322">
        <f>+'RECHAZADOS A CA'!U108+'INGRESO A PS DE CA'!U108</f>
        <v>4.2264800000000005</v>
      </c>
      <c r="V108" s="322">
        <f>+'RECHAZADOS A CA'!V108+'INGRESO A PS DE CA'!V108</f>
        <v>4.3129600000000003</v>
      </c>
      <c r="W108" s="322">
        <f>+'RECHAZADOS A CA'!W108+'INGRESO A PS DE CA'!W108</f>
        <v>4.4012799999999999</v>
      </c>
      <c r="X108" s="322">
        <f>+'RECHAZADOS A CA'!X108+'INGRESO A PS DE CA'!X108</f>
        <v>4.4914400000000008</v>
      </c>
      <c r="Y108" s="322">
        <f>+'RECHAZADOS A CA'!Y108+'INGRESO A PS DE CA'!Y108</f>
        <v>4.5834400000000004</v>
      </c>
      <c r="Z108" s="322">
        <f>+'RECHAZADOS A CA'!Z108+'INGRESO A PS DE CA'!Z108</f>
        <v>4.6772800000000005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28"/>
      <c r="E109" s="278"/>
      <c r="F109" s="263"/>
      <c r="G109" s="322">
        <f>+'RECHAZADOS A CA'!G109+'INGRESO A PS DE CA'!G109</f>
        <v>611.81169</v>
      </c>
      <c r="H109" s="322">
        <f>+'RECHAZADOS A CA'!H109+'INGRESO A PS DE CA'!H109</f>
        <v>623.71772999999996</v>
      </c>
      <c r="I109" s="322">
        <f>+'RECHAZADOS A CA'!I109+'INGRESO A PS DE CA'!I109</f>
        <v>635.62517999999989</v>
      </c>
      <c r="J109" s="322">
        <f>+'RECHAZADOS A CA'!J109+'INGRESO A PS DE CA'!J109</f>
        <v>647.53263000000004</v>
      </c>
      <c r="K109" s="322">
        <f>+'RECHAZADOS A CA'!K109+'INGRESO A PS DE CA'!K109</f>
        <v>659.44007999999997</v>
      </c>
      <c r="L109" s="322">
        <f>+'RECHAZADOS A CA'!L109+'INGRESO A PS DE CA'!L109</f>
        <v>671.34752999999989</v>
      </c>
      <c r="M109" s="322">
        <f>+'RECHAZADOS A CA'!M109+'INGRESO A PS DE CA'!M109</f>
        <v>683.25497999999993</v>
      </c>
      <c r="N109" s="322">
        <f>+'RECHAZADOS A CA'!N109+'INGRESO A PS DE CA'!N109</f>
        <v>695.16242999999997</v>
      </c>
      <c r="O109" s="322">
        <f>+'RECHAZADOS A CA'!O109+'INGRESO A PS DE CA'!O109</f>
        <v>707.06988000000001</v>
      </c>
      <c r="P109" s="322">
        <f>+'RECHAZADOS A CA'!P109+'INGRESO A PS DE CA'!P109</f>
        <v>718.97732999999994</v>
      </c>
      <c r="Q109" s="322">
        <f>+'RECHAZADOS A CA'!Q109+'INGRESO A PS DE CA'!Q109</f>
        <v>730.88477999999986</v>
      </c>
      <c r="R109" s="322">
        <f>+'RECHAZADOS A CA'!R109+'INGRESO A PS DE CA'!R109</f>
        <v>742.79223000000002</v>
      </c>
      <c r="S109" s="322">
        <f>+'RECHAZADOS A CA'!S109+'INGRESO A PS DE CA'!S109</f>
        <v>754.69826999999987</v>
      </c>
      <c r="T109" s="322">
        <f>+'RECHAZADOS A CA'!T109+'INGRESO A PS DE CA'!T109</f>
        <v>766.60572000000002</v>
      </c>
      <c r="U109" s="322">
        <f>+'RECHAZADOS A CA'!U109+'INGRESO A PS DE CA'!U109</f>
        <v>778.51316999999995</v>
      </c>
      <c r="V109" s="322">
        <f>+'RECHAZADOS A CA'!V109+'INGRESO A PS DE CA'!V109</f>
        <v>790.42061999999999</v>
      </c>
      <c r="W109" s="322">
        <f>+'RECHAZADOS A CA'!W109+'INGRESO A PS DE CA'!W109</f>
        <v>802.32807000000003</v>
      </c>
      <c r="X109" s="322">
        <f>+'RECHAZADOS A CA'!X109+'INGRESO A PS DE CA'!X109</f>
        <v>814.23551999999995</v>
      </c>
      <c r="Y109" s="322">
        <f>+'RECHAZADOS A CA'!Y109+'INGRESO A PS DE CA'!Y109</f>
        <v>826.1429700000001</v>
      </c>
      <c r="Z109" s="322">
        <f>+'RECHAZADOS A CA'!Z109+'INGRESO A PS DE CA'!Z109</f>
        <v>838.05041999999992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28"/>
      <c r="E110" s="278"/>
      <c r="F110" s="263"/>
      <c r="G110" s="322">
        <f>+'RECHAZADOS A CA'!G110+'INGRESO A PS DE CA'!G110</f>
        <v>66.162300000000002</v>
      </c>
      <c r="H110" s="322">
        <f>+'RECHAZADOS A CA'!H110+'INGRESO A PS DE CA'!H110</f>
        <v>67.903440000000003</v>
      </c>
      <c r="I110" s="322">
        <f>+'RECHAZADOS A CA'!I110+'INGRESO A PS DE CA'!I110</f>
        <v>69.67110000000001</v>
      </c>
      <c r="J110" s="322">
        <f>+'RECHAZADOS A CA'!J110+'INGRESO A PS DE CA'!J110</f>
        <v>71.468339999999998</v>
      </c>
      <c r="K110" s="322">
        <f>+'RECHAZADOS A CA'!K110+'INGRESO A PS DE CA'!K110</f>
        <v>73.29516000000001</v>
      </c>
      <c r="L110" s="322">
        <f>+'RECHAZADOS A CA'!L110+'INGRESO A PS DE CA'!L110</f>
        <v>75.150540000000007</v>
      </c>
      <c r="M110" s="322">
        <f>+'RECHAZADOS A CA'!M110+'INGRESO A PS DE CA'!M110</f>
        <v>77.037540000000007</v>
      </c>
      <c r="N110" s="322">
        <f>+'RECHAZADOS A CA'!N110+'INGRESO A PS DE CA'!N110</f>
        <v>78.954119999999989</v>
      </c>
      <c r="O110" s="322">
        <f>+'RECHAZADOS A CA'!O110+'INGRESO A PS DE CA'!O110</f>
        <v>80.902320000000003</v>
      </c>
      <c r="P110" s="322">
        <f>+'RECHAZADOS A CA'!P110+'INGRESO A PS DE CA'!P110</f>
        <v>82.882139999999993</v>
      </c>
      <c r="Q110" s="322">
        <f>+'RECHAZADOS A CA'!Q110+'INGRESO A PS DE CA'!Q110</f>
        <v>84.895619999999994</v>
      </c>
      <c r="R110" s="322">
        <f>+'RECHAZADOS A CA'!R110+'INGRESO A PS DE CA'!R110</f>
        <v>86.940719999999999</v>
      </c>
      <c r="S110" s="322">
        <f>+'RECHAZADOS A CA'!S110+'INGRESO A PS DE CA'!S110</f>
        <v>89.019480000000001</v>
      </c>
      <c r="T110" s="322">
        <f>+'RECHAZADOS A CA'!T110+'INGRESO A PS DE CA'!T110</f>
        <v>91.131900000000002</v>
      </c>
      <c r="U110" s="322">
        <f>+'RECHAZADOS A CA'!U110+'INGRESO A PS DE CA'!U110</f>
        <v>93.280020000000007</v>
      </c>
      <c r="V110" s="322">
        <f>+'RECHAZADOS A CA'!V110+'INGRESO A PS DE CA'!V110</f>
        <v>95.461799999999997</v>
      </c>
      <c r="W110" s="322">
        <f>+'RECHAZADOS A CA'!W110+'INGRESO A PS DE CA'!W110</f>
        <v>97.679280000000006</v>
      </c>
      <c r="X110" s="322">
        <f>+'RECHAZADOS A CA'!X110+'INGRESO A PS DE CA'!X110</f>
        <v>99.933480000000003</v>
      </c>
      <c r="Y110" s="322">
        <f>+'RECHAZADOS A CA'!Y110+'INGRESO A PS DE CA'!Y110</f>
        <v>102.2244</v>
      </c>
      <c r="Z110" s="322">
        <f>+'RECHAZADOS A CA'!Z110+'INGRESO A PS DE CA'!Z110</f>
        <v>104.55204000000001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28"/>
      <c r="E111" s="278"/>
      <c r="F111" s="263"/>
      <c r="G111" s="322">
        <f>+'RECHAZADOS A CA'!G111+'INGRESO A PS DE CA'!G111</f>
        <v>116.23818000000001</v>
      </c>
      <c r="H111" s="322">
        <f>+'RECHAZADOS A CA'!H111+'INGRESO A PS DE CA'!H111</f>
        <v>118.39547999999999</v>
      </c>
      <c r="I111" s="322">
        <f>+'RECHAZADOS A CA'!I111+'INGRESO A PS DE CA'!I111</f>
        <v>120.55278</v>
      </c>
      <c r="J111" s="322">
        <f>+'RECHAZADOS A CA'!J111+'INGRESO A PS DE CA'!J111</f>
        <v>122.71008</v>
      </c>
      <c r="K111" s="322">
        <f>+'RECHAZADOS A CA'!K111+'INGRESO A PS DE CA'!K111</f>
        <v>124.86840000000001</v>
      </c>
      <c r="L111" s="322">
        <f>+'RECHAZADOS A CA'!L111+'INGRESO A PS DE CA'!L111</f>
        <v>127.0257</v>
      </c>
      <c r="M111" s="322">
        <f>+'RECHAZADOS A CA'!M111+'INGRESO A PS DE CA'!M111</f>
        <v>129.18299999999999</v>
      </c>
      <c r="N111" s="322">
        <f>+'RECHAZADOS A CA'!N111+'INGRESO A PS DE CA'!N111</f>
        <v>131.34029999999998</v>
      </c>
      <c r="O111" s="322">
        <f>+'RECHAZADOS A CA'!O111+'INGRESO A PS DE CA'!O111</f>
        <v>133.49760000000001</v>
      </c>
      <c r="P111" s="322">
        <f>+'RECHAZADOS A CA'!P111+'INGRESO A PS DE CA'!P111</f>
        <v>135.6549</v>
      </c>
      <c r="Q111" s="322">
        <f>+'RECHAZADOS A CA'!Q111+'INGRESO A PS DE CA'!Q111</f>
        <v>137.81220000000002</v>
      </c>
      <c r="R111" s="322">
        <f>+'RECHAZADOS A CA'!R111+'INGRESO A PS DE CA'!R111</f>
        <v>139.96950000000001</v>
      </c>
      <c r="S111" s="322">
        <f>+'RECHAZADOS A CA'!S111+'INGRESO A PS DE CA'!S111</f>
        <v>142.12782000000001</v>
      </c>
      <c r="T111" s="322">
        <f>+'RECHAZADOS A CA'!T111+'INGRESO A PS DE CA'!T111</f>
        <v>144.28512000000001</v>
      </c>
      <c r="U111" s="322">
        <f>+'RECHAZADOS A CA'!U111+'INGRESO A PS DE CA'!U111</f>
        <v>146.44242000000003</v>
      </c>
      <c r="V111" s="322">
        <f>+'RECHAZADOS A CA'!V111+'INGRESO A PS DE CA'!V111</f>
        <v>148.59971999999999</v>
      </c>
      <c r="W111" s="322">
        <f>+'RECHAZADOS A CA'!W111+'INGRESO A PS DE CA'!W111</f>
        <v>150.75701999999998</v>
      </c>
      <c r="X111" s="322">
        <f>+'RECHAZADOS A CA'!X111+'INGRESO A PS DE CA'!X111</f>
        <v>152.91432</v>
      </c>
      <c r="Y111" s="322">
        <f>+'RECHAZADOS A CA'!Y111+'INGRESO A PS DE CA'!Y111</f>
        <v>155.07162</v>
      </c>
      <c r="Z111" s="322">
        <f>+'RECHAZADOS A CA'!Z111+'INGRESO A PS DE CA'!Z111</f>
        <v>157.22892000000002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28"/>
      <c r="E112" s="278"/>
      <c r="F112" s="263"/>
      <c r="G112" s="322">
        <f>+'RECHAZADOS A CA'!G112+'INGRESO A PS DE CA'!G112</f>
        <v>4.6588799999999999</v>
      </c>
      <c r="H112" s="322">
        <f>+'RECHAZADOS A CA'!H112+'INGRESO A PS DE CA'!H112</f>
        <v>4.7012</v>
      </c>
      <c r="I112" s="322">
        <f>+'RECHAZADOS A CA'!I112+'INGRESO A PS DE CA'!I112</f>
        <v>4.7435200000000002</v>
      </c>
      <c r="J112" s="322">
        <f>+'RECHAZADOS A CA'!J112+'INGRESO A PS DE CA'!J112</f>
        <v>4.7849200000000005</v>
      </c>
      <c r="K112" s="322">
        <f>+'RECHAZADOS A CA'!K112+'INGRESO A PS DE CA'!K112</f>
        <v>4.8272399999999998</v>
      </c>
      <c r="L112" s="322">
        <f>+'RECHAZADOS A CA'!L112+'INGRESO A PS DE CA'!L112</f>
        <v>4.8888800000000003</v>
      </c>
      <c r="M112" s="322">
        <f>+'RECHAZADOS A CA'!M112+'INGRESO A PS DE CA'!M112</f>
        <v>4.9496000000000002</v>
      </c>
      <c r="N112" s="322">
        <f>+'RECHAZADOS A CA'!N112+'INGRESO A PS DE CA'!N112</f>
        <v>5.0112399999999999</v>
      </c>
      <c r="O112" s="322">
        <f>+'RECHAZADOS A CA'!O112+'INGRESO A PS DE CA'!O112</f>
        <v>5.0728800000000005</v>
      </c>
      <c r="P112" s="322">
        <f>+'RECHAZADOS A CA'!P112+'INGRESO A PS DE CA'!P112</f>
        <v>5.1336000000000004</v>
      </c>
      <c r="Q112" s="322">
        <f>+'RECHAZADOS A CA'!Q112+'INGRESO A PS DE CA'!Q112</f>
        <v>5.1952400000000001</v>
      </c>
      <c r="R112" s="322">
        <f>+'RECHAZADOS A CA'!R112+'INGRESO A PS DE CA'!R112</f>
        <v>5.2568799999999998</v>
      </c>
      <c r="S112" s="322">
        <f>+'RECHAZADOS A CA'!S112+'INGRESO A PS DE CA'!S112</f>
        <v>5.3176000000000005</v>
      </c>
      <c r="T112" s="322">
        <f>+'RECHAZADOS A CA'!T112+'INGRESO A PS DE CA'!T112</f>
        <v>5.3792399999999994</v>
      </c>
      <c r="U112" s="322">
        <f>+'RECHAZADOS A CA'!U112+'INGRESO A PS DE CA'!U112</f>
        <v>5.4399600000000001</v>
      </c>
      <c r="V112" s="322">
        <f>+'RECHAZADOS A CA'!V112+'INGRESO A PS DE CA'!V112</f>
        <v>5.5016000000000007</v>
      </c>
      <c r="W112" s="322">
        <f>+'RECHAZADOS A CA'!W112+'INGRESO A PS DE CA'!W112</f>
        <v>5.5632400000000004</v>
      </c>
      <c r="X112" s="322">
        <f>+'RECHAZADOS A CA'!X112+'INGRESO A PS DE CA'!X112</f>
        <v>5.6239600000000003</v>
      </c>
      <c r="Y112" s="322">
        <f>+'RECHAZADOS A CA'!Y112+'INGRESO A PS DE CA'!Y112</f>
        <v>5.6856</v>
      </c>
      <c r="Z112" s="322">
        <f>+'RECHAZADOS A CA'!Z112+'INGRESO A PS DE CA'!Z112</f>
        <v>5.7472400000000006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28"/>
      <c r="E113" s="278"/>
      <c r="F113" s="263"/>
      <c r="G113" s="322">
        <f>+'RECHAZADOS A CA'!G113+'INGRESO A PS DE CA'!G113</f>
        <v>8.2110000000000003</v>
      </c>
      <c r="H113" s="322">
        <f>+'RECHAZADOS A CA'!H113+'INGRESO A PS DE CA'!H113</f>
        <v>8.3673999999999999</v>
      </c>
      <c r="I113" s="322">
        <f>+'RECHAZADOS A CA'!I113+'INGRESO A PS DE CA'!I113</f>
        <v>8.5265599999999999</v>
      </c>
      <c r="J113" s="322">
        <f>+'RECHAZADOS A CA'!J113+'INGRESO A PS DE CA'!J113</f>
        <v>8.6884800000000002</v>
      </c>
      <c r="K113" s="322">
        <f>+'RECHAZADOS A CA'!K113+'INGRESO A PS DE CA'!K113</f>
        <v>8.8522400000000001</v>
      </c>
      <c r="L113" s="322">
        <f>+'RECHAZADOS A CA'!L113+'INGRESO A PS DE CA'!L113</f>
        <v>9.019680000000001</v>
      </c>
      <c r="M113" s="322">
        <f>+'RECHAZADOS A CA'!M113+'INGRESO A PS DE CA'!M113</f>
        <v>9.1889600000000016</v>
      </c>
      <c r="N113" s="322">
        <f>+'RECHAZADOS A CA'!N113+'INGRESO A PS DE CA'!N113</f>
        <v>9.3619199999999996</v>
      </c>
      <c r="O113" s="322">
        <f>+'RECHAZADOS A CA'!O113+'INGRESO A PS DE CA'!O113</f>
        <v>9.5367200000000008</v>
      </c>
      <c r="P113" s="322">
        <f>+'RECHAZADOS A CA'!P113+'INGRESO A PS DE CA'!P113</f>
        <v>9.7152000000000012</v>
      </c>
      <c r="Q113" s="322">
        <f>+'RECHAZADOS A CA'!Q113+'INGRESO A PS DE CA'!Q113</f>
        <v>9.8964400000000001</v>
      </c>
      <c r="R113" s="322">
        <f>+'RECHAZADOS A CA'!R113+'INGRESO A PS DE CA'!R113</f>
        <v>10.080440000000001</v>
      </c>
      <c r="S113" s="322">
        <f>+'RECHAZADOS A CA'!S113+'INGRESO A PS DE CA'!S113</f>
        <v>10.267200000000001</v>
      </c>
      <c r="T113" s="322">
        <f>+'RECHAZADOS A CA'!T113+'INGRESO A PS DE CA'!T113</f>
        <v>10.457640000000001</v>
      </c>
      <c r="U113" s="322">
        <f>+'RECHAZADOS A CA'!U113+'INGRESO A PS DE CA'!U113</f>
        <v>10.650840000000001</v>
      </c>
      <c r="V113" s="322">
        <f>+'RECHAZADOS A CA'!V113+'INGRESO A PS DE CA'!V113</f>
        <v>10.846800000000002</v>
      </c>
      <c r="W113" s="322">
        <f>+'RECHAZADOS A CA'!W113+'INGRESO A PS DE CA'!W113</f>
        <v>11.04644</v>
      </c>
      <c r="X113" s="322">
        <f>+'RECHAZADOS A CA'!X113+'INGRESO A PS DE CA'!X113</f>
        <v>11.24884</v>
      </c>
      <c r="Y113" s="322">
        <f>+'RECHAZADOS A CA'!Y113+'INGRESO A PS DE CA'!Y113</f>
        <v>11.45492</v>
      </c>
      <c r="Z113" s="322">
        <f>+'RECHAZADOS A CA'!Z113+'INGRESO A PS DE CA'!Z113</f>
        <v>11.664680000000001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28"/>
      <c r="E114" s="278"/>
      <c r="F114" s="263"/>
      <c r="G114" s="322">
        <f>+'RECHAZADOS A CA'!G114+'INGRESO A PS DE CA'!G114</f>
        <v>17.64264</v>
      </c>
      <c r="H114" s="322">
        <f>+'RECHAZADOS A CA'!H114+'INGRESO A PS DE CA'!H114</f>
        <v>17.889620000000004</v>
      </c>
      <c r="I114" s="322">
        <f>+'RECHAZADOS A CA'!I114+'INGRESO A PS DE CA'!I114</f>
        <v>18.140840000000001</v>
      </c>
      <c r="J114" s="322">
        <f>+'RECHAZADOS A CA'!J114+'INGRESO A PS DE CA'!J114</f>
        <v>18.395240000000001</v>
      </c>
      <c r="K114" s="322">
        <f>+'RECHAZADOS A CA'!K114+'INGRESO A PS DE CA'!K114</f>
        <v>18.652819999999998</v>
      </c>
      <c r="L114" s="322">
        <f>+'RECHAZADOS A CA'!L114+'INGRESO A PS DE CA'!L114</f>
        <v>18.914639999999999</v>
      </c>
      <c r="M114" s="322">
        <f>+'RECHAZADOS A CA'!M114+'INGRESO A PS DE CA'!M114</f>
        <v>19.179639999999999</v>
      </c>
      <c r="N114" s="322">
        <f>+'RECHAZADOS A CA'!N114+'INGRESO A PS DE CA'!N114</f>
        <v>19.448880000000003</v>
      </c>
      <c r="O114" s="322">
        <f>+'RECHAZADOS A CA'!O114+'INGRESO A PS DE CA'!O114</f>
        <v>19.721299999999999</v>
      </c>
      <c r="P114" s="322">
        <f>+'RECHAZADOS A CA'!P114+'INGRESO A PS DE CA'!P114</f>
        <v>19.997960000000003</v>
      </c>
      <c r="Q114" s="322">
        <f>+'RECHAZADOS A CA'!Q114+'INGRESO A PS DE CA'!Q114</f>
        <v>20.278860000000002</v>
      </c>
      <c r="R114" s="322">
        <f>+'RECHAZADOS A CA'!R114+'INGRESO A PS DE CA'!R114</f>
        <v>20.562940000000001</v>
      </c>
      <c r="S114" s="322">
        <f>+'RECHAZADOS A CA'!S114+'INGRESO A PS DE CA'!S114</f>
        <v>20.851260000000003</v>
      </c>
      <c r="T114" s="322">
        <f>+'RECHAZADOS A CA'!T114+'INGRESO A PS DE CA'!T114</f>
        <v>21.143819999999998</v>
      </c>
      <c r="U114" s="322">
        <f>+'RECHAZADOS A CA'!U114+'INGRESO A PS DE CA'!U114</f>
        <v>21.440620000000003</v>
      </c>
      <c r="V114" s="322">
        <f>+'RECHAZADOS A CA'!V114+'INGRESO A PS DE CA'!V114</f>
        <v>21.740600000000001</v>
      </c>
      <c r="W114" s="322">
        <f>+'RECHAZADOS A CA'!W114+'INGRESO A PS DE CA'!W114</f>
        <v>22.04588</v>
      </c>
      <c r="X114" s="322">
        <f>+'RECHAZADOS A CA'!X114+'INGRESO A PS DE CA'!X114</f>
        <v>22.355400000000003</v>
      </c>
      <c r="Y114" s="322">
        <f>+'RECHAZADOS A CA'!Y114+'INGRESO A PS DE CA'!Y114</f>
        <v>22.668100000000003</v>
      </c>
      <c r="Z114" s="322">
        <f>+'RECHAZADOS A CA'!Z114+'INGRESO A PS DE CA'!Z114</f>
        <v>22.9861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28"/>
      <c r="E115" s="278"/>
      <c r="F115" s="263"/>
      <c r="G115" s="322">
        <f>+'RECHAZADOS A CA'!G115+'INGRESO A PS DE CA'!G115</f>
        <v>13.542400000000001</v>
      </c>
      <c r="H115" s="322">
        <f>+'RECHAZADOS A CA'!H115+'INGRESO A PS DE CA'!H115</f>
        <v>13.660160000000001</v>
      </c>
      <c r="I115" s="322">
        <f>+'RECHAZADOS A CA'!I115+'INGRESO A PS DE CA'!I115</f>
        <v>13.776999999999999</v>
      </c>
      <c r="J115" s="322">
        <f>+'RECHAZADOS A CA'!J115+'INGRESO A PS DE CA'!J115</f>
        <v>13.89476</v>
      </c>
      <c r="K115" s="322">
        <f>+'RECHAZADOS A CA'!K115+'INGRESO A PS DE CA'!K115</f>
        <v>14.0116</v>
      </c>
      <c r="L115" s="322">
        <f>+'RECHAZADOS A CA'!L115+'INGRESO A PS DE CA'!L115</f>
        <v>14.12936</v>
      </c>
      <c r="M115" s="322">
        <f>+'RECHAZADOS A CA'!M115+'INGRESO A PS DE CA'!M115</f>
        <v>14.247120000000001</v>
      </c>
      <c r="N115" s="322">
        <f>+'RECHAZADOS A CA'!N115+'INGRESO A PS DE CA'!N115</f>
        <v>14.363960000000001</v>
      </c>
      <c r="O115" s="322">
        <f>+'RECHAZADOS A CA'!O115+'INGRESO A PS DE CA'!O115</f>
        <v>14.481720000000001</v>
      </c>
      <c r="P115" s="322">
        <f>+'RECHAZADOS A CA'!P115+'INGRESO A PS DE CA'!P115</f>
        <v>14.598560000000001</v>
      </c>
      <c r="Q115" s="322">
        <f>+'RECHAZADOS A CA'!Q115+'INGRESO A PS DE CA'!Q115</f>
        <v>14.716320000000001</v>
      </c>
      <c r="R115" s="322">
        <f>+'RECHAZADOS A CA'!R115+'INGRESO A PS DE CA'!R115</f>
        <v>14.833159999999999</v>
      </c>
      <c r="S115" s="322">
        <f>+'RECHAZADOS A CA'!S115+'INGRESO A PS DE CA'!S115</f>
        <v>14.95092</v>
      </c>
      <c r="T115" s="322">
        <f>+'RECHAZADOS A CA'!T115+'INGRESO A PS DE CA'!T115</f>
        <v>15.06776</v>
      </c>
      <c r="U115" s="322">
        <f>+'RECHAZADOS A CA'!U115+'INGRESO A PS DE CA'!U115</f>
        <v>15.18552</v>
      </c>
      <c r="V115" s="322">
        <f>+'RECHAZADOS A CA'!V115+'INGRESO A PS DE CA'!V115</f>
        <v>15.303280000000001</v>
      </c>
      <c r="W115" s="322">
        <f>+'RECHAZADOS A CA'!W115+'INGRESO A PS DE CA'!W115</f>
        <v>15.420120000000001</v>
      </c>
      <c r="X115" s="322">
        <f>+'RECHAZADOS A CA'!X115+'INGRESO A PS DE CA'!X115</f>
        <v>15.537880000000001</v>
      </c>
      <c r="Y115" s="322">
        <f>+'RECHAZADOS A CA'!Y115+'INGRESO A PS DE CA'!Y115</f>
        <v>15.654720000000001</v>
      </c>
      <c r="Z115" s="322">
        <f>+'RECHAZADOS A CA'!Z115+'INGRESO A PS DE CA'!Z115</f>
        <v>15.772480000000002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28"/>
      <c r="E116" s="278"/>
      <c r="F116" s="263"/>
      <c r="G116" s="322">
        <f>+'RECHAZADOS A CA'!G116+'INGRESO A PS DE CA'!G116</f>
        <v>12.788920000000001</v>
      </c>
      <c r="H116" s="322">
        <f>+'RECHAZADOS A CA'!H116+'INGRESO A PS DE CA'!H116</f>
        <v>12.917720000000001</v>
      </c>
      <c r="I116" s="322">
        <f>+'RECHAZADOS A CA'!I116+'INGRESO A PS DE CA'!I116</f>
        <v>13.0456</v>
      </c>
      <c r="J116" s="322">
        <f>+'RECHAZADOS A CA'!J116+'INGRESO A PS DE CA'!J116</f>
        <v>13.174400000000002</v>
      </c>
      <c r="K116" s="322">
        <f>+'RECHAZADOS A CA'!K116+'INGRESO A PS DE CA'!K116</f>
        <v>13.3032</v>
      </c>
      <c r="L116" s="322">
        <f>+'RECHAZADOS A CA'!L116+'INGRESO A PS DE CA'!L116</f>
        <v>13.432</v>
      </c>
      <c r="M116" s="322">
        <f>+'RECHAZADOS A CA'!M116+'INGRESO A PS DE CA'!M116</f>
        <v>13.5608</v>
      </c>
      <c r="N116" s="322">
        <f>+'RECHAZADOS A CA'!N116+'INGRESO A PS DE CA'!N116</f>
        <v>13.689600000000002</v>
      </c>
      <c r="O116" s="322">
        <f>+'RECHAZADOS A CA'!O116+'INGRESO A PS DE CA'!O116</f>
        <v>13.8184</v>
      </c>
      <c r="P116" s="322">
        <f>+'RECHAZADOS A CA'!P116+'INGRESO A PS DE CA'!P116</f>
        <v>13.9472</v>
      </c>
      <c r="Q116" s="322">
        <f>+'RECHAZADOS A CA'!Q116+'INGRESO A PS DE CA'!Q116</f>
        <v>14.07508</v>
      </c>
      <c r="R116" s="322">
        <f>+'RECHAZADOS A CA'!R116+'INGRESO A PS DE CA'!R116</f>
        <v>14.203880000000002</v>
      </c>
      <c r="S116" s="322">
        <f>+'RECHAZADOS A CA'!S116+'INGRESO A PS DE CA'!S116</f>
        <v>14.33268</v>
      </c>
      <c r="T116" s="322">
        <f>+'RECHAZADOS A CA'!T116+'INGRESO A PS DE CA'!T116</f>
        <v>14.461480000000002</v>
      </c>
      <c r="U116" s="322">
        <f>+'RECHAZADOS A CA'!U116+'INGRESO A PS DE CA'!U116</f>
        <v>14.59028</v>
      </c>
      <c r="V116" s="322">
        <f>+'RECHAZADOS A CA'!V116+'INGRESO A PS DE CA'!V116</f>
        <v>14.719080000000002</v>
      </c>
      <c r="W116" s="322">
        <f>+'RECHAZADOS A CA'!W116+'INGRESO A PS DE CA'!W116</f>
        <v>14.84788</v>
      </c>
      <c r="X116" s="322">
        <f>+'RECHAZADOS A CA'!X116+'INGRESO A PS DE CA'!X116</f>
        <v>14.97668</v>
      </c>
      <c r="Y116" s="322">
        <f>+'RECHAZADOS A CA'!Y116+'INGRESO A PS DE CA'!Y116</f>
        <v>15.105480000000002</v>
      </c>
      <c r="Z116" s="322">
        <f>+'RECHAZADOS A CA'!Z116+'INGRESO A PS DE CA'!Z116</f>
        <v>15.233360000000001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28"/>
      <c r="E117" s="278"/>
      <c r="F117" s="263"/>
      <c r="G117" s="322">
        <f>+'RECHAZADOS A CA'!G117+'INGRESO A PS DE CA'!G117</f>
        <v>23.10482</v>
      </c>
      <c r="H117" s="322">
        <f>+'RECHAZADOS A CA'!H117+'INGRESO A PS DE CA'!H117</f>
        <v>23.245800000000003</v>
      </c>
      <c r="I117" s="322">
        <f>+'RECHAZADOS A CA'!I117+'INGRESO A PS DE CA'!I117</f>
        <v>23.388900000000003</v>
      </c>
      <c r="J117" s="322">
        <f>+'RECHAZADOS A CA'!J117+'INGRESO A PS DE CA'!J117</f>
        <v>23.532</v>
      </c>
      <c r="K117" s="322">
        <f>+'RECHAZADOS A CA'!K117+'INGRESO A PS DE CA'!K117</f>
        <v>23.676159999999999</v>
      </c>
      <c r="L117" s="322">
        <f>+'RECHAZADOS A CA'!L117+'INGRESO A PS DE CA'!L117</f>
        <v>23.821380000000001</v>
      </c>
      <c r="M117" s="322">
        <f>+'RECHAZADOS A CA'!M117+'INGRESO A PS DE CA'!M117</f>
        <v>23.967659999999999</v>
      </c>
      <c r="N117" s="322">
        <f>+'RECHAZADOS A CA'!N117+'INGRESO A PS DE CA'!N117</f>
        <v>24.114999999999998</v>
      </c>
      <c r="O117" s="322">
        <f>+'RECHAZADOS A CA'!O117+'INGRESO A PS DE CA'!O117</f>
        <v>24.262340000000002</v>
      </c>
      <c r="P117" s="322">
        <f>+'RECHAZADOS A CA'!P117+'INGRESO A PS DE CA'!P117</f>
        <v>24.410740000000001</v>
      </c>
      <c r="Q117" s="322">
        <f>+'RECHAZADOS A CA'!Q117+'INGRESO A PS DE CA'!Q117</f>
        <v>24.561260000000001</v>
      </c>
      <c r="R117" s="322">
        <f>+'RECHAZADOS A CA'!R117+'INGRESO A PS DE CA'!R117</f>
        <v>24.711780000000001</v>
      </c>
      <c r="S117" s="322">
        <f>+'RECHAZADOS A CA'!S117+'INGRESO A PS DE CA'!S117</f>
        <v>24.86336</v>
      </c>
      <c r="T117" s="322">
        <f>+'RECHAZADOS A CA'!T117+'INGRESO A PS DE CA'!T117</f>
        <v>25.014940000000003</v>
      </c>
      <c r="U117" s="322">
        <f>+'RECHAZADOS A CA'!U117+'INGRESO A PS DE CA'!U117</f>
        <v>25.168640000000003</v>
      </c>
      <c r="V117" s="322">
        <f>+'RECHAZADOS A CA'!V117+'INGRESO A PS DE CA'!V117</f>
        <v>25.323400000000007</v>
      </c>
      <c r="W117" s="322">
        <f>+'RECHAZADOS A CA'!W117+'INGRESO A PS DE CA'!W117</f>
        <v>25.478159999999995</v>
      </c>
      <c r="X117" s="322">
        <f>+'RECHAZADOS A CA'!X117+'INGRESO A PS DE CA'!X117</f>
        <v>25.63504</v>
      </c>
      <c r="Y117" s="322">
        <f>+'RECHAZADOS A CA'!Y117+'INGRESO A PS DE CA'!Y117</f>
        <v>25.791920000000001</v>
      </c>
      <c r="Z117" s="322">
        <f>+'RECHAZADOS A CA'!Z117+'INGRESO A PS DE CA'!Z117</f>
        <v>25.949860000000001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28"/>
      <c r="E118" s="278"/>
      <c r="F118" s="263"/>
      <c r="G118" s="322">
        <f>+'RECHAZADOS A CA'!G118+'INGRESO A PS DE CA'!G118</f>
        <v>12.898400000000002</v>
      </c>
      <c r="H118" s="322">
        <f>+'RECHAZADOS A CA'!H118+'INGRESO A PS DE CA'!H118</f>
        <v>13.10816</v>
      </c>
      <c r="I118" s="322">
        <f>+'RECHAZADOS A CA'!I118+'INGRESO A PS DE CA'!I118</f>
        <v>13.317920000000001</v>
      </c>
      <c r="J118" s="322">
        <f>+'RECHAZADOS A CA'!J118+'INGRESO A PS DE CA'!J118</f>
        <v>13.52768</v>
      </c>
      <c r="K118" s="322">
        <f>+'RECHAZADOS A CA'!K118+'INGRESO A PS DE CA'!K118</f>
        <v>13.737440000000001</v>
      </c>
      <c r="L118" s="322">
        <f>+'RECHAZADOS A CA'!L118+'INGRESO A PS DE CA'!L118</f>
        <v>13.9472</v>
      </c>
      <c r="M118" s="322">
        <f>+'RECHAZADOS A CA'!M118+'INGRESO A PS DE CA'!M118</f>
        <v>14.156040000000001</v>
      </c>
      <c r="N118" s="322">
        <f>+'RECHAZADOS A CA'!N118+'INGRESO A PS DE CA'!N118</f>
        <v>14.365800000000004</v>
      </c>
      <c r="O118" s="322">
        <f>+'RECHAZADOS A CA'!O118+'INGRESO A PS DE CA'!O118</f>
        <v>14.575559999999999</v>
      </c>
      <c r="P118" s="322">
        <f>+'RECHAZADOS A CA'!P118+'INGRESO A PS DE CA'!P118</f>
        <v>14.785320000000002</v>
      </c>
      <c r="Q118" s="322">
        <f>+'RECHAZADOS A CA'!Q118+'INGRESO A PS DE CA'!Q118</f>
        <v>14.995079999999998</v>
      </c>
      <c r="R118" s="322">
        <f>+'RECHAZADOS A CA'!R118+'INGRESO A PS DE CA'!R118</f>
        <v>15.204840000000001</v>
      </c>
      <c r="S118" s="322">
        <f>+'RECHAZADOS A CA'!S118+'INGRESO A PS DE CA'!S118</f>
        <v>15.4146</v>
      </c>
      <c r="T118" s="322">
        <f>+'RECHAZADOS A CA'!T118+'INGRESO A PS DE CA'!T118</f>
        <v>15.624360000000003</v>
      </c>
      <c r="U118" s="322">
        <f>+'RECHAZADOS A CA'!U118+'INGRESO A PS DE CA'!U118</f>
        <v>15.833200000000001</v>
      </c>
      <c r="V118" s="322">
        <f>+'RECHAZADOS A CA'!V118+'INGRESO A PS DE CA'!V118</f>
        <v>16.042960000000001</v>
      </c>
      <c r="W118" s="322">
        <f>+'RECHAZADOS A CA'!W118+'INGRESO A PS DE CA'!W118</f>
        <v>16.25272</v>
      </c>
      <c r="X118" s="322">
        <f>+'RECHAZADOS A CA'!X118+'INGRESO A PS DE CA'!X118</f>
        <v>16.462479999999999</v>
      </c>
      <c r="Y118" s="322">
        <f>+'RECHAZADOS A CA'!Y118+'INGRESO A PS DE CA'!Y118</f>
        <v>16.672240000000002</v>
      </c>
      <c r="Z118" s="322">
        <f>+'RECHAZADOS A CA'!Z118+'INGRESO A PS DE CA'!Z118</f>
        <v>16.882000000000001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28"/>
      <c r="E119" s="278"/>
      <c r="F119" s="263"/>
      <c r="G119" s="322">
        <f>+'RECHAZADOS A CA'!G119+'INGRESO A PS DE CA'!G119</f>
        <v>16.363220000000002</v>
      </c>
      <c r="H119" s="322">
        <f>+'RECHAZADOS A CA'!H119+'INGRESO A PS DE CA'!H119</f>
        <v>16.436360000000001</v>
      </c>
      <c r="I119" s="322">
        <f>+'RECHAZADOS A CA'!I119+'INGRESO A PS DE CA'!I119</f>
        <v>16.508440000000004</v>
      </c>
      <c r="J119" s="322">
        <f>+'RECHAZADOS A CA'!J119+'INGRESO A PS DE CA'!J119</f>
        <v>16.581580000000002</v>
      </c>
      <c r="K119" s="322">
        <f>+'RECHAZADOS A CA'!K119+'INGRESO A PS DE CA'!K119</f>
        <v>16.655780000000004</v>
      </c>
      <c r="L119" s="322">
        <f>+'RECHAZADOS A CA'!L119+'INGRESO A PS DE CA'!L119</f>
        <v>16.728920000000002</v>
      </c>
      <c r="M119" s="322">
        <f>+'RECHAZADOS A CA'!M119+'INGRESO A PS DE CA'!M119</f>
        <v>16.803120000000003</v>
      </c>
      <c r="N119" s="322">
        <f>+'RECHAZADOS A CA'!N119+'INGRESO A PS DE CA'!N119</f>
        <v>16.877320000000001</v>
      </c>
      <c r="O119" s="322">
        <f>+'RECHAZADOS A CA'!O119+'INGRESO A PS DE CA'!O119</f>
        <v>16.952580000000001</v>
      </c>
      <c r="P119" s="322">
        <f>+'RECHAZADOS A CA'!P119+'INGRESO A PS DE CA'!P119</f>
        <v>17.027840000000001</v>
      </c>
      <c r="Q119" s="322">
        <f>+'RECHAZADOS A CA'!Q119+'INGRESO A PS DE CA'!Q119</f>
        <v>17.103100000000001</v>
      </c>
      <c r="R119" s="322">
        <f>+'RECHAZADOS A CA'!R119+'INGRESO A PS DE CA'!R119</f>
        <v>17.178360000000001</v>
      </c>
      <c r="S119" s="322">
        <f>+'RECHAZADOS A CA'!S119+'INGRESO A PS DE CA'!S119</f>
        <v>17.25468</v>
      </c>
      <c r="T119" s="322">
        <f>+'RECHAZADOS A CA'!T119+'INGRESO A PS DE CA'!T119</f>
        <v>17.331</v>
      </c>
      <c r="U119" s="322">
        <f>+'RECHAZADOS A CA'!U119+'INGRESO A PS DE CA'!U119</f>
        <v>17.408380000000001</v>
      </c>
      <c r="V119" s="322">
        <f>+'RECHAZADOS A CA'!V119+'INGRESO A PS DE CA'!V119</f>
        <v>17.4847</v>
      </c>
      <c r="W119" s="322">
        <f>+'RECHAZADOS A CA'!W119+'INGRESO A PS DE CA'!W119</f>
        <v>17.563140000000001</v>
      </c>
      <c r="X119" s="322">
        <f>+'RECHAZADOS A CA'!X119+'INGRESO A PS DE CA'!X119</f>
        <v>17.640520000000002</v>
      </c>
      <c r="Y119" s="322">
        <f>+'RECHAZADOS A CA'!Y119+'INGRESO A PS DE CA'!Y119</f>
        <v>17.718959999999999</v>
      </c>
      <c r="Z119" s="322">
        <f>+'RECHAZADOS A CA'!Z119+'INGRESO A PS DE CA'!Z119</f>
        <v>17.797400000000003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28"/>
      <c r="E120" s="278"/>
      <c r="F120" s="263"/>
      <c r="G120" s="322">
        <f>+'RECHAZADOS A CA'!G120+'INGRESO A PS DE CA'!G120</f>
        <v>35.288460000000001</v>
      </c>
      <c r="H120" s="322">
        <f>+'RECHAZADOS A CA'!H120+'INGRESO A PS DE CA'!H120</f>
        <v>35.716700000000003</v>
      </c>
      <c r="I120" s="322">
        <f>+'RECHAZADOS A CA'!I120+'INGRESO A PS DE CA'!I120</f>
        <v>36.143880000000003</v>
      </c>
      <c r="J120" s="322">
        <f>+'RECHAZADOS A CA'!J120+'INGRESO A PS DE CA'!J120</f>
        <v>36.572120000000005</v>
      </c>
      <c r="K120" s="322">
        <f>+'RECHAZADOS A CA'!K120+'INGRESO A PS DE CA'!K120</f>
        <v>37.000360000000001</v>
      </c>
      <c r="L120" s="322">
        <f>+'RECHAZADOS A CA'!L120+'INGRESO A PS DE CA'!L120</f>
        <v>37.428599999999996</v>
      </c>
      <c r="M120" s="322">
        <f>+'RECHAZADOS A CA'!M120+'INGRESO A PS DE CA'!M120</f>
        <v>37.856840000000005</v>
      </c>
      <c r="N120" s="322">
        <f>+'RECHAZADOS A CA'!N120+'INGRESO A PS DE CA'!N120</f>
        <v>38.285080000000001</v>
      </c>
      <c r="O120" s="322">
        <f>+'RECHAZADOS A CA'!O120+'INGRESO A PS DE CA'!O120</f>
        <v>38.713320000000003</v>
      </c>
      <c r="P120" s="322">
        <f>+'RECHAZADOS A CA'!P120+'INGRESO A PS DE CA'!P120</f>
        <v>39.141560000000005</v>
      </c>
      <c r="Q120" s="322">
        <f>+'RECHAZADOS A CA'!Q120+'INGRESO A PS DE CA'!Q120</f>
        <v>39.569800000000001</v>
      </c>
      <c r="R120" s="322">
        <f>+'RECHAZADOS A CA'!R120+'INGRESO A PS DE CA'!R120</f>
        <v>39.998040000000003</v>
      </c>
      <c r="S120" s="322">
        <f>+'RECHAZADOS A CA'!S120+'INGRESO A PS DE CA'!S120</f>
        <v>40.426279999999998</v>
      </c>
      <c r="T120" s="322">
        <f>+'RECHAZADOS A CA'!T120+'INGRESO A PS DE CA'!T120</f>
        <v>40.854520000000001</v>
      </c>
      <c r="U120" s="322">
        <f>+'RECHAZADOS A CA'!U120+'INGRESO A PS DE CA'!U120</f>
        <v>41.282760000000003</v>
      </c>
      <c r="V120" s="322">
        <f>+'RECHAZADOS A CA'!V120+'INGRESO A PS DE CA'!V120</f>
        <v>41.710999999999999</v>
      </c>
      <c r="W120" s="322">
        <f>+'RECHAZADOS A CA'!W120+'INGRESO A PS DE CA'!W120</f>
        <v>42.139240000000008</v>
      </c>
      <c r="X120" s="322">
        <f>+'RECHAZADOS A CA'!X120+'INGRESO A PS DE CA'!X120</f>
        <v>42.567480000000003</v>
      </c>
      <c r="Y120" s="322">
        <f>+'RECHAZADOS A CA'!Y120+'INGRESO A PS DE CA'!Y120</f>
        <v>42.995719999999999</v>
      </c>
      <c r="Z120" s="322">
        <f>+'RECHAZADOS A CA'!Z120+'INGRESO A PS DE CA'!Z120</f>
        <v>43.423960000000001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28"/>
      <c r="E121" s="278"/>
      <c r="F121" s="263"/>
      <c r="G121" s="322">
        <f>+'RECHAZADOS A CA'!G121+'INGRESO A PS DE CA'!G121</f>
        <v>7.5486000000000004</v>
      </c>
      <c r="H121" s="322">
        <f>+'RECHAZADOS A CA'!H121+'INGRESO A PS DE CA'!H121</f>
        <v>7.5789600000000004</v>
      </c>
      <c r="I121" s="322">
        <f>+'RECHAZADOS A CA'!I121+'INGRESO A PS DE CA'!I121</f>
        <v>7.6084000000000005</v>
      </c>
      <c r="J121" s="322">
        <f>+'RECHAZADOS A CA'!J121+'INGRESO A PS DE CA'!J121</f>
        <v>7.6387600000000004</v>
      </c>
      <c r="K121" s="322">
        <f>+'RECHAZADOS A CA'!K121+'INGRESO A PS DE CA'!K121</f>
        <v>7.6682000000000006</v>
      </c>
      <c r="L121" s="322">
        <f>+'RECHAZADOS A CA'!L121+'INGRESO A PS DE CA'!L121</f>
        <v>7.6985600000000005</v>
      </c>
      <c r="M121" s="322">
        <f>+'RECHAZADOS A CA'!M121+'INGRESO A PS DE CA'!M121</f>
        <v>7.7289200000000005</v>
      </c>
      <c r="N121" s="322">
        <f>+'RECHAZADOS A CA'!N121+'INGRESO A PS DE CA'!N121</f>
        <v>7.7583600000000006</v>
      </c>
      <c r="O121" s="322">
        <f>+'RECHAZADOS A CA'!O121+'INGRESO A PS DE CA'!O121</f>
        <v>7.7887200000000005</v>
      </c>
      <c r="P121" s="322">
        <f>+'RECHAZADOS A CA'!P121+'INGRESO A PS DE CA'!P121</f>
        <v>7.8181600000000007</v>
      </c>
      <c r="Q121" s="322">
        <f>+'RECHAZADOS A CA'!Q121+'INGRESO A PS DE CA'!Q121</f>
        <v>7.8485200000000006</v>
      </c>
      <c r="R121" s="322">
        <f>+'RECHAZADOS A CA'!R121+'INGRESO A PS DE CA'!R121</f>
        <v>7.8779599999999999</v>
      </c>
      <c r="S121" s="322">
        <f>+'RECHAZADOS A CA'!S121+'INGRESO A PS DE CA'!S121</f>
        <v>7.9083200000000007</v>
      </c>
      <c r="T121" s="322">
        <f>+'RECHAZADOS A CA'!T121+'INGRESO A PS DE CA'!T121</f>
        <v>7.9377600000000008</v>
      </c>
      <c r="U121" s="322">
        <f>+'RECHAZADOS A CA'!U121+'INGRESO A PS DE CA'!U121</f>
        <v>7.9681200000000008</v>
      </c>
      <c r="V121" s="322">
        <f>+'RECHAZADOS A CA'!V121+'INGRESO A PS DE CA'!V121</f>
        <v>7.99756</v>
      </c>
      <c r="W121" s="322">
        <f>+'RECHAZADOS A CA'!W121+'INGRESO A PS DE CA'!W121</f>
        <v>8.0279199999999999</v>
      </c>
      <c r="X121" s="322">
        <f>+'RECHAZADOS A CA'!X121+'INGRESO A PS DE CA'!X121</f>
        <v>8.057360000000001</v>
      </c>
      <c r="Y121" s="322">
        <f>+'RECHAZADOS A CA'!Y121+'INGRESO A PS DE CA'!Y121</f>
        <v>8.0877200000000009</v>
      </c>
      <c r="Z121" s="322">
        <f>+'RECHAZADOS A CA'!Z121+'INGRESO A PS DE CA'!Z121</f>
        <v>8.1171600000000002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28"/>
      <c r="E122" s="278"/>
      <c r="F122" s="263"/>
      <c r="G122" s="322">
        <f>+'RECHAZADOS A CA'!G122+'INGRESO A PS DE CA'!G122</f>
        <v>36.619819999999997</v>
      </c>
      <c r="H122" s="322">
        <f>+'RECHAZADOS A CA'!H122+'INGRESO A PS DE CA'!H122</f>
        <v>37.148760000000003</v>
      </c>
      <c r="I122" s="322">
        <f>+'RECHAZADOS A CA'!I122+'INGRESO A PS DE CA'!I122</f>
        <v>37.685120000000005</v>
      </c>
      <c r="J122" s="322">
        <f>+'RECHAZADOS A CA'!J122+'INGRESO A PS DE CA'!J122</f>
        <v>38.229959999999998</v>
      </c>
      <c r="K122" s="322">
        <f>+'RECHAZADOS A CA'!K122+'INGRESO A PS DE CA'!K122</f>
        <v>38.781160000000007</v>
      </c>
      <c r="L122" s="322">
        <f>+'RECHAZADOS A CA'!L122+'INGRESO A PS DE CA'!L122</f>
        <v>39.341900000000003</v>
      </c>
      <c r="M122" s="322">
        <f>+'RECHAZADOS A CA'!M122+'INGRESO A PS DE CA'!M122</f>
        <v>39.908999999999999</v>
      </c>
      <c r="N122" s="322">
        <f>+'RECHAZADOS A CA'!N122+'INGRESO A PS DE CA'!N122</f>
        <v>40.485639999999997</v>
      </c>
      <c r="O122" s="322">
        <f>+'RECHAZADOS A CA'!O122+'INGRESO A PS DE CA'!O122</f>
        <v>41.07076</v>
      </c>
      <c r="P122" s="322">
        <f>+'RECHAZADOS A CA'!P122+'INGRESO A PS DE CA'!P122</f>
        <v>41.6633</v>
      </c>
      <c r="Q122" s="322">
        <f>+'RECHAZADOS A CA'!Q122+'INGRESO A PS DE CA'!Q122</f>
        <v>42.265380000000007</v>
      </c>
      <c r="R122" s="322">
        <f>+'RECHAZADOS A CA'!R122+'INGRESO A PS DE CA'!R122</f>
        <v>42.874880000000005</v>
      </c>
      <c r="S122" s="322">
        <f>+'RECHAZADOS A CA'!S122+'INGRESO A PS DE CA'!S122</f>
        <v>43.493920000000003</v>
      </c>
      <c r="T122" s="322">
        <f>+'RECHAZADOS A CA'!T122+'INGRESO A PS DE CA'!T122</f>
        <v>44.122500000000002</v>
      </c>
      <c r="U122" s="322">
        <f>+'RECHAZADOS A CA'!U122+'INGRESO A PS DE CA'!U122</f>
        <v>44.759560000000008</v>
      </c>
      <c r="V122" s="322">
        <f>+'RECHAZADOS A CA'!V122+'INGRESO A PS DE CA'!V122</f>
        <v>45.406160000000007</v>
      </c>
      <c r="W122" s="322">
        <f>+'RECHAZADOS A CA'!W122+'INGRESO A PS DE CA'!W122</f>
        <v>46.061240000000005</v>
      </c>
      <c r="X122" s="322">
        <f>+'RECHAZADOS A CA'!X122+'INGRESO A PS DE CA'!X122</f>
        <v>46.726920000000007</v>
      </c>
      <c r="Y122" s="322">
        <f>+'RECHAZADOS A CA'!Y122+'INGRESO A PS DE CA'!Y122</f>
        <v>47.40108</v>
      </c>
      <c r="Z122" s="322">
        <f>+'RECHAZADOS A CA'!Z122+'INGRESO A PS DE CA'!Z122</f>
        <v>48.085840000000005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28"/>
      <c r="E123" s="278"/>
      <c r="F123" s="263"/>
      <c r="G123" s="322">
        <f>+'RECHAZADOS A CA'!G123+'INGRESO A PS DE CA'!G123</f>
        <v>21.5975</v>
      </c>
      <c r="H123" s="322">
        <f>+'RECHAZADOS A CA'!H123+'INGRESO A PS DE CA'!H123</f>
        <v>21.86992</v>
      </c>
      <c r="I123" s="322">
        <f>+'RECHAZADOS A CA'!I123+'INGRESO A PS DE CA'!I123</f>
        <v>22.1434</v>
      </c>
      <c r="J123" s="322">
        <f>+'RECHAZADOS A CA'!J123+'INGRESO A PS DE CA'!J123</f>
        <v>22.416880000000003</v>
      </c>
      <c r="K123" s="322">
        <f>+'RECHAZADOS A CA'!K123+'INGRESO A PS DE CA'!K123</f>
        <v>22.690360000000002</v>
      </c>
      <c r="L123" s="322">
        <f>+'RECHAZADOS A CA'!L123+'INGRESO A PS DE CA'!L123</f>
        <v>22.963840000000001</v>
      </c>
      <c r="M123" s="322">
        <f>+'RECHAZADOS A CA'!M123+'INGRESO A PS DE CA'!M123</f>
        <v>23.236260000000001</v>
      </c>
      <c r="N123" s="322">
        <f>+'RECHAZADOS A CA'!N123+'INGRESO A PS DE CA'!N123</f>
        <v>23.509740000000001</v>
      </c>
      <c r="O123" s="322">
        <f>+'RECHAZADOS A CA'!O123+'INGRESO A PS DE CA'!O123</f>
        <v>23.78322</v>
      </c>
      <c r="P123" s="322">
        <f>+'RECHAZADOS A CA'!P123+'INGRESO A PS DE CA'!P123</f>
        <v>24.056699999999999</v>
      </c>
      <c r="Q123" s="322">
        <f>+'RECHAZADOS A CA'!Q123+'INGRESO A PS DE CA'!Q123</f>
        <v>24.330179999999999</v>
      </c>
      <c r="R123" s="322">
        <f>+'RECHAZADOS A CA'!R123+'INGRESO A PS DE CA'!R123</f>
        <v>24.603660000000001</v>
      </c>
      <c r="S123" s="322">
        <f>+'RECHAZADOS A CA'!S123+'INGRESO A PS DE CA'!S123</f>
        <v>24.876080000000002</v>
      </c>
      <c r="T123" s="322">
        <f>+'RECHAZADOS A CA'!T123+'INGRESO A PS DE CA'!T123</f>
        <v>25.149560000000001</v>
      </c>
      <c r="U123" s="322">
        <f>+'RECHAZADOS A CA'!U123+'INGRESO A PS DE CA'!U123</f>
        <v>25.42304</v>
      </c>
      <c r="V123" s="322">
        <f>+'RECHAZADOS A CA'!V123+'INGRESO A PS DE CA'!V123</f>
        <v>25.69652</v>
      </c>
      <c r="W123" s="322">
        <f>+'RECHAZADOS A CA'!W123+'INGRESO A PS DE CA'!W123</f>
        <v>25.97</v>
      </c>
      <c r="X123" s="322">
        <f>+'RECHAZADOS A CA'!X123+'INGRESO A PS DE CA'!X123</f>
        <v>26.243479999999998</v>
      </c>
      <c r="Y123" s="322">
        <f>+'RECHAZADOS A CA'!Y123+'INGRESO A PS DE CA'!Y123</f>
        <v>26.515900000000002</v>
      </c>
      <c r="Z123" s="322">
        <f>+'RECHAZADOS A CA'!Z123+'INGRESO A PS DE CA'!Z123</f>
        <v>26.789380000000001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28"/>
      <c r="E124" s="278"/>
      <c r="F124" s="263"/>
      <c r="G124" s="322">
        <f>+'RECHAZADOS A CA'!G124+'INGRESO A PS DE CA'!G124</f>
        <v>24.883500000000002</v>
      </c>
      <c r="H124" s="322">
        <f>+'RECHAZADOS A CA'!H124+'INGRESO A PS DE CA'!H124</f>
        <v>25.127300000000002</v>
      </c>
      <c r="I124" s="322">
        <f>+'RECHAZADOS A CA'!I124+'INGRESO A PS DE CA'!I124</f>
        <v>25.372160000000001</v>
      </c>
      <c r="J124" s="322">
        <f>+'RECHAZADOS A CA'!J124+'INGRESO A PS DE CA'!J124</f>
        <v>25.615960000000001</v>
      </c>
      <c r="K124" s="322">
        <f>+'RECHAZADOS A CA'!K124+'INGRESO A PS DE CA'!K124</f>
        <v>25.859760000000001</v>
      </c>
      <c r="L124" s="322">
        <f>+'RECHAZADOS A CA'!L124+'INGRESO A PS DE CA'!L124</f>
        <v>26.103560000000002</v>
      </c>
      <c r="M124" s="322">
        <f>+'RECHAZADOS A CA'!M124+'INGRESO A PS DE CA'!M124</f>
        <v>26.348420000000001</v>
      </c>
      <c r="N124" s="322">
        <f>+'RECHAZADOS A CA'!N124+'INGRESO A PS DE CA'!N124</f>
        <v>26.592220000000001</v>
      </c>
      <c r="O124" s="322">
        <f>+'RECHAZADOS A CA'!O124+'INGRESO A PS DE CA'!O124</f>
        <v>26.836019999999998</v>
      </c>
      <c r="P124" s="322">
        <f>+'RECHAZADOS A CA'!P124+'INGRESO A PS DE CA'!P124</f>
        <v>27.079819999999998</v>
      </c>
      <c r="Q124" s="322">
        <f>+'RECHAZADOS A CA'!Q124+'INGRESO A PS DE CA'!Q124</f>
        <v>27.323620000000002</v>
      </c>
      <c r="R124" s="322">
        <f>+'RECHAZADOS A CA'!R124+'INGRESO A PS DE CA'!R124</f>
        <v>27.568480000000008</v>
      </c>
      <c r="S124" s="322">
        <f>+'RECHAZADOS A CA'!S124+'INGRESO A PS DE CA'!S124</f>
        <v>27.812280000000001</v>
      </c>
      <c r="T124" s="322">
        <f>+'RECHAZADOS A CA'!T124+'INGRESO A PS DE CA'!T124</f>
        <v>28.056080000000001</v>
      </c>
      <c r="U124" s="322">
        <f>+'RECHAZADOS A CA'!U124+'INGRESO A PS DE CA'!U124</f>
        <v>28.299880000000002</v>
      </c>
      <c r="V124" s="322">
        <f>+'RECHAZADOS A CA'!V124+'INGRESO A PS DE CA'!V124</f>
        <v>28.544740000000004</v>
      </c>
      <c r="W124" s="322">
        <f>+'RECHAZADOS A CA'!W124+'INGRESO A PS DE CA'!W124</f>
        <v>28.788540000000001</v>
      </c>
      <c r="X124" s="322">
        <f>+'RECHAZADOS A CA'!X124+'INGRESO A PS DE CA'!X124</f>
        <v>29.032339999999998</v>
      </c>
      <c r="Y124" s="322">
        <f>+'RECHAZADOS A CA'!Y124+'INGRESO A PS DE CA'!Y124</f>
        <v>29.276139999999998</v>
      </c>
      <c r="Z124" s="322">
        <f>+'RECHAZADOS A CA'!Z124+'INGRESO A PS DE CA'!Z124</f>
        <v>29.519940000000002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28"/>
      <c r="E125" s="278"/>
      <c r="F125" s="263"/>
      <c r="G125" s="322">
        <f>+'RECHAZADOS A CA'!G125+'INGRESO A PS DE CA'!G125</f>
        <v>7.8650799999999998</v>
      </c>
      <c r="H125" s="322">
        <f>+'RECHAZADOS A CA'!H125+'INGRESO A PS DE CA'!H125</f>
        <v>7.9386800000000006</v>
      </c>
      <c r="I125" s="322">
        <f>+'RECHAZADOS A CA'!I125+'INGRESO A PS DE CA'!I125</f>
        <v>8.0141200000000001</v>
      </c>
      <c r="J125" s="322">
        <f>+'RECHAZADOS A CA'!J125+'INGRESO A PS DE CA'!J125</f>
        <v>8.0895600000000005</v>
      </c>
      <c r="K125" s="322">
        <f>+'RECHAZADOS A CA'!K125+'INGRESO A PS DE CA'!K125</f>
        <v>8.1659199999999998</v>
      </c>
      <c r="L125" s="322">
        <f>+'RECHAZADOS A CA'!L125+'INGRESO A PS DE CA'!L125</f>
        <v>8.2431999999999999</v>
      </c>
      <c r="M125" s="322">
        <f>+'RECHAZADOS A CA'!M125+'INGRESO A PS DE CA'!M125</f>
        <v>8.3213999999999988</v>
      </c>
      <c r="N125" s="322">
        <f>+'RECHAZADOS A CA'!N125+'INGRESO A PS DE CA'!N125</f>
        <v>8.3995999999999995</v>
      </c>
      <c r="O125" s="322">
        <f>+'RECHAZADOS A CA'!O125+'INGRESO A PS DE CA'!O125</f>
        <v>8.4796400000000016</v>
      </c>
      <c r="P125" s="322">
        <f>+'RECHAZADOS A CA'!P125+'INGRESO A PS DE CA'!P125</f>
        <v>8.5596800000000002</v>
      </c>
      <c r="Q125" s="322">
        <f>+'RECHAZADOS A CA'!Q125+'INGRESO A PS DE CA'!Q125</f>
        <v>8.6406400000000012</v>
      </c>
      <c r="R125" s="322">
        <f>+'RECHAZADOS A CA'!R125+'INGRESO A PS DE CA'!R125</f>
        <v>8.7225200000000012</v>
      </c>
      <c r="S125" s="322">
        <f>+'RECHAZADOS A CA'!S125+'INGRESO A PS DE CA'!S125</f>
        <v>8.8043999999999993</v>
      </c>
      <c r="T125" s="322">
        <f>+'RECHAZADOS A CA'!T125+'INGRESO A PS DE CA'!T125</f>
        <v>8.8881200000000007</v>
      </c>
      <c r="U125" s="322">
        <f>+'RECHAZADOS A CA'!U125+'INGRESO A PS DE CA'!U125</f>
        <v>8.9718400000000003</v>
      </c>
      <c r="V125" s="322">
        <f>+'RECHAZADOS A CA'!V125+'INGRESO A PS DE CA'!V125</f>
        <v>9.0564799999999988</v>
      </c>
      <c r="W125" s="322">
        <f>+'RECHAZADOS A CA'!W125+'INGRESO A PS DE CA'!W125</f>
        <v>9.1420400000000015</v>
      </c>
      <c r="X125" s="322">
        <f>+'RECHAZADOS A CA'!X125+'INGRESO A PS DE CA'!X125</f>
        <v>9.2285199999999996</v>
      </c>
      <c r="Y125" s="322">
        <f>+'RECHAZADOS A CA'!Y125+'INGRESO A PS DE CA'!Y125</f>
        <v>9.3159200000000002</v>
      </c>
      <c r="Z125" s="322">
        <f>+'RECHAZADOS A CA'!Z125+'INGRESO A PS DE CA'!Z125</f>
        <v>9.4042399999999997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28"/>
      <c r="E126" s="278"/>
      <c r="F126" s="263"/>
      <c r="G126" s="322">
        <f>+'RECHAZADOS A CA'!G126+'INGRESO A PS DE CA'!G126</f>
        <v>161.96274</v>
      </c>
      <c r="H126" s="322">
        <f>+'RECHAZADOS A CA'!H126+'INGRESO A PS DE CA'!H126</f>
        <v>163.79975999999999</v>
      </c>
      <c r="I126" s="322">
        <f>+'RECHAZADOS A CA'!I126+'INGRESO A PS DE CA'!I126</f>
        <v>165.66636000000003</v>
      </c>
      <c r="J126" s="322">
        <f>+'RECHAZADOS A CA'!J126+'INGRESO A PS DE CA'!J126</f>
        <v>167.56458000000001</v>
      </c>
      <c r="K126" s="322">
        <f>+'RECHAZADOS A CA'!K126+'INGRESO A PS DE CA'!K126</f>
        <v>169.49238</v>
      </c>
      <c r="L126" s="322">
        <f>+'RECHAZADOS A CA'!L126+'INGRESO A PS DE CA'!L126</f>
        <v>171.45282</v>
      </c>
      <c r="M126" s="322">
        <f>+'RECHAZADOS A CA'!M126+'INGRESO A PS DE CA'!M126</f>
        <v>173.44488000000001</v>
      </c>
      <c r="N126" s="322">
        <f>+'RECHAZADOS A CA'!N126+'INGRESO A PS DE CA'!N126</f>
        <v>175.46958000000001</v>
      </c>
      <c r="O126" s="322">
        <f>+'RECHAZADOS A CA'!O126+'INGRESO A PS DE CA'!O126</f>
        <v>177.52692000000002</v>
      </c>
      <c r="P126" s="322">
        <f>+'RECHAZADOS A CA'!P126+'INGRESO A PS DE CA'!P126</f>
        <v>179.61792000000003</v>
      </c>
      <c r="Q126" s="322">
        <f>+'RECHAZADOS A CA'!Q126+'INGRESO A PS DE CA'!Q126</f>
        <v>181.74258</v>
      </c>
      <c r="R126" s="322">
        <f>+'RECHAZADOS A CA'!R126+'INGRESO A PS DE CA'!R126</f>
        <v>183.90294</v>
      </c>
      <c r="S126" s="322">
        <f>+'RECHAZADOS A CA'!S126+'INGRESO A PS DE CA'!S126</f>
        <v>186.09798000000001</v>
      </c>
      <c r="T126" s="322">
        <f>+'RECHAZADOS A CA'!T126+'INGRESO A PS DE CA'!T126</f>
        <v>188.32872</v>
      </c>
      <c r="U126" s="322">
        <f>+'RECHAZADOS A CA'!U126+'INGRESO A PS DE CA'!U126</f>
        <v>190.59515999999999</v>
      </c>
      <c r="V126" s="322">
        <f>+'RECHAZADOS A CA'!V126+'INGRESO A PS DE CA'!V126</f>
        <v>192.90036000000001</v>
      </c>
      <c r="W126" s="322">
        <f>+'RECHAZADOS A CA'!W126+'INGRESO A PS DE CA'!W126</f>
        <v>195.24126000000001</v>
      </c>
      <c r="X126" s="322">
        <f>+'RECHAZADOS A CA'!X126+'INGRESO A PS DE CA'!X126</f>
        <v>197.62194</v>
      </c>
      <c r="Y126" s="322">
        <f>+'RECHAZADOS A CA'!Y126+'INGRESO A PS DE CA'!Y126</f>
        <v>200.04036000000002</v>
      </c>
      <c r="Z126" s="322">
        <f>+'RECHAZADOS A CA'!Z126+'INGRESO A PS DE CA'!Z126</f>
        <v>202.49856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28"/>
      <c r="E127" s="278"/>
      <c r="F127" s="263"/>
      <c r="G127" s="322">
        <f>+'RECHAZADOS A CA'!G127+'INGRESO A PS DE CA'!G127</f>
        <v>59.746499999999997</v>
      </c>
      <c r="H127" s="322">
        <f>+'RECHAZADOS A CA'!H127+'INGRESO A PS DE CA'!H127</f>
        <v>60.538020000000003</v>
      </c>
      <c r="I127" s="322">
        <f>+'RECHAZADOS A CA'!I127+'INGRESO A PS DE CA'!I127</f>
        <v>61.340760000000003</v>
      </c>
      <c r="J127" s="322">
        <f>+'RECHAZADOS A CA'!J127+'INGRESO A PS DE CA'!J127</f>
        <v>62.153700000000008</v>
      </c>
      <c r="K127" s="322">
        <f>+'RECHAZADOS A CA'!K127+'INGRESO A PS DE CA'!K127</f>
        <v>62.976840000000003</v>
      </c>
      <c r="L127" s="322">
        <f>+'RECHAZADOS A CA'!L127+'INGRESO A PS DE CA'!L127</f>
        <v>63.811200000000014</v>
      </c>
      <c r="M127" s="322">
        <f>+'RECHAZADOS A CA'!M127+'INGRESO A PS DE CA'!M127</f>
        <v>64.656779999999998</v>
      </c>
      <c r="N127" s="322">
        <f>+'RECHAZADOS A CA'!N127+'INGRESO A PS DE CA'!N127</f>
        <v>65.513580000000005</v>
      </c>
      <c r="O127" s="322">
        <f>+'RECHAZADOS A CA'!O127+'INGRESO A PS DE CA'!O127</f>
        <v>66.381600000000006</v>
      </c>
      <c r="P127" s="322">
        <f>+'RECHAZADOS A CA'!P127+'INGRESO A PS DE CA'!P127</f>
        <v>67.260840000000002</v>
      </c>
      <c r="Q127" s="322">
        <f>+'RECHAZADOS A CA'!Q127+'INGRESO A PS DE CA'!Q127</f>
        <v>68.152320000000003</v>
      </c>
      <c r="R127" s="322">
        <f>+'RECHAZADOS A CA'!R127+'INGRESO A PS DE CA'!R127</f>
        <v>69.055019999999999</v>
      </c>
      <c r="S127" s="322">
        <f>+'RECHAZADOS A CA'!S127+'INGRESO A PS DE CA'!S127</f>
        <v>69.96996</v>
      </c>
      <c r="T127" s="322">
        <f>+'RECHAZADOS A CA'!T127+'INGRESO A PS DE CA'!T127</f>
        <v>70.897139999999993</v>
      </c>
      <c r="U127" s="322">
        <f>+'RECHAZADOS A CA'!U127+'INGRESO A PS DE CA'!U127</f>
        <v>71.836559999999992</v>
      </c>
      <c r="V127" s="322">
        <f>+'RECHAZADOS A CA'!V127+'INGRESO A PS DE CA'!V127</f>
        <v>72.788219999999995</v>
      </c>
      <c r="W127" s="322">
        <f>+'RECHAZADOS A CA'!W127+'INGRESO A PS DE CA'!W127</f>
        <v>73.752119999999991</v>
      </c>
      <c r="X127" s="322">
        <f>+'RECHAZADOS A CA'!X127+'INGRESO A PS DE CA'!X127</f>
        <v>74.729280000000003</v>
      </c>
      <c r="Y127" s="322">
        <f>+'RECHAZADOS A CA'!Y127+'INGRESO A PS DE CA'!Y127</f>
        <v>75.719700000000003</v>
      </c>
      <c r="Z127" s="322">
        <f>+'RECHAZADOS A CA'!Z127+'INGRESO A PS DE CA'!Z127</f>
        <v>76.723380000000006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28"/>
      <c r="E128" s="278"/>
      <c r="F128" s="263"/>
      <c r="G128" s="322">
        <f>+'RECHAZADOS A CA'!G128+'INGRESO A PS DE CA'!G128</f>
        <v>113.1537</v>
      </c>
      <c r="H128" s="322">
        <f>+'RECHAZADOS A CA'!H128+'INGRESO A PS DE CA'!H128</f>
        <v>117.00318000000001</v>
      </c>
      <c r="I128" s="322">
        <f>+'RECHAZADOS A CA'!I128+'INGRESO A PS DE CA'!I128</f>
        <v>120.91488000000001</v>
      </c>
      <c r="J128" s="322">
        <f>+'RECHAZADOS A CA'!J128+'INGRESO A PS DE CA'!J128</f>
        <v>124.89084</v>
      </c>
      <c r="K128" s="322">
        <f>+'RECHAZADOS A CA'!K128+'INGRESO A PS DE CA'!K128</f>
        <v>128.93208000000001</v>
      </c>
      <c r="L128" s="322">
        <f>+'RECHAZADOS A CA'!L128+'INGRESO A PS DE CA'!L128</f>
        <v>133.0386</v>
      </c>
      <c r="M128" s="322">
        <f>+'RECHAZADOS A CA'!M128+'INGRESO A PS DE CA'!M128</f>
        <v>137.21244000000002</v>
      </c>
      <c r="N128" s="322">
        <f>+'RECHAZADOS A CA'!N128+'INGRESO A PS DE CA'!N128</f>
        <v>141.45462000000001</v>
      </c>
      <c r="O128" s="322">
        <f>+'RECHAZADOS A CA'!O128+'INGRESO A PS DE CA'!O128</f>
        <v>145.76514</v>
      </c>
      <c r="P128" s="322">
        <f>+'RECHAZADOS A CA'!P128+'INGRESO A PS DE CA'!P128</f>
        <v>150.14706000000001</v>
      </c>
      <c r="Q128" s="322">
        <f>+'RECHAZADOS A CA'!Q128+'INGRESO A PS DE CA'!Q128</f>
        <v>154.59936000000002</v>
      </c>
      <c r="R128" s="322">
        <f>+'RECHAZADOS A CA'!R128+'INGRESO A PS DE CA'!R128</f>
        <v>159.1251</v>
      </c>
      <c r="S128" s="322">
        <f>+'RECHAZADOS A CA'!S128+'INGRESO A PS DE CA'!S128</f>
        <v>163.72427999999999</v>
      </c>
      <c r="T128" s="322">
        <f>+'RECHAZADOS A CA'!T128+'INGRESO A PS DE CA'!T128</f>
        <v>168.39894000000001</v>
      </c>
      <c r="U128" s="322">
        <f>+'RECHAZADOS A CA'!U128+'INGRESO A PS DE CA'!U128</f>
        <v>173.14908000000003</v>
      </c>
      <c r="V128" s="322">
        <f>+'RECHAZADOS A CA'!V128+'INGRESO A PS DE CA'!V128</f>
        <v>177.97673999999998</v>
      </c>
      <c r="W128" s="322">
        <f>+'RECHAZADOS A CA'!W128+'INGRESO A PS DE CA'!W128</f>
        <v>182.88396</v>
      </c>
      <c r="X128" s="322">
        <f>+'RECHAZADOS A CA'!X128+'INGRESO A PS DE CA'!X128</f>
        <v>187.87073999999998</v>
      </c>
      <c r="Y128" s="322">
        <f>+'RECHAZADOS A CA'!Y128+'INGRESO A PS DE CA'!Y128</f>
        <v>192.93912</v>
      </c>
      <c r="Z128" s="322">
        <f>+'RECHAZADOS A CA'!Z128+'INGRESO A PS DE CA'!Z128</f>
        <v>198.09011999999998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28"/>
      <c r="E129" s="278"/>
      <c r="F129" s="263"/>
      <c r="G129" s="322">
        <f>+'RECHAZADOS A CA'!G129+'INGRESO A PS DE CA'!G129</f>
        <v>9.6379199999999994</v>
      </c>
      <c r="H129" s="322">
        <f>+'RECHAZADOS A CA'!H129+'INGRESO A PS DE CA'!H129</f>
        <v>9.7584400000000002</v>
      </c>
      <c r="I129" s="322">
        <f>+'RECHAZADOS A CA'!I129+'INGRESO A PS DE CA'!I129</f>
        <v>9.8789600000000011</v>
      </c>
      <c r="J129" s="322">
        <f>+'RECHAZADOS A CA'!J129+'INGRESO A PS DE CA'!J129</f>
        <v>9.9994800000000001</v>
      </c>
      <c r="K129" s="322">
        <f>+'RECHAZADOS A CA'!K129+'INGRESO A PS DE CA'!K129</f>
        <v>10.119999999999999</v>
      </c>
      <c r="L129" s="322">
        <f>+'RECHAZADOS A CA'!L129+'INGRESO A PS DE CA'!L129</f>
        <v>10.24052</v>
      </c>
      <c r="M129" s="322">
        <f>+'RECHAZADOS A CA'!M129+'INGRESO A PS DE CA'!M129</f>
        <v>10.361040000000001</v>
      </c>
      <c r="N129" s="322">
        <f>+'RECHAZADOS A CA'!N129+'INGRESO A PS DE CA'!N129</f>
        <v>10.482479999999999</v>
      </c>
      <c r="O129" s="322">
        <f>+'RECHAZADOS A CA'!O129+'INGRESO A PS DE CA'!O129</f>
        <v>10.603</v>
      </c>
      <c r="P129" s="322">
        <f>+'RECHAZADOS A CA'!P129+'INGRESO A PS DE CA'!P129</f>
        <v>10.723520000000001</v>
      </c>
      <c r="Q129" s="322">
        <f>+'RECHAZADOS A CA'!Q129+'INGRESO A PS DE CA'!Q129</f>
        <v>10.844040000000001</v>
      </c>
      <c r="R129" s="322">
        <f>+'RECHAZADOS A CA'!R129+'INGRESO A PS DE CA'!R129</f>
        <v>10.964560000000001</v>
      </c>
      <c r="S129" s="322">
        <f>+'RECHAZADOS A CA'!S129+'INGRESO A PS DE CA'!S129</f>
        <v>11.08508</v>
      </c>
      <c r="T129" s="322">
        <f>+'RECHAZADOS A CA'!T129+'INGRESO A PS DE CA'!T129</f>
        <v>11.2056</v>
      </c>
      <c r="U129" s="322">
        <f>+'RECHAZADOS A CA'!U129+'INGRESO A PS DE CA'!U129</f>
        <v>11.326120000000001</v>
      </c>
      <c r="V129" s="322">
        <f>+'RECHAZADOS A CA'!V129+'INGRESO A PS DE CA'!V129</f>
        <v>11.447560000000001</v>
      </c>
      <c r="W129" s="322">
        <f>+'RECHAZADOS A CA'!W129+'INGRESO A PS DE CA'!W129</f>
        <v>11.56808</v>
      </c>
      <c r="X129" s="322">
        <f>+'RECHAZADOS A CA'!X129+'INGRESO A PS DE CA'!X129</f>
        <v>11.688600000000001</v>
      </c>
      <c r="Y129" s="322">
        <f>+'RECHAZADOS A CA'!Y129+'INGRESO A PS DE CA'!Y129</f>
        <v>11.80912</v>
      </c>
      <c r="Z129" s="322">
        <f>+'RECHAZADOS A CA'!Z129+'INGRESO A PS DE CA'!Z129</f>
        <v>11.929640000000001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28"/>
      <c r="E130" s="278"/>
      <c r="F130" s="263"/>
      <c r="G130" s="322">
        <f>+'RECHAZADOS A CA'!G130+'INGRESO A PS DE CA'!G130</f>
        <v>147.51342000000002</v>
      </c>
      <c r="H130" s="322">
        <f>+'RECHAZADOS A CA'!H130+'INGRESO A PS DE CA'!H130</f>
        <v>149.48712</v>
      </c>
      <c r="I130" s="322">
        <f>+'RECHAZADOS A CA'!I130+'INGRESO A PS DE CA'!I130</f>
        <v>151.48733999999999</v>
      </c>
      <c r="J130" s="322">
        <f>+'RECHAZADOS A CA'!J130+'INGRESO A PS DE CA'!J130</f>
        <v>153.51408000000001</v>
      </c>
      <c r="K130" s="322">
        <f>+'RECHAZADOS A CA'!K130+'INGRESO A PS DE CA'!K130</f>
        <v>155.56734</v>
      </c>
      <c r="L130" s="322">
        <f>+'RECHAZADOS A CA'!L130+'INGRESO A PS DE CA'!L130</f>
        <v>157.64915999999999</v>
      </c>
      <c r="M130" s="322">
        <f>+'RECHAZADOS A CA'!M130+'INGRESO A PS DE CA'!M130</f>
        <v>159.75851999999998</v>
      </c>
      <c r="N130" s="322">
        <f>+'RECHAZADOS A CA'!N130+'INGRESO A PS DE CA'!N130</f>
        <v>161.89644000000001</v>
      </c>
      <c r="O130" s="322">
        <f>+'RECHAZADOS A CA'!O130+'INGRESO A PS DE CA'!O130</f>
        <v>164.06189999999998</v>
      </c>
      <c r="P130" s="322">
        <f>+'RECHAZADOS A CA'!P130+'INGRESO A PS DE CA'!P130</f>
        <v>166.25694000000001</v>
      </c>
      <c r="Q130" s="322">
        <f>+'RECHAZADOS A CA'!Q130+'INGRESO A PS DE CA'!Q130</f>
        <v>168.48156</v>
      </c>
      <c r="R130" s="322">
        <f>+'RECHAZADOS A CA'!R130+'INGRESO A PS DE CA'!R130</f>
        <v>170.73576</v>
      </c>
      <c r="S130" s="322">
        <f>+'RECHAZADOS A CA'!S130+'INGRESO A PS DE CA'!S130</f>
        <v>173.02055999999999</v>
      </c>
      <c r="T130" s="322">
        <f>+'RECHAZADOS A CA'!T130+'INGRESO A PS DE CA'!T130</f>
        <v>175.33596</v>
      </c>
      <c r="U130" s="322">
        <f>+'RECHAZADOS A CA'!U130+'INGRESO A PS DE CA'!U130</f>
        <v>177.68196</v>
      </c>
      <c r="V130" s="322">
        <f>+'RECHAZADOS A CA'!V130+'INGRESO A PS DE CA'!V130</f>
        <v>180.05856</v>
      </c>
      <c r="W130" s="322">
        <f>+'RECHAZADOS A CA'!W130+'INGRESO A PS DE CA'!W130</f>
        <v>182.46780000000001</v>
      </c>
      <c r="X130" s="322">
        <f>+'RECHAZADOS A CA'!X130+'INGRESO A PS DE CA'!X130</f>
        <v>184.90967999999998</v>
      </c>
      <c r="Y130" s="322">
        <f>+'RECHAZADOS A CA'!Y130+'INGRESO A PS DE CA'!Y130</f>
        <v>187.38317999999998</v>
      </c>
      <c r="Z130" s="322">
        <f>+'RECHAZADOS A CA'!Z130+'INGRESO A PS DE CA'!Z130</f>
        <v>189.89034000000001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28"/>
      <c r="E131" s="278"/>
      <c r="F131" s="263"/>
      <c r="G131" s="322">
        <f>+'RECHAZADOS A CA'!G131+'INGRESO A PS DE CA'!G131</f>
        <v>8.47044</v>
      </c>
      <c r="H131" s="322">
        <f>+'RECHAZADOS A CA'!H131+'INGRESO A PS DE CA'!H131</f>
        <v>8.5836000000000006</v>
      </c>
      <c r="I131" s="322">
        <f>+'RECHAZADOS A CA'!I131+'INGRESO A PS DE CA'!I131</f>
        <v>8.6986000000000008</v>
      </c>
      <c r="J131" s="322">
        <f>+'RECHAZADOS A CA'!J131+'INGRESO A PS DE CA'!J131</f>
        <v>8.8154400000000006</v>
      </c>
      <c r="K131" s="322">
        <f>+'RECHAZADOS A CA'!K131+'INGRESO A PS DE CA'!K131</f>
        <v>8.9332000000000011</v>
      </c>
      <c r="L131" s="322">
        <f>+'RECHAZADOS A CA'!L131+'INGRESO A PS DE CA'!L131</f>
        <v>9.0528000000000013</v>
      </c>
      <c r="M131" s="322">
        <f>+'RECHAZADOS A CA'!M131+'INGRESO A PS DE CA'!M131</f>
        <v>9.1733200000000004</v>
      </c>
      <c r="N131" s="322">
        <f>+'RECHAZADOS A CA'!N131+'INGRESO A PS DE CA'!N131</f>
        <v>9.2965999999999998</v>
      </c>
      <c r="O131" s="322">
        <f>+'RECHAZADOS A CA'!O131+'INGRESO A PS DE CA'!O131</f>
        <v>9.4208000000000016</v>
      </c>
      <c r="P131" s="322">
        <f>+'RECHAZADOS A CA'!P131+'INGRESO A PS DE CA'!P131</f>
        <v>9.5468399999999995</v>
      </c>
      <c r="Q131" s="322">
        <f>+'RECHAZADOS A CA'!Q131+'INGRESO A PS DE CA'!Q131</f>
        <v>9.6747200000000007</v>
      </c>
      <c r="R131" s="322">
        <f>+'RECHAZADOS A CA'!R131+'INGRESO A PS DE CA'!R131</f>
        <v>9.8035200000000007</v>
      </c>
      <c r="S131" s="322">
        <f>+'RECHAZADOS A CA'!S131+'INGRESO A PS DE CA'!S131</f>
        <v>9.9350799999999992</v>
      </c>
      <c r="T131" s="322">
        <f>+'RECHAZADOS A CA'!T131+'INGRESO A PS DE CA'!T131</f>
        <v>10.067560000000002</v>
      </c>
      <c r="U131" s="322">
        <f>+'RECHAZADOS A CA'!U131+'INGRESO A PS DE CA'!U131</f>
        <v>10.202800000000002</v>
      </c>
      <c r="V131" s="322">
        <f>+'RECHAZADOS A CA'!V131+'INGRESO A PS DE CA'!V131</f>
        <v>10.33896</v>
      </c>
      <c r="W131" s="322">
        <f>+'RECHAZADOS A CA'!W131+'INGRESO A PS DE CA'!W131</f>
        <v>10.476960000000002</v>
      </c>
      <c r="X131" s="322">
        <f>+'RECHAZADOS A CA'!X131+'INGRESO A PS DE CA'!X131</f>
        <v>10.617720000000002</v>
      </c>
      <c r="Y131" s="322">
        <f>+'RECHAZADOS A CA'!Y131+'INGRESO A PS DE CA'!Y131</f>
        <v>10.759399999999999</v>
      </c>
      <c r="Z131" s="322">
        <f>+'RECHAZADOS A CA'!Z131+'INGRESO A PS DE CA'!Z131</f>
        <v>10.90292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28"/>
      <c r="E132" s="278"/>
      <c r="F132" s="263"/>
      <c r="G132" s="322">
        <f>+'RECHAZADOS A CA'!G132+'INGRESO A PS DE CA'!G132</f>
        <v>1.99916</v>
      </c>
      <c r="H132" s="322">
        <f>+'RECHAZADOS A CA'!H132+'INGRESO A PS DE CA'!H132</f>
        <v>2.0525199999999999</v>
      </c>
      <c r="I132" s="322">
        <f>+'RECHAZADOS A CA'!I132+'INGRESO A PS DE CA'!I132</f>
        <v>2.10588</v>
      </c>
      <c r="J132" s="322">
        <f>+'RECHAZADOS A CA'!J132+'INGRESO A PS DE CA'!J132</f>
        <v>2.15924</v>
      </c>
      <c r="K132" s="322">
        <f>+'RECHAZADOS A CA'!K132+'INGRESO A PS DE CA'!K132</f>
        <v>2.2116800000000003</v>
      </c>
      <c r="L132" s="322">
        <f>+'RECHAZADOS A CA'!L132+'INGRESO A PS DE CA'!L132</f>
        <v>2.2779199999999999</v>
      </c>
      <c r="M132" s="322">
        <f>+'RECHAZADOS A CA'!M132+'INGRESO A PS DE CA'!M132</f>
        <v>2.3432400000000002</v>
      </c>
      <c r="N132" s="322">
        <f>+'RECHAZADOS A CA'!N132+'INGRESO A PS DE CA'!N132</f>
        <v>2.4094799999999998</v>
      </c>
      <c r="O132" s="322">
        <f>+'RECHAZADOS A CA'!O132+'INGRESO A PS DE CA'!O132</f>
        <v>2.4748000000000001</v>
      </c>
      <c r="P132" s="322">
        <f>+'RECHAZADOS A CA'!P132+'INGRESO A PS DE CA'!P132</f>
        <v>2.5401199999999999</v>
      </c>
      <c r="Q132" s="322">
        <f>+'RECHAZADOS A CA'!Q132+'INGRESO A PS DE CA'!Q132</f>
        <v>2.60636</v>
      </c>
      <c r="R132" s="322">
        <f>+'RECHAZADOS A CA'!R132+'INGRESO A PS DE CA'!R132</f>
        <v>2.6716800000000003</v>
      </c>
      <c r="S132" s="322">
        <f>+'RECHAZADOS A CA'!S132+'INGRESO A PS DE CA'!S132</f>
        <v>2.7370000000000001</v>
      </c>
      <c r="T132" s="322">
        <f>+'RECHAZADOS A CA'!T132+'INGRESO A PS DE CA'!T132</f>
        <v>2.8032400000000002</v>
      </c>
      <c r="U132" s="322">
        <f>+'RECHAZADOS A CA'!U132+'INGRESO A PS DE CA'!U132</f>
        <v>2.86856</v>
      </c>
      <c r="V132" s="322">
        <f>+'RECHAZADOS A CA'!V132+'INGRESO A PS DE CA'!V132</f>
        <v>2.9348000000000001</v>
      </c>
      <c r="W132" s="322">
        <f>+'RECHAZADOS A CA'!W132+'INGRESO A PS DE CA'!W132</f>
        <v>3.0001200000000003</v>
      </c>
      <c r="X132" s="322">
        <f>+'RECHAZADOS A CA'!X132+'INGRESO A PS DE CA'!X132</f>
        <v>3.0654400000000002</v>
      </c>
      <c r="Y132" s="322">
        <f>+'RECHAZADOS A CA'!Y132+'INGRESO A PS DE CA'!Y132</f>
        <v>3.1316800000000002</v>
      </c>
      <c r="Z132" s="322">
        <f>+'RECHAZADOS A CA'!Z132+'INGRESO A PS DE CA'!Z132</f>
        <v>3.1970000000000001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28"/>
      <c r="E133" s="278"/>
      <c r="F133" s="263"/>
      <c r="G133" s="322">
        <f>+'RECHAZADOS A CA'!G133+'INGRESO A PS DE CA'!G133</f>
        <v>7.0609999999999999</v>
      </c>
      <c r="H133" s="322">
        <f>+'RECHAZADOS A CA'!H133+'INGRESO A PS DE CA'!H133</f>
        <v>7.150240000000001</v>
      </c>
      <c r="I133" s="322">
        <f>+'RECHAZADOS A CA'!I133+'INGRESO A PS DE CA'!I133</f>
        <v>7.2385600000000005</v>
      </c>
      <c r="J133" s="322">
        <f>+'RECHAZADOS A CA'!J133+'INGRESO A PS DE CA'!J133</f>
        <v>7.3268800000000001</v>
      </c>
      <c r="K133" s="322">
        <f>+'RECHAZADOS A CA'!K133+'INGRESO A PS DE CA'!K133</f>
        <v>7.4152000000000005</v>
      </c>
      <c r="L133" s="322">
        <f>+'RECHAZADOS A CA'!L133+'INGRESO A PS DE CA'!L133</f>
        <v>7.5302000000000007</v>
      </c>
      <c r="M133" s="322">
        <f>+'RECHAZADOS A CA'!M133+'INGRESO A PS DE CA'!M133</f>
        <v>7.6442800000000011</v>
      </c>
      <c r="N133" s="322">
        <f>+'RECHAZADOS A CA'!N133+'INGRESO A PS DE CA'!N133</f>
        <v>7.7592800000000004</v>
      </c>
      <c r="O133" s="322">
        <f>+'RECHAZADOS A CA'!O133+'INGRESO A PS DE CA'!O133</f>
        <v>7.8733600000000008</v>
      </c>
      <c r="P133" s="322">
        <f>+'RECHAZADOS A CA'!P133+'INGRESO A PS DE CA'!P133</f>
        <v>7.9883600000000001</v>
      </c>
      <c r="Q133" s="322">
        <f>+'RECHAZADOS A CA'!Q133+'INGRESO A PS DE CA'!Q133</f>
        <v>8.1024399999999996</v>
      </c>
      <c r="R133" s="322">
        <f>+'RECHAZADOS A CA'!R133+'INGRESO A PS DE CA'!R133</f>
        <v>8.2165200000000009</v>
      </c>
      <c r="S133" s="322">
        <f>+'RECHAZADOS A CA'!S133+'INGRESO A PS DE CA'!S133</f>
        <v>8.3315200000000011</v>
      </c>
      <c r="T133" s="322">
        <f>+'RECHAZADOS A CA'!T133+'INGRESO A PS DE CA'!T133</f>
        <v>8.4456000000000007</v>
      </c>
      <c r="U133" s="322">
        <f>+'RECHAZADOS A CA'!U133+'INGRESO A PS DE CA'!U133</f>
        <v>8.5606000000000009</v>
      </c>
      <c r="V133" s="322">
        <f>+'RECHAZADOS A CA'!V133+'INGRESO A PS DE CA'!V133</f>
        <v>8.6746800000000004</v>
      </c>
      <c r="W133" s="322">
        <f>+'RECHAZADOS A CA'!W133+'INGRESO A PS DE CA'!W133</f>
        <v>8.7896800000000006</v>
      </c>
      <c r="X133" s="322">
        <f>+'RECHAZADOS A CA'!X133+'INGRESO A PS DE CA'!X133</f>
        <v>8.9037600000000001</v>
      </c>
      <c r="Y133" s="322">
        <f>+'RECHAZADOS A CA'!Y133+'INGRESO A PS DE CA'!Y133</f>
        <v>9.0178399999999996</v>
      </c>
      <c r="Z133" s="322">
        <f>+'RECHAZADOS A CA'!Z133+'INGRESO A PS DE CA'!Z133</f>
        <v>9.1328399999999998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28"/>
      <c r="E134" s="278"/>
      <c r="F134" s="263"/>
      <c r="G134" s="322">
        <f>+'RECHAZADOS A CA'!G134+'INGRESO A PS DE CA'!G134</f>
        <v>41.118459999999999</v>
      </c>
      <c r="H134" s="322">
        <f>+'RECHAZADOS A CA'!H134+'INGRESO A PS DE CA'!H134</f>
        <v>41.502180000000003</v>
      </c>
      <c r="I134" s="322">
        <f>+'RECHAZADOS A CA'!I134+'INGRESO A PS DE CA'!I134</f>
        <v>41.88908</v>
      </c>
      <c r="J134" s="322">
        <f>+'RECHAZADOS A CA'!J134+'INGRESO A PS DE CA'!J134</f>
        <v>42.279160000000005</v>
      </c>
      <c r="K134" s="322">
        <f>+'RECHAZADOS A CA'!K134+'INGRESO A PS DE CA'!K134</f>
        <v>42.672420000000002</v>
      </c>
      <c r="L134" s="322">
        <f>+'RECHAZADOS A CA'!L134+'INGRESO A PS DE CA'!L134</f>
        <v>43.070980000000006</v>
      </c>
      <c r="M134" s="322">
        <f>+'RECHAZADOS A CA'!M134+'INGRESO A PS DE CA'!M134</f>
        <v>43.47166</v>
      </c>
      <c r="N134" s="322">
        <f>+'RECHAZADOS A CA'!N134+'INGRESO A PS DE CA'!N134</f>
        <v>43.876580000000004</v>
      </c>
      <c r="O134" s="322">
        <f>+'RECHAZADOS A CA'!O134+'INGRESO A PS DE CA'!O134</f>
        <v>44.285740000000004</v>
      </c>
      <c r="P134" s="322">
        <f>+'RECHAZADOS A CA'!P134+'INGRESO A PS DE CA'!P134</f>
        <v>44.698080000000004</v>
      </c>
      <c r="Q134" s="322">
        <f>+'RECHAZADOS A CA'!Q134+'INGRESO A PS DE CA'!Q134</f>
        <v>45.114660000000001</v>
      </c>
      <c r="R134" s="322">
        <f>+'RECHAZADOS A CA'!R134+'INGRESO A PS DE CA'!R134</f>
        <v>45.53548</v>
      </c>
      <c r="S134" s="322">
        <f>+'RECHAZADOS A CA'!S134+'INGRESO A PS DE CA'!S134</f>
        <v>45.959480000000006</v>
      </c>
      <c r="T134" s="322">
        <f>+'RECHAZADOS A CA'!T134+'INGRESO A PS DE CA'!T134</f>
        <v>46.387720000000002</v>
      </c>
      <c r="U134" s="322">
        <f>+'RECHAZADOS A CA'!U134+'INGRESO A PS DE CA'!U134</f>
        <v>46.820200000000007</v>
      </c>
      <c r="V134" s="322">
        <f>+'RECHAZADOS A CA'!V134+'INGRESO A PS DE CA'!V134</f>
        <v>47.255859999999998</v>
      </c>
      <c r="W134" s="322">
        <f>+'RECHAZADOS A CA'!W134+'INGRESO A PS DE CA'!W134</f>
        <v>47.696820000000002</v>
      </c>
      <c r="X134" s="322">
        <f>+'RECHAZADOS A CA'!X134+'INGRESO A PS DE CA'!X134</f>
        <v>48.14096</v>
      </c>
      <c r="Y134" s="322">
        <f>+'RECHAZADOS A CA'!Y134+'INGRESO A PS DE CA'!Y134</f>
        <v>48.589340000000007</v>
      </c>
      <c r="Z134" s="322">
        <f>+'RECHAZADOS A CA'!Z134+'INGRESO A PS DE CA'!Z134</f>
        <v>49.041959999999996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28"/>
      <c r="E135" s="278"/>
      <c r="F135" s="263"/>
      <c r="G135" s="322">
        <f>+'RECHAZADOS A CA'!G135+'INGRESO A PS DE CA'!G135</f>
        <v>52.549500000000002</v>
      </c>
      <c r="H135" s="322">
        <f>+'RECHAZADOS A CA'!H135+'INGRESO A PS DE CA'!H135</f>
        <v>52.754080000000002</v>
      </c>
      <c r="I135" s="322">
        <f>+'RECHAZADOS A CA'!I135+'INGRESO A PS DE CA'!I135</f>
        <v>52.962900000000005</v>
      </c>
      <c r="J135" s="322">
        <f>+'RECHAZADOS A CA'!J135+'INGRESO A PS DE CA'!J135</f>
        <v>53.174900000000001</v>
      </c>
      <c r="K135" s="322">
        <f>+'RECHAZADOS A CA'!K135+'INGRESO A PS DE CA'!K135</f>
        <v>53.391139999999993</v>
      </c>
      <c r="L135" s="322">
        <f>+'RECHAZADOS A CA'!L135+'INGRESO A PS DE CA'!L135</f>
        <v>53.609499999999997</v>
      </c>
      <c r="M135" s="322">
        <f>+'RECHAZADOS A CA'!M135+'INGRESO A PS DE CA'!M135</f>
        <v>53.832099999999997</v>
      </c>
      <c r="N135" s="322">
        <f>+'RECHAZADOS A CA'!N135+'INGRESO A PS DE CA'!N135</f>
        <v>54.05894</v>
      </c>
      <c r="O135" s="322">
        <f>+'RECHAZADOS A CA'!O135+'INGRESO A PS DE CA'!O135</f>
        <v>54.287900000000008</v>
      </c>
      <c r="P135" s="322">
        <f>+'RECHAZADOS A CA'!P135+'INGRESO A PS DE CA'!P135</f>
        <v>54.522160000000014</v>
      </c>
      <c r="Q135" s="322">
        <f>+'RECHAZADOS A CA'!Q135+'INGRESO A PS DE CA'!Q135</f>
        <v>54.759600000000006</v>
      </c>
      <c r="R135" s="322">
        <f>+'RECHAZADOS A CA'!R135+'INGRESO A PS DE CA'!R135</f>
        <v>55.000219999999999</v>
      </c>
      <c r="S135" s="322">
        <f>+'RECHAZADOS A CA'!S135+'INGRESO A PS DE CA'!S135</f>
        <v>55.246139999999997</v>
      </c>
      <c r="T135" s="322">
        <f>+'RECHAZADOS A CA'!T135+'INGRESO A PS DE CA'!T135</f>
        <v>55.495239999999995</v>
      </c>
      <c r="U135" s="322">
        <f>+'RECHAZADOS A CA'!U135+'INGRESO A PS DE CA'!U135</f>
        <v>55.748580000000004</v>
      </c>
      <c r="V135" s="322">
        <f>+'RECHAZADOS A CA'!V135+'INGRESO A PS DE CA'!V135</f>
        <v>56.006160000000001</v>
      </c>
      <c r="W135" s="322">
        <f>+'RECHAZADOS A CA'!W135+'INGRESO A PS DE CA'!W135</f>
        <v>56.267980000000001</v>
      </c>
      <c r="X135" s="322">
        <f>+'RECHAZADOS A CA'!X135+'INGRESO A PS DE CA'!X135</f>
        <v>56.53403999999999</v>
      </c>
      <c r="Y135" s="322">
        <f>+'RECHAZADOS A CA'!Y135+'INGRESO A PS DE CA'!Y135</f>
        <v>56.804339999999996</v>
      </c>
      <c r="Z135" s="322">
        <f>+'RECHAZADOS A CA'!Z135+'INGRESO A PS DE CA'!Z135</f>
        <v>57.078880000000012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28"/>
      <c r="E136" s="278"/>
      <c r="F136" s="263"/>
      <c r="G136" s="322">
        <f>+'RECHAZADOS A CA'!G136+'INGRESO A PS DE CA'!G136</f>
        <v>8.4814799999999995</v>
      </c>
      <c r="H136" s="322">
        <f>+'RECHAZADOS A CA'!H136+'INGRESO A PS DE CA'!H136</f>
        <v>8.5606000000000009</v>
      </c>
      <c r="I136" s="322">
        <f>+'RECHAZADOS A CA'!I136+'INGRESO A PS DE CA'!I136</f>
        <v>8.6388000000000016</v>
      </c>
      <c r="J136" s="322">
        <f>+'RECHAZADOS A CA'!J136+'INGRESO A PS DE CA'!J136</f>
        <v>8.7179199999999994</v>
      </c>
      <c r="K136" s="322">
        <f>+'RECHAZADOS A CA'!K136+'INGRESO A PS DE CA'!K136</f>
        <v>8.7961200000000002</v>
      </c>
      <c r="L136" s="322">
        <f>+'RECHAZADOS A CA'!L136+'INGRESO A PS DE CA'!L136</f>
        <v>8.8752399999999998</v>
      </c>
      <c r="M136" s="322">
        <f>+'RECHAZADOS A CA'!M136+'INGRESO A PS DE CA'!M136</f>
        <v>8.9534400000000005</v>
      </c>
      <c r="N136" s="322">
        <f>+'RECHAZADOS A CA'!N136+'INGRESO A PS DE CA'!N136</f>
        <v>9.0325600000000001</v>
      </c>
      <c r="O136" s="322">
        <f>+'RECHAZADOS A CA'!O136+'INGRESO A PS DE CA'!O136</f>
        <v>9.1107600000000009</v>
      </c>
      <c r="P136" s="322">
        <f>+'RECHAZADOS A CA'!P136+'INGRESO A PS DE CA'!P136</f>
        <v>9.1898800000000005</v>
      </c>
      <c r="Q136" s="322">
        <f>+'RECHAZADOS A CA'!Q136+'INGRESO A PS DE CA'!Q136</f>
        <v>9.2680799999999994</v>
      </c>
      <c r="R136" s="322">
        <f>+'RECHAZADOS A CA'!R136+'INGRESO A PS DE CA'!R136</f>
        <v>9.3472000000000008</v>
      </c>
      <c r="S136" s="322">
        <f>+'RECHAZADOS A CA'!S136+'INGRESO A PS DE CA'!S136</f>
        <v>9.4253999999999998</v>
      </c>
      <c r="T136" s="322">
        <f>+'RECHAZADOS A CA'!T136+'INGRESO A PS DE CA'!T136</f>
        <v>9.5045200000000012</v>
      </c>
      <c r="U136" s="322">
        <f>+'RECHAZADOS A CA'!U136+'INGRESO A PS DE CA'!U136</f>
        <v>9.5827200000000019</v>
      </c>
      <c r="V136" s="322">
        <f>+'RECHAZADOS A CA'!V136+'INGRESO A PS DE CA'!V136</f>
        <v>9.6618399999999998</v>
      </c>
      <c r="W136" s="322">
        <f>+'RECHAZADOS A CA'!W136+'INGRESO A PS DE CA'!W136</f>
        <v>9.7400400000000005</v>
      </c>
      <c r="X136" s="322">
        <f>+'RECHAZADOS A CA'!X136+'INGRESO A PS DE CA'!X136</f>
        <v>9.8191600000000001</v>
      </c>
      <c r="Y136" s="322">
        <f>+'RECHAZADOS A CA'!Y136+'INGRESO A PS DE CA'!Y136</f>
        <v>9.8973600000000008</v>
      </c>
      <c r="Z136" s="322">
        <f>+'RECHAZADOS A CA'!Z136+'INGRESO A PS DE CA'!Z136</f>
        <v>9.9764799999999987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28"/>
      <c r="E137" s="278"/>
      <c r="F137" s="263"/>
      <c r="G137" s="322">
        <f>+'RECHAZADOS A CA'!G137+'INGRESO A PS DE CA'!G137</f>
        <v>69.156000000000006</v>
      </c>
      <c r="H137" s="322">
        <f>+'RECHAZADOS A CA'!H137+'INGRESO A PS DE CA'!H137</f>
        <v>70.387140000000002</v>
      </c>
      <c r="I137" s="322">
        <f>+'RECHAZADOS A CA'!I137+'INGRESO A PS DE CA'!I137</f>
        <v>71.618279999999999</v>
      </c>
      <c r="J137" s="322">
        <f>+'RECHAZADOS A CA'!J137+'INGRESO A PS DE CA'!J137</f>
        <v>72.849419999999995</v>
      </c>
      <c r="K137" s="322">
        <f>+'RECHAZADOS A CA'!K137+'INGRESO A PS DE CA'!K137</f>
        <v>74.080559999999991</v>
      </c>
      <c r="L137" s="322">
        <f>+'RECHAZADOS A CA'!L137+'INGRESO A PS DE CA'!L137</f>
        <v>75.311700000000002</v>
      </c>
      <c r="M137" s="322">
        <f>+'RECHAZADOS A CA'!M137+'INGRESO A PS DE CA'!M137</f>
        <v>76.542839999999998</v>
      </c>
      <c r="N137" s="322">
        <f>+'RECHAZADOS A CA'!N137+'INGRESO A PS DE CA'!N137</f>
        <v>77.775000000000006</v>
      </c>
      <c r="O137" s="322">
        <f>+'RECHAZADOS A CA'!O137+'INGRESO A PS DE CA'!O137</f>
        <v>79.005119999999991</v>
      </c>
      <c r="P137" s="322">
        <f>+'RECHAZADOS A CA'!P137+'INGRESO A PS DE CA'!P137</f>
        <v>80.236260000000001</v>
      </c>
      <c r="Q137" s="322">
        <f>+'RECHAZADOS A CA'!Q137+'INGRESO A PS DE CA'!Q137</f>
        <v>81.468419999999995</v>
      </c>
      <c r="R137" s="322">
        <f>+'RECHAZADOS A CA'!R137+'INGRESO A PS DE CA'!R137</f>
        <v>82.698540000000008</v>
      </c>
      <c r="S137" s="322">
        <f>+'RECHAZADOS A CA'!S137+'INGRESO A PS DE CA'!S137</f>
        <v>83.930700000000002</v>
      </c>
      <c r="T137" s="322">
        <f>+'RECHAZADOS A CA'!T137+'INGRESO A PS DE CA'!T137</f>
        <v>85.160820000000001</v>
      </c>
      <c r="U137" s="322">
        <f>+'RECHAZADOS A CA'!U137+'INGRESO A PS DE CA'!U137</f>
        <v>86.392979999999994</v>
      </c>
      <c r="V137" s="322">
        <f>+'RECHAZADOS A CA'!V137+'INGRESO A PS DE CA'!V137</f>
        <v>87.624119999999991</v>
      </c>
      <c r="W137" s="322">
        <f>+'RECHAZADOS A CA'!W137+'INGRESO A PS DE CA'!W137</f>
        <v>88.854240000000004</v>
      </c>
      <c r="X137" s="322">
        <f>+'RECHAZADOS A CA'!X137+'INGRESO A PS DE CA'!X137</f>
        <v>90.086400000000012</v>
      </c>
      <c r="Y137" s="322">
        <f>+'RECHAZADOS A CA'!Y137+'INGRESO A PS DE CA'!Y137</f>
        <v>91.316519999999997</v>
      </c>
      <c r="Z137" s="322">
        <f>+'RECHAZADOS A CA'!Z137+'INGRESO A PS DE CA'!Z137</f>
        <v>92.548680000000004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28"/>
      <c r="E138" s="278"/>
      <c r="F138" s="263"/>
      <c r="G138" s="322">
        <f>+'RECHAZADOS A CA'!G138+'INGRESO A PS DE CA'!G138</f>
        <v>5.3571599999999995</v>
      </c>
      <c r="H138" s="322">
        <f>+'RECHAZADOS A CA'!H138+'INGRESO A PS DE CA'!H138</f>
        <v>5.3810799999999999</v>
      </c>
      <c r="I138" s="322">
        <f>+'RECHAZADOS A CA'!I138+'INGRESO A PS DE CA'!I138</f>
        <v>5.4059200000000001</v>
      </c>
      <c r="J138" s="322">
        <f>+'RECHAZADOS A CA'!J138+'INGRESO A PS DE CA'!J138</f>
        <v>5.4298400000000004</v>
      </c>
      <c r="K138" s="322">
        <f>+'RECHAZADOS A CA'!K138+'INGRESO A PS DE CA'!K138</f>
        <v>5.4546800000000006</v>
      </c>
      <c r="L138" s="322">
        <f>+'RECHAZADOS A CA'!L138+'INGRESO A PS DE CA'!L138</f>
        <v>5.4795200000000008</v>
      </c>
      <c r="M138" s="322">
        <f>+'RECHAZADOS A CA'!M138+'INGRESO A PS DE CA'!M138</f>
        <v>5.5034400000000003</v>
      </c>
      <c r="N138" s="322">
        <f>+'RECHAZADOS A CA'!N138+'INGRESO A PS DE CA'!N138</f>
        <v>5.5282800000000005</v>
      </c>
      <c r="O138" s="322">
        <f>+'RECHAZADOS A CA'!O138+'INGRESO A PS DE CA'!O138</f>
        <v>5.5522</v>
      </c>
      <c r="P138" s="322">
        <f>+'RECHAZADOS A CA'!P138+'INGRESO A PS DE CA'!P138</f>
        <v>5.5770400000000002</v>
      </c>
      <c r="Q138" s="322">
        <f>+'RECHAZADOS A CA'!Q138+'INGRESO A PS DE CA'!Q138</f>
        <v>5.6018800000000004</v>
      </c>
      <c r="R138" s="322">
        <f>+'RECHAZADOS A CA'!R138+'INGRESO A PS DE CA'!R138</f>
        <v>5.6257999999999999</v>
      </c>
      <c r="S138" s="322">
        <f>+'RECHAZADOS A CA'!S138+'INGRESO A PS DE CA'!S138</f>
        <v>5.6506400000000001</v>
      </c>
      <c r="T138" s="322">
        <f>+'RECHAZADOS A CA'!T138+'INGRESO A PS DE CA'!T138</f>
        <v>5.6745600000000005</v>
      </c>
      <c r="U138" s="322">
        <f>+'RECHAZADOS A CA'!U138+'INGRESO A PS DE CA'!U138</f>
        <v>5.6994000000000007</v>
      </c>
      <c r="V138" s="322">
        <f>+'RECHAZADOS A CA'!V138+'INGRESO A PS DE CA'!V138</f>
        <v>5.7233200000000002</v>
      </c>
      <c r="W138" s="322">
        <f>+'RECHAZADOS A CA'!W138+'INGRESO A PS DE CA'!W138</f>
        <v>5.7481599999999995</v>
      </c>
      <c r="X138" s="322">
        <f>+'RECHAZADOS A CA'!X138+'INGRESO A PS DE CA'!X138</f>
        <v>5.7729999999999997</v>
      </c>
      <c r="Y138" s="322">
        <f>+'RECHAZADOS A CA'!Y138+'INGRESO A PS DE CA'!Y138</f>
        <v>5.7969200000000001</v>
      </c>
      <c r="Z138" s="322">
        <f>+'RECHAZADOS A CA'!Z138+'INGRESO A PS DE CA'!Z138</f>
        <v>5.8217600000000003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28"/>
      <c r="E139" s="278"/>
      <c r="F139" s="263"/>
      <c r="G139" s="322">
        <f>+'RECHAZADOS A CA'!G139+'INGRESO A PS DE CA'!G139</f>
        <v>121.26168000000001</v>
      </c>
      <c r="H139" s="322">
        <f>+'RECHAZADOS A CA'!H139+'INGRESO A PS DE CA'!H139</f>
        <v>122.69376000000001</v>
      </c>
      <c r="I139" s="322">
        <f>+'RECHAZADOS A CA'!I139+'INGRESO A PS DE CA'!I139</f>
        <v>124.14318</v>
      </c>
      <c r="J139" s="322">
        <f>+'RECHAZADOS A CA'!J139+'INGRESO A PS DE CA'!J139</f>
        <v>125.60892</v>
      </c>
      <c r="K139" s="322">
        <f>+'RECHAZADOS A CA'!K139+'INGRESO A PS DE CA'!K139</f>
        <v>127.09302000000001</v>
      </c>
      <c r="L139" s="322">
        <f>+'RECHAZADOS A CA'!L139+'INGRESO A PS DE CA'!L139</f>
        <v>128.59446</v>
      </c>
      <c r="M139" s="322">
        <f>+'RECHAZADOS A CA'!M139+'INGRESO A PS DE CA'!M139</f>
        <v>130.11324000000002</v>
      </c>
      <c r="N139" s="322">
        <f>+'RECHAZADOS A CA'!N139+'INGRESO A PS DE CA'!N139</f>
        <v>131.64936</v>
      </c>
      <c r="O139" s="322">
        <f>+'RECHAZADOS A CA'!O139+'INGRESO A PS DE CA'!O139</f>
        <v>133.20486000000002</v>
      </c>
      <c r="P139" s="322">
        <f>+'RECHAZADOS A CA'!P139+'INGRESO A PS DE CA'!P139</f>
        <v>134.77770000000001</v>
      </c>
      <c r="Q139" s="322">
        <f>+'RECHAZADOS A CA'!Q139+'INGRESO A PS DE CA'!Q139</f>
        <v>136.36992000000001</v>
      </c>
      <c r="R139" s="322">
        <f>+'RECHAZADOS A CA'!R139+'INGRESO A PS DE CA'!R139</f>
        <v>137.98050000000001</v>
      </c>
      <c r="S139" s="322">
        <f>+'RECHAZADOS A CA'!S139+'INGRESO A PS DE CA'!S139</f>
        <v>139.61045999999999</v>
      </c>
      <c r="T139" s="322">
        <f>+'RECHAZADOS A CA'!T139+'INGRESO A PS DE CA'!T139</f>
        <v>141.25878</v>
      </c>
      <c r="U139" s="322">
        <f>+'RECHAZADOS A CA'!U139+'INGRESO A PS DE CA'!U139</f>
        <v>142.92750000000001</v>
      </c>
      <c r="V139" s="322">
        <f>+'RECHAZADOS A CA'!V139+'INGRESO A PS DE CA'!V139</f>
        <v>144.6156</v>
      </c>
      <c r="W139" s="322">
        <f>+'RECHAZADOS A CA'!W139+'INGRESO A PS DE CA'!W139</f>
        <v>146.32308</v>
      </c>
      <c r="X139" s="322">
        <f>+'RECHAZADOS A CA'!X139+'INGRESO A PS DE CA'!X139</f>
        <v>148.05198000000001</v>
      </c>
      <c r="Y139" s="322">
        <f>+'RECHAZADOS A CA'!Y139+'INGRESO A PS DE CA'!Y139</f>
        <v>149.80026000000001</v>
      </c>
      <c r="Z139" s="322">
        <f>+'RECHAZADOS A CA'!Z139+'INGRESO A PS DE CA'!Z139</f>
        <v>151.56995999999998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28"/>
      <c r="E140" s="278"/>
      <c r="F140" s="263"/>
      <c r="G140" s="322">
        <f>+'RECHAZADOS A CA'!G140+'INGRESO A PS DE CA'!G140</f>
        <v>7961.1208499999993</v>
      </c>
      <c r="H140" s="322">
        <f>+'RECHAZADOS A CA'!H140+'INGRESO A PS DE CA'!H140</f>
        <v>8022.6885000000002</v>
      </c>
      <c r="I140" s="322">
        <f>+'RECHAZADOS A CA'!I140+'INGRESO A PS DE CA'!I140</f>
        <v>8085.2600699999994</v>
      </c>
      <c r="J140" s="322">
        <f>+'RECHAZADOS A CA'!J140+'INGRESO A PS DE CA'!J140</f>
        <v>8148.8538899999994</v>
      </c>
      <c r="K140" s="322">
        <f>+'RECHAZADOS A CA'!K140+'INGRESO A PS DE CA'!K140</f>
        <v>8213.4840599999989</v>
      </c>
      <c r="L140" s="322">
        <f>+'RECHAZADOS A CA'!L140+'INGRESO A PS DE CA'!L140</f>
        <v>8279.1674999999996</v>
      </c>
      <c r="M140" s="322">
        <f>+'RECHAZADOS A CA'!M140+'INGRESO A PS DE CA'!M140</f>
        <v>8345.9239499999985</v>
      </c>
      <c r="N140" s="322">
        <f>+'RECHAZADOS A CA'!N140+'INGRESO A PS DE CA'!N140</f>
        <v>8413.7689200000004</v>
      </c>
      <c r="O140" s="322">
        <f>+'RECHAZADOS A CA'!O140+'INGRESO A PS DE CA'!O140</f>
        <v>8482.7207400000007</v>
      </c>
      <c r="P140" s="322">
        <f>+'RECHAZADOS A CA'!P140+'INGRESO A PS DE CA'!P140</f>
        <v>8552.7949200000003</v>
      </c>
      <c r="Q140" s="322">
        <f>+'RECHAZADOS A CA'!Q140+'INGRESO A PS DE CA'!Q140</f>
        <v>8624.0140199999987</v>
      </c>
      <c r="R140" s="322">
        <f>+'RECHAZADOS A CA'!R140+'INGRESO A PS DE CA'!R140</f>
        <v>8696.3963699999986</v>
      </c>
      <c r="S140" s="322">
        <f>+'RECHAZADOS A CA'!S140+'INGRESO A PS DE CA'!S140</f>
        <v>8769.9574799999991</v>
      </c>
      <c r="T140" s="322">
        <f>+'RECHAZADOS A CA'!T140+'INGRESO A PS DE CA'!T140</f>
        <v>8844.7185000000009</v>
      </c>
      <c r="U140" s="322">
        <f>+'RECHAZADOS A CA'!U140+'INGRESO A PS DE CA'!U140</f>
        <v>8920.7005800000006</v>
      </c>
      <c r="V140" s="322">
        <f>+'RECHAZADOS A CA'!V140+'INGRESO A PS DE CA'!V140</f>
        <v>8997.9220499999992</v>
      </c>
      <c r="W140" s="322">
        <f>+'RECHAZADOS A CA'!W140+'INGRESO A PS DE CA'!W140</f>
        <v>9076.40265</v>
      </c>
      <c r="X140" s="322">
        <f>+'RECHAZADOS A CA'!X140+'INGRESO A PS DE CA'!X140</f>
        <v>9156.162119999999</v>
      </c>
      <c r="Y140" s="322">
        <f>+'RECHAZADOS A CA'!Y140+'INGRESO A PS DE CA'!Y140</f>
        <v>9237.2244300000002</v>
      </c>
      <c r="Z140" s="322">
        <f>+'RECHAZADOS A CA'!Z140+'INGRESO A PS DE CA'!Z140</f>
        <v>9319.6093199999996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28"/>
      <c r="E141" s="278"/>
      <c r="F141" s="263"/>
      <c r="G141" s="322">
        <f>+'RECHAZADOS A CA'!G141+'INGRESO A PS DE CA'!G141</f>
        <v>3.05992</v>
      </c>
      <c r="H141" s="322">
        <f>+'RECHAZADOS A CA'!H141+'INGRESO A PS DE CA'!H141</f>
        <v>3.0682000000000005</v>
      </c>
      <c r="I141" s="322">
        <f>+'RECHAZADOS A CA'!I141+'INGRESO A PS DE CA'!I141</f>
        <v>3.0764800000000001</v>
      </c>
      <c r="J141" s="322">
        <f>+'RECHAZADOS A CA'!J141+'INGRESO A PS DE CA'!J141</f>
        <v>3.0856800000000004</v>
      </c>
      <c r="K141" s="322">
        <f>+'RECHAZADOS A CA'!K141+'INGRESO A PS DE CA'!K141</f>
        <v>3.09396</v>
      </c>
      <c r="L141" s="322">
        <f>+'RECHAZADOS A CA'!L141+'INGRESO A PS DE CA'!L141</f>
        <v>3.1022400000000001</v>
      </c>
      <c r="M141" s="322">
        <f>+'RECHAZADOS A CA'!M141+'INGRESO A PS DE CA'!M141</f>
        <v>3.1105200000000002</v>
      </c>
      <c r="N141" s="322">
        <f>+'RECHAZADOS A CA'!N141+'INGRESO A PS DE CA'!N141</f>
        <v>3.11972</v>
      </c>
      <c r="O141" s="322">
        <f>+'RECHAZADOS A CA'!O141+'INGRESO A PS DE CA'!O141</f>
        <v>3.1280000000000001</v>
      </c>
      <c r="P141" s="322">
        <f>+'RECHAZADOS A CA'!P141+'INGRESO A PS DE CA'!P141</f>
        <v>3.1362800000000002</v>
      </c>
      <c r="Q141" s="322">
        <f>+'RECHAZADOS A CA'!Q141+'INGRESO A PS DE CA'!Q141</f>
        <v>3.1454800000000001</v>
      </c>
      <c r="R141" s="322">
        <f>+'RECHAZADOS A CA'!R141+'INGRESO A PS DE CA'!R141</f>
        <v>3.1537600000000001</v>
      </c>
      <c r="S141" s="322">
        <f>+'RECHAZADOS A CA'!S141+'INGRESO A PS DE CA'!S141</f>
        <v>3.1620400000000002</v>
      </c>
      <c r="T141" s="322">
        <f>+'RECHAZADOS A CA'!T141+'INGRESO A PS DE CA'!T141</f>
        <v>3.1712400000000001</v>
      </c>
      <c r="U141" s="322">
        <f>+'RECHAZADOS A CA'!U141+'INGRESO A PS DE CA'!U141</f>
        <v>3.1795200000000001</v>
      </c>
      <c r="V141" s="322">
        <f>+'RECHAZADOS A CA'!V141+'INGRESO A PS DE CA'!V141</f>
        <v>3.1878000000000002</v>
      </c>
      <c r="W141" s="322">
        <f>+'RECHAZADOS A CA'!W141+'INGRESO A PS DE CA'!W141</f>
        <v>3.1970000000000001</v>
      </c>
      <c r="X141" s="322">
        <f>+'RECHAZADOS A CA'!X141+'INGRESO A PS DE CA'!X141</f>
        <v>3.2052800000000001</v>
      </c>
      <c r="Y141" s="322">
        <f>+'RECHAZADOS A CA'!Y141+'INGRESO A PS DE CA'!Y141</f>
        <v>3.2135600000000002</v>
      </c>
      <c r="Z141" s="322">
        <f>+'RECHAZADOS A CA'!Z141+'INGRESO A PS DE CA'!Z141</f>
        <v>3.2227600000000001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28"/>
      <c r="E142" s="278"/>
      <c r="F142" s="263"/>
      <c r="G142" s="322">
        <f>+'RECHAZADOS A CA'!G142+'INGRESO A PS DE CA'!G142</f>
        <v>3.2310400000000001</v>
      </c>
      <c r="H142" s="322">
        <f>+'RECHAZADOS A CA'!H142+'INGRESO A PS DE CA'!H142</f>
        <v>3.2494399999999999</v>
      </c>
      <c r="I142" s="322">
        <f>+'RECHAZADOS A CA'!I142+'INGRESO A PS DE CA'!I142</f>
        <v>3.2678400000000001</v>
      </c>
      <c r="J142" s="322">
        <f>+'RECHAZADOS A CA'!J142+'INGRESO A PS DE CA'!J142</f>
        <v>3.2862400000000003</v>
      </c>
      <c r="K142" s="322">
        <f>+'RECHAZADOS A CA'!K142+'INGRESO A PS DE CA'!K142</f>
        <v>3.30464</v>
      </c>
      <c r="L142" s="322">
        <f>+'RECHAZADOS A CA'!L142+'INGRESO A PS DE CA'!L142</f>
        <v>3.3230399999999998</v>
      </c>
      <c r="M142" s="322">
        <f>+'RECHAZADOS A CA'!M142+'INGRESO A PS DE CA'!M142</f>
        <v>3.34144</v>
      </c>
      <c r="N142" s="322">
        <f>+'RECHAZADOS A CA'!N142+'INGRESO A PS DE CA'!N142</f>
        <v>3.3598400000000002</v>
      </c>
      <c r="O142" s="322">
        <f>+'RECHAZADOS A CA'!O142+'INGRESO A PS DE CA'!O142</f>
        <v>3.3782399999999999</v>
      </c>
      <c r="P142" s="322">
        <f>+'RECHAZADOS A CA'!P142+'INGRESO A PS DE CA'!P142</f>
        <v>3.3966400000000005</v>
      </c>
      <c r="Q142" s="322">
        <f>+'RECHAZADOS A CA'!Q142+'INGRESO A PS DE CA'!Q142</f>
        <v>3.4150399999999999</v>
      </c>
      <c r="R142" s="322">
        <f>+'RECHAZADOS A CA'!R142+'INGRESO A PS DE CA'!R142</f>
        <v>3.43344</v>
      </c>
      <c r="S142" s="322">
        <f>+'RECHAZADOS A CA'!S142+'INGRESO A PS DE CA'!S142</f>
        <v>3.4518399999999998</v>
      </c>
      <c r="T142" s="322">
        <f>+'RECHAZADOS A CA'!T142+'INGRESO A PS DE CA'!T142</f>
        <v>3.4702400000000004</v>
      </c>
      <c r="U142" s="322">
        <f>+'RECHAZADOS A CA'!U142+'INGRESO A PS DE CA'!U142</f>
        <v>3.4886400000000002</v>
      </c>
      <c r="V142" s="322">
        <f>+'RECHAZADOS A CA'!V142+'INGRESO A PS DE CA'!V142</f>
        <v>3.5070399999999999</v>
      </c>
      <c r="W142" s="322">
        <f>+'RECHAZADOS A CA'!W142+'INGRESO A PS DE CA'!W142</f>
        <v>3.5254400000000001</v>
      </c>
      <c r="X142" s="322">
        <f>+'RECHAZADOS A CA'!X142+'INGRESO A PS DE CA'!X142</f>
        <v>3.5438400000000003</v>
      </c>
      <c r="Y142" s="322">
        <f>+'RECHAZADOS A CA'!Y142+'INGRESO A PS DE CA'!Y142</f>
        <v>3.5622400000000001</v>
      </c>
      <c r="Z142" s="322">
        <f>+'RECHAZADOS A CA'!Z142+'INGRESO A PS DE CA'!Z142</f>
        <v>3.5806400000000007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28"/>
      <c r="E143" s="278"/>
      <c r="F143" s="263"/>
      <c r="G143" s="322">
        <f>+'RECHAZADOS A CA'!G143+'INGRESO A PS DE CA'!G143</f>
        <v>11.7806</v>
      </c>
      <c r="H143" s="322">
        <f>+'RECHAZADOS A CA'!H143+'INGRESO A PS DE CA'!H143</f>
        <v>12.15044</v>
      </c>
      <c r="I143" s="322">
        <f>+'RECHAZADOS A CA'!I143+'INGRESO A PS DE CA'!I143</f>
        <v>12.527640000000002</v>
      </c>
      <c r="J143" s="322">
        <f>+'RECHAZADOS A CA'!J143+'INGRESO A PS DE CA'!J143</f>
        <v>12.910360000000001</v>
      </c>
      <c r="K143" s="322">
        <f>+'RECHAZADOS A CA'!K143+'INGRESO A PS DE CA'!K143</f>
        <v>13.2986</v>
      </c>
      <c r="L143" s="322">
        <f>+'RECHAZADOS A CA'!L143+'INGRESO A PS DE CA'!L143</f>
        <v>13.694200000000002</v>
      </c>
      <c r="M143" s="322">
        <f>+'RECHAZADOS A CA'!M143+'INGRESO A PS DE CA'!M143</f>
        <v>14.09624</v>
      </c>
      <c r="N143" s="322">
        <f>+'RECHAZADOS A CA'!N143+'INGRESO A PS DE CA'!N143</f>
        <v>14.503800000000002</v>
      </c>
      <c r="O143" s="322">
        <f>+'RECHAZADOS A CA'!O143+'INGRESO A PS DE CA'!O143</f>
        <v>14.91872</v>
      </c>
      <c r="P143" s="322">
        <f>+'RECHAZADOS A CA'!P143+'INGRESO A PS DE CA'!P143</f>
        <v>15.341000000000001</v>
      </c>
      <c r="Q143" s="322">
        <f>+'RECHAZADOS A CA'!Q143+'INGRESO A PS DE CA'!Q143</f>
        <v>15.768799999999999</v>
      </c>
      <c r="R143" s="322">
        <f>+'RECHAZADOS A CA'!R143+'INGRESO A PS DE CA'!R143</f>
        <v>16.204879999999999</v>
      </c>
      <c r="S143" s="322">
        <f>+'RECHAZADOS A CA'!S143+'INGRESO A PS DE CA'!S143</f>
        <v>16.647400000000001</v>
      </c>
      <c r="T143" s="322">
        <f>+'RECHAZADOS A CA'!T143+'INGRESO A PS DE CA'!T143</f>
        <v>17.097280000000001</v>
      </c>
      <c r="U143" s="322">
        <f>+'RECHAZADOS A CA'!U143+'INGRESO A PS DE CA'!U143</f>
        <v>17.55452</v>
      </c>
      <c r="V143" s="322">
        <f>+'RECHAZADOS A CA'!V143+'INGRESO A PS DE CA'!V143</f>
        <v>18.019119999999997</v>
      </c>
      <c r="W143" s="322">
        <f>+'RECHAZADOS A CA'!W143+'INGRESO A PS DE CA'!W143</f>
        <v>18.49108</v>
      </c>
      <c r="X143" s="322">
        <f>+'RECHAZADOS A CA'!X143+'INGRESO A PS DE CA'!X143</f>
        <v>18.971319999999999</v>
      </c>
      <c r="Y143" s="322">
        <f>+'RECHAZADOS A CA'!Y143+'INGRESO A PS DE CA'!Y143</f>
        <v>19.458920000000003</v>
      </c>
      <c r="Z143" s="322">
        <f>+'RECHAZADOS A CA'!Z143+'INGRESO A PS DE CA'!Z143</f>
        <v>19.954799999999999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28"/>
      <c r="E144" s="278"/>
      <c r="F144" s="263"/>
      <c r="G144" s="322">
        <f>+'RECHAZADOS A CA'!G144+'INGRESO A PS DE CA'!G144</f>
        <v>19.067280000000004</v>
      </c>
      <c r="H144" s="322">
        <f>+'RECHAZADOS A CA'!H144+'INGRESO A PS DE CA'!H144</f>
        <v>19.824120000000004</v>
      </c>
      <c r="I144" s="322">
        <f>+'RECHAZADOS A CA'!I144+'INGRESO A PS DE CA'!I144</f>
        <v>20.592620000000004</v>
      </c>
      <c r="J144" s="322">
        <f>+'RECHAZADOS A CA'!J144+'INGRESO A PS DE CA'!J144</f>
        <v>21.373840000000001</v>
      </c>
      <c r="K144" s="322">
        <f>+'RECHAZADOS A CA'!K144+'INGRESO A PS DE CA'!K144</f>
        <v>22.167780000000004</v>
      </c>
      <c r="L144" s="322">
        <f>+'RECHAZADOS A CA'!L144+'INGRESO A PS DE CA'!L144</f>
        <v>22.9755</v>
      </c>
      <c r="M144" s="322">
        <f>+'RECHAZADOS A CA'!M144+'INGRESO A PS DE CA'!M144</f>
        <v>23.795940000000002</v>
      </c>
      <c r="N144" s="322">
        <f>+'RECHAZADOS A CA'!N144+'INGRESO A PS DE CA'!N144</f>
        <v>24.629100000000001</v>
      </c>
      <c r="O144" s="322">
        <f>+'RECHAZADOS A CA'!O144+'INGRESO A PS DE CA'!O144</f>
        <v>25.476040000000001</v>
      </c>
      <c r="P144" s="322">
        <f>+'RECHAZADOS A CA'!P144+'INGRESO A PS DE CA'!P144</f>
        <v>26.337820000000001</v>
      </c>
      <c r="Q144" s="322">
        <f>+'RECHAZADOS A CA'!Q144+'INGRESO A PS DE CA'!Q144</f>
        <v>27.212319999999998</v>
      </c>
      <c r="R144" s="322">
        <f>+'RECHAZADOS A CA'!R144+'INGRESO A PS DE CA'!R144</f>
        <v>28.101659999999995</v>
      </c>
      <c r="S144" s="322">
        <f>+'RECHAZADOS A CA'!S144+'INGRESO A PS DE CA'!S144</f>
        <v>29.005839999999999</v>
      </c>
      <c r="T144" s="322">
        <f>+'RECHAZADOS A CA'!T144+'INGRESO A PS DE CA'!T144</f>
        <v>29.924859999999999</v>
      </c>
      <c r="U144" s="322">
        <f>+'RECHAZADOS A CA'!U144+'INGRESO A PS DE CA'!U144</f>
        <v>30.858720000000002</v>
      </c>
      <c r="V144" s="322">
        <f>+'RECHAZADOS A CA'!V144+'INGRESO A PS DE CA'!V144</f>
        <v>31.80742</v>
      </c>
      <c r="W144" s="322">
        <f>+'RECHAZADOS A CA'!W144+'INGRESO A PS DE CA'!W144</f>
        <v>32.772020000000005</v>
      </c>
      <c r="X144" s="322">
        <f>+'RECHAZADOS A CA'!X144+'INGRESO A PS DE CA'!X144</f>
        <v>33.751460000000002</v>
      </c>
      <c r="Y144" s="322">
        <f>+'RECHAZADOS A CA'!Y144+'INGRESO A PS DE CA'!Y144</f>
        <v>34.747860000000003</v>
      </c>
      <c r="Z144" s="322">
        <f>+'RECHAZADOS A CA'!Z144+'INGRESO A PS DE CA'!Z144</f>
        <v>35.760160000000006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28"/>
      <c r="E145" s="278"/>
      <c r="F145" s="263"/>
      <c r="G145" s="322">
        <f>+'RECHAZADOS A CA'!G145+'INGRESO A PS DE CA'!G145</f>
        <v>6.8144400000000003</v>
      </c>
      <c r="H145" s="322">
        <f>+'RECHAZADOS A CA'!H145+'INGRESO A PS DE CA'!H145</f>
        <v>6.862280000000001</v>
      </c>
      <c r="I145" s="322">
        <f>+'RECHAZADOS A CA'!I145+'INGRESO A PS DE CA'!I145</f>
        <v>6.9110399999999998</v>
      </c>
      <c r="J145" s="322">
        <f>+'RECHAZADOS A CA'!J145+'INGRESO A PS DE CA'!J145</f>
        <v>6.9598000000000004</v>
      </c>
      <c r="K145" s="322">
        <f>+'RECHAZADOS A CA'!K145+'INGRESO A PS DE CA'!K145</f>
        <v>7.0085600000000001</v>
      </c>
      <c r="L145" s="322">
        <f>+'RECHAZADOS A CA'!L145+'INGRESO A PS DE CA'!L145</f>
        <v>7.0564</v>
      </c>
      <c r="M145" s="322">
        <f>+'RECHAZADOS A CA'!M145+'INGRESO A PS DE CA'!M145</f>
        <v>7.1051599999999997</v>
      </c>
      <c r="N145" s="322">
        <f>+'RECHAZADOS A CA'!N145+'INGRESO A PS DE CA'!N145</f>
        <v>7.1539199999999994</v>
      </c>
      <c r="O145" s="322">
        <f>+'RECHAZADOS A CA'!O145+'INGRESO A PS DE CA'!O145</f>
        <v>7.2017600000000002</v>
      </c>
      <c r="P145" s="322">
        <f>+'RECHAZADOS A CA'!P145+'INGRESO A PS DE CA'!P145</f>
        <v>7.2505200000000007</v>
      </c>
      <c r="Q145" s="322">
        <f>+'RECHAZADOS A CA'!Q145+'INGRESO A PS DE CA'!Q145</f>
        <v>7.2992800000000004</v>
      </c>
      <c r="R145" s="322">
        <f>+'RECHAZADOS A CA'!R145+'INGRESO A PS DE CA'!R145</f>
        <v>7.3471200000000003</v>
      </c>
      <c r="S145" s="322">
        <f>+'RECHAZADOS A CA'!S145+'INGRESO A PS DE CA'!S145</f>
        <v>7.39588</v>
      </c>
      <c r="T145" s="322">
        <f>+'RECHAZADOS A CA'!T145+'INGRESO A PS DE CA'!T145</f>
        <v>7.4446400000000015</v>
      </c>
      <c r="U145" s="322">
        <f>+'RECHAZADOS A CA'!U145+'INGRESO A PS DE CA'!U145</f>
        <v>7.4924800000000005</v>
      </c>
      <c r="V145" s="322">
        <f>+'RECHAZADOS A CA'!V145+'INGRESO A PS DE CA'!V145</f>
        <v>7.5412400000000002</v>
      </c>
      <c r="W145" s="322">
        <f>+'RECHAZADOS A CA'!W145+'INGRESO A PS DE CA'!W145</f>
        <v>7.59</v>
      </c>
      <c r="X145" s="322">
        <f>+'RECHAZADOS A CA'!X145+'INGRESO A PS DE CA'!X145</f>
        <v>7.6378400000000006</v>
      </c>
      <c r="Y145" s="322">
        <f>+'RECHAZADOS A CA'!Y145+'INGRESO A PS DE CA'!Y145</f>
        <v>7.6866000000000003</v>
      </c>
      <c r="Z145" s="322">
        <f>+'RECHAZADOS A CA'!Z145+'INGRESO A PS DE CA'!Z145</f>
        <v>7.7353600000000009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28"/>
      <c r="E146" s="278"/>
      <c r="F146" s="263"/>
      <c r="G146" s="322">
        <f>+'RECHAZADOS A CA'!G146+'INGRESO A PS DE CA'!G146</f>
        <v>2.7554000000000003</v>
      </c>
      <c r="H146" s="322">
        <f>+'RECHAZADOS A CA'!H146+'INGRESO A PS DE CA'!H146</f>
        <v>2.76092</v>
      </c>
      <c r="I146" s="322">
        <f>+'RECHAZADOS A CA'!I146+'INGRESO A PS DE CA'!I146</f>
        <v>2.76736</v>
      </c>
      <c r="J146" s="322">
        <f>+'RECHAZADOS A CA'!J146+'INGRESO A PS DE CA'!J146</f>
        <v>2.7728800000000002</v>
      </c>
      <c r="K146" s="322">
        <f>+'RECHAZADOS A CA'!K146+'INGRESO A PS DE CA'!K146</f>
        <v>2.7793200000000002</v>
      </c>
      <c r="L146" s="322">
        <f>+'RECHAZADOS A CA'!L146+'INGRESO A PS DE CA'!L146</f>
        <v>2.78484</v>
      </c>
      <c r="M146" s="322">
        <f>+'RECHAZADOS A CA'!M146+'INGRESO A PS DE CA'!M146</f>
        <v>2.79128</v>
      </c>
      <c r="N146" s="322">
        <f>+'RECHAZADOS A CA'!N146+'INGRESO A PS DE CA'!N146</f>
        <v>2.7968000000000002</v>
      </c>
      <c r="O146" s="322">
        <f>+'RECHAZADOS A CA'!O146+'INGRESO A PS DE CA'!O146</f>
        <v>2.8032400000000002</v>
      </c>
      <c r="P146" s="322">
        <f>+'RECHAZADOS A CA'!P146+'INGRESO A PS DE CA'!P146</f>
        <v>2.8087600000000004</v>
      </c>
      <c r="Q146" s="322">
        <f>+'RECHAZADOS A CA'!Q146+'INGRESO A PS DE CA'!Q146</f>
        <v>2.8152000000000004</v>
      </c>
      <c r="R146" s="322">
        <f>+'RECHAZADOS A CA'!R146+'INGRESO A PS DE CA'!R146</f>
        <v>2.8216400000000004</v>
      </c>
      <c r="S146" s="322">
        <f>+'RECHAZADOS A CA'!S146+'INGRESO A PS DE CA'!S146</f>
        <v>2.8271600000000001</v>
      </c>
      <c r="T146" s="322">
        <f>+'RECHAZADOS A CA'!T146+'INGRESO A PS DE CA'!T146</f>
        <v>2.8336000000000001</v>
      </c>
      <c r="U146" s="322">
        <f>+'RECHAZADOS A CA'!U146+'INGRESO A PS DE CA'!U146</f>
        <v>2.8391200000000003</v>
      </c>
      <c r="V146" s="322">
        <f>+'RECHAZADOS A CA'!V146+'INGRESO A PS DE CA'!V146</f>
        <v>2.8455599999999999</v>
      </c>
      <c r="W146" s="322">
        <f>+'RECHAZADOS A CA'!W146+'INGRESO A PS DE CA'!W146</f>
        <v>2.8510800000000001</v>
      </c>
      <c r="X146" s="322">
        <f>+'RECHAZADOS A CA'!X146+'INGRESO A PS DE CA'!X146</f>
        <v>2.8575200000000001</v>
      </c>
      <c r="Y146" s="322">
        <f>+'RECHAZADOS A CA'!Y146+'INGRESO A PS DE CA'!Y146</f>
        <v>2.8630399999999998</v>
      </c>
      <c r="Z146" s="322">
        <f>+'RECHAZADOS A CA'!Z146+'INGRESO A PS DE CA'!Z146</f>
        <v>2.8694799999999998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28"/>
      <c r="E147" s="278"/>
      <c r="F147" s="263"/>
      <c r="G147" s="322">
        <f>+'RECHAZADOS A CA'!G147+'INGRESO A PS DE CA'!G147</f>
        <v>4.048</v>
      </c>
      <c r="H147" s="322">
        <f>+'RECHAZADOS A CA'!H147+'INGRESO A PS DE CA'!H147</f>
        <v>4.0599600000000002</v>
      </c>
      <c r="I147" s="322">
        <f>+'RECHAZADOS A CA'!I147+'INGRESO A PS DE CA'!I147</f>
        <v>4.0709999999999997</v>
      </c>
      <c r="J147" s="322">
        <f>+'RECHAZADOS A CA'!J147+'INGRESO A PS DE CA'!J147</f>
        <v>4.0829599999999999</v>
      </c>
      <c r="K147" s="322">
        <f>+'RECHAZADOS A CA'!K147+'INGRESO A PS DE CA'!K147</f>
        <v>4.0949200000000001</v>
      </c>
      <c r="L147" s="322">
        <f>+'RECHAZADOS A CA'!L147+'INGRESO A PS DE CA'!L147</f>
        <v>4.1068800000000003</v>
      </c>
      <c r="M147" s="322">
        <f>+'RECHAZADOS A CA'!M147+'INGRESO A PS DE CA'!M147</f>
        <v>4.1188400000000005</v>
      </c>
      <c r="N147" s="322">
        <f>+'RECHAZADOS A CA'!N147+'INGRESO A PS DE CA'!N147</f>
        <v>4.12988</v>
      </c>
      <c r="O147" s="322">
        <f>+'RECHAZADOS A CA'!O147+'INGRESO A PS DE CA'!O147</f>
        <v>4.1418400000000002</v>
      </c>
      <c r="P147" s="322">
        <f>+'RECHAZADOS A CA'!P147+'INGRESO A PS DE CA'!P147</f>
        <v>4.1538000000000004</v>
      </c>
      <c r="Q147" s="322">
        <f>+'RECHAZADOS A CA'!Q147+'INGRESO A PS DE CA'!Q147</f>
        <v>4.1657600000000006</v>
      </c>
      <c r="R147" s="322">
        <f>+'RECHAZADOS A CA'!R147+'INGRESO A PS DE CA'!R147</f>
        <v>4.1777199999999999</v>
      </c>
      <c r="S147" s="322">
        <f>+'RECHAZADOS A CA'!S147+'INGRESO A PS DE CA'!S147</f>
        <v>4.1896800000000001</v>
      </c>
      <c r="T147" s="322">
        <f>+'RECHAZADOS A CA'!T147+'INGRESO A PS DE CA'!T147</f>
        <v>4.2007200000000005</v>
      </c>
      <c r="U147" s="322">
        <f>+'RECHAZADOS A CA'!U147+'INGRESO A PS DE CA'!U147</f>
        <v>4.2126800000000006</v>
      </c>
      <c r="V147" s="322">
        <f>+'RECHAZADOS A CA'!V147+'INGRESO A PS DE CA'!V147</f>
        <v>4.22464</v>
      </c>
      <c r="W147" s="322">
        <f>+'RECHAZADOS A CA'!W147+'INGRESO A PS DE CA'!W147</f>
        <v>4.2366000000000001</v>
      </c>
      <c r="X147" s="322">
        <f>+'RECHAZADOS A CA'!X147+'INGRESO A PS DE CA'!X147</f>
        <v>4.2485600000000003</v>
      </c>
      <c r="Y147" s="322">
        <f>+'RECHAZADOS A CA'!Y147+'INGRESO A PS DE CA'!Y147</f>
        <v>4.2596000000000007</v>
      </c>
      <c r="Z147" s="322">
        <f>+'RECHAZADOS A CA'!Z147+'INGRESO A PS DE CA'!Z147</f>
        <v>4.27156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28"/>
      <c r="E148" s="278"/>
      <c r="F148" s="263"/>
      <c r="G148" s="322">
        <f>+'RECHAZADOS A CA'!G148+'INGRESO A PS DE CA'!G148</f>
        <v>0.70380000000000009</v>
      </c>
      <c r="H148" s="322">
        <f>+'RECHAZADOS A CA'!H148+'INGRESO A PS DE CA'!H148</f>
        <v>0.70196000000000003</v>
      </c>
      <c r="I148" s="322">
        <f>+'RECHAZADOS A CA'!I148+'INGRESO A PS DE CA'!I148</f>
        <v>0.69920000000000004</v>
      </c>
      <c r="J148" s="322">
        <f>+'RECHAZADOS A CA'!J148+'INGRESO A PS DE CA'!J148</f>
        <v>0.69735999999999998</v>
      </c>
      <c r="K148" s="322">
        <f>+'RECHAZADOS A CA'!K148+'INGRESO A PS DE CA'!K148</f>
        <v>0.69552000000000003</v>
      </c>
      <c r="L148" s="322">
        <f>+'RECHAZADOS A CA'!L148+'INGRESO A PS DE CA'!L148</f>
        <v>0.69368000000000007</v>
      </c>
      <c r="M148" s="322">
        <f>+'RECHAZADOS A CA'!M148+'INGRESO A PS DE CA'!M148</f>
        <v>0.69184000000000001</v>
      </c>
      <c r="N148" s="322">
        <f>+'RECHAZADOS A CA'!N148+'INGRESO A PS DE CA'!N148</f>
        <v>0.69</v>
      </c>
      <c r="O148" s="322">
        <f>+'RECHAZADOS A CA'!O148+'INGRESO A PS DE CA'!O148</f>
        <v>0.6881600000000001</v>
      </c>
      <c r="P148" s="322">
        <f>+'RECHAZADOS A CA'!P148+'INGRESO A PS DE CA'!P148</f>
        <v>0.68632000000000004</v>
      </c>
      <c r="Q148" s="322">
        <f>+'RECHAZADOS A CA'!Q148+'INGRESO A PS DE CA'!Q148</f>
        <v>0.68447999999999998</v>
      </c>
      <c r="R148" s="322">
        <f>+'RECHAZADOS A CA'!R148+'INGRESO A PS DE CA'!R148</f>
        <v>0.68264000000000002</v>
      </c>
      <c r="S148" s="322">
        <f>+'RECHAZADOS A CA'!S148+'INGRESO A PS DE CA'!S148</f>
        <v>0.68080000000000007</v>
      </c>
      <c r="T148" s="322">
        <f>+'RECHAZADOS A CA'!T148+'INGRESO A PS DE CA'!T148</f>
        <v>0.67896000000000001</v>
      </c>
      <c r="U148" s="322">
        <f>+'RECHAZADOS A CA'!U148+'INGRESO A PS DE CA'!U148</f>
        <v>0.67712000000000006</v>
      </c>
      <c r="V148" s="322">
        <f>+'RECHAZADOS A CA'!V148+'INGRESO A PS DE CA'!V148</f>
        <v>0.67527999999999999</v>
      </c>
      <c r="W148" s="322">
        <f>+'RECHAZADOS A CA'!W148+'INGRESO A PS DE CA'!W148</f>
        <v>0.67344000000000004</v>
      </c>
      <c r="X148" s="322">
        <f>+'RECHAZADOS A CA'!X148+'INGRESO A PS DE CA'!X148</f>
        <v>0.67159999999999997</v>
      </c>
      <c r="Y148" s="322">
        <f>+'RECHAZADOS A CA'!Y148+'INGRESO A PS DE CA'!Y148</f>
        <v>0.66976000000000002</v>
      </c>
      <c r="Z148" s="322">
        <f>+'RECHAZADOS A CA'!Z148+'INGRESO A PS DE CA'!Z148</f>
        <v>0.66792000000000007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28"/>
      <c r="E149" s="278"/>
      <c r="F149" s="263"/>
      <c r="G149" s="322">
        <f>+'RECHAZADOS A CA'!G149+'INGRESO A PS DE CA'!G149</f>
        <v>1.2631600000000001</v>
      </c>
      <c r="H149" s="322">
        <f>+'RECHAZADOS A CA'!H149+'INGRESO A PS DE CA'!H149</f>
        <v>1.29352</v>
      </c>
      <c r="I149" s="322">
        <f>+'RECHAZADOS A CA'!I149+'INGRESO A PS DE CA'!I149</f>
        <v>1.3248</v>
      </c>
      <c r="J149" s="322">
        <f>+'RECHAZADOS A CA'!J149+'INGRESO A PS DE CA'!J149</f>
        <v>1.3560800000000002</v>
      </c>
      <c r="K149" s="322">
        <f>+'RECHAZADOS A CA'!K149+'INGRESO A PS DE CA'!K149</f>
        <v>1.38828</v>
      </c>
      <c r="L149" s="322">
        <f>+'RECHAZADOS A CA'!L149+'INGRESO A PS DE CA'!L149</f>
        <v>1.4214</v>
      </c>
      <c r="M149" s="322">
        <f>+'RECHAZADOS A CA'!M149+'INGRESO A PS DE CA'!M149</f>
        <v>1.4554400000000001</v>
      </c>
      <c r="N149" s="322">
        <f>+'RECHAZADOS A CA'!N149+'INGRESO A PS DE CA'!N149</f>
        <v>1.4904000000000002</v>
      </c>
      <c r="O149" s="322">
        <f>+'RECHAZADOS A CA'!O149+'INGRESO A PS DE CA'!O149</f>
        <v>1.52536</v>
      </c>
      <c r="P149" s="322">
        <f>+'RECHAZADOS A CA'!P149+'INGRESO A PS DE CA'!P149</f>
        <v>1.56216</v>
      </c>
      <c r="Q149" s="322">
        <f>+'RECHAZADOS A CA'!Q149+'INGRESO A PS DE CA'!Q149</f>
        <v>1.5989599999999999</v>
      </c>
      <c r="R149" s="322">
        <f>+'RECHAZADOS A CA'!R149+'INGRESO A PS DE CA'!R149</f>
        <v>1.6376000000000004</v>
      </c>
      <c r="S149" s="322">
        <f>+'RECHAZADOS A CA'!S149+'INGRESO A PS DE CA'!S149</f>
        <v>1.67624</v>
      </c>
      <c r="T149" s="322">
        <f>+'RECHAZADOS A CA'!T149+'INGRESO A PS DE CA'!T149</f>
        <v>1.71672</v>
      </c>
      <c r="U149" s="322">
        <f>+'RECHAZADOS A CA'!U149+'INGRESO A PS DE CA'!U149</f>
        <v>1.7572000000000001</v>
      </c>
      <c r="V149" s="322">
        <f>+'RECHAZADOS A CA'!V149+'INGRESO A PS DE CA'!V149</f>
        <v>1.79952</v>
      </c>
      <c r="W149" s="322">
        <f>+'RECHAZADOS A CA'!W149+'INGRESO A PS DE CA'!W149</f>
        <v>1.8418400000000001</v>
      </c>
      <c r="X149" s="322">
        <f>+'RECHAZADOS A CA'!X149+'INGRESO A PS DE CA'!X149</f>
        <v>1.8859999999999999</v>
      </c>
      <c r="Y149" s="322">
        <f>+'RECHAZADOS A CA'!Y149+'INGRESO A PS DE CA'!Y149</f>
        <v>1.9310800000000001</v>
      </c>
      <c r="Z149" s="322">
        <f>+'RECHAZADOS A CA'!Z149+'INGRESO A PS DE CA'!Z149</f>
        <v>1.9770800000000002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28"/>
      <c r="E150" s="278"/>
      <c r="F150" s="263"/>
      <c r="G150" s="322">
        <f>+'RECHAZADOS A CA'!G150+'INGRESO A PS DE CA'!G150</f>
        <v>4.4675200000000004</v>
      </c>
      <c r="H150" s="322">
        <f>+'RECHAZADOS A CA'!H150+'INGRESO A PS DE CA'!H150</f>
        <v>4.4923599999999997</v>
      </c>
      <c r="I150" s="322">
        <f>+'RECHAZADOS A CA'!I150+'INGRESO A PS DE CA'!I150</f>
        <v>4.5171999999999999</v>
      </c>
      <c r="J150" s="322">
        <f>+'RECHAZADOS A CA'!J150+'INGRESO A PS DE CA'!J150</f>
        <v>4.5429599999999999</v>
      </c>
      <c r="K150" s="322">
        <f>+'RECHAZADOS A CA'!K150+'INGRESO A PS DE CA'!K150</f>
        <v>4.5678000000000001</v>
      </c>
      <c r="L150" s="322">
        <f>+'RECHAZADOS A CA'!L150+'INGRESO A PS DE CA'!L150</f>
        <v>4.5935600000000001</v>
      </c>
      <c r="M150" s="322">
        <f>+'RECHAZADOS A CA'!M150+'INGRESO A PS DE CA'!M150</f>
        <v>4.6184000000000003</v>
      </c>
      <c r="N150" s="322">
        <f>+'RECHAZADOS A CA'!N150+'INGRESO A PS DE CA'!N150</f>
        <v>4.6432399999999996</v>
      </c>
      <c r="O150" s="322">
        <f>+'RECHAZADOS A CA'!O150+'INGRESO A PS DE CA'!O150</f>
        <v>4.6689999999999996</v>
      </c>
      <c r="P150" s="322">
        <f>+'RECHAZADOS A CA'!P150+'INGRESO A PS DE CA'!P150</f>
        <v>4.6938399999999998</v>
      </c>
      <c r="Q150" s="322">
        <f>+'RECHAZADOS A CA'!Q150+'INGRESO A PS DE CA'!Q150</f>
        <v>4.7196000000000007</v>
      </c>
      <c r="R150" s="322">
        <f>+'RECHAZADOS A CA'!R150+'INGRESO A PS DE CA'!R150</f>
        <v>4.7444400000000009</v>
      </c>
      <c r="S150" s="322">
        <f>+'RECHAZADOS A CA'!S150+'INGRESO A PS DE CA'!S150</f>
        <v>4.7692800000000011</v>
      </c>
      <c r="T150" s="322">
        <f>+'RECHAZADOS A CA'!T150+'INGRESO A PS DE CA'!T150</f>
        <v>4.7950400000000002</v>
      </c>
      <c r="U150" s="322">
        <f>+'RECHAZADOS A CA'!U150+'INGRESO A PS DE CA'!U150</f>
        <v>4.8198800000000004</v>
      </c>
      <c r="V150" s="322">
        <f>+'RECHAZADOS A CA'!V150+'INGRESO A PS DE CA'!V150</f>
        <v>4.8456400000000004</v>
      </c>
      <c r="W150" s="322">
        <f>+'RECHAZADOS A CA'!W150+'INGRESO A PS DE CA'!W150</f>
        <v>4.8704800000000006</v>
      </c>
      <c r="X150" s="322">
        <f>+'RECHAZADOS A CA'!X150+'INGRESO A PS DE CA'!X150</f>
        <v>4.8962399999999997</v>
      </c>
      <c r="Y150" s="322">
        <f>+'RECHAZADOS A CA'!Y150+'INGRESO A PS DE CA'!Y150</f>
        <v>4.9210799999999999</v>
      </c>
      <c r="Z150" s="322">
        <f>+'RECHAZADOS A CA'!Z150+'INGRESO A PS DE CA'!Z150</f>
        <v>4.9459200000000001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28"/>
      <c r="E151" s="278"/>
      <c r="F151" s="263"/>
      <c r="G151" s="322">
        <f>+'RECHAZADOS A CA'!G151+'INGRESO A PS DE CA'!G151</f>
        <v>35.394460000000002</v>
      </c>
      <c r="H151" s="322">
        <f>+'RECHAZADOS A CA'!H151+'INGRESO A PS DE CA'!H151</f>
        <v>36.228679999999997</v>
      </c>
      <c r="I151" s="322">
        <f>+'RECHAZADOS A CA'!I151+'INGRESO A PS DE CA'!I151</f>
        <v>37.062899999999999</v>
      </c>
      <c r="J151" s="322">
        <f>+'RECHAZADOS A CA'!J151+'INGRESO A PS DE CA'!J151</f>
        <v>37.897120000000001</v>
      </c>
      <c r="K151" s="322">
        <f>+'RECHAZADOS A CA'!K151+'INGRESO A PS DE CA'!K151</f>
        <v>38.732399999999998</v>
      </c>
      <c r="L151" s="322">
        <f>+'RECHAZADOS A CA'!L151+'INGRESO A PS DE CA'!L151</f>
        <v>39.747880000000002</v>
      </c>
      <c r="M151" s="322">
        <f>+'RECHAZADOS A CA'!M151+'INGRESO A PS DE CA'!M151</f>
        <v>40.764420000000008</v>
      </c>
      <c r="N151" s="322">
        <f>+'RECHAZADOS A CA'!N151+'INGRESO A PS DE CA'!N151</f>
        <v>41.78096</v>
      </c>
      <c r="O151" s="322">
        <f>+'RECHAZADOS A CA'!O151+'INGRESO A PS DE CA'!O151</f>
        <v>42.796440000000004</v>
      </c>
      <c r="P151" s="322">
        <f>+'RECHAZADOS A CA'!P151+'INGRESO A PS DE CA'!P151</f>
        <v>43.812980000000003</v>
      </c>
      <c r="Q151" s="322">
        <f>+'RECHAZADOS A CA'!Q151+'INGRESO A PS DE CA'!Q151</f>
        <v>44.82846</v>
      </c>
      <c r="R151" s="322">
        <f>+'RECHAZADOS A CA'!R151+'INGRESO A PS DE CA'!R151</f>
        <v>45.844999999999999</v>
      </c>
      <c r="S151" s="322">
        <f>+'RECHAZADOS A CA'!S151+'INGRESO A PS DE CA'!S151</f>
        <v>46.860480000000003</v>
      </c>
      <c r="T151" s="322">
        <f>+'RECHAZADOS A CA'!T151+'INGRESO A PS DE CA'!T151</f>
        <v>47.878080000000004</v>
      </c>
      <c r="U151" s="322">
        <f>+'RECHAZADOS A CA'!U151+'INGRESO A PS DE CA'!U151</f>
        <v>48.893560000000008</v>
      </c>
      <c r="V151" s="322">
        <f>+'RECHAZADOS A CA'!V151+'INGRESO A PS DE CA'!V151</f>
        <v>49.910100000000007</v>
      </c>
      <c r="W151" s="322">
        <f>+'RECHAZADOS A CA'!W151+'INGRESO A PS DE CA'!W151</f>
        <v>50.925580000000011</v>
      </c>
      <c r="X151" s="322">
        <f>+'RECHAZADOS A CA'!X151+'INGRESO A PS DE CA'!X151</f>
        <v>51.942120000000003</v>
      </c>
      <c r="Y151" s="322">
        <f>+'RECHAZADOS A CA'!Y151+'INGRESO A PS DE CA'!Y151</f>
        <v>52.957600000000014</v>
      </c>
      <c r="Z151" s="322">
        <f>+'RECHAZADOS A CA'!Z151+'INGRESO A PS DE CA'!Z151</f>
        <v>53.975200000000001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28"/>
      <c r="E152" s="278"/>
      <c r="F152" s="263"/>
      <c r="G152" s="322">
        <f>+'RECHAZADOS A CA'!G152+'INGRESO A PS DE CA'!G152</f>
        <v>3.1326000000000001</v>
      </c>
      <c r="H152" s="322">
        <f>+'RECHAZADOS A CA'!H152+'INGRESO A PS DE CA'!H152</f>
        <v>3.1316800000000002</v>
      </c>
      <c r="I152" s="322">
        <f>+'RECHAZADOS A CA'!I152+'INGRESO A PS DE CA'!I152</f>
        <v>3.1316800000000002</v>
      </c>
      <c r="J152" s="322">
        <f>+'RECHAZADOS A CA'!J152+'INGRESO A PS DE CA'!J152</f>
        <v>3.1307600000000004</v>
      </c>
      <c r="K152" s="322">
        <f>+'RECHAZADOS A CA'!K152+'INGRESO A PS DE CA'!K152</f>
        <v>3.1307600000000004</v>
      </c>
      <c r="L152" s="322">
        <f>+'RECHAZADOS A CA'!L152+'INGRESO A PS DE CA'!L152</f>
        <v>3.1307600000000004</v>
      </c>
      <c r="M152" s="322">
        <f>+'RECHAZADOS A CA'!M152+'INGRESO A PS DE CA'!M152</f>
        <v>3.1298400000000002</v>
      </c>
      <c r="N152" s="322">
        <f>+'RECHAZADOS A CA'!N152+'INGRESO A PS DE CA'!N152</f>
        <v>3.1298400000000002</v>
      </c>
      <c r="O152" s="322">
        <f>+'RECHAZADOS A CA'!O152+'INGRESO A PS DE CA'!O152</f>
        <v>3.1289199999999999</v>
      </c>
      <c r="P152" s="322">
        <f>+'RECHAZADOS A CA'!P152+'INGRESO A PS DE CA'!P152</f>
        <v>3.1289199999999999</v>
      </c>
      <c r="Q152" s="322">
        <f>+'RECHAZADOS A CA'!Q152+'INGRESO A PS DE CA'!Q152</f>
        <v>3.1280000000000001</v>
      </c>
      <c r="R152" s="322">
        <f>+'RECHAZADOS A CA'!R152+'INGRESO A PS DE CA'!R152</f>
        <v>3.1280000000000001</v>
      </c>
      <c r="S152" s="322">
        <f>+'RECHAZADOS A CA'!S152+'INGRESO A PS DE CA'!S152</f>
        <v>3.1270799999999994</v>
      </c>
      <c r="T152" s="322">
        <f>+'RECHAZADOS A CA'!T152+'INGRESO A PS DE CA'!T152</f>
        <v>3.1270799999999994</v>
      </c>
      <c r="U152" s="322">
        <f>+'RECHAZADOS A CA'!U152+'INGRESO A PS DE CA'!U152</f>
        <v>3.1270799999999994</v>
      </c>
      <c r="V152" s="322">
        <f>+'RECHAZADOS A CA'!V152+'INGRESO A PS DE CA'!V152</f>
        <v>3.1261600000000005</v>
      </c>
      <c r="W152" s="322">
        <f>+'RECHAZADOS A CA'!W152+'INGRESO A PS DE CA'!W152</f>
        <v>3.1261600000000005</v>
      </c>
      <c r="X152" s="322">
        <f>+'RECHAZADOS A CA'!X152+'INGRESO A PS DE CA'!X152</f>
        <v>3.1252400000000007</v>
      </c>
      <c r="Y152" s="322">
        <f>+'RECHAZADOS A CA'!Y152+'INGRESO A PS DE CA'!Y152</f>
        <v>3.1252400000000007</v>
      </c>
      <c r="Z152" s="322">
        <f>+'RECHAZADOS A CA'!Z152+'INGRESO A PS DE CA'!Z152</f>
        <v>3.12432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28"/>
      <c r="E153" s="278"/>
      <c r="F153" s="263"/>
      <c r="G153" s="322">
        <f>+'RECHAZADOS A CA'!G153+'INGRESO A PS DE CA'!G153</f>
        <v>25.130479999999999</v>
      </c>
      <c r="H153" s="322">
        <f>+'RECHAZADOS A CA'!H153+'INGRESO A PS DE CA'!H153</f>
        <v>26.251960000000004</v>
      </c>
      <c r="I153" s="322">
        <f>+'RECHAZADOS A CA'!I153+'INGRESO A PS DE CA'!I153</f>
        <v>27.425380000000004</v>
      </c>
      <c r="J153" s="322">
        <f>+'RECHAZADOS A CA'!J153+'INGRESO A PS DE CA'!J153</f>
        <v>28.650740000000003</v>
      </c>
      <c r="K153" s="322">
        <f>+'RECHAZADOS A CA'!K153+'INGRESO A PS DE CA'!K153</f>
        <v>29.93122</v>
      </c>
      <c r="L153" s="322">
        <f>+'RECHAZADOS A CA'!L153+'INGRESO A PS DE CA'!L153</f>
        <v>31.269999999999996</v>
      </c>
      <c r="M153" s="322">
        <f>+'RECHAZADOS A CA'!M153+'INGRESO A PS DE CA'!M153</f>
        <v>32.667079999999999</v>
      </c>
      <c r="N153" s="322">
        <f>+'RECHAZADOS A CA'!N153+'INGRESO A PS DE CA'!N153</f>
        <v>34.126700000000007</v>
      </c>
      <c r="O153" s="322">
        <f>+'RECHAZADOS A CA'!O153+'INGRESO A PS DE CA'!O153</f>
        <v>35.650980000000004</v>
      </c>
      <c r="P153" s="322">
        <f>+'RECHAZADOS A CA'!P153+'INGRESO A PS DE CA'!P153</f>
        <v>37.244160000000001</v>
      </c>
      <c r="Q153" s="322">
        <f>+'RECHAZADOS A CA'!Q153+'INGRESO A PS DE CA'!Q153</f>
        <v>38.91048</v>
      </c>
      <c r="R153" s="322">
        <f>+'RECHAZADOS A CA'!R153+'INGRESO A PS DE CA'!R153</f>
        <v>40.648880000000005</v>
      </c>
      <c r="S153" s="322">
        <f>+'RECHAZADOS A CA'!S153+'INGRESO A PS DE CA'!S153</f>
        <v>42.464660000000002</v>
      </c>
      <c r="T153" s="322">
        <f>+'RECHAZADOS A CA'!T153+'INGRESO A PS DE CA'!T153</f>
        <v>44.363120000000002</v>
      </c>
      <c r="U153" s="322">
        <f>+'RECHAZADOS A CA'!U153+'INGRESO A PS DE CA'!U153</f>
        <v>46.345320000000001</v>
      </c>
      <c r="V153" s="322">
        <f>+'RECHAZADOS A CA'!V153+'INGRESO A PS DE CA'!V153</f>
        <v>48.416560000000004</v>
      </c>
      <c r="W153" s="322">
        <f>+'RECHAZADOS A CA'!W153+'INGRESO A PS DE CA'!W153</f>
        <v>50.58108</v>
      </c>
      <c r="X153" s="322">
        <f>+'RECHAZADOS A CA'!X153+'INGRESO A PS DE CA'!X153</f>
        <v>52.839939999999999</v>
      </c>
      <c r="Y153" s="322">
        <f>+'RECHAZADOS A CA'!Y153+'INGRESO A PS DE CA'!Y153</f>
        <v>55.201620000000005</v>
      </c>
      <c r="Z153" s="322">
        <f>+'RECHAZADOS A CA'!Z153+'INGRESO A PS DE CA'!Z153</f>
        <v>57.6693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28"/>
      <c r="E154" s="278"/>
      <c r="F154" s="263"/>
      <c r="G154" s="322">
        <f>+'RECHAZADOS A CA'!G154+'INGRESO A PS DE CA'!G154</f>
        <v>5.2366400000000004</v>
      </c>
      <c r="H154" s="322">
        <f>+'RECHAZADOS A CA'!H154+'INGRESO A PS DE CA'!H154</f>
        <v>5.2449200000000005</v>
      </c>
      <c r="I154" s="322">
        <f>+'RECHAZADOS A CA'!I154+'INGRESO A PS DE CA'!I154</f>
        <v>5.2541199999999995</v>
      </c>
      <c r="J154" s="322">
        <f>+'RECHAZADOS A CA'!J154+'INGRESO A PS DE CA'!J154</f>
        <v>5.2624000000000004</v>
      </c>
      <c r="K154" s="322">
        <f>+'RECHAZADOS A CA'!K154+'INGRESO A PS DE CA'!K154</f>
        <v>5.2706800000000005</v>
      </c>
      <c r="L154" s="322">
        <f>+'RECHAZADOS A CA'!L154+'INGRESO A PS DE CA'!L154</f>
        <v>5.2789599999999997</v>
      </c>
      <c r="M154" s="322">
        <f>+'RECHAZADOS A CA'!M154+'INGRESO A PS DE CA'!M154</f>
        <v>5.2881599999999995</v>
      </c>
      <c r="N154" s="322">
        <f>+'RECHAZADOS A CA'!N154+'INGRESO A PS DE CA'!N154</f>
        <v>5.2964400000000005</v>
      </c>
      <c r="O154" s="322">
        <f>+'RECHAZADOS A CA'!O154+'INGRESO A PS DE CA'!O154</f>
        <v>5.3047200000000005</v>
      </c>
      <c r="P154" s="322">
        <f>+'RECHAZADOS A CA'!P154+'INGRESO A PS DE CA'!P154</f>
        <v>5.3139200000000004</v>
      </c>
      <c r="Q154" s="322">
        <f>+'RECHAZADOS A CA'!Q154+'INGRESO A PS DE CA'!Q154</f>
        <v>5.3221999999999996</v>
      </c>
      <c r="R154" s="322">
        <f>+'RECHAZADOS A CA'!R154+'INGRESO A PS DE CA'!R154</f>
        <v>5.3304800000000006</v>
      </c>
      <c r="S154" s="322">
        <f>+'RECHAZADOS A CA'!S154+'INGRESO A PS DE CA'!S154</f>
        <v>5.3396800000000004</v>
      </c>
      <c r="T154" s="322">
        <f>+'RECHAZADOS A CA'!T154+'INGRESO A PS DE CA'!T154</f>
        <v>5.3479599999999996</v>
      </c>
      <c r="U154" s="322">
        <f>+'RECHAZADOS A CA'!U154+'INGRESO A PS DE CA'!U154</f>
        <v>5.3571599999999995</v>
      </c>
      <c r="V154" s="322">
        <f>+'RECHAZADOS A CA'!V154+'INGRESO A PS DE CA'!V154</f>
        <v>5.3654400000000004</v>
      </c>
      <c r="W154" s="322">
        <f>+'RECHAZADOS A CA'!W154+'INGRESO A PS DE CA'!W154</f>
        <v>5.3737200000000005</v>
      </c>
      <c r="X154" s="322">
        <f>+'RECHAZADOS A CA'!X154+'INGRESO A PS DE CA'!X154</f>
        <v>5.3829200000000004</v>
      </c>
      <c r="Y154" s="322">
        <f>+'RECHAZADOS A CA'!Y154+'INGRESO A PS DE CA'!Y154</f>
        <v>5.3911999999999995</v>
      </c>
      <c r="Z154" s="322">
        <f>+'RECHAZADOS A CA'!Z154+'INGRESO A PS DE CA'!Z154</f>
        <v>5.4004000000000003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28"/>
      <c r="E155" s="278"/>
      <c r="F155" s="263"/>
      <c r="G155" s="322">
        <f>+'RECHAZADOS A CA'!G155+'INGRESO A PS DE CA'!G155</f>
        <v>11.697800000000001</v>
      </c>
      <c r="H155" s="322">
        <f>+'RECHAZADOS A CA'!H155+'INGRESO A PS DE CA'!H155</f>
        <v>11.785200000000001</v>
      </c>
      <c r="I155" s="322">
        <f>+'RECHAZADOS A CA'!I155+'INGRESO A PS DE CA'!I155</f>
        <v>11.87444</v>
      </c>
      <c r="J155" s="322">
        <f>+'RECHAZADOS A CA'!J155+'INGRESO A PS DE CA'!J155</f>
        <v>11.962759999999999</v>
      </c>
      <c r="K155" s="322">
        <f>+'RECHAZADOS A CA'!K155+'INGRESO A PS DE CA'!K155</f>
        <v>12.05292</v>
      </c>
      <c r="L155" s="322">
        <f>+'RECHAZADOS A CA'!L155+'INGRESO A PS DE CA'!L155</f>
        <v>12.144</v>
      </c>
      <c r="M155" s="322">
        <f>+'RECHAZADOS A CA'!M155+'INGRESO A PS DE CA'!M155</f>
        <v>12.23508</v>
      </c>
      <c r="N155" s="322">
        <f>+'RECHAZADOS A CA'!N155+'INGRESO A PS DE CA'!N155</f>
        <v>12.327080000000002</v>
      </c>
      <c r="O155" s="322">
        <f>+'RECHAZADOS A CA'!O155+'INGRESO A PS DE CA'!O155</f>
        <v>12.419080000000001</v>
      </c>
      <c r="P155" s="322">
        <f>+'RECHAZADOS A CA'!P155+'INGRESO A PS DE CA'!P155</f>
        <v>12.512919999999999</v>
      </c>
      <c r="Q155" s="322">
        <f>+'RECHAZADOS A CA'!Q155+'INGRESO A PS DE CA'!Q155</f>
        <v>12.606759999999998</v>
      </c>
      <c r="R155" s="322">
        <f>+'RECHAZADOS A CA'!R155+'INGRESO A PS DE CA'!R155</f>
        <v>12.70152</v>
      </c>
      <c r="S155" s="322">
        <f>+'RECHAZADOS A CA'!S155+'INGRESO A PS DE CA'!S155</f>
        <v>12.796280000000003</v>
      </c>
      <c r="T155" s="322">
        <f>+'RECHAZADOS A CA'!T155+'INGRESO A PS DE CA'!T155</f>
        <v>12.892880000000002</v>
      </c>
      <c r="U155" s="322">
        <f>+'RECHAZADOS A CA'!U155+'INGRESO A PS DE CA'!U155</f>
        <v>12.98948</v>
      </c>
      <c r="V155" s="322">
        <f>+'RECHAZADOS A CA'!V155+'INGRESO A PS DE CA'!V155</f>
        <v>13.087</v>
      </c>
      <c r="W155" s="322">
        <f>+'RECHAZADOS A CA'!W155+'INGRESO A PS DE CA'!W155</f>
        <v>13.18544</v>
      </c>
      <c r="X155" s="322">
        <f>+'RECHAZADOS A CA'!X155+'INGRESO A PS DE CA'!X155</f>
        <v>13.284800000000001</v>
      </c>
      <c r="Y155" s="322">
        <f>+'RECHAZADOS A CA'!Y155+'INGRESO A PS DE CA'!Y155</f>
        <v>13.384160000000001</v>
      </c>
      <c r="Z155" s="322">
        <f>+'RECHAZADOS A CA'!Z155+'INGRESO A PS DE CA'!Z155</f>
        <v>13.484440000000001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28"/>
      <c r="E156" s="278"/>
      <c r="F156" s="263"/>
      <c r="G156" s="322">
        <f>+'RECHAZADOS A CA'!G156+'INGRESO A PS DE CA'!G156</f>
        <v>3.7618800000000001</v>
      </c>
      <c r="H156" s="322">
        <f>+'RECHAZADOS A CA'!H156+'INGRESO A PS DE CA'!H156</f>
        <v>3.9146000000000005</v>
      </c>
      <c r="I156" s="322">
        <f>+'RECHAZADOS A CA'!I156+'INGRESO A PS DE CA'!I156</f>
        <v>4.0728400000000002</v>
      </c>
      <c r="J156" s="322">
        <f>+'RECHAZADOS A CA'!J156+'INGRESO A PS DE CA'!J156</f>
        <v>4.2384400000000007</v>
      </c>
      <c r="K156" s="322">
        <f>+'RECHAZADOS A CA'!K156+'INGRESO A PS DE CA'!K156</f>
        <v>4.4095600000000008</v>
      </c>
      <c r="L156" s="322">
        <f>+'RECHAZADOS A CA'!L156+'INGRESO A PS DE CA'!L156</f>
        <v>4.5889600000000002</v>
      </c>
      <c r="M156" s="322">
        <f>+'RECHAZADOS A CA'!M156+'INGRESO A PS DE CA'!M156</f>
        <v>4.7747999999999999</v>
      </c>
      <c r="N156" s="322">
        <f>+'RECHAZADOS A CA'!N156+'INGRESO A PS DE CA'!N156</f>
        <v>4.968</v>
      </c>
      <c r="O156" s="322">
        <f>+'RECHAZADOS A CA'!O156+'INGRESO A PS DE CA'!O156</f>
        <v>5.1694800000000001</v>
      </c>
      <c r="P156" s="322">
        <f>+'RECHAZADOS A CA'!P156+'INGRESO A PS DE CA'!P156</f>
        <v>5.3792399999999994</v>
      </c>
      <c r="Q156" s="322">
        <f>+'RECHAZADOS A CA'!Q156+'INGRESO A PS DE CA'!Q156</f>
        <v>5.5972800000000005</v>
      </c>
      <c r="R156" s="322">
        <f>+'RECHAZADOS A CA'!R156+'INGRESO A PS DE CA'!R156</f>
        <v>5.8245200000000006</v>
      </c>
      <c r="S156" s="322">
        <f>+'RECHAZADOS A CA'!S156+'INGRESO A PS DE CA'!S156</f>
        <v>6.0600399999999999</v>
      </c>
      <c r="T156" s="322">
        <f>+'RECHAZADOS A CA'!T156+'INGRESO A PS DE CA'!T156</f>
        <v>6.3056800000000006</v>
      </c>
      <c r="U156" s="322">
        <f>+'RECHAZADOS A CA'!U156+'INGRESO A PS DE CA'!U156</f>
        <v>6.561440000000001</v>
      </c>
      <c r="V156" s="322">
        <f>+'RECHAZADOS A CA'!V156+'INGRESO A PS DE CA'!V156</f>
        <v>6.8273200000000003</v>
      </c>
      <c r="W156" s="322">
        <f>+'RECHAZADOS A CA'!W156+'INGRESO A PS DE CA'!W156</f>
        <v>7.1042400000000008</v>
      </c>
      <c r="X156" s="322">
        <f>+'RECHAZADOS A CA'!X156+'INGRESO A PS DE CA'!X156</f>
        <v>7.3922000000000008</v>
      </c>
      <c r="Y156" s="322">
        <f>+'RECHAZADOS A CA'!Y156+'INGRESO A PS DE CA'!Y156</f>
        <v>7.692120000000001</v>
      </c>
      <c r="Z156" s="322">
        <f>+'RECHAZADOS A CA'!Z156+'INGRESO A PS DE CA'!Z156</f>
        <v>8.0039999999999996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28"/>
      <c r="E157" s="278"/>
      <c r="F157" s="263"/>
      <c r="G157" s="322">
        <f>+'RECHAZADOS A CA'!G157+'INGRESO A PS DE CA'!G157</f>
        <v>6.8540000000000001</v>
      </c>
      <c r="H157" s="322">
        <f>+'RECHAZADOS A CA'!H157+'INGRESO A PS DE CA'!H157</f>
        <v>6.9956800000000001</v>
      </c>
      <c r="I157" s="322">
        <f>+'RECHAZADOS A CA'!I157+'INGRESO A PS DE CA'!I157</f>
        <v>7.1401199999999996</v>
      </c>
      <c r="J157" s="322">
        <f>+'RECHAZADOS A CA'!J157+'INGRESO A PS DE CA'!J157</f>
        <v>7.2873200000000002</v>
      </c>
      <c r="K157" s="322">
        <f>+'RECHAZADOS A CA'!K157+'INGRESO A PS DE CA'!K157</f>
        <v>7.4372799999999994</v>
      </c>
      <c r="L157" s="322">
        <f>+'RECHAZADOS A CA'!L157+'INGRESO A PS DE CA'!L157</f>
        <v>7.5909200000000006</v>
      </c>
      <c r="M157" s="322">
        <f>+'RECHAZADOS A CA'!M157+'INGRESO A PS DE CA'!M157</f>
        <v>7.7482400000000009</v>
      </c>
      <c r="N157" s="322">
        <f>+'RECHAZADOS A CA'!N157+'INGRESO A PS DE CA'!N157</f>
        <v>7.9083200000000007</v>
      </c>
      <c r="O157" s="322">
        <f>+'RECHAZADOS A CA'!O157+'INGRESO A PS DE CA'!O157</f>
        <v>8.0711600000000008</v>
      </c>
      <c r="P157" s="322">
        <f>+'RECHAZADOS A CA'!P157+'INGRESO A PS DE CA'!P157</f>
        <v>8.237680000000001</v>
      </c>
      <c r="Q157" s="322">
        <f>+'RECHAZADOS A CA'!Q157+'INGRESO A PS DE CA'!Q157</f>
        <v>8.4078800000000005</v>
      </c>
      <c r="R157" s="322">
        <f>+'RECHAZADOS A CA'!R157+'INGRESO A PS DE CA'!R157</f>
        <v>8.5817600000000009</v>
      </c>
      <c r="S157" s="322">
        <f>+'RECHAZADOS A CA'!S157+'INGRESO A PS DE CA'!S157</f>
        <v>8.7584</v>
      </c>
      <c r="T157" s="322">
        <f>+'RECHAZADOS A CA'!T157+'INGRESO A PS DE CA'!T157</f>
        <v>8.9396400000000007</v>
      </c>
      <c r="U157" s="322">
        <f>+'RECHAZADOS A CA'!U157+'INGRESO A PS DE CA'!U157</f>
        <v>9.1245599999999989</v>
      </c>
      <c r="V157" s="322">
        <f>+'RECHAZADOS A CA'!V157+'INGRESO A PS DE CA'!V157</f>
        <v>9.3122399999999992</v>
      </c>
      <c r="W157" s="322">
        <f>+'RECHAZADOS A CA'!W157+'INGRESO A PS DE CA'!W157</f>
        <v>9.5045200000000012</v>
      </c>
      <c r="X157" s="322">
        <f>+'RECHAZADOS A CA'!X157+'INGRESO A PS DE CA'!X157</f>
        <v>9.7013999999999996</v>
      </c>
      <c r="Y157" s="322">
        <f>+'RECHAZADOS A CA'!Y157+'INGRESO A PS DE CA'!Y157</f>
        <v>9.9010400000000001</v>
      </c>
      <c r="Z157" s="322">
        <f>+'RECHAZADOS A CA'!Z157+'INGRESO A PS DE CA'!Z157</f>
        <v>10.106200000000001</v>
      </c>
    </row>
    <row r="158" spans="1:26" ht="24.95" customHeigh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28"/>
      <c r="E158" s="278"/>
      <c r="F158" s="263"/>
      <c r="G158" s="322">
        <f>+'RECHAZADOS A CA'!G158+'INGRESO A PS DE CA'!G158</f>
        <v>19.073640000000001</v>
      </c>
      <c r="H158" s="322">
        <f>+'RECHAZADOS A CA'!H158+'INGRESO A PS DE CA'!H158</f>
        <v>19.851680000000002</v>
      </c>
      <c r="I158" s="322">
        <f>+'RECHAZADOS A CA'!I158+'INGRESO A PS DE CA'!I158</f>
        <v>20.660460000000004</v>
      </c>
      <c r="J158" s="322">
        <f>+'RECHAZADOS A CA'!J158+'INGRESO A PS DE CA'!J158</f>
        <v>21.503160000000001</v>
      </c>
      <c r="K158" s="322">
        <f>+'RECHAZADOS A CA'!K158+'INGRESO A PS DE CA'!K158</f>
        <v>22.379780000000004</v>
      </c>
      <c r="L158" s="322">
        <f>+'RECHAZADOS A CA'!L158+'INGRESO A PS DE CA'!L158</f>
        <v>23.292440000000003</v>
      </c>
      <c r="M158" s="322">
        <f>+'RECHAZADOS A CA'!M158+'INGRESO A PS DE CA'!M158</f>
        <v>24.2422</v>
      </c>
      <c r="N158" s="322">
        <f>+'RECHAZADOS A CA'!N158+'INGRESO A PS DE CA'!N158</f>
        <v>25.230120000000003</v>
      </c>
      <c r="O158" s="322">
        <f>+'RECHAZADOS A CA'!O158+'INGRESO A PS DE CA'!O158</f>
        <v>26.25938</v>
      </c>
      <c r="P158" s="322">
        <f>+'RECHAZADOS A CA'!P158+'INGRESO A PS DE CA'!P158</f>
        <v>27.329979999999999</v>
      </c>
      <c r="Q158" s="322">
        <f>+'RECHAZADOS A CA'!Q158+'INGRESO A PS DE CA'!Q158</f>
        <v>28.444040000000001</v>
      </c>
      <c r="R158" s="322">
        <f>+'RECHAZADOS A CA'!R158+'INGRESO A PS DE CA'!R158</f>
        <v>29.603680000000004</v>
      </c>
      <c r="S158" s="322">
        <f>+'RECHAZADOS A CA'!S158+'INGRESO A PS DE CA'!S158</f>
        <v>30.811019999999999</v>
      </c>
      <c r="T158" s="322">
        <f>+'RECHAZADOS A CA'!T158+'INGRESO A PS DE CA'!T158</f>
        <v>32.067120000000003</v>
      </c>
      <c r="U158" s="322">
        <f>+'RECHAZADOS A CA'!U158+'INGRESO A PS DE CA'!U158</f>
        <v>33.374099999999999</v>
      </c>
      <c r="V158" s="322">
        <f>+'RECHAZADOS A CA'!V158+'INGRESO A PS DE CA'!V158</f>
        <v>34.735140000000001</v>
      </c>
      <c r="W158" s="322">
        <f>+'RECHAZADOS A CA'!W158+'INGRESO A PS DE CA'!W158</f>
        <v>36.151300000000006</v>
      </c>
      <c r="X158" s="322">
        <f>+'RECHAZADOS A CA'!X158+'INGRESO A PS DE CA'!X158</f>
        <v>37.62576</v>
      </c>
      <c r="Y158" s="322">
        <f>+'RECHAZADOS A CA'!Y158+'INGRESO A PS DE CA'!Y158</f>
        <v>39.159579999999998</v>
      </c>
      <c r="Z158" s="322">
        <f>+'RECHAZADOS A CA'!Z158+'INGRESO A PS DE CA'!Z158</f>
        <v>40.755940000000002</v>
      </c>
    </row>
  </sheetData>
  <autoFilter ref="A4:Z140" xr:uid="{00000000-0009-0000-0000-000017000000}">
    <filterColumn colId="1" showButton="0"/>
  </autoFilter>
  <mergeCells count="2">
    <mergeCell ref="F2:Z2"/>
    <mergeCell ref="B4:C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>
    <tabColor theme="6" tint="-0.249977111117893"/>
  </sheetPr>
  <dimension ref="A1:Z160"/>
  <sheetViews>
    <sheetView view="pageBreakPreview" zoomScale="80" zoomScaleSheetLayoutView="80" workbookViewId="0">
      <pane xSplit="3" ySplit="1" topLeftCell="D2" activePane="bottomRight" state="frozen"/>
      <selection activeCell="F10" sqref="F10"/>
      <selection pane="topRight" activeCell="F10" sqref="F10"/>
      <selection pane="bottomLeft" activeCell="F10" sqref="F10"/>
      <selection pane="bottomRight" activeCell="G5" sqref="G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9.1406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287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33.75" customHeight="1" thickBot="1">
      <c r="A2" s="334"/>
      <c r="B2" s="273"/>
      <c r="C2" s="273"/>
      <c r="D2" s="273"/>
      <c r="E2" s="273"/>
      <c r="F2" s="972" t="s">
        <v>288</v>
      </c>
      <c r="G2" s="973"/>
      <c r="H2" s="973"/>
      <c r="I2" s="973"/>
      <c r="J2" s="973"/>
      <c r="K2" s="973"/>
      <c r="L2" s="973"/>
      <c r="M2" s="973"/>
      <c r="N2" s="973"/>
      <c r="O2" s="973"/>
      <c r="P2" s="973"/>
      <c r="Q2" s="973"/>
      <c r="R2" s="973"/>
      <c r="S2" s="973"/>
      <c r="T2" s="973"/>
      <c r="U2" s="973"/>
      <c r="V2" s="973"/>
      <c r="W2" s="973"/>
      <c r="X2" s="973"/>
      <c r="Y2" s="973"/>
      <c r="Z2" s="974"/>
    </row>
    <row r="3" spans="1:26" ht="48" customHeight="1" thickBot="1">
      <c r="A3" s="300"/>
      <c r="B3" s="301"/>
      <c r="C3" s="302"/>
      <c r="D3" s="335"/>
      <c r="E3" s="303"/>
      <c r="F3" s="304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</row>
    <row r="4" spans="1:26" ht="63.75" customHeight="1" thickBot="1">
      <c r="A4" s="306" t="s">
        <v>28</v>
      </c>
      <c r="B4" s="971" t="s">
        <v>22</v>
      </c>
      <c r="C4" s="971"/>
      <c r="D4" s="336" t="s">
        <v>289</v>
      </c>
      <c r="E4" s="308"/>
      <c r="F4" s="309"/>
      <c r="G4" s="310">
        <v>2026</v>
      </c>
      <c r="H4" s="310">
        <v>2027</v>
      </c>
      <c r="I4" s="310">
        <f t="shared" ref="I4:Z4" si="0">+H4+1</f>
        <v>2028</v>
      </c>
      <c r="J4" s="310">
        <f t="shared" si="0"/>
        <v>2029</v>
      </c>
      <c r="K4" s="310">
        <f t="shared" si="0"/>
        <v>2030</v>
      </c>
      <c r="L4" s="310">
        <f t="shared" si="0"/>
        <v>2031</v>
      </c>
      <c r="M4" s="310">
        <f t="shared" si="0"/>
        <v>2032</v>
      </c>
      <c r="N4" s="310">
        <f t="shared" si="0"/>
        <v>2033</v>
      </c>
      <c r="O4" s="310">
        <f t="shared" si="0"/>
        <v>2034</v>
      </c>
      <c r="P4" s="310">
        <f t="shared" si="0"/>
        <v>2035</v>
      </c>
      <c r="Q4" s="310">
        <f t="shared" si="0"/>
        <v>2036</v>
      </c>
      <c r="R4" s="310">
        <f t="shared" si="0"/>
        <v>2037</v>
      </c>
      <c r="S4" s="310">
        <f t="shared" si="0"/>
        <v>2038</v>
      </c>
      <c r="T4" s="310">
        <f t="shared" si="0"/>
        <v>2039</v>
      </c>
      <c r="U4" s="310">
        <f t="shared" si="0"/>
        <v>2040</v>
      </c>
      <c r="V4" s="310">
        <f t="shared" si="0"/>
        <v>2041</v>
      </c>
      <c r="W4" s="310">
        <f t="shared" si="0"/>
        <v>2042</v>
      </c>
      <c r="X4" s="310">
        <f t="shared" si="0"/>
        <v>2043</v>
      </c>
      <c r="Y4" s="310">
        <f t="shared" si="0"/>
        <v>2044</v>
      </c>
      <c r="Z4" s="310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37">
        <f>+'SEP ORIGEN'!P5</f>
        <v>333.27091349999995</v>
      </c>
      <c r="E5" s="277"/>
      <c r="F5" s="259"/>
      <c r="G5" s="329">
        <f>+'SEP ORIGEN'!G5-'GENERADO PS locales'!G165</f>
        <v>8.8605105000000002</v>
      </c>
      <c r="H5" s="329">
        <f>+'SEP ORIGEN'!H5-'GENERADO PS locales'!H165</f>
        <v>71.453498400000001</v>
      </c>
      <c r="I5" s="329">
        <f>+'SEP ORIGEN'!I5-'GENERADO PS locales'!I165</f>
        <v>135.0514215</v>
      </c>
      <c r="J5" s="329">
        <f>+'SEP ORIGEN'!J5-'GENERADO PS locales'!J165</f>
        <v>226.893675</v>
      </c>
      <c r="K5" s="329">
        <f>+'SEP ORIGEN'!K5-'GENERADO PS locales'!K165</f>
        <v>320.20253999999994</v>
      </c>
      <c r="L5" s="329">
        <f>+'SEP ORIGEN'!L5-'GENERADO PS locales'!L165</f>
        <v>322.77466199999998</v>
      </c>
      <c r="M5" s="329">
        <f>+'SEP ORIGEN'!M5-'GENERADO PS locales'!M165</f>
        <v>325.36751099999998</v>
      </c>
      <c r="N5" s="329">
        <f>+'SEP ORIGEN'!N5-'GENERADO PS locales'!N165</f>
        <v>327.98108699999995</v>
      </c>
      <c r="O5" s="329">
        <f>+'SEP ORIGEN'!O5-'GENERADO PS locales'!O165</f>
        <v>330.61538999999993</v>
      </c>
      <c r="P5" s="329">
        <f>+'SEP ORIGEN'!P5-'GENERADO PS locales'!P165</f>
        <v>333.27091349999995</v>
      </c>
      <c r="Q5" s="329">
        <f>+'SEP ORIGEN'!Q5-'GENERADO PS locales'!Q165</f>
        <v>335.948151</v>
      </c>
      <c r="R5" s="329">
        <f>+'SEP ORIGEN'!R5-'GENERADO PS locales'!R165</f>
        <v>338.64660899999996</v>
      </c>
      <c r="S5" s="329">
        <f>+'SEP ORIGEN'!S5-'GENERADO PS locales'!S165</f>
        <v>341.3662875</v>
      </c>
      <c r="T5" s="329">
        <f>+'SEP ORIGEN'!T5-'GENERADO PS locales'!T165</f>
        <v>344.10866699999997</v>
      </c>
      <c r="U5" s="329">
        <f>+'SEP ORIGEN'!U5-'GENERADO PS locales'!U165</f>
        <v>346.87276049999991</v>
      </c>
      <c r="V5" s="329">
        <f>+'SEP ORIGEN'!V5-'GENERADO PS locales'!V165</f>
        <v>349.65856799999995</v>
      </c>
      <c r="W5" s="329">
        <f>+'SEP ORIGEN'!W5-'GENERADO PS locales'!W165</f>
        <v>352.46756999999997</v>
      </c>
      <c r="X5" s="329">
        <f>+'SEP ORIGEN'!X5-'GENERADO PS locales'!X165</f>
        <v>355.29828599999996</v>
      </c>
      <c r="Y5" s="329">
        <f>+'SEP ORIGEN'!Y5-'GENERADO PS locales'!Y165</f>
        <v>358.15219649999995</v>
      </c>
      <c r="Z5" s="329">
        <f>+'SEP ORIGEN'!Z5-'GENERADO PS locales'!Z165</f>
        <v>361.02930149999992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38">
        <f>+'SEP ORIGEN'!P6</f>
        <v>204.16539149999997</v>
      </c>
      <c r="E6" s="278"/>
      <c r="F6" s="263"/>
      <c r="G6" s="322">
        <f>+'SEP ORIGEN'!G6-'GENERADO PS locales'!G166</f>
        <v>5.4253274999999999</v>
      </c>
      <c r="H6" s="322">
        <f>+'SEP ORIGEN'!H6-'GENERADO PS locales'!H166</f>
        <v>43.742260800000004</v>
      </c>
      <c r="I6" s="322">
        <f>+'SEP ORIGEN'!I6-'GENERADO PS locales'!I166</f>
        <v>82.663928999999996</v>
      </c>
      <c r="J6" s="322">
        <f>+'SEP ORIGEN'!J6-'GENERADO PS locales'!J166</f>
        <v>138.86948999999998</v>
      </c>
      <c r="K6" s="322">
        <f>+'SEP ORIGEN'!K6-'GENERADO PS locales'!K166</f>
        <v>195.97674599999996</v>
      </c>
      <c r="L6" s="322">
        <f>+'SEP ORIGEN'!L6-'GENERADO PS locales'!L166</f>
        <v>197.561868</v>
      </c>
      <c r="M6" s="322">
        <f>+'SEP ORIGEN'!M6-'GENERADO PS locales'!M166</f>
        <v>199.1731455</v>
      </c>
      <c r="N6" s="322">
        <f>+'SEP ORIGEN'!N6-'GENERADO PS locales'!N166</f>
        <v>200.81008499999999</v>
      </c>
      <c r="O6" s="322">
        <f>+'SEP ORIGEN'!O6-'GENERADO PS locales'!O166</f>
        <v>202.47416699999999</v>
      </c>
      <c r="P6" s="322">
        <f>+'SEP ORIGEN'!P6-'GENERADO PS locales'!P166</f>
        <v>204.16539149999997</v>
      </c>
      <c r="Q6" s="322">
        <f>+'SEP ORIGEN'!Q6-'GENERADO PS locales'!Q166</f>
        <v>205.884252</v>
      </c>
      <c r="R6" s="322">
        <f>+'SEP ORIGEN'!R6-'GENERADO PS locales'!R166</f>
        <v>207.63074849999995</v>
      </c>
      <c r="S6" s="322">
        <f>+'SEP ORIGEN'!S6-'GENERADO PS locales'!S166</f>
        <v>209.40586799999997</v>
      </c>
      <c r="T6" s="322">
        <f>+'SEP ORIGEN'!T6-'GENERADO PS locales'!T166</f>
        <v>211.21010399999994</v>
      </c>
      <c r="U6" s="322">
        <f>+'SEP ORIGEN'!U6-'GENERADO PS locales'!U166</f>
        <v>213.04395</v>
      </c>
      <c r="V6" s="322">
        <f>+'SEP ORIGEN'!V6-'GENERADO PS locales'!V166</f>
        <v>214.90740599999995</v>
      </c>
      <c r="W6" s="322">
        <f>+'SEP ORIGEN'!W6-'GENERADO PS locales'!W166</f>
        <v>216.80145899999997</v>
      </c>
      <c r="X6" s="322">
        <f>+'SEP ORIGEN'!X6-'GENERADO PS locales'!X166</f>
        <v>218.72610899999998</v>
      </c>
      <c r="Y6" s="322">
        <f>+'SEP ORIGEN'!Y6-'GENERADO PS locales'!Y166</f>
        <v>220.682343</v>
      </c>
      <c r="Z6" s="322">
        <f>+'SEP ORIGEN'!Z6-'GENERADO PS locales'!Z166</f>
        <v>222.67065449999998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38">
        <f>+'SEP ORIGEN'!P7</f>
        <v>212.15663699999996</v>
      </c>
      <c r="E7" s="278"/>
      <c r="F7" s="263"/>
      <c r="G7" s="322">
        <f>+'SEP ORIGEN'!G7-'GENERADO PS locales'!G167</f>
        <v>5.5261284000000002</v>
      </c>
      <c r="H7" s="322">
        <f>+'SEP ORIGEN'!H7-'GENERADO PS locales'!H167</f>
        <v>44.684930400000006</v>
      </c>
      <c r="I7" s="322">
        <f>+'SEP ORIGEN'!I7-'GENERADO PS locales'!I167</f>
        <v>84.676774499999979</v>
      </c>
      <c r="J7" s="322">
        <f>+'SEP ORIGEN'!J7-'GENERADO PS locales'!J167</f>
        <v>142.61550749999998</v>
      </c>
      <c r="K7" s="322">
        <f>+'SEP ORIGEN'!K7-'GENERADO PS locales'!K167</f>
        <v>201.7442805</v>
      </c>
      <c r="L7" s="322">
        <f>+'SEP ORIGEN'!L7-'GENERADO PS locales'!L167</f>
        <v>203.82685049999995</v>
      </c>
      <c r="M7" s="322">
        <f>+'SEP ORIGEN'!M7-'GENERADO PS locales'!M167</f>
        <v>205.90942049999998</v>
      </c>
      <c r="N7" s="322">
        <f>+'SEP ORIGEN'!N7-'GENERADO PS locales'!N167</f>
        <v>207.99199049999999</v>
      </c>
      <c r="O7" s="322">
        <f>+'SEP ORIGEN'!O7-'GENERADO PS locales'!O167</f>
        <v>210.07406700000001</v>
      </c>
      <c r="P7" s="322">
        <f>+'SEP ORIGEN'!P7-'GENERADO PS locales'!P167</f>
        <v>212.15663699999996</v>
      </c>
      <c r="Q7" s="322">
        <f>+'SEP ORIGEN'!Q7-'GENERADO PS locales'!Q167</f>
        <v>214.23920699999999</v>
      </c>
      <c r="R7" s="322">
        <f>+'SEP ORIGEN'!R7-'GENERADO PS locales'!R167</f>
        <v>216.321777</v>
      </c>
      <c r="S7" s="322">
        <f>+'SEP ORIGEN'!S7-'GENERADO PS locales'!S167</f>
        <v>218.40434699999994</v>
      </c>
      <c r="T7" s="322">
        <f>+'SEP ORIGEN'!T7-'GENERADO PS locales'!T167</f>
        <v>220.48691700000001</v>
      </c>
      <c r="U7" s="322">
        <f>+'SEP ORIGEN'!U7-'GENERADO PS locales'!U167</f>
        <v>222.56948699999995</v>
      </c>
      <c r="V7" s="322">
        <f>+'SEP ORIGEN'!V7-'GENERADO PS locales'!V167</f>
        <v>224.65156350000001</v>
      </c>
      <c r="W7" s="322">
        <f>+'SEP ORIGEN'!W7-'GENERADO PS locales'!W167</f>
        <v>226.73413349999996</v>
      </c>
      <c r="X7" s="322">
        <f>+'SEP ORIGEN'!X7-'GENERADO PS locales'!X167</f>
        <v>228.81670349999999</v>
      </c>
      <c r="Y7" s="322">
        <f>+'SEP ORIGEN'!Y7-'GENERADO PS locales'!Y167</f>
        <v>230.89927349999996</v>
      </c>
      <c r="Z7" s="322">
        <f>+'SEP ORIGEN'!Z7-'GENERADO PS locales'!Z167</f>
        <v>232.98184349999994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38">
        <f>+'SEP ORIGEN'!P8</f>
        <v>214.22884349999995</v>
      </c>
      <c r="E8" s="278"/>
      <c r="F8" s="263"/>
      <c r="G8" s="322">
        <f>+'SEP ORIGEN'!G8-'GENERADO PS locales'!G168</f>
        <v>5.4290357999999994</v>
      </c>
      <c r="H8" s="322">
        <f>+'SEP ORIGEN'!H8-'GENERADO PS locales'!H168</f>
        <v>44.047159199999996</v>
      </c>
      <c r="I8" s="322">
        <f>+'SEP ORIGEN'!I8-'GENERADO PS locales'!I168</f>
        <v>83.74152149999999</v>
      </c>
      <c r="J8" s="322">
        <f>+'SEP ORIGEN'!J8-'GENERADO PS locales'!J168</f>
        <v>141.49068</v>
      </c>
      <c r="K8" s="322">
        <f>+'SEP ORIGEN'!K8-'GENERADO PS locales'!K168</f>
        <v>200.77751399999994</v>
      </c>
      <c r="L8" s="322">
        <f>+'SEP ORIGEN'!L8-'GENERADO PS locales'!L168</f>
        <v>203.46758249999996</v>
      </c>
      <c r="M8" s="322">
        <f>+'SEP ORIGEN'!M8-'GENERADO PS locales'!M168</f>
        <v>206.15814449999999</v>
      </c>
      <c r="N8" s="322">
        <f>+'SEP ORIGEN'!N8-'GENERADO PS locales'!N168</f>
        <v>208.84821299999996</v>
      </c>
      <c r="O8" s="322">
        <f>+'SEP ORIGEN'!O8-'GENERADO PS locales'!O168</f>
        <v>211.53828149999998</v>
      </c>
      <c r="P8" s="322">
        <f>+'SEP ORIGEN'!P8-'GENERADO PS locales'!P168</f>
        <v>214.22884349999995</v>
      </c>
      <c r="Q8" s="322">
        <f>+'SEP ORIGEN'!Q8-'GENERADO PS locales'!Q168</f>
        <v>216.91891199999995</v>
      </c>
      <c r="R8" s="322">
        <f>+'SEP ORIGEN'!R8-'GENERADO PS locales'!R168</f>
        <v>219.60947400000001</v>
      </c>
      <c r="S8" s="322">
        <f>+'SEP ORIGEN'!S8-'GENERADO PS locales'!S168</f>
        <v>222.29954249999997</v>
      </c>
      <c r="T8" s="322">
        <f>+'SEP ORIGEN'!T8-'GENERADO PS locales'!T168</f>
        <v>224.9901045</v>
      </c>
      <c r="U8" s="322">
        <f>+'SEP ORIGEN'!U8-'GENERADO PS locales'!U168</f>
        <v>227.68017299999994</v>
      </c>
      <c r="V8" s="322">
        <f>+'SEP ORIGEN'!V8-'GENERADO PS locales'!V168</f>
        <v>230.37024149999993</v>
      </c>
      <c r="W8" s="322">
        <f>+'SEP ORIGEN'!W8-'GENERADO PS locales'!W168</f>
        <v>233.06080349999999</v>
      </c>
      <c r="X8" s="322">
        <f>+'SEP ORIGEN'!X8-'GENERADO PS locales'!X168</f>
        <v>235.75087199999996</v>
      </c>
      <c r="Y8" s="322">
        <f>+'SEP ORIGEN'!Y8-'GENERADO PS locales'!Y168</f>
        <v>238.44143399999999</v>
      </c>
      <c r="Z8" s="322">
        <f>+'SEP ORIGEN'!Z8-'GENERADO PS locales'!Z168</f>
        <v>241.13150249999993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38">
        <f>+'SEP ORIGEN'!P9</f>
        <v>100.07102700000002</v>
      </c>
      <c r="E9" s="278"/>
      <c r="F9" s="263"/>
      <c r="G9" s="322">
        <f>+'SEP ORIGEN'!G9-'GENERADO PS locales'!G169</f>
        <v>2.4269166000000002</v>
      </c>
      <c r="H9" s="322">
        <f>+'SEP ORIGEN'!H9-'GENERADO PS locales'!H169</f>
        <v>19.799587200000001</v>
      </c>
      <c r="I9" s="322">
        <f>+'SEP ORIGEN'!I9-'GENERADO PS locales'!I169</f>
        <v>37.844549999999998</v>
      </c>
      <c r="J9" s="322">
        <f>+'SEP ORIGEN'!J9-'GENERADO PS locales'!J169</f>
        <v>64.275044999999992</v>
      </c>
      <c r="K9" s="322">
        <f>+'SEP ORIGEN'!K9-'GENERADO PS locales'!K169</f>
        <v>91.666176000000007</v>
      </c>
      <c r="L9" s="322">
        <f>+'SEP ORIGEN'!L9-'GENERADO PS locales'!L169</f>
        <v>93.34693200000001</v>
      </c>
      <c r="M9" s="322">
        <f>+'SEP ORIGEN'!M9-'GENERADO PS locales'!M169</f>
        <v>95.028045000000006</v>
      </c>
      <c r="N9" s="322">
        <f>+'SEP ORIGEN'!N9-'GENERADO PS locales'!N169</f>
        <v>96.709158000000002</v>
      </c>
      <c r="O9" s="322">
        <f>+'SEP ORIGEN'!O9-'GENERADO PS locales'!O169</f>
        <v>98.38991399999999</v>
      </c>
      <c r="P9" s="322">
        <f>+'SEP ORIGEN'!P9-'GENERADO PS locales'!P169</f>
        <v>100.07102700000002</v>
      </c>
      <c r="Q9" s="322">
        <f>+'SEP ORIGEN'!Q9-'GENERADO PS locales'!Q169</f>
        <v>101.75214000000001</v>
      </c>
      <c r="R9" s="322">
        <f>+'SEP ORIGEN'!R9-'GENERADO PS locales'!R169</f>
        <v>103.43325300000001</v>
      </c>
      <c r="S9" s="322">
        <f>+'SEP ORIGEN'!S9-'GENERADO PS locales'!S169</f>
        <v>105.114009</v>
      </c>
      <c r="T9" s="322">
        <f>+'SEP ORIGEN'!T9-'GENERADO PS locales'!T169</f>
        <v>106.79512199999999</v>
      </c>
      <c r="U9" s="322">
        <f>+'SEP ORIGEN'!U9-'GENERADO PS locales'!U169</f>
        <v>108.47623499999999</v>
      </c>
      <c r="V9" s="322">
        <f>+'SEP ORIGEN'!V9-'GENERADO PS locales'!V169</f>
        <v>110.15699099999999</v>
      </c>
      <c r="W9" s="322">
        <f>+'SEP ORIGEN'!W9-'GENERADO PS locales'!W169</f>
        <v>111.838104</v>
      </c>
      <c r="X9" s="322">
        <f>+'SEP ORIGEN'!X9-'GENERADO PS locales'!X169</f>
        <v>113.519217</v>
      </c>
      <c r="Y9" s="322">
        <f>+'SEP ORIGEN'!Y9-'GENERADO PS locales'!Y169</f>
        <v>115.199973</v>
      </c>
      <c r="Z9" s="322">
        <f>+'SEP ORIGEN'!Z9-'GENERADO PS locales'!Z169</f>
        <v>116.881086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38">
        <f>+'SEP ORIGEN'!P10</f>
        <v>324.57840449999998</v>
      </c>
      <c r="E10" s="278"/>
      <c r="F10" s="263"/>
      <c r="G10" s="322">
        <f>+'SEP ORIGEN'!G10-'GENERADO PS locales'!G170</f>
        <v>8.0958675000000007</v>
      </c>
      <c r="H10" s="322">
        <f>+'SEP ORIGEN'!H10-'GENERADO PS locales'!H170</f>
        <v>65.813836800000004</v>
      </c>
      <c r="I10" s="322">
        <f>+'SEP ORIGEN'!I10-'GENERADO PS locales'!I170</f>
        <v>125.36387549999998</v>
      </c>
      <c r="J10" s="322">
        <f>+'SEP ORIGEN'!J10-'GENERADO PS locales'!J170</f>
        <v>212.21169749999999</v>
      </c>
      <c r="K10" s="322">
        <f>+'SEP ORIGEN'!K10-'GENERADO PS locales'!K170</f>
        <v>301.67654999999996</v>
      </c>
      <c r="L10" s="322">
        <f>+'SEP ORIGEN'!L10-'GENERADO PS locales'!L170</f>
        <v>306.25721699999997</v>
      </c>
      <c r="M10" s="322">
        <f>+'SEP ORIGEN'!M10-'GENERADO PS locales'!M170</f>
        <v>310.83739049999997</v>
      </c>
      <c r="N10" s="322">
        <f>+'SEP ORIGEN'!N10-'GENERADO PS locales'!N170</f>
        <v>315.41756399999991</v>
      </c>
      <c r="O10" s="322">
        <f>+'SEP ORIGEN'!O10-'GENERADO PS locales'!O170</f>
        <v>319.99823099999992</v>
      </c>
      <c r="P10" s="322">
        <f>+'SEP ORIGEN'!P10-'GENERADO PS locales'!P170</f>
        <v>324.57840449999998</v>
      </c>
      <c r="Q10" s="322">
        <f>+'SEP ORIGEN'!Q10-'GENERADO PS locales'!Q170</f>
        <v>329.15907149999998</v>
      </c>
      <c r="R10" s="322">
        <f>+'SEP ORIGEN'!R10-'GENERADO PS locales'!R170</f>
        <v>333.73924499999993</v>
      </c>
      <c r="S10" s="322">
        <f>+'SEP ORIGEN'!S10-'GENERADO PS locales'!S170</f>
        <v>338.31941849999998</v>
      </c>
      <c r="T10" s="322">
        <f>+'SEP ORIGEN'!T10-'GENERADO PS locales'!T170</f>
        <v>342.90008549999999</v>
      </c>
      <c r="U10" s="322">
        <f>+'SEP ORIGEN'!U10-'GENERADO PS locales'!U170</f>
        <v>347.48025899999999</v>
      </c>
      <c r="V10" s="322">
        <f>+'SEP ORIGEN'!V10-'GENERADO PS locales'!V170</f>
        <v>352.06092599999999</v>
      </c>
      <c r="W10" s="322">
        <f>+'SEP ORIGEN'!W10-'GENERADO PS locales'!W170</f>
        <v>356.6410995</v>
      </c>
      <c r="X10" s="322">
        <f>+'SEP ORIGEN'!X10-'GENERADO PS locales'!X170</f>
        <v>361.22176649999994</v>
      </c>
      <c r="Y10" s="322">
        <f>+'SEP ORIGEN'!Y10-'GENERADO PS locales'!Y170</f>
        <v>365.80193999999989</v>
      </c>
      <c r="Z10" s="322">
        <f>+'SEP ORIGEN'!Z10-'GENERADO PS locales'!Z170</f>
        <v>370.38211349999995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38">
        <f>+'SEP ORIGEN'!P11</f>
        <v>232.78543049999999</v>
      </c>
      <c r="E11" s="278"/>
      <c r="F11" s="263"/>
      <c r="G11" s="322">
        <f>+'SEP ORIGEN'!G11-'GENERADO PS locales'!G171</f>
        <v>6.3207339000000005</v>
      </c>
      <c r="H11" s="322">
        <f>+'SEP ORIGEN'!H11-'GENERADO PS locales'!H171</f>
        <v>50.840764799999995</v>
      </c>
      <c r="I11" s="322">
        <f>+'SEP ORIGEN'!I11-'GENERADO PS locales'!I171</f>
        <v>95.850319499999998</v>
      </c>
      <c r="J11" s="322">
        <f>+'SEP ORIGEN'!J11-'GENERADO PS locales'!J171</f>
        <v>160.6381275</v>
      </c>
      <c r="K11" s="322">
        <f>+'SEP ORIGEN'!K11-'GENERADO PS locales'!K171</f>
        <v>226.15624499999996</v>
      </c>
      <c r="L11" s="322">
        <f>+'SEP ORIGEN'!L11-'GENERADO PS locales'!L171</f>
        <v>227.43934499999997</v>
      </c>
      <c r="M11" s="322">
        <f>+'SEP ORIGEN'!M11-'GENERADO PS locales'!M171</f>
        <v>228.74366549999996</v>
      </c>
      <c r="N11" s="322">
        <f>+'SEP ORIGEN'!N11-'GENERADO PS locales'!N171</f>
        <v>230.06920649999998</v>
      </c>
      <c r="O11" s="322">
        <f>+'SEP ORIGEN'!O11-'GENERADO PS locales'!O171</f>
        <v>231.41646149999997</v>
      </c>
      <c r="P11" s="322">
        <f>+'SEP ORIGEN'!P11-'GENERADO PS locales'!P171</f>
        <v>232.78543049999999</v>
      </c>
      <c r="Q11" s="322">
        <f>+'SEP ORIGEN'!Q11-'GENERADO PS locales'!Q171</f>
        <v>234.17710049999997</v>
      </c>
      <c r="R11" s="322">
        <f>+'SEP ORIGEN'!R11-'GENERADO PS locales'!R171</f>
        <v>235.59097799999998</v>
      </c>
      <c r="S11" s="322">
        <f>+'SEP ORIGEN'!S11-'GENERADO PS locales'!S171</f>
        <v>237.02804999999998</v>
      </c>
      <c r="T11" s="322">
        <f>+'SEP ORIGEN'!T11-'GENERADO PS locales'!T171</f>
        <v>238.48880999999994</v>
      </c>
      <c r="U11" s="322">
        <f>+'SEP ORIGEN'!U11-'GENERADO PS locales'!U171</f>
        <v>239.97325799999999</v>
      </c>
      <c r="V11" s="322">
        <f>+'SEP ORIGEN'!V11-'GENERADO PS locales'!V171</f>
        <v>241.48238099999995</v>
      </c>
      <c r="W11" s="322">
        <f>+'SEP ORIGEN'!W11-'GENERADO PS locales'!W171</f>
        <v>243.01568549999996</v>
      </c>
      <c r="X11" s="322">
        <f>+'SEP ORIGEN'!X11-'GENERADO PS locales'!X171</f>
        <v>244.57366499999998</v>
      </c>
      <c r="Y11" s="322">
        <f>+'SEP ORIGEN'!Y11-'GENERADO PS locales'!Y171</f>
        <v>246.15779999999998</v>
      </c>
      <c r="Z11" s="322">
        <f>+'SEP ORIGEN'!Z11-'GENERADO PS locales'!Z171</f>
        <v>247.76710349999999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38">
        <f>+'SEP ORIGEN'!P12</f>
        <v>71.108687999999987</v>
      </c>
      <c r="E12" s="278"/>
      <c r="F12" s="263"/>
      <c r="G12" s="322">
        <f>+'SEP ORIGEN'!G12-'GENERADO PS locales'!G172</f>
        <v>1.9629390000000002</v>
      </c>
      <c r="H12" s="322">
        <f>+'SEP ORIGEN'!H12-'GENERADO PS locales'!H172</f>
        <v>15.764548800000002</v>
      </c>
      <c r="I12" s="322">
        <f>+'SEP ORIGEN'!I12-'GENERADO PS locales'!I172</f>
        <v>29.673126</v>
      </c>
      <c r="J12" s="322">
        <f>+'SEP ORIGEN'!J12-'GENERADO PS locales'!J172</f>
        <v>49.646205000000002</v>
      </c>
      <c r="K12" s="322">
        <f>+'SEP ORIGEN'!K12-'GENERADO PS locales'!K172</f>
        <v>69.772080000000003</v>
      </c>
      <c r="L12" s="322">
        <f>+'SEP ORIGEN'!L12-'GENERADO PS locales'!L172</f>
        <v>70.039472999999987</v>
      </c>
      <c r="M12" s="322">
        <f>+'SEP ORIGEN'!M12-'GENERADO PS locales'!M172</f>
        <v>70.306865999999999</v>
      </c>
      <c r="N12" s="322">
        <f>+'SEP ORIGEN'!N12-'GENERADO PS locales'!N172</f>
        <v>70.574258999999998</v>
      </c>
      <c r="O12" s="322">
        <f>+'SEP ORIGEN'!O12-'GENERADO PS locales'!O172</f>
        <v>70.841295000000002</v>
      </c>
      <c r="P12" s="322">
        <f>+'SEP ORIGEN'!P12-'GENERADO PS locales'!P172</f>
        <v>71.108687999999987</v>
      </c>
      <c r="Q12" s="322">
        <f>+'SEP ORIGEN'!Q12-'GENERADO PS locales'!Q172</f>
        <v>71.376080999999999</v>
      </c>
      <c r="R12" s="322">
        <f>+'SEP ORIGEN'!R12-'GENERADO PS locales'!R172</f>
        <v>71.643473999999998</v>
      </c>
      <c r="S12" s="322">
        <f>+'SEP ORIGEN'!S12-'GENERADO PS locales'!S172</f>
        <v>71.910866999999996</v>
      </c>
      <c r="T12" s="322">
        <f>+'SEP ORIGEN'!T12-'GENERADO PS locales'!T172</f>
        <v>72.178259999999995</v>
      </c>
      <c r="U12" s="322">
        <f>+'SEP ORIGEN'!U12-'GENERADO PS locales'!U172</f>
        <v>72.445652999999993</v>
      </c>
      <c r="V12" s="322">
        <f>+'SEP ORIGEN'!V12-'GENERADO PS locales'!V172</f>
        <v>72.712688999999997</v>
      </c>
      <c r="W12" s="322">
        <f>+'SEP ORIGEN'!W12-'GENERADO PS locales'!W172</f>
        <v>72.980081999999982</v>
      </c>
      <c r="X12" s="322">
        <f>+'SEP ORIGEN'!X12-'GENERADO PS locales'!X172</f>
        <v>73.247474999999994</v>
      </c>
      <c r="Y12" s="322">
        <f>+'SEP ORIGEN'!Y12-'GENERADO PS locales'!Y172</f>
        <v>73.514867999999993</v>
      </c>
      <c r="Z12" s="322">
        <f>+'SEP ORIGEN'!Z12-'GENERADO PS locales'!Z172</f>
        <v>73.782260999999991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38">
        <f>+'SEP ORIGEN'!P13</f>
        <v>70.691711999999995</v>
      </c>
      <c r="E13" s="278"/>
      <c r="F13" s="263"/>
      <c r="G13" s="322">
        <f>+'SEP ORIGEN'!G13-'GENERADO PS locales'!G173</f>
        <v>1.9029834000000001</v>
      </c>
      <c r="H13" s="322">
        <f>+'SEP ORIGEN'!H13-'GENERADO PS locales'!H173</f>
        <v>15.324969599999999</v>
      </c>
      <c r="I13" s="322">
        <f>+'SEP ORIGEN'!I13-'GENERADO PS locales'!I173</f>
        <v>28.925108999999999</v>
      </c>
      <c r="J13" s="322">
        <f>+'SEP ORIGEN'!J13-'GENERADO PS locales'!J173</f>
        <v>48.52854</v>
      </c>
      <c r="K13" s="322">
        <f>+'SEP ORIGEN'!K13-'GENERADO PS locales'!K173</f>
        <v>68.390846999999994</v>
      </c>
      <c r="L13" s="322">
        <f>+'SEP ORIGEN'!L13-'GENERADO PS locales'!L173</f>
        <v>68.844950999999995</v>
      </c>
      <c r="M13" s="322">
        <f>+'SEP ORIGEN'!M13-'GENERADO PS locales'!M173</f>
        <v>69.302267999999998</v>
      </c>
      <c r="N13" s="322">
        <f>+'SEP ORIGEN'!N13-'GENERADO PS locales'!N173</f>
        <v>69.762083999999987</v>
      </c>
      <c r="O13" s="322">
        <f>+'SEP ORIGEN'!O13-'GENERADO PS locales'!O173</f>
        <v>70.225470000000001</v>
      </c>
      <c r="P13" s="322">
        <f>+'SEP ORIGEN'!P13-'GENERADO PS locales'!P173</f>
        <v>70.691711999999995</v>
      </c>
      <c r="Q13" s="322">
        <f>+'SEP ORIGEN'!Q13-'GENERADO PS locales'!Q173</f>
        <v>71.161166999999992</v>
      </c>
      <c r="R13" s="322">
        <f>+'SEP ORIGEN'!R13-'GENERADO PS locales'!R173</f>
        <v>71.633478000000011</v>
      </c>
      <c r="S13" s="322">
        <f>+'SEP ORIGEN'!S13-'GENERADO PS locales'!S173</f>
        <v>72.109002000000004</v>
      </c>
      <c r="T13" s="322">
        <f>+'SEP ORIGEN'!T13-'GENERADO PS locales'!T173</f>
        <v>72.587738999999999</v>
      </c>
      <c r="U13" s="322">
        <f>+'SEP ORIGEN'!U13-'GENERADO PS locales'!U173</f>
        <v>73.069688999999997</v>
      </c>
      <c r="V13" s="322">
        <f>+'SEP ORIGEN'!V13-'GENERADO PS locales'!V173</f>
        <v>73.554851999999997</v>
      </c>
      <c r="W13" s="322">
        <f>+'SEP ORIGEN'!W13-'GENERADO PS locales'!W173</f>
        <v>74.043227999999999</v>
      </c>
      <c r="X13" s="322">
        <f>+'SEP ORIGEN'!X13-'GENERADO PS locales'!X173</f>
        <v>74.53481699999999</v>
      </c>
      <c r="Y13" s="322">
        <f>+'SEP ORIGEN'!Y13-'GENERADO PS locales'!Y173</f>
        <v>75.029618999999997</v>
      </c>
      <c r="Z13" s="322">
        <f>+'SEP ORIGEN'!Z13-'GENERADO PS locales'!Z173</f>
        <v>75.527633999999992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38">
        <f>+'SEP ORIGEN'!P14</f>
        <v>196.05965399999999</v>
      </c>
      <c r="E14" s="278"/>
      <c r="F14" s="263"/>
      <c r="G14" s="322">
        <f>+'SEP ORIGEN'!G14-'GENERADO PS locales'!G174</f>
        <v>4.8483131999999998</v>
      </c>
      <c r="H14" s="322">
        <f>+'SEP ORIGEN'!H14-'GENERADO PS locales'!H174</f>
        <v>39.414012</v>
      </c>
      <c r="I14" s="322">
        <f>+'SEP ORIGEN'!I14-'GENERADO PS locales'!I174</f>
        <v>75.096881999999979</v>
      </c>
      <c r="J14" s="322">
        <f>+'SEP ORIGEN'!J14-'GENERADO PS locales'!J174</f>
        <v>127.18622999999999</v>
      </c>
      <c r="K14" s="322">
        <f>+'SEP ORIGEN'!K14-'GENERADO PS locales'!K174</f>
        <v>180.9412815</v>
      </c>
      <c r="L14" s="322">
        <f>+'SEP ORIGEN'!L14-'GENERADO PS locales'!L174</f>
        <v>183.86872349999999</v>
      </c>
      <c r="M14" s="322">
        <f>+'SEP ORIGEN'!M14-'GENERADO PS locales'!M174</f>
        <v>186.84354149999996</v>
      </c>
      <c r="N14" s="322">
        <f>+'SEP ORIGEN'!N14-'GENERADO PS locales'!N174</f>
        <v>189.86672250000001</v>
      </c>
      <c r="O14" s="322">
        <f>+'SEP ORIGEN'!O14-'GENERADO PS locales'!O174</f>
        <v>192.93826649999997</v>
      </c>
      <c r="P14" s="322">
        <f>+'SEP ORIGEN'!P14-'GENERADO PS locales'!P174</f>
        <v>196.05965399999999</v>
      </c>
      <c r="Q14" s="322">
        <f>+'SEP ORIGEN'!Q14-'GENERADO PS locales'!Q174</f>
        <v>199.23187199999995</v>
      </c>
      <c r="R14" s="322">
        <f>+'SEP ORIGEN'!R14-'GENERADO PS locales'!R174</f>
        <v>202.45492049999999</v>
      </c>
      <c r="S14" s="322">
        <f>+'SEP ORIGEN'!S14-'GENERADO PS locales'!S174</f>
        <v>205.73027999999999</v>
      </c>
      <c r="T14" s="322">
        <f>+'SEP ORIGEN'!T14-'GENERADO PS locales'!T174</f>
        <v>209.05893749999998</v>
      </c>
      <c r="U14" s="322">
        <f>+'SEP ORIGEN'!U14-'GENERADO PS locales'!U174</f>
        <v>212.44089299999999</v>
      </c>
      <c r="V14" s="322">
        <f>+'SEP ORIGEN'!V14-'GENERADO PS locales'!V174</f>
        <v>215.87812049999999</v>
      </c>
      <c r="W14" s="322">
        <f>+'SEP ORIGEN'!W14-'GENERADO PS locales'!W174</f>
        <v>219.37061999999997</v>
      </c>
      <c r="X14" s="322">
        <f>+'SEP ORIGEN'!X14-'GENERADO PS locales'!X174</f>
        <v>222.91987199999997</v>
      </c>
      <c r="Y14" s="322">
        <f>+'SEP ORIGEN'!Y14-'GENERADO PS locales'!Y174</f>
        <v>226.52636999999996</v>
      </c>
      <c r="Z14" s="322">
        <f>+'SEP ORIGEN'!Z14-'GENERADO PS locales'!Z174</f>
        <v>230.19110099999997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38">
        <f>+'SEP ORIGEN'!P15</f>
        <v>1260.7952805</v>
      </c>
      <c r="E15" s="278"/>
      <c r="F15" s="263"/>
      <c r="G15" s="322">
        <f>+'SEP ORIGEN'!G15-'GENERADO PS locales'!G175</f>
        <v>31.6926123</v>
      </c>
      <c r="H15" s="322">
        <f>+'SEP ORIGEN'!H15-'GENERADO PS locales'!H175</f>
        <v>257.38997279999995</v>
      </c>
      <c r="I15" s="322">
        <f>+'SEP ORIGEN'!I15-'GENERADO PS locales'!I175</f>
        <v>489.82300199999992</v>
      </c>
      <c r="J15" s="322">
        <f>+'SEP ORIGEN'!J15-'GENERADO PS locales'!J175</f>
        <v>828.39967499999989</v>
      </c>
      <c r="K15" s="322">
        <f>+'SEP ORIGEN'!K15-'GENERADO PS locales'!K175</f>
        <v>1176.5987519999999</v>
      </c>
      <c r="L15" s="322">
        <f>+'SEP ORIGEN'!L15-'GENERADO PS locales'!L175</f>
        <v>1193.4379589999999</v>
      </c>
      <c r="M15" s="322">
        <f>+'SEP ORIGEN'!M15-'GENERADO PS locales'!M175</f>
        <v>1210.2771659999999</v>
      </c>
      <c r="N15" s="322">
        <f>+'SEP ORIGEN'!N15-'GENERADO PS locales'!N175</f>
        <v>1227.1168665</v>
      </c>
      <c r="O15" s="322">
        <f>+'SEP ORIGEN'!O15-'GENERADO PS locales'!O175</f>
        <v>1243.9560735</v>
      </c>
      <c r="P15" s="322">
        <f>+'SEP ORIGEN'!P15-'GENERADO PS locales'!P175</f>
        <v>1260.7952805</v>
      </c>
      <c r="Q15" s="322">
        <f>+'SEP ORIGEN'!Q15-'GENERADO PS locales'!Q175</f>
        <v>1277.6344875</v>
      </c>
      <c r="R15" s="322">
        <f>+'SEP ORIGEN'!R15-'GENERADO PS locales'!R175</f>
        <v>1294.4736945</v>
      </c>
      <c r="S15" s="322">
        <f>+'SEP ORIGEN'!S15-'GENERADO PS locales'!S175</f>
        <v>1311.3129014999997</v>
      </c>
      <c r="T15" s="322">
        <f>+'SEP ORIGEN'!T15-'GENERADO PS locales'!T175</f>
        <v>1328.1526019999997</v>
      </c>
      <c r="U15" s="322">
        <f>+'SEP ORIGEN'!U15-'GENERADO PS locales'!U175</f>
        <v>1344.9918089999999</v>
      </c>
      <c r="V15" s="322">
        <f>+'SEP ORIGEN'!V15-'GENERADO PS locales'!V175</f>
        <v>1361.8310159999999</v>
      </c>
      <c r="W15" s="322">
        <f>+'SEP ORIGEN'!W15-'GENERADO PS locales'!W175</f>
        <v>1378.6702229999999</v>
      </c>
      <c r="X15" s="322">
        <f>+'SEP ORIGEN'!X15-'GENERADO PS locales'!X175</f>
        <v>1395.5094299999998</v>
      </c>
      <c r="Y15" s="322">
        <f>+'SEP ORIGEN'!Y15-'GENERADO PS locales'!Y175</f>
        <v>1412.3486369999998</v>
      </c>
      <c r="Z15" s="322">
        <f>+'SEP ORIGEN'!Z15-'GENERADO PS locales'!Z175</f>
        <v>1429.1883375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38">
        <f>+'SEP ORIGEN'!P16</f>
        <v>221.47095599999997</v>
      </c>
      <c r="E16" s="278"/>
      <c r="F16" s="263"/>
      <c r="G16" s="322">
        <f>+'SEP ORIGEN'!G16-'GENERADO PS locales'!G176</f>
        <v>6.3805883999999997</v>
      </c>
      <c r="H16" s="322">
        <f>+'SEP ORIGEN'!H16-'GENERADO PS locales'!H176</f>
        <v>50.997556799999991</v>
      </c>
      <c r="I16" s="322">
        <f>+'SEP ORIGEN'!I16-'GENERADO PS locales'!I176</f>
        <v>95.53201199999998</v>
      </c>
      <c r="J16" s="322">
        <f>+'SEP ORIGEN'!J16-'GENERADO PS locales'!J176</f>
        <v>159.07302749999999</v>
      </c>
      <c r="K16" s="322">
        <f>+'SEP ORIGEN'!K16-'GENERADO PS locales'!K176</f>
        <v>222.49644900000001</v>
      </c>
      <c r="L16" s="322">
        <f>+'SEP ORIGEN'!L16-'GENERADO PS locales'!L176</f>
        <v>222.29115299999998</v>
      </c>
      <c r="M16" s="322">
        <f>+'SEP ORIGEN'!M16-'GENERADO PS locales'!M176</f>
        <v>222.085857</v>
      </c>
      <c r="N16" s="322">
        <f>+'SEP ORIGEN'!N16-'GENERADO PS locales'!N176</f>
        <v>221.88056099999997</v>
      </c>
      <c r="O16" s="322">
        <f>+'SEP ORIGEN'!O16-'GENERADO PS locales'!O176</f>
        <v>221.67575849999997</v>
      </c>
      <c r="P16" s="322">
        <f>+'SEP ORIGEN'!P16-'GENERADO PS locales'!P176</f>
        <v>221.47095599999997</v>
      </c>
      <c r="Q16" s="322">
        <f>+'SEP ORIGEN'!Q16-'GENERADO PS locales'!Q176</f>
        <v>221.26664699999995</v>
      </c>
      <c r="R16" s="322">
        <f>+'SEP ORIGEN'!R16-'GENERADO PS locales'!R176</f>
        <v>221.06233799999998</v>
      </c>
      <c r="S16" s="322">
        <f>+'SEP ORIGEN'!S16-'GENERADO PS locales'!S176</f>
        <v>220.85802899999996</v>
      </c>
      <c r="T16" s="322">
        <f>+'SEP ORIGEN'!T16-'GENERADO PS locales'!T176</f>
        <v>220.6542135</v>
      </c>
      <c r="U16" s="322">
        <f>+'SEP ORIGEN'!U16-'GENERADO PS locales'!U176</f>
        <v>220.45039799999995</v>
      </c>
      <c r="V16" s="322">
        <f>+'SEP ORIGEN'!V16-'GENERADO PS locales'!V176</f>
        <v>220.24658249999999</v>
      </c>
      <c r="W16" s="322">
        <f>+'SEP ORIGEN'!W16-'GENERADO PS locales'!W176</f>
        <v>220.04326049999995</v>
      </c>
      <c r="X16" s="322">
        <f>+'SEP ORIGEN'!X16-'GENERADO PS locales'!X176</f>
        <v>219.84043200000002</v>
      </c>
      <c r="Y16" s="322">
        <f>+'SEP ORIGEN'!Y16-'GENERADO PS locales'!Y176</f>
        <v>219.63710999999998</v>
      </c>
      <c r="Z16" s="322">
        <f>+'SEP ORIGEN'!Z16-'GENERADO PS locales'!Z176</f>
        <v>219.43428149999997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38">
        <f>+'SEP ORIGEN'!P17</f>
        <v>367.94619749999993</v>
      </c>
      <c r="E17" s="278"/>
      <c r="F17" s="263"/>
      <c r="G17" s="322">
        <f>+'SEP ORIGEN'!G17-'GENERADO PS locales'!G177</f>
        <v>9.7701014999999991</v>
      </c>
      <c r="H17" s="322">
        <f>+'SEP ORIGEN'!H17-'GENERADO PS locales'!H177</f>
        <v>78.77906879999999</v>
      </c>
      <c r="I17" s="322">
        <f>+'SEP ORIGEN'!I17-'GENERADO PS locales'!I177</f>
        <v>148.88880899999998</v>
      </c>
      <c r="J17" s="322">
        <f>+'SEP ORIGEN'!J17-'GENERADO PS locales'!J177</f>
        <v>250.14351749999997</v>
      </c>
      <c r="K17" s="322">
        <f>+'SEP ORIGEN'!K17-'GENERADO PS locales'!K177</f>
        <v>353.04002999999994</v>
      </c>
      <c r="L17" s="322">
        <f>+'SEP ORIGEN'!L17-'GENERADO PS locales'!L177</f>
        <v>355.92552449999999</v>
      </c>
      <c r="M17" s="322">
        <f>+'SEP ORIGEN'!M17-'GENERADO PS locales'!M177</f>
        <v>358.85839499999997</v>
      </c>
      <c r="N17" s="322">
        <f>+'SEP ORIGEN'!N17-'GENERADO PS locales'!N177</f>
        <v>361.83864149999994</v>
      </c>
      <c r="O17" s="322">
        <f>+'SEP ORIGEN'!O17-'GENERADO PS locales'!O177</f>
        <v>364.8677444999999</v>
      </c>
      <c r="P17" s="322">
        <f>+'SEP ORIGEN'!P17-'GENERADO PS locales'!P177</f>
        <v>367.94619749999993</v>
      </c>
      <c r="Q17" s="322">
        <f>+'SEP ORIGEN'!Q17-'GENERADO PS locales'!Q177</f>
        <v>371.07498749999996</v>
      </c>
      <c r="R17" s="322">
        <f>+'SEP ORIGEN'!R17-'GENERADO PS locales'!R177</f>
        <v>374.25510150000002</v>
      </c>
      <c r="S17" s="322">
        <f>+'SEP ORIGEN'!S17-'GENERADO PS locales'!S177</f>
        <v>377.48653949999999</v>
      </c>
      <c r="T17" s="322">
        <f>+'SEP ORIGEN'!T17-'GENERADO PS locales'!T177</f>
        <v>380.770782</v>
      </c>
      <c r="U17" s="322">
        <f>+'SEP ORIGEN'!U17-'GENERADO PS locales'!U177</f>
        <v>384.10881599999999</v>
      </c>
      <c r="V17" s="322">
        <f>+'SEP ORIGEN'!V17-'GENERADO PS locales'!V177</f>
        <v>387.50113499999998</v>
      </c>
      <c r="W17" s="322">
        <f>+'SEP ORIGEN'!W17-'GENERADO PS locales'!W177</f>
        <v>390.94921949999997</v>
      </c>
      <c r="X17" s="322">
        <f>+'SEP ORIGEN'!X17-'GENERADO PS locales'!X177</f>
        <v>394.45306949999997</v>
      </c>
      <c r="Y17" s="322">
        <f>+'SEP ORIGEN'!Y17-'GENERADO PS locales'!Y177</f>
        <v>398.01416549999993</v>
      </c>
      <c r="Z17" s="322">
        <f>+'SEP ORIGEN'!Z17-'GENERADO PS locales'!Z177</f>
        <v>401.63349450000004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38">
        <f>+'SEP ORIGEN'!P18</f>
        <v>212.05744349999995</v>
      </c>
      <c r="E18" s="278"/>
      <c r="F18" s="263"/>
      <c r="G18" s="322">
        <f>+'SEP ORIGEN'!G18-'GENERADO PS locales'!G178</f>
        <v>5.4633129</v>
      </c>
      <c r="H18" s="322">
        <f>+'SEP ORIGEN'!H18-'GENERADO PS locales'!H178</f>
        <v>44.211734399999997</v>
      </c>
      <c r="I18" s="322">
        <f>+'SEP ORIGEN'!I18-'GENERADO PS locales'!I178</f>
        <v>83.855519999999999</v>
      </c>
      <c r="J18" s="322">
        <f>+'SEP ORIGEN'!J18-'GENERADO PS locales'!J178</f>
        <v>141.3747075</v>
      </c>
      <c r="K18" s="322">
        <f>+'SEP ORIGEN'!K18-'GENERADO PS locales'!K178</f>
        <v>200.21295000000001</v>
      </c>
      <c r="L18" s="322">
        <f>+'SEP ORIGEN'!L18-'GENERADO PS locales'!L178</f>
        <v>202.52795849999998</v>
      </c>
      <c r="M18" s="322">
        <f>+'SEP ORIGEN'!M18-'GENERADO PS locales'!M178</f>
        <v>204.86912249999997</v>
      </c>
      <c r="N18" s="322">
        <f>+'SEP ORIGEN'!N18-'GENERADO PS locales'!N178</f>
        <v>207.23792249999997</v>
      </c>
      <c r="O18" s="322">
        <f>+'SEP ORIGEN'!O18-'GENERADO PS locales'!O178</f>
        <v>209.63386499999999</v>
      </c>
      <c r="P18" s="322">
        <f>+'SEP ORIGEN'!P18-'GENERADO PS locales'!P178</f>
        <v>212.05744349999995</v>
      </c>
      <c r="Q18" s="322">
        <f>+'SEP ORIGEN'!Q18-'GENERADO PS locales'!Q178</f>
        <v>214.50915149999994</v>
      </c>
      <c r="R18" s="322">
        <f>+'SEP ORIGEN'!R18-'GENERADO PS locales'!R178</f>
        <v>216.98898899999998</v>
      </c>
      <c r="S18" s="322">
        <f>+'SEP ORIGEN'!S18-'GENERADO PS locales'!S178</f>
        <v>219.49794299999999</v>
      </c>
      <c r="T18" s="322">
        <f>+'SEP ORIGEN'!T18-'GENERADO PS locales'!T178</f>
        <v>222.03551999999999</v>
      </c>
      <c r="U18" s="322">
        <f>+'SEP ORIGEN'!U18-'GENERADO PS locales'!U178</f>
        <v>224.60221349999998</v>
      </c>
      <c r="V18" s="322">
        <f>+'SEP ORIGEN'!V18-'GENERADO PS locales'!V178</f>
        <v>227.19901049999996</v>
      </c>
      <c r="W18" s="322">
        <f>+'SEP ORIGEN'!W18-'GENERADO PS locales'!W178</f>
        <v>229.82591099999996</v>
      </c>
      <c r="X18" s="322">
        <f>+'SEP ORIGEN'!X18-'GENERADO PS locales'!X178</f>
        <v>232.48291499999993</v>
      </c>
      <c r="Y18" s="322">
        <f>+'SEP ORIGEN'!Y18-'GENERADO PS locales'!Y178</f>
        <v>235.17051599999996</v>
      </c>
      <c r="Z18" s="322">
        <f>+'SEP ORIGEN'!Z18-'GENERADO PS locales'!Z178</f>
        <v>237.88970099999997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38">
        <f>+'SEP ORIGEN'!P19</f>
        <v>351.85661699999997</v>
      </c>
      <c r="E19" s="278"/>
      <c r="F19" s="263"/>
      <c r="G19" s="322">
        <f>+'SEP ORIGEN'!G19-'GENERADO PS locales'!G179</f>
        <v>9.1269581999999989</v>
      </c>
      <c r="H19" s="322">
        <f>+'SEP ORIGEN'!H19-'GENERADO PS locales'!H179</f>
        <v>73.838880000000003</v>
      </c>
      <c r="I19" s="322">
        <f>+'SEP ORIGEN'!I19-'GENERADO PS locales'!I179</f>
        <v>139.99142699999999</v>
      </c>
      <c r="J19" s="322">
        <f>+'SEP ORIGEN'!J19-'GENERADO PS locales'!J179</f>
        <v>235.89123749999999</v>
      </c>
      <c r="K19" s="322">
        <f>+'SEP ORIGEN'!K19-'GENERADO PS locales'!K179</f>
        <v>333.84929549999993</v>
      </c>
      <c r="L19" s="322">
        <f>+'SEP ORIGEN'!L19-'GENERADO PS locales'!L179</f>
        <v>337.45085849999998</v>
      </c>
      <c r="M19" s="322">
        <f>+'SEP ORIGEN'!M19-'GENERADO PS locales'!M179</f>
        <v>341.05242149999998</v>
      </c>
      <c r="N19" s="322">
        <f>+'SEP ORIGEN'!N19-'GENERADO PS locales'!N179</f>
        <v>344.65349099999992</v>
      </c>
      <c r="O19" s="322">
        <f>+'SEP ORIGEN'!O19-'GENERADO PS locales'!O179</f>
        <v>348.25505399999997</v>
      </c>
      <c r="P19" s="322">
        <f>+'SEP ORIGEN'!P19-'GENERADO PS locales'!P179</f>
        <v>351.85661699999997</v>
      </c>
      <c r="Q19" s="322">
        <f>+'SEP ORIGEN'!Q19-'GENERADO PS locales'!Q179</f>
        <v>355.45768649999997</v>
      </c>
      <c r="R19" s="322">
        <f>+'SEP ORIGEN'!R19-'GENERADO PS locales'!R179</f>
        <v>359.05924949999996</v>
      </c>
      <c r="S19" s="322">
        <f>+'SEP ORIGEN'!S19-'GENERADO PS locales'!S179</f>
        <v>362.66081249999996</v>
      </c>
      <c r="T19" s="322">
        <f>+'SEP ORIGEN'!T19-'GENERADO PS locales'!T179</f>
        <v>366.26237549999996</v>
      </c>
      <c r="U19" s="322">
        <f>+'SEP ORIGEN'!U19-'GENERADO PS locales'!U179</f>
        <v>369.86344499999996</v>
      </c>
      <c r="V19" s="322">
        <f>+'SEP ORIGEN'!V19-'GENERADO PS locales'!V179</f>
        <v>373.46500799999995</v>
      </c>
      <c r="W19" s="322">
        <f>+'SEP ORIGEN'!W19-'GENERADO PS locales'!W179</f>
        <v>377.06657099999995</v>
      </c>
      <c r="X19" s="322">
        <f>+'SEP ORIGEN'!X19-'GENERADO PS locales'!X179</f>
        <v>380.66764049999989</v>
      </c>
      <c r="Y19" s="322">
        <f>+'SEP ORIGEN'!Y19-'GENERADO PS locales'!Y179</f>
        <v>384.2692035</v>
      </c>
      <c r="Z19" s="322">
        <f>+'SEP ORIGEN'!Z19-'GENERADO PS locales'!Z179</f>
        <v>387.87076649999995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38">
        <f>+'SEP ORIGEN'!P20</f>
        <v>364.58694299999996</v>
      </c>
      <c r="E20" s="278"/>
      <c r="F20" s="263"/>
      <c r="G20" s="322">
        <f>+'SEP ORIGEN'!G20-'GENERADO PS locales'!G180</f>
        <v>8.7315660000000008</v>
      </c>
      <c r="H20" s="322">
        <f>+'SEP ORIGEN'!H20-'GENERADO PS locales'!H180</f>
        <v>71.235794400000003</v>
      </c>
      <c r="I20" s="322">
        <f>+'SEP ORIGEN'!I20-'GENERADO PS locales'!I180</f>
        <v>136.21192199999999</v>
      </c>
      <c r="J20" s="322">
        <f>+'SEP ORIGEN'!J20-'GENERADO PS locales'!J180</f>
        <v>231.51494999999997</v>
      </c>
      <c r="K20" s="322">
        <f>+'SEP ORIGEN'!K20-'GENERADO PS locales'!K180</f>
        <v>330.53889749999996</v>
      </c>
      <c r="L20" s="322">
        <f>+'SEP ORIGEN'!L20-'GENERADO PS locales'!L180</f>
        <v>337.08418799999998</v>
      </c>
      <c r="M20" s="322">
        <f>+'SEP ORIGEN'!M20-'GENERADO PS locales'!M180</f>
        <v>343.75877549999996</v>
      </c>
      <c r="N20" s="322">
        <f>+'SEP ORIGEN'!N20-'GENERADO PS locales'!N180</f>
        <v>350.56611449999997</v>
      </c>
      <c r="O20" s="322">
        <f>+'SEP ORIGEN'!O20-'GENERADO PS locales'!O180</f>
        <v>357.50768549999998</v>
      </c>
      <c r="P20" s="322">
        <f>+'SEP ORIGEN'!P20-'GENERADO PS locales'!P180</f>
        <v>364.58694299999996</v>
      </c>
      <c r="Q20" s="322">
        <f>+'SEP ORIGEN'!Q20-'GENERADO PS locales'!Q180</f>
        <v>371.80635449999994</v>
      </c>
      <c r="R20" s="322">
        <f>+'SEP ORIGEN'!R20-'GENERADO PS locales'!R180</f>
        <v>379.16838749999999</v>
      </c>
      <c r="S20" s="322">
        <f>+'SEP ORIGEN'!S20-'GENERADO PS locales'!S180</f>
        <v>386.67649649999998</v>
      </c>
      <c r="T20" s="322">
        <f>+'SEP ORIGEN'!T20-'GENERADO PS locales'!T180</f>
        <v>394.33314899999993</v>
      </c>
      <c r="U20" s="322">
        <f>+'SEP ORIGEN'!U20-'GENERADO PS locales'!U180</f>
        <v>402.14179949999993</v>
      </c>
      <c r="V20" s="322">
        <f>+'SEP ORIGEN'!V20-'GENERADO PS locales'!V180</f>
        <v>410.10442199999994</v>
      </c>
      <c r="W20" s="322">
        <f>+'SEP ORIGEN'!W20-'GENERADO PS locales'!W180</f>
        <v>418.22545799999995</v>
      </c>
      <c r="X20" s="322">
        <f>+'SEP ORIGEN'!X20-'GENERADO PS locales'!X180</f>
        <v>426.50688149999996</v>
      </c>
      <c r="Y20" s="322">
        <f>+'SEP ORIGEN'!Y20-'GENERADO PS locales'!Y180</f>
        <v>434.95214699999991</v>
      </c>
      <c r="Z20" s="322">
        <f>+'SEP ORIGEN'!Z20-'GENERADO PS locales'!Z180</f>
        <v>443.56470899999994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38">
        <f>+'SEP ORIGEN'!P21</f>
        <v>188.48492249999995</v>
      </c>
      <c r="E21" s="278"/>
      <c r="F21" s="263"/>
      <c r="G21" s="322">
        <f>+'SEP ORIGEN'!G21-'GENERADO PS locales'!G181</f>
        <v>5.0359419000000001</v>
      </c>
      <c r="H21" s="322">
        <f>+'SEP ORIGEN'!H21-'GENERADO PS locales'!H181</f>
        <v>40.578333600000001</v>
      </c>
      <c r="I21" s="322">
        <f>+'SEP ORIGEN'!I21-'GENERADO PS locales'!I181</f>
        <v>76.638505499999994</v>
      </c>
      <c r="J21" s="322">
        <f>+'SEP ORIGEN'!J21-'GENERADO PS locales'!J181</f>
        <v>128.66954999999999</v>
      </c>
      <c r="K21" s="322">
        <f>+'SEP ORIGEN'!K21-'GENERADO PS locales'!K181</f>
        <v>181.47278099999997</v>
      </c>
      <c r="L21" s="322">
        <f>+'SEP ORIGEN'!L21-'GENERADO PS locales'!L181</f>
        <v>182.8303995</v>
      </c>
      <c r="M21" s="322">
        <f>+'SEP ORIGEN'!M21-'GENERADO PS locales'!M181</f>
        <v>184.209732</v>
      </c>
      <c r="N21" s="322">
        <f>+'SEP ORIGEN'!N21-'GENERADO PS locales'!N181</f>
        <v>185.61176549999996</v>
      </c>
      <c r="O21" s="322">
        <f>+'SEP ORIGEN'!O21-'GENERADO PS locales'!O181</f>
        <v>187.03699349999997</v>
      </c>
      <c r="P21" s="322">
        <f>+'SEP ORIGEN'!P21-'GENERADO PS locales'!P181</f>
        <v>188.48492249999995</v>
      </c>
      <c r="Q21" s="322">
        <f>+'SEP ORIGEN'!Q21-'GENERADO PS locales'!Q181</f>
        <v>189.95653949999999</v>
      </c>
      <c r="R21" s="322">
        <f>+'SEP ORIGEN'!R21-'GENERADO PS locales'!R181</f>
        <v>191.45233799999997</v>
      </c>
      <c r="S21" s="322">
        <f>+'SEP ORIGEN'!S21-'GENERADO PS locales'!S181</f>
        <v>192.97281150000001</v>
      </c>
      <c r="T21" s="322">
        <f>+'SEP ORIGEN'!T21-'GENERADO PS locales'!T181</f>
        <v>194.51746649999998</v>
      </c>
      <c r="U21" s="322">
        <f>+'SEP ORIGEN'!U21-'GENERADO PS locales'!U181</f>
        <v>196.08778349999994</v>
      </c>
      <c r="V21" s="322">
        <f>+'SEP ORIGEN'!V21-'GENERADO PS locales'!V181</f>
        <v>197.68376249999997</v>
      </c>
      <c r="W21" s="322">
        <f>+'SEP ORIGEN'!W21-'GENERADO PS locales'!W181</f>
        <v>199.30540350000001</v>
      </c>
      <c r="X21" s="322">
        <f>+'SEP ORIGEN'!X21-'GENERADO PS locales'!X181</f>
        <v>200.95369349999996</v>
      </c>
      <c r="Y21" s="322">
        <f>+'SEP ORIGEN'!Y21-'GENERADO PS locales'!Y181</f>
        <v>202.62863249999998</v>
      </c>
      <c r="Z21" s="322">
        <f>+'SEP ORIGEN'!Z21-'GENERADO PS locales'!Z181</f>
        <v>204.33120749999998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38">
        <f>+'SEP ORIGEN'!P22</f>
        <v>344.65398449999998</v>
      </c>
      <c r="E22" s="278"/>
      <c r="F22" s="263"/>
      <c r="G22" s="322">
        <f>+'SEP ORIGEN'!G22-'GENERADO PS locales'!G182</f>
        <v>9.2271104999999984</v>
      </c>
      <c r="H22" s="322">
        <f>+'SEP ORIGEN'!H22-'GENERADO PS locales'!H182</f>
        <v>74.352345600000007</v>
      </c>
      <c r="I22" s="322">
        <f>+'SEP ORIGEN'!I22-'GENERADO PS locales'!I182</f>
        <v>140.42182949999997</v>
      </c>
      <c r="J22" s="322">
        <f>+'SEP ORIGEN'!J22-'GENERADO PS locales'!J182</f>
        <v>235.73402249999998</v>
      </c>
      <c r="K22" s="322">
        <f>+'SEP ORIGEN'!K22-'GENERADO PS locales'!K182</f>
        <v>332.42159999999996</v>
      </c>
      <c r="L22" s="322">
        <f>+'SEP ORIGEN'!L22-'GENERADO PS locales'!L182</f>
        <v>334.83284099999992</v>
      </c>
      <c r="M22" s="322">
        <f>+'SEP ORIGEN'!M22-'GENERADO PS locales'!M182</f>
        <v>337.26135449999998</v>
      </c>
      <c r="N22" s="322">
        <f>+'SEP ORIGEN'!N22-'GENERADO PS locales'!N182</f>
        <v>339.70763399999998</v>
      </c>
      <c r="O22" s="322">
        <f>+'SEP ORIGEN'!O22-'GENERADO PS locales'!O182</f>
        <v>342.17167949999998</v>
      </c>
      <c r="P22" s="322">
        <f>+'SEP ORIGEN'!P22-'GENERADO PS locales'!P182</f>
        <v>344.65398449999998</v>
      </c>
      <c r="Q22" s="322">
        <f>+'SEP ORIGEN'!Q22-'GENERADO PS locales'!Q182</f>
        <v>347.15356199999997</v>
      </c>
      <c r="R22" s="322">
        <f>+'SEP ORIGEN'!R22-'GENERADO PS locales'!R182</f>
        <v>349.67189249999996</v>
      </c>
      <c r="S22" s="322">
        <f>+'SEP ORIGEN'!S22-'GENERADO PS locales'!S182</f>
        <v>352.20798899999994</v>
      </c>
      <c r="T22" s="322">
        <f>+'SEP ORIGEN'!T22-'GENERADO PS locales'!T182</f>
        <v>354.76283849999999</v>
      </c>
      <c r="U22" s="322">
        <f>+'SEP ORIGEN'!U22-'GENERADO PS locales'!U182</f>
        <v>357.33644099999998</v>
      </c>
      <c r="V22" s="322">
        <f>+'SEP ORIGEN'!V22-'GENERADO PS locales'!V182</f>
        <v>359.92830299999991</v>
      </c>
      <c r="W22" s="322">
        <f>+'SEP ORIGEN'!W22-'GENERADO PS locales'!W182</f>
        <v>362.53891799999997</v>
      </c>
      <c r="X22" s="322">
        <f>+'SEP ORIGEN'!X22-'GENERADO PS locales'!X182</f>
        <v>365.16877949999997</v>
      </c>
      <c r="Y22" s="322">
        <f>+'SEP ORIGEN'!Y22-'GENERADO PS locales'!Y182</f>
        <v>367.81739399999992</v>
      </c>
      <c r="Z22" s="322">
        <f>+'SEP ORIGEN'!Z22-'GENERADO PS locales'!Z182</f>
        <v>370.48525500000005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38">
        <f>+'SEP ORIGEN'!P23</f>
        <v>65.809022999999996</v>
      </c>
      <c r="E23" s="278"/>
      <c r="F23" s="263"/>
      <c r="G23" s="322">
        <f>+'SEP ORIGEN'!G23-'GENERADO PS locales'!G183</f>
        <v>1.7879172000000001</v>
      </c>
      <c r="H23" s="322">
        <f>+'SEP ORIGEN'!H23-'GENERADO PS locales'!H183</f>
        <v>14.385427199999999</v>
      </c>
      <c r="I23" s="322">
        <f>+'SEP ORIGEN'!I23-'GENERADO PS locales'!I183</f>
        <v>27.126593999999997</v>
      </c>
      <c r="J23" s="322">
        <f>+'SEP ORIGEN'!J23-'GENERADO PS locales'!J183</f>
        <v>45.467520000000007</v>
      </c>
      <c r="K23" s="322">
        <f>+'SEP ORIGEN'!K23-'GENERADO PS locales'!K183</f>
        <v>64.013670000000005</v>
      </c>
      <c r="L23" s="322">
        <f>+'SEP ORIGEN'!L23-'GENERADO PS locales'!L183</f>
        <v>64.372455000000002</v>
      </c>
      <c r="M23" s="322">
        <f>+'SEP ORIGEN'!M23-'GENERADO PS locales'!M183</f>
        <v>64.731597000000008</v>
      </c>
      <c r="N23" s="322">
        <f>+'SEP ORIGEN'!N23-'GENERADO PS locales'!N183</f>
        <v>65.090738999999999</v>
      </c>
      <c r="O23" s="322">
        <f>+'SEP ORIGEN'!O23-'GENERADO PS locales'!O183</f>
        <v>65.449881000000005</v>
      </c>
      <c r="P23" s="322">
        <f>+'SEP ORIGEN'!P23-'GENERADO PS locales'!P183</f>
        <v>65.809022999999996</v>
      </c>
      <c r="Q23" s="322">
        <f>+'SEP ORIGEN'!Q23-'GENERADO PS locales'!Q183</f>
        <v>66.168164999999988</v>
      </c>
      <c r="R23" s="322">
        <f>+'SEP ORIGEN'!R23-'GENERADO PS locales'!R183</f>
        <v>66.527306999999993</v>
      </c>
      <c r="S23" s="322">
        <f>+'SEP ORIGEN'!S23-'GENERADO PS locales'!S183</f>
        <v>66.886448999999999</v>
      </c>
      <c r="T23" s="322">
        <f>+'SEP ORIGEN'!T23-'GENERADO PS locales'!T183</f>
        <v>67.245591000000005</v>
      </c>
      <c r="U23" s="322">
        <f>+'SEP ORIGEN'!U23-'GENERADO PS locales'!U183</f>
        <v>67.604376000000002</v>
      </c>
      <c r="V23" s="322">
        <f>+'SEP ORIGEN'!V23-'GENERADO PS locales'!V183</f>
        <v>67.963518000000008</v>
      </c>
      <c r="W23" s="322">
        <f>+'SEP ORIGEN'!W23-'GENERADO PS locales'!W183</f>
        <v>68.322659999999999</v>
      </c>
      <c r="X23" s="322">
        <f>+'SEP ORIGEN'!X23-'GENERADO PS locales'!X183</f>
        <v>68.68180199999999</v>
      </c>
      <c r="Y23" s="322">
        <f>+'SEP ORIGEN'!Y23-'GENERADO PS locales'!Y183</f>
        <v>69.040943999999996</v>
      </c>
      <c r="Z23" s="322">
        <f>+'SEP ORIGEN'!Z23-'GENERADO PS locales'!Z183</f>
        <v>69.400085999999988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38">
        <f>+'SEP ORIGEN'!P24</f>
        <v>107.09928600000001</v>
      </c>
      <c r="E24" s="278"/>
      <c r="F24" s="263"/>
      <c r="G24" s="322">
        <f>+'SEP ORIGEN'!G24-'GENERADO PS locales'!G184</f>
        <v>3.0303996</v>
      </c>
      <c r="H24" s="322">
        <f>+'SEP ORIGEN'!H24-'GENERADO PS locales'!H184</f>
        <v>24.267840000000003</v>
      </c>
      <c r="I24" s="322">
        <f>+'SEP ORIGEN'!I24-'GENERADO PS locales'!I184</f>
        <v>45.549017999999997</v>
      </c>
      <c r="J24" s="322">
        <f>+'SEP ORIGEN'!J24-'GENERADO PS locales'!J184</f>
        <v>75.994590000000002</v>
      </c>
      <c r="K24" s="322">
        <f>+'SEP ORIGEN'!K24-'GENERADO PS locales'!K184</f>
        <v>106.50559500000001</v>
      </c>
      <c r="L24" s="322">
        <f>+'SEP ORIGEN'!L24-'GENERADO PS locales'!L184</f>
        <v>106.62054900000001</v>
      </c>
      <c r="M24" s="322">
        <f>+'SEP ORIGEN'!M24-'GENERADO PS locales'!M184</f>
        <v>106.73728799999999</v>
      </c>
      <c r="N24" s="322">
        <f>+'SEP ORIGEN'!N24-'GENERADO PS locales'!N184</f>
        <v>106.85616900000001</v>
      </c>
      <c r="O24" s="322">
        <f>+'SEP ORIGEN'!O24-'GENERADO PS locales'!O184</f>
        <v>106.97683499999999</v>
      </c>
      <c r="P24" s="322">
        <f>+'SEP ORIGEN'!P24-'GENERADO PS locales'!P184</f>
        <v>107.09928600000001</v>
      </c>
      <c r="Q24" s="322">
        <f>+'SEP ORIGEN'!Q24-'GENERADO PS locales'!Q184</f>
        <v>107.223879</v>
      </c>
      <c r="R24" s="322">
        <f>+'SEP ORIGEN'!R24-'GENERADO PS locales'!R184</f>
        <v>107.35061399999998</v>
      </c>
      <c r="S24" s="322">
        <f>+'SEP ORIGEN'!S24-'GENERADO PS locales'!S184</f>
        <v>107.47949100000001</v>
      </c>
      <c r="T24" s="322">
        <f>+'SEP ORIGEN'!T24-'GENERADO PS locales'!T184</f>
        <v>107.610153</v>
      </c>
      <c r="U24" s="322">
        <f>+'SEP ORIGEN'!U24-'GENERADO PS locales'!U184</f>
        <v>107.74331399999998</v>
      </c>
      <c r="V24" s="322">
        <f>+'SEP ORIGEN'!V24-'GENERADO PS locales'!V184</f>
        <v>107.87825999999998</v>
      </c>
      <c r="W24" s="322">
        <f>+'SEP ORIGEN'!W24-'GENERADO PS locales'!W184</f>
        <v>108.01570499999998</v>
      </c>
      <c r="X24" s="322">
        <f>+'SEP ORIGEN'!X24-'GENERADO PS locales'!X184</f>
        <v>108.15529199999999</v>
      </c>
      <c r="Y24" s="322">
        <f>+'SEP ORIGEN'!Y24-'GENERADO PS locales'!Y184</f>
        <v>108.29702099999999</v>
      </c>
      <c r="Z24" s="322">
        <f>+'SEP ORIGEN'!Z24-'GENERADO PS locales'!Z184</f>
        <v>108.44124900000001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38">
        <f>+'SEP ORIGEN'!P25</f>
        <v>195.42896099999996</v>
      </c>
      <c r="E25" s="278"/>
      <c r="F25" s="263"/>
      <c r="G25" s="322">
        <f>+'SEP ORIGEN'!G25-'GENERADO PS locales'!G185</f>
        <v>4.8955340999999999</v>
      </c>
      <c r="H25" s="322">
        <f>+'SEP ORIGEN'!H25-'GENERADO PS locales'!H185</f>
        <v>39.737183999999999</v>
      </c>
      <c r="I25" s="322">
        <f>+'SEP ORIGEN'!I25-'GENERADO PS locales'!I185</f>
        <v>75.598771499999998</v>
      </c>
      <c r="J25" s="322">
        <f>+'SEP ORIGEN'!J25-'GENERADO PS locales'!J185</f>
        <v>127.8471675</v>
      </c>
      <c r="K25" s="322">
        <f>+'SEP ORIGEN'!K25-'GENERADO PS locales'!K185</f>
        <v>181.61688299999997</v>
      </c>
      <c r="L25" s="322">
        <f>+'SEP ORIGEN'!L25-'GENERADO PS locales'!L185</f>
        <v>184.29066599999999</v>
      </c>
      <c r="M25" s="322">
        <f>+'SEP ORIGEN'!M25-'GENERADO PS locales'!M185</f>
        <v>187.00787699999998</v>
      </c>
      <c r="N25" s="322">
        <f>+'SEP ORIGEN'!N25-'GENERADO PS locales'!N185</f>
        <v>189.76950299999999</v>
      </c>
      <c r="O25" s="322">
        <f>+'SEP ORIGEN'!O25-'GENERADO PS locales'!O185</f>
        <v>192.57653099999996</v>
      </c>
      <c r="P25" s="322">
        <f>+'SEP ORIGEN'!P25-'GENERADO PS locales'!P185</f>
        <v>195.42896099999996</v>
      </c>
      <c r="Q25" s="322">
        <f>+'SEP ORIGEN'!Q25-'GENERADO PS locales'!Q185</f>
        <v>198.32827349999997</v>
      </c>
      <c r="R25" s="322">
        <f>+'SEP ORIGEN'!R25-'GENERADO PS locales'!R185</f>
        <v>201.27446849999995</v>
      </c>
      <c r="S25" s="322">
        <f>+'SEP ORIGEN'!S25-'GENERADO PS locales'!S185</f>
        <v>204.26902649999997</v>
      </c>
      <c r="T25" s="322">
        <f>+'SEP ORIGEN'!T25-'GENERADO PS locales'!T185</f>
        <v>207.31244100000001</v>
      </c>
      <c r="U25" s="322">
        <f>+'SEP ORIGEN'!U25-'GENERADO PS locales'!U185</f>
        <v>210.40520549999999</v>
      </c>
      <c r="V25" s="322">
        <f>+'SEP ORIGEN'!V25-'GENERADO PS locales'!V185</f>
        <v>213.54880049999997</v>
      </c>
      <c r="W25" s="322">
        <f>+'SEP ORIGEN'!W25-'GENERADO PS locales'!W185</f>
        <v>216.74322599999996</v>
      </c>
      <c r="X25" s="322">
        <f>+'SEP ORIGEN'!X25-'GENERADO PS locales'!X185</f>
        <v>219.99045599999997</v>
      </c>
      <c r="Y25" s="322">
        <f>+'SEP ORIGEN'!Y25-'GENERADO PS locales'!Y185</f>
        <v>223.28999699999997</v>
      </c>
      <c r="Z25" s="322">
        <f>+'SEP ORIGEN'!Z25-'GENERADO PS locales'!Z185</f>
        <v>226.64382299999997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38">
        <f>+'SEP ORIGEN'!P26</f>
        <v>254.6385975</v>
      </c>
      <c r="E26" s="278"/>
      <c r="F26" s="263"/>
      <c r="G26" s="322">
        <f>+'SEP ORIGEN'!G26-'GENERADO PS locales'!G186</f>
        <v>6.5039774999999995</v>
      </c>
      <c r="H26" s="322">
        <f>+'SEP ORIGEN'!H26-'GENERADO PS locales'!H186</f>
        <v>52.717531200000003</v>
      </c>
      <c r="I26" s="322">
        <f>+'SEP ORIGEN'!I26-'GENERADO PS locales'!I186</f>
        <v>100.13107949999998</v>
      </c>
      <c r="J26" s="322">
        <f>+'SEP ORIGEN'!J26-'GENERADO PS locales'!J186</f>
        <v>169.02797999999999</v>
      </c>
      <c r="K26" s="322">
        <f>+'SEP ORIGEN'!K26-'GENERADO PS locales'!K186</f>
        <v>239.63915849999995</v>
      </c>
      <c r="L26" s="322">
        <f>+'SEP ORIGEN'!L26-'GENERADO PS locales'!L186</f>
        <v>242.63914499999996</v>
      </c>
      <c r="M26" s="322">
        <f>+'SEP ORIGEN'!M26-'GENERADO PS locales'!M186</f>
        <v>245.63863799999996</v>
      </c>
      <c r="N26" s="322">
        <f>+'SEP ORIGEN'!N26-'GENERADO PS locales'!N186</f>
        <v>248.63862449999993</v>
      </c>
      <c r="O26" s="322">
        <f>+'SEP ORIGEN'!O26-'GENERADO PS locales'!O186</f>
        <v>251.63861099999997</v>
      </c>
      <c r="P26" s="322">
        <f>+'SEP ORIGEN'!P26-'GENERADO PS locales'!P186</f>
        <v>254.6385975</v>
      </c>
      <c r="Q26" s="322">
        <f>+'SEP ORIGEN'!Q26-'GENERADO PS locales'!Q186</f>
        <v>257.63858399999998</v>
      </c>
      <c r="R26" s="322">
        <f>+'SEP ORIGEN'!R26-'GENERADO PS locales'!R186</f>
        <v>260.63857050000001</v>
      </c>
      <c r="S26" s="322">
        <f>+'SEP ORIGEN'!S26-'GENERADO PS locales'!S186</f>
        <v>263.63855699999993</v>
      </c>
      <c r="T26" s="322">
        <f>+'SEP ORIGEN'!T26-'GENERADO PS locales'!T186</f>
        <v>266.63854349999997</v>
      </c>
      <c r="U26" s="322">
        <f>+'SEP ORIGEN'!U26-'GENERADO PS locales'!U186</f>
        <v>269.63852999999995</v>
      </c>
      <c r="V26" s="322">
        <f>+'SEP ORIGEN'!V26-'GENERADO PS locales'!V186</f>
        <v>272.63851649999998</v>
      </c>
      <c r="W26" s="322">
        <f>+'SEP ORIGEN'!W26-'GENERADO PS locales'!W186</f>
        <v>275.63850299999996</v>
      </c>
      <c r="X26" s="322">
        <f>+'SEP ORIGEN'!X26-'GENERADO PS locales'!X186</f>
        <v>278.63848949999999</v>
      </c>
      <c r="Y26" s="322">
        <f>+'SEP ORIGEN'!Y26-'GENERADO PS locales'!Y186</f>
        <v>281.63847599999997</v>
      </c>
      <c r="Z26" s="322">
        <f>+'SEP ORIGEN'!Z26-'GENERADO PS locales'!Z186</f>
        <v>284.6384625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38">
        <f>+'SEP ORIGEN'!P27</f>
        <v>177.04855349999997</v>
      </c>
      <c r="E27" s="278"/>
      <c r="F27" s="263"/>
      <c r="G27" s="322">
        <f>+'SEP ORIGEN'!G27-'GENERADO PS locales'!G187</f>
        <v>4.9511868000000003</v>
      </c>
      <c r="H27" s="322">
        <f>+'SEP ORIGEN'!H27-'GENERADO PS locales'!H187</f>
        <v>39.698831999999996</v>
      </c>
      <c r="I27" s="322">
        <f>+'SEP ORIGEN'!I27-'GENERADO PS locales'!I187</f>
        <v>74.605567499999992</v>
      </c>
      <c r="J27" s="322">
        <f>+'SEP ORIGEN'!J27-'GENERADO PS locales'!J187</f>
        <v>124.63131</v>
      </c>
      <c r="K27" s="322">
        <f>+'SEP ORIGEN'!K27-'GENERADO PS locales'!K187</f>
        <v>174.89393249999998</v>
      </c>
      <c r="L27" s="322">
        <f>+'SEP ORIGEN'!L27-'GENERADO PS locales'!L187</f>
        <v>175.31093999999999</v>
      </c>
      <c r="M27" s="322">
        <f>+'SEP ORIGEN'!M27-'GENERADO PS locales'!M187</f>
        <v>175.73485649999998</v>
      </c>
      <c r="N27" s="322">
        <f>+'SEP ORIGEN'!N27-'GENERADO PS locales'!N187</f>
        <v>176.16568199999998</v>
      </c>
      <c r="O27" s="322">
        <f>+'SEP ORIGEN'!O27-'GENERADO PS locales'!O187</f>
        <v>176.60341649999998</v>
      </c>
      <c r="P27" s="322">
        <f>+'SEP ORIGEN'!P27-'GENERADO PS locales'!P187</f>
        <v>177.04855349999997</v>
      </c>
      <c r="Q27" s="322">
        <f>+'SEP ORIGEN'!Q27-'GENERADO PS locales'!Q187</f>
        <v>177.501093</v>
      </c>
      <c r="R27" s="322">
        <f>+'SEP ORIGEN'!R27-'GENERADO PS locales'!R187</f>
        <v>177.96054149999998</v>
      </c>
      <c r="S27" s="322">
        <f>+'SEP ORIGEN'!S27-'GENERADO PS locales'!S187</f>
        <v>178.4273925</v>
      </c>
      <c r="T27" s="322">
        <f>+'SEP ORIGEN'!T27-'GENERADO PS locales'!T187</f>
        <v>178.90213949999998</v>
      </c>
      <c r="U27" s="322">
        <f>+'SEP ORIGEN'!U27-'GENERADO PS locales'!U187</f>
        <v>179.38478249999997</v>
      </c>
      <c r="V27" s="322">
        <f>+'SEP ORIGEN'!V27-'GENERADO PS locales'!V187</f>
        <v>179.87532149999998</v>
      </c>
      <c r="W27" s="322">
        <f>+'SEP ORIGEN'!W27-'GENERADO PS locales'!W187</f>
        <v>180.37326299999998</v>
      </c>
      <c r="X27" s="322">
        <f>+'SEP ORIGEN'!X27-'GENERADO PS locales'!X187</f>
        <v>180.88008749999995</v>
      </c>
      <c r="Y27" s="322">
        <f>+'SEP ORIGEN'!Y27-'GENERADO PS locales'!Y187</f>
        <v>181.39480799999995</v>
      </c>
      <c r="Z27" s="322">
        <f>+'SEP ORIGEN'!Z27-'GENERADO PS locales'!Z187</f>
        <v>181.91791799999999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38">
        <f>+'SEP ORIGEN'!P28</f>
        <v>87.551750999999996</v>
      </c>
      <c r="E28" s="278"/>
      <c r="F28" s="263"/>
      <c r="G28" s="322">
        <f>+'SEP ORIGEN'!G28-'GENERADO PS locales'!G188</f>
        <v>2.6019281999999997</v>
      </c>
      <c r="H28" s="322">
        <f>+'SEP ORIGEN'!H28-'GENERADO PS locales'!H188</f>
        <v>20.731785599999998</v>
      </c>
      <c r="I28" s="322">
        <f>+'SEP ORIGEN'!I28-'GENERADO PS locales'!I188</f>
        <v>38.712825000000002</v>
      </c>
      <c r="J28" s="322">
        <f>+'SEP ORIGEN'!J28-'GENERADO PS locales'!J188</f>
        <v>64.251329999999996</v>
      </c>
      <c r="K28" s="322">
        <f>+'SEP ORIGEN'!K28-'GENERADO PS locales'!K188</f>
        <v>89.568087000000006</v>
      </c>
      <c r="L28" s="322">
        <f>+'SEP ORIGEN'!L28-'GENERADO PS locales'!L188</f>
        <v>89.177529000000007</v>
      </c>
      <c r="M28" s="322">
        <f>+'SEP ORIGEN'!M28-'GENERADO PS locales'!M188</f>
        <v>88.780901999999998</v>
      </c>
      <c r="N28" s="322">
        <f>+'SEP ORIGEN'!N28-'GENERADO PS locales'!N188</f>
        <v>88.377848999999998</v>
      </c>
      <c r="O28" s="322">
        <f>+'SEP ORIGEN'!O28-'GENERADO PS locales'!O188</f>
        <v>87.968012999999985</v>
      </c>
      <c r="P28" s="322">
        <f>+'SEP ORIGEN'!P28-'GENERADO PS locales'!P188</f>
        <v>87.551750999999996</v>
      </c>
      <c r="Q28" s="322">
        <f>+'SEP ORIGEN'!Q28-'GENERADO PS locales'!Q188</f>
        <v>87.128705999999994</v>
      </c>
      <c r="R28" s="322">
        <f>+'SEP ORIGEN'!R28-'GENERADO PS locales'!R188</f>
        <v>86.698521</v>
      </c>
      <c r="S28" s="322">
        <f>+'SEP ORIGEN'!S28-'GENERADO PS locales'!S188</f>
        <v>86.261553000000006</v>
      </c>
      <c r="T28" s="322">
        <f>+'SEP ORIGEN'!T28-'GENERADO PS locales'!T188</f>
        <v>85.817087999999998</v>
      </c>
      <c r="U28" s="322">
        <f>+'SEP ORIGEN'!U28-'GENERADO PS locales'!U188</f>
        <v>85.365839999999992</v>
      </c>
      <c r="V28" s="322">
        <f>+'SEP ORIGEN'!V28-'GENERADO PS locales'!V188</f>
        <v>84.90673799999999</v>
      </c>
      <c r="W28" s="322">
        <f>+'SEP ORIGEN'!W28-'GENERADO PS locales'!W188</f>
        <v>84.440495999999996</v>
      </c>
      <c r="X28" s="322">
        <f>+'SEP ORIGEN'!X28-'GENERADO PS locales'!X188</f>
        <v>83.966399999999993</v>
      </c>
      <c r="Y28" s="322">
        <f>+'SEP ORIGEN'!Y28-'GENERADO PS locales'!Y188</f>
        <v>83.484807000000004</v>
      </c>
      <c r="Z28" s="322">
        <f>+'SEP ORIGEN'!Z28-'GENERADO PS locales'!Z188</f>
        <v>82.995360000000005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38">
        <f>+'SEP ORIGEN'!P29</f>
        <v>9.5970279999999999</v>
      </c>
      <c r="E29" s="278"/>
      <c r="F29" s="263"/>
      <c r="G29" s="322">
        <f>+'SEP ORIGEN'!G29-'GENERADO PS locales'!G189</f>
        <v>0.26451240000000004</v>
      </c>
      <c r="H29" s="322">
        <f>+'SEP ORIGEN'!H29-'GENERADO PS locales'!H189</f>
        <v>2.1245791999999999</v>
      </c>
      <c r="I29" s="322">
        <f>+'SEP ORIGEN'!I29-'GENERADO PS locales'!I189</f>
        <v>3.9994860000000001</v>
      </c>
      <c r="J29" s="322">
        <f>+'SEP ORIGEN'!J29-'GENERADO PS locales'!J189</f>
        <v>6.6925750000000006</v>
      </c>
      <c r="K29" s="322">
        <f>+'SEP ORIGEN'!K29-'GENERADO PS locales'!K189</f>
        <v>9.407076</v>
      </c>
      <c r="L29" s="322">
        <f>+'SEP ORIGEN'!L29-'GENERADO PS locales'!L189</f>
        <v>9.444547</v>
      </c>
      <c r="M29" s="322">
        <f>+'SEP ORIGEN'!M29-'GENERADO PS locales'!M189</f>
        <v>9.4823889999999995</v>
      </c>
      <c r="N29" s="322">
        <f>+'SEP ORIGEN'!N29-'GENERADO PS locales'!N189</f>
        <v>9.5206020000000002</v>
      </c>
      <c r="O29" s="322">
        <f>+'SEP ORIGEN'!O29-'GENERADO PS locales'!O189</f>
        <v>9.5584439999999997</v>
      </c>
      <c r="P29" s="322">
        <f>+'SEP ORIGEN'!P29-'GENERADO PS locales'!P189</f>
        <v>9.5970279999999999</v>
      </c>
      <c r="Q29" s="322">
        <f>+'SEP ORIGEN'!Q29-'GENERADO PS locales'!Q189</f>
        <v>9.6352409999999988</v>
      </c>
      <c r="R29" s="322">
        <f>+'SEP ORIGEN'!R29-'GENERADO PS locales'!R189</f>
        <v>9.6738250000000008</v>
      </c>
      <c r="S29" s="322">
        <f>+'SEP ORIGEN'!S29-'GENERADO PS locales'!S189</f>
        <v>9.7127800000000004</v>
      </c>
      <c r="T29" s="322">
        <f>+'SEP ORIGEN'!T29-'GENERADO PS locales'!T189</f>
        <v>9.7513639999999988</v>
      </c>
      <c r="U29" s="322">
        <f>+'SEP ORIGEN'!U29-'GENERADO PS locales'!U189</f>
        <v>9.7906899999999997</v>
      </c>
      <c r="V29" s="322">
        <f>+'SEP ORIGEN'!V29-'GENERADO PS locales'!V189</f>
        <v>9.8296449999999993</v>
      </c>
      <c r="W29" s="322">
        <f>+'SEP ORIGEN'!W29-'GENERADO PS locales'!W189</f>
        <v>9.8693419999999996</v>
      </c>
      <c r="X29" s="322">
        <f>+'SEP ORIGEN'!X29-'GENERADO PS locales'!X189</f>
        <v>9.9086680000000005</v>
      </c>
      <c r="Y29" s="322">
        <f>+'SEP ORIGEN'!Y29-'GENERADO PS locales'!Y189</f>
        <v>9.948364999999999</v>
      </c>
      <c r="Z29" s="322">
        <f>+'SEP ORIGEN'!Z29-'GENERADO PS locales'!Z189</f>
        <v>9.9880619999999993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38">
        <f>+'SEP ORIGEN'!P30</f>
        <v>16.647883</v>
      </c>
      <c r="E30" s="278"/>
      <c r="F30" s="263"/>
      <c r="G30" s="322">
        <f>+'SEP ORIGEN'!G30-'GENERADO PS locales'!G190</f>
        <v>0.44470179999999998</v>
      </c>
      <c r="H30" s="322">
        <f>+'SEP ORIGEN'!H30-'GENERADO PS locales'!H190</f>
        <v>3.5850895999999999</v>
      </c>
      <c r="I30" s="322">
        <f>+'SEP ORIGEN'!I30-'GENERADO PS locales'!I190</f>
        <v>6.7737180000000006</v>
      </c>
      <c r="J30" s="322">
        <f>+'SEP ORIGEN'!J30-'GENERADO PS locales'!J190</f>
        <v>11.375390000000001</v>
      </c>
      <c r="K30" s="322">
        <f>+'SEP ORIGEN'!K30-'GENERADO PS locales'!K190</f>
        <v>16.046121000000003</v>
      </c>
      <c r="L30" s="322">
        <f>+'SEP ORIGEN'!L30-'GENERADO PS locales'!L190</f>
        <v>16.166325000000001</v>
      </c>
      <c r="M30" s="322">
        <f>+'SEP ORIGEN'!M30-'GENERADO PS locales'!M190</f>
        <v>16.286899999999999</v>
      </c>
      <c r="N30" s="322">
        <f>+'SEP ORIGEN'!N30-'GENERADO PS locales'!N190</f>
        <v>16.407104</v>
      </c>
      <c r="O30" s="322">
        <f>+'SEP ORIGEN'!O30-'GENERADO PS locales'!O190</f>
        <v>16.527678999999999</v>
      </c>
      <c r="P30" s="322">
        <f>+'SEP ORIGEN'!P30-'GENERADO PS locales'!P190</f>
        <v>16.647883</v>
      </c>
      <c r="Q30" s="322">
        <f>+'SEP ORIGEN'!Q30-'GENERADO PS locales'!Q190</f>
        <v>16.768457999999999</v>
      </c>
      <c r="R30" s="322">
        <f>+'SEP ORIGEN'!R30-'GENERADO PS locales'!R190</f>
        <v>16.888662</v>
      </c>
      <c r="S30" s="322">
        <f>+'SEP ORIGEN'!S30-'GENERADO PS locales'!S190</f>
        <v>17.009236999999999</v>
      </c>
      <c r="T30" s="322">
        <f>+'SEP ORIGEN'!T30-'GENERADO PS locales'!T190</f>
        <v>17.129441</v>
      </c>
      <c r="U30" s="322">
        <f>+'SEP ORIGEN'!U30-'GENERADO PS locales'!U190</f>
        <v>17.249644999999997</v>
      </c>
      <c r="V30" s="322">
        <f>+'SEP ORIGEN'!V30-'GENERADO PS locales'!V190</f>
        <v>17.37022</v>
      </c>
      <c r="W30" s="322">
        <f>+'SEP ORIGEN'!W30-'GENERADO PS locales'!W190</f>
        <v>17.490423999999997</v>
      </c>
      <c r="X30" s="322">
        <f>+'SEP ORIGEN'!X30-'GENERADO PS locales'!X190</f>
        <v>17.610999</v>
      </c>
      <c r="Y30" s="322">
        <f>+'SEP ORIGEN'!Y30-'GENERADO PS locales'!Y190</f>
        <v>17.731203000000001</v>
      </c>
      <c r="Z30" s="322">
        <f>+'SEP ORIGEN'!Z30-'GENERADO PS locales'!Z190</f>
        <v>17.851777999999999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38">
        <f>+'SEP ORIGEN'!P31</f>
        <v>3.51302</v>
      </c>
      <c r="E31" s="278"/>
      <c r="F31" s="263"/>
      <c r="G31" s="322">
        <f>+'SEP ORIGEN'!G31-'GENERADO PS locales'!G191</f>
        <v>9.5597200000000007E-2</v>
      </c>
      <c r="H31" s="322">
        <f>+'SEP ORIGEN'!H31-'GENERADO PS locales'!H191</f>
        <v>0.76897280000000001</v>
      </c>
      <c r="I31" s="322">
        <f>+'SEP ORIGEN'!I31-'GENERADO PS locales'!I191</f>
        <v>1.4498280000000001</v>
      </c>
      <c r="J31" s="322">
        <f>+'SEP ORIGEN'!J31-'GENERADO PS locales'!J191</f>
        <v>2.4297200000000001</v>
      </c>
      <c r="K31" s="322">
        <f>+'SEP ORIGEN'!K31-'GENERADO PS locales'!K191</f>
        <v>3.4199619999999995</v>
      </c>
      <c r="L31" s="322">
        <f>+'SEP ORIGEN'!L31-'GENERADO PS locales'!L191</f>
        <v>3.4386380000000001</v>
      </c>
      <c r="M31" s="322">
        <f>+'SEP ORIGEN'!M31-'GENERADO PS locales'!M191</f>
        <v>3.4573139999999998</v>
      </c>
      <c r="N31" s="322">
        <f>+'SEP ORIGEN'!N31-'GENERADO PS locales'!N191</f>
        <v>3.4756679999999998</v>
      </c>
      <c r="O31" s="322">
        <f>+'SEP ORIGEN'!O31-'GENERADO PS locales'!O191</f>
        <v>3.4943439999999999</v>
      </c>
      <c r="P31" s="322">
        <f>+'SEP ORIGEN'!P31-'GENERADO PS locales'!P191</f>
        <v>3.51302</v>
      </c>
      <c r="Q31" s="322">
        <f>+'SEP ORIGEN'!Q31-'GENERADO PS locales'!Q191</f>
        <v>3.531374</v>
      </c>
      <c r="R31" s="322">
        <f>+'SEP ORIGEN'!R31-'GENERADO PS locales'!R191</f>
        <v>3.5500500000000001</v>
      </c>
      <c r="S31" s="322">
        <f>+'SEP ORIGEN'!S31-'GENERADO PS locales'!S191</f>
        <v>3.5687259999999998</v>
      </c>
      <c r="T31" s="322">
        <f>+'SEP ORIGEN'!T31-'GENERADO PS locales'!T191</f>
        <v>3.5870800000000003</v>
      </c>
      <c r="U31" s="322">
        <f>+'SEP ORIGEN'!U31-'GENERADO PS locales'!U191</f>
        <v>3.605756</v>
      </c>
      <c r="V31" s="322">
        <f>+'SEP ORIGEN'!V31-'GENERADO PS locales'!V191</f>
        <v>3.6244319999999997</v>
      </c>
      <c r="W31" s="322">
        <f>+'SEP ORIGEN'!W31-'GENERADO PS locales'!W191</f>
        <v>3.6431080000000002</v>
      </c>
      <c r="X31" s="322">
        <f>+'SEP ORIGEN'!X31-'GENERADO PS locales'!X191</f>
        <v>3.6614619999999993</v>
      </c>
      <c r="Y31" s="322">
        <f>+'SEP ORIGEN'!Y31-'GENERADO PS locales'!Y191</f>
        <v>3.6801379999999999</v>
      </c>
      <c r="Z31" s="322">
        <f>+'SEP ORIGEN'!Z31-'GENERADO PS locales'!Z191</f>
        <v>3.6988140000000005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38">
        <f>+'SEP ORIGEN'!P32</f>
        <v>3.4093360000000001</v>
      </c>
      <c r="E32" s="278"/>
      <c r="F32" s="263"/>
      <c r="G32" s="322">
        <f>+'SEP ORIGEN'!G32-'GENERADO PS locales'!G192</f>
        <v>8.9083599999999999E-2</v>
      </c>
      <c r="H32" s="322">
        <f>+'SEP ORIGEN'!H32-'GENERADO PS locales'!H192</f>
        <v>0.71855680000000011</v>
      </c>
      <c r="I32" s="322">
        <f>+'SEP ORIGEN'!I32-'GENERADO PS locales'!I192</f>
        <v>1.3583339999999999</v>
      </c>
      <c r="J32" s="322">
        <f>+'SEP ORIGEN'!J32-'GENERADO PS locales'!J192</f>
        <v>2.2822900000000002</v>
      </c>
      <c r="K32" s="322">
        <f>+'SEP ORIGEN'!K32-'GENERADO PS locales'!K192</f>
        <v>3.2209659999999998</v>
      </c>
      <c r="L32" s="322">
        <f>+'SEP ORIGEN'!L32-'GENERADO PS locales'!L192</f>
        <v>3.2586399999999998</v>
      </c>
      <c r="M32" s="322">
        <f>+'SEP ORIGEN'!M32-'GENERADO PS locales'!M192</f>
        <v>3.2963140000000002</v>
      </c>
      <c r="N32" s="322">
        <f>+'SEP ORIGEN'!N32-'GENERADO PS locales'!N192</f>
        <v>3.3339879999999997</v>
      </c>
      <c r="O32" s="322">
        <f>+'SEP ORIGEN'!O32-'GENERADO PS locales'!O192</f>
        <v>3.3716619999999997</v>
      </c>
      <c r="P32" s="322">
        <f>+'SEP ORIGEN'!P32-'GENERADO PS locales'!P192</f>
        <v>3.4093360000000001</v>
      </c>
      <c r="Q32" s="322">
        <f>+'SEP ORIGEN'!Q32-'GENERADO PS locales'!Q192</f>
        <v>3.4470100000000001</v>
      </c>
      <c r="R32" s="322">
        <f>+'SEP ORIGEN'!R32-'GENERADO PS locales'!R192</f>
        <v>3.4846839999999997</v>
      </c>
      <c r="S32" s="322">
        <f>+'SEP ORIGEN'!S32-'GENERADO PS locales'!S192</f>
        <v>3.5223580000000001</v>
      </c>
      <c r="T32" s="322">
        <f>+'SEP ORIGEN'!T32-'GENERADO PS locales'!T192</f>
        <v>3.5600320000000001</v>
      </c>
      <c r="U32" s="322">
        <f>+'SEP ORIGEN'!U32-'GENERADO PS locales'!U192</f>
        <v>3.5977059999999996</v>
      </c>
      <c r="V32" s="322">
        <f>+'SEP ORIGEN'!V32-'GENERADO PS locales'!V192</f>
        <v>3.6353800000000001</v>
      </c>
      <c r="W32" s="322">
        <f>+'SEP ORIGEN'!W32-'GENERADO PS locales'!W192</f>
        <v>3.673054</v>
      </c>
      <c r="X32" s="322">
        <f>+'SEP ORIGEN'!X32-'GENERADO PS locales'!X192</f>
        <v>3.7107279999999996</v>
      </c>
      <c r="Y32" s="322">
        <f>+'SEP ORIGEN'!Y32-'GENERADO PS locales'!Y192</f>
        <v>3.748402</v>
      </c>
      <c r="Z32" s="322">
        <f>+'SEP ORIGEN'!Z32-'GENERADO PS locales'!Z192</f>
        <v>3.786076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38">
        <f>+'SEP ORIGEN'!P33</f>
        <v>3.7947699999999998</v>
      </c>
      <c r="E33" s="278"/>
      <c r="F33" s="263"/>
      <c r="G33" s="322">
        <f>+'SEP ORIGEN'!G33-'GENERADO PS locales'!G193</f>
        <v>9.4695600000000019E-2</v>
      </c>
      <c r="H33" s="322">
        <f>+'SEP ORIGEN'!H33-'GENERADO PS locales'!H193</f>
        <v>0.76831040000000006</v>
      </c>
      <c r="I33" s="322">
        <f>+'SEP ORIGEN'!I33-'GENERADO PS locales'!I193</f>
        <v>1.4607300000000001</v>
      </c>
      <c r="J33" s="322">
        <f>+'SEP ORIGEN'!J33-'GENERADO PS locales'!J193</f>
        <v>2.4679000000000002</v>
      </c>
      <c r="K33" s="322">
        <f>+'SEP ORIGEN'!K33-'GENERADO PS locales'!K193</f>
        <v>3.5020719999999996</v>
      </c>
      <c r="L33" s="322">
        <f>+'SEP ORIGEN'!L33-'GENERADO PS locales'!L193</f>
        <v>3.560676</v>
      </c>
      <c r="M33" s="322">
        <f>+'SEP ORIGEN'!M33-'GENERADO PS locales'!M193</f>
        <v>3.6189580000000001</v>
      </c>
      <c r="N33" s="322">
        <f>+'SEP ORIGEN'!N33-'GENERADO PS locales'!N193</f>
        <v>3.6775619999999996</v>
      </c>
      <c r="O33" s="322">
        <f>+'SEP ORIGEN'!O33-'GENERADO PS locales'!O193</f>
        <v>3.7361659999999999</v>
      </c>
      <c r="P33" s="322">
        <f>+'SEP ORIGEN'!P33-'GENERADO PS locales'!P193</f>
        <v>3.7947699999999998</v>
      </c>
      <c r="Q33" s="322">
        <f>+'SEP ORIGEN'!Q33-'GENERADO PS locales'!Q193</f>
        <v>3.8530519999999999</v>
      </c>
      <c r="R33" s="322">
        <f>+'SEP ORIGEN'!R33-'GENERADO PS locales'!R193</f>
        <v>3.9116559999999994</v>
      </c>
      <c r="S33" s="322">
        <f>+'SEP ORIGEN'!S33-'GENERADO PS locales'!S193</f>
        <v>3.9702599999999997</v>
      </c>
      <c r="T33" s="322">
        <f>+'SEP ORIGEN'!T33-'GENERADO PS locales'!T193</f>
        <v>4.0285419999999998</v>
      </c>
      <c r="U33" s="322">
        <f>+'SEP ORIGEN'!U33-'GENERADO PS locales'!U193</f>
        <v>4.0871460000000006</v>
      </c>
      <c r="V33" s="322">
        <f>+'SEP ORIGEN'!V33-'GENERADO PS locales'!V193</f>
        <v>4.1457499999999996</v>
      </c>
      <c r="W33" s="322">
        <f>+'SEP ORIGEN'!W33-'GENERADO PS locales'!W193</f>
        <v>4.2040319999999998</v>
      </c>
      <c r="X33" s="322">
        <f>+'SEP ORIGEN'!X33-'GENERADO PS locales'!X193</f>
        <v>4.2626360000000005</v>
      </c>
      <c r="Y33" s="322">
        <f>+'SEP ORIGEN'!Y33-'GENERADO PS locales'!Y193</f>
        <v>4.3212399999999995</v>
      </c>
      <c r="Z33" s="322">
        <f>+'SEP ORIGEN'!Z33-'GENERADO PS locales'!Z193</f>
        <v>4.3798439999999994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38">
        <f>+'SEP ORIGEN'!P34</f>
        <v>12.279729</v>
      </c>
      <c r="E34" s="278"/>
      <c r="F34" s="263"/>
      <c r="G34" s="322">
        <f>+'SEP ORIGEN'!G34-'GENERADO PS locales'!G194</f>
        <v>0.3234166</v>
      </c>
      <c r="H34" s="322">
        <f>+'SEP ORIGEN'!H34-'GENERADO PS locales'!H194</f>
        <v>2.6108224</v>
      </c>
      <c r="I34" s="322">
        <f>+'SEP ORIGEN'!I34-'GENERADO PS locales'!I194</f>
        <v>4.9398119999999999</v>
      </c>
      <c r="J34" s="322">
        <f>+'SEP ORIGEN'!J34-'GENERADO PS locales'!J194</f>
        <v>8.3077500000000004</v>
      </c>
      <c r="K34" s="322">
        <f>+'SEP ORIGEN'!K34-'GENERADO PS locales'!K194</f>
        <v>11.736584999999998</v>
      </c>
      <c r="L34" s="322">
        <f>+'SEP ORIGEN'!L34-'GENERADO PS locales'!L194</f>
        <v>11.843433000000003</v>
      </c>
      <c r="M34" s="322">
        <f>+'SEP ORIGEN'!M34-'GENERADO PS locales'!M194</f>
        <v>11.951022999999999</v>
      </c>
      <c r="N34" s="322">
        <f>+'SEP ORIGEN'!N34-'GENERADO PS locales'!N194</f>
        <v>12.059355</v>
      </c>
      <c r="O34" s="322">
        <f>+'SEP ORIGEN'!O34-'GENERADO PS locales'!O194</f>
        <v>12.169171</v>
      </c>
      <c r="P34" s="322">
        <f>+'SEP ORIGEN'!P34-'GENERADO PS locales'!P194</f>
        <v>12.279729</v>
      </c>
      <c r="Q34" s="322">
        <f>+'SEP ORIGEN'!Q34-'GENERADO PS locales'!Q194</f>
        <v>12.391029</v>
      </c>
      <c r="R34" s="322">
        <f>+'SEP ORIGEN'!R34-'GENERADO PS locales'!R194</f>
        <v>12.503812999999999</v>
      </c>
      <c r="S34" s="322">
        <f>+'SEP ORIGEN'!S34-'GENERADO PS locales'!S194</f>
        <v>12.617338999999999</v>
      </c>
      <c r="T34" s="322">
        <f>+'SEP ORIGEN'!T34-'GENERADO PS locales'!T194</f>
        <v>12.731978</v>
      </c>
      <c r="U34" s="322">
        <f>+'SEP ORIGEN'!U34-'GENERADO PS locales'!U194</f>
        <v>12.847730000000002</v>
      </c>
      <c r="V34" s="322">
        <f>+'SEP ORIGEN'!V34-'GENERADO PS locales'!V194</f>
        <v>12.964595000000001</v>
      </c>
      <c r="W34" s="322">
        <f>+'SEP ORIGEN'!W34-'GENERADO PS locales'!W194</f>
        <v>13.082202000000001</v>
      </c>
      <c r="X34" s="322">
        <f>+'SEP ORIGEN'!X34-'GENERADO PS locales'!X194</f>
        <v>13.201293000000001</v>
      </c>
      <c r="Y34" s="322">
        <f>+'SEP ORIGEN'!Y34-'GENERADO PS locales'!Y194</f>
        <v>13.321126</v>
      </c>
      <c r="Z34" s="322">
        <f>+'SEP ORIGEN'!Z34-'GENERADO PS locales'!Z194</f>
        <v>13.442072000000003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38">
        <f>+'SEP ORIGEN'!P35</f>
        <v>7.4938290000000007</v>
      </c>
      <c r="E35" s="278"/>
      <c r="F35" s="263"/>
      <c r="G35" s="322">
        <f>+'SEP ORIGEN'!G35-'GENERADO PS locales'!G195</f>
        <v>0.20275680000000001</v>
      </c>
      <c r="H35" s="322">
        <f>+'SEP ORIGEN'!H35-'GENERADO PS locales'!H195</f>
        <v>1.6319759999999999</v>
      </c>
      <c r="I35" s="322">
        <f>+'SEP ORIGEN'!I35-'GENERADO PS locales'!I195</f>
        <v>3.0783989999999997</v>
      </c>
      <c r="J35" s="322">
        <f>+'SEP ORIGEN'!J35-'GENERADO PS locales'!J195</f>
        <v>5.1619350000000006</v>
      </c>
      <c r="K35" s="322">
        <f>+'SEP ORIGEN'!K35-'GENERADO PS locales'!K195</f>
        <v>7.2704869999999993</v>
      </c>
      <c r="L35" s="322">
        <f>+'SEP ORIGEN'!L35-'GENERADO PS locales'!L195</f>
        <v>7.3146360000000001</v>
      </c>
      <c r="M35" s="322">
        <f>+'SEP ORIGEN'!M35-'GENERADO PS locales'!M195</f>
        <v>7.3587850000000001</v>
      </c>
      <c r="N35" s="322">
        <f>+'SEP ORIGEN'!N35-'GENERADO PS locales'!N195</f>
        <v>7.403675999999999</v>
      </c>
      <c r="O35" s="322">
        <f>+'SEP ORIGEN'!O35-'GENERADO PS locales'!O195</f>
        <v>7.4485670000000006</v>
      </c>
      <c r="P35" s="322">
        <f>+'SEP ORIGEN'!P35-'GENERADO PS locales'!P195</f>
        <v>7.4938290000000007</v>
      </c>
      <c r="Q35" s="322">
        <f>+'SEP ORIGEN'!Q35-'GENERADO PS locales'!Q195</f>
        <v>7.5390910000000009</v>
      </c>
      <c r="R35" s="322">
        <f>+'SEP ORIGEN'!R35-'GENERADO PS locales'!R195</f>
        <v>7.5850949999999999</v>
      </c>
      <c r="S35" s="322">
        <f>+'SEP ORIGEN'!S35-'GENERADO PS locales'!S195</f>
        <v>7.631098999999999</v>
      </c>
      <c r="T35" s="322">
        <f>+'SEP ORIGEN'!T35-'GENERADO PS locales'!T195</f>
        <v>7.6771029999999998</v>
      </c>
      <c r="U35" s="322">
        <f>+'SEP ORIGEN'!U35-'GENERADO PS locales'!U195</f>
        <v>7.7238489999999995</v>
      </c>
      <c r="V35" s="322">
        <f>+'SEP ORIGEN'!V35-'GENERADO PS locales'!V195</f>
        <v>7.7705950000000001</v>
      </c>
      <c r="W35" s="322">
        <f>+'SEP ORIGEN'!W35-'GENERADO PS locales'!W195</f>
        <v>7.8177119999999993</v>
      </c>
      <c r="X35" s="322">
        <f>+'SEP ORIGEN'!X35-'GENERADO PS locales'!X195</f>
        <v>7.8651999999999997</v>
      </c>
      <c r="Y35" s="322">
        <f>+'SEP ORIGEN'!Y35-'GENERADO PS locales'!Y195</f>
        <v>7.9130589999999996</v>
      </c>
      <c r="Z35" s="322">
        <f>+'SEP ORIGEN'!Z35-'GENERADO PS locales'!Z195</f>
        <v>7.9609179999999995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38">
        <f>+'SEP ORIGEN'!P36</f>
        <v>26.110979999999998</v>
      </c>
      <c r="E36" s="278"/>
      <c r="F36" s="263"/>
      <c r="G36" s="322">
        <f>+'SEP ORIGEN'!G36-'GENERADO PS locales'!G196</f>
        <v>0.66193919999999995</v>
      </c>
      <c r="H36" s="322">
        <f>+'SEP ORIGEN'!H36-'GENERADO PS locales'!H196</f>
        <v>5.3592432000000008</v>
      </c>
      <c r="I36" s="322">
        <f>+'SEP ORIGEN'!I36-'GENERADO PS locales'!I196</f>
        <v>10.167921</v>
      </c>
      <c r="J36" s="322">
        <f>+'SEP ORIGEN'!J36-'GENERADO PS locales'!J196</f>
        <v>17.145435000000003</v>
      </c>
      <c r="K36" s="322">
        <f>+'SEP ORIGEN'!K36-'GENERADO PS locales'!K196</f>
        <v>24.282068999999996</v>
      </c>
      <c r="L36" s="322">
        <f>+'SEP ORIGEN'!L36-'GENERADO PS locales'!L196</f>
        <v>24.647993999999997</v>
      </c>
      <c r="M36" s="322">
        <f>+'SEP ORIGEN'!M36-'GENERADO PS locales'!M196</f>
        <v>25.013562</v>
      </c>
      <c r="N36" s="322">
        <f>+'SEP ORIGEN'!N36-'GENERADO PS locales'!N196</f>
        <v>25.379487000000001</v>
      </c>
      <c r="O36" s="322">
        <f>+'SEP ORIGEN'!O36-'GENERADO PS locales'!O196</f>
        <v>25.745054999999997</v>
      </c>
      <c r="P36" s="322">
        <f>+'SEP ORIGEN'!P36-'GENERADO PS locales'!P196</f>
        <v>26.110979999999998</v>
      </c>
      <c r="Q36" s="322">
        <f>+'SEP ORIGEN'!Q36-'GENERADO PS locales'!Q196</f>
        <v>26.476547999999998</v>
      </c>
      <c r="R36" s="322">
        <f>+'SEP ORIGEN'!R36-'GENERADO PS locales'!R196</f>
        <v>26.842472999999998</v>
      </c>
      <c r="S36" s="322">
        <f>+'SEP ORIGEN'!S36-'GENERADO PS locales'!S196</f>
        <v>27.208397999999999</v>
      </c>
      <c r="T36" s="322">
        <f>+'SEP ORIGEN'!T36-'GENERADO PS locales'!T196</f>
        <v>27.573965999999999</v>
      </c>
      <c r="U36" s="322">
        <f>+'SEP ORIGEN'!U36-'GENERADO PS locales'!U196</f>
        <v>27.939890999999999</v>
      </c>
      <c r="V36" s="322">
        <f>+'SEP ORIGEN'!V36-'GENERADO PS locales'!V196</f>
        <v>28.305458999999999</v>
      </c>
      <c r="W36" s="322">
        <f>+'SEP ORIGEN'!W36-'GENERADO PS locales'!W196</f>
        <v>28.671384000000003</v>
      </c>
      <c r="X36" s="322">
        <f>+'SEP ORIGEN'!X36-'GENERADO PS locales'!X196</f>
        <v>29.036951999999999</v>
      </c>
      <c r="Y36" s="322">
        <f>+'SEP ORIGEN'!Y36-'GENERADO PS locales'!Y196</f>
        <v>29.402876999999997</v>
      </c>
      <c r="Z36" s="322">
        <f>+'SEP ORIGEN'!Z36-'GENERADO PS locales'!Z196</f>
        <v>29.768801999999997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38">
        <f>+'SEP ORIGEN'!P37</f>
        <v>186.0282795</v>
      </c>
      <c r="E37" s="278"/>
      <c r="F37" s="263"/>
      <c r="G37" s="322">
        <f>+'SEP ORIGEN'!G37-'GENERADO PS locales'!G197</f>
        <v>4.7390523</v>
      </c>
      <c r="H37" s="322">
        <f>+'SEP ORIGEN'!H37-'GENERADO PS locales'!H197</f>
        <v>38.346811199999998</v>
      </c>
      <c r="I37" s="322">
        <f>+'SEP ORIGEN'!I37-'GENERADO PS locales'!I197</f>
        <v>72.714545999999984</v>
      </c>
      <c r="J37" s="322">
        <f>+'SEP ORIGEN'!J37-'GENERADO PS locales'!J197</f>
        <v>122.54803499999998</v>
      </c>
      <c r="K37" s="322">
        <f>+'SEP ORIGEN'!K37-'GENERADO PS locales'!K197</f>
        <v>173.46771749999999</v>
      </c>
      <c r="L37" s="322">
        <f>+'SEP ORIGEN'!L37-'GENERADO PS locales'!L197</f>
        <v>175.97963249999998</v>
      </c>
      <c r="M37" s="322">
        <f>+'SEP ORIGEN'!M37-'GENERADO PS locales'!M197</f>
        <v>178.49204099999997</v>
      </c>
      <c r="N37" s="322">
        <f>+'SEP ORIGEN'!N37-'GENERADO PS locales'!N197</f>
        <v>181.00395599999996</v>
      </c>
      <c r="O37" s="322">
        <f>+'SEP ORIGEN'!O37-'GENERADO PS locales'!O197</f>
        <v>183.51636449999998</v>
      </c>
      <c r="P37" s="322">
        <f>+'SEP ORIGEN'!P37-'GENERADO PS locales'!P197</f>
        <v>186.0282795</v>
      </c>
      <c r="Q37" s="322">
        <f>+'SEP ORIGEN'!Q37-'GENERADO PS locales'!Q197</f>
        <v>188.54068799999996</v>
      </c>
      <c r="R37" s="322">
        <f>+'SEP ORIGEN'!R37-'GENERADO PS locales'!R197</f>
        <v>191.05260299999998</v>
      </c>
      <c r="S37" s="322">
        <f>+'SEP ORIGEN'!S37-'GENERADO PS locales'!S197</f>
        <v>193.56451799999999</v>
      </c>
      <c r="T37" s="322">
        <f>+'SEP ORIGEN'!T37-'GENERADO PS locales'!T197</f>
        <v>196.07692649999996</v>
      </c>
      <c r="U37" s="322">
        <f>+'SEP ORIGEN'!U37-'GENERADO PS locales'!U197</f>
        <v>198.58884149999997</v>
      </c>
      <c r="V37" s="322">
        <f>+'SEP ORIGEN'!V37-'GENERADO PS locales'!V197</f>
        <v>201.10124999999999</v>
      </c>
      <c r="W37" s="322">
        <f>+'SEP ORIGEN'!W37-'GENERADO PS locales'!W197</f>
        <v>203.61316499999998</v>
      </c>
      <c r="X37" s="322">
        <f>+'SEP ORIGEN'!X37-'GENERADO PS locales'!X197</f>
        <v>206.12557349999997</v>
      </c>
      <c r="Y37" s="322">
        <f>+'SEP ORIGEN'!Y37-'GENERADO PS locales'!Y197</f>
        <v>208.63748849999999</v>
      </c>
      <c r="Z37" s="322">
        <f>+'SEP ORIGEN'!Z37-'GENERADO PS locales'!Z197</f>
        <v>211.14989699999995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38">
        <f>+'SEP ORIGEN'!P38</f>
        <v>20.444326</v>
      </c>
      <c r="E38" s="278"/>
      <c r="F38" s="263"/>
      <c r="G38" s="322">
        <f>+'SEP ORIGEN'!G38-'GENERADO PS locales'!G198</f>
        <v>0.51188460000000002</v>
      </c>
      <c r="H38" s="322">
        <f>+'SEP ORIGEN'!H38-'GENERADO PS locales'!H198</f>
        <v>4.1551999999999998</v>
      </c>
      <c r="I38" s="322">
        <f>+'SEP ORIGEN'!I38-'GENERADO PS locales'!I198</f>
        <v>7.9056390000000007</v>
      </c>
      <c r="J38" s="322">
        <f>+'SEP ORIGEN'!J38-'GENERADO PS locales'!J198</f>
        <v>13.370044999999999</v>
      </c>
      <c r="K38" s="322">
        <f>+'SEP ORIGEN'!K38-'GENERADO PS locales'!K198</f>
        <v>18.994458000000002</v>
      </c>
      <c r="L38" s="322">
        <f>+'SEP ORIGEN'!L38-'GENERADO PS locales'!L198</f>
        <v>19.274933999999998</v>
      </c>
      <c r="M38" s="322">
        <f>+'SEP ORIGEN'!M38-'GENERADO PS locales'!M198</f>
        <v>19.560233</v>
      </c>
      <c r="N38" s="322">
        <f>+'SEP ORIGEN'!N38-'GENERADO PS locales'!N198</f>
        <v>19.850355</v>
      </c>
      <c r="O38" s="322">
        <f>+'SEP ORIGEN'!O38-'GENERADO PS locales'!O198</f>
        <v>20.144929000000001</v>
      </c>
      <c r="P38" s="322">
        <f>+'SEP ORIGEN'!P38-'GENERADO PS locales'!P198</f>
        <v>20.444326</v>
      </c>
      <c r="Q38" s="322">
        <f>+'SEP ORIGEN'!Q38-'GENERADO PS locales'!Q198</f>
        <v>20.748546000000001</v>
      </c>
      <c r="R38" s="322">
        <f>+'SEP ORIGEN'!R38-'GENERADO PS locales'!R198</f>
        <v>21.057960000000001</v>
      </c>
      <c r="S38" s="322">
        <f>+'SEP ORIGEN'!S38-'GENERADO PS locales'!S198</f>
        <v>21.372197</v>
      </c>
      <c r="T38" s="322">
        <f>+'SEP ORIGEN'!T38-'GENERADO PS locales'!T198</f>
        <v>21.691628000000001</v>
      </c>
      <c r="U38" s="322">
        <f>+'SEP ORIGEN'!U38-'GENERADO PS locales'!U198</f>
        <v>22.016252999999999</v>
      </c>
      <c r="V38" s="322">
        <f>+'SEP ORIGEN'!V38-'GENERADO PS locales'!V198</f>
        <v>22.346443000000001</v>
      </c>
      <c r="W38" s="322">
        <f>+'SEP ORIGEN'!W38-'GENERADO PS locales'!W198</f>
        <v>22.681827000000002</v>
      </c>
      <c r="X38" s="322">
        <f>+'SEP ORIGEN'!X38-'GENERADO PS locales'!X198</f>
        <v>23.022404999999999</v>
      </c>
      <c r="Y38" s="322">
        <f>+'SEP ORIGEN'!Y38-'GENERADO PS locales'!Y198</f>
        <v>23.368918999999998</v>
      </c>
      <c r="Z38" s="322">
        <f>+'SEP ORIGEN'!Z38-'GENERADO PS locales'!Z198</f>
        <v>23.720998000000002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38">
        <f>+'SEP ORIGEN'!P39</f>
        <v>13.620522999999999</v>
      </c>
      <c r="E39" s="278"/>
      <c r="F39" s="263"/>
      <c r="G39" s="322">
        <f>+'SEP ORIGEN'!G39-'GENERADO PS locales'!G199</f>
        <v>0.35541800000000001</v>
      </c>
      <c r="H39" s="322">
        <f>+'SEP ORIGEN'!H39-'GENERADO PS locales'!H199</f>
        <v>2.8721760000000005</v>
      </c>
      <c r="I39" s="322">
        <f>+'SEP ORIGEN'!I39-'GENERADO PS locales'!I199</f>
        <v>5.4398669999999996</v>
      </c>
      <c r="J39" s="322">
        <f>+'SEP ORIGEN'!J39-'GENERADO PS locales'!J199</f>
        <v>9.1581349999999997</v>
      </c>
      <c r="K39" s="322">
        <f>+'SEP ORIGEN'!K39-'GENERADO PS locales'!K199</f>
        <v>12.951238999999999</v>
      </c>
      <c r="L39" s="322">
        <f>+'SEP ORIGEN'!L39-'GENERADO PS locales'!L199</f>
        <v>13.082572999999998</v>
      </c>
      <c r="M39" s="322">
        <f>+'SEP ORIGEN'!M39-'GENERADO PS locales'!M199</f>
        <v>13.215020000000001</v>
      </c>
      <c r="N39" s="322">
        <f>+'SEP ORIGEN'!N39-'GENERADO PS locales'!N199</f>
        <v>13.348951</v>
      </c>
      <c r="O39" s="322">
        <f>+'SEP ORIGEN'!O39-'GENERADO PS locales'!O199</f>
        <v>13.483995000000002</v>
      </c>
      <c r="P39" s="322">
        <f>+'SEP ORIGEN'!P39-'GENERADO PS locales'!P199</f>
        <v>13.620522999999999</v>
      </c>
      <c r="Q39" s="322">
        <f>+'SEP ORIGEN'!Q39-'GENERADO PS locales'!Q199</f>
        <v>13.758534999999998</v>
      </c>
      <c r="R39" s="322">
        <f>+'SEP ORIGEN'!R39-'GENERADO PS locales'!R199</f>
        <v>13.898031</v>
      </c>
      <c r="S39" s="322">
        <f>+'SEP ORIGEN'!S39-'GENERADO PS locales'!S199</f>
        <v>14.038639999999999</v>
      </c>
      <c r="T39" s="322">
        <f>+'SEP ORIGEN'!T39-'GENERADO PS locales'!T199</f>
        <v>14.180733</v>
      </c>
      <c r="U39" s="322">
        <f>+'SEP ORIGEN'!U39-'GENERADO PS locales'!U199</f>
        <v>14.324681</v>
      </c>
      <c r="V39" s="322">
        <f>+'SEP ORIGEN'!V39-'GENERADO PS locales'!V199</f>
        <v>14.469742</v>
      </c>
      <c r="W39" s="322">
        <f>+'SEP ORIGEN'!W39-'GENERADO PS locales'!W199</f>
        <v>14.616287</v>
      </c>
      <c r="X39" s="322">
        <f>+'SEP ORIGEN'!X39-'GENERADO PS locales'!X199</f>
        <v>14.764315999999999</v>
      </c>
      <c r="Y39" s="322">
        <f>+'SEP ORIGEN'!Y39-'GENERADO PS locales'!Y199</f>
        <v>14.913828999999998</v>
      </c>
      <c r="Z39" s="322">
        <f>+'SEP ORIGEN'!Z39-'GENERADO PS locales'!Z199</f>
        <v>15.064826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38">
        <f>+'SEP ORIGEN'!P40</f>
        <v>6.0881099999999995</v>
      </c>
      <c r="E40" s="278"/>
      <c r="F40" s="263"/>
      <c r="G40" s="322">
        <f>+'SEP ORIGEN'!G40-'GENERADO PS locales'!G200</f>
        <v>0.16474520000000001</v>
      </c>
      <c r="H40" s="322">
        <f>+'SEP ORIGEN'!H40-'GENERADO PS locales'!H200</f>
        <v>1.3256783999999999</v>
      </c>
      <c r="I40" s="322">
        <f>+'SEP ORIGEN'!I40-'GENERADO PS locales'!I200</f>
        <v>2.5001160000000002</v>
      </c>
      <c r="J40" s="322">
        <f>+'SEP ORIGEN'!J40-'GENERADO PS locales'!J200</f>
        <v>4.19177</v>
      </c>
      <c r="K40" s="322">
        <f>+'SEP ORIGEN'!K40-'GENERADO PS locales'!K200</f>
        <v>5.9037230000000012</v>
      </c>
      <c r="L40" s="322">
        <f>+'SEP ORIGEN'!L40-'GENERADO PS locales'!L200</f>
        <v>5.9393390000000004</v>
      </c>
      <c r="M40" s="322">
        <f>+'SEP ORIGEN'!M40-'GENERADO PS locales'!M200</f>
        <v>5.9756970000000003</v>
      </c>
      <c r="N40" s="322">
        <f>+'SEP ORIGEN'!N40-'GENERADO PS locales'!N200</f>
        <v>6.0124260000000005</v>
      </c>
      <c r="O40" s="322">
        <f>+'SEP ORIGEN'!O40-'GENERADO PS locales'!O200</f>
        <v>6.050268</v>
      </c>
      <c r="P40" s="322">
        <f>+'SEP ORIGEN'!P40-'GENERADO PS locales'!P200</f>
        <v>6.0881099999999995</v>
      </c>
      <c r="Q40" s="322">
        <f>+'SEP ORIGEN'!Q40-'GENERADO PS locales'!Q200</f>
        <v>6.127065</v>
      </c>
      <c r="R40" s="322">
        <f>+'SEP ORIGEN'!R40-'GENERADO PS locales'!R200</f>
        <v>6.1663910000000008</v>
      </c>
      <c r="S40" s="322">
        <f>+'SEP ORIGEN'!S40-'GENERADO PS locales'!S200</f>
        <v>6.2064590000000006</v>
      </c>
      <c r="T40" s="322">
        <f>+'SEP ORIGEN'!T40-'GENERADO PS locales'!T200</f>
        <v>6.2472690000000002</v>
      </c>
      <c r="U40" s="322">
        <f>+'SEP ORIGEN'!U40-'GENERADO PS locales'!U200</f>
        <v>6.2884499999999992</v>
      </c>
      <c r="V40" s="322">
        <f>+'SEP ORIGEN'!V40-'GENERADO PS locales'!V200</f>
        <v>6.3307439999999993</v>
      </c>
      <c r="W40" s="322">
        <f>+'SEP ORIGEN'!W40-'GENERADO PS locales'!W200</f>
        <v>6.3734089999999997</v>
      </c>
      <c r="X40" s="322">
        <f>+'SEP ORIGEN'!X40-'GENERADO PS locales'!X200</f>
        <v>6.4168159999999999</v>
      </c>
      <c r="Y40" s="322">
        <f>+'SEP ORIGEN'!Y40-'GENERADO PS locales'!Y200</f>
        <v>6.4609649999999998</v>
      </c>
      <c r="Z40" s="322">
        <f>+'SEP ORIGEN'!Z40-'GENERADO PS locales'!Z200</f>
        <v>6.5058559999999988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38">
        <f>+'SEP ORIGEN'!P41</f>
        <v>39.932234999999999</v>
      </c>
      <c r="E41" s="278"/>
      <c r="F41" s="263"/>
      <c r="G41" s="322">
        <f>+'SEP ORIGEN'!G41-'GENERADO PS locales'!G201</f>
        <v>1.045245</v>
      </c>
      <c r="H41" s="322">
        <f>+'SEP ORIGEN'!H41-'GENERADO PS locales'!H201</f>
        <v>8.4437232000000009</v>
      </c>
      <c r="I41" s="322">
        <f>+'SEP ORIGEN'!I41-'GENERADO PS locales'!I201</f>
        <v>15.986816999999999</v>
      </c>
      <c r="J41" s="322">
        <f>+'SEP ORIGEN'!J41-'GENERADO PS locales'!J201</f>
        <v>26.905305000000002</v>
      </c>
      <c r="K41" s="322">
        <f>+'SEP ORIGEN'!K41-'GENERADO PS locales'!K201</f>
        <v>38.035851000000001</v>
      </c>
      <c r="L41" s="322">
        <f>+'SEP ORIGEN'!L41-'GENERADO PS locales'!L201</f>
        <v>38.407844999999995</v>
      </c>
      <c r="M41" s="322">
        <f>+'SEP ORIGEN'!M41-'GENERADO PS locales'!M201</f>
        <v>38.783408999999999</v>
      </c>
      <c r="N41" s="322">
        <f>+'SEP ORIGEN'!N41-'GENERADO PS locales'!N201</f>
        <v>39.162542999999992</v>
      </c>
      <c r="O41" s="322">
        <f>+'SEP ORIGEN'!O41-'GENERADO PS locales'!O201</f>
        <v>39.545603999999997</v>
      </c>
      <c r="P41" s="322">
        <f>+'SEP ORIGEN'!P41-'GENERADO PS locales'!P201</f>
        <v>39.932234999999999</v>
      </c>
      <c r="Q41" s="322">
        <f>+'SEP ORIGEN'!Q41-'GENERADO PS locales'!Q201</f>
        <v>40.322792999999997</v>
      </c>
      <c r="R41" s="322">
        <f>+'SEP ORIGEN'!R41-'GENERADO PS locales'!R201</f>
        <v>40.717278</v>
      </c>
      <c r="S41" s="322">
        <f>+'SEP ORIGEN'!S41-'GENERADO PS locales'!S201</f>
        <v>41.115333</v>
      </c>
      <c r="T41" s="322">
        <f>+'SEP ORIGEN'!T41-'GENERADO PS locales'!T201</f>
        <v>41.517671999999997</v>
      </c>
      <c r="U41" s="322">
        <f>+'SEP ORIGEN'!U41-'GENERADO PS locales'!U201</f>
        <v>41.923580999999999</v>
      </c>
      <c r="V41" s="322">
        <f>+'SEP ORIGEN'!V41-'GENERADO PS locales'!V201</f>
        <v>42.333773999999998</v>
      </c>
      <c r="W41" s="322">
        <f>+'SEP ORIGEN'!W41-'GENERADO PS locales'!W201</f>
        <v>42.747537000000001</v>
      </c>
      <c r="X41" s="322">
        <f>+'SEP ORIGEN'!X41-'GENERADO PS locales'!X201</f>
        <v>43.165583999999996</v>
      </c>
      <c r="Y41" s="322">
        <f>+'SEP ORIGEN'!Y41-'GENERADO PS locales'!Y201</f>
        <v>43.587914999999995</v>
      </c>
      <c r="Z41" s="322">
        <f>+'SEP ORIGEN'!Z41-'GENERADO PS locales'!Z201</f>
        <v>44.014173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38">
        <f>+'SEP ORIGEN'!P42</f>
        <v>11.547374999999999</v>
      </c>
      <c r="E42" s="278"/>
      <c r="F42" s="263"/>
      <c r="G42" s="322">
        <f>+'SEP ORIGEN'!G42-'GENERADO PS locales'!G202</f>
        <v>0.31027260000000001</v>
      </c>
      <c r="H42" s="322">
        <f>+'SEP ORIGEN'!H42-'GENERADO PS locales'!H202</f>
        <v>2.4991408000000002</v>
      </c>
      <c r="I42" s="322">
        <f>+'SEP ORIGEN'!I42-'GENERADO PS locales'!I202</f>
        <v>4.7180070000000001</v>
      </c>
      <c r="J42" s="322">
        <f>+'SEP ORIGEN'!J42-'GENERADO PS locales'!J202</f>
        <v>7.9171400000000007</v>
      </c>
      <c r="K42" s="322">
        <f>+'SEP ORIGEN'!K42-'GENERADO PS locales'!K202</f>
        <v>11.160050999999999</v>
      </c>
      <c r="L42" s="322">
        <f>+'SEP ORIGEN'!L42-'GENERADO PS locales'!L202</f>
        <v>11.236476999999999</v>
      </c>
      <c r="M42" s="322">
        <f>+'SEP ORIGEN'!M42-'GENERADO PS locales'!M202</f>
        <v>11.313274000000002</v>
      </c>
      <c r="N42" s="322">
        <f>+'SEP ORIGEN'!N42-'GENERADO PS locales'!N202</f>
        <v>11.390813</v>
      </c>
      <c r="O42" s="322">
        <f>+'SEP ORIGEN'!O42-'GENERADO PS locales'!O202</f>
        <v>11.468723000000001</v>
      </c>
      <c r="P42" s="322">
        <f>+'SEP ORIGEN'!P42-'GENERADO PS locales'!P202</f>
        <v>11.547374999999999</v>
      </c>
      <c r="Q42" s="322">
        <f>+'SEP ORIGEN'!Q42-'GENERADO PS locales'!Q202</f>
        <v>11.626398</v>
      </c>
      <c r="R42" s="322">
        <f>+'SEP ORIGEN'!R42-'GENERADO PS locales'!R202</f>
        <v>11.706162999999998</v>
      </c>
      <c r="S42" s="322">
        <f>+'SEP ORIGEN'!S42-'GENERADO PS locales'!S202</f>
        <v>11.786299</v>
      </c>
      <c r="T42" s="322">
        <f>+'SEP ORIGEN'!T42-'GENERADO PS locales'!T202</f>
        <v>11.867177000000002</v>
      </c>
      <c r="U42" s="322">
        <f>+'SEP ORIGEN'!U42-'GENERADO PS locales'!U202</f>
        <v>11.948426</v>
      </c>
      <c r="V42" s="322">
        <f>+'SEP ORIGEN'!V42-'GENERADO PS locales'!V202</f>
        <v>12.030417000000002</v>
      </c>
      <c r="W42" s="322">
        <f>+'SEP ORIGEN'!W42-'GENERADO PS locales'!W202</f>
        <v>12.112779</v>
      </c>
      <c r="X42" s="322">
        <f>+'SEP ORIGEN'!X42-'GENERADO PS locales'!X202</f>
        <v>12.195511999999997</v>
      </c>
      <c r="Y42" s="322">
        <f>+'SEP ORIGEN'!Y42-'GENERADO PS locales'!Y202</f>
        <v>12.278986999999999</v>
      </c>
      <c r="Z42" s="322">
        <f>+'SEP ORIGEN'!Z42-'GENERADO PS locales'!Z202</f>
        <v>12.363204000000001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38">
        <f>+'SEP ORIGEN'!P43</f>
        <v>13.382341</v>
      </c>
      <c r="E43" s="278"/>
      <c r="F43" s="263"/>
      <c r="G43" s="322">
        <f>+'SEP ORIGEN'!G43-'GENERADO PS locales'!G203</f>
        <v>0.37221899999999997</v>
      </c>
      <c r="H43" s="322">
        <f>+'SEP ORIGEN'!H43-'GENERADO PS locales'!H203</f>
        <v>2.9867408000000002</v>
      </c>
      <c r="I43" s="322">
        <f>+'SEP ORIGEN'!I43-'GENERADO PS locales'!I203</f>
        <v>5.6171519999999999</v>
      </c>
      <c r="J43" s="322">
        <f>+'SEP ORIGEN'!J43-'GENERADO PS locales'!J203</f>
        <v>9.3900100000000002</v>
      </c>
      <c r="K43" s="322">
        <f>+'SEP ORIGEN'!K43-'GENERADO PS locales'!K203</f>
        <v>13.18534</v>
      </c>
      <c r="L43" s="322">
        <f>+'SEP ORIGEN'!L43-'GENERADO PS locales'!L203</f>
        <v>13.224665999999999</v>
      </c>
      <c r="M43" s="322">
        <f>+'SEP ORIGEN'!M43-'GENERADO PS locales'!M203</f>
        <v>13.263992</v>
      </c>
      <c r="N43" s="322">
        <f>+'SEP ORIGEN'!N43-'GENERADO PS locales'!N203</f>
        <v>13.303688999999999</v>
      </c>
      <c r="O43" s="322">
        <f>+'SEP ORIGEN'!O43-'GENERADO PS locales'!O203</f>
        <v>13.343014999999999</v>
      </c>
      <c r="P43" s="322">
        <f>+'SEP ORIGEN'!P43-'GENERADO PS locales'!P203</f>
        <v>13.382341</v>
      </c>
      <c r="Q43" s="322">
        <f>+'SEP ORIGEN'!Q43-'GENERADO PS locales'!Q203</f>
        <v>13.421666999999999</v>
      </c>
      <c r="R43" s="322">
        <f>+'SEP ORIGEN'!R43-'GENERADO PS locales'!R203</f>
        <v>13.460993</v>
      </c>
      <c r="S43" s="322">
        <f>+'SEP ORIGEN'!S43-'GENERADO PS locales'!S203</f>
        <v>13.500319000000001</v>
      </c>
      <c r="T43" s="322">
        <f>+'SEP ORIGEN'!T43-'GENERADO PS locales'!T203</f>
        <v>13.540016</v>
      </c>
      <c r="U43" s="322">
        <f>+'SEP ORIGEN'!U43-'GENERADO PS locales'!U203</f>
        <v>13.579342</v>
      </c>
      <c r="V43" s="322">
        <f>+'SEP ORIGEN'!V43-'GENERADO PS locales'!V203</f>
        <v>13.618668</v>
      </c>
      <c r="W43" s="322">
        <f>+'SEP ORIGEN'!W43-'GENERADO PS locales'!W203</f>
        <v>13.657994</v>
      </c>
      <c r="X43" s="322">
        <f>+'SEP ORIGEN'!X43-'GENERADO PS locales'!X203</f>
        <v>13.697320000000001</v>
      </c>
      <c r="Y43" s="322">
        <f>+'SEP ORIGEN'!Y43-'GENERADO PS locales'!Y203</f>
        <v>13.737017</v>
      </c>
      <c r="Z43" s="322">
        <f>+'SEP ORIGEN'!Z43-'GENERADO PS locales'!Z203</f>
        <v>13.776343000000001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38">
        <f>+'SEP ORIGEN'!P44</f>
        <v>11.899083000000001</v>
      </c>
      <c r="E44" s="278"/>
      <c r="F44" s="263"/>
      <c r="G44" s="322">
        <f>+'SEP ORIGEN'!G44-'GENERADO PS locales'!G204</f>
        <v>0.28617880000000001</v>
      </c>
      <c r="H44" s="322">
        <f>+'SEP ORIGEN'!H44-'GENERADO PS locales'!H204</f>
        <v>2.3336960000000002</v>
      </c>
      <c r="I44" s="322">
        <f>+'SEP ORIGEN'!I44-'GENERADO PS locales'!I204</f>
        <v>4.4602680000000001</v>
      </c>
      <c r="J44" s="322">
        <f>+'SEP ORIGEN'!J44-'GENERADO PS locales'!J204</f>
        <v>7.5774100000000004</v>
      </c>
      <c r="K44" s="322">
        <f>+'SEP ORIGEN'!K44-'GENERADO PS locales'!K204</f>
        <v>10.813166000000001</v>
      </c>
      <c r="L44" s="322">
        <f>+'SEP ORIGEN'!L44-'GENERADO PS locales'!L204</f>
        <v>11.022038999999999</v>
      </c>
      <c r="M44" s="322">
        <f>+'SEP ORIGEN'!M44-'GENERADO PS locales'!M204</f>
        <v>11.234992999999999</v>
      </c>
      <c r="N44" s="322">
        <f>+'SEP ORIGEN'!N44-'GENERADO PS locales'!N204</f>
        <v>11.452028</v>
      </c>
      <c r="O44" s="322">
        <f>+'SEP ORIGEN'!O44-'GENERADO PS locales'!O204</f>
        <v>11.673514999999998</v>
      </c>
      <c r="P44" s="322">
        <f>+'SEP ORIGEN'!P44-'GENERADO PS locales'!P204</f>
        <v>11.899083000000001</v>
      </c>
      <c r="Q44" s="322">
        <f>+'SEP ORIGEN'!Q44-'GENERADO PS locales'!Q204</f>
        <v>12.129103000000001</v>
      </c>
      <c r="R44" s="322">
        <f>+'SEP ORIGEN'!R44-'GENERADO PS locales'!R204</f>
        <v>12.363204000000001</v>
      </c>
      <c r="S44" s="322">
        <f>+'SEP ORIGEN'!S44-'GENERADO PS locales'!S204</f>
        <v>12.602128</v>
      </c>
      <c r="T44" s="322">
        <f>+'SEP ORIGEN'!T44-'GENERADO PS locales'!T204</f>
        <v>12.845504000000002</v>
      </c>
      <c r="U44" s="322">
        <f>+'SEP ORIGEN'!U44-'GENERADO PS locales'!U204</f>
        <v>13.093703</v>
      </c>
      <c r="V44" s="322">
        <f>+'SEP ORIGEN'!V44-'GENERADO PS locales'!V204</f>
        <v>13.346724999999999</v>
      </c>
      <c r="W44" s="322">
        <f>+'SEP ORIGEN'!W44-'GENERADO PS locales'!W204</f>
        <v>13.604940999999998</v>
      </c>
      <c r="X44" s="322">
        <f>+'SEP ORIGEN'!X44-'GENERADO PS locales'!X204</f>
        <v>13.867609</v>
      </c>
      <c r="Y44" s="322">
        <f>+'SEP ORIGEN'!Y44-'GENERADO PS locales'!Y204</f>
        <v>14.135471000000001</v>
      </c>
      <c r="Z44" s="322">
        <f>+'SEP ORIGEN'!Z44-'GENERADO PS locales'!Z204</f>
        <v>14.408897999999997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38">
        <f>+'SEP ORIGEN'!P45</f>
        <v>39.972218999999996</v>
      </c>
      <c r="E45" s="278"/>
      <c r="F45" s="263"/>
      <c r="G45" s="322">
        <f>+'SEP ORIGEN'!G45-'GENERADO PS locales'!G205</f>
        <v>1.0498860000000001</v>
      </c>
      <c r="H45" s="322">
        <f>+'SEP ORIGEN'!H45-'GENERADO PS locales'!H205</f>
        <v>8.4810144000000012</v>
      </c>
      <c r="I45" s="322">
        <f>+'SEP ORIGEN'!I45-'GENERADO PS locales'!I205</f>
        <v>16.055667</v>
      </c>
      <c r="J45" s="322">
        <f>+'SEP ORIGEN'!J45-'GENERADO PS locales'!J205</f>
        <v>27.015464999999999</v>
      </c>
      <c r="K45" s="322">
        <f>+'SEP ORIGEN'!K45-'GENERADO PS locales'!K205</f>
        <v>38.180078999999999</v>
      </c>
      <c r="L45" s="322">
        <f>+'SEP ORIGEN'!L45-'GENERADO PS locales'!L205</f>
        <v>38.538507000000003</v>
      </c>
      <c r="M45" s="322">
        <f>+'SEP ORIGEN'!M45-'GENERADO PS locales'!M205</f>
        <v>38.896934999999999</v>
      </c>
      <c r="N45" s="322">
        <f>+'SEP ORIGEN'!N45-'GENERADO PS locales'!N205</f>
        <v>39.255362999999996</v>
      </c>
      <c r="O45" s="322">
        <f>+'SEP ORIGEN'!O45-'GENERADO PS locales'!O205</f>
        <v>39.613790999999999</v>
      </c>
      <c r="P45" s="322">
        <f>+'SEP ORIGEN'!P45-'GENERADO PS locales'!P205</f>
        <v>39.972218999999996</v>
      </c>
      <c r="Q45" s="322">
        <f>+'SEP ORIGEN'!Q45-'GENERADO PS locales'!Q205</f>
        <v>40.330646999999999</v>
      </c>
      <c r="R45" s="322">
        <f>+'SEP ORIGEN'!R45-'GENERADO PS locales'!R205</f>
        <v>40.689074999999995</v>
      </c>
      <c r="S45" s="322">
        <f>+'SEP ORIGEN'!S45-'GENERADO PS locales'!S205</f>
        <v>41.047502999999999</v>
      </c>
      <c r="T45" s="322">
        <f>+'SEP ORIGEN'!T45-'GENERADO PS locales'!T205</f>
        <v>41.405930999999995</v>
      </c>
      <c r="U45" s="322">
        <f>+'SEP ORIGEN'!U45-'GENERADO PS locales'!U205</f>
        <v>41.764358999999999</v>
      </c>
      <c r="V45" s="322">
        <f>+'SEP ORIGEN'!V45-'GENERADO PS locales'!V205</f>
        <v>42.123143999999996</v>
      </c>
      <c r="W45" s="322">
        <f>+'SEP ORIGEN'!W45-'GENERADO PS locales'!W205</f>
        <v>42.481571999999993</v>
      </c>
      <c r="X45" s="322">
        <f>+'SEP ORIGEN'!X45-'GENERADO PS locales'!X205</f>
        <v>42.839999999999996</v>
      </c>
      <c r="Y45" s="322">
        <f>+'SEP ORIGEN'!Y45-'GENERADO PS locales'!Y205</f>
        <v>43.198428</v>
      </c>
      <c r="Z45" s="322">
        <f>+'SEP ORIGEN'!Z45-'GENERADO PS locales'!Z205</f>
        <v>43.556855999999996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38">
        <f>+'SEP ORIGEN'!P46</f>
        <v>21.883064000000001</v>
      </c>
      <c r="E46" s="278"/>
      <c r="F46" s="263"/>
      <c r="G46" s="322">
        <f>+'SEP ORIGEN'!G46-'GENERADO PS locales'!G206</f>
        <v>0.49997020000000009</v>
      </c>
      <c r="H46" s="322">
        <f>+'SEP ORIGEN'!H46-'GENERADO PS locales'!H206</f>
        <v>4.1040656000000002</v>
      </c>
      <c r="I46" s="322">
        <f>+'SEP ORIGEN'!I46-'GENERADO PS locales'!I206</f>
        <v>7.8938729999999993</v>
      </c>
      <c r="J46" s="322">
        <f>+'SEP ORIGEN'!J46-'GENERADO PS locales'!J206</f>
        <v>13.493005</v>
      </c>
      <c r="K46" s="322">
        <f>+'SEP ORIGEN'!K46-'GENERADO PS locales'!K206</f>
        <v>19.369168000000002</v>
      </c>
      <c r="L46" s="322">
        <f>+'SEP ORIGEN'!L46-'GENERADO PS locales'!L206</f>
        <v>19.855549</v>
      </c>
      <c r="M46" s="322">
        <f>+'SEP ORIGEN'!M46-'GENERADO PS locales'!M206</f>
        <v>20.350462999999998</v>
      </c>
      <c r="N46" s="322">
        <f>+'SEP ORIGEN'!N46-'GENERADO PS locales'!N206</f>
        <v>20.853168</v>
      </c>
      <c r="O46" s="322">
        <f>+'SEP ORIGEN'!O46-'GENERADO PS locales'!O206</f>
        <v>21.364035000000001</v>
      </c>
      <c r="P46" s="322">
        <f>+'SEP ORIGEN'!P46-'GENERADO PS locales'!P206</f>
        <v>21.883064000000001</v>
      </c>
      <c r="Q46" s="322">
        <f>+'SEP ORIGEN'!Q46-'GENERADO PS locales'!Q206</f>
        <v>22.410997000000002</v>
      </c>
      <c r="R46" s="322">
        <f>+'SEP ORIGEN'!R46-'GENERADO PS locales'!R206</f>
        <v>22.947092000000001</v>
      </c>
      <c r="S46" s="322">
        <f>+'SEP ORIGEN'!S46-'GENERADO PS locales'!S206</f>
        <v>23.492091000000006</v>
      </c>
      <c r="T46" s="322">
        <f>+'SEP ORIGEN'!T46-'GENERADO PS locales'!T206</f>
        <v>24.045993999999997</v>
      </c>
      <c r="U46" s="322">
        <f>+'SEP ORIGEN'!U46-'GENERADO PS locales'!U206</f>
        <v>24.609171999999997</v>
      </c>
      <c r="V46" s="322">
        <f>+'SEP ORIGEN'!V46-'GENERADO PS locales'!V206</f>
        <v>25.181253999999996</v>
      </c>
      <c r="W46" s="322">
        <f>+'SEP ORIGEN'!W46-'GENERADO PS locales'!W206</f>
        <v>25.762981999999997</v>
      </c>
      <c r="X46" s="322">
        <f>+'SEP ORIGEN'!X46-'GENERADO PS locales'!X206</f>
        <v>26.353614</v>
      </c>
      <c r="Y46" s="322">
        <f>+'SEP ORIGEN'!Y46-'GENERADO PS locales'!Y206</f>
        <v>26.954262999999997</v>
      </c>
      <c r="Z46" s="322">
        <f>+'SEP ORIGEN'!Z46-'GENERADO PS locales'!Z206</f>
        <v>27.564928999999999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38">
        <f>+'SEP ORIGEN'!P47</f>
        <v>6.5173570000000005</v>
      </c>
      <c r="E47" s="278"/>
      <c r="F47" s="263"/>
      <c r="G47" s="322">
        <f>+'SEP ORIGEN'!G47-'GENERADO PS locales'!G207</f>
        <v>0.1689322</v>
      </c>
      <c r="H47" s="322">
        <f>+'SEP ORIGEN'!H47-'GENERADO PS locales'!H207</f>
        <v>1.3668064000000002</v>
      </c>
      <c r="I47" s="322">
        <f>+'SEP ORIGEN'!I47-'GENERADO PS locales'!I207</f>
        <v>2.5915410000000003</v>
      </c>
      <c r="J47" s="322">
        <f>+'SEP ORIGEN'!J47-'GENERADO PS locales'!J207</f>
        <v>4.3671999999999995</v>
      </c>
      <c r="K47" s="322">
        <f>+'SEP ORIGEN'!K47-'GENERADO PS locales'!K207</f>
        <v>6.1812309999999995</v>
      </c>
      <c r="L47" s="322">
        <f>+'SEP ORIGEN'!L47-'GENERADO PS locales'!L207</f>
        <v>6.2483820000000003</v>
      </c>
      <c r="M47" s="322">
        <f>+'SEP ORIGEN'!M47-'GENERADO PS locales'!M207</f>
        <v>6.3155329999999994</v>
      </c>
      <c r="N47" s="322">
        <f>+'SEP ORIGEN'!N47-'GENERADO PS locales'!N207</f>
        <v>6.3830549999999988</v>
      </c>
      <c r="O47" s="322">
        <f>+'SEP ORIGEN'!O47-'GENERADO PS locales'!O207</f>
        <v>6.4502059999999997</v>
      </c>
      <c r="P47" s="322">
        <f>+'SEP ORIGEN'!P47-'GENERADO PS locales'!P207</f>
        <v>6.5173570000000005</v>
      </c>
      <c r="Q47" s="322">
        <f>+'SEP ORIGEN'!Q47-'GENERADO PS locales'!Q207</f>
        <v>6.5845079999999996</v>
      </c>
      <c r="R47" s="322">
        <f>+'SEP ORIGEN'!R47-'GENERADO PS locales'!R207</f>
        <v>6.6516590000000004</v>
      </c>
      <c r="S47" s="322">
        <f>+'SEP ORIGEN'!S47-'GENERADO PS locales'!S207</f>
        <v>6.7188100000000013</v>
      </c>
      <c r="T47" s="322">
        <f>+'SEP ORIGEN'!T47-'GENERADO PS locales'!T207</f>
        <v>6.7859610000000004</v>
      </c>
      <c r="U47" s="322">
        <f>+'SEP ORIGEN'!U47-'GENERADO PS locales'!U207</f>
        <v>6.8531119999999994</v>
      </c>
      <c r="V47" s="322">
        <f>+'SEP ORIGEN'!V47-'GENERADO PS locales'!V207</f>
        <v>6.9202629999999994</v>
      </c>
      <c r="W47" s="322">
        <f>+'SEP ORIGEN'!W47-'GENERADO PS locales'!W207</f>
        <v>6.9877850000000006</v>
      </c>
      <c r="X47" s="322">
        <f>+'SEP ORIGEN'!X47-'GENERADO PS locales'!X207</f>
        <v>7.0549359999999997</v>
      </c>
      <c r="Y47" s="322">
        <f>+'SEP ORIGEN'!Y47-'GENERADO PS locales'!Y207</f>
        <v>7.1220869999999996</v>
      </c>
      <c r="Z47" s="322">
        <f>+'SEP ORIGEN'!Z47-'GENERADO PS locales'!Z207</f>
        <v>7.1892380000000005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38">
        <f>+'SEP ORIGEN'!P48</f>
        <v>8.2031810000000007</v>
      </c>
      <c r="E48" s="278"/>
      <c r="F48" s="263"/>
      <c r="G48" s="322">
        <f>+'SEP ORIGEN'!G48-'GENERADO PS locales'!G208</f>
        <v>0.21914440000000002</v>
      </c>
      <c r="H48" s="322">
        <f>+'SEP ORIGEN'!H48-'GENERADO PS locales'!H208</f>
        <v>1.7662992000000004</v>
      </c>
      <c r="I48" s="322">
        <f>+'SEP ORIGEN'!I48-'GENERADO PS locales'!I208</f>
        <v>3.3366150000000006</v>
      </c>
      <c r="J48" s="322">
        <f>+'SEP ORIGEN'!J48-'GENERADO PS locales'!J208</f>
        <v>5.6026300000000004</v>
      </c>
      <c r="K48" s="322">
        <f>+'SEP ORIGEN'!K48-'GENERADO PS locales'!K208</f>
        <v>7.9026709999999998</v>
      </c>
      <c r="L48" s="322">
        <f>+'SEP ORIGEN'!L48-'GENERADO PS locales'!L208</f>
        <v>7.9616600000000002</v>
      </c>
      <c r="M48" s="322">
        <f>+'SEP ORIGEN'!M48-'GENERADO PS locales'!M208</f>
        <v>8.0213910000000013</v>
      </c>
      <c r="N48" s="322">
        <f>+'SEP ORIGEN'!N48-'GENERADO PS locales'!N208</f>
        <v>8.081493</v>
      </c>
      <c r="O48" s="322">
        <f>+'SEP ORIGEN'!O48-'GENERADO PS locales'!O208</f>
        <v>8.141966</v>
      </c>
      <c r="P48" s="322">
        <f>+'SEP ORIGEN'!P48-'GENERADO PS locales'!P208</f>
        <v>8.2031810000000007</v>
      </c>
      <c r="Q48" s="322">
        <f>+'SEP ORIGEN'!Q48-'GENERADO PS locales'!Q208</f>
        <v>8.2643959999999996</v>
      </c>
      <c r="R48" s="322">
        <f>+'SEP ORIGEN'!R48-'GENERADO PS locales'!R208</f>
        <v>8.3263529999999992</v>
      </c>
      <c r="S48" s="322">
        <f>+'SEP ORIGEN'!S48-'GENERADO PS locales'!S208</f>
        <v>8.3890519999999995</v>
      </c>
      <c r="T48" s="322">
        <f>+'SEP ORIGEN'!T48-'GENERADO PS locales'!T208</f>
        <v>8.4517509999999998</v>
      </c>
      <c r="U48" s="322">
        <f>+'SEP ORIGEN'!U48-'GENERADO PS locales'!U208</f>
        <v>8.5151920000000008</v>
      </c>
      <c r="V48" s="322">
        <f>+'SEP ORIGEN'!V48-'GENERADO PS locales'!V208</f>
        <v>8.5790040000000012</v>
      </c>
      <c r="W48" s="322">
        <f>+'SEP ORIGEN'!W48-'GENERADO PS locales'!W208</f>
        <v>8.6431869999999993</v>
      </c>
      <c r="X48" s="322">
        <f>+'SEP ORIGEN'!X48-'GENERADO PS locales'!X208</f>
        <v>8.7077410000000004</v>
      </c>
      <c r="Y48" s="322">
        <f>+'SEP ORIGEN'!Y48-'GENERADO PS locales'!Y208</f>
        <v>8.7730369999999986</v>
      </c>
      <c r="Z48" s="322">
        <f>+'SEP ORIGEN'!Z48-'GENERADO PS locales'!Z208</f>
        <v>8.8387039999999999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38">
        <f>+'SEP ORIGEN'!P49</f>
        <v>1.844738</v>
      </c>
      <c r="E49" s="278"/>
      <c r="F49" s="263"/>
      <c r="G49" s="322">
        <f>+'SEP ORIGEN'!G49-'GENERADO PS locales'!G209</f>
        <v>5.1032399999999999E-2</v>
      </c>
      <c r="H49" s="322">
        <f>+'SEP ORIGEN'!H49-'GENERADO PS locales'!H209</f>
        <v>0.40973120000000002</v>
      </c>
      <c r="I49" s="322">
        <f>+'SEP ORIGEN'!I49-'GENERADO PS locales'!I209</f>
        <v>0.77114399999999994</v>
      </c>
      <c r="J49" s="322">
        <f>+'SEP ORIGEN'!J49-'GENERADO PS locales'!J209</f>
        <v>1.2898400000000001</v>
      </c>
      <c r="K49" s="322">
        <f>+'SEP ORIGEN'!K49-'GENERADO PS locales'!K209</f>
        <v>1.8122159999999998</v>
      </c>
      <c r="L49" s="322">
        <f>+'SEP ORIGEN'!L49-'GENERADO PS locales'!L209</f>
        <v>1.8186559999999998</v>
      </c>
      <c r="M49" s="322">
        <f>+'SEP ORIGEN'!M49-'GENERADO PS locales'!M209</f>
        <v>1.8250960000000001</v>
      </c>
      <c r="N49" s="322">
        <f>+'SEP ORIGEN'!N49-'GENERADO PS locales'!N209</f>
        <v>1.831858</v>
      </c>
      <c r="O49" s="322">
        <f>+'SEP ORIGEN'!O49-'GENERADO PS locales'!O209</f>
        <v>1.8382980000000002</v>
      </c>
      <c r="P49" s="322">
        <f>+'SEP ORIGEN'!P49-'GENERADO PS locales'!P209</f>
        <v>1.844738</v>
      </c>
      <c r="Q49" s="322">
        <f>+'SEP ORIGEN'!Q49-'GENERADO PS locales'!Q209</f>
        <v>1.851178</v>
      </c>
      <c r="R49" s="322">
        <f>+'SEP ORIGEN'!R49-'GENERADO PS locales'!R209</f>
        <v>1.8579400000000001</v>
      </c>
      <c r="S49" s="322">
        <f>+'SEP ORIGEN'!S49-'GENERADO PS locales'!S209</f>
        <v>1.8643799999999999</v>
      </c>
      <c r="T49" s="322">
        <f>+'SEP ORIGEN'!T49-'GENERADO PS locales'!T209</f>
        <v>1.8708199999999999</v>
      </c>
      <c r="U49" s="322">
        <f>+'SEP ORIGEN'!U49-'GENERADO PS locales'!U209</f>
        <v>1.8772599999999999</v>
      </c>
      <c r="V49" s="322">
        <f>+'SEP ORIGEN'!V49-'GENERADO PS locales'!V209</f>
        <v>1.8840220000000001</v>
      </c>
      <c r="W49" s="322">
        <f>+'SEP ORIGEN'!W49-'GENERADO PS locales'!W209</f>
        <v>1.8904620000000003</v>
      </c>
      <c r="X49" s="322">
        <f>+'SEP ORIGEN'!X49-'GENERADO PS locales'!X209</f>
        <v>1.8969019999999999</v>
      </c>
      <c r="Y49" s="322">
        <f>+'SEP ORIGEN'!Y49-'GENERADO PS locales'!Y209</f>
        <v>1.9033419999999996</v>
      </c>
      <c r="Z49" s="322">
        <f>+'SEP ORIGEN'!Z49-'GENERADO PS locales'!Z209</f>
        <v>1.9101039999999998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38">
        <f>+'SEP ORIGEN'!P50</f>
        <v>6.4016049999999991</v>
      </c>
      <c r="E50" s="278"/>
      <c r="F50" s="263"/>
      <c r="G50" s="322">
        <f>+'SEP ORIGEN'!G50-'GENERADO PS locales'!G210</f>
        <v>0.16680160000000002</v>
      </c>
      <c r="H50" s="322">
        <f>+'SEP ORIGEN'!H50-'GENERADO PS locales'!H210</f>
        <v>1.3487439999999997</v>
      </c>
      <c r="I50" s="322">
        <f>+'SEP ORIGEN'!I50-'GENERADO PS locales'!I210</f>
        <v>2.5557660000000002</v>
      </c>
      <c r="J50" s="322">
        <f>+'SEP ORIGEN'!J50-'GENERADO PS locales'!J210</f>
        <v>4.3041299999999998</v>
      </c>
      <c r="K50" s="322">
        <f>+'SEP ORIGEN'!K50-'GENERADO PS locales'!K210</f>
        <v>6.0884809999999998</v>
      </c>
      <c r="L50" s="322">
        <f>+'SEP ORIGEN'!L50-'GENERADO PS locales'!L210</f>
        <v>6.1511799999999992</v>
      </c>
      <c r="M50" s="322">
        <f>+'SEP ORIGEN'!M50-'GENERADO PS locales'!M210</f>
        <v>6.2138790000000013</v>
      </c>
      <c r="N50" s="322">
        <f>+'SEP ORIGEN'!N50-'GENERADO PS locales'!N210</f>
        <v>6.2765779999999998</v>
      </c>
      <c r="O50" s="322">
        <f>+'SEP ORIGEN'!O50-'GENERADO PS locales'!O210</f>
        <v>6.3392770000000001</v>
      </c>
      <c r="P50" s="322">
        <f>+'SEP ORIGEN'!P50-'GENERADO PS locales'!P210</f>
        <v>6.4016049999999991</v>
      </c>
      <c r="Q50" s="322">
        <f>+'SEP ORIGEN'!Q50-'GENERADO PS locales'!Q210</f>
        <v>6.4643040000000003</v>
      </c>
      <c r="R50" s="322">
        <f>+'SEP ORIGEN'!R50-'GENERADO PS locales'!R210</f>
        <v>6.5270030000000006</v>
      </c>
      <c r="S50" s="322">
        <f>+'SEP ORIGEN'!S50-'GENERADO PS locales'!S210</f>
        <v>6.5897020000000008</v>
      </c>
      <c r="T50" s="322">
        <f>+'SEP ORIGEN'!T50-'GENERADO PS locales'!T210</f>
        <v>6.6524009999999993</v>
      </c>
      <c r="U50" s="322">
        <f>+'SEP ORIGEN'!U50-'GENERADO PS locales'!U210</f>
        <v>6.7150999999999996</v>
      </c>
      <c r="V50" s="322">
        <f>+'SEP ORIGEN'!V50-'GENERADO PS locales'!V210</f>
        <v>6.7777989999999999</v>
      </c>
      <c r="W50" s="322">
        <f>+'SEP ORIGEN'!W50-'GENERADO PS locales'!W210</f>
        <v>6.8401269999999998</v>
      </c>
      <c r="X50" s="322">
        <f>+'SEP ORIGEN'!X50-'GENERADO PS locales'!X210</f>
        <v>6.9028260000000001</v>
      </c>
      <c r="Y50" s="322">
        <f>+'SEP ORIGEN'!Y50-'GENERADO PS locales'!Y210</f>
        <v>6.9655249999999995</v>
      </c>
      <c r="Z50" s="322">
        <f>+'SEP ORIGEN'!Z50-'GENERADO PS locales'!Z210</f>
        <v>7.0282239999999989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38">
        <f>+'SEP ORIGEN'!P51</f>
        <v>3.5403899999999995</v>
      </c>
      <c r="E51" s="278"/>
      <c r="F51" s="263"/>
      <c r="G51" s="322">
        <f>+'SEP ORIGEN'!G51-'GENERADO PS locales'!G211</f>
        <v>8.5458800000000001E-2</v>
      </c>
      <c r="H51" s="322">
        <f>+'SEP ORIGEN'!H51-'GENERADO PS locales'!H211</f>
        <v>0.69603520000000008</v>
      </c>
      <c r="I51" s="322">
        <f>+'SEP ORIGEN'!I51-'GENERADO PS locales'!I211</f>
        <v>1.3283879999999999</v>
      </c>
      <c r="J51" s="322">
        <f>+'SEP ORIGEN'!J51-'GENERADO PS locales'!J211</f>
        <v>2.2526199999999998</v>
      </c>
      <c r="K51" s="322">
        <f>+'SEP ORIGEN'!K51-'GENERADO PS locales'!K211</f>
        <v>3.2077640000000001</v>
      </c>
      <c r="L51" s="322">
        <f>+'SEP ORIGEN'!L51-'GENERADO PS locales'!L211</f>
        <v>3.2744179999999998</v>
      </c>
      <c r="M51" s="322">
        <f>+'SEP ORIGEN'!M51-'GENERADO PS locales'!M211</f>
        <v>3.3407499999999999</v>
      </c>
      <c r="N51" s="322">
        <f>+'SEP ORIGEN'!N51-'GENERADO PS locales'!N211</f>
        <v>3.4074040000000001</v>
      </c>
      <c r="O51" s="322">
        <f>+'SEP ORIGEN'!O51-'GENERADO PS locales'!O211</f>
        <v>3.4737360000000002</v>
      </c>
      <c r="P51" s="322">
        <f>+'SEP ORIGEN'!P51-'GENERADO PS locales'!P211</f>
        <v>3.5403899999999995</v>
      </c>
      <c r="Q51" s="322">
        <f>+'SEP ORIGEN'!Q51-'GENERADO PS locales'!Q211</f>
        <v>3.6067219999999995</v>
      </c>
      <c r="R51" s="322">
        <f>+'SEP ORIGEN'!R51-'GENERADO PS locales'!R211</f>
        <v>3.6733759999999998</v>
      </c>
      <c r="S51" s="322">
        <f>+'SEP ORIGEN'!S51-'GENERADO PS locales'!S211</f>
        <v>3.7397080000000003</v>
      </c>
      <c r="T51" s="322">
        <f>+'SEP ORIGEN'!T51-'GENERADO PS locales'!T211</f>
        <v>3.8060399999999994</v>
      </c>
      <c r="U51" s="322">
        <f>+'SEP ORIGEN'!U51-'GENERADO PS locales'!U211</f>
        <v>3.8726939999999996</v>
      </c>
      <c r="V51" s="322">
        <f>+'SEP ORIGEN'!V51-'GENERADO PS locales'!V211</f>
        <v>3.9390259999999997</v>
      </c>
      <c r="W51" s="322">
        <f>+'SEP ORIGEN'!W51-'GENERADO PS locales'!W211</f>
        <v>4.0056799999999999</v>
      </c>
      <c r="X51" s="322">
        <f>+'SEP ORIGEN'!X51-'GENERADO PS locales'!X211</f>
        <v>4.0720119999999991</v>
      </c>
      <c r="Y51" s="322">
        <f>+'SEP ORIGEN'!Y51-'GENERADO PS locales'!Y211</f>
        <v>4.1386659999999997</v>
      </c>
      <c r="Z51" s="322">
        <f>+'SEP ORIGEN'!Z51-'GENERADO PS locales'!Z211</f>
        <v>4.2049979999999998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38">
        <f>+'SEP ORIGEN'!P52</f>
        <v>18.141528999999998</v>
      </c>
      <c r="E52" s="278"/>
      <c r="F52" s="263"/>
      <c r="G52" s="322">
        <f>+'SEP ORIGEN'!G52-'GENERADO PS locales'!G212</f>
        <v>0.47869600000000007</v>
      </c>
      <c r="H52" s="322">
        <f>+'SEP ORIGEN'!H52-'GENERADO PS locales'!H212</f>
        <v>3.8648448000000002</v>
      </c>
      <c r="I52" s="322">
        <f>+'SEP ORIGEN'!I52-'GENERADO PS locales'!I212</f>
        <v>7.312568999999999</v>
      </c>
      <c r="J52" s="322">
        <f>+'SEP ORIGEN'!J52-'GENERADO PS locales'!J212</f>
        <v>12.297855000000002</v>
      </c>
      <c r="K52" s="322">
        <f>+'SEP ORIGEN'!K52-'GENERADO PS locales'!K212</f>
        <v>17.370961999999999</v>
      </c>
      <c r="L52" s="322">
        <f>+'SEP ORIGEN'!L52-'GENERADO PS locales'!L212</f>
        <v>17.524927000000002</v>
      </c>
      <c r="M52" s="322">
        <f>+'SEP ORIGEN'!M52-'GENERADO PS locales'!M212</f>
        <v>17.679262999999999</v>
      </c>
      <c r="N52" s="322">
        <f>+'SEP ORIGEN'!N52-'GENERADO PS locales'!N212</f>
        <v>17.833227999999998</v>
      </c>
      <c r="O52" s="322">
        <f>+'SEP ORIGEN'!O52-'GENERADO PS locales'!O212</f>
        <v>17.987563999999999</v>
      </c>
      <c r="P52" s="322">
        <f>+'SEP ORIGEN'!P52-'GENERADO PS locales'!P212</f>
        <v>18.141528999999998</v>
      </c>
      <c r="Q52" s="322">
        <f>+'SEP ORIGEN'!Q52-'GENERADO PS locales'!Q212</f>
        <v>18.295493999999998</v>
      </c>
      <c r="R52" s="322">
        <f>+'SEP ORIGEN'!R52-'GENERADO PS locales'!R212</f>
        <v>18.449830000000002</v>
      </c>
      <c r="S52" s="322">
        <f>+'SEP ORIGEN'!S52-'GENERADO PS locales'!S212</f>
        <v>18.603795000000002</v>
      </c>
      <c r="T52" s="322">
        <f>+'SEP ORIGEN'!T52-'GENERADO PS locales'!T212</f>
        <v>18.758130999999999</v>
      </c>
      <c r="U52" s="322">
        <f>+'SEP ORIGEN'!U52-'GENERADO PS locales'!U212</f>
        <v>18.912096000000002</v>
      </c>
      <c r="V52" s="322">
        <f>+'SEP ORIGEN'!V52-'GENERADO PS locales'!V212</f>
        <v>19.066060999999998</v>
      </c>
      <c r="W52" s="322">
        <f>+'SEP ORIGEN'!W52-'GENERADO PS locales'!W212</f>
        <v>19.220397000000002</v>
      </c>
      <c r="X52" s="322">
        <f>+'SEP ORIGEN'!X52-'GENERADO PS locales'!X212</f>
        <v>19.374361999999998</v>
      </c>
      <c r="Y52" s="322">
        <f>+'SEP ORIGEN'!Y52-'GENERADO PS locales'!Y212</f>
        <v>19.528697999999999</v>
      </c>
      <c r="Z52" s="322">
        <f>+'SEP ORIGEN'!Z52-'GENERADO PS locales'!Z212</f>
        <v>19.682662999999998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38">
        <f>+'SEP ORIGEN'!P53</f>
        <v>16.073945999999999</v>
      </c>
      <c r="E53" s="278"/>
      <c r="F53" s="263"/>
      <c r="G53" s="322">
        <f>+'SEP ORIGEN'!G53-'GENERADO PS locales'!G213</f>
        <v>0.419124</v>
      </c>
      <c r="H53" s="322">
        <f>+'SEP ORIGEN'!H53-'GENERADO PS locales'!H213</f>
        <v>3.3872512000000001</v>
      </c>
      <c r="I53" s="322">
        <f>+'SEP ORIGEN'!I53-'GENERADO PS locales'!I213</f>
        <v>6.4159680000000003</v>
      </c>
      <c r="J53" s="322">
        <f>+'SEP ORIGEN'!J53-'GENERADO PS locales'!J213</f>
        <v>10.802460000000002</v>
      </c>
      <c r="K53" s="322">
        <f>+'SEP ORIGEN'!K53-'GENERADO PS locales'!K213</f>
        <v>15.27778</v>
      </c>
      <c r="L53" s="322">
        <f>+'SEP ORIGEN'!L53-'GENERADO PS locales'!L213</f>
        <v>15.433971000000001</v>
      </c>
      <c r="M53" s="322">
        <f>+'SEP ORIGEN'!M53-'GENERADO PS locales'!M213</f>
        <v>15.591646000000001</v>
      </c>
      <c r="N53" s="322">
        <f>+'SEP ORIGEN'!N53-'GENERADO PS locales'!N213</f>
        <v>15.750805000000001</v>
      </c>
      <c r="O53" s="322">
        <f>+'SEP ORIGEN'!O53-'GENERADO PS locales'!O213</f>
        <v>15.911448</v>
      </c>
      <c r="P53" s="322">
        <f>+'SEP ORIGEN'!P53-'GENERADO PS locales'!P213</f>
        <v>16.073945999999999</v>
      </c>
      <c r="Q53" s="322">
        <f>+'SEP ORIGEN'!Q53-'GENERADO PS locales'!Q213</f>
        <v>16.238298999999998</v>
      </c>
      <c r="R53" s="322">
        <f>+'SEP ORIGEN'!R53-'GENERADO PS locales'!R213</f>
        <v>16.404136000000001</v>
      </c>
      <c r="S53" s="322">
        <f>+'SEP ORIGEN'!S53-'GENERADO PS locales'!S213</f>
        <v>16.571456999999999</v>
      </c>
      <c r="T53" s="322">
        <f>+'SEP ORIGEN'!T53-'GENERADO PS locales'!T213</f>
        <v>16.741004</v>
      </c>
      <c r="U53" s="322">
        <f>+'SEP ORIGEN'!U53-'GENERADO PS locales'!U213</f>
        <v>16.911663999999998</v>
      </c>
      <c r="V53" s="322">
        <f>+'SEP ORIGEN'!V53-'GENERADO PS locales'!V213</f>
        <v>17.08455</v>
      </c>
      <c r="W53" s="322">
        <f>+'SEP ORIGEN'!W53-'GENERADO PS locales'!W213</f>
        <v>17.25892</v>
      </c>
      <c r="X53" s="322">
        <f>+'SEP ORIGEN'!X53-'GENERADO PS locales'!X213</f>
        <v>17.435144999999999</v>
      </c>
      <c r="Y53" s="322">
        <f>+'SEP ORIGEN'!Y53-'GENERADO PS locales'!Y213</f>
        <v>17.613225</v>
      </c>
      <c r="Z53" s="322">
        <f>+'SEP ORIGEN'!Z53-'GENERADO PS locales'!Z213</f>
        <v>17.79316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38">
        <f>+'SEP ORIGEN'!P54</f>
        <v>25.648308000000004</v>
      </c>
      <c r="E54" s="278"/>
      <c r="F54" s="263"/>
      <c r="G54" s="322">
        <f>+'SEP ORIGEN'!G54-'GENERADO PS locales'!G214</f>
        <v>0.68220660000000011</v>
      </c>
      <c r="H54" s="322">
        <f>+'SEP ORIGEN'!H54-'GENERADO PS locales'!H214</f>
        <v>5.5026959999999994</v>
      </c>
      <c r="I54" s="322">
        <f>+'SEP ORIGEN'!I54-'GENERADO PS locales'!I214</f>
        <v>10.401857999999999</v>
      </c>
      <c r="J54" s="322">
        <f>+'SEP ORIGEN'!J54-'GENERADO PS locales'!J214</f>
        <v>17.476935000000001</v>
      </c>
      <c r="K54" s="322">
        <f>+'SEP ORIGEN'!K54-'GENERADO PS locales'!K214</f>
        <v>24.664415999999996</v>
      </c>
      <c r="L54" s="322">
        <f>+'SEP ORIGEN'!L54-'GENERADO PS locales'!L214</f>
        <v>24.861122999999999</v>
      </c>
      <c r="M54" s="322">
        <f>+'SEP ORIGEN'!M54-'GENERADO PS locales'!M214</f>
        <v>25.057829999999999</v>
      </c>
      <c r="N54" s="322">
        <f>+'SEP ORIGEN'!N54-'GENERADO PS locales'!N214</f>
        <v>25.254894</v>
      </c>
      <c r="O54" s="322">
        <f>+'SEP ORIGEN'!O54-'GENERADO PS locales'!O214</f>
        <v>25.451601</v>
      </c>
      <c r="P54" s="322">
        <f>+'SEP ORIGEN'!P54-'GENERADO PS locales'!P214</f>
        <v>25.648308000000004</v>
      </c>
      <c r="Q54" s="322">
        <f>+'SEP ORIGEN'!Q54-'GENERADO PS locales'!Q214</f>
        <v>25.845015</v>
      </c>
      <c r="R54" s="322">
        <f>+'SEP ORIGEN'!R54-'GENERADO PS locales'!R214</f>
        <v>26.041722</v>
      </c>
      <c r="S54" s="322">
        <f>+'SEP ORIGEN'!S54-'GENERADO PS locales'!S214</f>
        <v>26.238429</v>
      </c>
      <c r="T54" s="322">
        <f>+'SEP ORIGEN'!T54-'GENERADO PS locales'!T214</f>
        <v>26.435492999999997</v>
      </c>
      <c r="U54" s="322">
        <f>+'SEP ORIGEN'!U54-'GENERADO PS locales'!U214</f>
        <v>26.632199999999997</v>
      </c>
      <c r="V54" s="322">
        <f>+'SEP ORIGEN'!V54-'GENERADO PS locales'!V214</f>
        <v>26.828907000000001</v>
      </c>
      <c r="W54" s="322">
        <f>+'SEP ORIGEN'!W54-'GENERADO PS locales'!W214</f>
        <v>27.025614000000001</v>
      </c>
      <c r="X54" s="322">
        <f>+'SEP ORIGEN'!X54-'GENERADO PS locales'!X214</f>
        <v>27.222320999999997</v>
      </c>
      <c r="Y54" s="322">
        <f>+'SEP ORIGEN'!Y54-'GENERADO PS locales'!Y214</f>
        <v>27.419027999999997</v>
      </c>
      <c r="Z54" s="322">
        <f>+'SEP ORIGEN'!Z54-'GENERADO PS locales'!Z214</f>
        <v>27.616091999999998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38">
        <f>+'SEP ORIGEN'!P55</f>
        <v>10.787938</v>
      </c>
      <c r="E55" s="278"/>
      <c r="F55" s="263"/>
      <c r="G55" s="322">
        <f>+'SEP ORIGEN'!G55-'GENERADO PS locales'!G215</f>
        <v>0.28418599999999999</v>
      </c>
      <c r="H55" s="322">
        <f>+'SEP ORIGEN'!H55-'GENERADO PS locales'!H215</f>
        <v>2.2940944000000001</v>
      </c>
      <c r="I55" s="322">
        <f>+'SEP ORIGEN'!I55-'GENERADO PS locales'!I215</f>
        <v>4.340382</v>
      </c>
      <c r="J55" s="322">
        <f>+'SEP ORIGEN'!J55-'GENERADO PS locales'!J215</f>
        <v>7.2996900000000009</v>
      </c>
      <c r="K55" s="322">
        <f>+'SEP ORIGEN'!K55-'GENERADO PS locales'!K215</f>
        <v>10.311945</v>
      </c>
      <c r="L55" s="322">
        <f>+'SEP ORIGEN'!L55-'GENERADO PS locales'!L215</f>
        <v>10.405436999999999</v>
      </c>
      <c r="M55" s="322">
        <f>+'SEP ORIGEN'!M55-'GENERADO PS locales'!M215</f>
        <v>10.500042000000001</v>
      </c>
      <c r="N55" s="322">
        <f>+'SEP ORIGEN'!N55-'GENERADO PS locales'!N215</f>
        <v>10.595018000000001</v>
      </c>
      <c r="O55" s="322">
        <f>+'SEP ORIGEN'!O55-'GENERADO PS locales'!O215</f>
        <v>10.691107000000001</v>
      </c>
      <c r="P55" s="322">
        <f>+'SEP ORIGEN'!P55-'GENERADO PS locales'!P215</f>
        <v>10.787938</v>
      </c>
      <c r="Q55" s="322">
        <f>+'SEP ORIGEN'!Q55-'GENERADO PS locales'!Q215</f>
        <v>10.885882000000001</v>
      </c>
      <c r="R55" s="322">
        <f>+'SEP ORIGEN'!R55-'GENERADO PS locales'!R215</f>
        <v>10.984568000000001</v>
      </c>
      <c r="S55" s="322">
        <f>+'SEP ORIGEN'!S55-'GENERADO PS locales'!S215</f>
        <v>11.083996000000001</v>
      </c>
      <c r="T55" s="322">
        <f>+'SEP ORIGEN'!T55-'GENERADO PS locales'!T215</f>
        <v>11.184537000000001</v>
      </c>
      <c r="U55" s="322">
        <f>+'SEP ORIGEN'!U55-'GENERADO PS locales'!U215</f>
        <v>11.285820000000001</v>
      </c>
      <c r="V55" s="322">
        <f>+'SEP ORIGEN'!V55-'GENERADO PS locales'!V215</f>
        <v>11.388215999999998</v>
      </c>
      <c r="W55" s="322">
        <f>+'SEP ORIGEN'!W55-'GENERADO PS locales'!W215</f>
        <v>11.491354000000001</v>
      </c>
      <c r="X55" s="322">
        <f>+'SEP ORIGEN'!X55-'GENERADO PS locales'!X215</f>
        <v>11.595605000000001</v>
      </c>
      <c r="Y55" s="322">
        <f>+'SEP ORIGEN'!Y55-'GENERADO PS locales'!Y215</f>
        <v>11.700597999999998</v>
      </c>
      <c r="Z55" s="322">
        <f>+'SEP ORIGEN'!Z55-'GENERADO PS locales'!Z215</f>
        <v>11.806704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38">
        <f>+'SEP ORIGEN'!P56</f>
        <v>22.704843</v>
      </c>
      <c r="E56" s="278"/>
      <c r="F56" s="263"/>
      <c r="G56" s="322">
        <f>+'SEP ORIGEN'!G56-'GENERADO PS locales'!G216</f>
        <v>0.62675940000000008</v>
      </c>
      <c r="H56" s="322">
        <f>+'SEP ORIGEN'!H56-'GENERADO PS locales'!H216</f>
        <v>5.0323536000000004</v>
      </c>
      <c r="I56" s="322">
        <f>+'SEP ORIGEN'!I56-'GENERADO PS locales'!I216</f>
        <v>9.4705469999999998</v>
      </c>
      <c r="J56" s="322">
        <f>+'SEP ORIGEN'!J56-'GENERADO PS locales'!J216</f>
        <v>15.84315</v>
      </c>
      <c r="K56" s="322">
        <f>+'SEP ORIGEN'!K56-'GENERADO PS locales'!K216</f>
        <v>22.264305</v>
      </c>
      <c r="L56" s="322">
        <f>+'SEP ORIGEN'!L56-'GENERADO PS locales'!L216</f>
        <v>22.349627999999999</v>
      </c>
      <c r="M56" s="322">
        <f>+'SEP ORIGEN'!M56-'GENERADO PS locales'!M216</f>
        <v>22.436379000000002</v>
      </c>
      <c r="N56" s="322">
        <f>+'SEP ORIGEN'!N56-'GENERADO PS locales'!N216</f>
        <v>22.524557999999999</v>
      </c>
      <c r="O56" s="322">
        <f>+'SEP ORIGEN'!O56-'GENERADO PS locales'!O216</f>
        <v>22.614165</v>
      </c>
      <c r="P56" s="322">
        <f>+'SEP ORIGEN'!P56-'GENERADO PS locales'!P216</f>
        <v>22.704843</v>
      </c>
      <c r="Q56" s="322">
        <f>+'SEP ORIGEN'!Q56-'GENERADO PS locales'!Q216</f>
        <v>22.797662999999996</v>
      </c>
      <c r="R56" s="322">
        <f>+'SEP ORIGEN'!R56-'GENERADO PS locales'!R216</f>
        <v>22.891554000000003</v>
      </c>
      <c r="S56" s="322">
        <f>+'SEP ORIGEN'!S56-'GENERADO PS locales'!S216</f>
        <v>22.98723</v>
      </c>
      <c r="T56" s="322">
        <f>+'SEP ORIGEN'!T56-'GENERADO PS locales'!T216</f>
        <v>23.084333999999998</v>
      </c>
      <c r="U56" s="322">
        <f>+'SEP ORIGEN'!U56-'GENERADO PS locales'!U216</f>
        <v>23.182865999999994</v>
      </c>
      <c r="V56" s="322">
        <f>+'SEP ORIGEN'!V56-'GENERADO PS locales'!V216</f>
        <v>23.283183000000001</v>
      </c>
      <c r="W56" s="322">
        <f>+'SEP ORIGEN'!W56-'GENERADO PS locales'!W216</f>
        <v>23.384927999999999</v>
      </c>
      <c r="X56" s="322">
        <f>+'SEP ORIGEN'!X56-'GENERADO PS locales'!X216</f>
        <v>23.488814999999999</v>
      </c>
      <c r="Y56" s="322">
        <f>+'SEP ORIGEN'!Y56-'GENERADO PS locales'!Y216</f>
        <v>23.593772999999999</v>
      </c>
      <c r="Z56" s="322">
        <f>+'SEP ORIGEN'!Z56-'GENERADO PS locales'!Z216</f>
        <v>23.700872999999998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38">
        <f>+'SEP ORIGEN'!P57</f>
        <v>3.7677219999999996</v>
      </c>
      <c r="E57" s="278"/>
      <c r="F57" s="263"/>
      <c r="G57" s="322">
        <f>+'SEP ORIGEN'!G57-'GENERADO PS locales'!G217</f>
        <v>0.107226</v>
      </c>
      <c r="H57" s="322">
        <f>+'SEP ORIGEN'!H57-'GENERADO PS locales'!H217</f>
        <v>0.85817600000000005</v>
      </c>
      <c r="I57" s="322">
        <f>+'SEP ORIGEN'!I57-'GENERADO PS locales'!I217</f>
        <v>1.6097700000000001</v>
      </c>
      <c r="J57" s="322">
        <f>+'SEP ORIGEN'!J57-'GENERADO PS locales'!J217</f>
        <v>2.6840999999999999</v>
      </c>
      <c r="K57" s="322">
        <f>+'SEP ORIGEN'!K57-'GENERADO PS locales'!K217</f>
        <v>3.7596719999999997</v>
      </c>
      <c r="L57" s="322">
        <f>+'SEP ORIGEN'!L57-'GENERADO PS locales'!L217</f>
        <v>3.761282</v>
      </c>
      <c r="M57" s="322">
        <f>+'SEP ORIGEN'!M57-'GENERADO PS locales'!M217</f>
        <v>3.7628919999999999</v>
      </c>
      <c r="N57" s="322">
        <f>+'SEP ORIGEN'!N57-'GENERADO PS locales'!N217</f>
        <v>3.7645020000000002</v>
      </c>
      <c r="O57" s="322">
        <f>+'SEP ORIGEN'!O57-'GENERADO PS locales'!O217</f>
        <v>3.7661119999999997</v>
      </c>
      <c r="P57" s="322">
        <f>+'SEP ORIGEN'!P57-'GENERADO PS locales'!P217</f>
        <v>3.7677219999999996</v>
      </c>
      <c r="Q57" s="322">
        <f>+'SEP ORIGEN'!Q57-'GENERADO PS locales'!Q217</f>
        <v>3.7696540000000001</v>
      </c>
      <c r="R57" s="322">
        <f>+'SEP ORIGEN'!R57-'GENERADO PS locales'!R217</f>
        <v>3.7712639999999999</v>
      </c>
      <c r="S57" s="322">
        <f>+'SEP ORIGEN'!S57-'GENERADO PS locales'!S217</f>
        <v>3.7728739999999998</v>
      </c>
      <c r="T57" s="322">
        <f>+'SEP ORIGEN'!T57-'GENERADO PS locales'!T217</f>
        <v>3.7744839999999997</v>
      </c>
      <c r="U57" s="322">
        <f>+'SEP ORIGEN'!U57-'GENERADO PS locales'!U217</f>
        <v>3.7760940000000001</v>
      </c>
      <c r="V57" s="322">
        <f>+'SEP ORIGEN'!V57-'GENERADO PS locales'!V217</f>
        <v>3.7780260000000001</v>
      </c>
      <c r="W57" s="322">
        <f>+'SEP ORIGEN'!W57-'GENERADO PS locales'!W217</f>
        <v>3.779636</v>
      </c>
      <c r="X57" s="322">
        <f>+'SEP ORIGEN'!X57-'GENERADO PS locales'!X217</f>
        <v>3.7812459999999999</v>
      </c>
      <c r="Y57" s="322">
        <f>+'SEP ORIGEN'!Y57-'GENERADO PS locales'!Y217</f>
        <v>3.7828559999999993</v>
      </c>
      <c r="Z57" s="322">
        <f>+'SEP ORIGEN'!Z57-'GENERADO PS locales'!Z217</f>
        <v>3.7844660000000001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38">
        <f>+'SEP ORIGEN'!P58</f>
        <v>8.9318249999999999</v>
      </c>
      <c r="E58" s="278"/>
      <c r="F58" s="263"/>
      <c r="G58" s="322">
        <f>+'SEP ORIGEN'!G58-'GENERADO PS locales'!G218</f>
        <v>0.23050760000000001</v>
      </c>
      <c r="H58" s="322">
        <f>+'SEP ORIGEN'!H58-'GENERADO PS locales'!H218</f>
        <v>1.8616992000000003</v>
      </c>
      <c r="I58" s="322">
        <f>+'SEP ORIGEN'!I58-'GENERADO PS locales'!I218</f>
        <v>3.5235989999999995</v>
      </c>
      <c r="J58" s="322">
        <f>+'SEP ORIGEN'!J58-'GENERADO PS locales'!J218</f>
        <v>5.9277850000000001</v>
      </c>
      <c r="K58" s="322">
        <f>+'SEP ORIGEN'!K58-'GENERADO PS locales'!K218</f>
        <v>8.3756959999999996</v>
      </c>
      <c r="L58" s="322">
        <f>+'SEP ORIGEN'!L58-'GENERADO PS locales'!L218</f>
        <v>8.4869959999999995</v>
      </c>
      <c r="M58" s="322">
        <f>+'SEP ORIGEN'!M58-'GENERADO PS locales'!M218</f>
        <v>8.5982959999999995</v>
      </c>
      <c r="N58" s="322">
        <f>+'SEP ORIGEN'!N58-'GENERADO PS locales'!N218</f>
        <v>8.7095959999999994</v>
      </c>
      <c r="O58" s="322">
        <f>+'SEP ORIGEN'!O58-'GENERADO PS locales'!O218</f>
        <v>8.8205249999999999</v>
      </c>
      <c r="P58" s="322">
        <f>+'SEP ORIGEN'!P58-'GENERADO PS locales'!P218</f>
        <v>8.9318249999999999</v>
      </c>
      <c r="Q58" s="322">
        <f>+'SEP ORIGEN'!Q58-'GENERADO PS locales'!Q218</f>
        <v>9.0431249999999981</v>
      </c>
      <c r="R58" s="322">
        <f>+'SEP ORIGEN'!R58-'GENERADO PS locales'!R218</f>
        <v>9.1544249999999998</v>
      </c>
      <c r="S58" s="322">
        <f>+'SEP ORIGEN'!S58-'GENERADO PS locales'!S218</f>
        <v>9.2657249999999998</v>
      </c>
      <c r="T58" s="322">
        <f>+'SEP ORIGEN'!T58-'GENERADO PS locales'!T218</f>
        <v>9.3766540000000003</v>
      </c>
      <c r="U58" s="322">
        <f>+'SEP ORIGEN'!U58-'GENERADO PS locales'!U218</f>
        <v>9.4879540000000002</v>
      </c>
      <c r="V58" s="322">
        <f>+'SEP ORIGEN'!V58-'GENERADO PS locales'!V218</f>
        <v>9.5992540000000002</v>
      </c>
      <c r="W58" s="322">
        <f>+'SEP ORIGEN'!W58-'GENERADO PS locales'!W218</f>
        <v>9.7105540000000001</v>
      </c>
      <c r="X58" s="322">
        <f>+'SEP ORIGEN'!X58-'GENERADO PS locales'!X218</f>
        <v>9.8218540000000001</v>
      </c>
      <c r="Y58" s="322">
        <f>+'SEP ORIGEN'!Y58-'GENERADO PS locales'!Y218</f>
        <v>9.9327830000000006</v>
      </c>
      <c r="Z58" s="322">
        <f>+'SEP ORIGEN'!Z58-'GENERADO PS locales'!Z218</f>
        <v>10.044083000000001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38">
        <f>+'SEP ORIGEN'!P59</f>
        <v>11.407137000000001</v>
      </c>
      <c r="E59" s="278"/>
      <c r="F59" s="263"/>
      <c r="G59" s="322">
        <f>+'SEP ORIGEN'!G59-'GENERADO PS locales'!G219</f>
        <v>0.28959200000000002</v>
      </c>
      <c r="H59" s="322">
        <f>+'SEP ORIGEN'!H59-'GENERADO PS locales'!H219</f>
        <v>2.3441263999999999</v>
      </c>
      <c r="I59" s="322">
        <f>+'SEP ORIGEN'!I59-'GENERADO PS locales'!I219</f>
        <v>4.4465940000000002</v>
      </c>
      <c r="J59" s="322">
        <f>+'SEP ORIGEN'!J59-'GENERADO PS locales'!J219</f>
        <v>7.4965849999999996</v>
      </c>
      <c r="K59" s="322">
        <f>+'SEP ORIGEN'!K59-'GENERADO PS locales'!K219</f>
        <v>10.615052</v>
      </c>
      <c r="L59" s="322">
        <f>+'SEP ORIGEN'!L59-'GENERADO PS locales'!L219</f>
        <v>10.773468999999999</v>
      </c>
      <c r="M59" s="322">
        <f>+'SEP ORIGEN'!M59-'GENERADO PS locales'!M219</f>
        <v>10.931886</v>
      </c>
      <c r="N59" s="322">
        <f>+'SEP ORIGEN'!N59-'GENERADO PS locales'!N219</f>
        <v>11.090303</v>
      </c>
      <c r="O59" s="322">
        <f>+'SEP ORIGEN'!O59-'GENERADO PS locales'!O219</f>
        <v>11.24872</v>
      </c>
      <c r="P59" s="322">
        <f>+'SEP ORIGEN'!P59-'GENERADO PS locales'!P219</f>
        <v>11.407137000000001</v>
      </c>
      <c r="Q59" s="322">
        <f>+'SEP ORIGEN'!Q59-'GENERADO PS locales'!Q219</f>
        <v>11.565554000000001</v>
      </c>
      <c r="R59" s="322">
        <f>+'SEP ORIGEN'!R59-'GENERADO PS locales'!R219</f>
        <v>11.724342</v>
      </c>
      <c r="S59" s="322">
        <f>+'SEP ORIGEN'!S59-'GENERADO PS locales'!S219</f>
        <v>11.882759</v>
      </c>
      <c r="T59" s="322">
        <f>+'SEP ORIGEN'!T59-'GENERADO PS locales'!T219</f>
        <v>12.041175999999998</v>
      </c>
      <c r="U59" s="322">
        <f>+'SEP ORIGEN'!U59-'GENERADO PS locales'!U219</f>
        <v>12.199593</v>
      </c>
      <c r="V59" s="322">
        <f>+'SEP ORIGEN'!V59-'GENERADO PS locales'!V219</f>
        <v>12.358009999999998</v>
      </c>
      <c r="W59" s="322">
        <f>+'SEP ORIGEN'!W59-'GENERADO PS locales'!W219</f>
        <v>12.516427</v>
      </c>
      <c r="X59" s="322">
        <f>+'SEP ORIGEN'!X59-'GENERADO PS locales'!X219</f>
        <v>12.674844</v>
      </c>
      <c r="Y59" s="322">
        <f>+'SEP ORIGEN'!Y59-'GENERADO PS locales'!Y219</f>
        <v>12.833261</v>
      </c>
      <c r="Z59" s="322">
        <f>+'SEP ORIGEN'!Z59-'GENERADO PS locales'!Z219</f>
        <v>12.991678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38">
        <f>+'SEP ORIGEN'!P60</f>
        <v>4.8609119999999999</v>
      </c>
      <c r="E60" s="278"/>
      <c r="F60" s="263"/>
      <c r="G60" s="322">
        <f>+'SEP ORIGEN'!G60-'GENERADO PS locales'!G220</f>
        <v>0.12891040000000001</v>
      </c>
      <c r="H60" s="322">
        <f>+'SEP ORIGEN'!H60-'GENERADO PS locales'!H220</f>
        <v>1.0401888000000001</v>
      </c>
      <c r="I60" s="322">
        <f>+'SEP ORIGEN'!I60-'GENERADO PS locales'!I220</f>
        <v>1.9669139999999998</v>
      </c>
      <c r="J60" s="322">
        <f>+'SEP ORIGEN'!J60-'GENERADO PS locales'!J220</f>
        <v>3.3060200000000002</v>
      </c>
      <c r="K60" s="322">
        <f>+'SEP ORIGEN'!K60-'GENERADO PS locales'!K220</f>
        <v>4.6670680000000004</v>
      </c>
      <c r="L60" s="322">
        <f>+'SEP ORIGEN'!L60-'GENERADO PS locales'!L220</f>
        <v>4.7060300000000002</v>
      </c>
      <c r="M60" s="322">
        <f>+'SEP ORIGEN'!M60-'GENERADO PS locales'!M220</f>
        <v>4.7446700000000002</v>
      </c>
      <c r="N60" s="322">
        <f>+'SEP ORIGEN'!N60-'GENERADO PS locales'!N220</f>
        <v>4.7836319999999999</v>
      </c>
      <c r="O60" s="322">
        <f>+'SEP ORIGEN'!O60-'GENERADO PS locales'!O220</f>
        <v>4.8222719999999999</v>
      </c>
      <c r="P60" s="322">
        <f>+'SEP ORIGEN'!P60-'GENERADO PS locales'!P220</f>
        <v>4.8609119999999999</v>
      </c>
      <c r="Q60" s="322">
        <f>+'SEP ORIGEN'!Q60-'GENERADO PS locales'!Q220</f>
        <v>4.8998740000000005</v>
      </c>
      <c r="R60" s="322">
        <f>+'SEP ORIGEN'!R60-'GENERADO PS locales'!R220</f>
        <v>4.9385140000000005</v>
      </c>
      <c r="S60" s="322">
        <f>+'SEP ORIGEN'!S60-'GENERADO PS locales'!S220</f>
        <v>4.9774760000000002</v>
      </c>
      <c r="T60" s="322">
        <f>+'SEP ORIGEN'!T60-'GENERADO PS locales'!T220</f>
        <v>5.0161160000000002</v>
      </c>
      <c r="U60" s="322">
        <f>+'SEP ORIGEN'!U60-'GENERADO PS locales'!U220</f>
        <v>5.055078</v>
      </c>
      <c r="V60" s="322">
        <f>+'SEP ORIGEN'!V60-'GENERADO PS locales'!V220</f>
        <v>5.0937180000000009</v>
      </c>
      <c r="W60" s="322">
        <f>+'SEP ORIGEN'!W60-'GENERADO PS locales'!W220</f>
        <v>5.132358</v>
      </c>
      <c r="X60" s="322">
        <f>+'SEP ORIGEN'!X60-'GENERADO PS locales'!X220</f>
        <v>5.1713199999999997</v>
      </c>
      <c r="Y60" s="322">
        <f>+'SEP ORIGEN'!Y60-'GENERADO PS locales'!Y220</f>
        <v>5.2099599999999997</v>
      </c>
      <c r="Z60" s="322">
        <f>+'SEP ORIGEN'!Z60-'GENERADO PS locales'!Z220</f>
        <v>5.2489219999999994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38">
        <f>+'SEP ORIGEN'!P61</f>
        <v>13.380856999999999</v>
      </c>
      <c r="E61" s="278"/>
      <c r="F61" s="263"/>
      <c r="G61" s="322">
        <f>+'SEP ORIGEN'!G61-'GENERADO PS locales'!G221</f>
        <v>0.3351614</v>
      </c>
      <c r="H61" s="322">
        <f>+'SEP ORIGEN'!H61-'GENERADO PS locales'!H221</f>
        <v>2.7177552000000005</v>
      </c>
      <c r="I61" s="322">
        <f>+'SEP ORIGEN'!I61-'GENERADO PS locales'!I221</f>
        <v>5.1641610000000009</v>
      </c>
      <c r="J61" s="322">
        <f>+'SEP ORIGEN'!J61-'GENERADO PS locales'!J221</f>
        <v>8.7211499999999997</v>
      </c>
      <c r="K61" s="322">
        <f>+'SEP ORIGEN'!K61-'GENERADO PS locales'!K221</f>
        <v>12.36914</v>
      </c>
      <c r="L61" s="322">
        <f>+'SEP ORIGEN'!L61-'GENERADO PS locales'!L221</f>
        <v>12.571334999999998</v>
      </c>
      <c r="M61" s="322">
        <f>+'SEP ORIGEN'!M61-'GENERADO PS locales'!M221</f>
        <v>12.773900999999999</v>
      </c>
      <c r="N61" s="322">
        <f>+'SEP ORIGEN'!N61-'GENERADO PS locales'!N221</f>
        <v>12.976096000000002</v>
      </c>
      <c r="O61" s="322">
        <f>+'SEP ORIGEN'!O61-'GENERADO PS locales'!O221</f>
        <v>13.178661999999999</v>
      </c>
      <c r="P61" s="322">
        <f>+'SEP ORIGEN'!P61-'GENERADO PS locales'!P221</f>
        <v>13.380856999999999</v>
      </c>
      <c r="Q61" s="322">
        <f>+'SEP ORIGEN'!Q61-'GENERADO PS locales'!Q221</f>
        <v>13.583422999999998</v>
      </c>
      <c r="R61" s="322">
        <f>+'SEP ORIGEN'!R61-'GENERADO PS locales'!R221</f>
        <v>13.785618000000001</v>
      </c>
      <c r="S61" s="322">
        <f>+'SEP ORIGEN'!S61-'GENERADO PS locales'!S221</f>
        <v>13.987813000000001</v>
      </c>
      <c r="T61" s="322">
        <f>+'SEP ORIGEN'!T61-'GENERADO PS locales'!T221</f>
        <v>14.190378999999998</v>
      </c>
      <c r="U61" s="322">
        <f>+'SEP ORIGEN'!U61-'GENERADO PS locales'!U221</f>
        <v>14.392573999999998</v>
      </c>
      <c r="V61" s="322">
        <f>+'SEP ORIGEN'!V61-'GENERADO PS locales'!V221</f>
        <v>14.595139999999999</v>
      </c>
      <c r="W61" s="322">
        <f>+'SEP ORIGEN'!W61-'GENERADO PS locales'!W221</f>
        <v>14.797335</v>
      </c>
      <c r="X61" s="322">
        <f>+'SEP ORIGEN'!X61-'GENERADO PS locales'!X221</f>
        <v>14.999900999999998</v>
      </c>
      <c r="Y61" s="322">
        <f>+'SEP ORIGEN'!Y61-'GENERADO PS locales'!Y221</f>
        <v>15.202096000000001</v>
      </c>
      <c r="Z61" s="322">
        <f>+'SEP ORIGEN'!Z61-'GENERADO PS locales'!Z221</f>
        <v>15.404661999999998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38">
        <f>+'SEP ORIGEN'!P62</f>
        <v>25.017845999999995</v>
      </c>
      <c r="E62" s="278"/>
      <c r="F62" s="263"/>
      <c r="G62" s="322">
        <f>+'SEP ORIGEN'!G62-'GENERADO PS locales'!G222</f>
        <v>0.66131699999999993</v>
      </c>
      <c r="H62" s="322">
        <f>+'SEP ORIGEN'!H62-'GENERADO PS locales'!H222</f>
        <v>5.3364768000000007</v>
      </c>
      <c r="I62" s="322">
        <f>+'SEP ORIGEN'!I62-'GENERADO PS locales'!I222</f>
        <v>10.092644999999999</v>
      </c>
      <c r="J62" s="322">
        <f>+'SEP ORIGEN'!J62-'GENERADO PS locales'!J222</f>
        <v>16.967189999999999</v>
      </c>
      <c r="K62" s="322">
        <f>+'SEP ORIGEN'!K62-'GENERADO PS locales'!K222</f>
        <v>23.960055000000001</v>
      </c>
      <c r="L62" s="322">
        <f>+'SEP ORIGEN'!L62-'GENERADO PS locales'!L222</f>
        <v>24.167828999999998</v>
      </c>
      <c r="M62" s="322">
        <f>+'SEP ORIGEN'!M62-'GENERADO PS locales'!M222</f>
        <v>24.377744999999997</v>
      </c>
      <c r="N62" s="322">
        <f>+'SEP ORIGEN'!N62-'GENERADO PS locales'!N222</f>
        <v>24.589445999999999</v>
      </c>
      <c r="O62" s="322">
        <f>+'SEP ORIGEN'!O62-'GENERADO PS locales'!O222</f>
        <v>24.802575000000001</v>
      </c>
      <c r="P62" s="322">
        <f>+'SEP ORIGEN'!P62-'GENERADO PS locales'!P222</f>
        <v>25.017845999999995</v>
      </c>
      <c r="Q62" s="322">
        <f>+'SEP ORIGEN'!Q62-'GENERADO PS locales'!Q222</f>
        <v>25.234902000000002</v>
      </c>
      <c r="R62" s="322">
        <f>+'SEP ORIGEN'!R62-'GENERADO PS locales'!R222</f>
        <v>25.454099999999997</v>
      </c>
      <c r="S62" s="322">
        <f>+'SEP ORIGEN'!S62-'GENERADO PS locales'!S222</f>
        <v>25.675083000000001</v>
      </c>
      <c r="T62" s="322">
        <f>+'SEP ORIGEN'!T62-'GENERADO PS locales'!T222</f>
        <v>25.897850999999999</v>
      </c>
      <c r="U62" s="322">
        <f>+'SEP ORIGEN'!U62-'GENERADO PS locales'!U222</f>
        <v>26.122404</v>
      </c>
      <c r="V62" s="322">
        <f>+'SEP ORIGEN'!V62-'GENERADO PS locales'!V222</f>
        <v>26.349098999999999</v>
      </c>
      <c r="W62" s="322">
        <f>+'SEP ORIGEN'!W62-'GENERADO PS locales'!W222</f>
        <v>26.577936000000005</v>
      </c>
      <c r="X62" s="322">
        <f>+'SEP ORIGEN'!X62-'GENERADO PS locales'!X222</f>
        <v>26.808558000000001</v>
      </c>
      <c r="Y62" s="322">
        <f>+'SEP ORIGEN'!Y62-'GENERADO PS locales'!Y222</f>
        <v>27.041321999999997</v>
      </c>
      <c r="Z62" s="322">
        <f>+'SEP ORIGEN'!Z62-'GENERADO PS locales'!Z222</f>
        <v>27.275870999999999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38">
        <f>+'SEP ORIGEN'!P63</f>
        <v>118.74248399999998</v>
      </c>
      <c r="E63" s="278"/>
      <c r="F63" s="263"/>
      <c r="G63" s="322">
        <f>+'SEP ORIGEN'!G63-'GENERADO PS locales'!G223</f>
        <v>2.9553582</v>
      </c>
      <c r="H63" s="322">
        <f>+'SEP ORIGEN'!H63-'GENERADO PS locales'!H223</f>
        <v>24.031526400000004</v>
      </c>
      <c r="I63" s="322">
        <f>+'SEP ORIGEN'!I63-'GENERADO PS locales'!I223</f>
        <v>45.788003999999994</v>
      </c>
      <c r="J63" s="322">
        <f>+'SEP ORIGEN'!J63-'GENERADO PS locales'!J223</f>
        <v>77.527905000000004</v>
      </c>
      <c r="K63" s="322">
        <f>+'SEP ORIGEN'!K63-'GENERADO PS locales'!K223</f>
        <v>110.23981500000001</v>
      </c>
      <c r="L63" s="322">
        <f>+'SEP ORIGEN'!L63-'GENERADO PS locales'!L223</f>
        <v>111.94020600000002</v>
      </c>
      <c r="M63" s="322">
        <f>+'SEP ORIGEN'!M63-'GENERADO PS locales'!M223</f>
        <v>113.64095399999999</v>
      </c>
      <c r="N63" s="322">
        <f>+'SEP ORIGEN'!N63-'GENERADO PS locales'!N223</f>
        <v>115.34134499999999</v>
      </c>
      <c r="O63" s="322">
        <f>+'SEP ORIGEN'!O63-'GENERADO PS locales'!O223</f>
        <v>117.04209299999999</v>
      </c>
      <c r="P63" s="322">
        <f>+'SEP ORIGEN'!P63-'GENERADO PS locales'!P223</f>
        <v>118.74248399999998</v>
      </c>
      <c r="Q63" s="322">
        <f>+'SEP ORIGEN'!Q63-'GENERADO PS locales'!Q223</f>
        <v>120.44323200000001</v>
      </c>
      <c r="R63" s="322">
        <f>+'SEP ORIGEN'!R63-'GENERADO PS locales'!R223</f>
        <v>122.14397999999998</v>
      </c>
      <c r="S63" s="322">
        <f>+'SEP ORIGEN'!S63-'GENERADO PS locales'!S223</f>
        <v>123.84437099999998</v>
      </c>
      <c r="T63" s="322">
        <f>+'SEP ORIGEN'!T63-'GENERADO PS locales'!T223</f>
        <v>125.545119</v>
      </c>
      <c r="U63" s="322">
        <f>+'SEP ORIGEN'!U63-'GENERADO PS locales'!U223</f>
        <v>127.24551</v>
      </c>
      <c r="V63" s="322">
        <f>+'SEP ORIGEN'!V63-'GENERADO PS locales'!V223</f>
        <v>128.946258</v>
      </c>
      <c r="W63" s="322">
        <f>+'SEP ORIGEN'!W63-'GENERADO PS locales'!W223</f>
        <v>130.646649</v>
      </c>
      <c r="X63" s="322">
        <f>+'SEP ORIGEN'!X63-'GENERADO PS locales'!X223</f>
        <v>132.347397</v>
      </c>
      <c r="Y63" s="322">
        <f>+'SEP ORIGEN'!Y63-'GENERADO PS locales'!Y223</f>
        <v>134.047788</v>
      </c>
      <c r="Z63" s="322">
        <f>+'SEP ORIGEN'!Z63-'GENERADO PS locales'!Z223</f>
        <v>135.748536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38">
        <f>+'SEP ORIGEN'!P64</f>
        <v>4.9803740000000003</v>
      </c>
      <c r="E64" s="278"/>
      <c r="F64" s="263"/>
      <c r="G64" s="322">
        <f>+'SEP ORIGEN'!G64-'GENERADO PS locales'!G224</f>
        <v>0.11897440000000002</v>
      </c>
      <c r="H64" s="322">
        <f>+'SEP ORIGEN'!H64-'GENERADO PS locales'!H224</f>
        <v>0.97122559999999991</v>
      </c>
      <c r="I64" s="322">
        <f>+'SEP ORIGEN'!I64-'GENERADO PS locales'!I224</f>
        <v>1.8580320000000001</v>
      </c>
      <c r="J64" s="322">
        <f>+'SEP ORIGEN'!J64-'GENERADO PS locales'!J224</f>
        <v>3.15951</v>
      </c>
      <c r="K64" s="322">
        <f>+'SEP ORIGEN'!K64-'GENERADO PS locales'!K224</f>
        <v>4.5121859999999998</v>
      </c>
      <c r="L64" s="322">
        <f>+'SEP ORIGEN'!L64-'GENERADO PS locales'!L224</f>
        <v>4.6029900000000001</v>
      </c>
      <c r="M64" s="322">
        <f>+'SEP ORIGEN'!M64-'GENERADO PS locales'!M224</f>
        <v>4.6950819999999993</v>
      </c>
      <c r="N64" s="322">
        <f>+'SEP ORIGEN'!N64-'GENERADO PS locales'!N224</f>
        <v>4.7887839999999997</v>
      </c>
      <c r="O64" s="322">
        <f>+'SEP ORIGEN'!O64-'GENERADO PS locales'!O224</f>
        <v>4.8837740000000007</v>
      </c>
      <c r="P64" s="322">
        <f>+'SEP ORIGEN'!P64-'GENERADO PS locales'!P224</f>
        <v>4.9803740000000003</v>
      </c>
      <c r="Q64" s="322">
        <f>+'SEP ORIGEN'!Q64-'GENERADO PS locales'!Q224</f>
        <v>5.0785839999999993</v>
      </c>
      <c r="R64" s="322">
        <f>+'SEP ORIGEN'!R64-'GENERADO PS locales'!R224</f>
        <v>5.1784040000000005</v>
      </c>
      <c r="S64" s="322">
        <f>+'SEP ORIGEN'!S64-'GENERADO PS locales'!S224</f>
        <v>5.2801559999999998</v>
      </c>
      <c r="T64" s="322">
        <f>+'SEP ORIGEN'!T64-'GENERADO PS locales'!T224</f>
        <v>5.3831959999999999</v>
      </c>
      <c r="U64" s="322">
        <f>+'SEP ORIGEN'!U64-'GENERADO PS locales'!U224</f>
        <v>5.4878460000000002</v>
      </c>
      <c r="V64" s="322">
        <f>+'SEP ORIGEN'!V64-'GENERADO PS locales'!V224</f>
        <v>5.5944279999999997</v>
      </c>
      <c r="W64" s="322">
        <f>+'SEP ORIGEN'!W64-'GENERADO PS locales'!W224</f>
        <v>5.7026200000000005</v>
      </c>
      <c r="X64" s="322">
        <f>+'SEP ORIGEN'!X64-'GENERADO PS locales'!X224</f>
        <v>5.8127439999999995</v>
      </c>
      <c r="Y64" s="322">
        <f>+'SEP ORIGEN'!Y64-'GENERADO PS locales'!Y224</f>
        <v>5.9244779999999997</v>
      </c>
      <c r="Z64" s="322">
        <f>+'SEP ORIGEN'!Z64-'GENERADO PS locales'!Z224</f>
        <v>6.038144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38">
        <f>+'SEP ORIGEN'!P65</f>
        <v>3.1797500000000003</v>
      </c>
      <c r="E65" s="278"/>
      <c r="F65" s="263"/>
      <c r="G65" s="322">
        <f>+'SEP ORIGEN'!G65-'GENERADO PS locales'!G225</f>
        <v>8.2018000000000008E-2</v>
      </c>
      <c r="H65" s="322">
        <f>+'SEP ORIGEN'!H65-'GENERADO PS locales'!H225</f>
        <v>0.66394560000000002</v>
      </c>
      <c r="I65" s="322">
        <f>+'SEP ORIGEN'!I65-'GENERADO PS locales'!I225</f>
        <v>1.2596639999999999</v>
      </c>
      <c r="J65" s="322">
        <f>+'SEP ORIGEN'!J65-'GENERADO PS locales'!J225</f>
        <v>2.12405</v>
      </c>
      <c r="K65" s="322">
        <f>+'SEP ORIGEN'!K65-'GENERADO PS locales'!K225</f>
        <v>3.0078020000000003</v>
      </c>
      <c r="L65" s="322">
        <f>+'SEP ORIGEN'!L65-'GENERADO PS locales'!L225</f>
        <v>3.0422559999999996</v>
      </c>
      <c r="M65" s="322">
        <f>+'SEP ORIGEN'!M65-'GENERADO PS locales'!M225</f>
        <v>3.0767099999999998</v>
      </c>
      <c r="N65" s="322">
        <f>+'SEP ORIGEN'!N65-'GENERADO PS locales'!N225</f>
        <v>3.1108419999999999</v>
      </c>
      <c r="O65" s="322">
        <f>+'SEP ORIGEN'!O65-'GENERADO PS locales'!O225</f>
        <v>3.1452959999999996</v>
      </c>
      <c r="P65" s="322">
        <f>+'SEP ORIGEN'!P65-'GENERADO PS locales'!P225</f>
        <v>3.1797500000000003</v>
      </c>
      <c r="Q65" s="322">
        <f>+'SEP ORIGEN'!Q65-'GENERADO PS locales'!Q225</f>
        <v>3.2138819999999999</v>
      </c>
      <c r="R65" s="322">
        <f>+'SEP ORIGEN'!R65-'GENERADO PS locales'!R225</f>
        <v>3.2483360000000001</v>
      </c>
      <c r="S65" s="322">
        <f>+'SEP ORIGEN'!S65-'GENERADO PS locales'!S225</f>
        <v>3.2827899999999999</v>
      </c>
      <c r="T65" s="322">
        <f>+'SEP ORIGEN'!T65-'GENERADO PS locales'!T225</f>
        <v>3.3169219999999999</v>
      </c>
      <c r="U65" s="322">
        <f>+'SEP ORIGEN'!U65-'GENERADO PS locales'!U225</f>
        <v>3.3513759999999997</v>
      </c>
      <c r="V65" s="322">
        <f>+'SEP ORIGEN'!V65-'GENERADO PS locales'!V225</f>
        <v>3.3858300000000003</v>
      </c>
      <c r="W65" s="322">
        <f>+'SEP ORIGEN'!W65-'GENERADO PS locales'!W225</f>
        <v>3.4199619999999995</v>
      </c>
      <c r="X65" s="322">
        <f>+'SEP ORIGEN'!X65-'GENERADO PS locales'!X225</f>
        <v>3.4544159999999997</v>
      </c>
      <c r="Y65" s="322">
        <f>+'SEP ORIGEN'!Y65-'GENERADO PS locales'!Y225</f>
        <v>3.4885480000000002</v>
      </c>
      <c r="Z65" s="322">
        <f>+'SEP ORIGEN'!Z65-'GENERADO PS locales'!Z225</f>
        <v>3.523002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38">
        <f>+'SEP ORIGEN'!P66</f>
        <v>21.54026</v>
      </c>
      <c r="E66" s="278"/>
      <c r="F66" s="263"/>
      <c r="G66" s="322">
        <f>+'SEP ORIGEN'!G66-'GENERADO PS locales'!G226</f>
        <v>0.54745820000000001</v>
      </c>
      <c r="H66" s="322">
        <f>+'SEP ORIGEN'!H66-'GENERADO PS locales'!H226</f>
        <v>4.4400431999999999</v>
      </c>
      <c r="I66" s="322">
        <f>+'SEP ORIGEN'!I66-'GENERADO PS locales'!I226</f>
        <v>8.4386070000000011</v>
      </c>
      <c r="J66" s="322">
        <f>+'SEP ORIGEN'!J66-'GENERADO PS locales'!J226</f>
        <v>14.253025000000001</v>
      </c>
      <c r="K66" s="322">
        <f>+'SEP ORIGEN'!K66-'GENERADO PS locales'!K226</f>
        <v>20.218387</v>
      </c>
      <c r="L66" s="322">
        <f>+'SEP ORIGEN'!L66-'GENERADO PS locales'!L226</f>
        <v>20.48291</v>
      </c>
      <c r="M66" s="322">
        <f>+'SEP ORIGEN'!M66-'GENERADO PS locales'!M226</f>
        <v>20.747062</v>
      </c>
      <c r="N66" s="322">
        <f>+'SEP ORIGEN'!N66-'GENERADO PS locales'!N226</f>
        <v>21.011585</v>
      </c>
      <c r="O66" s="322">
        <f>+'SEP ORIGEN'!O66-'GENERADO PS locales'!O226</f>
        <v>21.276108000000001</v>
      </c>
      <c r="P66" s="322">
        <f>+'SEP ORIGEN'!P66-'GENERADO PS locales'!P226</f>
        <v>21.54026</v>
      </c>
      <c r="Q66" s="322">
        <f>+'SEP ORIGEN'!Q66-'GENERADO PS locales'!Q226</f>
        <v>21.804411999999999</v>
      </c>
      <c r="R66" s="322">
        <f>+'SEP ORIGEN'!R66-'GENERADO PS locales'!R226</f>
        <v>22.068935</v>
      </c>
      <c r="S66" s="322">
        <f>+'SEP ORIGEN'!S66-'GENERADO PS locales'!S226</f>
        <v>22.333086999999999</v>
      </c>
      <c r="T66" s="322">
        <f>+'SEP ORIGEN'!T66-'GENERADO PS locales'!T226</f>
        <v>22.597610000000003</v>
      </c>
      <c r="U66" s="322">
        <f>+'SEP ORIGEN'!U66-'GENERADO PS locales'!U226</f>
        <v>22.862133</v>
      </c>
      <c r="V66" s="322">
        <f>+'SEP ORIGEN'!V66-'GENERADO PS locales'!V226</f>
        <v>23.126284999999999</v>
      </c>
      <c r="W66" s="322">
        <f>+'SEP ORIGEN'!W66-'GENERADO PS locales'!W226</f>
        <v>23.390437000000002</v>
      </c>
      <c r="X66" s="322">
        <f>+'SEP ORIGEN'!X66-'GENERADO PS locales'!X226</f>
        <v>23.654959999999999</v>
      </c>
      <c r="Y66" s="322">
        <f>+'SEP ORIGEN'!Y66-'GENERADO PS locales'!Y226</f>
        <v>23.919483</v>
      </c>
      <c r="Z66" s="322">
        <f>+'SEP ORIGEN'!Z66-'GENERADO PS locales'!Z226</f>
        <v>24.183635000000002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38">
        <f>+'SEP ORIGEN'!P67</f>
        <v>3.408048</v>
      </c>
      <c r="E67" s="278"/>
      <c r="F67" s="263"/>
      <c r="G67" s="322">
        <f>+'SEP ORIGEN'!G67-'GENERADO PS locales'!G227</f>
        <v>9.475080000000001E-2</v>
      </c>
      <c r="H67" s="322">
        <f>+'SEP ORIGEN'!H67-'GENERADO PS locales'!H227</f>
        <v>0.76036160000000008</v>
      </c>
      <c r="I67" s="322">
        <f>+'SEP ORIGEN'!I67-'GENERADO PS locales'!I227</f>
        <v>1.4299560000000002</v>
      </c>
      <c r="J67" s="322">
        <f>+'SEP ORIGEN'!J67-'GENERADO PS locales'!J227</f>
        <v>2.3906199999999997</v>
      </c>
      <c r="K67" s="322">
        <f>+'SEP ORIGEN'!K67-'GENERADO PS locales'!K227</f>
        <v>3.3568499999999997</v>
      </c>
      <c r="L67" s="322">
        <f>+'SEP ORIGEN'!L67-'GENERADO PS locales'!L227</f>
        <v>3.3671539999999998</v>
      </c>
      <c r="M67" s="322">
        <f>+'SEP ORIGEN'!M67-'GENERADO PS locales'!M227</f>
        <v>3.3771360000000001</v>
      </c>
      <c r="N67" s="322">
        <f>+'SEP ORIGEN'!N67-'GENERADO PS locales'!N227</f>
        <v>3.3874399999999998</v>
      </c>
      <c r="O67" s="322">
        <f>+'SEP ORIGEN'!O67-'GENERADO PS locales'!O227</f>
        <v>3.3977440000000003</v>
      </c>
      <c r="P67" s="322">
        <f>+'SEP ORIGEN'!P67-'GENERADO PS locales'!P227</f>
        <v>3.408048</v>
      </c>
      <c r="Q67" s="322">
        <f>+'SEP ORIGEN'!Q67-'GENERADO PS locales'!Q227</f>
        <v>3.4183520000000001</v>
      </c>
      <c r="R67" s="322">
        <f>+'SEP ORIGEN'!R67-'GENERADO PS locales'!R227</f>
        <v>3.4289779999999994</v>
      </c>
      <c r="S67" s="322">
        <f>+'SEP ORIGEN'!S67-'GENERADO PS locales'!S227</f>
        <v>3.439282</v>
      </c>
      <c r="T67" s="322">
        <f>+'SEP ORIGEN'!T67-'GENERADO PS locales'!T227</f>
        <v>3.4495860000000005</v>
      </c>
      <c r="U67" s="322">
        <f>+'SEP ORIGEN'!U67-'GENERADO PS locales'!U227</f>
        <v>3.4602119999999998</v>
      </c>
      <c r="V67" s="322">
        <f>+'SEP ORIGEN'!V67-'GENERADO PS locales'!V227</f>
        <v>3.4705159999999999</v>
      </c>
      <c r="W67" s="322">
        <f>+'SEP ORIGEN'!W67-'GENERADO PS locales'!W227</f>
        <v>3.4811420000000002</v>
      </c>
      <c r="X67" s="322">
        <f>+'SEP ORIGEN'!X67-'GENERADO PS locales'!X227</f>
        <v>3.4917679999999995</v>
      </c>
      <c r="Y67" s="322">
        <f>+'SEP ORIGEN'!Y67-'GENERADO PS locales'!Y227</f>
        <v>3.5023939999999998</v>
      </c>
      <c r="Z67" s="322">
        <f>+'SEP ORIGEN'!Z67-'GENERADO PS locales'!Z227</f>
        <v>3.51302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38">
        <f>+'SEP ORIGEN'!P68</f>
        <v>1.7255980000000002</v>
      </c>
      <c r="E68" s="278"/>
      <c r="F68" s="263"/>
      <c r="G68" s="322">
        <f>+'SEP ORIGEN'!G68-'GENERADO PS locales'!G228</f>
        <v>4.5889600000000003E-2</v>
      </c>
      <c r="H68" s="322">
        <f>+'SEP ORIGEN'!H68-'GENERADO PS locales'!H228</f>
        <v>0.37013440000000003</v>
      </c>
      <c r="I68" s="322">
        <f>+'SEP ORIGEN'!I68-'GENERADO PS locales'!I228</f>
        <v>0.69966000000000006</v>
      </c>
      <c r="J68" s="322">
        <f>+'SEP ORIGEN'!J68-'GENERADO PS locales'!J228</f>
        <v>1.1757599999999999</v>
      </c>
      <c r="K68" s="322">
        <f>+'SEP ORIGEN'!K68-'GENERADO PS locales'!K228</f>
        <v>1.6592659999999999</v>
      </c>
      <c r="L68" s="322">
        <f>+'SEP ORIGEN'!L68-'GENERADO PS locales'!L228</f>
        <v>1.6724679999999998</v>
      </c>
      <c r="M68" s="322">
        <f>+'SEP ORIGEN'!M68-'GENERADO PS locales'!M228</f>
        <v>1.68567</v>
      </c>
      <c r="N68" s="322">
        <f>+'SEP ORIGEN'!N68-'GENERADO PS locales'!N228</f>
        <v>1.6988720000000002</v>
      </c>
      <c r="O68" s="322">
        <f>+'SEP ORIGEN'!O68-'GENERADO PS locales'!O228</f>
        <v>1.712396</v>
      </c>
      <c r="P68" s="322">
        <f>+'SEP ORIGEN'!P68-'GENERADO PS locales'!P228</f>
        <v>1.7255980000000002</v>
      </c>
      <c r="Q68" s="322">
        <f>+'SEP ORIGEN'!Q68-'GENERADO PS locales'!Q228</f>
        <v>1.7387999999999999</v>
      </c>
      <c r="R68" s="322">
        <f>+'SEP ORIGEN'!R68-'GENERADO PS locales'!R228</f>
        <v>1.7520019999999998</v>
      </c>
      <c r="S68" s="322">
        <f>+'SEP ORIGEN'!S68-'GENERADO PS locales'!S228</f>
        <v>1.765204</v>
      </c>
      <c r="T68" s="322">
        <f>+'SEP ORIGEN'!T68-'GENERADO PS locales'!T228</f>
        <v>1.7787279999999996</v>
      </c>
      <c r="U68" s="322">
        <f>+'SEP ORIGEN'!U68-'GENERADO PS locales'!U228</f>
        <v>1.79193</v>
      </c>
      <c r="V68" s="322">
        <f>+'SEP ORIGEN'!V68-'GENERADO PS locales'!V228</f>
        <v>1.8051320000000002</v>
      </c>
      <c r="W68" s="322">
        <f>+'SEP ORIGEN'!W68-'GENERADO PS locales'!W228</f>
        <v>1.8183339999999999</v>
      </c>
      <c r="X68" s="322">
        <f>+'SEP ORIGEN'!X68-'GENERADO PS locales'!X228</f>
        <v>1.8315360000000001</v>
      </c>
      <c r="Y68" s="322">
        <f>+'SEP ORIGEN'!Y68-'GENERADO PS locales'!Y228</f>
        <v>1.8450599999999999</v>
      </c>
      <c r="Z68" s="322">
        <f>+'SEP ORIGEN'!Z68-'GENERADO PS locales'!Z228</f>
        <v>1.8582620000000001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38">
        <f>+'SEP ORIGEN'!P69</f>
        <v>8.197616</v>
      </c>
      <c r="E69" s="278"/>
      <c r="F69" s="263"/>
      <c r="G69" s="322">
        <f>+'SEP ORIGEN'!G69-'GENERADO PS locales'!G229</f>
        <v>0.20564000000000002</v>
      </c>
      <c r="H69" s="322">
        <f>+'SEP ORIGEN'!H69-'GENERADO PS locales'!H229</f>
        <v>1.6690336000000003</v>
      </c>
      <c r="I69" s="322">
        <f>+'SEP ORIGEN'!I69-'GENERADO PS locales'!I229</f>
        <v>3.175071</v>
      </c>
      <c r="J69" s="322">
        <f>+'SEP ORIGEN'!J69-'GENERADO PS locales'!J229</f>
        <v>5.3689000000000009</v>
      </c>
      <c r="K69" s="322">
        <f>+'SEP ORIGEN'!K69-'GENERADO PS locales'!K229</f>
        <v>7.6259050000000004</v>
      </c>
      <c r="L69" s="322">
        <f>+'SEP ORIGEN'!L69-'GENERADO PS locales'!L229</f>
        <v>7.736834</v>
      </c>
      <c r="M69" s="322">
        <f>+'SEP ORIGEN'!M69-'GENERADO PS locales'!M229</f>
        <v>7.8496179999999995</v>
      </c>
      <c r="N69" s="322">
        <f>+'SEP ORIGEN'!N69-'GENERADO PS locales'!N229</f>
        <v>7.9638860000000005</v>
      </c>
      <c r="O69" s="322">
        <f>+'SEP ORIGEN'!O69-'GENERADO PS locales'!O229</f>
        <v>8.0796379999999992</v>
      </c>
      <c r="P69" s="322">
        <f>+'SEP ORIGEN'!P69-'GENERADO PS locales'!P229</f>
        <v>8.197616</v>
      </c>
      <c r="Q69" s="322">
        <f>+'SEP ORIGEN'!Q69-'GENERADO PS locales'!Q229</f>
        <v>8.3167069999999992</v>
      </c>
      <c r="R69" s="322">
        <f>+'SEP ORIGEN'!R69-'GENERADO PS locales'!R229</f>
        <v>8.4380240000000004</v>
      </c>
      <c r="S69" s="322">
        <f>+'SEP ORIGEN'!S69-'GENERADO PS locales'!S229</f>
        <v>8.5608249999999995</v>
      </c>
      <c r="T69" s="322">
        <f>+'SEP ORIGEN'!T69-'GENERADO PS locales'!T229</f>
        <v>8.6854809999999993</v>
      </c>
      <c r="U69" s="322">
        <f>+'SEP ORIGEN'!U69-'GENERADO PS locales'!U229</f>
        <v>8.811992</v>
      </c>
      <c r="V69" s="322">
        <f>+'SEP ORIGEN'!V69-'GENERADO PS locales'!V229</f>
        <v>8.9403579999999998</v>
      </c>
      <c r="W69" s="322">
        <f>+'SEP ORIGEN'!W69-'GENERADO PS locales'!W229</f>
        <v>9.0702079999999992</v>
      </c>
      <c r="X69" s="322">
        <f>+'SEP ORIGEN'!X69-'GENERADO PS locales'!X229</f>
        <v>9.2022840000000006</v>
      </c>
      <c r="Y69" s="322">
        <f>+'SEP ORIGEN'!Y69-'GENERADO PS locales'!Y229</f>
        <v>9.3365860000000005</v>
      </c>
      <c r="Z69" s="322">
        <f>+'SEP ORIGEN'!Z69-'GENERADO PS locales'!Z229</f>
        <v>9.472372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38">
        <f>+'SEP ORIGEN'!P70</f>
        <v>0.55094200000000004</v>
      </c>
      <c r="E70" s="278"/>
      <c r="F70" s="263"/>
      <c r="G70" s="322">
        <f>+'SEP ORIGEN'!G70-'GENERADO PS locales'!G230</f>
        <v>1.4223200000000004E-2</v>
      </c>
      <c r="H70" s="322">
        <f>+'SEP ORIGEN'!H70-'GENERADO PS locales'!H230</f>
        <v>0.11511040000000002</v>
      </c>
      <c r="I70" s="322">
        <f>+'SEP ORIGEN'!I70-'GENERADO PS locales'!I230</f>
        <v>0.21817800000000001</v>
      </c>
      <c r="J70" s="322">
        <f>+'SEP ORIGEN'!J70-'GENERADO PS locales'!J230</f>
        <v>0.36777000000000004</v>
      </c>
      <c r="K70" s="322">
        <f>+'SEP ORIGEN'!K70-'GENERADO PS locales'!K230</f>
        <v>0.52067399999999997</v>
      </c>
      <c r="L70" s="322">
        <f>+'SEP ORIGEN'!L70-'GENERADO PS locales'!L230</f>
        <v>0.52679199999999993</v>
      </c>
      <c r="M70" s="322">
        <f>+'SEP ORIGEN'!M70-'GENERADO PS locales'!M230</f>
        <v>0.53258800000000006</v>
      </c>
      <c r="N70" s="322">
        <f>+'SEP ORIGEN'!N70-'GENERADO PS locales'!N230</f>
        <v>0.53870600000000002</v>
      </c>
      <c r="O70" s="322">
        <f>+'SEP ORIGEN'!O70-'GENERADO PS locales'!O230</f>
        <v>0.54482399999999997</v>
      </c>
      <c r="P70" s="322">
        <f>+'SEP ORIGEN'!P70-'GENERADO PS locales'!P230</f>
        <v>0.55094200000000004</v>
      </c>
      <c r="Q70" s="322">
        <f>+'SEP ORIGEN'!Q70-'GENERADO PS locales'!Q230</f>
        <v>0.55706</v>
      </c>
      <c r="R70" s="322">
        <f>+'SEP ORIGEN'!R70-'GENERADO PS locales'!R230</f>
        <v>0.5635</v>
      </c>
      <c r="S70" s="322">
        <f>+'SEP ORIGEN'!S70-'GENERADO PS locales'!S230</f>
        <v>0.56994</v>
      </c>
      <c r="T70" s="322">
        <f>+'SEP ORIGEN'!T70-'GENERADO PS locales'!T230</f>
        <v>0.57638</v>
      </c>
      <c r="U70" s="322">
        <f>+'SEP ORIGEN'!U70-'GENERADO PS locales'!U230</f>
        <v>0.58282</v>
      </c>
      <c r="V70" s="322">
        <f>+'SEP ORIGEN'!V70-'GENERADO PS locales'!V230</f>
        <v>0.58958199999999994</v>
      </c>
      <c r="W70" s="322">
        <f>+'SEP ORIGEN'!W70-'GENERADO PS locales'!W230</f>
        <v>0.59602199999999994</v>
      </c>
      <c r="X70" s="322">
        <f>+'SEP ORIGEN'!X70-'GENERADO PS locales'!X230</f>
        <v>0.60278399999999999</v>
      </c>
      <c r="Y70" s="322">
        <f>+'SEP ORIGEN'!Y70-'GENERADO PS locales'!Y230</f>
        <v>0.60986799999999997</v>
      </c>
      <c r="Z70" s="322">
        <f>+'SEP ORIGEN'!Z70-'GENERADO PS locales'!Z230</f>
        <v>0.61663000000000001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38">
        <f>+'SEP ORIGEN'!P71</f>
        <v>9.2623860000000011</v>
      </c>
      <c r="E71" s="278"/>
      <c r="F71" s="263"/>
      <c r="G71" s="322">
        <f>+'SEP ORIGEN'!G71-'GENERADO PS locales'!G231</f>
        <v>0.23494900000000002</v>
      </c>
      <c r="H71" s="322">
        <f>+'SEP ORIGEN'!H71-'GENERADO PS locales'!H231</f>
        <v>1.9042688000000001</v>
      </c>
      <c r="I71" s="322">
        <f>+'SEP ORIGEN'!I71-'GENERADO PS locales'!I231</f>
        <v>3.6175680000000003</v>
      </c>
      <c r="J71" s="322">
        <f>+'SEP ORIGEN'!J71-'GENERADO PS locales'!J231</f>
        <v>6.1090450000000001</v>
      </c>
      <c r="K71" s="322">
        <f>+'SEP ORIGEN'!K71-'GENERADO PS locales'!K231</f>
        <v>8.666189000000001</v>
      </c>
      <c r="L71" s="322">
        <f>+'SEP ORIGEN'!L71-'GENERADO PS locales'!L231</f>
        <v>8.7815699999999985</v>
      </c>
      <c r="M71" s="322">
        <f>+'SEP ORIGEN'!M71-'GENERADO PS locales'!M231</f>
        <v>8.8988059999999987</v>
      </c>
      <c r="N71" s="322">
        <f>+'SEP ORIGEN'!N71-'GENERADO PS locales'!N231</f>
        <v>9.0178969999999996</v>
      </c>
      <c r="O71" s="322">
        <f>+'SEP ORIGEN'!O71-'GENERADO PS locales'!O231</f>
        <v>9.1392139999999991</v>
      </c>
      <c r="P71" s="322">
        <f>+'SEP ORIGEN'!P71-'GENERADO PS locales'!P231</f>
        <v>9.2623860000000011</v>
      </c>
      <c r="Q71" s="322">
        <f>+'SEP ORIGEN'!Q71-'GENERADO PS locales'!Q231</f>
        <v>9.3874130000000005</v>
      </c>
      <c r="R71" s="322">
        <f>+'SEP ORIGEN'!R71-'GENERADO PS locales'!R231</f>
        <v>9.5142950000000006</v>
      </c>
      <c r="S71" s="322">
        <f>+'SEP ORIGEN'!S71-'GENERADO PS locales'!S231</f>
        <v>9.6437740000000005</v>
      </c>
      <c r="T71" s="322">
        <f>+'SEP ORIGEN'!T71-'GENERADO PS locales'!T231</f>
        <v>9.7751079999999995</v>
      </c>
      <c r="U71" s="322">
        <f>+'SEP ORIGEN'!U71-'GENERADO PS locales'!U231</f>
        <v>9.908297000000001</v>
      </c>
      <c r="V71" s="322">
        <f>+'SEP ORIGEN'!V71-'GENERADO PS locales'!V231</f>
        <v>10.044083000000001</v>
      </c>
      <c r="W71" s="322">
        <f>+'SEP ORIGEN'!W71-'GENERADO PS locales'!W231</f>
        <v>10.181724000000001</v>
      </c>
      <c r="X71" s="322">
        <f>+'SEP ORIGEN'!X71-'GENERADO PS locales'!X231</f>
        <v>10.321961999999999</v>
      </c>
      <c r="Y71" s="322">
        <f>+'SEP ORIGEN'!Y71-'GENERADO PS locales'!Y231</f>
        <v>10.464426</v>
      </c>
      <c r="Z71" s="322">
        <f>+'SEP ORIGEN'!Z71-'GENERADO PS locales'!Z231</f>
        <v>10.609116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38">
        <f>+'SEP ORIGEN'!P72</f>
        <v>3.3893719999999998</v>
      </c>
      <c r="E72" s="278"/>
      <c r="F72" s="263"/>
      <c r="G72" s="322">
        <f>+'SEP ORIGEN'!G72-'GENERADO PS locales'!G232</f>
        <v>8.5762400000000003E-2</v>
      </c>
      <c r="H72" s="322">
        <f>+'SEP ORIGEN'!H72-'GENERADO PS locales'!H232</f>
        <v>0.69441600000000014</v>
      </c>
      <c r="I72" s="322">
        <f>+'SEP ORIGEN'!I72-'GENERADO PS locales'!I232</f>
        <v>1.3176239999999999</v>
      </c>
      <c r="J72" s="322">
        <f>+'SEP ORIGEN'!J72-'GENERADO PS locales'!J232</f>
        <v>2.2220300000000002</v>
      </c>
      <c r="K72" s="322">
        <f>+'SEP ORIGEN'!K72-'GENERADO PS locales'!K232</f>
        <v>3.1472279999999997</v>
      </c>
      <c r="L72" s="322">
        <f>+'SEP ORIGEN'!L72-'GENERADO PS locales'!L232</f>
        <v>3.1955279999999995</v>
      </c>
      <c r="M72" s="322">
        <f>+'SEP ORIGEN'!M72-'GENERADO PS locales'!M232</f>
        <v>3.2441499999999999</v>
      </c>
      <c r="N72" s="322">
        <f>+'SEP ORIGEN'!N72-'GENERADO PS locales'!N232</f>
        <v>3.2924499999999997</v>
      </c>
      <c r="O72" s="322">
        <f>+'SEP ORIGEN'!O72-'GENERADO PS locales'!O232</f>
        <v>3.3407499999999999</v>
      </c>
      <c r="P72" s="322">
        <f>+'SEP ORIGEN'!P72-'GENERADO PS locales'!P232</f>
        <v>3.3893719999999998</v>
      </c>
      <c r="Q72" s="322">
        <f>+'SEP ORIGEN'!Q72-'GENERADO PS locales'!Q232</f>
        <v>3.4376720000000001</v>
      </c>
      <c r="R72" s="322">
        <f>+'SEP ORIGEN'!R72-'GENERADO PS locales'!R232</f>
        <v>3.4859719999999998</v>
      </c>
      <c r="S72" s="322">
        <f>+'SEP ORIGEN'!S72-'GENERADO PS locales'!S232</f>
        <v>3.5342719999999996</v>
      </c>
      <c r="T72" s="322">
        <f>+'SEP ORIGEN'!T72-'GENERADO PS locales'!T232</f>
        <v>3.582894</v>
      </c>
      <c r="U72" s="322">
        <f>+'SEP ORIGEN'!U72-'GENERADO PS locales'!U232</f>
        <v>3.6311939999999998</v>
      </c>
      <c r="V72" s="322">
        <f>+'SEP ORIGEN'!V72-'GENERADO PS locales'!V232</f>
        <v>3.679494</v>
      </c>
      <c r="W72" s="322">
        <f>+'SEP ORIGEN'!W72-'GENERADO PS locales'!W232</f>
        <v>3.7281159999999995</v>
      </c>
      <c r="X72" s="322">
        <f>+'SEP ORIGEN'!X72-'GENERADO PS locales'!X232</f>
        <v>3.7764159999999993</v>
      </c>
      <c r="Y72" s="322">
        <f>+'SEP ORIGEN'!Y72-'GENERADO PS locales'!Y232</f>
        <v>3.824716</v>
      </c>
      <c r="Z72" s="322">
        <f>+'SEP ORIGEN'!Z72-'GENERADO PS locales'!Z232</f>
        <v>3.8733379999999995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38">
        <f>+'SEP ORIGEN'!P73</f>
        <v>5.1465259999999997</v>
      </c>
      <c r="E73" s="278"/>
      <c r="F73" s="263"/>
      <c r="G73" s="322">
        <f>+'SEP ORIGEN'!G73-'GENERADO PS locales'!G233</f>
        <v>0.13171640000000001</v>
      </c>
      <c r="H73" s="322">
        <f>+'SEP ORIGEN'!H73-'GENERADO PS locales'!H233</f>
        <v>1.0673471999999999</v>
      </c>
      <c r="I73" s="322">
        <f>+'SEP ORIGEN'!I73-'GENERADO PS locales'!I233</f>
        <v>2.0268060000000001</v>
      </c>
      <c r="J73" s="322">
        <f>+'SEP ORIGEN'!J73-'GENERADO PS locales'!J233</f>
        <v>3.4207899999999998</v>
      </c>
      <c r="K73" s="322">
        <f>+'SEP ORIGEN'!K73-'GENERADO PS locales'!K233</f>
        <v>4.8486760000000002</v>
      </c>
      <c r="L73" s="322">
        <f>+'SEP ORIGEN'!L73-'GENERADO PS locales'!L233</f>
        <v>4.9082460000000001</v>
      </c>
      <c r="M73" s="322">
        <f>+'SEP ORIGEN'!M73-'GENERADO PS locales'!M233</f>
        <v>4.967816</v>
      </c>
      <c r="N73" s="322">
        <f>+'SEP ORIGEN'!N73-'GENERADO PS locales'!N233</f>
        <v>5.0273859999999999</v>
      </c>
      <c r="O73" s="322">
        <f>+'SEP ORIGEN'!O73-'GENERADO PS locales'!O233</f>
        <v>5.0869559999999998</v>
      </c>
      <c r="P73" s="322">
        <f>+'SEP ORIGEN'!P73-'GENERADO PS locales'!P233</f>
        <v>5.1465259999999997</v>
      </c>
      <c r="Q73" s="322">
        <f>+'SEP ORIGEN'!Q73-'GENERADO PS locales'!Q233</f>
        <v>5.2060959999999996</v>
      </c>
      <c r="R73" s="322">
        <f>+'SEP ORIGEN'!R73-'GENERADO PS locales'!R233</f>
        <v>5.2659880000000001</v>
      </c>
      <c r="S73" s="322">
        <f>+'SEP ORIGEN'!S73-'GENERADO PS locales'!S233</f>
        <v>5.325558</v>
      </c>
      <c r="T73" s="322">
        <f>+'SEP ORIGEN'!T73-'GENERADO PS locales'!T233</f>
        <v>5.3851279999999999</v>
      </c>
      <c r="U73" s="322">
        <f>+'SEP ORIGEN'!U73-'GENERADO PS locales'!U233</f>
        <v>5.4446979999999998</v>
      </c>
      <c r="V73" s="322">
        <f>+'SEP ORIGEN'!V73-'GENERADO PS locales'!V233</f>
        <v>5.5042680000000006</v>
      </c>
      <c r="W73" s="322">
        <f>+'SEP ORIGEN'!W73-'GENERADO PS locales'!W233</f>
        <v>5.5638379999999996</v>
      </c>
      <c r="X73" s="322">
        <f>+'SEP ORIGEN'!X73-'GENERADO PS locales'!X233</f>
        <v>5.6234080000000004</v>
      </c>
      <c r="Y73" s="322">
        <f>+'SEP ORIGEN'!Y73-'GENERADO PS locales'!Y233</f>
        <v>5.6832999999999991</v>
      </c>
      <c r="Z73" s="322">
        <f>+'SEP ORIGEN'!Z73-'GENERADO PS locales'!Z233</f>
        <v>5.7428699999999999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38">
        <f>+'SEP ORIGEN'!P74</f>
        <v>1.07226</v>
      </c>
      <c r="E74" s="278"/>
      <c r="F74" s="263"/>
      <c r="G74" s="322">
        <f>+'SEP ORIGEN'!G74-'GENERADO PS locales'!G234</f>
        <v>2.46836E-2</v>
      </c>
      <c r="H74" s="322">
        <f>+'SEP ORIGEN'!H74-'GENERADO PS locales'!H234</f>
        <v>0.20225280000000001</v>
      </c>
      <c r="I74" s="322">
        <f>+'SEP ORIGEN'!I74-'GENERADO PS locales'!I234</f>
        <v>0.38833200000000001</v>
      </c>
      <c r="J74" s="322">
        <f>+'SEP ORIGEN'!J74-'GENERADO PS locales'!J234</f>
        <v>0.66309000000000007</v>
      </c>
      <c r="K74" s="322">
        <f>+'SEP ORIGEN'!K74-'GENERADO PS locales'!K234</f>
        <v>0.95086599999999999</v>
      </c>
      <c r="L74" s="322">
        <f>+'SEP ORIGEN'!L74-'GENERADO PS locales'!L234</f>
        <v>0.97404999999999986</v>
      </c>
      <c r="M74" s="322">
        <f>+'SEP ORIGEN'!M74-'GENERADO PS locales'!M234</f>
        <v>0.997556</v>
      </c>
      <c r="N74" s="322">
        <f>+'SEP ORIGEN'!N74-'GENERADO PS locales'!N234</f>
        <v>1.021706</v>
      </c>
      <c r="O74" s="322">
        <f>+'SEP ORIGEN'!O74-'GENERADO PS locales'!O234</f>
        <v>1.0468219999999999</v>
      </c>
      <c r="P74" s="322">
        <f>+'SEP ORIGEN'!P74-'GENERADO PS locales'!P234</f>
        <v>1.07226</v>
      </c>
      <c r="Q74" s="322">
        <f>+'SEP ORIGEN'!Q74-'GENERADO PS locales'!Q234</f>
        <v>1.09802</v>
      </c>
      <c r="R74" s="322">
        <f>+'SEP ORIGEN'!R74-'GENERADO PS locales'!R234</f>
        <v>1.1247459999999998</v>
      </c>
      <c r="S74" s="322">
        <f>+'SEP ORIGEN'!S74-'GENERADO PS locales'!S234</f>
        <v>1.1521159999999999</v>
      </c>
      <c r="T74" s="322">
        <f>+'SEP ORIGEN'!T74-'GENERADO PS locales'!T234</f>
        <v>1.1801300000000001</v>
      </c>
      <c r="U74" s="322">
        <f>+'SEP ORIGEN'!U74-'GENERADO PS locales'!U234</f>
        <v>1.208788</v>
      </c>
      <c r="V74" s="322">
        <f>+'SEP ORIGEN'!V74-'GENERADO PS locales'!V234</f>
        <v>1.2380899999999999</v>
      </c>
      <c r="W74" s="322">
        <f>+'SEP ORIGEN'!W74-'GENERADO PS locales'!W234</f>
        <v>1.2683580000000001</v>
      </c>
      <c r="X74" s="322">
        <f>+'SEP ORIGEN'!X74-'GENERADO PS locales'!X234</f>
        <v>1.298948</v>
      </c>
      <c r="Y74" s="322">
        <f>+'SEP ORIGEN'!Y74-'GENERADO PS locales'!Y234</f>
        <v>1.3305039999999999</v>
      </c>
      <c r="Z74" s="322">
        <f>+'SEP ORIGEN'!Z74-'GENERADO PS locales'!Z234</f>
        <v>1.3630260000000001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38">
        <f>+'SEP ORIGEN'!P75</f>
        <v>3.9422460000000004</v>
      </c>
      <c r="E75" s="278"/>
      <c r="F75" s="263"/>
      <c r="G75" s="322">
        <f>+'SEP ORIGEN'!G75-'GENERADO PS locales'!G235</f>
        <v>9.6121600000000001E-2</v>
      </c>
      <c r="H75" s="322">
        <f>+'SEP ORIGEN'!H75-'GENERADO PS locales'!H235</f>
        <v>0.78200000000000003</v>
      </c>
      <c r="I75" s="322">
        <f>+'SEP ORIGEN'!I75-'GENERADO PS locales'!I235</f>
        <v>1.4906759999999999</v>
      </c>
      <c r="J75" s="322">
        <f>+'SEP ORIGEN'!J75-'GENERADO PS locales'!J235</f>
        <v>2.5251700000000001</v>
      </c>
      <c r="K75" s="322">
        <f>+'SEP ORIGEN'!K75-'GENERADO PS locales'!K235</f>
        <v>3.5922319999999996</v>
      </c>
      <c r="L75" s="322">
        <f>+'SEP ORIGEN'!L75-'GENERADO PS locales'!L235</f>
        <v>3.6624279999999994</v>
      </c>
      <c r="M75" s="322">
        <f>+'SEP ORIGEN'!M75-'GENERADO PS locales'!M235</f>
        <v>3.7323020000000002</v>
      </c>
      <c r="N75" s="322">
        <f>+'SEP ORIGEN'!N75-'GENERADO PS locales'!N235</f>
        <v>3.8021759999999998</v>
      </c>
      <c r="O75" s="322">
        <f>+'SEP ORIGEN'!O75-'GENERADO PS locales'!O235</f>
        <v>3.8723719999999995</v>
      </c>
      <c r="P75" s="322">
        <f>+'SEP ORIGEN'!P75-'GENERADO PS locales'!P235</f>
        <v>3.9422460000000004</v>
      </c>
      <c r="Q75" s="322">
        <f>+'SEP ORIGEN'!Q75-'GENERADO PS locales'!Q235</f>
        <v>4.0124420000000001</v>
      </c>
      <c r="R75" s="322">
        <f>+'SEP ORIGEN'!R75-'GENERADO PS locales'!R235</f>
        <v>4.0823159999999996</v>
      </c>
      <c r="S75" s="322">
        <f>+'SEP ORIGEN'!S75-'GENERADO PS locales'!S235</f>
        <v>4.1525119999999998</v>
      </c>
      <c r="T75" s="322">
        <f>+'SEP ORIGEN'!T75-'GENERADO PS locales'!T235</f>
        <v>4.2223860000000002</v>
      </c>
      <c r="U75" s="322">
        <f>+'SEP ORIGEN'!U75-'GENERADO PS locales'!U235</f>
        <v>4.2925820000000003</v>
      </c>
      <c r="V75" s="322">
        <f>+'SEP ORIGEN'!V75-'GENERADO PS locales'!V235</f>
        <v>4.3624559999999999</v>
      </c>
      <c r="W75" s="322">
        <f>+'SEP ORIGEN'!W75-'GENERADO PS locales'!W235</f>
        <v>4.432652</v>
      </c>
      <c r="X75" s="322">
        <f>+'SEP ORIGEN'!X75-'GENERADO PS locales'!X235</f>
        <v>4.5025260000000005</v>
      </c>
      <c r="Y75" s="322">
        <f>+'SEP ORIGEN'!Y75-'GENERADO PS locales'!Y235</f>
        <v>4.5724</v>
      </c>
      <c r="Z75" s="322">
        <f>+'SEP ORIGEN'!Z75-'GENERADO PS locales'!Z235</f>
        <v>4.6425960000000002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38">
        <f>+'SEP ORIGEN'!P76</f>
        <v>2.4684519999999996</v>
      </c>
      <c r="E76" s="278"/>
      <c r="F76" s="263"/>
      <c r="G76" s="322">
        <f>+'SEP ORIGEN'!G76-'GENERADO PS locales'!G236</f>
        <v>6.685640000000001E-2</v>
      </c>
      <c r="H76" s="322">
        <f>+'SEP ORIGEN'!H76-'GENERADO PS locales'!H236</f>
        <v>0.53808960000000006</v>
      </c>
      <c r="I76" s="322">
        <f>+'SEP ORIGEN'!I76-'GENERADO PS locales'!I236</f>
        <v>1.0149900000000001</v>
      </c>
      <c r="J76" s="322">
        <f>+'SEP ORIGEN'!J76-'GENERADO PS locales'!J236</f>
        <v>1.702</v>
      </c>
      <c r="K76" s="322">
        <f>+'SEP ORIGEN'!K76-'GENERADO PS locales'!K236</f>
        <v>2.3969679999999998</v>
      </c>
      <c r="L76" s="322">
        <f>+'SEP ORIGEN'!L76-'GENERADO PS locales'!L236</f>
        <v>2.4114579999999997</v>
      </c>
      <c r="M76" s="322">
        <f>+'SEP ORIGEN'!M76-'GENERADO PS locales'!M236</f>
        <v>2.4256259999999998</v>
      </c>
      <c r="N76" s="322">
        <f>+'SEP ORIGEN'!N76-'GENERADO PS locales'!N236</f>
        <v>2.439794</v>
      </c>
      <c r="O76" s="322">
        <f>+'SEP ORIGEN'!O76-'GENERADO PS locales'!O236</f>
        <v>2.4542839999999999</v>
      </c>
      <c r="P76" s="322">
        <f>+'SEP ORIGEN'!P76-'GENERADO PS locales'!P236</f>
        <v>2.4684519999999996</v>
      </c>
      <c r="Q76" s="322">
        <f>+'SEP ORIGEN'!Q76-'GENERADO PS locales'!Q236</f>
        <v>2.482942</v>
      </c>
      <c r="R76" s="322">
        <f>+'SEP ORIGEN'!R76-'GENERADO PS locales'!R236</f>
        <v>2.4971100000000002</v>
      </c>
      <c r="S76" s="322">
        <f>+'SEP ORIGEN'!S76-'GENERADO PS locales'!S236</f>
        <v>2.5112779999999999</v>
      </c>
      <c r="T76" s="322">
        <f>+'SEP ORIGEN'!T76-'GENERADO PS locales'!T236</f>
        <v>2.5257680000000002</v>
      </c>
      <c r="U76" s="322">
        <f>+'SEP ORIGEN'!U76-'GENERADO PS locales'!U236</f>
        <v>2.539936</v>
      </c>
      <c r="V76" s="322">
        <f>+'SEP ORIGEN'!V76-'GENERADO PS locales'!V236</f>
        <v>2.5544259999999999</v>
      </c>
      <c r="W76" s="322">
        <f>+'SEP ORIGEN'!W76-'GENERADO PS locales'!W236</f>
        <v>2.568594</v>
      </c>
      <c r="X76" s="322">
        <f>+'SEP ORIGEN'!X76-'GENERADO PS locales'!X236</f>
        <v>2.5830839999999999</v>
      </c>
      <c r="Y76" s="322">
        <f>+'SEP ORIGEN'!Y76-'GENERADO PS locales'!Y236</f>
        <v>2.5972520000000001</v>
      </c>
      <c r="Z76" s="322">
        <f>+'SEP ORIGEN'!Z76-'GENERADO PS locales'!Z236</f>
        <v>2.6114200000000003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38">
        <f>+'SEP ORIGEN'!P77</f>
        <v>402.9195555</v>
      </c>
      <c r="E77" s="278"/>
      <c r="F77" s="263"/>
      <c r="G77" s="322">
        <f>+'SEP ORIGEN'!G77-'GENERADO PS locales'!G237</f>
        <v>10.731467700000001</v>
      </c>
      <c r="H77" s="322">
        <f>+'SEP ORIGEN'!H77-'GENERADO PS locales'!H237</f>
        <v>86.523916799999995</v>
      </c>
      <c r="I77" s="322">
        <f>+'SEP ORIGEN'!I77-'GENERADO PS locales'!I237</f>
        <v>163.50303600000001</v>
      </c>
      <c r="J77" s="322">
        <f>+'SEP ORIGEN'!J77-'GENERADO PS locales'!J237</f>
        <v>274.639095</v>
      </c>
      <c r="K77" s="322">
        <f>+'SEP ORIGEN'!K77-'GENERADO PS locales'!K237</f>
        <v>387.50606999999997</v>
      </c>
      <c r="L77" s="322">
        <f>+'SEP ORIGEN'!L77-'GENERADO PS locales'!L237</f>
        <v>390.54109499999998</v>
      </c>
      <c r="M77" s="322">
        <f>+'SEP ORIGEN'!M77-'GENERADO PS locales'!M237</f>
        <v>393.59931449999993</v>
      </c>
      <c r="N77" s="322">
        <f>+'SEP ORIGEN'!N77-'GENERADO PS locales'!N237</f>
        <v>396.68220899999994</v>
      </c>
      <c r="O77" s="322">
        <f>+'SEP ORIGEN'!O77-'GENERADO PS locales'!O237</f>
        <v>399.7887915</v>
      </c>
      <c r="P77" s="322">
        <f>+'SEP ORIGEN'!P77-'GENERADO PS locales'!P237</f>
        <v>402.9195555</v>
      </c>
      <c r="Q77" s="322">
        <f>+'SEP ORIGEN'!Q77-'GENERADO PS locales'!Q237</f>
        <v>406.07499449999995</v>
      </c>
      <c r="R77" s="322">
        <f>+'SEP ORIGEN'!R77-'GENERADO PS locales'!R237</f>
        <v>409.25510849999995</v>
      </c>
      <c r="S77" s="322">
        <f>+'SEP ORIGEN'!S77-'GENERADO PS locales'!S237</f>
        <v>412.46039100000002</v>
      </c>
      <c r="T77" s="322">
        <f>+'SEP ORIGEN'!T77-'GENERADO PS locales'!T237</f>
        <v>415.69034849999997</v>
      </c>
      <c r="U77" s="322">
        <f>+'SEP ORIGEN'!U77-'GENERADO PS locales'!U237</f>
        <v>418.94596799999999</v>
      </c>
      <c r="V77" s="322">
        <f>+'SEP ORIGEN'!V77-'GENERADO PS locales'!V237</f>
        <v>422.22675599999997</v>
      </c>
      <c r="W77" s="322">
        <f>+'SEP ORIGEN'!W77-'GENERADO PS locales'!W237</f>
        <v>425.53369949999995</v>
      </c>
      <c r="X77" s="322">
        <f>+'SEP ORIGEN'!X77-'GENERADO PS locales'!X237</f>
        <v>428.86679849999996</v>
      </c>
      <c r="Y77" s="322">
        <f>+'SEP ORIGEN'!Y77-'GENERADO PS locales'!Y237</f>
        <v>432.22506599999997</v>
      </c>
      <c r="Z77" s="322">
        <f>+'SEP ORIGEN'!Z77-'GENERADO PS locales'!Z237</f>
        <v>435.6099825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38">
        <f>+'SEP ORIGEN'!P78</f>
        <v>71.184015000000002</v>
      </c>
      <c r="E78" s="278"/>
      <c r="F78" s="263"/>
      <c r="G78" s="322">
        <f>+'SEP ORIGEN'!G78-'GENERADO PS locales'!G238</f>
        <v>1.5598554000000002</v>
      </c>
      <c r="H78" s="322">
        <f>+'SEP ORIGEN'!H78-'GENERADO PS locales'!H238</f>
        <v>12.8733792</v>
      </c>
      <c r="I78" s="322">
        <f>+'SEP ORIGEN'!I78-'GENERADO PS locales'!I238</f>
        <v>24.889427999999999</v>
      </c>
      <c r="J78" s="322">
        <f>+'SEP ORIGEN'!J78-'GENERADO PS locales'!J238</f>
        <v>42.756105000000005</v>
      </c>
      <c r="K78" s="322">
        <f>+'SEP ORIGEN'!K78-'GENERADO PS locales'!K238</f>
        <v>61.670679</v>
      </c>
      <c r="L78" s="322">
        <f>+'SEP ORIGEN'!L78-'GENERADO PS locales'!L238</f>
        <v>63.512084999999992</v>
      </c>
      <c r="M78" s="322">
        <f>+'SEP ORIGEN'!M78-'GENERADO PS locales'!M238</f>
        <v>65.383835999999988</v>
      </c>
      <c r="N78" s="322">
        <f>+'SEP ORIGEN'!N78-'GENERADO PS locales'!N238</f>
        <v>67.286288999999996</v>
      </c>
      <c r="O78" s="322">
        <f>+'SEP ORIGEN'!O78-'GENERADO PS locales'!O238</f>
        <v>69.219443999999996</v>
      </c>
      <c r="P78" s="322">
        <f>+'SEP ORIGEN'!P78-'GENERADO PS locales'!P238</f>
        <v>71.184015000000002</v>
      </c>
      <c r="Q78" s="322">
        <f>+'SEP ORIGEN'!Q78-'GENERADO PS locales'!Q238</f>
        <v>73.181072999999984</v>
      </c>
      <c r="R78" s="322">
        <f>+'SEP ORIGEN'!R78-'GENERADO PS locales'!R238</f>
        <v>75.210260999999988</v>
      </c>
      <c r="S78" s="322">
        <f>+'SEP ORIGEN'!S78-'GENERADO PS locales'!S238</f>
        <v>77.273006999999993</v>
      </c>
      <c r="T78" s="322">
        <f>+'SEP ORIGEN'!T78-'GENERADO PS locales'!T238</f>
        <v>79.368953999999988</v>
      </c>
      <c r="U78" s="322">
        <f>+'SEP ORIGEN'!U78-'GENERADO PS locales'!U238</f>
        <v>81.499530000000007</v>
      </c>
      <c r="V78" s="322">
        <f>+'SEP ORIGEN'!V78-'GENERADO PS locales'!V238</f>
        <v>83.664734999999993</v>
      </c>
      <c r="W78" s="322">
        <f>+'SEP ORIGEN'!W78-'GENERADO PS locales'!W238</f>
        <v>85.864925999999997</v>
      </c>
      <c r="X78" s="322">
        <f>+'SEP ORIGEN'!X78-'GENERADO PS locales'!X238</f>
        <v>88.101174</v>
      </c>
      <c r="Y78" s="322">
        <f>+'SEP ORIGEN'!Y78-'GENERADO PS locales'!Y238</f>
        <v>90.374192999999991</v>
      </c>
      <c r="Z78" s="322">
        <f>+'SEP ORIGEN'!Z78-'GENERADO PS locales'!Z238</f>
        <v>92.683982999999984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38">
        <f>+'SEP ORIGEN'!P79</f>
        <v>6.5117920000000007</v>
      </c>
      <c r="E79" s="278"/>
      <c r="F79" s="263"/>
      <c r="G79" s="322">
        <f>+'SEP ORIGEN'!G79-'GENERADO PS locales'!G239</f>
        <v>0.17446540000000002</v>
      </c>
      <c r="H79" s="322">
        <f>+'SEP ORIGEN'!H79-'GENERADO PS locales'!H239</f>
        <v>1.4059839999999999</v>
      </c>
      <c r="I79" s="322">
        <f>+'SEP ORIGEN'!I79-'GENERADO PS locales'!I239</f>
        <v>2.6556180000000005</v>
      </c>
      <c r="J79" s="322">
        <f>+'SEP ORIGEN'!J79-'GENERADO PS locales'!J239</f>
        <v>4.4580950000000001</v>
      </c>
      <c r="K79" s="322">
        <f>+'SEP ORIGEN'!K79-'GENERADO PS locales'!K239</f>
        <v>6.2865950000000002</v>
      </c>
      <c r="L79" s="322">
        <f>+'SEP ORIGEN'!L79-'GENERADO PS locales'!L239</f>
        <v>6.3314859999999991</v>
      </c>
      <c r="M79" s="322">
        <f>+'SEP ORIGEN'!M79-'GENERADO PS locales'!M239</f>
        <v>6.3767480000000001</v>
      </c>
      <c r="N79" s="322">
        <f>+'SEP ORIGEN'!N79-'GENERADO PS locales'!N239</f>
        <v>6.4216390000000008</v>
      </c>
      <c r="O79" s="322">
        <f>+'SEP ORIGEN'!O79-'GENERADO PS locales'!O239</f>
        <v>6.4665299999999997</v>
      </c>
      <c r="P79" s="322">
        <f>+'SEP ORIGEN'!P79-'GENERADO PS locales'!P239</f>
        <v>6.5117920000000007</v>
      </c>
      <c r="Q79" s="322">
        <f>+'SEP ORIGEN'!Q79-'GENERADO PS locales'!Q239</f>
        <v>6.5566829999999996</v>
      </c>
      <c r="R79" s="322">
        <f>+'SEP ORIGEN'!R79-'GENERADO PS locales'!R239</f>
        <v>6.6019449999999997</v>
      </c>
      <c r="S79" s="322">
        <f>+'SEP ORIGEN'!S79-'GENERADO PS locales'!S239</f>
        <v>6.6468360000000004</v>
      </c>
      <c r="T79" s="322">
        <f>+'SEP ORIGEN'!T79-'GENERADO PS locales'!T239</f>
        <v>6.6920979999999997</v>
      </c>
      <c r="U79" s="322">
        <f>+'SEP ORIGEN'!U79-'GENERADO PS locales'!U239</f>
        <v>6.7369890000000003</v>
      </c>
      <c r="V79" s="322">
        <f>+'SEP ORIGEN'!V79-'GENERADO PS locales'!V239</f>
        <v>6.7818799999999992</v>
      </c>
      <c r="W79" s="322">
        <f>+'SEP ORIGEN'!W79-'GENERADO PS locales'!W239</f>
        <v>6.8271420000000003</v>
      </c>
      <c r="X79" s="322">
        <f>+'SEP ORIGEN'!X79-'GENERADO PS locales'!X239</f>
        <v>6.8720330000000001</v>
      </c>
      <c r="Y79" s="322">
        <f>+'SEP ORIGEN'!Y79-'GENERADO PS locales'!Y239</f>
        <v>6.9172949999999993</v>
      </c>
      <c r="Z79" s="322">
        <f>+'SEP ORIGEN'!Z79-'GENERADO PS locales'!Z239</f>
        <v>6.9621860000000009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38">
        <f>+'SEP ORIGEN'!P80</f>
        <v>9.3632980000000003</v>
      </c>
      <c r="E80" s="278"/>
      <c r="F80" s="263"/>
      <c r="G80" s="322">
        <f>+'SEP ORIGEN'!G80-'GENERADO PS locales'!G240</f>
        <v>0.23817139999999998</v>
      </c>
      <c r="H80" s="322">
        <f>+'SEP ORIGEN'!H80-'GENERADO PS locales'!H240</f>
        <v>1.9301328000000002</v>
      </c>
      <c r="I80" s="322">
        <f>+'SEP ORIGEN'!I80-'GENERADO PS locales'!I240</f>
        <v>3.6660630000000003</v>
      </c>
      <c r="J80" s="322">
        <f>+'SEP ORIGEN'!J80-'GENERADO PS locales'!J240</f>
        <v>6.1893400000000005</v>
      </c>
      <c r="K80" s="322">
        <f>+'SEP ORIGEN'!K80-'GENERADO PS locales'!K240</f>
        <v>8.7778600000000004</v>
      </c>
      <c r="L80" s="322">
        <f>+'SEP ORIGEN'!L80-'GENERADO PS locales'!L240</f>
        <v>8.8917570000000001</v>
      </c>
      <c r="M80" s="322">
        <f>+'SEP ORIGEN'!M80-'GENERADO PS locales'!M240</f>
        <v>9.0075089999999989</v>
      </c>
      <c r="N80" s="322">
        <f>+'SEP ORIGEN'!N80-'GENERADO PS locales'!N240</f>
        <v>9.1243740000000013</v>
      </c>
      <c r="O80" s="322">
        <f>+'SEP ORIGEN'!O80-'GENERADO PS locales'!O240</f>
        <v>9.2430939999999993</v>
      </c>
      <c r="P80" s="322">
        <f>+'SEP ORIGEN'!P80-'GENERADO PS locales'!P240</f>
        <v>9.3632980000000003</v>
      </c>
      <c r="Q80" s="322">
        <f>+'SEP ORIGEN'!Q80-'GENERADO PS locales'!Q240</f>
        <v>9.484986000000001</v>
      </c>
      <c r="R80" s="322">
        <f>+'SEP ORIGEN'!R80-'GENERADO PS locales'!R240</f>
        <v>9.6081579999999995</v>
      </c>
      <c r="S80" s="322">
        <f>+'SEP ORIGEN'!S80-'GENERADO PS locales'!S240</f>
        <v>9.7331849999999989</v>
      </c>
      <c r="T80" s="322">
        <f>+'SEP ORIGEN'!T80-'GENERADO PS locales'!T240</f>
        <v>9.8596959999999996</v>
      </c>
      <c r="U80" s="322">
        <f>+'SEP ORIGEN'!U80-'GENERADO PS locales'!U240</f>
        <v>9.9876909999999999</v>
      </c>
      <c r="V80" s="322">
        <f>+'SEP ORIGEN'!V80-'GENERADO PS locales'!V240</f>
        <v>10.117540999999999</v>
      </c>
      <c r="W80" s="322">
        <f>+'SEP ORIGEN'!W80-'GENERADO PS locales'!W240</f>
        <v>10.248874999999998</v>
      </c>
      <c r="X80" s="322">
        <f>+'SEP ORIGEN'!X80-'GENERADO PS locales'!X240</f>
        <v>10.382064</v>
      </c>
      <c r="Y80" s="322">
        <f>+'SEP ORIGEN'!Y80-'GENERADO PS locales'!Y240</f>
        <v>10.517108</v>
      </c>
      <c r="Z80" s="322">
        <f>+'SEP ORIGEN'!Z80-'GENERADO PS locales'!Z240</f>
        <v>10.653636000000001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38">
        <f>+'SEP ORIGEN'!P81</f>
        <v>0.95215399999999994</v>
      </c>
      <c r="E81" s="278"/>
      <c r="F81" s="263"/>
      <c r="G81" s="322">
        <f>+'SEP ORIGEN'!G81-'GENERADO PS locales'!G241</f>
        <v>2.6735200000000001E-2</v>
      </c>
      <c r="H81" s="322">
        <f>+'SEP ORIGEN'!H81-'GENERADO PS locales'!H241</f>
        <v>0.21432320000000002</v>
      </c>
      <c r="I81" s="322">
        <f>+'SEP ORIGEN'!I81-'GENERADO PS locales'!I241</f>
        <v>0.40254600000000007</v>
      </c>
      <c r="J81" s="322">
        <f>+'SEP ORIGEN'!J81-'GENERADO PS locales'!J241</f>
        <v>0.67229000000000005</v>
      </c>
      <c r="K81" s="322">
        <f>+'SEP ORIGEN'!K81-'GENERADO PS locales'!K241</f>
        <v>0.94313800000000003</v>
      </c>
      <c r="L81" s="322">
        <f>+'SEP ORIGEN'!L81-'GENERADO PS locales'!L241</f>
        <v>0.94506999999999997</v>
      </c>
      <c r="M81" s="322">
        <f>+'SEP ORIGEN'!M81-'GENERADO PS locales'!M241</f>
        <v>0.94667999999999997</v>
      </c>
      <c r="N81" s="322">
        <f>+'SEP ORIGEN'!N81-'GENERADO PS locales'!N241</f>
        <v>0.94861200000000001</v>
      </c>
      <c r="O81" s="322">
        <f>+'SEP ORIGEN'!O81-'GENERADO PS locales'!O241</f>
        <v>0.95054399999999994</v>
      </c>
      <c r="P81" s="322">
        <f>+'SEP ORIGEN'!P81-'GENERADO PS locales'!P241</f>
        <v>0.95215399999999994</v>
      </c>
      <c r="Q81" s="322">
        <f>+'SEP ORIGEN'!Q81-'GENERADO PS locales'!Q241</f>
        <v>0.95408599999999999</v>
      </c>
      <c r="R81" s="322">
        <f>+'SEP ORIGEN'!R81-'GENERADO PS locales'!R241</f>
        <v>0.95601799999999992</v>
      </c>
      <c r="S81" s="322">
        <f>+'SEP ORIGEN'!S81-'GENERADO PS locales'!S241</f>
        <v>0.95794999999999997</v>
      </c>
      <c r="T81" s="322">
        <f>+'SEP ORIGEN'!T81-'GENERADO PS locales'!T241</f>
        <v>0.95955999999999997</v>
      </c>
      <c r="U81" s="322">
        <f>+'SEP ORIGEN'!U81-'GENERADO PS locales'!U241</f>
        <v>0.96149200000000001</v>
      </c>
      <c r="V81" s="322">
        <f>+'SEP ORIGEN'!V81-'GENERADO PS locales'!V241</f>
        <v>0.96342400000000006</v>
      </c>
      <c r="W81" s="322">
        <f>+'SEP ORIGEN'!W81-'GENERADO PS locales'!W241</f>
        <v>0.96535599999999999</v>
      </c>
      <c r="X81" s="322">
        <f>+'SEP ORIGEN'!X81-'GENERADO PS locales'!X241</f>
        <v>0.96696599999999999</v>
      </c>
      <c r="Y81" s="322">
        <f>+'SEP ORIGEN'!Y81-'GENERADO PS locales'!Y241</f>
        <v>0.96889800000000004</v>
      </c>
      <c r="Z81" s="322">
        <f>+'SEP ORIGEN'!Z81-'GENERADO PS locales'!Z241</f>
        <v>0.97082999999999997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38">
        <f>+'SEP ORIGEN'!P82</f>
        <v>3.2145259999999998</v>
      </c>
      <c r="E82" s="278"/>
      <c r="F82" s="263"/>
      <c r="G82" s="322">
        <f>+'SEP ORIGEN'!G82-'GENERADO PS locales'!G242</f>
        <v>8.7206800000000001E-2</v>
      </c>
      <c r="H82" s="322">
        <f>+'SEP ORIGEN'!H82-'GENERADO PS locales'!H242</f>
        <v>0.70170240000000006</v>
      </c>
      <c r="I82" s="322">
        <f>+'SEP ORIGEN'!I82-'GENERADO PS locales'!I242</f>
        <v>1.3232820000000001</v>
      </c>
      <c r="J82" s="322">
        <f>+'SEP ORIGEN'!J82-'GENERADO PS locales'!J242</f>
        <v>2.2181199999999999</v>
      </c>
      <c r="K82" s="322">
        <f>+'SEP ORIGEN'!K82-'GENERADO PS locales'!K242</f>
        <v>3.1233999999999997</v>
      </c>
      <c r="L82" s="322">
        <f>+'SEP ORIGEN'!L82-'GENERADO PS locales'!L242</f>
        <v>3.1414320000000004</v>
      </c>
      <c r="M82" s="322">
        <f>+'SEP ORIGEN'!M82-'GENERADO PS locales'!M242</f>
        <v>3.1594640000000003</v>
      </c>
      <c r="N82" s="322">
        <f>+'SEP ORIGEN'!N82-'GENERADO PS locales'!N242</f>
        <v>3.1778179999999998</v>
      </c>
      <c r="O82" s="322">
        <f>+'SEP ORIGEN'!O82-'GENERADO PS locales'!O242</f>
        <v>3.1961720000000002</v>
      </c>
      <c r="P82" s="322">
        <f>+'SEP ORIGEN'!P82-'GENERADO PS locales'!P242</f>
        <v>3.2145259999999998</v>
      </c>
      <c r="Q82" s="322">
        <f>+'SEP ORIGEN'!Q82-'GENERADO PS locales'!Q242</f>
        <v>3.2332020000000004</v>
      </c>
      <c r="R82" s="322">
        <f>+'SEP ORIGEN'!R82-'GENERADO PS locales'!R242</f>
        <v>3.2518779999999996</v>
      </c>
      <c r="S82" s="322">
        <f>+'SEP ORIGEN'!S82-'GENERADO PS locales'!S242</f>
        <v>3.2705540000000002</v>
      </c>
      <c r="T82" s="322">
        <f>+'SEP ORIGEN'!T82-'GENERADO PS locales'!T242</f>
        <v>3.289552</v>
      </c>
      <c r="U82" s="322">
        <f>+'SEP ORIGEN'!U82-'GENERADO PS locales'!U242</f>
        <v>3.3085499999999994</v>
      </c>
      <c r="V82" s="322">
        <f>+'SEP ORIGEN'!V82-'GENERADO PS locales'!V242</f>
        <v>3.3275480000000002</v>
      </c>
      <c r="W82" s="322">
        <f>+'SEP ORIGEN'!W82-'GENERADO PS locales'!W242</f>
        <v>3.3468679999999993</v>
      </c>
      <c r="X82" s="322">
        <f>+'SEP ORIGEN'!X82-'GENERADO PS locales'!X242</f>
        <v>3.3661879999999997</v>
      </c>
      <c r="Y82" s="322">
        <f>+'SEP ORIGEN'!Y82-'GENERADO PS locales'!Y242</f>
        <v>3.3855080000000002</v>
      </c>
      <c r="Z82" s="322">
        <f>+'SEP ORIGEN'!Z82-'GENERADO PS locales'!Z242</f>
        <v>3.4051499999999995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38">
        <f>+'SEP ORIGEN'!P83</f>
        <v>37.237598999999996</v>
      </c>
      <c r="E83" s="278"/>
      <c r="F83" s="263"/>
      <c r="G83" s="322">
        <f>+'SEP ORIGEN'!G83-'GENERADO PS locales'!G243</f>
        <v>1.0033331999999999</v>
      </c>
      <c r="H83" s="322">
        <f>+'SEP ORIGEN'!H83-'GENERADO PS locales'!H243</f>
        <v>8.0806032000000005</v>
      </c>
      <c r="I83" s="322">
        <f>+'SEP ORIGEN'!I83-'GENERADO PS locales'!I243</f>
        <v>15.252110999999999</v>
      </c>
      <c r="J83" s="322">
        <f>+'SEP ORIGEN'!J83-'GENERADO PS locales'!J243</f>
        <v>25.588485000000002</v>
      </c>
      <c r="K83" s="322">
        <f>+'SEP ORIGEN'!K83-'GENERADO PS locales'!K243</f>
        <v>36.059498999999995</v>
      </c>
      <c r="L83" s="322">
        <f>+'SEP ORIGEN'!L83-'GENERADO PS locales'!L243</f>
        <v>36.295119</v>
      </c>
      <c r="M83" s="322">
        <f>+'SEP ORIGEN'!M83-'GENERADO PS locales'!M243</f>
        <v>36.530738999999997</v>
      </c>
      <c r="N83" s="322">
        <f>+'SEP ORIGEN'!N83-'GENERADO PS locales'!N243</f>
        <v>36.766358999999994</v>
      </c>
      <c r="O83" s="322">
        <f>+'SEP ORIGEN'!O83-'GENERADO PS locales'!O243</f>
        <v>37.001978999999999</v>
      </c>
      <c r="P83" s="322">
        <f>+'SEP ORIGEN'!P83-'GENERADO PS locales'!P243</f>
        <v>37.237598999999996</v>
      </c>
      <c r="Q83" s="322">
        <f>+'SEP ORIGEN'!Q83-'GENERADO PS locales'!Q243</f>
        <v>37.473218999999993</v>
      </c>
      <c r="R83" s="322">
        <f>+'SEP ORIGEN'!R83-'GENERADO PS locales'!R243</f>
        <v>37.708838999999998</v>
      </c>
      <c r="S83" s="322">
        <f>+'SEP ORIGEN'!S83-'GENERADO PS locales'!S243</f>
        <v>37.944815999999996</v>
      </c>
      <c r="T83" s="322">
        <f>+'SEP ORIGEN'!T83-'GENERADO PS locales'!T243</f>
        <v>38.180436</v>
      </c>
      <c r="U83" s="322">
        <f>+'SEP ORIGEN'!U83-'GENERADO PS locales'!U243</f>
        <v>38.416055999999998</v>
      </c>
      <c r="V83" s="322">
        <f>+'SEP ORIGEN'!V83-'GENERADO PS locales'!V243</f>
        <v>38.651676000000002</v>
      </c>
      <c r="W83" s="322">
        <f>+'SEP ORIGEN'!W83-'GENERADO PS locales'!W243</f>
        <v>38.887295999999999</v>
      </c>
      <c r="X83" s="322">
        <f>+'SEP ORIGEN'!X83-'GENERADO PS locales'!X243</f>
        <v>39.122915999999996</v>
      </c>
      <c r="Y83" s="322">
        <f>+'SEP ORIGEN'!Y83-'GENERADO PS locales'!Y243</f>
        <v>39.358536000000001</v>
      </c>
      <c r="Z83" s="322">
        <f>+'SEP ORIGEN'!Z83-'GENERADO PS locales'!Z243</f>
        <v>39.594155999999998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38">
        <f>+'SEP ORIGEN'!P84</f>
        <v>45.603893999999997</v>
      </c>
      <c r="E84" s="278"/>
      <c r="F84" s="263"/>
      <c r="G84" s="322">
        <f>+'SEP ORIGEN'!G84-'GENERADO PS locales'!G244</f>
        <v>1.0171032000000002</v>
      </c>
      <c r="H84" s="322">
        <f>+'SEP ORIGEN'!H84-'GENERADO PS locales'!H244</f>
        <v>8.3626944000000005</v>
      </c>
      <c r="I84" s="322">
        <f>+'SEP ORIGEN'!I84-'GENERADO PS locales'!I244</f>
        <v>16.103249999999999</v>
      </c>
      <c r="J84" s="322">
        <f>+'SEP ORIGEN'!J84-'GENERADO PS locales'!J244</f>
        <v>27.544589999999999</v>
      </c>
      <c r="K84" s="322">
        <f>+'SEP ORIGEN'!K84-'GENERADO PS locales'!K244</f>
        <v>39.550244999999997</v>
      </c>
      <c r="L84" s="322">
        <f>+'SEP ORIGEN'!L84-'GENERADO PS locales'!L244</f>
        <v>40.760831999999994</v>
      </c>
      <c r="M84" s="322">
        <f>+'SEP ORIGEN'!M84-'GENERADO PS locales'!M244</f>
        <v>41.971775999999998</v>
      </c>
      <c r="N84" s="322">
        <f>+'SEP ORIGEN'!N84-'GENERADO PS locales'!N244</f>
        <v>43.182363000000002</v>
      </c>
      <c r="O84" s="322">
        <f>+'SEP ORIGEN'!O84-'GENERADO PS locales'!O244</f>
        <v>44.392949999999999</v>
      </c>
      <c r="P84" s="322">
        <f>+'SEP ORIGEN'!P84-'GENERADO PS locales'!P244</f>
        <v>45.603893999999997</v>
      </c>
      <c r="Q84" s="322">
        <f>+'SEP ORIGEN'!Q84-'GENERADO PS locales'!Q244</f>
        <v>46.814481000000001</v>
      </c>
      <c r="R84" s="322">
        <f>+'SEP ORIGEN'!R84-'GENERADO PS locales'!R244</f>
        <v>48.025424999999991</v>
      </c>
      <c r="S84" s="322">
        <f>+'SEP ORIGEN'!S84-'GENERADO PS locales'!S244</f>
        <v>49.236011999999995</v>
      </c>
      <c r="T84" s="322">
        <f>+'SEP ORIGEN'!T84-'GENERADO PS locales'!T244</f>
        <v>50.446599000000006</v>
      </c>
      <c r="U84" s="322">
        <f>+'SEP ORIGEN'!U84-'GENERADO PS locales'!U244</f>
        <v>51.657543000000004</v>
      </c>
      <c r="V84" s="322">
        <f>+'SEP ORIGEN'!V84-'GENERADO PS locales'!V244</f>
        <v>52.868129999999994</v>
      </c>
      <c r="W84" s="322">
        <f>+'SEP ORIGEN'!W84-'GENERADO PS locales'!W244</f>
        <v>54.079073999999999</v>
      </c>
      <c r="X84" s="322">
        <f>+'SEP ORIGEN'!X84-'GENERADO PS locales'!X244</f>
        <v>55.289660999999995</v>
      </c>
      <c r="Y84" s="322">
        <f>+'SEP ORIGEN'!Y84-'GENERADO PS locales'!Y244</f>
        <v>56.500604999999993</v>
      </c>
      <c r="Z84" s="322">
        <f>+'SEP ORIGEN'!Z84-'GENERADO PS locales'!Z244</f>
        <v>57.71119199999999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38">
        <f>+'SEP ORIGEN'!P85</f>
        <v>26.365164</v>
      </c>
      <c r="E85" s="278"/>
      <c r="F85" s="263"/>
      <c r="G85" s="322">
        <f>+'SEP ORIGEN'!G85-'GENERADO PS locales'!G245</f>
        <v>0.64752660000000006</v>
      </c>
      <c r="H85" s="322">
        <f>+'SEP ORIGEN'!H85-'GENERADO PS locales'!H245</f>
        <v>5.2742975999999997</v>
      </c>
      <c r="I85" s="322">
        <f>+'SEP ORIGEN'!I85-'GENERADO PS locales'!I245</f>
        <v>10.065411000000001</v>
      </c>
      <c r="J85" s="322">
        <f>+'SEP ORIGEN'!J85-'GENERADO PS locales'!J245</f>
        <v>17.069444999999998</v>
      </c>
      <c r="K85" s="322">
        <f>+'SEP ORIGEN'!K85-'GENERADO PS locales'!K245</f>
        <v>24.308843999999997</v>
      </c>
      <c r="L85" s="322">
        <f>+'SEP ORIGEN'!L85-'GENERADO PS locales'!L245</f>
        <v>24.720108000000003</v>
      </c>
      <c r="M85" s="322">
        <f>+'SEP ORIGEN'!M85-'GENERADO PS locales'!M245</f>
        <v>25.131014999999998</v>
      </c>
      <c r="N85" s="322">
        <f>+'SEP ORIGEN'!N85-'GENERADO PS locales'!N245</f>
        <v>25.542635999999998</v>
      </c>
      <c r="O85" s="322">
        <f>+'SEP ORIGEN'!O85-'GENERADO PS locales'!O245</f>
        <v>25.953899999999997</v>
      </c>
      <c r="P85" s="322">
        <f>+'SEP ORIGEN'!P85-'GENERADO PS locales'!P245</f>
        <v>26.365164</v>
      </c>
      <c r="Q85" s="322">
        <f>+'SEP ORIGEN'!Q85-'GENERADO PS locales'!Q245</f>
        <v>26.776784999999997</v>
      </c>
      <c r="R85" s="322">
        <f>+'SEP ORIGEN'!R85-'GENERADO PS locales'!R245</f>
        <v>27.187691999999998</v>
      </c>
      <c r="S85" s="322">
        <f>+'SEP ORIGEN'!S85-'GENERADO PS locales'!S245</f>
        <v>27.598956000000001</v>
      </c>
      <c r="T85" s="322">
        <f>+'SEP ORIGEN'!T85-'GENERADO PS locales'!T245</f>
        <v>28.010576999999998</v>
      </c>
      <c r="U85" s="322">
        <f>+'SEP ORIGEN'!U85-'GENERADO PS locales'!U245</f>
        <v>28.421840999999997</v>
      </c>
      <c r="V85" s="322">
        <f>+'SEP ORIGEN'!V85-'GENERADO PS locales'!V245</f>
        <v>28.833105</v>
      </c>
      <c r="W85" s="322">
        <f>+'SEP ORIGEN'!W85-'GENERADO PS locales'!W245</f>
        <v>29.244368999999999</v>
      </c>
      <c r="X85" s="322">
        <f>+'SEP ORIGEN'!X85-'GENERADO PS locales'!X245</f>
        <v>29.655633000000002</v>
      </c>
      <c r="Y85" s="322">
        <f>+'SEP ORIGEN'!Y85-'GENERADO PS locales'!Y245</f>
        <v>30.066896999999994</v>
      </c>
      <c r="Z85" s="322">
        <f>+'SEP ORIGEN'!Z85-'GENERADO PS locales'!Z245</f>
        <v>30.478517999999998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38">
        <f>+'SEP ORIGEN'!P86</f>
        <v>419.56876499999993</v>
      </c>
      <c r="E86" s="278"/>
      <c r="F86" s="263"/>
      <c r="G86" s="322">
        <f>+'SEP ORIGEN'!G86-'GENERADO PS locales'!G246</f>
        <v>10.841701499999999</v>
      </c>
      <c r="H86" s="322">
        <f>+'SEP ORIGEN'!H86-'GENERADO PS locales'!H246</f>
        <v>87.707414400000005</v>
      </c>
      <c r="I86" s="322">
        <f>+'SEP ORIGEN'!I86-'GENERADO PS locales'!I246</f>
        <v>166.29758549999997</v>
      </c>
      <c r="J86" s="322">
        <f>+'SEP ORIGEN'!J86-'GENERADO PS locales'!J246</f>
        <v>280.27451250000001</v>
      </c>
      <c r="K86" s="322">
        <f>+'SEP ORIGEN'!K86-'GENERADO PS locales'!K246</f>
        <v>396.78929849999997</v>
      </c>
      <c r="L86" s="322">
        <f>+'SEP ORIGEN'!L86-'GENERADO PS locales'!L246</f>
        <v>401.244123</v>
      </c>
      <c r="M86" s="322">
        <f>+'SEP ORIGEN'!M86-'GENERADO PS locales'!M246</f>
        <v>405.74879099999998</v>
      </c>
      <c r="N86" s="322">
        <f>+'SEP ORIGEN'!N86-'GENERADO PS locales'!N246</f>
        <v>410.30428949999998</v>
      </c>
      <c r="O86" s="322">
        <f>+'SEP ORIGEN'!O86-'GENERADO PS locales'!O246</f>
        <v>414.91061849999994</v>
      </c>
      <c r="P86" s="322">
        <f>+'SEP ORIGEN'!P86-'GENERADO PS locales'!P246</f>
        <v>419.56876499999993</v>
      </c>
      <c r="Q86" s="322">
        <f>+'SEP ORIGEN'!Q86-'GENERADO PS locales'!Q246</f>
        <v>424.27922249999995</v>
      </c>
      <c r="R86" s="322">
        <f>+'SEP ORIGEN'!R86-'GENERADO PS locales'!R246</f>
        <v>429.04248449999994</v>
      </c>
      <c r="S86" s="322">
        <f>+'SEP ORIGEN'!S86-'GENERADO PS locales'!S246</f>
        <v>433.85904449999998</v>
      </c>
      <c r="T86" s="322">
        <f>+'SEP ORIGEN'!T86-'GENERADO PS locales'!T246</f>
        <v>438.72988949999996</v>
      </c>
      <c r="U86" s="322">
        <f>+'SEP ORIGEN'!U86-'GENERADO PS locales'!U246</f>
        <v>443.65551299999998</v>
      </c>
      <c r="V86" s="322">
        <f>+'SEP ORIGEN'!V86-'GENERADO PS locales'!V246</f>
        <v>448.6364084999999</v>
      </c>
      <c r="W86" s="322">
        <f>+'SEP ORIGEN'!W86-'GENERADO PS locales'!W246</f>
        <v>453.673563</v>
      </c>
      <c r="X86" s="322">
        <f>+'SEP ORIGEN'!X86-'GENERADO PS locales'!X246</f>
        <v>458.76648299999994</v>
      </c>
      <c r="Y86" s="322">
        <f>+'SEP ORIGEN'!Y86-'GENERADO PS locales'!Y246</f>
        <v>463.9171424999999</v>
      </c>
      <c r="Z86" s="322">
        <f>+'SEP ORIGEN'!Z86-'GENERADO PS locales'!Z246</f>
        <v>469.1255415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38">
        <f>+'SEP ORIGEN'!P87</f>
        <v>3.5336279999999998</v>
      </c>
      <c r="E87" s="278"/>
      <c r="F87" s="263"/>
      <c r="G87" s="322">
        <f>+'SEP ORIGEN'!G87-'GENERADO PS locales'!G247</f>
        <v>9.3398400000000006E-2</v>
      </c>
      <c r="H87" s="322">
        <f>+'SEP ORIGEN'!H87-'GENERADO PS locales'!H247</f>
        <v>0.75366400000000011</v>
      </c>
      <c r="I87" s="322">
        <f>+'SEP ORIGEN'!I87-'GENERADO PS locales'!I247</f>
        <v>1.4254019999999998</v>
      </c>
      <c r="J87" s="322">
        <f>+'SEP ORIGEN'!J87-'GENERADO PS locales'!J247</f>
        <v>2.3963700000000001</v>
      </c>
      <c r="K87" s="322">
        <f>+'SEP ORIGEN'!K87-'GENERADO PS locales'!K247</f>
        <v>3.3838980000000003</v>
      </c>
      <c r="L87" s="322">
        <f>+'SEP ORIGEN'!L87-'GENERADO PS locales'!L247</f>
        <v>3.4135219999999995</v>
      </c>
      <c r="M87" s="322">
        <f>+'SEP ORIGEN'!M87-'GENERADO PS locales'!M247</f>
        <v>3.4431460000000005</v>
      </c>
      <c r="N87" s="322">
        <f>+'SEP ORIGEN'!N87-'GENERADO PS locales'!N247</f>
        <v>3.4730920000000003</v>
      </c>
      <c r="O87" s="322">
        <f>+'SEP ORIGEN'!O87-'GENERADO PS locales'!O247</f>
        <v>3.5030379999999997</v>
      </c>
      <c r="P87" s="322">
        <f>+'SEP ORIGEN'!P87-'GENERADO PS locales'!P247</f>
        <v>3.5336279999999998</v>
      </c>
      <c r="Q87" s="322">
        <f>+'SEP ORIGEN'!Q87-'GENERADO PS locales'!Q247</f>
        <v>3.5642179999999994</v>
      </c>
      <c r="R87" s="322">
        <f>+'SEP ORIGEN'!R87-'GENERADO PS locales'!R247</f>
        <v>3.5951300000000002</v>
      </c>
      <c r="S87" s="322">
        <f>+'SEP ORIGEN'!S87-'GENERADO PS locales'!S247</f>
        <v>3.6263640000000001</v>
      </c>
      <c r="T87" s="322">
        <f>+'SEP ORIGEN'!T87-'GENERADO PS locales'!T247</f>
        <v>3.6579199999999998</v>
      </c>
      <c r="U87" s="322">
        <f>+'SEP ORIGEN'!U87-'GENERADO PS locales'!U247</f>
        <v>3.6897979999999997</v>
      </c>
      <c r="V87" s="322">
        <f>+'SEP ORIGEN'!V87-'GENERADO PS locales'!V247</f>
        <v>3.7216759999999995</v>
      </c>
      <c r="W87" s="322">
        <f>+'SEP ORIGEN'!W87-'GENERADO PS locales'!W247</f>
        <v>3.7541980000000001</v>
      </c>
      <c r="X87" s="322">
        <f>+'SEP ORIGEN'!X87-'GENERADO PS locales'!X247</f>
        <v>3.7867199999999999</v>
      </c>
      <c r="Y87" s="322">
        <f>+'SEP ORIGEN'!Y87-'GENERADO PS locales'!Y247</f>
        <v>3.8195639999999997</v>
      </c>
      <c r="Z87" s="322">
        <f>+'SEP ORIGEN'!Z87-'GENERADO PS locales'!Z247</f>
        <v>3.8527300000000002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38">
        <f>+'SEP ORIGEN'!P88</f>
        <v>10.354239</v>
      </c>
      <c r="E88" s="278"/>
      <c r="F88" s="263"/>
      <c r="G88" s="322">
        <f>+'SEP ORIGEN'!G88-'GENERADO PS locales'!G248</f>
        <v>0.26264680000000001</v>
      </c>
      <c r="H88" s="322">
        <f>+'SEP ORIGEN'!H88-'GENERADO PS locales'!H248</f>
        <v>2.1261904</v>
      </c>
      <c r="I88" s="322">
        <f>+'SEP ORIGEN'!I88-'GENERADO PS locales'!I248</f>
        <v>4.033512</v>
      </c>
      <c r="J88" s="322">
        <f>+'SEP ORIGEN'!J88-'GENERADO PS locales'!J248</f>
        <v>6.8004300000000004</v>
      </c>
      <c r="K88" s="322">
        <f>+'SEP ORIGEN'!K88-'GENERADO PS locales'!K248</f>
        <v>9.6300469999999994</v>
      </c>
      <c r="L88" s="322">
        <f>+'SEP ORIGEN'!L88-'GENERADO PS locales'!L248</f>
        <v>9.774737</v>
      </c>
      <c r="M88" s="322">
        <f>+'SEP ORIGEN'!M88-'GENERADO PS locales'!M248</f>
        <v>9.9197980000000001</v>
      </c>
      <c r="N88" s="322">
        <f>+'SEP ORIGEN'!N88-'GENERADO PS locales'!N248</f>
        <v>10.064488000000001</v>
      </c>
      <c r="O88" s="322">
        <f>+'SEP ORIGEN'!O88-'GENERADO PS locales'!O248</f>
        <v>10.209549000000001</v>
      </c>
      <c r="P88" s="322">
        <f>+'SEP ORIGEN'!P88-'GENERADO PS locales'!P248</f>
        <v>10.354239</v>
      </c>
      <c r="Q88" s="322">
        <f>+'SEP ORIGEN'!Q88-'GENERADO PS locales'!Q248</f>
        <v>10.4993</v>
      </c>
      <c r="R88" s="322">
        <f>+'SEP ORIGEN'!R88-'GENERADO PS locales'!R248</f>
        <v>10.643989999999999</v>
      </c>
      <c r="S88" s="322">
        <f>+'SEP ORIGEN'!S88-'GENERADO PS locales'!S248</f>
        <v>10.789051000000001</v>
      </c>
      <c r="T88" s="322">
        <f>+'SEP ORIGEN'!T88-'GENERADO PS locales'!T248</f>
        <v>10.933740999999999</v>
      </c>
      <c r="U88" s="322">
        <f>+'SEP ORIGEN'!U88-'GENERADO PS locales'!U248</f>
        <v>11.078802</v>
      </c>
      <c r="V88" s="322">
        <f>+'SEP ORIGEN'!V88-'GENERADO PS locales'!V248</f>
        <v>11.223492</v>
      </c>
      <c r="W88" s="322">
        <f>+'SEP ORIGEN'!W88-'GENERADO PS locales'!W248</f>
        <v>11.368553</v>
      </c>
      <c r="X88" s="322">
        <f>+'SEP ORIGEN'!X88-'GENERADO PS locales'!X248</f>
        <v>11.513243000000001</v>
      </c>
      <c r="Y88" s="322">
        <f>+'SEP ORIGEN'!Y88-'GENERADO PS locales'!Y248</f>
        <v>11.658303999999999</v>
      </c>
      <c r="Z88" s="322">
        <f>+'SEP ORIGEN'!Z88-'GENERADO PS locales'!Z248</f>
        <v>11.802994000000002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38">
        <f>+'SEP ORIGEN'!P89</f>
        <v>3.5155959999999999</v>
      </c>
      <c r="E89" s="278"/>
      <c r="F89" s="263"/>
      <c r="G89" s="322">
        <f>+'SEP ORIGEN'!G89-'GENERADO PS locales'!G249</f>
        <v>9.3536400000000006E-2</v>
      </c>
      <c r="H89" s="322">
        <f>+'SEP ORIGEN'!H89-'GENERADO PS locales'!H249</f>
        <v>0.75439999999999996</v>
      </c>
      <c r="I89" s="322">
        <f>+'SEP ORIGEN'!I89-'GENERADO PS locales'!I249</f>
        <v>1.4259540000000002</v>
      </c>
      <c r="J89" s="322">
        <f>+'SEP ORIGEN'!J89-'GENERADO PS locales'!J249</f>
        <v>2.3959100000000002</v>
      </c>
      <c r="K89" s="322">
        <f>+'SEP ORIGEN'!K89-'GENERADO PS locales'!K249</f>
        <v>3.3809999999999998</v>
      </c>
      <c r="L89" s="322">
        <f>+'SEP ORIGEN'!L89-'GENERADO PS locales'!L249</f>
        <v>3.408048</v>
      </c>
      <c r="M89" s="322">
        <f>+'SEP ORIGEN'!M89-'GENERADO PS locales'!M249</f>
        <v>3.4347740000000004</v>
      </c>
      <c r="N89" s="322">
        <f>+'SEP ORIGEN'!N89-'GENERADO PS locales'!N249</f>
        <v>3.4618219999999997</v>
      </c>
      <c r="O89" s="322">
        <f>+'SEP ORIGEN'!O89-'GENERADO PS locales'!O249</f>
        <v>3.4885480000000002</v>
      </c>
      <c r="P89" s="322">
        <f>+'SEP ORIGEN'!P89-'GENERADO PS locales'!P249</f>
        <v>3.5155959999999999</v>
      </c>
      <c r="Q89" s="322">
        <f>+'SEP ORIGEN'!Q89-'GENERADO PS locales'!Q249</f>
        <v>3.5423219999999995</v>
      </c>
      <c r="R89" s="322">
        <f>+'SEP ORIGEN'!R89-'GENERADO PS locales'!R249</f>
        <v>3.569048</v>
      </c>
      <c r="S89" s="322">
        <f>+'SEP ORIGEN'!S89-'GENERADO PS locales'!S249</f>
        <v>3.5960960000000002</v>
      </c>
      <c r="T89" s="322">
        <f>+'SEP ORIGEN'!T89-'GENERADO PS locales'!T249</f>
        <v>3.6228219999999998</v>
      </c>
      <c r="U89" s="322">
        <f>+'SEP ORIGEN'!U89-'GENERADO PS locales'!U249</f>
        <v>3.6498699999999999</v>
      </c>
      <c r="V89" s="322">
        <f>+'SEP ORIGEN'!V89-'GENERADO PS locales'!V249</f>
        <v>3.6765960000000004</v>
      </c>
      <c r="W89" s="322">
        <f>+'SEP ORIGEN'!W89-'GENERADO PS locales'!W249</f>
        <v>3.7036439999999997</v>
      </c>
      <c r="X89" s="322">
        <f>+'SEP ORIGEN'!X89-'GENERADO PS locales'!X249</f>
        <v>3.7303700000000002</v>
      </c>
      <c r="Y89" s="322">
        <f>+'SEP ORIGEN'!Y89-'GENERADO PS locales'!Y249</f>
        <v>3.7574179999999995</v>
      </c>
      <c r="Z89" s="322">
        <f>+'SEP ORIGEN'!Z89-'GENERADO PS locales'!Z249</f>
        <v>3.784144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38">
        <f>+'SEP ORIGEN'!P90</f>
        <v>11.668321000000001</v>
      </c>
      <c r="E90" s="278"/>
      <c r="F90" s="263"/>
      <c r="G90" s="322">
        <f>+'SEP ORIGEN'!G90-'GENERADO PS locales'!G250</f>
        <v>0.31992920000000002</v>
      </c>
      <c r="H90" s="322">
        <f>+'SEP ORIGEN'!H90-'GENERADO PS locales'!H250</f>
        <v>2.5712208000000003</v>
      </c>
      <c r="I90" s="322">
        <f>+'SEP ORIGEN'!I90-'GENERADO PS locales'!I250</f>
        <v>4.8431400000000009</v>
      </c>
      <c r="J90" s="322">
        <f>+'SEP ORIGEN'!J90-'GENERADO PS locales'!J250</f>
        <v>8.109</v>
      </c>
      <c r="K90" s="322">
        <f>+'SEP ORIGEN'!K90-'GENERADO PS locales'!K250</f>
        <v>11.404540000000001</v>
      </c>
      <c r="L90" s="322">
        <f>+'SEP ORIGEN'!L90-'GENERADO PS locales'!L250</f>
        <v>11.456850999999999</v>
      </c>
      <c r="M90" s="322">
        <f>+'SEP ORIGEN'!M90-'GENERADO PS locales'!M250</f>
        <v>11.509533000000001</v>
      </c>
      <c r="N90" s="322">
        <f>+'SEP ORIGEN'!N90-'GENERADO PS locales'!N250</f>
        <v>11.562215</v>
      </c>
      <c r="O90" s="322">
        <f>+'SEP ORIGEN'!O90-'GENERADO PS locales'!O250</f>
        <v>11.615268</v>
      </c>
      <c r="P90" s="322">
        <f>+'SEP ORIGEN'!P90-'GENERADO PS locales'!P250</f>
        <v>11.668321000000001</v>
      </c>
      <c r="Q90" s="322">
        <f>+'SEP ORIGEN'!Q90-'GENERADO PS locales'!Q250</f>
        <v>11.722116</v>
      </c>
      <c r="R90" s="322">
        <f>+'SEP ORIGEN'!R90-'GENERADO PS locales'!R250</f>
        <v>11.775910999999999</v>
      </c>
      <c r="S90" s="322">
        <f>+'SEP ORIGEN'!S90-'GENERADO PS locales'!S250</f>
        <v>11.829706</v>
      </c>
      <c r="T90" s="322">
        <f>+'SEP ORIGEN'!T90-'GENERADO PS locales'!T250</f>
        <v>11.884243000000001</v>
      </c>
      <c r="U90" s="322">
        <f>+'SEP ORIGEN'!U90-'GENERADO PS locales'!U250</f>
        <v>11.938780000000001</v>
      </c>
      <c r="V90" s="322">
        <f>+'SEP ORIGEN'!V90-'GENERADO PS locales'!V250</f>
        <v>11.993317000000001</v>
      </c>
      <c r="W90" s="322">
        <f>+'SEP ORIGEN'!W90-'GENERADO PS locales'!W250</f>
        <v>12.048224999999999</v>
      </c>
      <c r="X90" s="322">
        <f>+'SEP ORIGEN'!X90-'GENERADO PS locales'!X250</f>
        <v>12.103503999999999</v>
      </c>
      <c r="Y90" s="322">
        <f>+'SEP ORIGEN'!Y90-'GENERADO PS locales'!Y250</f>
        <v>12.159153999999999</v>
      </c>
      <c r="Z90" s="322">
        <f>+'SEP ORIGEN'!Z90-'GENERADO PS locales'!Z250</f>
        <v>12.214804000000001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38">
        <f>+'SEP ORIGEN'!P91</f>
        <v>5.0019479999999996</v>
      </c>
      <c r="E91" s="278"/>
      <c r="F91" s="263"/>
      <c r="G91" s="322">
        <f>+'SEP ORIGEN'!G91-'GENERADO PS locales'!G251</f>
        <v>0.1340624</v>
      </c>
      <c r="H91" s="322">
        <f>+'SEP ORIGEN'!H91-'GENERADO PS locales'!H251</f>
        <v>1.0801536</v>
      </c>
      <c r="I91" s="322">
        <f>+'SEP ORIGEN'!I91-'GENERADO PS locales'!I251</f>
        <v>2.0396399999999999</v>
      </c>
      <c r="J91" s="322">
        <f>+'SEP ORIGEN'!J91-'GENERADO PS locales'!J251</f>
        <v>3.4237800000000003</v>
      </c>
      <c r="K91" s="322">
        <f>+'SEP ORIGEN'!K91-'GENERADO PS locales'!K251</f>
        <v>4.8274239999999997</v>
      </c>
      <c r="L91" s="322">
        <f>+'SEP ORIGEN'!L91-'GENERADO PS locales'!L251</f>
        <v>4.8618779999999999</v>
      </c>
      <c r="M91" s="322">
        <f>+'SEP ORIGEN'!M91-'GENERADO PS locales'!M251</f>
        <v>4.8966539999999998</v>
      </c>
      <c r="N91" s="322">
        <f>+'SEP ORIGEN'!N91-'GENERADO PS locales'!N251</f>
        <v>4.9314299999999998</v>
      </c>
      <c r="O91" s="322">
        <f>+'SEP ORIGEN'!O91-'GENERADO PS locales'!O251</f>
        <v>4.9665279999999994</v>
      </c>
      <c r="P91" s="322">
        <f>+'SEP ORIGEN'!P91-'GENERADO PS locales'!P251</f>
        <v>5.0019479999999996</v>
      </c>
      <c r="Q91" s="322">
        <f>+'SEP ORIGEN'!Q91-'GENERADO PS locales'!Q251</f>
        <v>5.0376900000000004</v>
      </c>
      <c r="R91" s="322">
        <f>+'SEP ORIGEN'!R91-'GENERADO PS locales'!R251</f>
        <v>5.0737539999999992</v>
      </c>
      <c r="S91" s="322">
        <f>+'SEP ORIGEN'!S91-'GENERADO PS locales'!S251</f>
        <v>5.1098180000000006</v>
      </c>
      <c r="T91" s="322">
        <f>+'SEP ORIGEN'!T91-'GENERADO PS locales'!T251</f>
        <v>5.146204</v>
      </c>
      <c r="U91" s="322">
        <f>+'SEP ORIGEN'!U91-'GENERADO PS locales'!U251</f>
        <v>5.182912</v>
      </c>
      <c r="V91" s="322">
        <f>+'SEP ORIGEN'!V91-'GENERADO PS locales'!V251</f>
        <v>5.2199419999999996</v>
      </c>
      <c r="W91" s="322">
        <f>+'SEP ORIGEN'!W91-'GENERADO PS locales'!W251</f>
        <v>5.2572939999999999</v>
      </c>
      <c r="X91" s="322">
        <f>+'SEP ORIGEN'!X91-'GENERADO PS locales'!X251</f>
        <v>5.2946460000000002</v>
      </c>
      <c r="Y91" s="322">
        <f>+'SEP ORIGEN'!Y91-'GENERADO PS locales'!Y251</f>
        <v>5.3326419999999999</v>
      </c>
      <c r="Z91" s="322">
        <f>+'SEP ORIGEN'!Z91-'GENERADO PS locales'!Z251</f>
        <v>5.3706379999999996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38">
        <f>+'SEP ORIGEN'!P92</f>
        <v>14.763202999999999</v>
      </c>
      <c r="E92" s="278"/>
      <c r="F92" s="263"/>
      <c r="G92" s="322">
        <f>+'SEP ORIGEN'!G92-'GENERADO PS locales'!G252</f>
        <v>0.3804128</v>
      </c>
      <c r="H92" s="322">
        <f>+'SEP ORIGEN'!H92-'GENERADO PS locales'!H252</f>
        <v>3.0784096000000001</v>
      </c>
      <c r="I92" s="322">
        <f>+'SEP ORIGEN'!I92-'GENERADO PS locales'!I252</f>
        <v>5.8386390000000006</v>
      </c>
      <c r="J92" s="322">
        <f>+'SEP ORIGEN'!J92-'GENERADO PS locales'!J252</f>
        <v>9.8434250000000016</v>
      </c>
      <c r="K92" s="322">
        <f>+'SEP ORIGEN'!K92-'GENERADO PS locales'!K252</f>
        <v>13.939954</v>
      </c>
      <c r="L92" s="322">
        <f>+'SEP ORIGEN'!L92-'GENERADO PS locales'!L252</f>
        <v>14.100967999999998</v>
      </c>
      <c r="M92" s="322">
        <f>+'SEP ORIGEN'!M92-'GENERADO PS locales'!M252</f>
        <v>14.263465999999999</v>
      </c>
      <c r="N92" s="322">
        <f>+'SEP ORIGEN'!N92-'GENERADO PS locales'!N252</f>
        <v>14.428189999999999</v>
      </c>
      <c r="O92" s="322">
        <f>+'SEP ORIGEN'!O92-'GENERADO PS locales'!O252</f>
        <v>14.594769000000001</v>
      </c>
      <c r="P92" s="322">
        <f>+'SEP ORIGEN'!P92-'GENERADO PS locales'!P252</f>
        <v>14.763202999999999</v>
      </c>
      <c r="Q92" s="322">
        <f>+'SEP ORIGEN'!Q92-'GENERADO PS locales'!Q252</f>
        <v>14.933492000000001</v>
      </c>
      <c r="R92" s="322">
        <f>+'SEP ORIGEN'!R92-'GENERADO PS locales'!R252</f>
        <v>15.106007</v>
      </c>
      <c r="S92" s="322">
        <f>+'SEP ORIGEN'!S92-'GENERADO PS locales'!S252</f>
        <v>15.280377</v>
      </c>
      <c r="T92" s="322">
        <f>+'SEP ORIGEN'!T92-'GENERADO PS locales'!T252</f>
        <v>15.456602</v>
      </c>
      <c r="U92" s="322">
        <f>+'SEP ORIGEN'!U92-'GENERADO PS locales'!U252</f>
        <v>15.635052999999999</v>
      </c>
      <c r="V92" s="322">
        <f>+'SEP ORIGEN'!V92-'GENERADO PS locales'!V252</f>
        <v>15.81573</v>
      </c>
      <c r="W92" s="322">
        <f>+'SEP ORIGEN'!W92-'GENERADO PS locales'!W252</f>
        <v>15.998261999999999</v>
      </c>
      <c r="X92" s="322">
        <f>+'SEP ORIGEN'!X92-'GENERADO PS locales'!X252</f>
        <v>16.183019999999999</v>
      </c>
      <c r="Y92" s="322">
        <f>+'SEP ORIGEN'!Y92-'GENERADO PS locales'!Y252</f>
        <v>16.369633</v>
      </c>
      <c r="Z92" s="322">
        <f>+'SEP ORIGEN'!Z92-'GENERADO PS locales'!Z252</f>
        <v>16.558472000000002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38">
        <f>+'SEP ORIGEN'!P93</f>
        <v>51.466547999999996</v>
      </c>
      <c r="E93" s="278"/>
      <c r="F93" s="263"/>
      <c r="G93" s="322">
        <f>+'SEP ORIGEN'!G93-'GENERADO PS locales'!G253</f>
        <v>1.2837006</v>
      </c>
      <c r="H93" s="322">
        <f>+'SEP ORIGEN'!H93-'GENERADO PS locales'!H253</f>
        <v>10.435579199999999</v>
      </c>
      <c r="I93" s="322">
        <f>+'SEP ORIGEN'!I93-'GENERADO PS locales'!I253</f>
        <v>19.878066</v>
      </c>
      <c r="J93" s="322">
        <f>+'SEP ORIGEN'!J93-'GENERADO PS locales'!J253</f>
        <v>33.649035000000005</v>
      </c>
      <c r="K93" s="322">
        <f>+'SEP ORIGEN'!K93-'GENERADO PS locales'!K253</f>
        <v>47.834787000000006</v>
      </c>
      <c r="L93" s="322">
        <f>+'SEP ORIGEN'!L93-'GENERADO PS locales'!L253</f>
        <v>48.561281999999991</v>
      </c>
      <c r="M93" s="322">
        <f>+'SEP ORIGEN'!M93-'GENERADO PS locales'!M253</f>
        <v>49.287419999999997</v>
      </c>
      <c r="N93" s="322">
        <f>+'SEP ORIGEN'!N93-'GENERADO PS locales'!N253</f>
        <v>50.01391499999999</v>
      </c>
      <c r="O93" s="322">
        <f>+'SEP ORIGEN'!O93-'GENERADO PS locales'!O253</f>
        <v>50.740409999999997</v>
      </c>
      <c r="P93" s="322">
        <f>+'SEP ORIGEN'!P93-'GENERADO PS locales'!P253</f>
        <v>51.466547999999996</v>
      </c>
      <c r="Q93" s="322">
        <f>+'SEP ORIGEN'!Q93-'GENERADO PS locales'!Q253</f>
        <v>52.193043000000003</v>
      </c>
      <c r="R93" s="322">
        <f>+'SEP ORIGEN'!R93-'GENERADO PS locales'!R253</f>
        <v>52.919537999999996</v>
      </c>
      <c r="S93" s="322">
        <f>+'SEP ORIGEN'!S93-'GENERADO PS locales'!S253</f>
        <v>53.645676000000009</v>
      </c>
      <c r="T93" s="322">
        <f>+'SEP ORIGEN'!T93-'GENERADO PS locales'!T253</f>
        <v>54.372171000000002</v>
      </c>
      <c r="U93" s="322">
        <f>+'SEP ORIGEN'!U93-'GENERADO PS locales'!U253</f>
        <v>55.098308999999993</v>
      </c>
      <c r="V93" s="322">
        <f>+'SEP ORIGEN'!V93-'GENERADO PS locales'!V253</f>
        <v>55.824803999999993</v>
      </c>
      <c r="W93" s="322">
        <f>+'SEP ORIGEN'!W93-'GENERADO PS locales'!W253</f>
        <v>56.551299</v>
      </c>
      <c r="X93" s="322">
        <f>+'SEP ORIGEN'!X93-'GENERADO PS locales'!X253</f>
        <v>57.277436999999999</v>
      </c>
      <c r="Y93" s="322">
        <f>+'SEP ORIGEN'!Y93-'GENERADO PS locales'!Y253</f>
        <v>58.003931999999992</v>
      </c>
      <c r="Z93" s="322">
        <f>+'SEP ORIGEN'!Z93-'GENERADO PS locales'!Z253</f>
        <v>58.730070000000005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38">
        <f>+'SEP ORIGEN'!P94</f>
        <v>5.0096759999999998</v>
      </c>
      <c r="E94" s="278"/>
      <c r="F94" s="263"/>
      <c r="G94" s="322">
        <f>+'SEP ORIGEN'!G94-'GENERADO PS locales'!G254</f>
        <v>0.12814680000000001</v>
      </c>
      <c r="H94" s="322">
        <f>+'SEP ORIGEN'!H94-'GENERADO PS locales'!H254</f>
        <v>1.0384960000000001</v>
      </c>
      <c r="I94" s="322">
        <f>+'SEP ORIGEN'!I94-'GENERADO PS locales'!I254</f>
        <v>1.9721580000000001</v>
      </c>
      <c r="J94" s="322">
        <f>+'SEP ORIGEN'!J94-'GENERADO PS locales'!J254</f>
        <v>3.32856</v>
      </c>
      <c r="K94" s="322">
        <f>+'SEP ORIGEN'!K94-'GENERADO PS locales'!K254</f>
        <v>4.7182659999999998</v>
      </c>
      <c r="L94" s="322">
        <f>+'SEP ORIGEN'!L94-'GENERADO PS locales'!L254</f>
        <v>4.776548</v>
      </c>
      <c r="M94" s="322">
        <f>+'SEP ORIGEN'!M94-'GENERADO PS locales'!M254</f>
        <v>4.8348300000000002</v>
      </c>
      <c r="N94" s="322">
        <f>+'SEP ORIGEN'!N94-'GENERADO PS locales'!N254</f>
        <v>4.8931119999999995</v>
      </c>
      <c r="O94" s="322">
        <f>+'SEP ORIGEN'!O94-'GENERADO PS locales'!O254</f>
        <v>4.9513939999999996</v>
      </c>
      <c r="P94" s="322">
        <f>+'SEP ORIGEN'!P94-'GENERADO PS locales'!P254</f>
        <v>5.0096759999999998</v>
      </c>
      <c r="Q94" s="322">
        <f>+'SEP ORIGEN'!Q94-'GENERADO PS locales'!Q254</f>
        <v>5.067958</v>
      </c>
      <c r="R94" s="322">
        <f>+'SEP ORIGEN'!R94-'GENERADO PS locales'!R254</f>
        <v>5.1262400000000001</v>
      </c>
      <c r="S94" s="322">
        <f>+'SEP ORIGEN'!S94-'GENERADO PS locales'!S254</f>
        <v>5.1845219999999994</v>
      </c>
      <c r="T94" s="322">
        <f>+'SEP ORIGEN'!T94-'GENERADO PS locales'!T254</f>
        <v>5.2428039999999996</v>
      </c>
      <c r="U94" s="322">
        <f>+'SEP ORIGEN'!U94-'GENERADO PS locales'!U254</f>
        <v>5.3010859999999997</v>
      </c>
      <c r="V94" s="322">
        <f>+'SEP ORIGEN'!V94-'GENERADO PS locales'!V254</f>
        <v>5.3593679999999999</v>
      </c>
      <c r="W94" s="322">
        <f>+'SEP ORIGEN'!W94-'GENERADO PS locales'!W254</f>
        <v>5.4176499999999992</v>
      </c>
      <c r="X94" s="322">
        <f>+'SEP ORIGEN'!X94-'GENERADO PS locales'!X254</f>
        <v>5.4759320000000002</v>
      </c>
      <c r="Y94" s="322">
        <f>+'SEP ORIGEN'!Y94-'GENERADO PS locales'!Y254</f>
        <v>5.5342140000000004</v>
      </c>
      <c r="Z94" s="322">
        <f>+'SEP ORIGEN'!Z94-'GENERADO PS locales'!Z254</f>
        <v>5.5924960000000006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38">
        <f>+'SEP ORIGEN'!P95</f>
        <v>3.2679779999999998</v>
      </c>
      <c r="E95" s="278"/>
      <c r="F95" s="263"/>
      <c r="G95" s="322">
        <f>+'SEP ORIGEN'!G95-'GENERADO PS locales'!G255</f>
        <v>8.9626400000000009E-2</v>
      </c>
      <c r="H95" s="322">
        <f>+'SEP ORIGEN'!H95-'GENERADO PS locales'!H255</f>
        <v>0.72032320000000016</v>
      </c>
      <c r="I95" s="322">
        <f>+'SEP ORIGEN'!I95-'GENERADO PS locales'!I255</f>
        <v>1.356816</v>
      </c>
      <c r="J95" s="322">
        <f>+'SEP ORIGEN'!J95-'GENERADO PS locales'!J255</f>
        <v>2.2719399999999998</v>
      </c>
      <c r="K95" s="322">
        <f>+'SEP ORIGEN'!K95-'GENERADO PS locales'!K255</f>
        <v>3.1952060000000002</v>
      </c>
      <c r="L95" s="322">
        <f>+'SEP ORIGEN'!L95-'GENERADO PS locales'!L255</f>
        <v>3.2096959999999997</v>
      </c>
      <c r="M95" s="322">
        <f>+'SEP ORIGEN'!M95-'GENERADO PS locales'!M255</f>
        <v>3.2245079999999997</v>
      </c>
      <c r="N95" s="322">
        <f>+'SEP ORIGEN'!N95-'GENERADO PS locales'!N255</f>
        <v>3.2389980000000005</v>
      </c>
      <c r="O95" s="322">
        <f>+'SEP ORIGEN'!O95-'GENERADO PS locales'!O255</f>
        <v>3.2534879999999999</v>
      </c>
      <c r="P95" s="322">
        <f>+'SEP ORIGEN'!P95-'GENERADO PS locales'!P255</f>
        <v>3.2679779999999998</v>
      </c>
      <c r="Q95" s="322">
        <f>+'SEP ORIGEN'!Q95-'GENERADO PS locales'!Q255</f>
        <v>3.2827899999999999</v>
      </c>
      <c r="R95" s="322">
        <f>+'SEP ORIGEN'!R95-'GENERADO PS locales'!R255</f>
        <v>3.2972800000000002</v>
      </c>
      <c r="S95" s="322">
        <f>+'SEP ORIGEN'!S95-'GENERADO PS locales'!S255</f>
        <v>3.3117700000000001</v>
      </c>
      <c r="T95" s="322">
        <f>+'SEP ORIGEN'!T95-'GENERADO PS locales'!T255</f>
        <v>3.3265820000000001</v>
      </c>
      <c r="U95" s="322">
        <f>+'SEP ORIGEN'!U95-'GENERADO PS locales'!U255</f>
        <v>3.341072</v>
      </c>
      <c r="V95" s="322">
        <f>+'SEP ORIGEN'!V95-'GENERADO PS locales'!V255</f>
        <v>3.3555619999999999</v>
      </c>
      <c r="W95" s="322">
        <f>+'SEP ORIGEN'!W95-'GENERADO PS locales'!W255</f>
        <v>3.3700520000000003</v>
      </c>
      <c r="X95" s="322">
        <f>+'SEP ORIGEN'!X95-'GENERADO PS locales'!X255</f>
        <v>3.3848640000000003</v>
      </c>
      <c r="Y95" s="322">
        <f>+'SEP ORIGEN'!Y95-'GENERADO PS locales'!Y255</f>
        <v>3.3993540000000002</v>
      </c>
      <c r="Z95" s="322">
        <f>+'SEP ORIGEN'!Z95-'GENERADO PS locales'!Z255</f>
        <v>3.4138440000000001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38">
        <f>+'SEP ORIGEN'!P96</f>
        <v>2.7997899999999998</v>
      </c>
      <c r="E96" s="278"/>
      <c r="F96" s="263"/>
      <c r="G96" s="322">
        <f>+'SEP ORIGEN'!G96-'GENERADO PS locales'!G256</f>
        <v>7.0904400000000006E-2</v>
      </c>
      <c r="H96" s="322">
        <f>+'SEP ORIGEN'!H96-'GENERADO PS locales'!H256</f>
        <v>0.57415360000000004</v>
      </c>
      <c r="I96" s="322">
        <f>+'SEP ORIGEN'!I96-'GENERADO PS locales'!I256</f>
        <v>1.089372</v>
      </c>
      <c r="J96" s="322">
        <f>+'SEP ORIGEN'!J96-'GENERADO PS locales'!J256</f>
        <v>1.83724</v>
      </c>
      <c r="K96" s="322">
        <f>+'SEP ORIGEN'!K96-'GENERADO PS locales'!K256</f>
        <v>2.6020819999999998</v>
      </c>
      <c r="L96" s="322">
        <f>+'SEP ORIGEN'!L96-'GENERADO PS locales'!L256</f>
        <v>2.6416880000000003</v>
      </c>
      <c r="M96" s="322">
        <f>+'SEP ORIGEN'!M96-'GENERADO PS locales'!M256</f>
        <v>2.6812939999999998</v>
      </c>
      <c r="N96" s="322">
        <f>+'SEP ORIGEN'!N96-'GENERADO PS locales'!N256</f>
        <v>2.7208999999999999</v>
      </c>
      <c r="O96" s="322">
        <f>+'SEP ORIGEN'!O96-'GENERADO PS locales'!O256</f>
        <v>2.7605059999999999</v>
      </c>
      <c r="P96" s="322">
        <f>+'SEP ORIGEN'!P96-'GENERADO PS locales'!P256</f>
        <v>2.7997899999999998</v>
      </c>
      <c r="Q96" s="322">
        <f>+'SEP ORIGEN'!Q96-'GENERADO PS locales'!Q256</f>
        <v>2.8393959999999998</v>
      </c>
      <c r="R96" s="322">
        <f>+'SEP ORIGEN'!R96-'GENERADO PS locales'!R256</f>
        <v>2.8790020000000003</v>
      </c>
      <c r="S96" s="322">
        <f>+'SEP ORIGEN'!S96-'GENERADO PS locales'!S256</f>
        <v>2.9186080000000003</v>
      </c>
      <c r="T96" s="322">
        <f>+'SEP ORIGEN'!T96-'GENERADO PS locales'!T256</f>
        <v>2.9582139999999999</v>
      </c>
      <c r="U96" s="322">
        <f>+'SEP ORIGEN'!U96-'GENERADO PS locales'!U256</f>
        <v>2.9974979999999998</v>
      </c>
      <c r="V96" s="322">
        <f>+'SEP ORIGEN'!V96-'GENERADO PS locales'!V256</f>
        <v>3.0371040000000002</v>
      </c>
      <c r="W96" s="322">
        <f>+'SEP ORIGEN'!W96-'GENERADO PS locales'!W256</f>
        <v>3.0767099999999998</v>
      </c>
      <c r="X96" s="322">
        <f>+'SEP ORIGEN'!X96-'GENERADO PS locales'!X256</f>
        <v>3.1163159999999999</v>
      </c>
      <c r="Y96" s="322">
        <f>+'SEP ORIGEN'!Y96-'GENERADO PS locales'!Y256</f>
        <v>3.1559219999999999</v>
      </c>
      <c r="Z96" s="322">
        <f>+'SEP ORIGEN'!Z96-'GENERADO PS locales'!Z256</f>
        <v>3.1952060000000002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38">
        <f>+'SEP ORIGEN'!P97</f>
        <v>30.001565999999993</v>
      </c>
      <c r="E97" s="278"/>
      <c r="F97" s="263"/>
      <c r="G97" s="322">
        <f>+'SEP ORIGEN'!G97-'GENERADO PS locales'!G257</f>
        <v>0.73476720000000006</v>
      </c>
      <c r="H97" s="322">
        <f>+'SEP ORIGEN'!H97-'GENERADO PS locales'!H257</f>
        <v>5.986991999999999</v>
      </c>
      <c r="I97" s="322">
        <f>+'SEP ORIGEN'!I97-'GENERADO PS locales'!I257</f>
        <v>11.429558999999999</v>
      </c>
      <c r="J97" s="322">
        <f>+'SEP ORIGEN'!J97-'GENERADO PS locales'!J257</f>
        <v>19.389435000000002</v>
      </c>
      <c r="K97" s="322">
        <f>+'SEP ORIGEN'!K97-'GENERADO PS locales'!K257</f>
        <v>27.621089999999999</v>
      </c>
      <c r="L97" s="322">
        <f>+'SEP ORIGEN'!L97-'GENERADO PS locales'!L257</f>
        <v>28.097327999999997</v>
      </c>
      <c r="M97" s="322">
        <f>+'SEP ORIGEN'!M97-'GENERADO PS locales'!M257</f>
        <v>28.573565999999996</v>
      </c>
      <c r="N97" s="322">
        <f>+'SEP ORIGEN'!N97-'GENERADO PS locales'!N257</f>
        <v>29.049446999999997</v>
      </c>
      <c r="O97" s="322">
        <f>+'SEP ORIGEN'!O97-'GENERADO PS locales'!O257</f>
        <v>29.525685000000003</v>
      </c>
      <c r="P97" s="322">
        <f>+'SEP ORIGEN'!P97-'GENERADO PS locales'!P257</f>
        <v>30.001565999999993</v>
      </c>
      <c r="Q97" s="322">
        <f>+'SEP ORIGEN'!Q97-'GENERADO PS locales'!Q257</f>
        <v>30.477803999999999</v>
      </c>
      <c r="R97" s="322">
        <f>+'SEP ORIGEN'!R97-'GENERADO PS locales'!R257</f>
        <v>30.954041999999994</v>
      </c>
      <c r="S97" s="322">
        <f>+'SEP ORIGEN'!S97-'GENERADO PS locales'!S257</f>
        <v>31.429922999999999</v>
      </c>
      <c r="T97" s="322">
        <f>+'SEP ORIGEN'!T97-'GENERADO PS locales'!T257</f>
        <v>31.906160999999997</v>
      </c>
      <c r="U97" s="322">
        <f>+'SEP ORIGEN'!U97-'GENERADO PS locales'!U257</f>
        <v>32.382041999999998</v>
      </c>
      <c r="V97" s="322">
        <f>+'SEP ORIGEN'!V97-'GENERADO PS locales'!V257</f>
        <v>32.858280000000001</v>
      </c>
      <c r="W97" s="322">
        <f>+'SEP ORIGEN'!W97-'GENERADO PS locales'!W257</f>
        <v>33.334161000000002</v>
      </c>
      <c r="X97" s="322">
        <f>+'SEP ORIGEN'!X97-'GENERADO PS locales'!X257</f>
        <v>33.810398999999997</v>
      </c>
      <c r="Y97" s="322">
        <f>+'SEP ORIGEN'!Y97-'GENERADO PS locales'!Y257</f>
        <v>34.286636999999999</v>
      </c>
      <c r="Z97" s="322">
        <f>+'SEP ORIGEN'!Z97-'GENERADO PS locales'!Z257</f>
        <v>34.762517999999993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38">
        <f>+'SEP ORIGEN'!P98</f>
        <v>24.745455</v>
      </c>
      <c r="E98" s="278"/>
      <c r="F98" s="263"/>
      <c r="G98" s="322">
        <f>+'SEP ORIGEN'!G98-'GENERADO PS locales'!G258</f>
        <v>0.65523779999999998</v>
      </c>
      <c r="H98" s="322">
        <f>+'SEP ORIGEN'!H98-'GENERADO PS locales'!H258</f>
        <v>5.2863744000000006</v>
      </c>
      <c r="I98" s="322">
        <f>+'SEP ORIGEN'!I98-'GENERADO PS locales'!I258</f>
        <v>9.9961020000000005</v>
      </c>
      <c r="J98" s="322">
        <f>+'SEP ORIGEN'!J98-'GENERADO PS locales'!J258</f>
        <v>16.801694999999999</v>
      </c>
      <c r="K98" s="322">
        <f>+'SEP ORIGEN'!K98-'GENERADO PS locales'!K258</f>
        <v>23.721935999999999</v>
      </c>
      <c r="L98" s="322">
        <f>+'SEP ORIGEN'!L98-'GENERADO PS locales'!L258</f>
        <v>23.922926999999998</v>
      </c>
      <c r="M98" s="322">
        <f>+'SEP ORIGEN'!M98-'GENERADO PS locales'!M258</f>
        <v>24.126059999999999</v>
      </c>
      <c r="N98" s="322">
        <f>+'SEP ORIGEN'!N98-'GENERADO PS locales'!N258</f>
        <v>24.330978000000002</v>
      </c>
      <c r="O98" s="322">
        <f>+'SEP ORIGEN'!O98-'GENERADO PS locales'!O258</f>
        <v>24.537323999999998</v>
      </c>
      <c r="P98" s="322">
        <f>+'SEP ORIGEN'!P98-'GENERADO PS locales'!P258</f>
        <v>24.745455</v>
      </c>
      <c r="Q98" s="322">
        <f>+'SEP ORIGEN'!Q98-'GENERADO PS locales'!Q258</f>
        <v>24.955370999999996</v>
      </c>
      <c r="R98" s="322">
        <f>+'SEP ORIGEN'!R98-'GENERADO PS locales'!R258</f>
        <v>25.167071999999997</v>
      </c>
      <c r="S98" s="322">
        <f>+'SEP ORIGEN'!S98-'GENERADO PS locales'!S258</f>
        <v>25.380914999999995</v>
      </c>
      <c r="T98" s="322">
        <f>+'SEP ORIGEN'!T98-'GENERADO PS locales'!T258</f>
        <v>25.596185999999999</v>
      </c>
      <c r="U98" s="322">
        <f>+'SEP ORIGEN'!U98-'GENERADO PS locales'!U258</f>
        <v>25.813241999999995</v>
      </c>
      <c r="V98" s="322">
        <f>+'SEP ORIGEN'!V98-'GENERADO PS locales'!V258</f>
        <v>26.032439999999998</v>
      </c>
      <c r="W98" s="322">
        <f>+'SEP ORIGEN'!W98-'GENERADO PS locales'!W258</f>
        <v>26.253422999999994</v>
      </c>
      <c r="X98" s="322">
        <f>+'SEP ORIGEN'!X98-'GENERADO PS locales'!X258</f>
        <v>26.476190999999996</v>
      </c>
      <c r="Y98" s="322">
        <f>+'SEP ORIGEN'!Y98-'GENERADO PS locales'!Y258</f>
        <v>26.700744</v>
      </c>
      <c r="Z98" s="322">
        <f>+'SEP ORIGEN'!Z98-'GENERADO PS locales'!Z258</f>
        <v>26.927082000000002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38">
        <f>+'SEP ORIGEN'!P99</f>
        <v>9.2505140000000008</v>
      </c>
      <c r="E99" s="278"/>
      <c r="F99" s="263"/>
      <c r="G99" s="322">
        <f>+'SEP ORIGEN'!G99-'GENERADO PS locales'!G259</f>
        <v>0.23314700000000002</v>
      </c>
      <c r="H99" s="322">
        <f>+'SEP ORIGEN'!H99-'GENERADO PS locales'!H259</f>
        <v>1.8928208000000002</v>
      </c>
      <c r="I99" s="322">
        <f>+'SEP ORIGEN'!I99-'GENERADO PS locales'!I259</f>
        <v>3.601032</v>
      </c>
      <c r="J99" s="322">
        <f>+'SEP ORIGEN'!J99-'GENERADO PS locales'!J259</f>
        <v>6.0881100000000004</v>
      </c>
      <c r="K99" s="322">
        <f>+'SEP ORIGEN'!K99-'GENERADO PS locales'!K259</f>
        <v>8.6446710000000007</v>
      </c>
      <c r="L99" s="322">
        <f>+'SEP ORIGEN'!L99-'GENERADO PS locales'!L259</f>
        <v>8.7656170000000007</v>
      </c>
      <c r="M99" s="322">
        <f>+'SEP ORIGEN'!M99-'GENERADO PS locales'!M259</f>
        <v>8.8869340000000001</v>
      </c>
      <c r="N99" s="322">
        <f>+'SEP ORIGEN'!N99-'GENERADO PS locales'!N259</f>
        <v>9.0082509999999996</v>
      </c>
      <c r="O99" s="322">
        <f>+'SEP ORIGEN'!O99-'GENERADO PS locales'!O259</f>
        <v>9.1291969999999996</v>
      </c>
      <c r="P99" s="322">
        <f>+'SEP ORIGEN'!P99-'GENERADO PS locales'!P259</f>
        <v>9.2505140000000008</v>
      </c>
      <c r="Q99" s="322">
        <f>+'SEP ORIGEN'!Q99-'GENERADO PS locales'!Q259</f>
        <v>9.371459999999999</v>
      </c>
      <c r="R99" s="322">
        <f>+'SEP ORIGEN'!R99-'GENERADO PS locales'!R259</f>
        <v>9.4927770000000002</v>
      </c>
      <c r="S99" s="322">
        <f>+'SEP ORIGEN'!S99-'GENERADO PS locales'!S259</f>
        <v>9.6137230000000002</v>
      </c>
      <c r="T99" s="322">
        <f>+'SEP ORIGEN'!T99-'GENERADO PS locales'!T259</f>
        <v>9.7350399999999997</v>
      </c>
      <c r="U99" s="322">
        <f>+'SEP ORIGEN'!U99-'GENERADO PS locales'!U259</f>
        <v>9.8559859999999997</v>
      </c>
      <c r="V99" s="322">
        <f>+'SEP ORIGEN'!V99-'GENERADO PS locales'!V259</f>
        <v>9.9773030000000009</v>
      </c>
      <c r="W99" s="322">
        <f>+'SEP ORIGEN'!W99-'GENERADO PS locales'!W259</f>
        <v>10.098249000000001</v>
      </c>
      <c r="X99" s="322">
        <f>+'SEP ORIGEN'!X99-'GENERADO PS locales'!X259</f>
        <v>10.219566</v>
      </c>
      <c r="Y99" s="322">
        <f>+'SEP ORIGEN'!Y99-'GENERADO PS locales'!Y259</f>
        <v>10.340883</v>
      </c>
      <c r="Z99" s="322">
        <f>+'SEP ORIGEN'!Z99-'GENERADO PS locales'!Z259</f>
        <v>10.461829000000002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38">
        <f>+'SEP ORIGEN'!P100</f>
        <v>9.5985119999999995</v>
      </c>
      <c r="E100" s="278"/>
      <c r="F100" s="263"/>
      <c r="G100" s="322">
        <f>+'SEP ORIGEN'!G100-'GENERADO PS locales'!G260</f>
        <v>0.22523940000000003</v>
      </c>
      <c r="H100" s="322">
        <f>+'SEP ORIGEN'!H100-'GENERADO PS locales'!H260</f>
        <v>1.8427888000000001</v>
      </c>
      <c r="I100" s="322">
        <f>+'SEP ORIGEN'!I100-'GENERADO PS locales'!I260</f>
        <v>3.5329799999999998</v>
      </c>
      <c r="J100" s="322">
        <f>+'SEP ORIGEN'!J100-'GENERADO PS locales'!J260</f>
        <v>6.0197400000000005</v>
      </c>
      <c r="K100" s="322">
        <f>+'SEP ORIGEN'!K100-'GENERADO PS locales'!K260</f>
        <v>8.6149909999999998</v>
      </c>
      <c r="L100" s="322">
        <f>+'SEP ORIGEN'!L100-'GENERADO PS locales'!L260</f>
        <v>8.8053139999999992</v>
      </c>
      <c r="M100" s="322">
        <f>+'SEP ORIGEN'!M100-'GENERADO PS locales'!M260</f>
        <v>8.998975999999999</v>
      </c>
      <c r="N100" s="322">
        <f>+'SEP ORIGEN'!N100-'GENERADO PS locales'!N260</f>
        <v>9.1956059999999997</v>
      </c>
      <c r="O100" s="322">
        <f>+'SEP ORIGEN'!O100-'GENERADO PS locales'!O260</f>
        <v>9.3955749999999991</v>
      </c>
      <c r="P100" s="322">
        <f>+'SEP ORIGEN'!P100-'GENERADO PS locales'!P260</f>
        <v>9.5985119999999995</v>
      </c>
      <c r="Q100" s="322">
        <f>+'SEP ORIGEN'!Q100-'GENERADO PS locales'!Q260</f>
        <v>9.8047880000000003</v>
      </c>
      <c r="R100" s="322">
        <f>+'SEP ORIGEN'!R100-'GENERADO PS locales'!R260</f>
        <v>10.015144999999999</v>
      </c>
      <c r="S100" s="322">
        <f>+'SEP ORIGEN'!S100-'GENERADO PS locales'!S260</f>
        <v>10.228099</v>
      </c>
      <c r="T100" s="322">
        <f>+'SEP ORIGEN'!T100-'GENERADO PS locales'!T260</f>
        <v>10.444762999999998</v>
      </c>
      <c r="U100" s="322">
        <f>+'SEP ORIGEN'!U100-'GENERADO PS locales'!U260</f>
        <v>10.665137000000001</v>
      </c>
      <c r="V100" s="322">
        <f>+'SEP ORIGEN'!V100-'GENERADO PS locales'!V260</f>
        <v>10.88885</v>
      </c>
      <c r="W100" s="322">
        <f>+'SEP ORIGEN'!W100-'GENERADO PS locales'!W260</f>
        <v>11.116273000000001</v>
      </c>
      <c r="X100" s="322">
        <f>+'SEP ORIGEN'!X100-'GENERADO PS locales'!X260</f>
        <v>11.347405999999999</v>
      </c>
      <c r="Y100" s="322">
        <f>+'SEP ORIGEN'!Y100-'GENERADO PS locales'!Y260</f>
        <v>11.582248999999999</v>
      </c>
      <c r="Z100" s="322">
        <f>+'SEP ORIGEN'!Z100-'GENERADO PS locales'!Z260</f>
        <v>11.821173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38">
        <f>+'SEP ORIGEN'!P101</f>
        <v>7.1246840000000002</v>
      </c>
      <c r="E101" s="278"/>
      <c r="F101" s="263"/>
      <c r="G101" s="322">
        <f>+'SEP ORIGEN'!G101-'GENERADO PS locales'!G261</f>
        <v>0.17797400000000005</v>
      </c>
      <c r="H101" s="322">
        <f>+'SEP ORIGEN'!H101-'GENERADO PS locales'!H261</f>
        <v>1.4452464</v>
      </c>
      <c r="I101" s="322">
        <f>+'SEP ORIGEN'!I101-'GENERADO PS locales'!I261</f>
        <v>2.7505410000000001</v>
      </c>
      <c r="J101" s="322">
        <f>+'SEP ORIGEN'!J101-'GENERADO PS locales'!J261</f>
        <v>4.6531349999999998</v>
      </c>
      <c r="K101" s="322">
        <f>+'SEP ORIGEN'!K101-'GENERADO PS locales'!K261</f>
        <v>6.6123329999999996</v>
      </c>
      <c r="L101" s="322">
        <f>+'SEP ORIGEN'!L101-'GENERADO PS locales'!L261</f>
        <v>6.7117610000000001</v>
      </c>
      <c r="M101" s="322">
        <f>+'SEP ORIGEN'!M101-'GENERADO PS locales'!M261</f>
        <v>6.8126730000000002</v>
      </c>
      <c r="N101" s="322">
        <f>+'SEP ORIGEN'!N101-'GENERADO PS locales'!N261</f>
        <v>6.915068999999999</v>
      </c>
      <c r="O101" s="322">
        <f>+'SEP ORIGEN'!O101-'GENERADO PS locales'!O261</f>
        <v>7.0189489999999992</v>
      </c>
      <c r="P101" s="322">
        <f>+'SEP ORIGEN'!P101-'GENERADO PS locales'!P261</f>
        <v>7.1246840000000002</v>
      </c>
      <c r="Q101" s="322">
        <f>+'SEP ORIGEN'!Q101-'GENERADO PS locales'!Q261</f>
        <v>7.231903</v>
      </c>
      <c r="R101" s="322">
        <f>+'SEP ORIGEN'!R101-'GENERADO PS locales'!R261</f>
        <v>7.3406059999999993</v>
      </c>
      <c r="S101" s="322">
        <f>+'SEP ORIGEN'!S101-'GENERADO PS locales'!S261</f>
        <v>7.450793</v>
      </c>
      <c r="T101" s="322">
        <f>+'SEP ORIGEN'!T101-'GENERADO PS locales'!T261</f>
        <v>7.5628350000000006</v>
      </c>
      <c r="U101" s="322">
        <f>+'SEP ORIGEN'!U101-'GENERADO PS locales'!U261</f>
        <v>7.6767320000000003</v>
      </c>
      <c r="V101" s="322">
        <f>+'SEP ORIGEN'!V101-'GENERADO PS locales'!V261</f>
        <v>7.7921130000000005</v>
      </c>
      <c r="W101" s="322">
        <f>+'SEP ORIGEN'!W101-'GENERADO PS locales'!W261</f>
        <v>7.9093489999999997</v>
      </c>
      <c r="X101" s="322">
        <f>+'SEP ORIGEN'!X101-'GENERADO PS locales'!X261</f>
        <v>8.0280689999999986</v>
      </c>
      <c r="Y101" s="322">
        <f>+'SEP ORIGEN'!Y101-'GENERADO PS locales'!Y261</f>
        <v>8.1486439999999991</v>
      </c>
      <c r="Z101" s="322">
        <f>+'SEP ORIGEN'!Z101-'GENERADO PS locales'!Z261</f>
        <v>8.2714449999999999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38">
        <f>+'SEP ORIGEN'!P102</f>
        <v>42.720405</v>
      </c>
      <c r="E102" s="278"/>
      <c r="F102" s="263"/>
      <c r="G102" s="322">
        <f>+'SEP ORIGEN'!G102-'GENERADO PS locales'!G262</f>
        <v>1.1077098000000001</v>
      </c>
      <c r="H102" s="322">
        <f>+'SEP ORIGEN'!H102-'GENERADO PS locales'!H262</f>
        <v>8.9556000000000004</v>
      </c>
      <c r="I102" s="322">
        <f>+'SEP ORIGEN'!I102-'GENERADO PS locales'!I262</f>
        <v>16.970912999999999</v>
      </c>
      <c r="J102" s="322">
        <f>+'SEP ORIGEN'!J102-'GENERADO PS locales'!J262</f>
        <v>28.588049999999999</v>
      </c>
      <c r="K102" s="322">
        <f>+'SEP ORIGEN'!K102-'GENERADO PS locales'!K262</f>
        <v>40.454882999999995</v>
      </c>
      <c r="L102" s="322">
        <f>+'SEP ORIGEN'!L102-'GENERADO PS locales'!L262</f>
        <v>40.893636000000001</v>
      </c>
      <c r="M102" s="322">
        <f>+'SEP ORIGEN'!M102-'GENERADO PS locales'!M262</f>
        <v>41.339171999999998</v>
      </c>
      <c r="N102" s="322">
        <f>+'SEP ORIGEN'!N102-'GENERADO PS locales'!N262</f>
        <v>41.792204999999996</v>
      </c>
      <c r="O102" s="322">
        <f>+'SEP ORIGEN'!O102-'GENERADO PS locales'!O262</f>
        <v>42.252735000000001</v>
      </c>
      <c r="P102" s="322">
        <f>+'SEP ORIGEN'!P102-'GENERADO PS locales'!P262</f>
        <v>42.720405</v>
      </c>
      <c r="Q102" s="322">
        <f>+'SEP ORIGEN'!Q102-'GENERADO PS locales'!Q262</f>
        <v>43.195571999999999</v>
      </c>
      <c r="R102" s="322">
        <f>+'SEP ORIGEN'!R102-'GENERADO PS locales'!R262</f>
        <v>43.678949999999993</v>
      </c>
      <c r="S102" s="322">
        <f>+'SEP ORIGEN'!S102-'GENERADO PS locales'!S262</f>
        <v>44.170181999999997</v>
      </c>
      <c r="T102" s="322">
        <f>+'SEP ORIGEN'!T102-'GENERADO PS locales'!T262</f>
        <v>44.668911000000001</v>
      </c>
      <c r="U102" s="322">
        <f>+'SEP ORIGEN'!U102-'GENERADO PS locales'!U262</f>
        <v>45.176565000000004</v>
      </c>
      <c r="V102" s="322">
        <f>+'SEP ORIGEN'!V102-'GENERADO PS locales'!V262</f>
        <v>45.691716</v>
      </c>
      <c r="W102" s="322">
        <f>+'SEP ORIGEN'!W102-'GENERADO PS locales'!W262</f>
        <v>46.216149000000001</v>
      </c>
      <c r="X102" s="322">
        <f>+'SEP ORIGEN'!X102-'GENERADO PS locales'!X262</f>
        <v>46.748435999999998</v>
      </c>
      <c r="Y102" s="322">
        <f>+'SEP ORIGEN'!Y102-'GENERADO PS locales'!Y262</f>
        <v>47.289291000000006</v>
      </c>
      <c r="Z102" s="322">
        <f>+'SEP ORIGEN'!Z102-'GENERADO PS locales'!Z262</f>
        <v>47.839428000000005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38">
        <f>+'SEP ORIGEN'!P103</f>
        <v>38.798759999999994</v>
      </c>
      <c r="E103" s="278"/>
      <c r="F103" s="263"/>
      <c r="G103" s="322">
        <f>+'SEP ORIGEN'!G103-'GENERADO PS locales'!G263</f>
        <v>1.0346063999999999</v>
      </c>
      <c r="H103" s="322">
        <f>+'SEP ORIGEN'!H103-'GENERADO PS locales'!H263</f>
        <v>8.3405807999999997</v>
      </c>
      <c r="I103" s="322">
        <f>+'SEP ORIGEN'!I103-'GENERADO PS locales'!I263</f>
        <v>15.759</v>
      </c>
      <c r="J103" s="322">
        <f>+'SEP ORIGEN'!J103-'GENERADO PS locales'!J263</f>
        <v>26.467214999999999</v>
      </c>
      <c r="K103" s="322">
        <f>+'SEP ORIGEN'!K103-'GENERADO PS locales'!K263</f>
        <v>37.339343999999997</v>
      </c>
      <c r="L103" s="322">
        <f>+'SEP ORIGEN'!L103-'GENERADO PS locales'!L263</f>
        <v>37.626728999999997</v>
      </c>
      <c r="M103" s="322">
        <f>+'SEP ORIGEN'!M103-'GENERADO PS locales'!M263</f>
        <v>37.916255999999997</v>
      </c>
      <c r="N103" s="322">
        <f>+'SEP ORIGEN'!N103-'GENERADO PS locales'!N263</f>
        <v>38.208281999999997</v>
      </c>
      <c r="O103" s="322">
        <f>+'SEP ORIGEN'!O103-'GENERADO PS locales'!O263</f>
        <v>38.502449999999996</v>
      </c>
      <c r="P103" s="322">
        <f>+'SEP ORIGEN'!P103-'GENERADO PS locales'!P263</f>
        <v>38.798759999999994</v>
      </c>
      <c r="Q103" s="322">
        <f>+'SEP ORIGEN'!Q103-'GENERADO PS locales'!Q263</f>
        <v>39.097211999999999</v>
      </c>
      <c r="R103" s="322">
        <f>+'SEP ORIGEN'!R103-'GENERADO PS locales'!R263</f>
        <v>39.398162999999997</v>
      </c>
      <c r="S103" s="322">
        <f>+'SEP ORIGEN'!S103-'GENERADO PS locales'!S263</f>
        <v>39.701613000000002</v>
      </c>
      <c r="T103" s="322">
        <f>+'SEP ORIGEN'!T103-'GENERADO PS locales'!T263</f>
        <v>40.007204999999999</v>
      </c>
      <c r="U103" s="322">
        <f>+'SEP ORIGEN'!U103-'GENERADO PS locales'!U263</f>
        <v>40.314938999999995</v>
      </c>
      <c r="V103" s="322">
        <f>+'SEP ORIGEN'!V103-'GENERADO PS locales'!V263</f>
        <v>40.625529</v>
      </c>
      <c r="W103" s="322">
        <f>+'SEP ORIGEN'!W103-'GENERADO PS locales'!W263</f>
        <v>40.938261000000004</v>
      </c>
      <c r="X103" s="322">
        <f>+'SEP ORIGEN'!X103-'GENERADO PS locales'!X263</f>
        <v>41.253135</v>
      </c>
      <c r="Y103" s="322">
        <f>+'SEP ORIGEN'!Y103-'GENERADO PS locales'!Y263</f>
        <v>41.570865000000005</v>
      </c>
      <c r="Z103" s="322">
        <f>+'SEP ORIGEN'!Z103-'GENERADO PS locales'!Z263</f>
        <v>41.890737000000001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38">
        <f>+'SEP ORIGEN'!P104</f>
        <v>12.127619000000001</v>
      </c>
      <c r="E104" s="278"/>
      <c r="F104" s="263"/>
      <c r="G104" s="322">
        <f>+'SEP ORIGEN'!G104-'GENERADO PS locales'!G264</f>
        <v>0.2940122</v>
      </c>
      <c r="H104" s="322">
        <f>+'SEP ORIGEN'!H104-'GENERADO PS locales'!H264</f>
        <v>2.3958544000000002</v>
      </c>
      <c r="I104" s="322">
        <f>+'SEP ORIGEN'!I104-'GENERADO PS locales'!I264</f>
        <v>4.5753840000000006</v>
      </c>
      <c r="J104" s="322">
        <f>+'SEP ORIGEN'!J104-'GENERADO PS locales'!J264</f>
        <v>7.7666200000000005</v>
      </c>
      <c r="K104" s="322">
        <f>+'SEP ORIGEN'!K104-'GENERADO PS locales'!K264</f>
        <v>11.073979</v>
      </c>
      <c r="L104" s="322">
        <f>+'SEP ORIGEN'!L104-'GENERADO PS locales'!L264</f>
        <v>11.278029</v>
      </c>
      <c r="M104" s="322">
        <f>+'SEP ORIGEN'!M104-'GENERADO PS locales'!M264</f>
        <v>11.485417999999999</v>
      </c>
      <c r="N104" s="322">
        <f>+'SEP ORIGEN'!N104-'GENERADO PS locales'!N264</f>
        <v>11.695774999999999</v>
      </c>
      <c r="O104" s="322">
        <f>+'SEP ORIGEN'!O104-'GENERADO PS locales'!O264</f>
        <v>11.909841999999999</v>
      </c>
      <c r="P104" s="322">
        <f>+'SEP ORIGEN'!P104-'GENERADO PS locales'!P264</f>
        <v>12.127619000000001</v>
      </c>
      <c r="Q104" s="322">
        <f>+'SEP ORIGEN'!Q104-'GENERADO PS locales'!Q264</f>
        <v>12.348735</v>
      </c>
      <c r="R104" s="322">
        <f>+'SEP ORIGEN'!R104-'GENERADO PS locales'!R264</f>
        <v>12.573560999999998</v>
      </c>
      <c r="S104" s="322">
        <f>+'SEP ORIGEN'!S104-'GENERADO PS locales'!S264</f>
        <v>12.801726</v>
      </c>
      <c r="T104" s="322">
        <f>+'SEP ORIGEN'!T104-'GENERADO PS locales'!T264</f>
        <v>13.033971999999999</v>
      </c>
      <c r="U104" s="322">
        <f>+'SEP ORIGEN'!U104-'GENERADO PS locales'!U264</f>
        <v>13.269927999999998</v>
      </c>
      <c r="V104" s="322">
        <f>+'SEP ORIGEN'!V104-'GENERADO PS locales'!V264</f>
        <v>13.509594</v>
      </c>
      <c r="W104" s="322">
        <f>+'SEP ORIGEN'!W104-'GENERADO PS locales'!W264</f>
        <v>13.753340999999999</v>
      </c>
      <c r="X104" s="322">
        <f>+'SEP ORIGEN'!X104-'GENERADO PS locales'!X264</f>
        <v>14.000798</v>
      </c>
      <c r="Y104" s="322">
        <f>+'SEP ORIGEN'!Y104-'GENERADO PS locales'!Y264</f>
        <v>14.252706999999999</v>
      </c>
      <c r="Z104" s="322">
        <f>+'SEP ORIGEN'!Z104-'GENERADO PS locales'!Z264</f>
        <v>14.508325999999999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38">
        <f>+'SEP ORIGEN'!P105</f>
        <v>13.566728000000001</v>
      </c>
      <c r="E105" s="278"/>
      <c r="F105" s="263"/>
      <c r="G105" s="322">
        <f>+'SEP ORIGEN'!G105-'GENERADO PS locales'!G265</f>
        <v>0.36830760000000007</v>
      </c>
      <c r="H105" s="322">
        <f>+'SEP ORIGEN'!H105-'GENERADO PS locales'!H265</f>
        <v>2.9636752000000004</v>
      </c>
      <c r="I105" s="322">
        <f>+'SEP ORIGEN'!I105-'GENERADO PS locales'!I265</f>
        <v>5.5890089999999999</v>
      </c>
      <c r="J105" s="322">
        <f>+'SEP ORIGEN'!J105-'GENERADO PS locales'!J265</f>
        <v>9.3688100000000016</v>
      </c>
      <c r="K105" s="322">
        <f>+'SEP ORIGEN'!K105-'GENERADO PS locales'!K265</f>
        <v>13.191276</v>
      </c>
      <c r="L105" s="322">
        <f>+'SEP ORIGEN'!L105-'GENERADO PS locales'!L265</f>
        <v>13.266218</v>
      </c>
      <c r="M105" s="322">
        <f>+'SEP ORIGEN'!M105-'GENERADO PS locales'!M265</f>
        <v>13.341531000000002</v>
      </c>
      <c r="N105" s="322">
        <f>+'SEP ORIGEN'!N105-'GENERADO PS locales'!N265</f>
        <v>13.416473</v>
      </c>
      <c r="O105" s="322">
        <f>+'SEP ORIGEN'!O105-'GENERADO PS locales'!O265</f>
        <v>13.491415</v>
      </c>
      <c r="P105" s="322">
        <f>+'SEP ORIGEN'!P105-'GENERADO PS locales'!P265</f>
        <v>13.566728000000001</v>
      </c>
      <c r="Q105" s="322">
        <f>+'SEP ORIGEN'!Q105-'GENERADO PS locales'!Q265</f>
        <v>13.641670000000001</v>
      </c>
      <c r="R105" s="322">
        <f>+'SEP ORIGEN'!R105-'GENERADO PS locales'!R265</f>
        <v>13.716983000000001</v>
      </c>
      <c r="S105" s="322">
        <f>+'SEP ORIGEN'!S105-'GENERADO PS locales'!S265</f>
        <v>13.791925000000001</v>
      </c>
      <c r="T105" s="322">
        <f>+'SEP ORIGEN'!T105-'GENERADO PS locales'!T265</f>
        <v>13.866867000000001</v>
      </c>
      <c r="U105" s="322">
        <f>+'SEP ORIGEN'!U105-'GENERADO PS locales'!U265</f>
        <v>13.94218</v>
      </c>
      <c r="V105" s="322">
        <f>+'SEP ORIGEN'!V105-'GENERADO PS locales'!V265</f>
        <v>14.017122000000001</v>
      </c>
      <c r="W105" s="322">
        <f>+'SEP ORIGEN'!W105-'GENERADO PS locales'!W265</f>
        <v>14.092434999999998</v>
      </c>
      <c r="X105" s="322">
        <f>+'SEP ORIGEN'!X105-'GENERADO PS locales'!X265</f>
        <v>14.167376999999998</v>
      </c>
      <c r="Y105" s="322">
        <f>+'SEP ORIGEN'!Y105-'GENERADO PS locales'!Y265</f>
        <v>14.242319</v>
      </c>
      <c r="Z105" s="322">
        <f>+'SEP ORIGEN'!Z105-'GENERADO PS locales'!Z265</f>
        <v>14.317632000000001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38">
        <f>+'SEP ORIGEN'!P106</f>
        <v>1.8991559999999996</v>
      </c>
      <c r="E106" s="278"/>
      <c r="F106" s="263"/>
      <c r="G106" s="322">
        <f>+'SEP ORIGEN'!G106-'GENERADO PS locales'!G266</f>
        <v>5.1869600000000002E-2</v>
      </c>
      <c r="H106" s="322">
        <f>+'SEP ORIGEN'!H106-'GENERADO PS locales'!H266</f>
        <v>0.41709120000000005</v>
      </c>
      <c r="I106" s="322">
        <f>+'SEP ORIGEN'!I106-'GENERADO PS locales'!I266</f>
        <v>0.78604800000000008</v>
      </c>
      <c r="J106" s="322">
        <f>+'SEP ORIGEN'!J106-'GENERADO PS locales'!J266</f>
        <v>1.3167500000000001</v>
      </c>
      <c r="K106" s="322">
        <f>+'SEP ORIGEN'!K106-'GENERADO PS locales'!K266</f>
        <v>1.8527879999999999</v>
      </c>
      <c r="L106" s="322">
        <f>+'SEP ORIGEN'!L106-'GENERADO PS locales'!L266</f>
        <v>1.8621260000000002</v>
      </c>
      <c r="M106" s="322">
        <f>+'SEP ORIGEN'!M106-'GENERADO PS locales'!M266</f>
        <v>1.8711419999999999</v>
      </c>
      <c r="N106" s="322">
        <f>+'SEP ORIGEN'!N106-'GENERADO PS locales'!N266</f>
        <v>1.8804799999999997</v>
      </c>
      <c r="O106" s="322">
        <f>+'SEP ORIGEN'!O106-'GENERADO PS locales'!O266</f>
        <v>1.889818</v>
      </c>
      <c r="P106" s="322">
        <f>+'SEP ORIGEN'!P106-'GENERADO PS locales'!P266</f>
        <v>1.8991559999999996</v>
      </c>
      <c r="Q106" s="322">
        <f>+'SEP ORIGEN'!Q106-'GENERADO PS locales'!Q266</f>
        <v>1.9084939999999999</v>
      </c>
      <c r="R106" s="322">
        <f>+'SEP ORIGEN'!R106-'GENERADO PS locales'!R266</f>
        <v>1.9178320000000002</v>
      </c>
      <c r="S106" s="322">
        <f>+'SEP ORIGEN'!S106-'GENERADO PS locales'!S266</f>
        <v>1.9271699999999998</v>
      </c>
      <c r="T106" s="322">
        <f>+'SEP ORIGEN'!T106-'GENERADO PS locales'!T266</f>
        <v>1.9365080000000001</v>
      </c>
      <c r="U106" s="322">
        <f>+'SEP ORIGEN'!U106-'GENERADO PS locales'!U266</f>
        <v>1.945846</v>
      </c>
      <c r="V106" s="322">
        <f>+'SEP ORIGEN'!V106-'GENERADO PS locales'!V266</f>
        <v>1.9551840000000003</v>
      </c>
      <c r="W106" s="322">
        <f>+'SEP ORIGEN'!W106-'GENERADO PS locales'!W266</f>
        <v>1.9641999999999999</v>
      </c>
      <c r="X106" s="322">
        <f>+'SEP ORIGEN'!X106-'GENERADO PS locales'!X266</f>
        <v>1.9735379999999998</v>
      </c>
      <c r="Y106" s="322">
        <f>+'SEP ORIGEN'!Y106-'GENERADO PS locales'!Y266</f>
        <v>1.9828760000000001</v>
      </c>
      <c r="Z106" s="322">
        <f>+'SEP ORIGEN'!Z106-'GENERADO PS locales'!Z266</f>
        <v>1.9922139999999997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38">
        <f>+'SEP ORIGEN'!P107</f>
        <v>38.319309000000004</v>
      </c>
      <c r="E107" s="278"/>
      <c r="F107" s="263"/>
      <c r="G107" s="322">
        <f>+'SEP ORIGEN'!G107-'GENERADO PS locales'!G267</f>
        <v>1.036116</v>
      </c>
      <c r="H107" s="322">
        <f>+'SEP ORIGEN'!H107-'GENERADO PS locales'!H267</f>
        <v>8.341152000000001</v>
      </c>
      <c r="I107" s="322">
        <f>+'SEP ORIGEN'!I107-'GENERADO PS locales'!I267</f>
        <v>15.737579999999998</v>
      </c>
      <c r="J107" s="322">
        <f>+'SEP ORIGEN'!J107-'GENERADO PS locales'!J267</f>
        <v>26.392244999999999</v>
      </c>
      <c r="K107" s="322">
        <f>+'SEP ORIGEN'!K107-'GENERADO PS locales'!K267</f>
        <v>37.177622999999997</v>
      </c>
      <c r="L107" s="322">
        <f>+'SEP ORIGEN'!L107-'GENERADO PS locales'!L267</f>
        <v>37.406103000000002</v>
      </c>
      <c r="M107" s="322">
        <f>+'SEP ORIGEN'!M107-'GENERADO PS locales'!M267</f>
        <v>37.634225999999998</v>
      </c>
      <c r="N107" s="322">
        <f>+'SEP ORIGEN'!N107-'GENERADO PS locales'!N267</f>
        <v>37.862706000000003</v>
      </c>
      <c r="O107" s="322">
        <f>+'SEP ORIGEN'!O107-'GENERADO PS locales'!O267</f>
        <v>38.091186</v>
      </c>
      <c r="P107" s="322">
        <f>+'SEP ORIGEN'!P107-'GENERADO PS locales'!P267</f>
        <v>38.319309000000004</v>
      </c>
      <c r="Q107" s="322">
        <f>+'SEP ORIGEN'!Q107-'GENERADO PS locales'!Q267</f>
        <v>38.547789000000002</v>
      </c>
      <c r="R107" s="322">
        <f>+'SEP ORIGEN'!R107-'GENERADO PS locales'!R267</f>
        <v>38.776268999999999</v>
      </c>
      <c r="S107" s="322">
        <f>+'SEP ORIGEN'!S107-'GENERADO PS locales'!S267</f>
        <v>39.004391999999996</v>
      </c>
      <c r="T107" s="322">
        <f>+'SEP ORIGEN'!T107-'GENERADO PS locales'!T267</f>
        <v>39.232871999999993</v>
      </c>
      <c r="U107" s="322">
        <f>+'SEP ORIGEN'!U107-'GENERADO PS locales'!U267</f>
        <v>39.461351999999998</v>
      </c>
      <c r="V107" s="322">
        <f>+'SEP ORIGEN'!V107-'GENERADO PS locales'!V267</f>
        <v>39.689474999999995</v>
      </c>
      <c r="W107" s="322">
        <f>+'SEP ORIGEN'!W107-'GENERADO PS locales'!W267</f>
        <v>39.917954999999999</v>
      </c>
      <c r="X107" s="322">
        <f>+'SEP ORIGEN'!X107-'GENERADO PS locales'!X267</f>
        <v>40.146435000000004</v>
      </c>
      <c r="Y107" s="322">
        <f>+'SEP ORIGEN'!Y107-'GENERADO PS locales'!Y267</f>
        <v>40.374558</v>
      </c>
      <c r="Z107" s="322">
        <f>+'SEP ORIGEN'!Z107-'GENERADO PS locales'!Z267</f>
        <v>40.603038000000005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38">
        <f>+'SEP ORIGEN'!P108</f>
        <v>1.3369439999999999</v>
      </c>
      <c r="E108" s="278"/>
      <c r="F108" s="263"/>
      <c r="G108" s="322">
        <f>+'SEP ORIGEN'!G108-'GENERADO PS locales'!G268</f>
        <v>3.1832000000000006E-2</v>
      </c>
      <c r="H108" s="322">
        <f>+'SEP ORIGEN'!H108-'GENERADO PS locales'!H268</f>
        <v>0.25988159999999999</v>
      </c>
      <c r="I108" s="322">
        <f>+'SEP ORIGEN'!I108-'GENERADO PS locales'!I268</f>
        <v>0.49721399999999999</v>
      </c>
      <c r="J108" s="322">
        <f>+'SEP ORIGEN'!J108-'GENERADO PS locales'!J268</f>
        <v>0.84571000000000007</v>
      </c>
      <c r="K108" s="322">
        <f>+'SEP ORIGEN'!K108-'GENERADO PS locales'!K268</f>
        <v>1.2081440000000001</v>
      </c>
      <c r="L108" s="322">
        <f>+'SEP ORIGEN'!L108-'GENERADO PS locales'!L268</f>
        <v>1.2329380000000001</v>
      </c>
      <c r="M108" s="322">
        <f>+'SEP ORIGEN'!M108-'GENERADO PS locales'!M268</f>
        <v>1.258054</v>
      </c>
      <c r="N108" s="322">
        <f>+'SEP ORIGEN'!N108-'GENERADO PS locales'!N268</f>
        <v>1.283814</v>
      </c>
      <c r="O108" s="322">
        <f>+'SEP ORIGEN'!O108-'GENERADO PS locales'!O268</f>
        <v>1.3102179999999999</v>
      </c>
      <c r="P108" s="322">
        <f>+'SEP ORIGEN'!P108-'GENERADO PS locales'!P268</f>
        <v>1.3369439999999999</v>
      </c>
      <c r="Q108" s="322">
        <f>+'SEP ORIGEN'!Q108-'GENERADO PS locales'!Q268</f>
        <v>1.3643139999999998</v>
      </c>
      <c r="R108" s="322">
        <f>+'SEP ORIGEN'!R108-'GENERADO PS locales'!R268</f>
        <v>1.3920060000000001</v>
      </c>
      <c r="S108" s="322">
        <f>+'SEP ORIGEN'!S108-'GENERADO PS locales'!S268</f>
        <v>1.4206639999999997</v>
      </c>
      <c r="T108" s="322">
        <f>+'SEP ORIGEN'!T108-'GENERADO PS locales'!T268</f>
        <v>1.4496439999999999</v>
      </c>
      <c r="U108" s="322">
        <f>+'SEP ORIGEN'!U108-'GENERADO PS locales'!U268</f>
        <v>1.479268</v>
      </c>
      <c r="V108" s="322">
        <f>+'SEP ORIGEN'!V108-'GENERADO PS locales'!V268</f>
        <v>1.509536</v>
      </c>
      <c r="W108" s="322">
        <f>+'SEP ORIGEN'!W108-'GENERADO PS locales'!W268</f>
        <v>1.5404479999999998</v>
      </c>
      <c r="X108" s="322">
        <f>+'SEP ORIGEN'!X108-'GENERADO PS locales'!X268</f>
        <v>1.5720040000000002</v>
      </c>
      <c r="Y108" s="322">
        <f>+'SEP ORIGEN'!Y108-'GENERADO PS locales'!Y268</f>
        <v>1.604204</v>
      </c>
      <c r="Z108" s="322">
        <f>+'SEP ORIGEN'!Z108-'GENERADO PS locales'!Z268</f>
        <v>1.6370480000000001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38">
        <f>+'SEP ORIGEN'!P109</f>
        <v>251.64206549999997</v>
      </c>
      <c r="E109" s="278"/>
      <c r="F109" s="263"/>
      <c r="G109" s="322">
        <f>+'SEP ORIGEN'!G109-'GENERADO PS locales'!G269</f>
        <v>6.1181169000000004</v>
      </c>
      <c r="H109" s="322">
        <f>+'SEP ORIGEN'!H109-'GENERADO PS locales'!H269</f>
        <v>49.897418399999999</v>
      </c>
      <c r="I109" s="322">
        <f>+'SEP ORIGEN'!I109-'GENERADO PS locales'!I269</f>
        <v>95.343776999999974</v>
      </c>
      <c r="J109" s="322">
        <f>+'SEP ORIGEN'!J109-'GENERADO PS locales'!J269</f>
        <v>161.88315750000001</v>
      </c>
      <c r="K109" s="322">
        <f>+'SEP ORIGEN'!K109-'GENERADO PS locales'!K269</f>
        <v>230.80402799999996</v>
      </c>
      <c r="L109" s="322">
        <f>+'SEP ORIGEN'!L109-'GENERADO PS locales'!L269</f>
        <v>234.97163549999993</v>
      </c>
      <c r="M109" s="322">
        <f>+'SEP ORIGEN'!M109-'GENERADO PS locales'!M269</f>
        <v>239.13924299999996</v>
      </c>
      <c r="N109" s="322">
        <f>+'SEP ORIGEN'!N109-'GENERADO PS locales'!N269</f>
        <v>243.30685049999997</v>
      </c>
      <c r="O109" s="322">
        <f>+'SEP ORIGEN'!O109-'GENERADO PS locales'!O269</f>
        <v>247.474458</v>
      </c>
      <c r="P109" s="322">
        <f>+'SEP ORIGEN'!P109-'GENERADO PS locales'!P269</f>
        <v>251.64206549999997</v>
      </c>
      <c r="Q109" s="322">
        <f>+'SEP ORIGEN'!Q109-'GENERADO PS locales'!Q269</f>
        <v>255.80967299999995</v>
      </c>
      <c r="R109" s="322">
        <f>+'SEP ORIGEN'!R109-'GENERADO PS locales'!R269</f>
        <v>259.97728050000001</v>
      </c>
      <c r="S109" s="322">
        <f>+'SEP ORIGEN'!S109-'GENERADO PS locales'!S269</f>
        <v>264.14439449999992</v>
      </c>
      <c r="T109" s="322">
        <f>+'SEP ORIGEN'!T109-'GENERADO PS locales'!T269</f>
        <v>268.31200200000001</v>
      </c>
      <c r="U109" s="322">
        <f>+'SEP ORIGEN'!U109-'GENERADO PS locales'!U269</f>
        <v>272.47960949999998</v>
      </c>
      <c r="V109" s="322">
        <f>+'SEP ORIGEN'!V109-'GENERADO PS locales'!V269</f>
        <v>276.64721699999996</v>
      </c>
      <c r="W109" s="322">
        <f>+'SEP ORIGEN'!W109-'GENERADO PS locales'!W269</f>
        <v>280.81482449999993</v>
      </c>
      <c r="X109" s="322">
        <f>+'SEP ORIGEN'!X109-'GENERADO PS locales'!X269</f>
        <v>284.98243199999996</v>
      </c>
      <c r="Y109" s="322">
        <f>+'SEP ORIGEN'!Y109-'GENERADO PS locales'!Y269</f>
        <v>289.15003949999999</v>
      </c>
      <c r="Z109" s="322">
        <f>+'SEP ORIGEN'!Z109-'GENERADO PS locales'!Z269</f>
        <v>293.31764699999997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38">
        <f>+'SEP ORIGEN'!P110</f>
        <v>29.008748999999995</v>
      </c>
      <c r="E110" s="278"/>
      <c r="F110" s="263"/>
      <c r="G110" s="322">
        <f>+'SEP ORIGEN'!G110-'GENERADO PS locales'!G270</f>
        <v>0.66162300000000007</v>
      </c>
      <c r="H110" s="322">
        <f>+'SEP ORIGEN'!H110-'GENERADO PS locales'!H270</f>
        <v>5.4322752000000003</v>
      </c>
      <c r="I110" s="322">
        <f>+'SEP ORIGEN'!I110-'GENERADO PS locales'!I270</f>
        <v>10.450665000000001</v>
      </c>
      <c r="J110" s="322">
        <f>+'SEP ORIGEN'!J110-'GENERADO PS locales'!J270</f>
        <v>17.867084999999999</v>
      </c>
      <c r="K110" s="322">
        <f>+'SEP ORIGEN'!K110-'GENERADO PS locales'!K270</f>
        <v>25.653306000000001</v>
      </c>
      <c r="L110" s="322">
        <f>+'SEP ORIGEN'!L110-'GENERADO PS locales'!L270</f>
        <v>26.302689000000001</v>
      </c>
      <c r="M110" s="322">
        <f>+'SEP ORIGEN'!M110-'GENERADO PS locales'!M270</f>
        <v>26.963139000000002</v>
      </c>
      <c r="N110" s="322">
        <f>+'SEP ORIGEN'!N110-'GENERADO PS locales'!N270</f>
        <v>27.633941999999994</v>
      </c>
      <c r="O110" s="322">
        <f>+'SEP ORIGEN'!O110-'GENERADO PS locales'!O270</f>
        <v>28.315811999999998</v>
      </c>
      <c r="P110" s="322">
        <f>+'SEP ORIGEN'!P110-'GENERADO PS locales'!P270</f>
        <v>29.008748999999995</v>
      </c>
      <c r="Q110" s="322">
        <f>+'SEP ORIGEN'!Q110-'GENERADO PS locales'!Q270</f>
        <v>29.713466999999994</v>
      </c>
      <c r="R110" s="322">
        <f>+'SEP ORIGEN'!R110-'GENERADO PS locales'!R270</f>
        <v>30.429251999999998</v>
      </c>
      <c r="S110" s="322">
        <f>+'SEP ORIGEN'!S110-'GENERADO PS locales'!S270</f>
        <v>31.156817999999998</v>
      </c>
      <c r="T110" s="322">
        <f>+'SEP ORIGEN'!T110-'GENERADO PS locales'!T270</f>
        <v>31.896165</v>
      </c>
      <c r="U110" s="322">
        <f>+'SEP ORIGEN'!U110-'GENERADO PS locales'!U270</f>
        <v>32.648007</v>
      </c>
      <c r="V110" s="322">
        <f>+'SEP ORIGEN'!V110-'GENERADO PS locales'!V270</f>
        <v>33.411629999999995</v>
      </c>
      <c r="W110" s="322">
        <f>+'SEP ORIGEN'!W110-'GENERADO PS locales'!W270</f>
        <v>34.187747999999999</v>
      </c>
      <c r="X110" s="322">
        <f>+'SEP ORIGEN'!X110-'GENERADO PS locales'!X270</f>
        <v>34.976717999999998</v>
      </c>
      <c r="Y110" s="322">
        <f>+'SEP ORIGEN'!Y110-'GENERADO PS locales'!Y270</f>
        <v>35.77854</v>
      </c>
      <c r="Z110" s="322">
        <f>+'SEP ORIGEN'!Z110-'GENERADO PS locales'!Z270</f>
        <v>36.593213999999996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38">
        <f>+'SEP ORIGEN'!P111</f>
        <v>47.479214999999996</v>
      </c>
      <c r="E111" s="278"/>
      <c r="F111" s="263"/>
      <c r="G111" s="322">
        <f>+'SEP ORIGEN'!G111-'GENERADO PS locales'!G271</f>
        <v>1.1623818000000001</v>
      </c>
      <c r="H111" s="322">
        <f>+'SEP ORIGEN'!H111-'GENERADO PS locales'!H271</f>
        <v>9.4716383999999998</v>
      </c>
      <c r="I111" s="322">
        <f>+'SEP ORIGEN'!I111-'GENERADO PS locales'!I271</f>
        <v>18.082916999999998</v>
      </c>
      <c r="J111" s="322">
        <f>+'SEP ORIGEN'!J111-'GENERADO PS locales'!J271</f>
        <v>30.677520000000001</v>
      </c>
      <c r="K111" s="322">
        <f>+'SEP ORIGEN'!K111-'GENERADO PS locales'!K271</f>
        <v>43.703940000000003</v>
      </c>
      <c r="L111" s="322">
        <f>+'SEP ORIGEN'!L111-'GENERADO PS locales'!L271</f>
        <v>44.458994999999994</v>
      </c>
      <c r="M111" s="322">
        <f>+'SEP ORIGEN'!M111-'GENERADO PS locales'!M271</f>
        <v>45.214049999999993</v>
      </c>
      <c r="N111" s="322">
        <f>+'SEP ORIGEN'!N111-'GENERADO PS locales'!N271</f>
        <v>45.969104999999992</v>
      </c>
      <c r="O111" s="322">
        <f>+'SEP ORIGEN'!O111-'GENERADO PS locales'!O271</f>
        <v>46.724159999999998</v>
      </c>
      <c r="P111" s="322">
        <f>+'SEP ORIGEN'!P111-'GENERADO PS locales'!P271</f>
        <v>47.479214999999996</v>
      </c>
      <c r="Q111" s="322">
        <f>+'SEP ORIGEN'!Q111-'GENERADO PS locales'!Q271</f>
        <v>48.234270000000002</v>
      </c>
      <c r="R111" s="322">
        <f>+'SEP ORIGEN'!R111-'GENERADO PS locales'!R271</f>
        <v>48.989325000000001</v>
      </c>
      <c r="S111" s="322">
        <f>+'SEP ORIGEN'!S111-'GENERADO PS locales'!S271</f>
        <v>49.744737000000001</v>
      </c>
      <c r="T111" s="322">
        <f>+'SEP ORIGEN'!T111-'GENERADO PS locales'!T271</f>
        <v>50.499791999999999</v>
      </c>
      <c r="U111" s="322">
        <f>+'SEP ORIGEN'!U111-'GENERADO PS locales'!U271</f>
        <v>51.254847000000005</v>
      </c>
      <c r="V111" s="322">
        <f>+'SEP ORIGEN'!V111-'GENERADO PS locales'!V271</f>
        <v>52.009901999999997</v>
      </c>
      <c r="W111" s="322">
        <f>+'SEP ORIGEN'!W111-'GENERADO PS locales'!W271</f>
        <v>52.764956999999988</v>
      </c>
      <c r="X111" s="322">
        <f>+'SEP ORIGEN'!X111-'GENERADO PS locales'!X271</f>
        <v>53.520012000000001</v>
      </c>
      <c r="Y111" s="322">
        <f>+'SEP ORIGEN'!Y111-'GENERADO PS locales'!Y271</f>
        <v>54.275066999999993</v>
      </c>
      <c r="Z111" s="322">
        <f>+'SEP ORIGEN'!Z111-'GENERADO PS locales'!Z271</f>
        <v>55.030122000000006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38">
        <f>+'SEP ORIGEN'!P112</f>
        <v>1.7967599999999999</v>
      </c>
      <c r="E112" s="278"/>
      <c r="F112" s="263"/>
      <c r="G112" s="322">
        <f>+'SEP ORIGEN'!G112-'GENERADO PS locales'!G272</f>
        <v>4.65888E-2</v>
      </c>
      <c r="H112" s="322">
        <f>+'SEP ORIGEN'!H112-'GENERADO PS locales'!H272</f>
        <v>0.37609599999999999</v>
      </c>
      <c r="I112" s="322">
        <f>+'SEP ORIGEN'!I112-'GENERADO PS locales'!I272</f>
        <v>0.71152800000000005</v>
      </c>
      <c r="J112" s="322">
        <f>+'SEP ORIGEN'!J112-'GENERADO PS locales'!J272</f>
        <v>1.1962300000000001</v>
      </c>
      <c r="K112" s="322">
        <f>+'SEP ORIGEN'!K112-'GENERADO PS locales'!K272</f>
        <v>1.6895339999999999</v>
      </c>
      <c r="L112" s="322">
        <f>+'SEP ORIGEN'!L112-'GENERADO PS locales'!L272</f>
        <v>1.7111080000000001</v>
      </c>
      <c r="M112" s="322">
        <f>+'SEP ORIGEN'!M112-'GENERADO PS locales'!M272</f>
        <v>1.7323599999999999</v>
      </c>
      <c r="N112" s="322">
        <f>+'SEP ORIGEN'!N112-'GENERADO PS locales'!N272</f>
        <v>1.7539339999999999</v>
      </c>
      <c r="O112" s="322">
        <f>+'SEP ORIGEN'!O112-'GENERADO PS locales'!O272</f>
        <v>1.7755080000000001</v>
      </c>
      <c r="P112" s="322">
        <f>+'SEP ORIGEN'!P112-'GENERADO PS locales'!P272</f>
        <v>1.7967599999999999</v>
      </c>
      <c r="Q112" s="322">
        <f>+'SEP ORIGEN'!Q112-'GENERADO PS locales'!Q272</f>
        <v>1.8183339999999999</v>
      </c>
      <c r="R112" s="322">
        <f>+'SEP ORIGEN'!R112-'GENERADO PS locales'!R272</f>
        <v>1.8399079999999999</v>
      </c>
      <c r="S112" s="322">
        <f>+'SEP ORIGEN'!S112-'GENERADO PS locales'!S272</f>
        <v>1.8611600000000001</v>
      </c>
      <c r="T112" s="322">
        <f>+'SEP ORIGEN'!T112-'GENERADO PS locales'!T272</f>
        <v>1.8827339999999997</v>
      </c>
      <c r="U112" s="322">
        <f>+'SEP ORIGEN'!U112-'GENERADO PS locales'!U272</f>
        <v>1.903986</v>
      </c>
      <c r="V112" s="322">
        <f>+'SEP ORIGEN'!V112-'GENERADO PS locales'!V272</f>
        <v>1.9255600000000002</v>
      </c>
      <c r="W112" s="322">
        <f>+'SEP ORIGEN'!W112-'GENERADO PS locales'!W272</f>
        <v>1.9471339999999999</v>
      </c>
      <c r="X112" s="322">
        <f>+'SEP ORIGEN'!X112-'GENERADO PS locales'!X272</f>
        <v>1.968386</v>
      </c>
      <c r="Y112" s="322">
        <f>+'SEP ORIGEN'!Y112-'GENERADO PS locales'!Y272</f>
        <v>1.98996</v>
      </c>
      <c r="Z112" s="322">
        <f>+'SEP ORIGEN'!Z112-'GENERADO PS locales'!Z272</f>
        <v>2.0115340000000002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38">
        <f>+'SEP ORIGEN'!P113</f>
        <v>3.4003200000000002</v>
      </c>
      <c r="E113" s="278"/>
      <c r="F113" s="263"/>
      <c r="G113" s="322">
        <f>+'SEP ORIGEN'!G113-'GENERADO PS locales'!G273</f>
        <v>8.2110000000000002E-2</v>
      </c>
      <c r="H113" s="322">
        <f>+'SEP ORIGEN'!H113-'GENERADO PS locales'!H273</f>
        <v>0.66939199999999999</v>
      </c>
      <c r="I113" s="322">
        <f>+'SEP ORIGEN'!I113-'GENERADO PS locales'!I273</f>
        <v>1.2789839999999999</v>
      </c>
      <c r="J113" s="322">
        <f>+'SEP ORIGEN'!J113-'GENERADO PS locales'!J273</f>
        <v>2.1721200000000001</v>
      </c>
      <c r="K113" s="322">
        <f>+'SEP ORIGEN'!K113-'GENERADO PS locales'!K273</f>
        <v>3.098284</v>
      </c>
      <c r="L113" s="322">
        <f>+'SEP ORIGEN'!L113-'GENERADO PS locales'!L273</f>
        <v>3.1568880000000004</v>
      </c>
      <c r="M113" s="322">
        <f>+'SEP ORIGEN'!M113-'GENERADO PS locales'!M273</f>
        <v>3.2161360000000005</v>
      </c>
      <c r="N113" s="322">
        <f>+'SEP ORIGEN'!N113-'GENERADO PS locales'!N273</f>
        <v>3.2766719999999996</v>
      </c>
      <c r="O113" s="322">
        <f>+'SEP ORIGEN'!O113-'GENERADO PS locales'!O273</f>
        <v>3.3378520000000003</v>
      </c>
      <c r="P113" s="322">
        <f>+'SEP ORIGEN'!P113-'GENERADO PS locales'!P273</f>
        <v>3.4003200000000002</v>
      </c>
      <c r="Q113" s="322">
        <f>+'SEP ORIGEN'!Q113-'GENERADO PS locales'!Q273</f>
        <v>3.4637539999999998</v>
      </c>
      <c r="R113" s="322">
        <f>+'SEP ORIGEN'!R113-'GENERADO PS locales'!R273</f>
        <v>3.5281540000000002</v>
      </c>
      <c r="S113" s="322">
        <f>+'SEP ORIGEN'!S113-'GENERADO PS locales'!S273</f>
        <v>3.5935199999999998</v>
      </c>
      <c r="T113" s="322">
        <f>+'SEP ORIGEN'!T113-'GENERADO PS locales'!T273</f>
        <v>3.660174</v>
      </c>
      <c r="U113" s="322">
        <f>+'SEP ORIGEN'!U113-'GENERADO PS locales'!U273</f>
        <v>3.7277939999999998</v>
      </c>
      <c r="V113" s="322">
        <f>+'SEP ORIGEN'!V113-'GENERADO PS locales'!V273</f>
        <v>3.7963800000000005</v>
      </c>
      <c r="W113" s="322">
        <f>+'SEP ORIGEN'!W113-'GENERADO PS locales'!W273</f>
        <v>3.8662540000000001</v>
      </c>
      <c r="X113" s="322">
        <f>+'SEP ORIGEN'!X113-'GENERADO PS locales'!X273</f>
        <v>3.9370939999999996</v>
      </c>
      <c r="Y113" s="322">
        <f>+'SEP ORIGEN'!Y113-'GENERADO PS locales'!Y273</f>
        <v>4.0092219999999994</v>
      </c>
      <c r="Z113" s="322">
        <f>+'SEP ORIGEN'!Z113-'GENERADO PS locales'!Z273</f>
        <v>4.0826380000000002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38">
        <f>+'SEP ORIGEN'!P114</f>
        <v>6.9992860000000006</v>
      </c>
      <c r="E114" s="278"/>
      <c r="F114" s="263"/>
      <c r="G114" s="322">
        <f>+'SEP ORIGEN'!G114-'GENERADO PS locales'!G274</f>
        <v>0.17642640000000001</v>
      </c>
      <c r="H114" s="322">
        <f>+'SEP ORIGEN'!H114-'GENERADO PS locales'!H274</f>
        <v>1.4311696000000003</v>
      </c>
      <c r="I114" s="322">
        <f>+'SEP ORIGEN'!I114-'GENERADO PS locales'!I274</f>
        <v>2.7211259999999999</v>
      </c>
      <c r="J114" s="322">
        <f>+'SEP ORIGEN'!J114-'GENERADO PS locales'!J274</f>
        <v>4.5988100000000003</v>
      </c>
      <c r="K114" s="322">
        <f>+'SEP ORIGEN'!K114-'GENERADO PS locales'!K274</f>
        <v>6.5284869999999993</v>
      </c>
      <c r="L114" s="322">
        <f>+'SEP ORIGEN'!L114-'GENERADO PS locales'!L274</f>
        <v>6.6201239999999988</v>
      </c>
      <c r="M114" s="322">
        <f>+'SEP ORIGEN'!M114-'GENERADO PS locales'!M274</f>
        <v>6.7128739999999993</v>
      </c>
      <c r="N114" s="322">
        <f>+'SEP ORIGEN'!N114-'GENERADO PS locales'!N274</f>
        <v>6.8071080000000004</v>
      </c>
      <c r="O114" s="322">
        <f>+'SEP ORIGEN'!O114-'GENERADO PS locales'!O274</f>
        <v>6.9024549999999998</v>
      </c>
      <c r="P114" s="322">
        <f>+'SEP ORIGEN'!P114-'GENERADO PS locales'!P274</f>
        <v>6.9992860000000006</v>
      </c>
      <c r="Q114" s="322">
        <f>+'SEP ORIGEN'!Q114-'GENERADO PS locales'!Q274</f>
        <v>7.097601</v>
      </c>
      <c r="R114" s="322">
        <f>+'SEP ORIGEN'!R114-'GENERADO PS locales'!R274</f>
        <v>7.1970289999999997</v>
      </c>
      <c r="S114" s="322">
        <f>+'SEP ORIGEN'!S114-'GENERADO PS locales'!S274</f>
        <v>7.2979410000000007</v>
      </c>
      <c r="T114" s="322">
        <f>+'SEP ORIGEN'!T114-'GENERADO PS locales'!T274</f>
        <v>7.4003369999999986</v>
      </c>
      <c r="U114" s="322">
        <f>+'SEP ORIGEN'!U114-'GENERADO PS locales'!U274</f>
        <v>7.5042170000000006</v>
      </c>
      <c r="V114" s="322">
        <f>+'SEP ORIGEN'!V114-'GENERADO PS locales'!V274</f>
        <v>7.60921</v>
      </c>
      <c r="W114" s="322">
        <f>+'SEP ORIGEN'!W114-'GENERADO PS locales'!W274</f>
        <v>7.7160579999999994</v>
      </c>
      <c r="X114" s="322">
        <f>+'SEP ORIGEN'!X114-'GENERADO PS locales'!X274</f>
        <v>7.8243900000000002</v>
      </c>
      <c r="Y114" s="322">
        <f>+'SEP ORIGEN'!Y114-'GENERADO PS locales'!Y274</f>
        <v>7.9338350000000002</v>
      </c>
      <c r="Z114" s="322">
        <f>+'SEP ORIGEN'!Z114-'GENERADO PS locales'!Z274</f>
        <v>8.0451350000000001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38">
        <f>+'SEP ORIGEN'!P115</f>
        <v>5.109496</v>
      </c>
      <c r="E115" s="278"/>
      <c r="F115" s="263"/>
      <c r="G115" s="322">
        <f>+'SEP ORIGEN'!G115-'GENERADO PS locales'!G275</f>
        <v>0.13542400000000002</v>
      </c>
      <c r="H115" s="322">
        <f>+'SEP ORIGEN'!H115-'GENERADO PS locales'!H275</f>
        <v>1.0928127999999999</v>
      </c>
      <c r="I115" s="322">
        <f>+'SEP ORIGEN'!I115-'GENERADO PS locales'!I275</f>
        <v>2.0665499999999999</v>
      </c>
      <c r="J115" s="322">
        <f>+'SEP ORIGEN'!J115-'GENERADO PS locales'!J275</f>
        <v>3.4736899999999999</v>
      </c>
      <c r="K115" s="322">
        <f>+'SEP ORIGEN'!K115-'GENERADO PS locales'!K275</f>
        <v>4.9040599999999994</v>
      </c>
      <c r="L115" s="322">
        <f>+'SEP ORIGEN'!L115-'GENERADO PS locales'!L275</f>
        <v>4.9452759999999998</v>
      </c>
      <c r="M115" s="322">
        <f>+'SEP ORIGEN'!M115-'GENERADO PS locales'!M275</f>
        <v>4.9864920000000001</v>
      </c>
      <c r="N115" s="322">
        <f>+'SEP ORIGEN'!N115-'GENERADO PS locales'!N275</f>
        <v>5.0273859999999999</v>
      </c>
      <c r="O115" s="322">
        <f>+'SEP ORIGEN'!O115-'GENERADO PS locales'!O275</f>
        <v>5.0686020000000003</v>
      </c>
      <c r="P115" s="322">
        <f>+'SEP ORIGEN'!P115-'GENERADO PS locales'!P275</f>
        <v>5.109496</v>
      </c>
      <c r="Q115" s="322">
        <f>+'SEP ORIGEN'!Q115-'GENERADO PS locales'!Q275</f>
        <v>5.1507120000000004</v>
      </c>
      <c r="R115" s="322">
        <f>+'SEP ORIGEN'!R115-'GENERADO PS locales'!R275</f>
        <v>5.1916059999999993</v>
      </c>
      <c r="S115" s="322">
        <f>+'SEP ORIGEN'!S115-'GENERADO PS locales'!S275</f>
        <v>5.2328219999999996</v>
      </c>
      <c r="T115" s="322">
        <f>+'SEP ORIGEN'!T115-'GENERADO PS locales'!T275</f>
        <v>5.2737159999999994</v>
      </c>
      <c r="U115" s="322">
        <f>+'SEP ORIGEN'!U115-'GENERADO PS locales'!U275</f>
        <v>5.3149319999999998</v>
      </c>
      <c r="V115" s="322">
        <f>+'SEP ORIGEN'!V115-'GENERADO PS locales'!V275</f>
        <v>5.3561480000000001</v>
      </c>
      <c r="W115" s="322">
        <f>+'SEP ORIGEN'!W115-'GENERADO PS locales'!W275</f>
        <v>5.3970419999999999</v>
      </c>
      <c r="X115" s="322">
        <f>+'SEP ORIGEN'!X115-'GENERADO PS locales'!X275</f>
        <v>5.4382580000000003</v>
      </c>
      <c r="Y115" s="322">
        <f>+'SEP ORIGEN'!Y115-'GENERADO PS locales'!Y275</f>
        <v>5.479152</v>
      </c>
      <c r="Z115" s="322">
        <f>+'SEP ORIGEN'!Z115-'GENERADO PS locales'!Z275</f>
        <v>5.5203680000000004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38">
        <f>+'SEP ORIGEN'!P116</f>
        <v>4.8815200000000001</v>
      </c>
      <c r="E116" s="278"/>
      <c r="F116" s="263"/>
      <c r="G116" s="322">
        <f>+'SEP ORIGEN'!G116-'GENERADO PS locales'!G276</f>
        <v>0.12788920000000001</v>
      </c>
      <c r="H116" s="322">
        <f>+'SEP ORIGEN'!H116-'GENERADO PS locales'!H276</f>
        <v>1.0334176000000002</v>
      </c>
      <c r="I116" s="322">
        <f>+'SEP ORIGEN'!I116-'GENERADO PS locales'!I276</f>
        <v>1.9568399999999999</v>
      </c>
      <c r="J116" s="322">
        <f>+'SEP ORIGEN'!J116-'GENERADO PS locales'!J276</f>
        <v>3.2936000000000005</v>
      </c>
      <c r="K116" s="322">
        <f>+'SEP ORIGEN'!K116-'GENERADO PS locales'!K276</f>
        <v>4.6561199999999996</v>
      </c>
      <c r="L116" s="322">
        <f>+'SEP ORIGEN'!L116-'GENERADO PS locales'!L276</f>
        <v>4.7012</v>
      </c>
      <c r="M116" s="322">
        <f>+'SEP ORIGEN'!M116-'GENERADO PS locales'!M276</f>
        <v>4.7462799999999996</v>
      </c>
      <c r="N116" s="322">
        <f>+'SEP ORIGEN'!N116-'GENERADO PS locales'!N276</f>
        <v>4.7913600000000001</v>
      </c>
      <c r="O116" s="322">
        <f>+'SEP ORIGEN'!O116-'GENERADO PS locales'!O276</f>
        <v>4.8364400000000005</v>
      </c>
      <c r="P116" s="322">
        <f>+'SEP ORIGEN'!P116-'GENERADO PS locales'!P276</f>
        <v>4.8815200000000001</v>
      </c>
      <c r="Q116" s="322">
        <f>+'SEP ORIGEN'!Q116-'GENERADO PS locales'!Q276</f>
        <v>4.9262779999999999</v>
      </c>
      <c r="R116" s="322">
        <f>+'SEP ORIGEN'!R116-'GENERADO PS locales'!R276</f>
        <v>4.9713580000000004</v>
      </c>
      <c r="S116" s="322">
        <f>+'SEP ORIGEN'!S116-'GENERADO PS locales'!S276</f>
        <v>5.016438</v>
      </c>
      <c r="T116" s="322">
        <f>+'SEP ORIGEN'!T116-'GENERADO PS locales'!T276</f>
        <v>5.0615180000000004</v>
      </c>
      <c r="U116" s="322">
        <f>+'SEP ORIGEN'!U116-'GENERADO PS locales'!U276</f>
        <v>5.106598</v>
      </c>
      <c r="V116" s="322">
        <f>+'SEP ORIGEN'!V116-'GENERADO PS locales'!V276</f>
        <v>5.1516779999999995</v>
      </c>
      <c r="W116" s="322">
        <f>+'SEP ORIGEN'!W116-'GENERADO PS locales'!W276</f>
        <v>5.196758</v>
      </c>
      <c r="X116" s="322">
        <f>+'SEP ORIGEN'!X116-'GENERADO PS locales'!X276</f>
        <v>5.2418379999999996</v>
      </c>
      <c r="Y116" s="322">
        <f>+'SEP ORIGEN'!Y116-'GENERADO PS locales'!Y276</f>
        <v>5.286918</v>
      </c>
      <c r="Z116" s="322">
        <f>+'SEP ORIGEN'!Z116-'GENERADO PS locales'!Z276</f>
        <v>5.3316759999999999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38">
        <f>+'SEP ORIGEN'!P117</f>
        <v>8.5437589999999997</v>
      </c>
      <c r="E117" s="278"/>
      <c r="F117" s="263"/>
      <c r="G117" s="322">
        <f>+'SEP ORIGEN'!G117-'GENERADO PS locales'!G277</f>
        <v>0.23104820000000001</v>
      </c>
      <c r="H117" s="322">
        <f>+'SEP ORIGEN'!H117-'GENERADO PS locales'!H277</f>
        <v>1.8596640000000002</v>
      </c>
      <c r="I117" s="322">
        <f>+'SEP ORIGEN'!I117-'GENERADO PS locales'!I277</f>
        <v>3.5083350000000002</v>
      </c>
      <c r="J117" s="322">
        <f>+'SEP ORIGEN'!J117-'GENERADO PS locales'!J277</f>
        <v>5.883</v>
      </c>
      <c r="K117" s="322">
        <f>+'SEP ORIGEN'!K117-'GENERADO PS locales'!K277</f>
        <v>8.2866559999999989</v>
      </c>
      <c r="L117" s="322">
        <f>+'SEP ORIGEN'!L117-'GENERADO PS locales'!L277</f>
        <v>8.3374830000000006</v>
      </c>
      <c r="M117" s="322">
        <f>+'SEP ORIGEN'!M117-'GENERADO PS locales'!M277</f>
        <v>8.3886809999999983</v>
      </c>
      <c r="N117" s="322">
        <f>+'SEP ORIGEN'!N117-'GENERADO PS locales'!N277</f>
        <v>8.4402499999999989</v>
      </c>
      <c r="O117" s="322">
        <f>+'SEP ORIGEN'!O117-'GENERADO PS locales'!O277</f>
        <v>8.4918189999999996</v>
      </c>
      <c r="P117" s="322">
        <f>+'SEP ORIGEN'!P117-'GENERADO PS locales'!P277</f>
        <v>8.5437589999999997</v>
      </c>
      <c r="Q117" s="322">
        <f>+'SEP ORIGEN'!Q117-'GENERADO PS locales'!Q277</f>
        <v>8.5964410000000004</v>
      </c>
      <c r="R117" s="322">
        <f>+'SEP ORIGEN'!R117-'GENERADO PS locales'!R277</f>
        <v>8.6491229999999995</v>
      </c>
      <c r="S117" s="322">
        <f>+'SEP ORIGEN'!S117-'GENERADO PS locales'!S277</f>
        <v>8.7021759999999997</v>
      </c>
      <c r="T117" s="322">
        <f>+'SEP ORIGEN'!T117-'GENERADO PS locales'!T277</f>
        <v>8.7552289999999999</v>
      </c>
      <c r="U117" s="322">
        <f>+'SEP ORIGEN'!U117-'GENERADO PS locales'!U277</f>
        <v>8.8090240000000009</v>
      </c>
      <c r="V117" s="322">
        <f>+'SEP ORIGEN'!V117-'GENERADO PS locales'!V277</f>
        <v>8.8631900000000012</v>
      </c>
      <c r="W117" s="322">
        <f>+'SEP ORIGEN'!W117-'GENERADO PS locales'!W277</f>
        <v>8.9173559999999998</v>
      </c>
      <c r="X117" s="322">
        <f>+'SEP ORIGEN'!X117-'GENERADO PS locales'!X277</f>
        <v>8.9722639999999991</v>
      </c>
      <c r="Y117" s="322">
        <f>+'SEP ORIGEN'!Y117-'GENERADO PS locales'!Y277</f>
        <v>9.0271720000000002</v>
      </c>
      <c r="Z117" s="322">
        <f>+'SEP ORIGEN'!Z117-'GENERADO PS locales'!Z277</f>
        <v>9.0824509999999989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38">
        <f>+'SEP ORIGEN'!P118</f>
        <v>5.1748620000000001</v>
      </c>
      <c r="E118" s="278"/>
      <c r="F118" s="263"/>
      <c r="G118" s="322">
        <f>+'SEP ORIGEN'!G118-'GENERADO PS locales'!G278</f>
        <v>0.12898400000000002</v>
      </c>
      <c r="H118" s="322">
        <f>+'SEP ORIGEN'!H118-'GENERADO PS locales'!H278</f>
        <v>1.0486527999999999</v>
      </c>
      <c r="I118" s="322">
        <f>+'SEP ORIGEN'!I118-'GENERADO PS locales'!I278</f>
        <v>1.9976880000000001</v>
      </c>
      <c r="J118" s="322">
        <f>+'SEP ORIGEN'!J118-'GENERADO PS locales'!J278</f>
        <v>3.38192</v>
      </c>
      <c r="K118" s="322">
        <f>+'SEP ORIGEN'!K118-'GENERADO PS locales'!K278</f>
        <v>4.8081040000000002</v>
      </c>
      <c r="L118" s="322">
        <f>+'SEP ORIGEN'!L118-'GENERADO PS locales'!L278</f>
        <v>4.8815200000000001</v>
      </c>
      <c r="M118" s="322">
        <f>+'SEP ORIGEN'!M118-'GENERADO PS locales'!M278</f>
        <v>4.9546140000000003</v>
      </c>
      <c r="N118" s="322">
        <f>+'SEP ORIGEN'!N118-'GENERADO PS locales'!N278</f>
        <v>5.0280300000000002</v>
      </c>
      <c r="O118" s="322">
        <f>+'SEP ORIGEN'!O118-'GENERADO PS locales'!O278</f>
        <v>5.1014460000000001</v>
      </c>
      <c r="P118" s="322">
        <f>+'SEP ORIGEN'!P118-'GENERADO PS locales'!P278</f>
        <v>5.1748620000000001</v>
      </c>
      <c r="Q118" s="322">
        <f>+'SEP ORIGEN'!Q118-'GENERADO PS locales'!Q278</f>
        <v>5.248278</v>
      </c>
      <c r="R118" s="322">
        <f>+'SEP ORIGEN'!R118-'GENERADO PS locales'!R278</f>
        <v>5.3216939999999999</v>
      </c>
      <c r="S118" s="322">
        <f>+'SEP ORIGEN'!S118-'GENERADO PS locales'!S278</f>
        <v>5.3951099999999999</v>
      </c>
      <c r="T118" s="322">
        <f>+'SEP ORIGEN'!T118-'GENERADO PS locales'!T278</f>
        <v>5.4685259999999998</v>
      </c>
      <c r="U118" s="322">
        <f>+'SEP ORIGEN'!U118-'GENERADO PS locales'!U278</f>
        <v>5.54162</v>
      </c>
      <c r="V118" s="322">
        <f>+'SEP ORIGEN'!V118-'GENERADO PS locales'!V278</f>
        <v>5.6150359999999999</v>
      </c>
      <c r="W118" s="322">
        <f>+'SEP ORIGEN'!W118-'GENERADO PS locales'!W278</f>
        <v>5.6884519999999998</v>
      </c>
      <c r="X118" s="322">
        <f>+'SEP ORIGEN'!X118-'GENERADO PS locales'!X278</f>
        <v>5.7618679999999998</v>
      </c>
      <c r="Y118" s="322">
        <f>+'SEP ORIGEN'!Y118-'GENERADO PS locales'!Y278</f>
        <v>5.8352840000000006</v>
      </c>
      <c r="Z118" s="322">
        <f>+'SEP ORIGEN'!Z118-'GENERADO PS locales'!Z278</f>
        <v>5.9087000000000005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38">
        <f>+'SEP ORIGEN'!P119</f>
        <v>5.9597439999999997</v>
      </c>
      <c r="E119" s="278"/>
      <c r="F119" s="263"/>
      <c r="G119" s="322">
        <f>+'SEP ORIGEN'!G119-'GENERADO PS locales'!G279</f>
        <v>0.16363220000000003</v>
      </c>
      <c r="H119" s="322">
        <f>+'SEP ORIGEN'!H119-'GENERADO PS locales'!H279</f>
        <v>1.3149088</v>
      </c>
      <c r="I119" s="322">
        <f>+'SEP ORIGEN'!I119-'GENERADO PS locales'!I279</f>
        <v>2.4762660000000003</v>
      </c>
      <c r="J119" s="322">
        <f>+'SEP ORIGEN'!J119-'GENERADO PS locales'!J279</f>
        <v>4.1453950000000006</v>
      </c>
      <c r="K119" s="322">
        <f>+'SEP ORIGEN'!K119-'GENERADO PS locales'!K279</f>
        <v>5.8295230000000009</v>
      </c>
      <c r="L119" s="322">
        <f>+'SEP ORIGEN'!L119-'GENERADO PS locales'!L279</f>
        <v>5.8551220000000006</v>
      </c>
      <c r="M119" s="322">
        <f>+'SEP ORIGEN'!M119-'GENERADO PS locales'!M279</f>
        <v>5.8810920000000007</v>
      </c>
      <c r="N119" s="322">
        <f>+'SEP ORIGEN'!N119-'GENERADO PS locales'!N279</f>
        <v>5.9070619999999998</v>
      </c>
      <c r="O119" s="322">
        <f>+'SEP ORIGEN'!O119-'GENERADO PS locales'!O279</f>
        <v>5.9334030000000002</v>
      </c>
      <c r="P119" s="322">
        <f>+'SEP ORIGEN'!P119-'GENERADO PS locales'!P279</f>
        <v>5.9597439999999997</v>
      </c>
      <c r="Q119" s="322">
        <f>+'SEP ORIGEN'!Q119-'GENERADO PS locales'!Q279</f>
        <v>5.9860850000000001</v>
      </c>
      <c r="R119" s="322">
        <f>+'SEP ORIGEN'!R119-'GENERADO PS locales'!R279</f>
        <v>6.0124260000000005</v>
      </c>
      <c r="S119" s="322">
        <f>+'SEP ORIGEN'!S119-'GENERADO PS locales'!S279</f>
        <v>6.0391379999999995</v>
      </c>
      <c r="T119" s="322">
        <f>+'SEP ORIGEN'!T119-'GENERADO PS locales'!T279</f>
        <v>6.0658499999999993</v>
      </c>
      <c r="U119" s="322">
        <f>+'SEP ORIGEN'!U119-'GENERADO PS locales'!U279</f>
        <v>6.0929330000000004</v>
      </c>
      <c r="V119" s="322">
        <f>+'SEP ORIGEN'!V119-'GENERADO PS locales'!V279</f>
        <v>6.1196449999999993</v>
      </c>
      <c r="W119" s="322">
        <f>+'SEP ORIGEN'!W119-'GENERADO PS locales'!W279</f>
        <v>6.1470989999999999</v>
      </c>
      <c r="X119" s="322">
        <f>+'SEP ORIGEN'!X119-'GENERADO PS locales'!X279</f>
        <v>6.1741820000000001</v>
      </c>
      <c r="Y119" s="322">
        <f>+'SEP ORIGEN'!Y119-'GENERADO PS locales'!Y279</f>
        <v>6.2016359999999997</v>
      </c>
      <c r="Z119" s="322">
        <f>+'SEP ORIGEN'!Z119-'GENERADO PS locales'!Z279</f>
        <v>6.2290900000000011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38">
        <f>+'SEP ORIGEN'!P120</f>
        <v>13.699546000000002</v>
      </c>
      <c r="E120" s="278"/>
      <c r="F120" s="263"/>
      <c r="G120" s="322">
        <f>+'SEP ORIGEN'!G120-'GENERADO PS locales'!G280</f>
        <v>0.35288459999999999</v>
      </c>
      <c r="H120" s="322">
        <f>+'SEP ORIGEN'!H120-'GENERADO PS locales'!H280</f>
        <v>2.8573360000000001</v>
      </c>
      <c r="I120" s="322">
        <f>+'SEP ORIGEN'!I120-'GENERADO PS locales'!I280</f>
        <v>5.4215819999999999</v>
      </c>
      <c r="J120" s="322">
        <f>+'SEP ORIGEN'!J120-'GENERADO PS locales'!J280</f>
        <v>9.1430300000000013</v>
      </c>
      <c r="K120" s="322">
        <f>+'SEP ORIGEN'!K120-'GENERADO PS locales'!K280</f>
        <v>12.950125999999999</v>
      </c>
      <c r="L120" s="322">
        <f>+'SEP ORIGEN'!L120-'GENERADO PS locales'!L280</f>
        <v>13.100009999999997</v>
      </c>
      <c r="M120" s="322">
        <f>+'SEP ORIGEN'!M120-'GENERADO PS locales'!M280</f>
        <v>13.249894000000001</v>
      </c>
      <c r="N120" s="322">
        <f>+'SEP ORIGEN'!N120-'GENERADO PS locales'!N280</f>
        <v>13.399778</v>
      </c>
      <c r="O120" s="322">
        <f>+'SEP ORIGEN'!O120-'GENERADO PS locales'!O280</f>
        <v>13.549662</v>
      </c>
      <c r="P120" s="322">
        <f>+'SEP ORIGEN'!P120-'GENERADO PS locales'!P280</f>
        <v>13.699546000000002</v>
      </c>
      <c r="Q120" s="322">
        <f>+'SEP ORIGEN'!Q120-'GENERADO PS locales'!Q280</f>
        <v>13.84943</v>
      </c>
      <c r="R120" s="322">
        <f>+'SEP ORIGEN'!R120-'GENERADO PS locales'!R280</f>
        <v>13.999314</v>
      </c>
      <c r="S120" s="322">
        <f>+'SEP ORIGEN'!S120-'GENERADO PS locales'!S280</f>
        <v>14.149197999999998</v>
      </c>
      <c r="T120" s="322">
        <f>+'SEP ORIGEN'!T120-'GENERADO PS locales'!T280</f>
        <v>14.299081999999999</v>
      </c>
      <c r="U120" s="322">
        <f>+'SEP ORIGEN'!U120-'GENERADO PS locales'!U280</f>
        <v>14.448966</v>
      </c>
      <c r="V120" s="322">
        <f>+'SEP ORIGEN'!V120-'GENERADO PS locales'!V280</f>
        <v>14.598849999999999</v>
      </c>
      <c r="W120" s="322">
        <f>+'SEP ORIGEN'!W120-'GENERADO PS locales'!W280</f>
        <v>14.748734000000002</v>
      </c>
      <c r="X120" s="322">
        <f>+'SEP ORIGEN'!X120-'GENERADO PS locales'!X280</f>
        <v>14.898618000000001</v>
      </c>
      <c r="Y120" s="322">
        <f>+'SEP ORIGEN'!Y120-'GENERADO PS locales'!Y280</f>
        <v>15.048501999999999</v>
      </c>
      <c r="Z120" s="322">
        <f>+'SEP ORIGEN'!Z120-'GENERADO PS locales'!Z280</f>
        <v>15.198385999999999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38">
        <f>+'SEP ORIGEN'!P121</f>
        <v>2.7363560000000002</v>
      </c>
      <c r="E121" s="278"/>
      <c r="F121" s="263"/>
      <c r="G121" s="322">
        <f>+'SEP ORIGEN'!G121-'GENERADO PS locales'!G281</f>
        <v>7.5486000000000011E-2</v>
      </c>
      <c r="H121" s="322">
        <f>+'SEP ORIGEN'!H121-'GENERADO PS locales'!H281</f>
        <v>0.60631679999999999</v>
      </c>
      <c r="I121" s="322">
        <f>+'SEP ORIGEN'!I121-'GENERADO PS locales'!I281</f>
        <v>1.1412599999999999</v>
      </c>
      <c r="J121" s="322">
        <f>+'SEP ORIGEN'!J121-'GENERADO PS locales'!J281</f>
        <v>1.9096900000000001</v>
      </c>
      <c r="K121" s="322">
        <f>+'SEP ORIGEN'!K121-'GENERADO PS locales'!K281</f>
        <v>2.6838700000000002</v>
      </c>
      <c r="L121" s="322">
        <f>+'SEP ORIGEN'!L121-'GENERADO PS locales'!L281</f>
        <v>2.694496</v>
      </c>
      <c r="M121" s="322">
        <f>+'SEP ORIGEN'!M121-'GENERADO PS locales'!M281</f>
        <v>2.7051219999999998</v>
      </c>
      <c r="N121" s="322">
        <f>+'SEP ORIGEN'!N121-'GENERADO PS locales'!N281</f>
        <v>2.7154259999999999</v>
      </c>
      <c r="O121" s="322">
        <f>+'SEP ORIGEN'!O121-'GENERADO PS locales'!O281</f>
        <v>2.7260520000000001</v>
      </c>
      <c r="P121" s="322">
        <f>+'SEP ORIGEN'!P121-'GENERADO PS locales'!P281</f>
        <v>2.7363560000000002</v>
      </c>
      <c r="Q121" s="322">
        <f>+'SEP ORIGEN'!Q121-'GENERADO PS locales'!Q281</f>
        <v>2.746982</v>
      </c>
      <c r="R121" s="322">
        <f>+'SEP ORIGEN'!R121-'GENERADO PS locales'!R281</f>
        <v>2.7572859999999997</v>
      </c>
      <c r="S121" s="322">
        <f>+'SEP ORIGEN'!S121-'GENERADO PS locales'!S281</f>
        <v>2.7679119999999999</v>
      </c>
      <c r="T121" s="322">
        <f>+'SEP ORIGEN'!T121-'GENERADO PS locales'!T281</f>
        <v>2.778216</v>
      </c>
      <c r="U121" s="322">
        <f>+'SEP ORIGEN'!U121-'GENERADO PS locales'!U281</f>
        <v>2.7888420000000003</v>
      </c>
      <c r="V121" s="322">
        <f>+'SEP ORIGEN'!V121-'GENERADO PS locales'!V281</f>
        <v>2.7991459999999999</v>
      </c>
      <c r="W121" s="322">
        <f>+'SEP ORIGEN'!W121-'GENERADO PS locales'!W281</f>
        <v>2.8097719999999997</v>
      </c>
      <c r="X121" s="322">
        <f>+'SEP ORIGEN'!X121-'GENERADO PS locales'!X281</f>
        <v>2.8200760000000002</v>
      </c>
      <c r="Y121" s="322">
        <f>+'SEP ORIGEN'!Y121-'GENERADO PS locales'!Y281</f>
        <v>2.8307020000000001</v>
      </c>
      <c r="Z121" s="322">
        <f>+'SEP ORIGEN'!Z121-'GENERADO PS locales'!Z281</f>
        <v>2.8410059999999997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38">
        <f>+'SEP ORIGEN'!P122</f>
        <v>14.582154999999998</v>
      </c>
      <c r="E122" s="278"/>
      <c r="F122" s="263"/>
      <c r="G122" s="322">
        <f>+'SEP ORIGEN'!G122-'GENERADO PS locales'!G282</f>
        <v>0.36619819999999997</v>
      </c>
      <c r="H122" s="322">
        <f>+'SEP ORIGEN'!H122-'GENERADO PS locales'!H282</f>
        <v>2.9719008000000002</v>
      </c>
      <c r="I122" s="322">
        <f>+'SEP ORIGEN'!I122-'GENERADO PS locales'!I282</f>
        <v>5.6527680000000009</v>
      </c>
      <c r="J122" s="322">
        <f>+'SEP ORIGEN'!J122-'GENERADO PS locales'!J282</f>
        <v>9.5574899999999996</v>
      </c>
      <c r="K122" s="322">
        <f>+'SEP ORIGEN'!K122-'GENERADO PS locales'!K282</f>
        <v>13.573406000000002</v>
      </c>
      <c r="L122" s="322">
        <f>+'SEP ORIGEN'!L122-'GENERADO PS locales'!L282</f>
        <v>13.769665</v>
      </c>
      <c r="M122" s="322">
        <f>+'SEP ORIGEN'!M122-'GENERADO PS locales'!M282</f>
        <v>13.96815</v>
      </c>
      <c r="N122" s="322">
        <f>+'SEP ORIGEN'!N122-'GENERADO PS locales'!N282</f>
        <v>14.169973999999998</v>
      </c>
      <c r="O122" s="322">
        <f>+'SEP ORIGEN'!O122-'GENERADO PS locales'!O282</f>
        <v>14.374765999999999</v>
      </c>
      <c r="P122" s="322">
        <f>+'SEP ORIGEN'!P122-'GENERADO PS locales'!P282</f>
        <v>14.582154999999998</v>
      </c>
      <c r="Q122" s="322">
        <f>+'SEP ORIGEN'!Q122-'GENERADO PS locales'!Q282</f>
        <v>14.792883000000002</v>
      </c>
      <c r="R122" s="322">
        <f>+'SEP ORIGEN'!R122-'GENERADO PS locales'!R282</f>
        <v>15.006208000000001</v>
      </c>
      <c r="S122" s="322">
        <f>+'SEP ORIGEN'!S122-'GENERADO PS locales'!S282</f>
        <v>15.222872000000001</v>
      </c>
      <c r="T122" s="322">
        <f>+'SEP ORIGEN'!T122-'GENERADO PS locales'!T282</f>
        <v>15.442874999999999</v>
      </c>
      <c r="U122" s="322">
        <f>+'SEP ORIGEN'!U122-'GENERADO PS locales'!U282</f>
        <v>15.665846000000002</v>
      </c>
      <c r="V122" s="322">
        <f>+'SEP ORIGEN'!V122-'GENERADO PS locales'!V282</f>
        <v>15.892156000000002</v>
      </c>
      <c r="W122" s="322">
        <f>+'SEP ORIGEN'!W122-'GENERADO PS locales'!W282</f>
        <v>16.121434000000001</v>
      </c>
      <c r="X122" s="322">
        <f>+'SEP ORIGEN'!X122-'GENERADO PS locales'!X282</f>
        <v>16.354422000000003</v>
      </c>
      <c r="Y122" s="322">
        <f>+'SEP ORIGEN'!Y122-'GENERADO PS locales'!Y282</f>
        <v>16.590377999999998</v>
      </c>
      <c r="Z122" s="322">
        <f>+'SEP ORIGEN'!Z122-'GENERADO PS locales'!Z282</f>
        <v>16.830044000000001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38">
        <f>+'SEP ORIGEN'!P123</f>
        <v>8.4198449999999987</v>
      </c>
      <c r="E123" s="278"/>
      <c r="F123" s="263"/>
      <c r="G123" s="322">
        <f>+'SEP ORIGEN'!G123-'GENERADO PS locales'!G283</f>
        <v>0.215975</v>
      </c>
      <c r="H123" s="322">
        <f>+'SEP ORIGEN'!H123-'GENERADO PS locales'!H283</f>
        <v>1.7495936000000001</v>
      </c>
      <c r="I123" s="322">
        <f>+'SEP ORIGEN'!I123-'GENERADO PS locales'!I283</f>
        <v>3.32151</v>
      </c>
      <c r="J123" s="322">
        <f>+'SEP ORIGEN'!J123-'GENERADO PS locales'!J283</f>
        <v>5.6042200000000006</v>
      </c>
      <c r="K123" s="322">
        <f>+'SEP ORIGEN'!K123-'GENERADO PS locales'!K283</f>
        <v>7.9416260000000003</v>
      </c>
      <c r="L123" s="322">
        <f>+'SEP ORIGEN'!L123-'GENERADO PS locales'!L283</f>
        <v>8.0373439999999992</v>
      </c>
      <c r="M123" s="322">
        <f>+'SEP ORIGEN'!M123-'GENERADO PS locales'!M283</f>
        <v>8.1326909999999994</v>
      </c>
      <c r="N123" s="322">
        <f>+'SEP ORIGEN'!N123-'GENERADO PS locales'!N283</f>
        <v>8.2284089999999992</v>
      </c>
      <c r="O123" s="322">
        <f>+'SEP ORIGEN'!O123-'GENERADO PS locales'!O283</f>
        <v>8.3241269999999989</v>
      </c>
      <c r="P123" s="322">
        <f>+'SEP ORIGEN'!P123-'GENERADO PS locales'!P283</f>
        <v>8.4198449999999987</v>
      </c>
      <c r="Q123" s="322">
        <f>+'SEP ORIGEN'!Q123-'GENERADO PS locales'!Q283</f>
        <v>8.5155629999999984</v>
      </c>
      <c r="R123" s="322">
        <f>+'SEP ORIGEN'!R123-'GENERADO PS locales'!R283</f>
        <v>8.611281</v>
      </c>
      <c r="S123" s="322">
        <f>+'SEP ORIGEN'!S123-'GENERADO PS locales'!S283</f>
        <v>8.7066280000000003</v>
      </c>
      <c r="T123" s="322">
        <f>+'SEP ORIGEN'!T123-'GENERADO PS locales'!T283</f>
        <v>8.802346</v>
      </c>
      <c r="U123" s="322">
        <f>+'SEP ORIGEN'!U123-'GENERADO PS locales'!U283</f>
        <v>8.8980639999999998</v>
      </c>
      <c r="V123" s="322">
        <f>+'SEP ORIGEN'!V123-'GENERADO PS locales'!V283</f>
        <v>8.9937819999999995</v>
      </c>
      <c r="W123" s="322">
        <f>+'SEP ORIGEN'!W123-'GENERADO PS locales'!W283</f>
        <v>9.0894999999999992</v>
      </c>
      <c r="X123" s="322">
        <f>+'SEP ORIGEN'!X123-'GENERADO PS locales'!X283</f>
        <v>9.185217999999999</v>
      </c>
      <c r="Y123" s="322">
        <f>+'SEP ORIGEN'!Y123-'GENERADO PS locales'!Y283</f>
        <v>9.2805649999999993</v>
      </c>
      <c r="Z123" s="322">
        <f>+'SEP ORIGEN'!Z123-'GENERADO PS locales'!Z283</f>
        <v>9.376282999999999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38">
        <f>+'SEP ORIGEN'!P124</f>
        <v>9.4779369999999989</v>
      </c>
      <c r="E124" s="278"/>
      <c r="F124" s="263"/>
      <c r="G124" s="322">
        <f>+'SEP ORIGEN'!G124-'GENERADO PS locales'!G284</f>
        <v>0.24883500000000003</v>
      </c>
      <c r="H124" s="322">
        <f>+'SEP ORIGEN'!H124-'GENERADO PS locales'!H284</f>
        <v>2.0101840000000002</v>
      </c>
      <c r="I124" s="322">
        <f>+'SEP ORIGEN'!I124-'GENERADO PS locales'!I284</f>
        <v>3.8058239999999999</v>
      </c>
      <c r="J124" s="322">
        <f>+'SEP ORIGEN'!J124-'GENERADO PS locales'!J284</f>
        <v>6.4039900000000003</v>
      </c>
      <c r="K124" s="322">
        <f>+'SEP ORIGEN'!K124-'GENERADO PS locales'!K284</f>
        <v>9.0509159999999991</v>
      </c>
      <c r="L124" s="322">
        <f>+'SEP ORIGEN'!L124-'GENERADO PS locales'!L284</f>
        <v>9.1362459999999999</v>
      </c>
      <c r="M124" s="322">
        <f>+'SEP ORIGEN'!M124-'GENERADO PS locales'!M284</f>
        <v>9.2219470000000001</v>
      </c>
      <c r="N124" s="322">
        <f>+'SEP ORIGEN'!N124-'GENERADO PS locales'!N284</f>
        <v>9.3072769999999991</v>
      </c>
      <c r="O124" s="322">
        <f>+'SEP ORIGEN'!O124-'GENERADO PS locales'!O284</f>
        <v>9.3926069999999999</v>
      </c>
      <c r="P124" s="322">
        <f>+'SEP ORIGEN'!P124-'GENERADO PS locales'!P284</f>
        <v>9.4779369999999989</v>
      </c>
      <c r="Q124" s="322">
        <f>+'SEP ORIGEN'!Q124-'GENERADO PS locales'!Q284</f>
        <v>9.5632669999999997</v>
      </c>
      <c r="R124" s="322">
        <f>+'SEP ORIGEN'!R124-'GENERADO PS locales'!R284</f>
        <v>9.6489680000000018</v>
      </c>
      <c r="S124" s="322">
        <f>+'SEP ORIGEN'!S124-'GENERADO PS locales'!S284</f>
        <v>9.734297999999999</v>
      </c>
      <c r="T124" s="322">
        <f>+'SEP ORIGEN'!T124-'GENERADO PS locales'!T284</f>
        <v>9.8196279999999998</v>
      </c>
      <c r="U124" s="322">
        <f>+'SEP ORIGEN'!U124-'GENERADO PS locales'!U284</f>
        <v>9.9049580000000006</v>
      </c>
      <c r="V124" s="322">
        <f>+'SEP ORIGEN'!V124-'GENERADO PS locales'!V284</f>
        <v>9.9906589999999991</v>
      </c>
      <c r="W124" s="322">
        <f>+'SEP ORIGEN'!W124-'GENERADO PS locales'!W284</f>
        <v>10.075989</v>
      </c>
      <c r="X124" s="322">
        <f>+'SEP ORIGEN'!X124-'GENERADO PS locales'!X284</f>
        <v>10.161319000000001</v>
      </c>
      <c r="Y124" s="322">
        <f>+'SEP ORIGEN'!Y124-'GENERADO PS locales'!Y284</f>
        <v>10.246649</v>
      </c>
      <c r="Z124" s="322">
        <f>+'SEP ORIGEN'!Z124-'GENERADO PS locales'!Z284</f>
        <v>10.331979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38">
        <f>+'SEP ORIGEN'!P125</f>
        <v>2.9958879999999999</v>
      </c>
      <c r="E125" s="278"/>
      <c r="F125" s="263"/>
      <c r="G125" s="322">
        <f>+'SEP ORIGEN'!G125-'GENERADO PS locales'!G285</f>
        <v>7.8650800000000007E-2</v>
      </c>
      <c r="H125" s="322">
        <f>+'SEP ORIGEN'!H125-'GENERADO PS locales'!H285</f>
        <v>0.63509440000000006</v>
      </c>
      <c r="I125" s="322">
        <f>+'SEP ORIGEN'!I125-'GENERADO PS locales'!I285</f>
        <v>1.202118</v>
      </c>
      <c r="J125" s="322">
        <f>+'SEP ORIGEN'!J125-'GENERADO PS locales'!J285</f>
        <v>2.0223900000000001</v>
      </c>
      <c r="K125" s="322">
        <f>+'SEP ORIGEN'!K125-'GENERADO PS locales'!K285</f>
        <v>2.8580719999999999</v>
      </c>
      <c r="L125" s="322">
        <f>+'SEP ORIGEN'!L125-'GENERADO PS locales'!L285</f>
        <v>2.8851199999999997</v>
      </c>
      <c r="M125" s="322">
        <f>+'SEP ORIGEN'!M125-'GENERADO PS locales'!M285</f>
        <v>2.9124899999999996</v>
      </c>
      <c r="N125" s="322">
        <f>+'SEP ORIGEN'!N125-'GENERADO PS locales'!N285</f>
        <v>2.9398599999999995</v>
      </c>
      <c r="O125" s="322">
        <f>+'SEP ORIGEN'!O125-'GENERADO PS locales'!O285</f>
        <v>2.9678740000000006</v>
      </c>
      <c r="P125" s="322">
        <f>+'SEP ORIGEN'!P125-'GENERADO PS locales'!P285</f>
        <v>2.9958879999999999</v>
      </c>
      <c r="Q125" s="322">
        <f>+'SEP ORIGEN'!Q125-'GENERADO PS locales'!Q285</f>
        <v>3.0242240000000002</v>
      </c>
      <c r="R125" s="322">
        <f>+'SEP ORIGEN'!R125-'GENERADO PS locales'!R285</f>
        <v>3.0528820000000003</v>
      </c>
      <c r="S125" s="322">
        <f>+'SEP ORIGEN'!S125-'GENERADO PS locales'!S285</f>
        <v>3.0815399999999995</v>
      </c>
      <c r="T125" s="322">
        <f>+'SEP ORIGEN'!T125-'GENERADO PS locales'!T285</f>
        <v>3.1108419999999999</v>
      </c>
      <c r="U125" s="322">
        <f>+'SEP ORIGEN'!U125-'GENERADO PS locales'!U285</f>
        <v>3.1401439999999998</v>
      </c>
      <c r="V125" s="322">
        <f>+'SEP ORIGEN'!V125-'GENERADO PS locales'!V285</f>
        <v>3.1697679999999995</v>
      </c>
      <c r="W125" s="322">
        <f>+'SEP ORIGEN'!W125-'GENERADO PS locales'!W285</f>
        <v>3.1997140000000002</v>
      </c>
      <c r="X125" s="322">
        <f>+'SEP ORIGEN'!X125-'GENERADO PS locales'!X285</f>
        <v>3.2299819999999997</v>
      </c>
      <c r="Y125" s="322">
        <f>+'SEP ORIGEN'!Y125-'GENERADO PS locales'!Y285</f>
        <v>3.2605719999999998</v>
      </c>
      <c r="Z125" s="322">
        <f>+'SEP ORIGEN'!Z125-'GENERADO PS locales'!Z285</f>
        <v>3.2914839999999996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38">
        <f>+'SEP ORIGEN'!P126</f>
        <v>62.866272000000002</v>
      </c>
      <c r="E126" s="278"/>
      <c r="F126" s="263"/>
      <c r="G126" s="322">
        <f>+'SEP ORIGEN'!G126-'GENERADO PS locales'!G286</f>
        <v>1.6196273999999999</v>
      </c>
      <c r="H126" s="322">
        <f>+'SEP ORIGEN'!H126-'GENERADO PS locales'!H286</f>
        <v>13.103980800000002</v>
      </c>
      <c r="I126" s="322">
        <f>+'SEP ORIGEN'!I126-'GENERADO PS locales'!I286</f>
        <v>24.849954000000004</v>
      </c>
      <c r="J126" s="322">
        <f>+'SEP ORIGEN'!J126-'GENERADO PS locales'!J286</f>
        <v>41.891145000000002</v>
      </c>
      <c r="K126" s="322">
        <f>+'SEP ORIGEN'!K126-'GENERADO PS locales'!K286</f>
        <v>59.322332999999993</v>
      </c>
      <c r="L126" s="322">
        <f>+'SEP ORIGEN'!L126-'GENERADO PS locales'!L286</f>
        <v>60.008486999999995</v>
      </c>
      <c r="M126" s="322">
        <f>+'SEP ORIGEN'!M126-'GENERADO PS locales'!M286</f>
        <v>60.705708000000001</v>
      </c>
      <c r="N126" s="322">
        <f>+'SEP ORIGEN'!N126-'GENERADO PS locales'!N286</f>
        <v>61.414352999999998</v>
      </c>
      <c r="O126" s="322">
        <f>+'SEP ORIGEN'!O126-'GENERADO PS locales'!O286</f>
        <v>62.134422000000001</v>
      </c>
      <c r="P126" s="322">
        <f>+'SEP ORIGEN'!P126-'GENERADO PS locales'!P286</f>
        <v>62.866272000000002</v>
      </c>
      <c r="Q126" s="322">
        <f>+'SEP ORIGEN'!Q126-'GENERADO PS locales'!Q286</f>
        <v>63.609902999999996</v>
      </c>
      <c r="R126" s="322">
        <f>+'SEP ORIGEN'!R126-'GENERADO PS locales'!R286</f>
        <v>64.366028999999997</v>
      </c>
      <c r="S126" s="322">
        <f>+'SEP ORIGEN'!S126-'GENERADO PS locales'!S286</f>
        <v>65.134293</v>
      </c>
      <c r="T126" s="322">
        <f>+'SEP ORIGEN'!T126-'GENERADO PS locales'!T286</f>
        <v>65.915052000000003</v>
      </c>
      <c r="U126" s="322">
        <f>+'SEP ORIGEN'!U126-'GENERADO PS locales'!U286</f>
        <v>66.708305999999993</v>
      </c>
      <c r="V126" s="322">
        <f>+'SEP ORIGEN'!V126-'GENERADO PS locales'!V286</f>
        <v>67.515125999999995</v>
      </c>
      <c r="W126" s="322">
        <f>+'SEP ORIGEN'!W126-'GENERADO PS locales'!W286</f>
        <v>68.334440999999998</v>
      </c>
      <c r="X126" s="322">
        <f>+'SEP ORIGEN'!X126-'GENERADO PS locales'!X286</f>
        <v>69.167678999999993</v>
      </c>
      <c r="Y126" s="322">
        <f>+'SEP ORIGEN'!Y126-'GENERADO PS locales'!Y286</f>
        <v>70.014126000000005</v>
      </c>
      <c r="Z126" s="322">
        <f>+'SEP ORIGEN'!Z126-'GENERADO PS locales'!Z286</f>
        <v>70.874495999999994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38">
        <f>+'SEP ORIGEN'!P127</f>
        <v>23.541294000000001</v>
      </c>
      <c r="E127" s="278"/>
      <c r="F127" s="263"/>
      <c r="G127" s="322">
        <f>+'SEP ORIGEN'!G127-'GENERADO PS locales'!G287</f>
        <v>0.59746500000000002</v>
      </c>
      <c r="H127" s="322">
        <f>+'SEP ORIGEN'!H127-'GENERADO PS locales'!H287</f>
        <v>4.8430416000000003</v>
      </c>
      <c r="I127" s="322">
        <f>+'SEP ORIGEN'!I127-'GENERADO PS locales'!I287</f>
        <v>9.2011140000000005</v>
      </c>
      <c r="J127" s="322">
        <f>+'SEP ORIGEN'!J127-'GENERADO PS locales'!J287</f>
        <v>15.538425000000002</v>
      </c>
      <c r="K127" s="322">
        <f>+'SEP ORIGEN'!K127-'GENERADO PS locales'!K287</f>
        <v>22.041893999999999</v>
      </c>
      <c r="L127" s="322">
        <f>+'SEP ORIGEN'!L127-'GENERADO PS locales'!L287</f>
        <v>22.333920000000003</v>
      </c>
      <c r="M127" s="322">
        <f>+'SEP ORIGEN'!M127-'GENERADO PS locales'!M287</f>
        <v>22.629872999999996</v>
      </c>
      <c r="N127" s="322">
        <f>+'SEP ORIGEN'!N127-'GENERADO PS locales'!N287</f>
        <v>22.929753000000002</v>
      </c>
      <c r="O127" s="322">
        <f>+'SEP ORIGEN'!O127-'GENERADO PS locales'!O287</f>
        <v>23.233560000000001</v>
      </c>
      <c r="P127" s="322">
        <f>+'SEP ORIGEN'!P127-'GENERADO PS locales'!P287</f>
        <v>23.541294000000001</v>
      </c>
      <c r="Q127" s="322">
        <f>+'SEP ORIGEN'!Q127-'GENERADO PS locales'!Q287</f>
        <v>23.853311999999999</v>
      </c>
      <c r="R127" s="322">
        <f>+'SEP ORIGEN'!R127-'GENERADO PS locales'!R287</f>
        <v>24.169256999999998</v>
      </c>
      <c r="S127" s="322">
        <f>+'SEP ORIGEN'!S127-'GENERADO PS locales'!S287</f>
        <v>24.489485999999999</v>
      </c>
      <c r="T127" s="322">
        <f>+'SEP ORIGEN'!T127-'GENERADO PS locales'!T287</f>
        <v>24.813998999999995</v>
      </c>
      <c r="U127" s="322">
        <f>+'SEP ORIGEN'!U127-'GENERADO PS locales'!U287</f>
        <v>25.142795999999997</v>
      </c>
      <c r="V127" s="322">
        <f>+'SEP ORIGEN'!V127-'GENERADO PS locales'!V287</f>
        <v>25.475876999999997</v>
      </c>
      <c r="W127" s="322">
        <f>+'SEP ORIGEN'!W127-'GENERADO PS locales'!W287</f>
        <v>25.813241999999995</v>
      </c>
      <c r="X127" s="322">
        <f>+'SEP ORIGEN'!X127-'GENERADO PS locales'!X287</f>
        <v>26.155248</v>
      </c>
      <c r="Y127" s="322">
        <f>+'SEP ORIGEN'!Y127-'GENERADO PS locales'!Y287</f>
        <v>26.501895000000001</v>
      </c>
      <c r="Z127" s="322">
        <f>+'SEP ORIGEN'!Z127-'GENERADO PS locales'!Z287</f>
        <v>26.853183000000001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38">
        <f>+'SEP ORIGEN'!P128</f>
        <v>52.551470999999999</v>
      </c>
      <c r="E128" s="278"/>
      <c r="F128" s="263"/>
      <c r="G128" s="322">
        <f>+'SEP ORIGEN'!G128-'GENERADO PS locales'!G288</f>
        <v>1.131537</v>
      </c>
      <c r="H128" s="322">
        <f>+'SEP ORIGEN'!H128-'GENERADO PS locales'!H288</f>
        <v>9.3602544000000005</v>
      </c>
      <c r="I128" s="322">
        <f>+'SEP ORIGEN'!I128-'GENERADO PS locales'!I288</f>
        <v>18.137232000000001</v>
      </c>
      <c r="J128" s="322">
        <f>+'SEP ORIGEN'!J128-'GENERADO PS locales'!J288</f>
        <v>31.222709999999999</v>
      </c>
      <c r="K128" s="322">
        <f>+'SEP ORIGEN'!K128-'GENERADO PS locales'!K288</f>
        <v>45.126228000000005</v>
      </c>
      <c r="L128" s="322">
        <f>+'SEP ORIGEN'!L128-'GENERADO PS locales'!L288</f>
        <v>46.563510000000001</v>
      </c>
      <c r="M128" s="322">
        <f>+'SEP ORIGEN'!M128-'GENERADO PS locales'!M288</f>
        <v>48.024354000000002</v>
      </c>
      <c r="N128" s="322">
        <f>+'SEP ORIGEN'!N128-'GENERADO PS locales'!N288</f>
        <v>49.509116999999996</v>
      </c>
      <c r="O128" s="322">
        <f>+'SEP ORIGEN'!O128-'GENERADO PS locales'!O288</f>
        <v>51.017798999999997</v>
      </c>
      <c r="P128" s="322">
        <f>+'SEP ORIGEN'!P128-'GENERADO PS locales'!P288</f>
        <v>52.551470999999999</v>
      </c>
      <c r="Q128" s="322">
        <f>+'SEP ORIGEN'!Q128-'GENERADO PS locales'!Q288</f>
        <v>54.109776000000004</v>
      </c>
      <c r="R128" s="322">
        <f>+'SEP ORIGEN'!R128-'GENERADO PS locales'!R288</f>
        <v>55.693784999999998</v>
      </c>
      <c r="S128" s="322">
        <f>+'SEP ORIGEN'!S128-'GENERADO PS locales'!S288</f>
        <v>57.30349799999999</v>
      </c>
      <c r="T128" s="322">
        <f>+'SEP ORIGEN'!T128-'GENERADO PS locales'!T288</f>
        <v>58.939628999999996</v>
      </c>
      <c r="U128" s="322">
        <f>+'SEP ORIGEN'!U128-'GENERADO PS locales'!U288</f>
        <v>60.602178000000002</v>
      </c>
      <c r="V128" s="322">
        <f>+'SEP ORIGEN'!V128-'GENERADO PS locales'!V288</f>
        <v>62.291858999999988</v>
      </c>
      <c r="W128" s="322">
        <f>+'SEP ORIGEN'!W128-'GENERADO PS locales'!W288</f>
        <v>64.009385999999992</v>
      </c>
      <c r="X128" s="322">
        <f>+'SEP ORIGEN'!X128-'GENERADO PS locales'!X288</f>
        <v>65.754758999999993</v>
      </c>
      <c r="Y128" s="322">
        <f>+'SEP ORIGEN'!Y128-'GENERADO PS locales'!Y288</f>
        <v>67.528691999999992</v>
      </c>
      <c r="Z128" s="322">
        <f>+'SEP ORIGEN'!Z128-'GENERADO PS locales'!Z288</f>
        <v>69.331541999999985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38">
        <f>+'SEP ORIGEN'!P129</f>
        <v>3.7532320000000001</v>
      </c>
      <c r="E129" s="278"/>
      <c r="F129" s="263"/>
      <c r="G129" s="322">
        <f>+'SEP ORIGEN'!G129-'GENERADO PS locales'!G289</f>
        <v>9.6379199999999998E-2</v>
      </c>
      <c r="H129" s="322">
        <f>+'SEP ORIGEN'!H129-'GENERADO PS locales'!H289</f>
        <v>0.78067520000000001</v>
      </c>
      <c r="I129" s="322">
        <f>+'SEP ORIGEN'!I129-'GENERADO PS locales'!I289</f>
        <v>1.4818440000000002</v>
      </c>
      <c r="J129" s="322">
        <f>+'SEP ORIGEN'!J129-'GENERADO PS locales'!J289</f>
        <v>2.49987</v>
      </c>
      <c r="K129" s="322">
        <f>+'SEP ORIGEN'!K129-'GENERADO PS locales'!K289</f>
        <v>3.5419999999999994</v>
      </c>
      <c r="L129" s="322">
        <f>+'SEP ORIGEN'!L129-'GENERADO PS locales'!L289</f>
        <v>3.5841819999999998</v>
      </c>
      <c r="M129" s="322">
        <f>+'SEP ORIGEN'!M129-'GENERADO PS locales'!M289</f>
        <v>3.6263640000000001</v>
      </c>
      <c r="N129" s="322">
        <f>+'SEP ORIGEN'!N129-'GENERADO PS locales'!N289</f>
        <v>3.6688679999999994</v>
      </c>
      <c r="O129" s="322">
        <f>+'SEP ORIGEN'!O129-'GENERADO PS locales'!O289</f>
        <v>3.7110499999999997</v>
      </c>
      <c r="P129" s="322">
        <f>+'SEP ORIGEN'!P129-'GENERADO PS locales'!P289</f>
        <v>3.7532320000000001</v>
      </c>
      <c r="Q129" s="322">
        <f>+'SEP ORIGEN'!Q129-'GENERADO PS locales'!Q289</f>
        <v>3.7954140000000001</v>
      </c>
      <c r="R129" s="322">
        <f>+'SEP ORIGEN'!R129-'GENERADO PS locales'!R289</f>
        <v>3.837596</v>
      </c>
      <c r="S129" s="322">
        <f>+'SEP ORIGEN'!S129-'GENERADO PS locales'!S289</f>
        <v>3.8797779999999995</v>
      </c>
      <c r="T129" s="322">
        <f>+'SEP ORIGEN'!T129-'GENERADO PS locales'!T289</f>
        <v>3.9219599999999999</v>
      </c>
      <c r="U129" s="322">
        <f>+'SEP ORIGEN'!U129-'GENERADO PS locales'!U289</f>
        <v>3.9641420000000003</v>
      </c>
      <c r="V129" s="322">
        <f>+'SEP ORIGEN'!V129-'GENERADO PS locales'!V289</f>
        <v>4.0066459999999999</v>
      </c>
      <c r="W129" s="322">
        <f>+'SEP ORIGEN'!W129-'GENERADO PS locales'!W289</f>
        <v>4.0488279999999994</v>
      </c>
      <c r="X129" s="322">
        <f>+'SEP ORIGEN'!X129-'GENERADO PS locales'!X289</f>
        <v>4.0910099999999998</v>
      </c>
      <c r="Y129" s="322">
        <f>+'SEP ORIGEN'!Y129-'GENERADO PS locales'!Y289</f>
        <v>4.1331920000000002</v>
      </c>
      <c r="Z129" s="322">
        <f>+'SEP ORIGEN'!Z129-'GENERADO PS locales'!Z289</f>
        <v>4.1753739999999997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38">
        <f>+'SEP ORIGEN'!P130</f>
        <v>58.189928999999999</v>
      </c>
      <c r="E130" s="278"/>
      <c r="F130" s="263"/>
      <c r="G130" s="322">
        <f>+'SEP ORIGEN'!G130-'GENERADO PS locales'!G290</f>
        <v>1.4751342000000003</v>
      </c>
      <c r="H130" s="322">
        <f>+'SEP ORIGEN'!H130-'GENERADO PS locales'!H290</f>
        <v>11.958969600000001</v>
      </c>
      <c r="I130" s="322">
        <f>+'SEP ORIGEN'!I130-'GENERADO PS locales'!I290</f>
        <v>22.723100999999996</v>
      </c>
      <c r="J130" s="322">
        <f>+'SEP ORIGEN'!J130-'GENERADO PS locales'!J290</f>
        <v>38.378520000000002</v>
      </c>
      <c r="K130" s="322">
        <f>+'SEP ORIGEN'!K130-'GENERADO PS locales'!K290</f>
        <v>54.448568999999999</v>
      </c>
      <c r="L130" s="322">
        <f>+'SEP ORIGEN'!L130-'GENERADO PS locales'!L290</f>
        <v>55.177205999999998</v>
      </c>
      <c r="M130" s="322">
        <f>+'SEP ORIGEN'!M130-'GENERADO PS locales'!M290</f>
        <v>55.91548199999999</v>
      </c>
      <c r="N130" s="322">
        <f>+'SEP ORIGEN'!N130-'GENERADO PS locales'!N290</f>
        <v>56.663753999999997</v>
      </c>
      <c r="O130" s="322">
        <f>+'SEP ORIGEN'!O130-'GENERADO PS locales'!O290</f>
        <v>57.42166499999999</v>
      </c>
      <c r="P130" s="322">
        <f>+'SEP ORIGEN'!P130-'GENERADO PS locales'!P290</f>
        <v>58.189928999999999</v>
      </c>
      <c r="Q130" s="322">
        <f>+'SEP ORIGEN'!Q130-'GENERADO PS locales'!Q290</f>
        <v>58.968545999999996</v>
      </c>
      <c r="R130" s="322">
        <f>+'SEP ORIGEN'!R130-'GENERADO PS locales'!R290</f>
        <v>59.757515999999995</v>
      </c>
      <c r="S130" s="322">
        <f>+'SEP ORIGEN'!S130-'GENERADO PS locales'!S290</f>
        <v>60.55719599999999</v>
      </c>
      <c r="T130" s="322">
        <f>+'SEP ORIGEN'!T130-'GENERADO PS locales'!T290</f>
        <v>61.367585999999996</v>
      </c>
      <c r="U130" s="322">
        <f>+'SEP ORIGEN'!U130-'GENERADO PS locales'!U290</f>
        <v>62.188685999999997</v>
      </c>
      <c r="V130" s="322">
        <f>+'SEP ORIGEN'!V130-'GENERADO PS locales'!V290</f>
        <v>63.020495999999994</v>
      </c>
      <c r="W130" s="322">
        <f>+'SEP ORIGEN'!W130-'GENERADO PS locales'!W290</f>
        <v>63.863729999999997</v>
      </c>
      <c r="X130" s="322">
        <f>+'SEP ORIGEN'!X130-'GENERADO PS locales'!X290</f>
        <v>64.71838799999999</v>
      </c>
      <c r="Y130" s="322">
        <f>+'SEP ORIGEN'!Y130-'GENERADO PS locales'!Y290</f>
        <v>65.584112999999988</v>
      </c>
      <c r="Z130" s="322">
        <f>+'SEP ORIGEN'!Z130-'GENERADO PS locales'!Z290</f>
        <v>66.461618999999999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38">
        <f>+'SEP ORIGEN'!P131</f>
        <v>3.3413939999999998</v>
      </c>
      <c r="E131" s="278"/>
      <c r="F131" s="263"/>
      <c r="G131" s="322">
        <f>+'SEP ORIGEN'!G131-'GENERADO PS locales'!G291</f>
        <v>8.4704399999999999E-2</v>
      </c>
      <c r="H131" s="322">
        <f>+'SEP ORIGEN'!H131-'GENERADO PS locales'!H291</f>
        <v>0.68668800000000008</v>
      </c>
      <c r="I131" s="322">
        <f>+'SEP ORIGEN'!I131-'GENERADO PS locales'!I291</f>
        <v>1.3047900000000001</v>
      </c>
      <c r="J131" s="322">
        <f>+'SEP ORIGEN'!J131-'GENERADO PS locales'!J291</f>
        <v>2.2038600000000002</v>
      </c>
      <c r="K131" s="322">
        <f>+'SEP ORIGEN'!K131-'GENERADO PS locales'!K291</f>
        <v>3.1266200000000004</v>
      </c>
      <c r="L131" s="322">
        <f>+'SEP ORIGEN'!L131-'GENERADO PS locales'!L291</f>
        <v>3.1684800000000002</v>
      </c>
      <c r="M131" s="322">
        <f>+'SEP ORIGEN'!M131-'GENERADO PS locales'!M291</f>
        <v>3.2106620000000001</v>
      </c>
      <c r="N131" s="322">
        <f>+'SEP ORIGEN'!N131-'GENERADO PS locales'!N291</f>
        <v>3.2538099999999996</v>
      </c>
      <c r="O131" s="322">
        <f>+'SEP ORIGEN'!O131-'GENERADO PS locales'!O291</f>
        <v>3.2972800000000002</v>
      </c>
      <c r="P131" s="322">
        <f>+'SEP ORIGEN'!P131-'GENERADO PS locales'!P291</f>
        <v>3.3413939999999998</v>
      </c>
      <c r="Q131" s="322">
        <f>+'SEP ORIGEN'!Q131-'GENERADO PS locales'!Q291</f>
        <v>3.3861520000000001</v>
      </c>
      <c r="R131" s="322">
        <f>+'SEP ORIGEN'!R131-'GENERADO PS locales'!R291</f>
        <v>3.4312320000000001</v>
      </c>
      <c r="S131" s="322">
        <f>+'SEP ORIGEN'!S131-'GENERADO PS locales'!S291</f>
        <v>3.4772779999999996</v>
      </c>
      <c r="T131" s="322">
        <f>+'SEP ORIGEN'!T131-'GENERADO PS locales'!T291</f>
        <v>3.5236460000000003</v>
      </c>
      <c r="U131" s="322">
        <f>+'SEP ORIGEN'!U131-'GENERADO PS locales'!U291</f>
        <v>3.5709800000000005</v>
      </c>
      <c r="V131" s="322">
        <f>+'SEP ORIGEN'!V131-'GENERADO PS locales'!V291</f>
        <v>3.618636</v>
      </c>
      <c r="W131" s="322">
        <f>+'SEP ORIGEN'!W131-'GENERADO PS locales'!W291</f>
        <v>3.6669360000000002</v>
      </c>
      <c r="X131" s="322">
        <f>+'SEP ORIGEN'!X131-'GENERADO PS locales'!X291</f>
        <v>3.7162020000000004</v>
      </c>
      <c r="Y131" s="322">
        <f>+'SEP ORIGEN'!Y131-'GENERADO PS locales'!Y291</f>
        <v>3.7657899999999995</v>
      </c>
      <c r="Z131" s="322">
        <f>+'SEP ORIGEN'!Z131-'GENERADO PS locales'!Z291</f>
        <v>3.8160219999999998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38">
        <f>+'SEP ORIGEN'!P132</f>
        <v>0.88904199999999989</v>
      </c>
      <c r="E132" s="278"/>
      <c r="F132" s="263"/>
      <c r="G132" s="322">
        <f>+'SEP ORIGEN'!G132-'GENERADO PS locales'!G292</f>
        <v>1.9991600000000002E-2</v>
      </c>
      <c r="H132" s="322">
        <f>+'SEP ORIGEN'!H132-'GENERADO PS locales'!H292</f>
        <v>0.1642016</v>
      </c>
      <c r="I132" s="322">
        <f>+'SEP ORIGEN'!I132-'GENERADO PS locales'!I292</f>
        <v>0.315882</v>
      </c>
      <c r="J132" s="322">
        <f>+'SEP ORIGEN'!J132-'GENERADO PS locales'!J292</f>
        <v>0.53981000000000001</v>
      </c>
      <c r="K132" s="322">
        <f>+'SEP ORIGEN'!K132-'GENERADO PS locales'!K292</f>
        <v>0.77408800000000011</v>
      </c>
      <c r="L132" s="322">
        <f>+'SEP ORIGEN'!L132-'GENERADO PS locales'!L292</f>
        <v>0.79727199999999998</v>
      </c>
      <c r="M132" s="322">
        <f>+'SEP ORIGEN'!M132-'GENERADO PS locales'!M292</f>
        <v>0.82013400000000003</v>
      </c>
      <c r="N132" s="322">
        <f>+'SEP ORIGEN'!N132-'GENERADO PS locales'!N292</f>
        <v>0.8433179999999999</v>
      </c>
      <c r="O132" s="322">
        <f>+'SEP ORIGEN'!O132-'GENERADO PS locales'!O292</f>
        <v>0.86617999999999995</v>
      </c>
      <c r="P132" s="322">
        <f>+'SEP ORIGEN'!P132-'GENERADO PS locales'!P292</f>
        <v>0.88904199999999989</v>
      </c>
      <c r="Q132" s="322">
        <f>+'SEP ORIGEN'!Q132-'GENERADO PS locales'!Q292</f>
        <v>0.91222599999999998</v>
      </c>
      <c r="R132" s="322">
        <f>+'SEP ORIGEN'!R132-'GENERADO PS locales'!R292</f>
        <v>0.93508800000000003</v>
      </c>
      <c r="S132" s="322">
        <f>+'SEP ORIGEN'!S132-'GENERADO PS locales'!S292</f>
        <v>0.95794999999999997</v>
      </c>
      <c r="T132" s="322">
        <f>+'SEP ORIGEN'!T132-'GENERADO PS locales'!T292</f>
        <v>0.98113399999999995</v>
      </c>
      <c r="U132" s="322">
        <f>+'SEP ORIGEN'!U132-'GENERADO PS locales'!U292</f>
        <v>1.0039959999999999</v>
      </c>
      <c r="V132" s="322">
        <f>+'SEP ORIGEN'!V132-'GENERADO PS locales'!V292</f>
        <v>1.02718</v>
      </c>
      <c r="W132" s="322">
        <f>+'SEP ORIGEN'!W132-'GENERADO PS locales'!W292</f>
        <v>1.0500420000000001</v>
      </c>
      <c r="X132" s="322">
        <f>+'SEP ORIGEN'!X132-'GENERADO PS locales'!X292</f>
        <v>1.0729040000000001</v>
      </c>
      <c r="Y132" s="322">
        <f>+'SEP ORIGEN'!Y132-'GENERADO PS locales'!Y292</f>
        <v>1.096088</v>
      </c>
      <c r="Z132" s="322">
        <f>+'SEP ORIGEN'!Z132-'GENERADO PS locales'!Z292</f>
        <v>1.1189499999999999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38">
        <f>+'SEP ORIGEN'!P133</f>
        <v>2.7959260000000001</v>
      </c>
      <c r="E133" s="278"/>
      <c r="F133" s="263"/>
      <c r="G133" s="322">
        <f>+'SEP ORIGEN'!G133-'GENERADO PS locales'!G293</f>
        <v>7.0610000000000006E-2</v>
      </c>
      <c r="H133" s="322">
        <f>+'SEP ORIGEN'!H133-'GENERADO PS locales'!H293</f>
        <v>0.57201920000000006</v>
      </c>
      <c r="I133" s="322">
        <f>+'SEP ORIGEN'!I133-'GENERADO PS locales'!I293</f>
        <v>1.0857840000000001</v>
      </c>
      <c r="J133" s="322">
        <f>+'SEP ORIGEN'!J133-'GENERADO PS locales'!J293</f>
        <v>1.83172</v>
      </c>
      <c r="K133" s="322">
        <f>+'SEP ORIGEN'!K133-'GENERADO PS locales'!K293</f>
        <v>2.5953200000000001</v>
      </c>
      <c r="L133" s="322">
        <f>+'SEP ORIGEN'!L133-'GENERADO PS locales'!L293</f>
        <v>2.63557</v>
      </c>
      <c r="M133" s="322">
        <f>+'SEP ORIGEN'!M133-'GENERADO PS locales'!M293</f>
        <v>2.6754980000000002</v>
      </c>
      <c r="N133" s="322">
        <f>+'SEP ORIGEN'!N133-'GENERADO PS locales'!N293</f>
        <v>2.7157480000000001</v>
      </c>
      <c r="O133" s="322">
        <f>+'SEP ORIGEN'!O133-'GENERADO PS locales'!O293</f>
        <v>2.7556760000000002</v>
      </c>
      <c r="P133" s="322">
        <f>+'SEP ORIGEN'!P133-'GENERADO PS locales'!P293</f>
        <v>2.7959260000000001</v>
      </c>
      <c r="Q133" s="322">
        <f>+'SEP ORIGEN'!Q133-'GENERADO PS locales'!Q293</f>
        <v>2.8358539999999999</v>
      </c>
      <c r="R133" s="322">
        <f>+'SEP ORIGEN'!R133-'GENERADO PS locales'!R293</f>
        <v>2.8757820000000001</v>
      </c>
      <c r="S133" s="322">
        <f>+'SEP ORIGEN'!S133-'GENERADO PS locales'!S293</f>
        <v>2.9160320000000004</v>
      </c>
      <c r="T133" s="322">
        <f>+'SEP ORIGEN'!T133-'GENERADO PS locales'!T293</f>
        <v>2.9559600000000001</v>
      </c>
      <c r="U133" s="322">
        <f>+'SEP ORIGEN'!U133-'GENERADO PS locales'!U293</f>
        <v>2.99621</v>
      </c>
      <c r="V133" s="322">
        <f>+'SEP ORIGEN'!V133-'GENERADO PS locales'!V293</f>
        <v>3.0361379999999998</v>
      </c>
      <c r="W133" s="322">
        <f>+'SEP ORIGEN'!W133-'GENERADO PS locales'!W293</f>
        <v>3.0763880000000001</v>
      </c>
      <c r="X133" s="322">
        <f>+'SEP ORIGEN'!X133-'GENERADO PS locales'!X293</f>
        <v>3.1163159999999999</v>
      </c>
      <c r="Y133" s="322">
        <f>+'SEP ORIGEN'!Y133-'GENERADO PS locales'!Y293</f>
        <v>3.1562439999999996</v>
      </c>
      <c r="Z133" s="322">
        <f>+'SEP ORIGEN'!Z133-'GENERADO PS locales'!Z293</f>
        <v>3.1964939999999999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38">
        <f>+'SEP ORIGEN'!P134</f>
        <v>15.644328</v>
      </c>
      <c r="E134" s="278"/>
      <c r="F134" s="263"/>
      <c r="G134" s="322">
        <f>+'SEP ORIGEN'!G134-'GENERADO PS locales'!G294</f>
        <v>0.41118460000000001</v>
      </c>
      <c r="H134" s="322">
        <f>+'SEP ORIGEN'!H134-'GENERADO PS locales'!H294</f>
        <v>3.3201744000000004</v>
      </c>
      <c r="I134" s="322">
        <f>+'SEP ORIGEN'!I134-'GENERADO PS locales'!I294</f>
        <v>6.2833619999999994</v>
      </c>
      <c r="J134" s="322">
        <f>+'SEP ORIGEN'!J134-'GENERADO PS locales'!J294</f>
        <v>10.569790000000001</v>
      </c>
      <c r="K134" s="322">
        <f>+'SEP ORIGEN'!K134-'GENERADO PS locales'!K294</f>
        <v>14.935347</v>
      </c>
      <c r="L134" s="322">
        <f>+'SEP ORIGEN'!L134-'GENERADO PS locales'!L294</f>
        <v>15.074843000000001</v>
      </c>
      <c r="M134" s="322">
        <f>+'SEP ORIGEN'!M134-'GENERADO PS locales'!M294</f>
        <v>15.215081</v>
      </c>
      <c r="N134" s="322">
        <f>+'SEP ORIGEN'!N134-'GENERADO PS locales'!N294</f>
        <v>15.356803000000001</v>
      </c>
      <c r="O134" s="322">
        <f>+'SEP ORIGEN'!O134-'GENERADO PS locales'!O294</f>
        <v>15.500009</v>
      </c>
      <c r="P134" s="322">
        <f>+'SEP ORIGEN'!P134-'GENERADO PS locales'!P294</f>
        <v>15.644328</v>
      </c>
      <c r="Q134" s="322">
        <f>+'SEP ORIGEN'!Q134-'GENERADO PS locales'!Q294</f>
        <v>15.790130999999999</v>
      </c>
      <c r="R134" s="322">
        <f>+'SEP ORIGEN'!R134-'GENERADO PS locales'!R294</f>
        <v>15.937417999999999</v>
      </c>
      <c r="S134" s="322">
        <f>+'SEP ORIGEN'!S134-'GENERADO PS locales'!S294</f>
        <v>16.085818</v>
      </c>
      <c r="T134" s="322">
        <f>+'SEP ORIGEN'!T134-'GENERADO PS locales'!T294</f>
        <v>16.235702</v>
      </c>
      <c r="U134" s="322">
        <f>+'SEP ORIGEN'!U134-'GENERADO PS locales'!U294</f>
        <v>16.387070000000001</v>
      </c>
      <c r="V134" s="322">
        <f>+'SEP ORIGEN'!V134-'GENERADO PS locales'!V294</f>
        <v>16.539550999999999</v>
      </c>
      <c r="W134" s="322">
        <f>+'SEP ORIGEN'!W134-'GENERADO PS locales'!W294</f>
        <v>16.693887</v>
      </c>
      <c r="X134" s="322">
        <f>+'SEP ORIGEN'!X134-'GENERADO PS locales'!X294</f>
        <v>16.849335999999997</v>
      </c>
      <c r="Y134" s="322">
        <f>+'SEP ORIGEN'!Y134-'GENERADO PS locales'!Y294</f>
        <v>17.006269</v>
      </c>
      <c r="Z134" s="322">
        <f>+'SEP ORIGEN'!Z134-'GENERADO PS locales'!Z294</f>
        <v>17.164685999999996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38">
        <f>+'SEP ORIGEN'!P135</f>
        <v>19.082756</v>
      </c>
      <c r="E135" s="278"/>
      <c r="F135" s="263"/>
      <c r="G135" s="322">
        <f>+'SEP ORIGEN'!G135-'GENERADO PS locales'!G295</f>
        <v>0.52549500000000005</v>
      </c>
      <c r="H135" s="322">
        <f>+'SEP ORIGEN'!H135-'GENERADO PS locales'!H295</f>
        <v>4.2203264000000003</v>
      </c>
      <c r="I135" s="322">
        <f>+'SEP ORIGEN'!I135-'GENERADO PS locales'!I295</f>
        <v>7.9444350000000004</v>
      </c>
      <c r="J135" s="322">
        <f>+'SEP ORIGEN'!J135-'GENERADO PS locales'!J295</f>
        <v>13.293725</v>
      </c>
      <c r="K135" s="322">
        <f>+'SEP ORIGEN'!K135-'GENERADO PS locales'!K295</f>
        <v>18.686899</v>
      </c>
      <c r="L135" s="322">
        <f>+'SEP ORIGEN'!L135-'GENERADO PS locales'!L295</f>
        <v>18.763324999999998</v>
      </c>
      <c r="M135" s="322">
        <f>+'SEP ORIGEN'!M135-'GENERADO PS locales'!M295</f>
        <v>18.841235000000001</v>
      </c>
      <c r="N135" s="322">
        <f>+'SEP ORIGEN'!N135-'GENERADO PS locales'!N295</f>
        <v>18.920628999999998</v>
      </c>
      <c r="O135" s="322">
        <f>+'SEP ORIGEN'!O135-'GENERADO PS locales'!O295</f>
        <v>19.000764999999998</v>
      </c>
      <c r="P135" s="322">
        <f>+'SEP ORIGEN'!P135-'GENERADO PS locales'!P295</f>
        <v>19.082756</v>
      </c>
      <c r="Q135" s="322">
        <f>+'SEP ORIGEN'!Q135-'GENERADO PS locales'!Q295</f>
        <v>19.165860000000002</v>
      </c>
      <c r="R135" s="322">
        <f>+'SEP ORIGEN'!R135-'GENERADO PS locales'!R295</f>
        <v>19.250076999999997</v>
      </c>
      <c r="S135" s="322">
        <f>+'SEP ORIGEN'!S135-'GENERADO PS locales'!S295</f>
        <v>19.336148999999999</v>
      </c>
      <c r="T135" s="322">
        <f>+'SEP ORIGEN'!T135-'GENERADO PS locales'!T295</f>
        <v>19.423334000000001</v>
      </c>
      <c r="U135" s="322">
        <f>+'SEP ORIGEN'!U135-'GENERADO PS locales'!U295</f>
        <v>19.512003</v>
      </c>
      <c r="V135" s="322">
        <f>+'SEP ORIGEN'!V135-'GENERADO PS locales'!V295</f>
        <v>19.602156000000001</v>
      </c>
      <c r="W135" s="322">
        <f>+'SEP ORIGEN'!W135-'GENERADO PS locales'!W295</f>
        <v>19.693792999999999</v>
      </c>
      <c r="X135" s="322">
        <f>+'SEP ORIGEN'!X135-'GENERADO PS locales'!X295</f>
        <v>19.786913999999999</v>
      </c>
      <c r="Y135" s="322">
        <f>+'SEP ORIGEN'!Y135-'GENERADO PS locales'!Y295</f>
        <v>19.881519000000001</v>
      </c>
      <c r="Z135" s="322">
        <f>+'SEP ORIGEN'!Z135-'GENERADO PS locales'!Z295</f>
        <v>19.977608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38">
        <f>+'SEP ORIGEN'!P136</f>
        <v>3.2164579999999998</v>
      </c>
      <c r="E136" s="278"/>
      <c r="F136" s="263"/>
      <c r="G136" s="322">
        <f>+'SEP ORIGEN'!G136-'GENERADO PS locales'!G296</f>
        <v>8.4814799999999996E-2</v>
      </c>
      <c r="H136" s="322">
        <f>+'SEP ORIGEN'!H136-'GENERADO PS locales'!H296</f>
        <v>0.68484800000000012</v>
      </c>
      <c r="I136" s="322">
        <f>+'SEP ORIGEN'!I136-'GENERADO PS locales'!I296</f>
        <v>1.2958200000000002</v>
      </c>
      <c r="J136" s="322">
        <f>+'SEP ORIGEN'!J136-'GENERADO PS locales'!J296</f>
        <v>2.1794799999999999</v>
      </c>
      <c r="K136" s="322">
        <f>+'SEP ORIGEN'!K136-'GENERADO PS locales'!K296</f>
        <v>3.0786419999999999</v>
      </c>
      <c r="L136" s="322">
        <f>+'SEP ORIGEN'!L136-'GENERADO PS locales'!L296</f>
        <v>3.1063339999999999</v>
      </c>
      <c r="M136" s="322">
        <f>+'SEP ORIGEN'!M136-'GENERADO PS locales'!M296</f>
        <v>3.1337039999999998</v>
      </c>
      <c r="N136" s="322">
        <f>+'SEP ORIGEN'!N136-'GENERADO PS locales'!N296</f>
        <v>3.1613959999999999</v>
      </c>
      <c r="O136" s="322">
        <f>+'SEP ORIGEN'!O136-'GENERADO PS locales'!O296</f>
        <v>3.1887660000000002</v>
      </c>
      <c r="P136" s="322">
        <f>+'SEP ORIGEN'!P136-'GENERADO PS locales'!P296</f>
        <v>3.2164579999999998</v>
      </c>
      <c r="Q136" s="322">
        <f>+'SEP ORIGEN'!Q136-'GENERADO PS locales'!Q296</f>
        <v>3.2438279999999997</v>
      </c>
      <c r="R136" s="322">
        <f>+'SEP ORIGEN'!R136-'GENERADO PS locales'!R296</f>
        <v>3.2715200000000002</v>
      </c>
      <c r="S136" s="322">
        <f>+'SEP ORIGEN'!S136-'GENERADO PS locales'!S296</f>
        <v>3.2988899999999997</v>
      </c>
      <c r="T136" s="322">
        <f>+'SEP ORIGEN'!T136-'GENERADO PS locales'!T296</f>
        <v>3.3265820000000001</v>
      </c>
      <c r="U136" s="322">
        <f>+'SEP ORIGEN'!U136-'GENERADO PS locales'!U296</f>
        <v>3.3539520000000005</v>
      </c>
      <c r="V136" s="322">
        <f>+'SEP ORIGEN'!V136-'GENERADO PS locales'!V296</f>
        <v>3.3816439999999997</v>
      </c>
      <c r="W136" s="322">
        <f>+'SEP ORIGEN'!W136-'GENERADO PS locales'!W296</f>
        <v>3.409014</v>
      </c>
      <c r="X136" s="322">
        <f>+'SEP ORIGEN'!X136-'GENERADO PS locales'!X296</f>
        <v>3.436706</v>
      </c>
      <c r="Y136" s="322">
        <f>+'SEP ORIGEN'!Y136-'GENERADO PS locales'!Y296</f>
        <v>3.4640759999999999</v>
      </c>
      <c r="Z136" s="322">
        <f>+'SEP ORIGEN'!Z136-'GENERADO PS locales'!Z296</f>
        <v>3.4917679999999995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38">
        <f>+'SEP ORIGEN'!P137</f>
        <v>28.082690999999997</v>
      </c>
      <c r="E137" s="278"/>
      <c r="F137" s="263"/>
      <c r="G137" s="322">
        <f>+'SEP ORIGEN'!G137-'GENERADO PS locales'!G297</f>
        <v>0.69156000000000006</v>
      </c>
      <c r="H137" s="322">
        <f>+'SEP ORIGEN'!H137-'GENERADO PS locales'!H297</f>
        <v>5.6309712000000003</v>
      </c>
      <c r="I137" s="322">
        <f>+'SEP ORIGEN'!I137-'GENERADO PS locales'!I297</f>
        <v>10.742742</v>
      </c>
      <c r="J137" s="322">
        <f>+'SEP ORIGEN'!J137-'GENERADO PS locales'!J297</f>
        <v>18.212354999999999</v>
      </c>
      <c r="K137" s="322">
        <f>+'SEP ORIGEN'!K137-'GENERADO PS locales'!K297</f>
        <v>25.928195999999996</v>
      </c>
      <c r="L137" s="322">
        <f>+'SEP ORIGEN'!L137-'GENERADO PS locales'!L297</f>
        <v>26.359095</v>
      </c>
      <c r="M137" s="322">
        <f>+'SEP ORIGEN'!M137-'GENERADO PS locales'!M297</f>
        <v>26.789993999999997</v>
      </c>
      <c r="N137" s="322">
        <f>+'SEP ORIGEN'!N137-'GENERADO PS locales'!N297</f>
        <v>27.221250000000001</v>
      </c>
      <c r="O137" s="322">
        <f>+'SEP ORIGEN'!O137-'GENERADO PS locales'!O297</f>
        <v>27.651791999999997</v>
      </c>
      <c r="P137" s="322">
        <f>+'SEP ORIGEN'!P137-'GENERADO PS locales'!P297</f>
        <v>28.082690999999997</v>
      </c>
      <c r="Q137" s="322">
        <f>+'SEP ORIGEN'!Q137-'GENERADO PS locales'!Q297</f>
        <v>28.513946999999995</v>
      </c>
      <c r="R137" s="322">
        <f>+'SEP ORIGEN'!R137-'GENERADO PS locales'!R297</f>
        <v>28.944489000000001</v>
      </c>
      <c r="S137" s="322">
        <f>+'SEP ORIGEN'!S137-'GENERADO PS locales'!S297</f>
        <v>29.375744999999998</v>
      </c>
      <c r="T137" s="322">
        <f>+'SEP ORIGEN'!T137-'GENERADO PS locales'!T297</f>
        <v>29.806286999999998</v>
      </c>
      <c r="U137" s="322">
        <f>+'SEP ORIGEN'!U137-'GENERADO PS locales'!U297</f>
        <v>30.237542999999995</v>
      </c>
      <c r="V137" s="322">
        <f>+'SEP ORIGEN'!V137-'GENERADO PS locales'!V297</f>
        <v>30.668441999999995</v>
      </c>
      <c r="W137" s="322">
        <f>+'SEP ORIGEN'!W137-'GENERADO PS locales'!W297</f>
        <v>31.098983999999998</v>
      </c>
      <c r="X137" s="322">
        <f>+'SEP ORIGEN'!X137-'GENERADO PS locales'!X297</f>
        <v>31.530240000000003</v>
      </c>
      <c r="Y137" s="322">
        <f>+'SEP ORIGEN'!Y137-'GENERADO PS locales'!Y297</f>
        <v>31.960781999999998</v>
      </c>
      <c r="Z137" s="322">
        <f>+'SEP ORIGEN'!Z137-'GENERADO PS locales'!Z297</f>
        <v>32.392037999999999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38">
        <f>+'SEP ORIGEN'!P138</f>
        <v>1.951964</v>
      </c>
      <c r="E138" s="278"/>
      <c r="F138" s="263"/>
      <c r="G138" s="322">
        <f>+'SEP ORIGEN'!G138-'GENERADO PS locales'!G298</f>
        <v>5.3571599999999997E-2</v>
      </c>
      <c r="H138" s="322">
        <f>+'SEP ORIGEN'!H138-'GENERADO PS locales'!H298</f>
        <v>0.43048639999999999</v>
      </c>
      <c r="I138" s="322">
        <f>+'SEP ORIGEN'!I138-'GENERADO PS locales'!I298</f>
        <v>0.81088799999999994</v>
      </c>
      <c r="J138" s="322">
        <f>+'SEP ORIGEN'!J138-'GENERADO PS locales'!J298</f>
        <v>1.3574600000000001</v>
      </c>
      <c r="K138" s="322">
        <f>+'SEP ORIGEN'!K138-'GENERADO PS locales'!K298</f>
        <v>1.909138</v>
      </c>
      <c r="L138" s="322">
        <f>+'SEP ORIGEN'!L138-'GENERADO PS locales'!L298</f>
        <v>1.9178320000000002</v>
      </c>
      <c r="M138" s="322">
        <f>+'SEP ORIGEN'!M138-'GENERADO PS locales'!M298</f>
        <v>1.926204</v>
      </c>
      <c r="N138" s="322">
        <f>+'SEP ORIGEN'!N138-'GENERADO PS locales'!N298</f>
        <v>1.934898</v>
      </c>
      <c r="O138" s="322">
        <f>+'SEP ORIGEN'!O138-'GENERADO PS locales'!O298</f>
        <v>1.9432699999999998</v>
      </c>
      <c r="P138" s="322">
        <f>+'SEP ORIGEN'!P138-'GENERADO PS locales'!P298</f>
        <v>1.951964</v>
      </c>
      <c r="Q138" s="322">
        <f>+'SEP ORIGEN'!Q138-'GENERADO PS locales'!Q298</f>
        <v>1.960658</v>
      </c>
      <c r="R138" s="322">
        <f>+'SEP ORIGEN'!R138-'GENERADO PS locales'!R298</f>
        <v>1.9690299999999998</v>
      </c>
      <c r="S138" s="322">
        <f>+'SEP ORIGEN'!S138-'GENERADO PS locales'!S298</f>
        <v>1.9777239999999998</v>
      </c>
      <c r="T138" s="322">
        <f>+'SEP ORIGEN'!T138-'GENERADO PS locales'!T298</f>
        <v>1.9860960000000001</v>
      </c>
      <c r="U138" s="322">
        <f>+'SEP ORIGEN'!U138-'GENERADO PS locales'!U298</f>
        <v>1.9947900000000001</v>
      </c>
      <c r="V138" s="322">
        <f>+'SEP ORIGEN'!V138-'GENERADO PS locales'!V298</f>
        <v>2.0031620000000001</v>
      </c>
      <c r="W138" s="322">
        <f>+'SEP ORIGEN'!W138-'GENERADO PS locales'!W298</f>
        <v>2.0118559999999999</v>
      </c>
      <c r="X138" s="322">
        <f>+'SEP ORIGEN'!X138-'GENERADO PS locales'!X298</f>
        <v>2.0205499999999996</v>
      </c>
      <c r="Y138" s="322">
        <f>+'SEP ORIGEN'!Y138-'GENERADO PS locales'!Y298</f>
        <v>2.0289220000000001</v>
      </c>
      <c r="Z138" s="322">
        <f>+'SEP ORIGEN'!Z138-'GENERADO PS locales'!Z298</f>
        <v>2.0376159999999999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38">
        <f>+'SEP ORIGEN'!P139</f>
        <v>47.172195000000002</v>
      </c>
      <c r="E139" s="278"/>
      <c r="F139" s="263"/>
      <c r="G139" s="322">
        <f>+'SEP ORIGEN'!G139-'GENERADO PS locales'!G299</f>
        <v>1.2126168000000002</v>
      </c>
      <c r="H139" s="322">
        <f>+'SEP ORIGEN'!H139-'GENERADO PS locales'!H299</f>
        <v>9.8155008000000006</v>
      </c>
      <c r="I139" s="322">
        <f>+'SEP ORIGEN'!I139-'GENERADO PS locales'!I299</f>
        <v>18.621476999999999</v>
      </c>
      <c r="J139" s="322">
        <f>+'SEP ORIGEN'!J139-'GENERADO PS locales'!J299</f>
        <v>31.402229999999999</v>
      </c>
      <c r="K139" s="322">
        <f>+'SEP ORIGEN'!K139-'GENERADO PS locales'!K299</f>
        <v>44.482557</v>
      </c>
      <c r="L139" s="322">
        <f>+'SEP ORIGEN'!L139-'GENERADO PS locales'!L299</f>
        <v>45.008060999999998</v>
      </c>
      <c r="M139" s="322">
        <f>+'SEP ORIGEN'!M139-'GENERADO PS locales'!M299</f>
        <v>45.539634000000007</v>
      </c>
      <c r="N139" s="322">
        <f>+'SEP ORIGEN'!N139-'GENERADO PS locales'!N299</f>
        <v>46.077275999999998</v>
      </c>
      <c r="O139" s="322">
        <f>+'SEP ORIGEN'!O139-'GENERADO PS locales'!O299</f>
        <v>46.621701000000009</v>
      </c>
      <c r="P139" s="322">
        <f>+'SEP ORIGEN'!P139-'GENERADO PS locales'!P299</f>
        <v>47.172195000000002</v>
      </c>
      <c r="Q139" s="322">
        <f>+'SEP ORIGEN'!Q139-'GENERADO PS locales'!Q299</f>
        <v>47.729472000000001</v>
      </c>
      <c r="R139" s="322">
        <f>+'SEP ORIGEN'!R139-'GENERADO PS locales'!R299</f>
        <v>48.293174999999998</v>
      </c>
      <c r="S139" s="322">
        <f>+'SEP ORIGEN'!S139-'GENERADO PS locales'!S299</f>
        <v>48.863660999999993</v>
      </c>
      <c r="T139" s="322">
        <f>+'SEP ORIGEN'!T139-'GENERADO PS locales'!T299</f>
        <v>49.440573000000001</v>
      </c>
      <c r="U139" s="322">
        <f>+'SEP ORIGEN'!U139-'GENERADO PS locales'!U299</f>
        <v>50.024625</v>
      </c>
      <c r="V139" s="322">
        <f>+'SEP ORIGEN'!V139-'GENERADO PS locales'!V299</f>
        <v>50.615459999999999</v>
      </c>
      <c r="W139" s="322">
        <f>+'SEP ORIGEN'!W139-'GENERADO PS locales'!W299</f>
        <v>51.213077999999996</v>
      </c>
      <c r="X139" s="322">
        <f>+'SEP ORIGEN'!X139-'GENERADO PS locales'!X299</f>
        <v>51.818193000000001</v>
      </c>
      <c r="Y139" s="322">
        <f>+'SEP ORIGEN'!Y139-'GENERADO PS locales'!Y299</f>
        <v>52.430090999999997</v>
      </c>
      <c r="Z139" s="322">
        <f>+'SEP ORIGEN'!Z139-'GENERADO PS locales'!Z299</f>
        <v>53.049485999999987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38">
        <f>+'SEP ORIGEN'!P140</f>
        <v>2993.4782219999997</v>
      </c>
      <c r="E140" s="278"/>
      <c r="F140" s="263"/>
      <c r="G140" s="322">
        <f>+'SEP ORIGEN'!G140-'GENERADO PS locales'!G300</f>
        <v>79.611208499999989</v>
      </c>
      <c r="H140" s="322">
        <f>+'SEP ORIGEN'!H140-'GENERADO PS locales'!H300</f>
        <v>641.81508000000008</v>
      </c>
      <c r="I140" s="322">
        <f>+'SEP ORIGEN'!I140-'GENERADO PS locales'!I300</f>
        <v>1212.7890104999999</v>
      </c>
      <c r="J140" s="322">
        <f>+'SEP ORIGEN'!J140-'GENERADO PS locales'!J300</f>
        <v>2037.2134724999999</v>
      </c>
      <c r="K140" s="322">
        <f>+'SEP ORIGEN'!K140-'GENERADO PS locales'!K300</f>
        <v>2874.7194209999993</v>
      </c>
      <c r="L140" s="322">
        <f>+'SEP ORIGEN'!L140-'GENERADO PS locales'!L300</f>
        <v>2897.7086249999998</v>
      </c>
      <c r="M140" s="322">
        <f>+'SEP ORIGEN'!M140-'GENERADO PS locales'!M300</f>
        <v>2921.0733824999993</v>
      </c>
      <c r="N140" s="322">
        <f>+'SEP ORIGEN'!N140-'GENERADO PS locales'!N300</f>
        <v>2944.8191219999999</v>
      </c>
      <c r="O140" s="322">
        <f>+'SEP ORIGEN'!O140-'GENERADO PS locales'!O300</f>
        <v>2968.9522590000001</v>
      </c>
      <c r="P140" s="322">
        <f>+'SEP ORIGEN'!P140-'GENERADO PS locales'!P300</f>
        <v>2993.4782219999997</v>
      </c>
      <c r="Q140" s="322">
        <f>+'SEP ORIGEN'!Q140-'GENERADO PS locales'!Q300</f>
        <v>3018.4049069999992</v>
      </c>
      <c r="R140" s="322">
        <f>+'SEP ORIGEN'!R140-'GENERADO PS locales'!R300</f>
        <v>3043.7387294999994</v>
      </c>
      <c r="S140" s="322">
        <f>+'SEP ORIGEN'!S140-'GENERADO PS locales'!S300</f>
        <v>3069.4851179999996</v>
      </c>
      <c r="T140" s="322">
        <f>+'SEP ORIGEN'!T140-'GENERADO PS locales'!T300</f>
        <v>3095.6514750000001</v>
      </c>
      <c r="U140" s="322">
        <f>+'SEP ORIGEN'!U140-'GENERADO PS locales'!U300</f>
        <v>3122.2452029999999</v>
      </c>
      <c r="V140" s="322">
        <f>+'SEP ORIGEN'!V140-'GENERADO PS locales'!V300</f>
        <v>3149.2727174999995</v>
      </c>
      <c r="W140" s="322">
        <f>+'SEP ORIGEN'!W140-'GENERADO PS locales'!W300</f>
        <v>3176.7409275</v>
      </c>
      <c r="X140" s="322">
        <f>+'SEP ORIGEN'!X140-'GENERADO PS locales'!X300</f>
        <v>3204.6567419999997</v>
      </c>
      <c r="Y140" s="322">
        <f>+'SEP ORIGEN'!Y140-'GENERADO PS locales'!Y300</f>
        <v>3233.0285504999997</v>
      </c>
      <c r="Z140" s="322">
        <f>+'SEP ORIGEN'!Z140-'GENERADO PS locales'!Z300</f>
        <v>3261.8632619999998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38">
        <f>+'SEP ORIGEN'!P141</f>
        <v>1.0976980000000001</v>
      </c>
      <c r="E141" s="278"/>
      <c r="F141" s="263"/>
      <c r="G141" s="322">
        <f>+'SEP ORIGEN'!G141-'GENERADO PS locales'!G301</f>
        <v>3.05992E-2</v>
      </c>
      <c r="H141" s="322">
        <f>+'SEP ORIGEN'!H141-'GENERADO PS locales'!H301</f>
        <v>0.24545600000000004</v>
      </c>
      <c r="I141" s="322">
        <f>+'SEP ORIGEN'!I141-'GENERADO PS locales'!I301</f>
        <v>0.46147199999999999</v>
      </c>
      <c r="J141" s="322">
        <f>+'SEP ORIGEN'!J141-'GENERADO PS locales'!J301</f>
        <v>0.77142000000000011</v>
      </c>
      <c r="K141" s="322">
        <f>+'SEP ORIGEN'!K141-'GENERADO PS locales'!K301</f>
        <v>1.082886</v>
      </c>
      <c r="L141" s="322">
        <f>+'SEP ORIGEN'!L141-'GENERADO PS locales'!L301</f>
        <v>1.0857839999999999</v>
      </c>
      <c r="M141" s="322">
        <f>+'SEP ORIGEN'!M141-'GENERADO PS locales'!M301</f>
        <v>1.0886819999999999</v>
      </c>
      <c r="N141" s="322">
        <f>+'SEP ORIGEN'!N141-'GENERADO PS locales'!N301</f>
        <v>1.0919019999999999</v>
      </c>
      <c r="O141" s="322">
        <f>+'SEP ORIGEN'!O141-'GENERADO PS locales'!O301</f>
        <v>1.0948</v>
      </c>
      <c r="P141" s="322">
        <f>+'SEP ORIGEN'!P141-'GENERADO PS locales'!P301</f>
        <v>1.0976980000000001</v>
      </c>
      <c r="Q141" s="322">
        <f>+'SEP ORIGEN'!Q141-'GENERADO PS locales'!Q301</f>
        <v>1.1009179999999998</v>
      </c>
      <c r="R141" s="322">
        <f>+'SEP ORIGEN'!R141-'GENERADO PS locales'!R301</f>
        <v>1.1038159999999999</v>
      </c>
      <c r="S141" s="322">
        <f>+'SEP ORIGEN'!S141-'GENERADO PS locales'!S301</f>
        <v>1.106714</v>
      </c>
      <c r="T141" s="322">
        <f>+'SEP ORIGEN'!T141-'GENERADO PS locales'!T301</f>
        <v>1.109934</v>
      </c>
      <c r="U141" s="322">
        <f>+'SEP ORIGEN'!U141-'GENERADO PS locales'!U301</f>
        <v>1.112832</v>
      </c>
      <c r="V141" s="322">
        <f>+'SEP ORIGEN'!V141-'GENERADO PS locales'!V301</f>
        <v>1.1157299999999999</v>
      </c>
      <c r="W141" s="322">
        <f>+'SEP ORIGEN'!W141-'GENERADO PS locales'!W301</f>
        <v>1.1189499999999999</v>
      </c>
      <c r="X141" s="322">
        <f>+'SEP ORIGEN'!X141-'GENERADO PS locales'!X301</f>
        <v>1.121848</v>
      </c>
      <c r="Y141" s="322">
        <f>+'SEP ORIGEN'!Y141-'GENERADO PS locales'!Y301</f>
        <v>1.1247459999999998</v>
      </c>
      <c r="Z141" s="322">
        <f>+'SEP ORIGEN'!Z141-'GENERADO PS locales'!Z301</f>
        <v>1.127966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38">
        <f>+'SEP ORIGEN'!P142</f>
        <v>1.1888240000000001</v>
      </c>
      <c r="E142" s="278"/>
      <c r="F142" s="263"/>
      <c r="G142" s="322">
        <f>+'SEP ORIGEN'!G142-'GENERADO PS locales'!G302</f>
        <v>3.2310400000000003E-2</v>
      </c>
      <c r="H142" s="322">
        <f>+'SEP ORIGEN'!H142-'GENERADO PS locales'!H302</f>
        <v>0.2599552</v>
      </c>
      <c r="I142" s="322">
        <f>+'SEP ORIGEN'!I142-'GENERADO PS locales'!I302</f>
        <v>0.490176</v>
      </c>
      <c r="J142" s="322">
        <f>+'SEP ORIGEN'!J142-'GENERADO PS locales'!J302</f>
        <v>0.82156000000000007</v>
      </c>
      <c r="K142" s="322">
        <f>+'SEP ORIGEN'!K142-'GENERADO PS locales'!K302</f>
        <v>1.1566240000000001</v>
      </c>
      <c r="L142" s="322">
        <f>+'SEP ORIGEN'!L142-'GENERADO PS locales'!L302</f>
        <v>1.1630639999999999</v>
      </c>
      <c r="M142" s="322">
        <f>+'SEP ORIGEN'!M142-'GENERADO PS locales'!M302</f>
        <v>1.1695039999999999</v>
      </c>
      <c r="N142" s="322">
        <f>+'SEP ORIGEN'!N142-'GENERADO PS locales'!N302</f>
        <v>1.1759439999999999</v>
      </c>
      <c r="O142" s="322">
        <f>+'SEP ORIGEN'!O142-'GENERADO PS locales'!O302</f>
        <v>1.1823840000000001</v>
      </c>
      <c r="P142" s="322">
        <f>+'SEP ORIGEN'!P142-'GENERADO PS locales'!P302</f>
        <v>1.1888240000000001</v>
      </c>
      <c r="Q142" s="322">
        <f>+'SEP ORIGEN'!Q142-'GENERADO PS locales'!Q302</f>
        <v>1.1952639999999999</v>
      </c>
      <c r="R142" s="322">
        <f>+'SEP ORIGEN'!R142-'GENERADO PS locales'!R302</f>
        <v>1.2017039999999999</v>
      </c>
      <c r="S142" s="322">
        <f>+'SEP ORIGEN'!S142-'GENERADO PS locales'!S302</f>
        <v>1.2081440000000001</v>
      </c>
      <c r="T142" s="322">
        <f>+'SEP ORIGEN'!T142-'GENERADO PS locales'!T302</f>
        <v>1.2145840000000001</v>
      </c>
      <c r="U142" s="322">
        <f>+'SEP ORIGEN'!U142-'GENERADO PS locales'!U302</f>
        <v>1.2210239999999999</v>
      </c>
      <c r="V142" s="322">
        <f>+'SEP ORIGEN'!V142-'GENERADO PS locales'!V302</f>
        <v>1.2274639999999999</v>
      </c>
      <c r="W142" s="322">
        <f>+'SEP ORIGEN'!W142-'GENERADO PS locales'!W302</f>
        <v>1.2339039999999999</v>
      </c>
      <c r="X142" s="322">
        <f>+'SEP ORIGEN'!X142-'GENERADO PS locales'!X302</f>
        <v>1.2403440000000001</v>
      </c>
      <c r="Y142" s="322">
        <f>+'SEP ORIGEN'!Y142-'GENERADO PS locales'!Y302</f>
        <v>1.2467839999999999</v>
      </c>
      <c r="Z142" s="322">
        <f>+'SEP ORIGEN'!Z142-'GENERADO PS locales'!Z302</f>
        <v>1.2532240000000001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38">
        <f>+'SEP ORIGEN'!P143</f>
        <v>5.3693499999999998</v>
      </c>
      <c r="E143" s="278"/>
      <c r="F143" s="263"/>
      <c r="G143" s="322">
        <f>+'SEP ORIGEN'!G143-'GENERADO PS locales'!G303</f>
        <v>0.11780599999999999</v>
      </c>
      <c r="H143" s="322">
        <f>+'SEP ORIGEN'!H143-'GENERADO PS locales'!H303</f>
        <v>0.97203519999999999</v>
      </c>
      <c r="I143" s="322">
        <f>+'SEP ORIGEN'!I143-'GENERADO PS locales'!I303</f>
        <v>1.8791460000000002</v>
      </c>
      <c r="J143" s="322">
        <f>+'SEP ORIGEN'!J143-'GENERADO PS locales'!J303</f>
        <v>3.2275900000000002</v>
      </c>
      <c r="K143" s="322">
        <f>+'SEP ORIGEN'!K143-'GENERADO PS locales'!K303</f>
        <v>4.6545100000000001</v>
      </c>
      <c r="L143" s="322">
        <f>+'SEP ORIGEN'!L143-'GENERADO PS locales'!L303</f>
        <v>4.7929699999999995</v>
      </c>
      <c r="M143" s="322">
        <f>+'SEP ORIGEN'!M143-'GENERADO PS locales'!M303</f>
        <v>4.9336839999999995</v>
      </c>
      <c r="N143" s="322">
        <f>+'SEP ORIGEN'!N143-'GENERADO PS locales'!N303</f>
        <v>5.0763300000000005</v>
      </c>
      <c r="O143" s="322">
        <f>+'SEP ORIGEN'!O143-'GENERADO PS locales'!O303</f>
        <v>5.221552</v>
      </c>
      <c r="P143" s="322">
        <f>+'SEP ORIGEN'!P143-'GENERADO PS locales'!P303</f>
        <v>5.3693499999999998</v>
      </c>
      <c r="Q143" s="322">
        <f>+'SEP ORIGEN'!Q143-'GENERADO PS locales'!Q303</f>
        <v>5.5190799999999998</v>
      </c>
      <c r="R143" s="322">
        <f>+'SEP ORIGEN'!R143-'GENERADO PS locales'!R303</f>
        <v>5.6717079999999997</v>
      </c>
      <c r="S143" s="322">
        <f>+'SEP ORIGEN'!S143-'GENERADO PS locales'!S303</f>
        <v>5.8265900000000004</v>
      </c>
      <c r="T143" s="322">
        <f>+'SEP ORIGEN'!T143-'GENERADO PS locales'!T303</f>
        <v>5.9840480000000005</v>
      </c>
      <c r="U143" s="322">
        <f>+'SEP ORIGEN'!U143-'GENERADO PS locales'!U303</f>
        <v>6.144082</v>
      </c>
      <c r="V143" s="322">
        <f>+'SEP ORIGEN'!V143-'GENERADO PS locales'!V303</f>
        <v>6.3066919999999991</v>
      </c>
      <c r="W143" s="322">
        <f>+'SEP ORIGEN'!W143-'GENERADO PS locales'!W303</f>
        <v>6.4718779999999994</v>
      </c>
      <c r="X143" s="322">
        <f>+'SEP ORIGEN'!X143-'GENERADO PS locales'!X303</f>
        <v>6.6399619999999988</v>
      </c>
      <c r="Y143" s="322">
        <f>+'SEP ORIGEN'!Y143-'GENERADO PS locales'!Y303</f>
        <v>6.8106220000000004</v>
      </c>
      <c r="Z143" s="322">
        <f>+'SEP ORIGEN'!Z143-'GENERADO PS locales'!Z303</f>
        <v>6.9841799999999994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38">
        <f>+'SEP ORIGEN'!P144</f>
        <v>9.2182370000000002</v>
      </c>
      <c r="E144" s="278"/>
      <c r="F144" s="263"/>
      <c r="G144" s="322">
        <f>+'SEP ORIGEN'!G144-'GENERADO PS locales'!G304</f>
        <v>0.19067280000000003</v>
      </c>
      <c r="H144" s="322">
        <f>+'SEP ORIGEN'!H144-'GENERADO PS locales'!H304</f>
        <v>1.5859296000000003</v>
      </c>
      <c r="I144" s="322">
        <f>+'SEP ORIGEN'!I144-'GENERADO PS locales'!I304</f>
        <v>3.0888930000000006</v>
      </c>
      <c r="J144" s="322">
        <f>+'SEP ORIGEN'!J144-'GENERADO PS locales'!J304</f>
        <v>5.3434600000000003</v>
      </c>
      <c r="K144" s="322">
        <f>+'SEP ORIGEN'!K144-'GENERADO PS locales'!K304</f>
        <v>7.7587230000000007</v>
      </c>
      <c r="L144" s="322">
        <f>+'SEP ORIGEN'!L144-'GENERADO PS locales'!L304</f>
        <v>8.0414250000000003</v>
      </c>
      <c r="M144" s="322">
        <f>+'SEP ORIGEN'!M144-'GENERADO PS locales'!M304</f>
        <v>8.3285789999999995</v>
      </c>
      <c r="N144" s="322">
        <f>+'SEP ORIGEN'!N144-'GENERADO PS locales'!N304</f>
        <v>8.6201849999999993</v>
      </c>
      <c r="O144" s="322">
        <f>+'SEP ORIGEN'!O144-'GENERADO PS locales'!O304</f>
        <v>8.9166139999999992</v>
      </c>
      <c r="P144" s="322">
        <f>+'SEP ORIGEN'!P144-'GENERADO PS locales'!P304</f>
        <v>9.2182370000000002</v>
      </c>
      <c r="Q144" s="322">
        <f>+'SEP ORIGEN'!Q144-'GENERADO PS locales'!Q304</f>
        <v>9.5243119999999983</v>
      </c>
      <c r="R144" s="322">
        <f>+'SEP ORIGEN'!R144-'GENERADO PS locales'!R304</f>
        <v>9.8355809999999995</v>
      </c>
      <c r="S144" s="322">
        <f>+'SEP ORIGEN'!S144-'GENERADO PS locales'!S304</f>
        <v>10.152043999999998</v>
      </c>
      <c r="T144" s="322">
        <f>+'SEP ORIGEN'!T144-'GENERADO PS locales'!T304</f>
        <v>10.473700999999998</v>
      </c>
      <c r="U144" s="322">
        <f>+'SEP ORIGEN'!U144-'GENERADO PS locales'!U304</f>
        <v>10.800552</v>
      </c>
      <c r="V144" s="322">
        <f>+'SEP ORIGEN'!V144-'GENERADO PS locales'!V304</f>
        <v>11.132596999999999</v>
      </c>
      <c r="W144" s="322">
        <f>+'SEP ORIGEN'!W144-'GENERADO PS locales'!W304</f>
        <v>11.470207</v>
      </c>
      <c r="X144" s="322">
        <f>+'SEP ORIGEN'!X144-'GENERADO PS locales'!X304</f>
        <v>11.813010999999999</v>
      </c>
      <c r="Y144" s="322">
        <f>+'SEP ORIGEN'!Y144-'GENERADO PS locales'!Y304</f>
        <v>12.161751000000001</v>
      </c>
      <c r="Z144" s="322">
        <f>+'SEP ORIGEN'!Z144-'GENERADO PS locales'!Z304</f>
        <v>12.516056000000001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38">
        <f>+'SEP ORIGEN'!P145</f>
        <v>2.5376820000000002</v>
      </c>
      <c r="E145" s="278"/>
      <c r="F145" s="263"/>
      <c r="G145" s="322">
        <f>+'SEP ORIGEN'!G145-'GENERADO PS locales'!G305</f>
        <v>6.8144400000000008E-2</v>
      </c>
      <c r="H145" s="322">
        <f>+'SEP ORIGEN'!H145-'GENERADO PS locales'!H305</f>
        <v>0.54898240000000009</v>
      </c>
      <c r="I145" s="322">
        <f>+'SEP ORIGEN'!I145-'GENERADO PS locales'!I305</f>
        <v>1.036656</v>
      </c>
      <c r="J145" s="322">
        <f>+'SEP ORIGEN'!J145-'GENERADO PS locales'!J305</f>
        <v>1.7399500000000001</v>
      </c>
      <c r="K145" s="322">
        <f>+'SEP ORIGEN'!K145-'GENERADO PS locales'!K305</f>
        <v>2.4529959999999997</v>
      </c>
      <c r="L145" s="322">
        <f>+'SEP ORIGEN'!L145-'GENERADO PS locales'!L305</f>
        <v>2.4697400000000003</v>
      </c>
      <c r="M145" s="322">
        <f>+'SEP ORIGEN'!M145-'GENERADO PS locales'!M305</f>
        <v>2.4868059999999996</v>
      </c>
      <c r="N145" s="322">
        <f>+'SEP ORIGEN'!N145-'GENERADO PS locales'!N305</f>
        <v>2.5038719999999999</v>
      </c>
      <c r="O145" s="322">
        <f>+'SEP ORIGEN'!O145-'GENERADO PS locales'!O305</f>
        <v>2.520616</v>
      </c>
      <c r="P145" s="322">
        <f>+'SEP ORIGEN'!P145-'GENERADO PS locales'!P305</f>
        <v>2.5376820000000002</v>
      </c>
      <c r="Q145" s="322">
        <f>+'SEP ORIGEN'!Q145-'GENERADO PS locales'!Q305</f>
        <v>2.554748</v>
      </c>
      <c r="R145" s="322">
        <f>+'SEP ORIGEN'!R145-'GENERADO PS locales'!R305</f>
        <v>2.5714920000000001</v>
      </c>
      <c r="S145" s="322">
        <f>+'SEP ORIGEN'!S145-'GENERADO PS locales'!S305</f>
        <v>2.5885579999999999</v>
      </c>
      <c r="T145" s="322">
        <f>+'SEP ORIGEN'!T145-'GENERADO PS locales'!T305</f>
        <v>2.6056240000000002</v>
      </c>
      <c r="U145" s="322">
        <f>+'SEP ORIGEN'!U145-'GENERADO PS locales'!U305</f>
        <v>2.6223679999999998</v>
      </c>
      <c r="V145" s="322">
        <f>+'SEP ORIGEN'!V145-'GENERADO PS locales'!V305</f>
        <v>2.6394340000000001</v>
      </c>
      <c r="W145" s="322">
        <f>+'SEP ORIGEN'!W145-'GENERADO PS locales'!W305</f>
        <v>2.6564999999999999</v>
      </c>
      <c r="X145" s="322">
        <f>+'SEP ORIGEN'!X145-'GENERADO PS locales'!X305</f>
        <v>2.673244</v>
      </c>
      <c r="Y145" s="322">
        <f>+'SEP ORIGEN'!Y145-'GENERADO PS locales'!Y305</f>
        <v>2.6903099999999998</v>
      </c>
      <c r="Z145" s="322">
        <f>+'SEP ORIGEN'!Z145-'GENERADO PS locales'!Z305</f>
        <v>2.707376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38">
        <f>+'SEP ORIGEN'!P146</f>
        <v>0.98306600000000011</v>
      </c>
      <c r="E146" s="278"/>
      <c r="F146" s="263"/>
      <c r="G146" s="322">
        <f>+'SEP ORIGEN'!G146-'GENERADO PS locales'!G306</f>
        <v>2.7554000000000002E-2</v>
      </c>
      <c r="H146" s="322">
        <f>+'SEP ORIGEN'!H146-'GENERADO PS locales'!H306</f>
        <v>0.2208736</v>
      </c>
      <c r="I146" s="322">
        <f>+'SEP ORIGEN'!I146-'GENERADO PS locales'!I306</f>
        <v>0.41510399999999997</v>
      </c>
      <c r="J146" s="322">
        <f>+'SEP ORIGEN'!J146-'GENERADO PS locales'!J306</f>
        <v>0.69322000000000006</v>
      </c>
      <c r="K146" s="322">
        <f>+'SEP ORIGEN'!K146-'GENERADO PS locales'!K306</f>
        <v>0.97276200000000002</v>
      </c>
      <c r="L146" s="322">
        <f>+'SEP ORIGEN'!L146-'GENERADO PS locales'!L306</f>
        <v>0.97469399999999995</v>
      </c>
      <c r="M146" s="322">
        <f>+'SEP ORIGEN'!M146-'GENERADO PS locales'!M306</f>
        <v>0.97694799999999993</v>
      </c>
      <c r="N146" s="322">
        <f>+'SEP ORIGEN'!N146-'GENERADO PS locales'!N306</f>
        <v>0.97887999999999997</v>
      </c>
      <c r="O146" s="322">
        <f>+'SEP ORIGEN'!O146-'GENERADO PS locales'!O306</f>
        <v>0.98113399999999995</v>
      </c>
      <c r="P146" s="322">
        <f>+'SEP ORIGEN'!P146-'GENERADO PS locales'!P306</f>
        <v>0.98306600000000011</v>
      </c>
      <c r="Q146" s="322">
        <f>+'SEP ORIGEN'!Q146-'GENERADO PS locales'!Q306</f>
        <v>0.98532000000000008</v>
      </c>
      <c r="R146" s="322">
        <f>+'SEP ORIGEN'!R146-'GENERADO PS locales'!R306</f>
        <v>0.98757400000000006</v>
      </c>
      <c r="S146" s="322">
        <f>+'SEP ORIGEN'!S146-'GENERADO PS locales'!S306</f>
        <v>0.989506</v>
      </c>
      <c r="T146" s="322">
        <f>+'SEP ORIGEN'!T146-'GENERADO PS locales'!T306</f>
        <v>0.99175999999999997</v>
      </c>
      <c r="U146" s="322">
        <f>+'SEP ORIGEN'!U146-'GENERADO PS locales'!U306</f>
        <v>0.99369200000000002</v>
      </c>
      <c r="V146" s="322">
        <f>+'SEP ORIGEN'!V146-'GENERADO PS locales'!V306</f>
        <v>0.99594599999999989</v>
      </c>
      <c r="W146" s="322">
        <f>+'SEP ORIGEN'!W146-'GENERADO PS locales'!W306</f>
        <v>0.99787799999999993</v>
      </c>
      <c r="X146" s="322">
        <f>+'SEP ORIGEN'!X146-'GENERADO PS locales'!X306</f>
        <v>1.000132</v>
      </c>
      <c r="Y146" s="322">
        <f>+'SEP ORIGEN'!Y146-'GENERADO PS locales'!Y306</f>
        <v>1.0020639999999998</v>
      </c>
      <c r="Z146" s="322">
        <f>+'SEP ORIGEN'!Z146-'GENERADO PS locales'!Z306</f>
        <v>1.0043179999999998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38">
        <f>+'SEP ORIGEN'!P147</f>
        <v>1.45383</v>
      </c>
      <c r="E147" s="278"/>
      <c r="F147" s="263"/>
      <c r="G147" s="322">
        <f>+'SEP ORIGEN'!G147-'GENERADO PS locales'!G307</f>
        <v>4.0480000000000002E-2</v>
      </c>
      <c r="H147" s="322">
        <f>+'SEP ORIGEN'!H147-'GENERADO PS locales'!H307</f>
        <v>0.32479680000000005</v>
      </c>
      <c r="I147" s="322">
        <f>+'SEP ORIGEN'!I147-'GENERADO PS locales'!I307</f>
        <v>0.61064999999999992</v>
      </c>
      <c r="J147" s="322">
        <f>+'SEP ORIGEN'!J147-'GENERADO PS locales'!J307</f>
        <v>1.02074</v>
      </c>
      <c r="K147" s="322">
        <f>+'SEP ORIGEN'!K147-'GENERADO PS locales'!K307</f>
        <v>1.433222</v>
      </c>
      <c r="L147" s="322">
        <f>+'SEP ORIGEN'!L147-'GENERADO PS locales'!L307</f>
        <v>1.437408</v>
      </c>
      <c r="M147" s="322">
        <f>+'SEP ORIGEN'!M147-'GENERADO PS locales'!M307</f>
        <v>1.441594</v>
      </c>
      <c r="N147" s="322">
        <f>+'SEP ORIGEN'!N147-'GENERADO PS locales'!N307</f>
        <v>1.4454579999999999</v>
      </c>
      <c r="O147" s="322">
        <f>+'SEP ORIGEN'!O147-'GENERADO PS locales'!O307</f>
        <v>1.4496439999999999</v>
      </c>
      <c r="P147" s="322">
        <f>+'SEP ORIGEN'!P147-'GENERADO PS locales'!P307</f>
        <v>1.45383</v>
      </c>
      <c r="Q147" s="322">
        <f>+'SEP ORIGEN'!Q147-'GENERADO PS locales'!Q307</f>
        <v>1.4580160000000002</v>
      </c>
      <c r="R147" s="322">
        <f>+'SEP ORIGEN'!R147-'GENERADO PS locales'!R307</f>
        <v>1.4622019999999998</v>
      </c>
      <c r="S147" s="322">
        <f>+'SEP ORIGEN'!S147-'GENERADO PS locales'!S307</f>
        <v>1.466388</v>
      </c>
      <c r="T147" s="322">
        <f>+'SEP ORIGEN'!T147-'GENERADO PS locales'!T307</f>
        <v>1.4702520000000001</v>
      </c>
      <c r="U147" s="322">
        <f>+'SEP ORIGEN'!U147-'GENERADO PS locales'!U307</f>
        <v>1.4744380000000001</v>
      </c>
      <c r="V147" s="322">
        <f>+'SEP ORIGEN'!V147-'GENERADO PS locales'!V307</f>
        <v>1.4786239999999999</v>
      </c>
      <c r="W147" s="322">
        <f>+'SEP ORIGEN'!W147-'GENERADO PS locales'!W307</f>
        <v>1.48281</v>
      </c>
      <c r="X147" s="322">
        <f>+'SEP ORIGEN'!X147-'GENERADO PS locales'!X307</f>
        <v>1.486996</v>
      </c>
      <c r="Y147" s="322">
        <f>+'SEP ORIGEN'!Y147-'GENERADO PS locales'!Y307</f>
        <v>1.4908600000000001</v>
      </c>
      <c r="Z147" s="322">
        <f>+'SEP ORIGEN'!Z147-'GENERADO PS locales'!Z307</f>
        <v>1.4950459999999999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38">
        <f>+'SEP ORIGEN'!P148</f>
        <v>0.24021200000000001</v>
      </c>
      <c r="E148" s="278"/>
      <c r="F148" s="263"/>
      <c r="G148" s="322">
        <f>+'SEP ORIGEN'!G148-'GENERADO PS locales'!G308</f>
        <v>7.0380000000000009E-3</v>
      </c>
      <c r="H148" s="322">
        <f>+'SEP ORIGEN'!H148-'GENERADO PS locales'!H308</f>
        <v>5.6156800000000007E-2</v>
      </c>
      <c r="I148" s="322">
        <f>+'SEP ORIGEN'!I148-'GENERADO PS locales'!I308</f>
        <v>0.10488</v>
      </c>
      <c r="J148" s="322">
        <f>+'SEP ORIGEN'!J148-'GENERADO PS locales'!J308</f>
        <v>0.17433999999999999</v>
      </c>
      <c r="K148" s="322">
        <f>+'SEP ORIGEN'!K148-'GENERADO PS locales'!K308</f>
        <v>0.24343199999999998</v>
      </c>
      <c r="L148" s="322">
        <f>+'SEP ORIGEN'!L148-'GENERADO PS locales'!L308</f>
        <v>0.242788</v>
      </c>
      <c r="M148" s="322">
        <f>+'SEP ORIGEN'!M148-'GENERADO PS locales'!M308</f>
        <v>0.242144</v>
      </c>
      <c r="N148" s="322">
        <f>+'SEP ORIGEN'!N148-'GENERADO PS locales'!N308</f>
        <v>0.24149999999999996</v>
      </c>
      <c r="O148" s="322">
        <f>+'SEP ORIGEN'!O148-'GENERADO PS locales'!O308</f>
        <v>0.24085600000000001</v>
      </c>
      <c r="P148" s="322">
        <f>+'SEP ORIGEN'!P148-'GENERADO PS locales'!P308</f>
        <v>0.24021200000000001</v>
      </c>
      <c r="Q148" s="322">
        <f>+'SEP ORIGEN'!Q148-'GENERADO PS locales'!Q308</f>
        <v>0.23956799999999998</v>
      </c>
      <c r="R148" s="322">
        <f>+'SEP ORIGEN'!R148-'GENERADO PS locales'!R308</f>
        <v>0.238924</v>
      </c>
      <c r="S148" s="322">
        <f>+'SEP ORIGEN'!S148-'GENERADO PS locales'!S308</f>
        <v>0.23828000000000002</v>
      </c>
      <c r="T148" s="322">
        <f>+'SEP ORIGEN'!T148-'GENERADO PS locales'!T308</f>
        <v>0.23763599999999999</v>
      </c>
      <c r="U148" s="322">
        <f>+'SEP ORIGEN'!U148-'GENERADO PS locales'!U308</f>
        <v>0.23699200000000001</v>
      </c>
      <c r="V148" s="322">
        <f>+'SEP ORIGEN'!V148-'GENERADO PS locales'!V308</f>
        <v>0.23634799999999997</v>
      </c>
      <c r="W148" s="322">
        <f>+'SEP ORIGEN'!W148-'GENERADO PS locales'!W308</f>
        <v>0.235704</v>
      </c>
      <c r="X148" s="322">
        <f>+'SEP ORIGEN'!X148-'GENERADO PS locales'!X308</f>
        <v>0.23505999999999996</v>
      </c>
      <c r="Y148" s="322">
        <f>+'SEP ORIGEN'!Y148-'GENERADO PS locales'!Y308</f>
        <v>0.23441599999999999</v>
      </c>
      <c r="Z148" s="322">
        <f>+'SEP ORIGEN'!Z148-'GENERADO PS locales'!Z308</f>
        <v>0.23377200000000001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38">
        <f>+'SEP ORIGEN'!P149</f>
        <v>0.54675599999999991</v>
      </c>
      <c r="E149" s="278"/>
      <c r="F149" s="263"/>
      <c r="G149" s="322">
        <f>+'SEP ORIGEN'!G149-'GENERADO PS locales'!G309</f>
        <v>1.2631600000000002E-2</v>
      </c>
      <c r="H149" s="322">
        <f>+'SEP ORIGEN'!H149-'GENERADO PS locales'!H309</f>
        <v>0.10348160000000001</v>
      </c>
      <c r="I149" s="322">
        <f>+'SEP ORIGEN'!I149-'GENERADO PS locales'!I309</f>
        <v>0.19871999999999998</v>
      </c>
      <c r="J149" s="322">
        <f>+'SEP ORIGEN'!J149-'GENERADO PS locales'!J309</f>
        <v>0.33902000000000004</v>
      </c>
      <c r="K149" s="322">
        <f>+'SEP ORIGEN'!K149-'GENERADO PS locales'!K309</f>
        <v>0.48589799999999994</v>
      </c>
      <c r="L149" s="322">
        <f>+'SEP ORIGEN'!L149-'GENERADO PS locales'!L309</f>
        <v>0.49748999999999999</v>
      </c>
      <c r="M149" s="322">
        <f>+'SEP ORIGEN'!M149-'GENERADO PS locales'!M309</f>
        <v>0.50940399999999997</v>
      </c>
      <c r="N149" s="322">
        <f>+'SEP ORIGEN'!N149-'GENERADO PS locales'!N309</f>
        <v>0.52163999999999999</v>
      </c>
      <c r="O149" s="322">
        <f>+'SEP ORIGEN'!O149-'GENERADO PS locales'!O309</f>
        <v>0.53387600000000002</v>
      </c>
      <c r="P149" s="322">
        <f>+'SEP ORIGEN'!P149-'GENERADO PS locales'!P309</f>
        <v>0.54675599999999991</v>
      </c>
      <c r="Q149" s="322">
        <f>+'SEP ORIGEN'!Q149-'GENERADO PS locales'!Q309</f>
        <v>0.55963599999999991</v>
      </c>
      <c r="R149" s="322">
        <f>+'SEP ORIGEN'!R149-'GENERADO PS locales'!R309</f>
        <v>0.57316</v>
      </c>
      <c r="S149" s="322">
        <f>+'SEP ORIGEN'!S149-'GENERADO PS locales'!S309</f>
        <v>0.58668399999999998</v>
      </c>
      <c r="T149" s="322">
        <f>+'SEP ORIGEN'!T149-'GENERADO PS locales'!T309</f>
        <v>0.60085199999999994</v>
      </c>
      <c r="U149" s="322">
        <f>+'SEP ORIGEN'!U149-'GENERADO PS locales'!U309</f>
        <v>0.61502000000000001</v>
      </c>
      <c r="V149" s="322">
        <f>+'SEP ORIGEN'!V149-'GENERADO PS locales'!V309</f>
        <v>0.62983199999999995</v>
      </c>
      <c r="W149" s="322">
        <f>+'SEP ORIGEN'!W149-'GENERADO PS locales'!W309</f>
        <v>0.64464399999999999</v>
      </c>
      <c r="X149" s="322">
        <f>+'SEP ORIGEN'!X149-'GENERADO PS locales'!X309</f>
        <v>0.66009999999999991</v>
      </c>
      <c r="Y149" s="322">
        <f>+'SEP ORIGEN'!Y149-'GENERADO PS locales'!Y309</f>
        <v>0.67587799999999998</v>
      </c>
      <c r="Z149" s="322">
        <f>+'SEP ORIGEN'!Z149-'GENERADO PS locales'!Z309</f>
        <v>0.69197799999999998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38">
        <f>+'SEP ORIGEN'!P150</f>
        <v>1.6428439999999997</v>
      </c>
      <c r="E150" s="278"/>
      <c r="F150" s="263"/>
      <c r="G150" s="322">
        <f>+'SEP ORIGEN'!G150-'GENERADO PS locales'!G310</f>
        <v>4.4675200000000005E-2</v>
      </c>
      <c r="H150" s="322">
        <f>+'SEP ORIGEN'!H150-'GENERADO PS locales'!H310</f>
        <v>0.35938880000000006</v>
      </c>
      <c r="I150" s="322">
        <f>+'SEP ORIGEN'!I150-'GENERADO PS locales'!I310</f>
        <v>0.67757999999999996</v>
      </c>
      <c r="J150" s="322">
        <f>+'SEP ORIGEN'!J150-'GENERADO PS locales'!J310</f>
        <v>1.13574</v>
      </c>
      <c r="K150" s="322">
        <f>+'SEP ORIGEN'!K150-'GENERADO PS locales'!K310</f>
        <v>1.59873</v>
      </c>
      <c r="L150" s="322">
        <f>+'SEP ORIGEN'!L150-'GENERADO PS locales'!L310</f>
        <v>1.6077459999999999</v>
      </c>
      <c r="M150" s="322">
        <f>+'SEP ORIGEN'!M150-'GENERADO PS locales'!M310</f>
        <v>1.6164400000000001</v>
      </c>
      <c r="N150" s="322">
        <f>+'SEP ORIGEN'!N150-'GENERADO PS locales'!N310</f>
        <v>1.6251339999999999</v>
      </c>
      <c r="O150" s="322">
        <f>+'SEP ORIGEN'!O150-'GENERADO PS locales'!O310</f>
        <v>1.6341499999999998</v>
      </c>
      <c r="P150" s="322">
        <f>+'SEP ORIGEN'!P150-'GENERADO PS locales'!P310</f>
        <v>1.6428439999999997</v>
      </c>
      <c r="Q150" s="322">
        <f>+'SEP ORIGEN'!Q150-'GENERADO PS locales'!Q310</f>
        <v>1.6518600000000001</v>
      </c>
      <c r="R150" s="322">
        <f>+'SEP ORIGEN'!R150-'GENERADO PS locales'!R310</f>
        <v>1.6605540000000003</v>
      </c>
      <c r="S150" s="322">
        <f>+'SEP ORIGEN'!S150-'GENERADO PS locales'!S310</f>
        <v>1.6692480000000003</v>
      </c>
      <c r="T150" s="322">
        <f>+'SEP ORIGEN'!T150-'GENERADO PS locales'!T310</f>
        <v>1.678264</v>
      </c>
      <c r="U150" s="322">
        <f>+'SEP ORIGEN'!U150-'GENERADO PS locales'!U310</f>
        <v>1.686958</v>
      </c>
      <c r="V150" s="322">
        <f>+'SEP ORIGEN'!V150-'GENERADO PS locales'!V310</f>
        <v>1.6959740000000001</v>
      </c>
      <c r="W150" s="322">
        <f>+'SEP ORIGEN'!W150-'GENERADO PS locales'!W310</f>
        <v>1.7046680000000001</v>
      </c>
      <c r="X150" s="322">
        <f>+'SEP ORIGEN'!X150-'GENERADO PS locales'!X310</f>
        <v>1.7136839999999998</v>
      </c>
      <c r="Y150" s="322">
        <f>+'SEP ORIGEN'!Y150-'GENERADO PS locales'!Y310</f>
        <v>1.722378</v>
      </c>
      <c r="Z150" s="322">
        <f>+'SEP ORIGEN'!Z150-'GENERADO PS locales'!Z310</f>
        <v>1.7310719999999999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38">
        <f>+'SEP ORIGEN'!P151</f>
        <v>15.334543</v>
      </c>
      <c r="E151" s="278"/>
      <c r="F151" s="263"/>
      <c r="G151" s="322">
        <f>+'SEP ORIGEN'!G151-'GENERADO PS locales'!G311</f>
        <v>0.35394460000000005</v>
      </c>
      <c r="H151" s="322">
        <f>+'SEP ORIGEN'!H151-'GENERADO PS locales'!H311</f>
        <v>2.8982943999999997</v>
      </c>
      <c r="I151" s="322">
        <f>+'SEP ORIGEN'!I151-'GENERADO PS locales'!I311</f>
        <v>5.5594349999999997</v>
      </c>
      <c r="J151" s="322">
        <f>+'SEP ORIGEN'!J151-'GENERADO PS locales'!J311</f>
        <v>9.4742800000000003</v>
      </c>
      <c r="K151" s="322">
        <f>+'SEP ORIGEN'!K151-'GENERADO PS locales'!K311</f>
        <v>13.556339999999999</v>
      </c>
      <c r="L151" s="322">
        <f>+'SEP ORIGEN'!L151-'GENERADO PS locales'!L311</f>
        <v>13.911758000000001</v>
      </c>
      <c r="M151" s="322">
        <f>+'SEP ORIGEN'!M151-'GENERADO PS locales'!M311</f>
        <v>14.267547000000002</v>
      </c>
      <c r="N151" s="322">
        <f>+'SEP ORIGEN'!N151-'GENERADO PS locales'!N311</f>
        <v>14.623335999999998</v>
      </c>
      <c r="O151" s="322">
        <f>+'SEP ORIGEN'!O151-'GENERADO PS locales'!O311</f>
        <v>14.978754</v>
      </c>
      <c r="P151" s="322">
        <f>+'SEP ORIGEN'!P151-'GENERADO PS locales'!P311</f>
        <v>15.334543</v>
      </c>
      <c r="Q151" s="322">
        <f>+'SEP ORIGEN'!Q151-'GENERADO PS locales'!Q311</f>
        <v>15.689960999999998</v>
      </c>
      <c r="R151" s="322">
        <f>+'SEP ORIGEN'!R151-'GENERADO PS locales'!R311</f>
        <v>16.045749999999998</v>
      </c>
      <c r="S151" s="322">
        <f>+'SEP ORIGEN'!S151-'GENERADO PS locales'!S311</f>
        <v>16.401167999999998</v>
      </c>
      <c r="T151" s="322">
        <f>+'SEP ORIGEN'!T151-'GENERADO PS locales'!T311</f>
        <v>16.757328000000001</v>
      </c>
      <c r="U151" s="322">
        <f>+'SEP ORIGEN'!U151-'GENERADO PS locales'!U311</f>
        <v>17.112746000000001</v>
      </c>
      <c r="V151" s="322">
        <f>+'SEP ORIGEN'!V151-'GENERADO PS locales'!V311</f>
        <v>17.468535000000003</v>
      </c>
      <c r="W151" s="322">
        <f>+'SEP ORIGEN'!W151-'GENERADO PS locales'!W311</f>
        <v>17.823952999999999</v>
      </c>
      <c r="X151" s="322">
        <f>+'SEP ORIGEN'!X151-'GENERADO PS locales'!X311</f>
        <v>18.179742000000001</v>
      </c>
      <c r="Y151" s="322">
        <f>+'SEP ORIGEN'!Y151-'GENERADO PS locales'!Y311</f>
        <v>18.535160000000001</v>
      </c>
      <c r="Z151" s="322">
        <f>+'SEP ORIGEN'!Z151-'GENERADO PS locales'!Z311</f>
        <v>18.89132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38">
        <f>+'SEP ORIGEN'!P152</f>
        <v>1.0951219999999999</v>
      </c>
      <c r="E152" s="278"/>
      <c r="F152" s="263"/>
      <c r="G152" s="322">
        <f>+'SEP ORIGEN'!G152-'GENERADO PS locales'!G312</f>
        <v>3.1326E-2</v>
      </c>
      <c r="H152" s="322">
        <f>+'SEP ORIGEN'!H152-'GENERADO PS locales'!H312</f>
        <v>0.25053440000000005</v>
      </c>
      <c r="I152" s="322">
        <f>+'SEP ORIGEN'!I152-'GENERADO PS locales'!I312</f>
        <v>0.469752</v>
      </c>
      <c r="J152" s="322">
        <f>+'SEP ORIGEN'!J152-'GENERADO PS locales'!J312</f>
        <v>0.78269000000000011</v>
      </c>
      <c r="K152" s="322">
        <f>+'SEP ORIGEN'!K152-'GENERADO PS locales'!K312</f>
        <v>1.095766</v>
      </c>
      <c r="L152" s="322">
        <f>+'SEP ORIGEN'!L152-'GENERADO PS locales'!L312</f>
        <v>1.095766</v>
      </c>
      <c r="M152" s="322">
        <f>+'SEP ORIGEN'!M152-'GENERADO PS locales'!M312</f>
        <v>1.0954440000000001</v>
      </c>
      <c r="N152" s="322">
        <f>+'SEP ORIGEN'!N152-'GENERADO PS locales'!N312</f>
        <v>1.0954440000000001</v>
      </c>
      <c r="O152" s="322">
        <f>+'SEP ORIGEN'!O152-'GENERADO PS locales'!O312</f>
        <v>1.0951219999999999</v>
      </c>
      <c r="P152" s="322">
        <f>+'SEP ORIGEN'!P152-'GENERADO PS locales'!P312</f>
        <v>1.0951219999999999</v>
      </c>
      <c r="Q152" s="322">
        <f>+'SEP ORIGEN'!Q152-'GENERADO PS locales'!Q312</f>
        <v>1.0948</v>
      </c>
      <c r="R152" s="322">
        <f>+'SEP ORIGEN'!R152-'GENERADO PS locales'!R312</f>
        <v>1.0948</v>
      </c>
      <c r="S152" s="322">
        <f>+'SEP ORIGEN'!S152-'GENERADO PS locales'!S312</f>
        <v>1.0944779999999998</v>
      </c>
      <c r="T152" s="322">
        <f>+'SEP ORIGEN'!T152-'GENERADO PS locales'!T312</f>
        <v>1.0944779999999998</v>
      </c>
      <c r="U152" s="322">
        <f>+'SEP ORIGEN'!U152-'GENERADO PS locales'!U312</f>
        <v>1.0944779999999998</v>
      </c>
      <c r="V152" s="322">
        <f>+'SEP ORIGEN'!V152-'GENERADO PS locales'!V312</f>
        <v>1.0941560000000001</v>
      </c>
      <c r="W152" s="322">
        <f>+'SEP ORIGEN'!W152-'GENERADO PS locales'!W312</f>
        <v>1.0941560000000001</v>
      </c>
      <c r="X152" s="322">
        <f>+'SEP ORIGEN'!X152-'GENERADO PS locales'!X312</f>
        <v>1.093834</v>
      </c>
      <c r="Y152" s="322">
        <f>+'SEP ORIGEN'!Y152-'GENERADO PS locales'!Y312</f>
        <v>1.093834</v>
      </c>
      <c r="Z152" s="322">
        <f>+'SEP ORIGEN'!Z152-'GENERADO PS locales'!Z312</f>
        <v>1.0935119999999998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38">
        <f>+'SEP ORIGEN'!P153</f>
        <v>13.035456</v>
      </c>
      <c r="E153" s="278"/>
      <c r="F153" s="263"/>
      <c r="G153" s="322">
        <f>+'SEP ORIGEN'!G153-'GENERADO PS locales'!G313</f>
        <v>0.25130479999999999</v>
      </c>
      <c r="H153" s="322">
        <f>+'SEP ORIGEN'!H153-'GENERADO PS locales'!H313</f>
        <v>2.1001568000000002</v>
      </c>
      <c r="I153" s="322">
        <f>+'SEP ORIGEN'!I153-'GENERADO PS locales'!I313</f>
        <v>4.1138069999999995</v>
      </c>
      <c r="J153" s="322">
        <f>+'SEP ORIGEN'!J153-'GENERADO PS locales'!J313</f>
        <v>7.1626850000000006</v>
      </c>
      <c r="K153" s="322">
        <f>+'SEP ORIGEN'!K153-'GENERADO PS locales'!K313</f>
        <v>10.475926999999999</v>
      </c>
      <c r="L153" s="322">
        <f>+'SEP ORIGEN'!L153-'GENERADO PS locales'!L313</f>
        <v>10.9445</v>
      </c>
      <c r="M153" s="322">
        <f>+'SEP ORIGEN'!M153-'GENERADO PS locales'!M313</f>
        <v>11.433477999999999</v>
      </c>
      <c r="N153" s="322">
        <f>+'SEP ORIGEN'!N153-'GENERADO PS locales'!N313</f>
        <v>11.944345000000002</v>
      </c>
      <c r="O153" s="322">
        <f>+'SEP ORIGEN'!O153-'GENERADO PS locales'!O313</f>
        <v>12.477843</v>
      </c>
      <c r="P153" s="322">
        <f>+'SEP ORIGEN'!P153-'GENERADO PS locales'!P313</f>
        <v>13.035456</v>
      </c>
      <c r="Q153" s="322">
        <f>+'SEP ORIGEN'!Q153-'GENERADO PS locales'!Q313</f>
        <v>13.618668</v>
      </c>
      <c r="R153" s="322">
        <f>+'SEP ORIGEN'!R153-'GENERADO PS locales'!R313</f>
        <v>14.227108000000001</v>
      </c>
      <c r="S153" s="322">
        <f>+'SEP ORIGEN'!S153-'GENERADO PS locales'!S313</f>
        <v>14.862631</v>
      </c>
      <c r="T153" s="322">
        <f>+'SEP ORIGEN'!T153-'GENERADO PS locales'!T313</f>
        <v>15.527092</v>
      </c>
      <c r="U153" s="322">
        <f>+'SEP ORIGEN'!U153-'GENERADO PS locales'!U313</f>
        <v>16.220862</v>
      </c>
      <c r="V153" s="322">
        <f>+'SEP ORIGEN'!V153-'GENERADO PS locales'!V313</f>
        <v>16.945796000000001</v>
      </c>
      <c r="W153" s="322">
        <f>+'SEP ORIGEN'!W153-'GENERADO PS locales'!W313</f>
        <v>17.703377999999997</v>
      </c>
      <c r="X153" s="322">
        <f>+'SEP ORIGEN'!X153-'GENERADO PS locales'!X313</f>
        <v>18.493979</v>
      </c>
      <c r="Y153" s="322">
        <f>+'SEP ORIGEN'!Y153-'GENERADO PS locales'!Y313</f>
        <v>19.320567</v>
      </c>
      <c r="Z153" s="322">
        <f>+'SEP ORIGEN'!Z153-'GENERADO PS locales'!Z313</f>
        <v>20.184255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38">
        <f>+'SEP ORIGEN'!P154</f>
        <v>1.859872</v>
      </c>
      <c r="E154" s="278"/>
      <c r="F154" s="263"/>
      <c r="G154" s="322">
        <f>+'SEP ORIGEN'!G154-'GENERADO PS locales'!G314</f>
        <v>5.2366400000000007E-2</v>
      </c>
      <c r="H154" s="322">
        <f>+'SEP ORIGEN'!H154-'GENERADO PS locales'!H314</f>
        <v>0.41959360000000007</v>
      </c>
      <c r="I154" s="322">
        <f>+'SEP ORIGEN'!I154-'GENERADO PS locales'!I314</f>
        <v>0.78811799999999987</v>
      </c>
      <c r="J154" s="322">
        <f>+'SEP ORIGEN'!J154-'GENERADO PS locales'!J314</f>
        <v>1.3156000000000001</v>
      </c>
      <c r="K154" s="322">
        <f>+'SEP ORIGEN'!K154-'GENERADO PS locales'!K314</f>
        <v>1.844738</v>
      </c>
      <c r="L154" s="322">
        <f>+'SEP ORIGEN'!L154-'GENERADO PS locales'!L314</f>
        <v>1.8476359999999998</v>
      </c>
      <c r="M154" s="322">
        <f>+'SEP ORIGEN'!M154-'GENERADO PS locales'!M314</f>
        <v>1.8508559999999996</v>
      </c>
      <c r="N154" s="322">
        <f>+'SEP ORIGEN'!N154-'GENERADO PS locales'!N314</f>
        <v>1.8537540000000001</v>
      </c>
      <c r="O154" s="322">
        <f>+'SEP ORIGEN'!O154-'GENERADO PS locales'!O314</f>
        <v>1.856652</v>
      </c>
      <c r="P154" s="322">
        <f>+'SEP ORIGEN'!P154-'GENERADO PS locales'!P314</f>
        <v>1.859872</v>
      </c>
      <c r="Q154" s="322">
        <f>+'SEP ORIGEN'!Q154-'GENERADO PS locales'!Q314</f>
        <v>1.8627699999999998</v>
      </c>
      <c r="R154" s="322">
        <f>+'SEP ORIGEN'!R154-'GENERADO PS locales'!R314</f>
        <v>1.8656680000000001</v>
      </c>
      <c r="S154" s="322">
        <f>+'SEP ORIGEN'!S154-'GENERADO PS locales'!S314</f>
        <v>1.8688880000000001</v>
      </c>
      <c r="T154" s="322">
        <f>+'SEP ORIGEN'!T154-'GENERADO PS locales'!T314</f>
        <v>1.8717859999999997</v>
      </c>
      <c r="U154" s="322">
        <f>+'SEP ORIGEN'!U154-'GENERADO PS locales'!U314</f>
        <v>1.8750059999999997</v>
      </c>
      <c r="V154" s="322">
        <f>+'SEP ORIGEN'!V154-'GENERADO PS locales'!V314</f>
        <v>1.877904</v>
      </c>
      <c r="W154" s="322">
        <f>+'SEP ORIGEN'!W154-'GENERADO PS locales'!W314</f>
        <v>1.8808020000000001</v>
      </c>
      <c r="X154" s="322">
        <f>+'SEP ORIGEN'!X154-'GENERADO PS locales'!X314</f>
        <v>1.8840220000000001</v>
      </c>
      <c r="Y154" s="322">
        <f>+'SEP ORIGEN'!Y154-'GENERADO PS locales'!Y314</f>
        <v>1.8869199999999997</v>
      </c>
      <c r="Z154" s="322">
        <f>+'SEP ORIGEN'!Z154-'GENERADO PS locales'!Z314</f>
        <v>1.8901399999999999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38">
        <f>+'SEP ORIGEN'!P155</f>
        <v>4.3795219999999997</v>
      </c>
      <c r="E155" s="278"/>
      <c r="F155" s="263"/>
      <c r="G155" s="322">
        <f>+'SEP ORIGEN'!G155-'GENERADO PS locales'!G315</f>
        <v>0.11697800000000001</v>
      </c>
      <c r="H155" s="322">
        <f>+'SEP ORIGEN'!H155-'GENERADO PS locales'!H315</f>
        <v>0.9428160000000001</v>
      </c>
      <c r="I155" s="322">
        <f>+'SEP ORIGEN'!I155-'GENERADO PS locales'!I315</f>
        <v>1.781166</v>
      </c>
      <c r="J155" s="322">
        <f>+'SEP ORIGEN'!J155-'GENERADO PS locales'!J315</f>
        <v>2.9906899999999998</v>
      </c>
      <c r="K155" s="322">
        <f>+'SEP ORIGEN'!K155-'GENERADO PS locales'!K315</f>
        <v>4.2185220000000001</v>
      </c>
      <c r="L155" s="322">
        <f>+'SEP ORIGEN'!L155-'GENERADO PS locales'!L315</f>
        <v>4.2504</v>
      </c>
      <c r="M155" s="322">
        <f>+'SEP ORIGEN'!M155-'GENERADO PS locales'!M315</f>
        <v>4.2822779999999998</v>
      </c>
      <c r="N155" s="322">
        <f>+'SEP ORIGEN'!N155-'GENERADO PS locales'!N315</f>
        <v>4.3144780000000003</v>
      </c>
      <c r="O155" s="322">
        <f>+'SEP ORIGEN'!O155-'GENERADO PS locales'!O315</f>
        <v>4.3466779999999998</v>
      </c>
      <c r="P155" s="322">
        <f>+'SEP ORIGEN'!P155-'GENERADO PS locales'!P315</f>
        <v>4.3795219999999997</v>
      </c>
      <c r="Q155" s="322">
        <f>+'SEP ORIGEN'!Q155-'GENERADO PS locales'!Q315</f>
        <v>4.4123659999999996</v>
      </c>
      <c r="R155" s="322">
        <f>+'SEP ORIGEN'!R155-'GENERADO PS locales'!R315</f>
        <v>4.445532</v>
      </c>
      <c r="S155" s="322">
        <f>+'SEP ORIGEN'!S155-'GENERADO PS locales'!S315</f>
        <v>4.4786980000000005</v>
      </c>
      <c r="T155" s="322">
        <f>+'SEP ORIGEN'!T155-'GENERADO PS locales'!T315</f>
        <v>4.5125080000000004</v>
      </c>
      <c r="U155" s="322">
        <f>+'SEP ORIGEN'!U155-'GENERADO PS locales'!U315</f>
        <v>4.5463180000000003</v>
      </c>
      <c r="V155" s="322">
        <f>+'SEP ORIGEN'!V155-'GENERADO PS locales'!V315</f>
        <v>4.5804499999999999</v>
      </c>
      <c r="W155" s="322">
        <f>+'SEP ORIGEN'!W155-'GENERADO PS locales'!W315</f>
        <v>4.6149039999999992</v>
      </c>
      <c r="X155" s="322">
        <f>+'SEP ORIGEN'!X155-'GENERADO PS locales'!X315</f>
        <v>4.64968</v>
      </c>
      <c r="Y155" s="322">
        <f>+'SEP ORIGEN'!Y155-'GENERADO PS locales'!Y315</f>
        <v>4.684456</v>
      </c>
      <c r="Z155" s="322">
        <f>+'SEP ORIGEN'!Z155-'GENERADO PS locales'!Z315</f>
        <v>4.7195540000000005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38">
        <f>+'SEP ORIGEN'!P156</f>
        <v>1.8827339999999997</v>
      </c>
      <c r="E156" s="278"/>
      <c r="F156" s="263"/>
      <c r="G156" s="322">
        <f>+'SEP ORIGEN'!G156-'GENERADO PS locales'!G316</f>
        <v>3.7618800000000001E-2</v>
      </c>
      <c r="H156" s="322">
        <f>+'SEP ORIGEN'!H156-'GENERADO PS locales'!H316</f>
        <v>0.31316800000000006</v>
      </c>
      <c r="I156" s="322">
        <f>+'SEP ORIGEN'!I156-'GENERADO PS locales'!I316</f>
        <v>0.61092599999999997</v>
      </c>
      <c r="J156" s="322">
        <f>+'SEP ORIGEN'!J156-'GENERADO PS locales'!J316</f>
        <v>1.0596100000000002</v>
      </c>
      <c r="K156" s="322">
        <f>+'SEP ORIGEN'!K156-'GENERADO PS locales'!K316</f>
        <v>1.5433460000000001</v>
      </c>
      <c r="L156" s="322">
        <f>+'SEP ORIGEN'!L156-'GENERADO PS locales'!L316</f>
        <v>1.606136</v>
      </c>
      <c r="M156" s="322">
        <f>+'SEP ORIGEN'!M156-'GENERADO PS locales'!M316</f>
        <v>1.6711799999999999</v>
      </c>
      <c r="N156" s="322">
        <f>+'SEP ORIGEN'!N156-'GENERADO PS locales'!N316</f>
        <v>1.7387999999999999</v>
      </c>
      <c r="O156" s="322">
        <f>+'SEP ORIGEN'!O156-'GENERADO PS locales'!O316</f>
        <v>1.809318</v>
      </c>
      <c r="P156" s="322">
        <f>+'SEP ORIGEN'!P156-'GENERADO PS locales'!P316</f>
        <v>1.8827339999999997</v>
      </c>
      <c r="Q156" s="322">
        <f>+'SEP ORIGEN'!Q156-'GENERADO PS locales'!Q316</f>
        <v>1.9590480000000001</v>
      </c>
      <c r="R156" s="322">
        <f>+'SEP ORIGEN'!R156-'GENERADO PS locales'!R316</f>
        <v>2.0385819999999999</v>
      </c>
      <c r="S156" s="322">
        <f>+'SEP ORIGEN'!S156-'GENERADO PS locales'!S316</f>
        <v>2.1210139999999997</v>
      </c>
      <c r="T156" s="322">
        <f>+'SEP ORIGEN'!T156-'GENERADO PS locales'!T316</f>
        <v>2.2069879999999999</v>
      </c>
      <c r="U156" s="322">
        <f>+'SEP ORIGEN'!U156-'GENERADO PS locales'!U316</f>
        <v>2.2965040000000001</v>
      </c>
      <c r="V156" s="322">
        <f>+'SEP ORIGEN'!V156-'GENERADO PS locales'!V316</f>
        <v>2.3895619999999997</v>
      </c>
      <c r="W156" s="322">
        <f>+'SEP ORIGEN'!W156-'GENERADO PS locales'!W316</f>
        <v>2.4864839999999999</v>
      </c>
      <c r="X156" s="322">
        <f>+'SEP ORIGEN'!X156-'GENERADO PS locales'!X316</f>
        <v>2.5872700000000002</v>
      </c>
      <c r="Y156" s="322">
        <f>+'SEP ORIGEN'!Y156-'GENERADO PS locales'!Y316</f>
        <v>2.6922419999999998</v>
      </c>
      <c r="Z156" s="322">
        <f>+'SEP ORIGEN'!Z156-'GENERADO PS locales'!Z316</f>
        <v>2.8013999999999997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38">
        <f>+'SEP ORIGEN'!P157</f>
        <v>2.8831880000000001</v>
      </c>
      <c r="E157" s="278"/>
      <c r="F157" s="263"/>
      <c r="G157" s="322">
        <f>+'SEP ORIGEN'!G157-'GENERADO PS locales'!G317</f>
        <v>6.8540000000000004E-2</v>
      </c>
      <c r="H157" s="322">
        <f>+'SEP ORIGEN'!H157-'GENERADO PS locales'!H317</f>
        <v>0.5596544</v>
      </c>
      <c r="I157" s="322">
        <f>+'SEP ORIGEN'!I157-'GENERADO PS locales'!I317</f>
        <v>1.0710179999999998</v>
      </c>
      <c r="J157" s="322">
        <f>+'SEP ORIGEN'!J157-'GENERADO PS locales'!J317</f>
        <v>1.8218300000000001</v>
      </c>
      <c r="K157" s="322">
        <f>+'SEP ORIGEN'!K157-'GENERADO PS locales'!K317</f>
        <v>2.6030479999999998</v>
      </c>
      <c r="L157" s="322">
        <f>+'SEP ORIGEN'!L157-'GENERADO PS locales'!L317</f>
        <v>2.6568219999999996</v>
      </c>
      <c r="M157" s="322">
        <f>+'SEP ORIGEN'!M157-'GENERADO PS locales'!M317</f>
        <v>2.711884</v>
      </c>
      <c r="N157" s="322">
        <f>+'SEP ORIGEN'!N157-'GENERADO PS locales'!N317</f>
        <v>2.7679119999999999</v>
      </c>
      <c r="O157" s="322">
        <f>+'SEP ORIGEN'!O157-'GENERADO PS locales'!O317</f>
        <v>2.8249059999999999</v>
      </c>
      <c r="P157" s="322">
        <f>+'SEP ORIGEN'!P157-'GENERADO PS locales'!P317</f>
        <v>2.8831880000000001</v>
      </c>
      <c r="Q157" s="322">
        <f>+'SEP ORIGEN'!Q157-'GENERADO PS locales'!Q317</f>
        <v>2.942758</v>
      </c>
      <c r="R157" s="322">
        <f>+'SEP ORIGEN'!R157-'GENERADO PS locales'!R317</f>
        <v>3.0036160000000001</v>
      </c>
      <c r="S157" s="322">
        <f>+'SEP ORIGEN'!S157-'GENERADO PS locales'!S317</f>
        <v>3.0654399999999997</v>
      </c>
      <c r="T157" s="322">
        <f>+'SEP ORIGEN'!T157-'GENERADO PS locales'!T317</f>
        <v>3.1288740000000002</v>
      </c>
      <c r="U157" s="322">
        <f>+'SEP ORIGEN'!U157-'GENERADO PS locales'!U317</f>
        <v>3.1935959999999994</v>
      </c>
      <c r="V157" s="322">
        <f>+'SEP ORIGEN'!V157-'GENERADO PS locales'!V317</f>
        <v>3.2592839999999996</v>
      </c>
      <c r="W157" s="322">
        <f>+'SEP ORIGEN'!W157-'GENERADO PS locales'!W317</f>
        <v>3.3265820000000001</v>
      </c>
      <c r="X157" s="322">
        <f>+'SEP ORIGEN'!X157-'GENERADO PS locales'!X317</f>
        <v>3.3954899999999997</v>
      </c>
      <c r="Y157" s="322">
        <f>+'SEP ORIGEN'!Y157-'GENERADO PS locales'!Y317</f>
        <v>3.4653639999999997</v>
      </c>
      <c r="Z157" s="322">
        <f>+'SEP ORIGEN'!Z157-'GENERADO PS locales'!Z317</f>
        <v>3.5371700000000001</v>
      </c>
    </row>
    <row r="158" spans="1:26" ht="24.95" customHeigh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38">
        <f>+'SEP ORIGEN'!P158</f>
        <v>9.5654929999999982</v>
      </c>
      <c r="E158" s="278"/>
      <c r="F158" s="263"/>
      <c r="G158" s="322">
        <f>+'SEP ORIGEN'!G158-'GENERADO PS locales'!G318</f>
        <v>0.19073640000000003</v>
      </c>
      <c r="H158" s="322">
        <f>+'SEP ORIGEN'!H158-'GENERADO PS locales'!H318</f>
        <v>1.5881344000000002</v>
      </c>
      <c r="I158" s="322">
        <f>+'SEP ORIGEN'!I158-'GENERADO PS locales'!I318</f>
        <v>3.0990690000000005</v>
      </c>
      <c r="J158" s="322">
        <f>+'SEP ORIGEN'!J158-'GENERADO PS locales'!J318</f>
        <v>5.3757900000000003</v>
      </c>
      <c r="K158" s="322">
        <f>+'SEP ORIGEN'!K158-'GENERADO PS locales'!K318</f>
        <v>7.832923000000001</v>
      </c>
      <c r="L158" s="322">
        <f>+'SEP ORIGEN'!L158-'GENERADO PS locales'!L318</f>
        <v>8.1523540000000008</v>
      </c>
      <c r="M158" s="322">
        <f>+'SEP ORIGEN'!M158-'GENERADO PS locales'!M318</f>
        <v>8.4847699999999993</v>
      </c>
      <c r="N158" s="322">
        <f>+'SEP ORIGEN'!N158-'GENERADO PS locales'!N318</f>
        <v>8.8305420000000012</v>
      </c>
      <c r="O158" s="322">
        <f>+'SEP ORIGEN'!O158-'GENERADO PS locales'!O318</f>
        <v>9.1907829999999997</v>
      </c>
      <c r="P158" s="322">
        <f>+'SEP ORIGEN'!P158-'GENERADO PS locales'!P318</f>
        <v>9.5654929999999982</v>
      </c>
      <c r="Q158" s="322">
        <f>+'SEP ORIGEN'!Q158-'GENERADO PS locales'!Q318</f>
        <v>9.9554139999999993</v>
      </c>
      <c r="R158" s="322">
        <f>+'SEP ORIGEN'!R158-'GENERADO PS locales'!R318</f>
        <v>10.361288</v>
      </c>
      <c r="S158" s="322">
        <f>+'SEP ORIGEN'!S158-'GENERADO PS locales'!S318</f>
        <v>10.783856999999999</v>
      </c>
      <c r="T158" s="322">
        <f>+'SEP ORIGEN'!T158-'GENERADO PS locales'!T318</f>
        <v>11.223492</v>
      </c>
      <c r="U158" s="322">
        <f>+'SEP ORIGEN'!U158-'GENERADO PS locales'!U318</f>
        <v>11.680934999999998</v>
      </c>
      <c r="V158" s="322">
        <f>+'SEP ORIGEN'!V158-'GENERADO PS locales'!V318</f>
        <v>12.157299</v>
      </c>
      <c r="W158" s="322">
        <f>+'SEP ORIGEN'!W158-'GENERADO PS locales'!W318</f>
        <v>12.652955000000002</v>
      </c>
      <c r="X158" s="322">
        <f>+'SEP ORIGEN'!X158-'GENERADO PS locales'!X318</f>
        <v>13.169015999999999</v>
      </c>
      <c r="Y158" s="322">
        <f>+'SEP ORIGEN'!Y158-'GENERADO PS locales'!Y318</f>
        <v>13.705852999999999</v>
      </c>
      <c r="Z158" s="322">
        <f>+'SEP ORIGEN'!Z158-'GENERADO PS locales'!Z318</f>
        <v>14.264578999999999</v>
      </c>
    </row>
    <row r="159" spans="1:26">
      <c r="D159" s="270"/>
    </row>
    <row r="160" spans="1:26">
      <c r="D160" s="270"/>
    </row>
  </sheetData>
  <mergeCells count="2">
    <mergeCell ref="F2:Z2"/>
    <mergeCell ref="B4:C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>
    <tabColor theme="9" tint="-0.249977111117893"/>
  </sheetPr>
  <dimension ref="A1:Z319"/>
  <sheetViews>
    <sheetView view="pageBreakPreview" zoomScale="80" zoomScaleSheetLayoutView="80" workbookViewId="0">
      <pane xSplit="3" ySplit="4" topLeftCell="D5" activePane="bottomRight" state="frozen"/>
      <selection activeCell="F10" sqref="F10"/>
      <selection pane="topRight" activeCell="F10" sqref="F10"/>
      <selection pane="bottomLeft" activeCell="F10" sqref="F10"/>
      <selection pane="bottomRight" activeCell="A162" sqref="A162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7" width="17.28515625" style="42" customWidth="1"/>
    <col min="8" max="16" width="13.28515625" style="42" customWidth="1"/>
    <col min="17" max="26" width="11.42578125" style="42" customWidth="1"/>
    <col min="27" max="16384" width="11.42578125" style="42"/>
  </cols>
  <sheetData>
    <row r="1" spans="1:26" ht="27" thickBot="1">
      <c r="A1" s="251" t="s">
        <v>290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6" ht="24" thickBot="1">
      <c r="A2" s="316"/>
      <c r="B2" s="317"/>
      <c r="C2" s="317"/>
      <c r="E2" s="273"/>
      <c r="F2" s="964" t="s">
        <v>291</v>
      </c>
      <c r="G2" s="965"/>
      <c r="H2" s="965"/>
      <c r="I2" s="965"/>
      <c r="J2" s="965"/>
      <c r="K2" s="965"/>
      <c r="L2" s="965"/>
      <c r="M2" s="965"/>
      <c r="N2" s="965"/>
      <c r="O2" s="965"/>
      <c r="P2" s="965"/>
      <c r="Q2" s="965"/>
      <c r="R2" s="965"/>
      <c r="S2" s="965"/>
      <c r="T2" s="965"/>
      <c r="U2" s="965"/>
      <c r="V2" s="965"/>
      <c r="W2" s="965"/>
      <c r="X2" s="965"/>
      <c r="Y2" s="965"/>
      <c r="Z2" s="966"/>
    </row>
    <row r="3" spans="1:26" ht="62.25" customHeight="1" thickBot="1">
      <c r="A3" s="318"/>
      <c r="B3" s="319"/>
      <c r="C3" s="319"/>
      <c r="D3" s="44"/>
      <c r="E3" s="274"/>
      <c r="F3" s="47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54.75" customHeight="1" thickBot="1">
      <c r="A4" s="253" t="s">
        <v>28</v>
      </c>
      <c r="B4" s="967" t="s">
        <v>22</v>
      </c>
      <c r="C4" s="967"/>
      <c r="D4" s="290" t="s">
        <v>292</v>
      </c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</row>
    <row r="5" spans="1:26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20">
        <v>0.2</v>
      </c>
      <c r="E5" s="277"/>
      <c r="F5" s="259"/>
      <c r="G5" s="329">
        <f>(100%-$D5)*'INGRESO A PS DE CA'!G5</f>
        <v>7.0884084000000005</v>
      </c>
      <c r="H5" s="329">
        <f>(100%-$D5)*'INGRESO A PS DE CA'!H5</f>
        <v>57.162798720000005</v>
      </c>
      <c r="I5" s="329">
        <f>(100%-$D5)*'INGRESO A PS DE CA'!I5</f>
        <v>108.04113720000001</v>
      </c>
      <c r="J5" s="329">
        <f>(100%-$D5)*'INGRESO A PS DE CA'!J5</f>
        <v>181.51494000000002</v>
      </c>
      <c r="K5" s="329">
        <f>(100%-$D5)*'INGRESO A PS DE CA'!K5</f>
        <v>256.16203199999995</v>
      </c>
      <c r="L5" s="329">
        <f>(100%-$D5)*'INGRESO A PS DE CA'!L5</f>
        <v>258.21972959999999</v>
      </c>
      <c r="M5" s="329">
        <f>(100%-$D5)*'INGRESO A PS DE CA'!M5</f>
        <v>260.29400879999997</v>
      </c>
      <c r="N5" s="329">
        <f>(100%-$D5)*'INGRESO A PS DE CA'!N5</f>
        <v>262.38486959999994</v>
      </c>
      <c r="O5" s="329">
        <f>(100%-$D5)*'INGRESO A PS DE CA'!O5</f>
        <v>264.49231199999997</v>
      </c>
      <c r="P5" s="329">
        <f>(100%-$D5)*'INGRESO A PS DE CA'!P5</f>
        <v>266.61673079999997</v>
      </c>
      <c r="Q5" s="329">
        <f>(100%-$D5)*'INGRESO A PS DE CA'!Q5</f>
        <v>268.75852079999999</v>
      </c>
      <c r="R5" s="329">
        <f>(100%-$D5)*'INGRESO A PS DE CA'!R5</f>
        <v>270.91728719999998</v>
      </c>
      <c r="S5" s="329">
        <f>(100%-$D5)*'INGRESO A PS DE CA'!S5</f>
        <v>273.09303</v>
      </c>
      <c r="T5" s="329">
        <f>(100%-$D5)*'INGRESO A PS DE CA'!T5</f>
        <v>275.2869336</v>
      </c>
      <c r="U5" s="329">
        <f>(100%-$D5)*'INGRESO A PS DE CA'!U5</f>
        <v>277.49820839999995</v>
      </c>
      <c r="V5" s="329">
        <f>(100%-$D5)*'INGRESO A PS DE CA'!V5</f>
        <v>279.72685439999998</v>
      </c>
      <c r="W5" s="329">
        <f>(100%-$D5)*'INGRESO A PS DE CA'!W5</f>
        <v>281.97405599999996</v>
      </c>
      <c r="X5" s="329">
        <f>(100%-$D5)*'INGRESO A PS DE CA'!X5</f>
        <v>284.23862879999996</v>
      </c>
      <c r="Y5" s="329">
        <f>(100%-$D5)*'INGRESO A PS DE CA'!Y5</f>
        <v>286.52175719999997</v>
      </c>
      <c r="Z5" s="329">
        <f>(100%-$D5)*'INGRESO A PS DE CA'!Z5</f>
        <v>288.82344119999993</v>
      </c>
    </row>
    <row r="6" spans="1:26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20">
        <v>0.2</v>
      </c>
      <c r="E6" s="278"/>
      <c r="F6" s="263"/>
      <c r="G6" s="322">
        <f>(100%-$D6)*'INGRESO A PS DE CA'!G6</f>
        <v>4.3402620000000001</v>
      </c>
      <c r="H6" s="322">
        <f>(100%-$D6)*'INGRESO A PS DE CA'!H6</f>
        <v>34.993808640000005</v>
      </c>
      <c r="I6" s="322">
        <f>(100%-$D6)*'INGRESO A PS DE CA'!I6</f>
        <v>66.131143199999997</v>
      </c>
      <c r="J6" s="322">
        <f>(100%-$D6)*'INGRESO A PS DE CA'!J6</f>
        <v>111.095592</v>
      </c>
      <c r="K6" s="322">
        <f>(100%-$D6)*'INGRESO A PS DE CA'!K6</f>
        <v>156.78139679999998</v>
      </c>
      <c r="L6" s="322">
        <f>(100%-$D6)*'INGRESO A PS DE CA'!L6</f>
        <v>158.04949440000001</v>
      </c>
      <c r="M6" s="322">
        <f>(100%-$D6)*'INGRESO A PS DE CA'!M6</f>
        <v>159.3385164</v>
      </c>
      <c r="N6" s="322">
        <f>(100%-$D6)*'INGRESO A PS DE CA'!N6</f>
        <v>160.64806799999999</v>
      </c>
      <c r="O6" s="322">
        <f>(100%-$D6)*'INGRESO A PS DE CA'!O6</f>
        <v>161.97933360000002</v>
      </c>
      <c r="P6" s="322">
        <f>(100%-$D6)*'INGRESO A PS DE CA'!P6</f>
        <v>163.33231319999999</v>
      </c>
      <c r="Q6" s="322">
        <f>(100%-$D6)*'INGRESO A PS DE CA'!Q6</f>
        <v>164.70740160000003</v>
      </c>
      <c r="R6" s="322">
        <f>(100%-$D6)*'INGRESO A PS DE CA'!R6</f>
        <v>166.10459879999996</v>
      </c>
      <c r="S6" s="322">
        <f>(100%-$D6)*'INGRESO A PS DE CA'!S6</f>
        <v>167.52469439999999</v>
      </c>
      <c r="T6" s="322">
        <f>(100%-$D6)*'INGRESO A PS DE CA'!T6</f>
        <v>168.96808319999997</v>
      </c>
      <c r="U6" s="322">
        <f>(100%-$D6)*'INGRESO A PS DE CA'!U6</f>
        <v>170.43516</v>
      </c>
      <c r="V6" s="322">
        <f>(100%-$D6)*'INGRESO A PS DE CA'!V6</f>
        <v>171.92592479999996</v>
      </c>
      <c r="W6" s="322">
        <f>(100%-$D6)*'INGRESO A PS DE CA'!W6</f>
        <v>173.4411672</v>
      </c>
      <c r="X6" s="322">
        <f>(100%-$D6)*'INGRESO A PS DE CA'!X6</f>
        <v>174.98088719999998</v>
      </c>
      <c r="Y6" s="322">
        <f>(100%-$D6)*'INGRESO A PS DE CA'!Y6</f>
        <v>176.5458744</v>
      </c>
      <c r="Z6" s="322">
        <f>(100%-$D6)*'INGRESO A PS DE CA'!Z6</f>
        <v>178.1365236</v>
      </c>
    </row>
    <row r="7" spans="1:26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20">
        <v>0.2</v>
      </c>
      <c r="E7" s="278"/>
      <c r="F7" s="263"/>
      <c r="G7" s="322">
        <f>(100%-$D7)*'INGRESO A PS DE CA'!G7</f>
        <v>4.42090272</v>
      </c>
      <c r="H7" s="322">
        <f>(100%-$D7)*'INGRESO A PS DE CA'!H7</f>
        <v>35.747944320000009</v>
      </c>
      <c r="I7" s="322">
        <f>(100%-$D7)*'INGRESO A PS DE CA'!I7</f>
        <v>67.741419599999986</v>
      </c>
      <c r="J7" s="322">
        <f>(100%-$D7)*'INGRESO A PS DE CA'!J7</f>
        <v>114.09240599999998</v>
      </c>
      <c r="K7" s="322">
        <f>(100%-$D7)*'INGRESO A PS DE CA'!K7</f>
        <v>161.39542440000002</v>
      </c>
      <c r="L7" s="322">
        <f>(100%-$D7)*'INGRESO A PS DE CA'!L7</f>
        <v>163.06148039999997</v>
      </c>
      <c r="M7" s="322">
        <f>(100%-$D7)*'INGRESO A PS DE CA'!M7</f>
        <v>164.72753639999999</v>
      </c>
      <c r="N7" s="322">
        <f>(100%-$D7)*'INGRESO A PS DE CA'!N7</f>
        <v>166.39359239999999</v>
      </c>
      <c r="O7" s="322">
        <f>(100%-$D7)*'INGRESO A PS DE CA'!O7</f>
        <v>168.05925360000003</v>
      </c>
      <c r="P7" s="322">
        <f>(100%-$D7)*'INGRESO A PS DE CA'!P7</f>
        <v>169.72530959999997</v>
      </c>
      <c r="Q7" s="322">
        <f>(100%-$D7)*'INGRESO A PS DE CA'!Q7</f>
        <v>171.3913656</v>
      </c>
      <c r="R7" s="322">
        <f>(100%-$D7)*'INGRESO A PS DE CA'!R7</f>
        <v>173.0574216</v>
      </c>
      <c r="S7" s="322">
        <f>(100%-$D7)*'INGRESO A PS DE CA'!S7</f>
        <v>174.72347759999997</v>
      </c>
      <c r="T7" s="322">
        <f>(100%-$D7)*'INGRESO A PS DE CA'!T7</f>
        <v>176.38953360000002</v>
      </c>
      <c r="U7" s="322">
        <f>(100%-$D7)*'INGRESO A PS DE CA'!U7</f>
        <v>178.05558959999996</v>
      </c>
      <c r="V7" s="322">
        <f>(100%-$D7)*'INGRESO A PS DE CA'!V7</f>
        <v>179.72125080000001</v>
      </c>
      <c r="W7" s="322">
        <f>(100%-$D7)*'INGRESO A PS DE CA'!W7</f>
        <v>181.38730679999998</v>
      </c>
      <c r="X7" s="322">
        <f>(100%-$D7)*'INGRESO A PS DE CA'!X7</f>
        <v>183.0533628</v>
      </c>
      <c r="Y7" s="322">
        <f>(100%-$D7)*'INGRESO A PS DE CA'!Y7</f>
        <v>184.71941879999997</v>
      </c>
      <c r="Z7" s="322">
        <f>(100%-$D7)*'INGRESO A PS DE CA'!Z7</f>
        <v>186.38547479999997</v>
      </c>
    </row>
    <row r="8" spans="1:26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20">
        <v>0.2</v>
      </c>
      <c r="E8" s="278"/>
      <c r="F8" s="263"/>
      <c r="G8" s="322">
        <f>(100%-$D8)*'INGRESO A PS DE CA'!G8</f>
        <v>4.3432286399999995</v>
      </c>
      <c r="H8" s="322">
        <f>(100%-$D8)*'INGRESO A PS DE CA'!H8</f>
        <v>35.237727360000001</v>
      </c>
      <c r="I8" s="322">
        <f>(100%-$D8)*'INGRESO A PS DE CA'!I8</f>
        <v>66.993217199999989</v>
      </c>
      <c r="J8" s="322">
        <f>(100%-$D8)*'INGRESO A PS DE CA'!J8</f>
        <v>113.192544</v>
      </c>
      <c r="K8" s="322">
        <f>(100%-$D8)*'INGRESO A PS DE CA'!K8</f>
        <v>160.62201119999997</v>
      </c>
      <c r="L8" s="322">
        <f>(100%-$D8)*'INGRESO A PS DE CA'!L8</f>
        <v>162.77406599999998</v>
      </c>
      <c r="M8" s="322">
        <f>(100%-$D8)*'INGRESO A PS DE CA'!M8</f>
        <v>164.92651560000002</v>
      </c>
      <c r="N8" s="322">
        <f>(100%-$D8)*'INGRESO A PS DE CA'!N8</f>
        <v>167.07857039999999</v>
      </c>
      <c r="O8" s="322">
        <f>(100%-$D8)*'INGRESO A PS DE CA'!O8</f>
        <v>169.23062519999999</v>
      </c>
      <c r="P8" s="322">
        <f>(100%-$D8)*'INGRESO A PS DE CA'!P8</f>
        <v>171.38307479999997</v>
      </c>
      <c r="Q8" s="322">
        <f>(100%-$D8)*'INGRESO A PS DE CA'!Q8</f>
        <v>173.53512959999998</v>
      </c>
      <c r="R8" s="322">
        <f>(100%-$D8)*'INGRESO A PS DE CA'!R8</f>
        <v>175.68757920000002</v>
      </c>
      <c r="S8" s="322">
        <f>(100%-$D8)*'INGRESO A PS DE CA'!S8</f>
        <v>177.83963399999999</v>
      </c>
      <c r="T8" s="322">
        <f>(100%-$D8)*'INGRESO A PS DE CA'!T8</f>
        <v>179.9920836</v>
      </c>
      <c r="U8" s="322">
        <f>(100%-$D8)*'INGRESO A PS DE CA'!U8</f>
        <v>182.14413839999997</v>
      </c>
      <c r="V8" s="322">
        <f>(100%-$D8)*'INGRESO A PS DE CA'!V8</f>
        <v>184.29619319999995</v>
      </c>
      <c r="W8" s="322">
        <f>(100%-$D8)*'INGRESO A PS DE CA'!W8</f>
        <v>186.44864280000002</v>
      </c>
      <c r="X8" s="322">
        <f>(100%-$D8)*'INGRESO A PS DE CA'!X8</f>
        <v>188.60069759999999</v>
      </c>
      <c r="Y8" s="322">
        <f>(100%-$D8)*'INGRESO A PS DE CA'!Y8</f>
        <v>190.7531472</v>
      </c>
      <c r="Z8" s="322">
        <f>(100%-$D8)*'INGRESO A PS DE CA'!Z8</f>
        <v>192.90520199999995</v>
      </c>
    </row>
    <row r="9" spans="1:26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20">
        <v>0.2</v>
      </c>
      <c r="E9" s="278"/>
      <c r="F9" s="263"/>
      <c r="G9" s="322">
        <f>(100%-$D9)*'INGRESO A PS DE CA'!G9</f>
        <v>1.9415332800000002</v>
      </c>
      <c r="H9" s="322">
        <f>(100%-$D9)*'INGRESO A PS DE CA'!H9</f>
        <v>15.839669760000001</v>
      </c>
      <c r="I9" s="322">
        <f>(100%-$D9)*'INGRESO A PS DE CA'!I9</f>
        <v>30.275639999999999</v>
      </c>
      <c r="J9" s="322">
        <f>(100%-$D9)*'INGRESO A PS DE CA'!J9</f>
        <v>51.420035999999996</v>
      </c>
      <c r="K9" s="322">
        <f>(100%-$D9)*'INGRESO A PS DE CA'!K9</f>
        <v>73.332940800000003</v>
      </c>
      <c r="L9" s="322">
        <f>(100%-$D9)*'INGRESO A PS DE CA'!L9</f>
        <v>74.677545600000016</v>
      </c>
      <c r="M9" s="322">
        <f>(100%-$D9)*'INGRESO A PS DE CA'!M9</f>
        <v>76.022436000000013</v>
      </c>
      <c r="N9" s="322">
        <f>(100%-$D9)*'INGRESO A PS DE CA'!N9</f>
        <v>77.36732640000001</v>
      </c>
      <c r="O9" s="322">
        <f>(100%-$D9)*'INGRESO A PS DE CA'!O9</f>
        <v>78.711931199999995</v>
      </c>
      <c r="P9" s="322">
        <f>(100%-$D9)*'INGRESO A PS DE CA'!P9</f>
        <v>80.056821600000021</v>
      </c>
      <c r="Q9" s="322">
        <f>(100%-$D9)*'INGRESO A PS DE CA'!Q9</f>
        <v>81.401712000000018</v>
      </c>
      <c r="R9" s="322">
        <f>(100%-$D9)*'INGRESO A PS DE CA'!R9</f>
        <v>82.746602400000015</v>
      </c>
      <c r="S9" s="322">
        <f>(100%-$D9)*'INGRESO A PS DE CA'!S9</f>
        <v>84.091207199999999</v>
      </c>
      <c r="T9" s="322">
        <f>(100%-$D9)*'INGRESO A PS DE CA'!T9</f>
        <v>85.436097599999997</v>
      </c>
      <c r="U9" s="322">
        <f>(100%-$D9)*'INGRESO A PS DE CA'!U9</f>
        <v>86.780987999999994</v>
      </c>
      <c r="V9" s="322">
        <f>(100%-$D9)*'INGRESO A PS DE CA'!V9</f>
        <v>88.125592799999993</v>
      </c>
      <c r="W9" s="322">
        <f>(100%-$D9)*'INGRESO A PS DE CA'!W9</f>
        <v>89.470483200000004</v>
      </c>
      <c r="X9" s="322">
        <f>(100%-$D9)*'INGRESO A PS DE CA'!X9</f>
        <v>90.815373600000001</v>
      </c>
      <c r="Y9" s="322">
        <f>(100%-$D9)*'INGRESO A PS DE CA'!Y9</f>
        <v>92.1599784</v>
      </c>
      <c r="Z9" s="322">
        <f>(100%-$D9)*'INGRESO A PS DE CA'!Z9</f>
        <v>93.504868799999997</v>
      </c>
    </row>
    <row r="10" spans="1:26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20">
        <v>0.2</v>
      </c>
      <c r="E10" s="278"/>
      <c r="F10" s="263"/>
      <c r="G10" s="322">
        <f>(100%-$D10)*'INGRESO A PS DE CA'!G10</f>
        <v>6.4766940000000011</v>
      </c>
      <c r="H10" s="322">
        <f>(100%-$D10)*'INGRESO A PS DE CA'!H10</f>
        <v>52.651069440000008</v>
      </c>
      <c r="I10" s="322">
        <f>(100%-$D10)*'INGRESO A PS DE CA'!I10</f>
        <v>100.29110039999999</v>
      </c>
      <c r="J10" s="322">
        <f>(100%-$D10)*'INGRESO A PS DE CA'!J10</f>
        <v>169.76935800000001</v>
      </c>
      <c r="K10" s="322">
        <f>(100%-$D10)*'INGRESO A PS DE CA'!K10</f>
        <v>241.34123999999997</v>
      </c>
      <c r="L10" s="322">
        <f>(100%-$D10)*'INGRESO A PS DE CA'!L10</f>
        <v>245.0057736</v>
      </c>
      <c r="M10" s="322">
        <f>(100%-$D10)*'INGRESO A PS DE CA'!M10</f>
        <v>248.66991239999999</v>
      </c>
      <c r="N10" s="322">
        <f>(100%-$D10)*'INGRESO A PS DE CA'!N10</f>
        <v>252.33405119999995</v>
      </c>
      <c r="O10" s="322">
        <f>(100%-$D10)*'INGRESO A PS DE CA'!O10</f>
        <v>255.99858479999995</v>
      </c>
      <c r="P10" s="322">
        <f>(100%-$D10)*'INGRESO A PS DE CA'!P10</f>
        <v>259.66272359999999</v>
      </c>
      <c r="Q10" s="322">
        <f>(100%-$D10)*'INGRESO A PS DE CA'!Q10</f>
        <v>263.32725720000002</v>
      </c>
      <c r="R10" s="322">
        <f>(100%-$D10)*'INGRESO A PS DE CA'!R10</f>
        <v>266.99139599999995</v>
      </c>
      <c r="S10" s="322">
        <f>(100%-$D10)*'INGRESO A PS DE CA'!S10</f>
        <v>270.6555348</v>
      </c>
      <c r="T10" s="322">
        <f>(100%-$D10)*'INGRESO A PS DE CA'!T10</f>
        <v>274.32006840000003</v>
      </c>
      <c r="U10" s="322">
        <f>(100%-$D10)*'INGRESO A PS DE CA'!U10</f>
        <v>277.98420720000001</v>
      </c>
      <c r="V10" s="322">
        <f>(100%-$D10)*'INGRESO A PS DE CA'!V10</f>
        <v>281.64874079999998</v>
      </c>
      <c r="W10" s="322">
        <f>(100%-$D10)*'INGRESO A PS DE CA'!W10</f>
        <v>285.31287960000003</v>
      </c>
      <c r="X10" s="322">
        <f>(100%-$D10)*'INGRESO A PS DE CA'!X10</f>
        <v>288.97741319999994</v>
      </c>
      <c r="Y10" s="322">
        <f>(100%-$D10)*'INGRESO A PS DE CA'!Y10</f>
        <v>292.64155199999993</v>
      </c>
      <c r="Z10" s="322">
        <f>(100%-$D10)*'INGRESO A PS DE CA'!Z10</f>
        <v>296.30569079999998</v>
      </c>
    </row>
    <row r="11" spans="1:26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20">
        <v>0.2</v>
      </c>
      <c r="E11" s="278"/>
      <c r="F11" s="263"/>
      <c r="G11" s="322">
        <f>(100%-$D11)*'INGRESO A PS DE CA'!G11</f>
        <v>5.0565871200000005</v>
      </c>
      <c r="H11" s="322">
        <f>(100%-$D11)*'INGRESO A PS DE CA'!H11</f>
        <v>40.672611840000002</v>
      </c>
      <c r="I11" s="322">
        <f>(100%-$D11)*'INGRESO A PS DE CA'!I11</f>
        <v>76.680255599999995</v>
      </c>
      <c r="J11" s="322">
        <f>(100%-$D11)*'INGRESO A PS DE CA'!J11</f>
        <v>128.510502</v>
      </c>
      <c r="K11" s="322">
        <f>(100%-$D11)*'INGRESO A PS DE CA'!K11</f>
        <v>180.92499599999996</v>
      </c>
      <c r="L11" s="322">
        <f>(100%-$D11)*'INGRESO A PS DE CA'!L11</f>
        <v>181.95147599999999</v>
      </c>
      <c r="M11" s="322">
        <f>(100%-$D11)*'INGRESO A PS DE CA'!M11</f>
        <v>182.99493239999998</v>
      </c>
      <c r="N11" s="322">
        <f>(100%-$D11)*'INGRESO A PS DE CA'!N11</f>
        <v>184.05536519999998</v>
      </c>
      <c r="O11" s="322">
        <f>(100%-$D11)*'INGRESO A PS DE CA'!O11</f>
        <v>185.1331692</v>
      </c>
      <c r="P11" s="322">
        <f>(100%-$D11)*'INGRESO A PS DE CA'!P11</f>
        <v>186.2283444</v>
      </c>
      <c r="Q11" s="322">
        <f>(100%-$D11)*'INGRESO A PS DE CA'!Q11</f>
        <v>187.34168039999997</v>
      </c>
      <c r="R11" s="322">
        <f>(100%-$D11)*'INGRESO A PS DE CA'!R11</f>
        <v>188.4727824</v>
      </c>
      <c r="S11" s="322">
        <f>(100%-$D11)*'INGRESO A PS DE CA'!S11</f>
        <v>189.62243999999998</v>
      </c>
      <c r="T11" s="322">
        <f>(100%-$D11)*'INGRESO A PS DE CA'!T11</f>
        <v>190.79104799999996</v>
      </c>
      <c r="U11" s="322">
        <f>(100%-$D11)*'INGRESO A PS DE CA'!U11</f>
        <v>191.97860639999999</v>
      </c>
      <c r="V11" s="322">
        <f>(100%-$D11)*'INGRESO A PS DE CA'!V11</f>
        <v>193.18590479999997</v>
      </c>
      <c r="W11" s="322">
        <f>(100%-$D11)*'INGRESO A PS DE CA'!W11</f>
        <v>194.41254839999999</v>
      </c>
      <c r="X11" s="322">
        <f>(100%-$D11)*'INGRESO A PS DE CA'!X11</f>
        <v>195.65893199999999</v>
      </c>
      <c r="Y11" s="322">
        <f>(100%-$D11)*'INGRESO A PS DE CA'!Y11</f>
        <v>196.92624000000001</v>
      </c>
      <c r="Z11" s="322">
        <f>(100%-$D11)*'INGRESO A PS DE CA'!Z11</f>
        <v>198.21368280000002</v>
      </c>
    </row>
    <row r="12" spans="1:26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20">
        <v>0.2</v>
      </c>
      <c r="E12" s="278"/>
      <c r="F12" s="263"/>
      <c r="G12" s="322">
        <f>(100%-$D12)*'INGRESO A PS DE CA'!G12</f>
        <v>1.5703512000000002</v>
      </c>
      <c r="H12" s="322">
        <f>(100%-$D12)*'INGRESO A PS DE CA'!H12</f>
        <v>12.611639040000002</v>
      </c>
      <c r="I12" s="322">
        <f>(100%-$D12)*'INGRESO A PS DE CA'!I12</f>
        <v>23.738500800000001</v>
      </c>
      <c r="J12" s="322">
        <f>(100%-$D12)*'INGRESO A PS DE CA'!J12</f>
        <v>39.716964000000004</v>
      </c>
      <c r="K12" s="322">
        <f>(100%-$D12)*'INGRESO A PS DE CA'!K12</f>
        <v>55.817664000000008</v>
      </c>
      <c r="L12" s="322">
        <f>(100%-$D12)*'INGRESO A PS DE CA'!L12</f>
        <v>56.031578399999994</v>
      </c>
      <c r="M12" s="322">
        <f>(100%-$D12)*'INGRESO A PS DE CA'!M12</f>
        <v>56.245492800000001</v>
      </c>
      <c r="N12" s="322">
        <f>(100%-$D12)*'INGRESO A PS DE CA'!N12</f>
        <v>56.459407200000001</v>
      </c>
      <c r="O12" s="322">
        <f>(100%-$D12)*'INGRESO A PS DE CA'!O12</f>
        <v>56.673036000000003</v>
      </c>
      <c r="P12" s="322">
        <f>(100%-$D12)*'INGRESO A PS DE CA'!P12</f>
        <v>56.886950399999989</v>
      </c>
      <c r="Q12" s="322">
        <f>(100%-$D12)*'INGRESO A PS DE CA'!Q12</f>
        <v>57.100864800000004</v>
      </c>
      <c r="R12" s="322">
        <f>(100%-$D12)*'INGRESO A PS DE CA'!R12</f>
        <v>57.314779200000004</v>
      </c>
      <c r="S12" s="322">
        <f>(100%-$D12)*'INGRESO A PS DE CA'!S12</f>
        <v>57.528693599999997</v>
      </c>
      <c r="T12" s="322">
        <f>(100%-$D12)*'INGRESO A PS DE CA'!T12</f>
        <v>57.742607999999997</v>
      </c>
      <c r="U12" s="322">
        <f>(100%-$D12)*'INGRESO A PS DE CA'!U12</f>
        <v>57.956522399999997</v>
      </c>
      <c r="V12" s="322">
        <f>(100%-$D12)*'INGRESO A PS DE CA'!V12</f>
        <v>58.170151199999999</v>
      </c>
      <c r="W12" s="322">
        <f>(100%-$D12)*'INGRESO A PS DE CA'!W12</f>
        <v>58.384065599999985</v>
      </c>
      <c r="X12" s="322">
        <f>(100%-$D12)*'INGRESO A PS DE CA'!X12</f>
        <v>58.59798</v>
      </c>
      <c r="Y12" s="322">
        <f>(100%-$D12)*'INGRESO A PS DE CA'!Y12</f>
        <v>58.8118944</v>
      </c>
      <c r="Z12" s="322">
        <f>(100%-$D12)*'INGRESO A PS DE CA'!Z12</f>
        <v>59.025808799999993</v>
      </c>
    </row>
    <row r="13" spans="1:26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20">
        <v>0.2</v>
      </c>
      <c r="E13" s="278"/>
      <c r="F13" s="263"/>
      <c r="G13" s="322">
        <f>(100%-$D13)*'INGRESO A PS DE CA'!G13</f>
        <v>1.5223867200000001</v>
      </c>
      <c r="H13" s="322">
        <f>(100%-$D13)*'INGRESO A PS DE CA'!H13</f>
        <v>12.25997568</v>
      </c>
      <c r="I13" s="322">
        <f>(100%-$D13)*'INGRESO A PS DE CA'!I13</f>
        <v>23.1400872</v>
      </c>
      <c r="J13" s="322">
        <f>(100%-$D13)*'INGRESO A PS DE CA'!J13</f>
        <v>38.822832000000005</v>
      </c>
      <c r="K13" s="322">
        <f>(100%-$D13)*'INGRESO A PS DE CA'!K13</f>
        <v>54.712677599999999</v>
      </c>
      <c r="L13" s="322">
        <f>(100%-$D13)*'INGRESO A PS DE CA'!L13</f>
        <v>55.075960799999997</v>
      </c>
      <c r="M13" s="322">
        <f>(100%-$D13)*'INGRESO A PS DE CA'!M13</f>
        <v>55.441814399999998</v>
      </c>
      <c r="N13" s="322">
        <f>(100%-$D13)*'INGRESO A PS DE CA'!N13</f>
        <v>55.809667199999993</v>
      </c>
      <c r="O13" s="322">
        <f>(100%-$D13)*'INGRESO A PS DE CA'!O13</f>
        <v>56.180376000000003</v>
      </c>
      <c r="P13" s="322">
        <f>(100%-$D13)*'INGRESO A PS DE CA'!P13</f>
        <v>56.553369599999996</v>
      </c>
      <c r="Q13" s="322">
        <f>(100%-$D13)*'INGRESO A PS DE CA'!Q13</f>
        <v>56.928933599999993</v>
      </c>
      <c r="R13" s="322">
        <f>(100%-$D13)*'INGRESO A PS DE CA'!R13</f>
        <v>57.30678240000001</v>
      </c>
      <c r="S13" s="322">
        <f>(100%-$D13)*'INGRESO A PS DE CA'!S13</f>
        <v>57.687201600000009</v>
      </c>
      <c r="T13" s="322">
        <f>(100%-$D13)*'INGRESO A PS DE CA'!T13</f>
        <v>58.070191200000004</v>
      </c>
      <c r="U13" s="322">
        <f>(100%-$D13)*'INGRESO A PS DE CA'!U13</f>
        <v>58.455751200000002</v>
      </c>
      <c r="V13" s="322">
        <f>(100%-$D13)*'INGRESO A PS DE CA'!V13</f>
        <v>58.843881600000003</v>
      </c>
      <c r="W13" s="322">
        <f>(100%-$D13)*'INGRESO A PS DE CA'!W13</f>
        <v>59.234582400000001</v>
      </c>
      <c r="X13" s="322">
        <f>(100%-$D13)*'INGRESO A PS DE CA'!X13</f>
        <v>59.627853599999995</v>
      </c>
      <c r="Y13" s="322">
        <f>(100%-$D13)*'INGRESO A PS DE CA'!Y13</f>
        <v>60.023695199999999</v>
      </c>
      <c r="Z13" s="322">
        <f>(100%-$D13)*'INGRESO A PS DE CA'!Z13</f>
        <v>60.422107199999999</v>
      </c>
    </row>
    <row r="14" spans="1:26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20">
        <v>0.2</v>
      </c>
      <c r="E14" s="278"/>
      <c r="F14" s="263"/>
      <c r="G14" s="322">
        <f>(100%-$D14)*'INGRESO A PS DE CA'!G14</f>
        <v>3.8786505600000001</v>
      </c>
      <c r="H14" s="322">
        <f>(100%-$D14)*'INGRESO A PS DE CA'!H14</f>
        <v>31.5312096</v>
      </c>
      <c r="I14" s="322">
        <f>(100%-$D14)*'INGRESO A PS DE CA'!I14</f>
        <v>60.077505599999988</v>
      </c>
      <c r="J14" s="322">
        <f>(100%-$D14)*'INGRESO A PS DE CA'!J14</f>
        <v>101.74898400000001</v>
      </c>
      <c r="K14" s="322">
        <f>(100%-$D14)*'INGRESO A PS DE CA'!K14</f>
        <v>144.7530252</v>
      </c>
      <c r="L14" s="322">
        <f>(100%-$D14)*'INGRESO A PS DE CA'!L14</f>
        <v>147.09497880000001</v>
      </c>
      <c r="M14" s="322">
        <f>(100%-$D14)*'INGRESO A PS DE CA'!M14</f>
        <v>149.47483319999998</v>
      </c>
      <c r="N14" s="322">
        <f>(100%-$D14)*'INGRESO A PS DE CA'!N14</f>
        <v>151.89337800000001</v>
      </c>
      <c r="O14" s="322">
        <f>(100%-$D14)*'INGRESO A PS DE CA'!O14</f>
        <v>154.3506132</v>
      </c>
      <c r="P14" s="322">
        <f>(100%-$D14)*'INGRESO A PS DE CA'!P14</f>
        <v>156.84772320000002</v>
      </c>
      <c r="Q14" s="322">
        <f>(100%-$D14)*'INGRESO A PS DE CA'!Q14</f>
        <v>159.38549759999998</v>
      </c>
      <c r="R14" s="322">
        <f>(100%-$D14)*'INGRESO A PS DE CA'!R14</f>
        <v>161.96393639999999</v>
      </c>
      <c r="S14" s="322">
        <f>(100%-$D14)*'INGRESO A PS DE CA'!S14</f>
        <v>164.58422400000001</v>
      </c>
      <c r="T14" s="322">
        <f>(100%-$D14)*'INGRESO A PS DE CA'!T14</f>
        <v>167.24715</v>
      </c>
      <c r="U14" s="322">
        <f>(100%-$D14)*'INGRESO A PS DE CA'!U14</f>
        <v>169.95271439999999</v>
      </c>
      <c r="V14" s="322">
        <f>(100%-$D14)*'INGRESO A PS DE CA'!V14</f>
        <v>172.7024964</v>
      </c>
      <c r="W14" s="322">
        <f>(100%-$D14)*'INGRESO A PS DE CA'!W14</f>
        <v>175.49649599999998</v>
      </c>
      <c r="X14" s="322">
        <f>(100%-$D14)*'INGRESO A PS DE CA'!X14</f>
        <v>178.33589759999998</v>
      </c>
      <c r="Y14" s="322">
        <f>(100%-$D14)*'INGRESO A PS DE CA'!Y14</f>
        <v>181.22109599999999</v>
      </c>
      <c r="Z14" s="322">
        <f>(100%-$D14)*'INGRESO A PS DE CA'!Z14</f>
        <v>184.15288079999999</v>
      </c>
    </row>
    <row r="15" spans="1:26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20">
        <v>0.2</v>
      </c>
      <c r="E15" s="278"/>
      <c r="F15" s="263"/>
      <c r="G15" s="322">
        <f>(100%-$D15)*'INGRESO A PS DE CA'!G15</f>
        <v>25.35408984</v>
      </c>
      <c r="H15" s="322">
        <f>(100%-$D15)*'INGRESO A PS DE CA'!H15</f>
        <v>205.91197823999997</v>
      </c>
      <c r="I15" s="322">
        <f>(100%-$D15)*'INGRESO A PS DE CA'!I15</f>
        <v>391.85840159999998</v>
      </c>
      <c r="J15" s="322">
        <f>(100%-$D15)*'INGRESO A PS DE CA'!J15</f>
        <v>662.71974</v>
      </c>
      <c r="K15" s="322">
        <f>(100%-$D15)*'INGRESO A PS DE CA'!K15</f>
        <v>941.2790015999999</v>
      </c>
      <c r="L15" s="322">
        <f>(100%-$D15)*'INGRESO A PS DE CA'!L15</f>
        <v>954.75036719999991</v>
      </c>
      <c r="M15" s="322">
        <f>(100%-$D15)*'INGRESO A PS DE CA'!M15</f>
        <v>968.22173279999993</v>
      </c>
      <c r="N15" s="322">
        <f>(100%-$D15)*'INGRESO A PS DE CA'!N15</f>
        <v>981.69349320000003</v>
      </c>
      <c r="O15" s="322">
        <f>(100%-$D15)*'INGRESO A PS DE CA'!O15</f>
        <v>995.16485880000005</v>
      </c>
      <c r="P15" s="322">
        <f>(100%-$D15)*'INGRESO A PS DE CA'!P15</f>
        <v>1008.6362244000001</v>
      </c>
      <c r="Q15" s="322">
        <f>(100%-$D15)*'INGRESO A PS DE CA'!Q15</f>
        <v>1022.1075900000001</v>
      </c>
      <c r="R15" s="322">
        <f>(100%-$D15)*'INGRESO A PS DE CA'!R15</f>
        <v>1035.5789556</v>
      </c>
      <c r="S15" s="322">
        <f>(100%-$D15)*'INGRESO A PS DE CA'!S15</f>
        <v>1049.0503211999999</v>
      </c>
      <c r="T15" s="322">
        <f>(100%-$D15)*'INGRESO A PS DE CA'!T15</f>
        <v>1062.5220815999999</v>
      </c>
      <c r="U15" s="322">
        <f>(100%-$D15)*'INGRESO A PS DE CA'!U15</f>
        <v>1075.9934472</v>
      </c>
      <c r="V15" s="322">
        <f>(100%-$D15)*'INGRESO A PS DE CA'!V15</f>
        <v>1089.4648127999999</v>
      </c>
      <c r="W15" s="322">
        <f>(100%-$D15)*'INGRESO A PS DE CA'!W15</f>
        <v>1102.9361784</v>
      </c>
      <c r="X15" s="322">
        <f>(100%-$D15)*'INGRESO A PS DE CA'!X15</f>
        <v>1116.4075439999999</v>
      </c>
      <c r="Y15" s="322">
        <f>(100%-$D15)*'INGRESO A PS DE CA'!Y15</f>
        <v>1129.8789095999998</v>
      </c>
      <c r="Z15" s="322">
        <f>(100%-$D15)*'INGRESO A PS DE CA'!Z15</f>
        <v>1143.35067</v>
      </c>
    </row>
    <row r="16" spans="1:26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20">
        <v>0.2</v>
      </c>
      <c r="E16" s="278"/>
      <c r="F16" s="263"/>
      <c r="G16" s="322">
        <f>(100%-$D16)*'INGRESO A PS DE CA'!G16</f>
        <v>5.1044707200000001</v>
      </c>
      <c r="H16" s="322">
        <f>(100%-$D16)*'INGRESO A PS DE CA'!H16</f>
        <v>40.798045439999996</v>
      </c>
      <c r="I16" s="322">
        <f>(100%-$D16)*'INGRESO A PS DE CA'!I16</f>
        <v>76.425609599999987</v>
      </c>
      <c r="J16" s="322">
        <f>(100%-$D16)*'INGRESO A PS DE CA'!J16</f>
        <v>127.258422</v>
      </c>
      <c r="K16" s="322">
        <f>(100%-$D16)*'INGRESO A PS DE CA'!K16</f>
        <v>177.99715920000003</v>
      </c>
      <c r="L16" s="322">
        <f>(100%-$D16)*'INGRESO A PS DE CA'!L16</f>
        <v>177.8329224</v>
      </c>
      <c r="M16" s="322">
        <f>(100%-$D16)*'INGRESO A PS DE CA'!M16</f>
        <v>177.6686856</v>
      </c>
      <c r="N16" s="322">
        <f>(100%-$D16)*'INGRESO A PS DE CA'!N16</f>
        <v>177.50444879999998</v>
      </c>
      <c r="O16" s="322">
        <f>(100%-$D16)*'INGRESO A PS DE CA'!O16</f>
        <v>177.34060679999999</v>
      </c>
      <c r="P16" s="322">
        <f>(100%-$D16)*'INGRESO A PS DE CA'!P16</f>
        <v>177.1767648</v>
      </c>
      <c r="Q16" s="322">
        <f>(100%-$D16)*'INGRESO A PS DE CA'!Q16</f>
        <v>177.01331759999997</v>
      </c>
      <c r="R16" s="322">
        <f>(100%-$D16)*'INGRESO A PS DE CA'!R16</f>
        <v>176.84987039999999</v>
      </c>
      <c r="S16" s="322">
        <f>(100%-$D16)*'INGRESO A PS DE CA'!S16</f>
        <v>176.68642319999998</v>
      </c>
      <c r="T16" s="322">
        <f>(100%-$D16)*'INGRESO A PS DE CA'!T16</f>
        <v>176.52337080000001</v>
      </c>
      <c r="U16" s="322">
        <f>(100%-$D16)*'INGRESO A PS DE CA'!U16</f>
        <v>176.36031839999998</v>
      </c>
      <c r="V16" s="322">
        <f>(100%-$D16)*'INGRESO A PS DE CA'!V16</f>
        <v>176.19726600000001</v>
      </c>
      <c r="W16" s="322">
        <f>(100%-$D16)*'INGRESO A PS DE CA'!W16</f>
        <v>176.03460839999997</v>
      </c>
      <c r="X16" s="322">
        <f>(100%-$D16)*'INGRESO A PS DE CA'!X16</f>
        <v>175.87234560000002</v>
      </c>
      <c r="Y16" s="322">
        <f>(100%-$D16)*'INGRESO A PS DE CA'!Y16</f>
        <v>175.709688</v>
      </c>
      <c r="Z16" s="322">
        <f>(100%-$D16)*'INGRESO A PS DE CA'!Z16</f>
        <v>175.54742519999999</v>
      </c>
    </row>
    <row r="17" spans="1:26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20">
        <v>0.2</v>
      </c>
      <c r="E17" s="278"/>
      <c r="F17" s="263"/>
      <c r="G17" s="322">
        <f>(100%-$D17)*'INGRESO A PS DE CA'!G17</f>
        <v>7.8160811999999993</v>
      </c>
      <c r="H17" s="322">
        <f>(100%-$D17)*'INGRESO A PS DE CA'!H17</f>
        <v>63.023255039999995</v>
      </c>
      <c r="I17" s="322">
        <f>(100%-$D17)*'INGRESO A PS DE CA'!I17</f>
        <v>119.11104719999999</v>
      </c>
      <c r="J17" s="322">
        <f>(100%-$D17)*'INGRESO A PS DE CA'!J17</f>
        <v>200.114814</v>
      </c>
      <c r="K17" s="322">
        <f>(100%-$D17)*'INGRESO A PS DE CA'!K17</f>
        <v>282.43202399999996</v>
      </c>
      <c r="L17" s="322">
        <f>(100%-$D17)*'INGRESO A PS DE CA'!L17</f>
        <v>284.7404196</v>
      </c>
      <c r="M17" s="322">
        <f>(100%-$D17)*'INGRESO A PS DE CA'!M17</f>
        <v>287.08671599999997</v>
      </c>
      <c r="N17" s="322">
        <f>(100%-$D17)*'INGRESO A PS DE CA'!N17</f>
        <v>289.47091319999998</v>
      </c>
      <c r="O17" s="322">
        <f>(100%-$D17)*'INGRESO A PS DE CA'!O17</f>
        <v>291.89419559999993</v>
      </c>
      <c r="P17" s="322">
        <f>(100%-$D17)*'INGRESO A PS DE CA'!P17</f>
        <v>294.35695799999996</v>
      </c>
      <c r="Q17" s="322">
        <f>(100%-$D17)*'INGRESO A PS DE CA'!Q17</f>
        <v>296.85998999999998</v>
      </c>
      <c r="R17" s="322">
        <f>(100%-$D17)*'INGRESO A PS DE CA'!R17</f>
        <v>299.40408120000001</v>
      </c>
      <c r="S17" s="322">
        <f>(100%-$D17)*'INGRESO A PS DE CA'!S17</f>
        <v>301.98923159999998</v>
      </c>
      <c r="T17" s="322">
        <f>(100%-$D17)*'INGRESO A PS DE CA'!T17</f>
        <v>304.61662560000002</v>
      </c>
      <c r="U17" s="322">
        <f>(100%-$D17)*'INGRESO A PS DE CA'!U17</f>
        <v>307.28705280000003</v>
      </c>
      <c r="V17" s="322">
        <f>(100%-$D17)*'INGRESO A PS DE CA'!V17</f>
        <v>310.00090799999998</v>
      </c>
      <c r="W17" s="322">
        <f>(100%-$D17)*'INGRESO A PS DE CA'!W17</f>
        <v>312.7593756</v>
      </c>
      <c r="X17" s="322">
        <f>(100%-$D17)*'INGRESO A PS DE CA'!X17</f>
        <v>315.56245560000002</v>
      </c>
      <c r="Y17" s="322">
        <f>(100%-$D17)*'INGRESO A PS DE CA'!Y17</f>
        <v>318.41133239999999</v>
      </c>
      <c r="Z17" s="322">
        <f>(100%-$D17)*'INGRESO A PS DE CA'!Z17</f>
        <v>321.30679560000004</v>
      </c>
    </row>
    <row r="18" spans="1:26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20">
        <v>0.2</v>
      </c>
      <c r="E18" s="278"/>
      <c r="F18" s="263"/>
      <c r="G18" s="322">
        <f>(100%-$D18)*'INGRESO A PS DE CA'!G18</f>
        <v>4.3706503200000002</v>
      </c>
      <c r="H18" s="322">
        <f>(100%-$D18)*'INGRESO A PS DE CA'!H18</f>
        <v>35.369387519999997</v>
      </c>
      <c r="I18" s="322">
        <f>(100%-$D18)*'INGRESO A PS DE CA'!I18</f>
        <v>67.084416000000004</v>
      </c>
      <c r="J18" s="322">
        <f>(100%-$D18)*'INGRESO A PS DE CA'!J18</f>
        <v>113.099766</v>
      </c>
      <c r="K18" s="322">
        <f>(100%-$D18)*'INGRESO A PS DE CA'!K18</f>
        <v>160.17036000000002</v>
      </c>
      <c r="L18" s="322">
        <f>(100%-$D18)*'INGRESO A PS DE CA'!L18</f>
        <v>162.02236679999999</v>
      </c>
      <c r="M18" s="322">
        <f>(100%-$D18)*'INGRESO A PS DE CA'!M18</f>
        <v>163.895298</v>
      </c>
      <c r="N18" s="322">
        <f>(100%-$D18)*'INGRESO A PS DE CA'!N18</f>
        <v>165.79033799999999</v>
      </c>
      <c r="O18" s="322">
        <f>(100%-$D18)*'INGRESO A PS DE CA'!O18</f>
        <v>167.70709199999999</v>
      </c>
      <c r="P18" s="322">
        <f>(100%-$D18)*'INGRESO A PS DE CA'!P18</f>
        <v>169.64595479999997</v>
      </c>
      <c r="Q18" s="322">
        <f>(100%-$D18)*'INGRESO A PS DE CA'!Q18</f>
        <v>171.60732119999997</v>
      </c>
      <c r="R18" s="322">
        <f>(100%-$D18)*'INGRESO A PS DE CA'!R18</f>
        <v>173.5911912</v>
      </c>
      <c r="S18" s="322">
        <f>(100%-$D18)*'INGRESO A PS DE CA'!S18</f>
        <v>175.59835440000001</v>
      </c>
      <c r="T18" s="322">
        <f>(100%-$D18)*'INGRESO A PS DE CA'!T18</f>
        <v>177.62841600000002</v>
      </c>
      <c r="U18" s="322">
        <f>(100%-$D18)*'INGRESO A PS DE CA'!U18</f>
        <v>179.68177079999998</v>
      </c>
      <c r="V18" s="322">
        <f>(100%-$D18)*'INGRESO A PS DE CA'!V18</f>
        <v>181.75920839999998</v>
      </c>
      <c r="W18" s="322">
        <f>(100%-$D18)*'INGRESO A PS DE CA'!W18</f>
        <v>183.86072879999998</v>
      </c>
      <c r="X18" s="322">
        <f>(100%-$D18)*'INGRESO A PS DE CA'!X18</f>
        <v>185.98633199999995</v>
      </c>
      <c r="Y18" s="322">
        <f>(100%-$D18)*'INGRESO A PS DE CA'!Y18</f>
        <v>188.13641279999999</v>
      </c>
      <c r="Z18" s="322">
        <f>(100%-$D18)*'INGRESO A PS DE CA'!Z18</f>
        <v>190.3117608</v>
      </c>
    </row>
    <row r="19" spans="1:26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20">
        <v>0.2</v>
      </c>
      <c r="E19" s="278"/>
      <c r="F19" s="263"/>
      <c r="G19" s="322">
        <f>(100%-$D19)*'INGRESO A PS DE CA'!G19</f>
        <v>7.3015665599999995</v>
      </c>
      <c r="H19" s="322">
        <f>(100%-$D19)*'INGRESO A PS DE CA'!H19</f>
        <v>59.071104000000005</v>
      </c>
      <c r="I19" s="322">
        <f>(100%-$D19)*'INGRESO A PS DE CA'!I19</f>
        <v>111.9931416</v>
      </c>
      <c r="J19" s="322">
        <f>(100%-$D19)*'INGRESO A PS DE CA'!J19</f>
        <v>188.71298999999999</v>
      </c>
      <c r="K19" s="322">
        <f>(100%-$D19)*'INGRESO A PS DE CA'!K19</f>
        <v>267.07943639999996</v>
      </c>
      <c r="L19" s="322">
        <f>(100%-$D19)*'INGRESO A PS DE CA'!L19</f>
        <v>269.96068680000002</v>
      </c>
      <c r="M19" s="322">
        <f>(100%-$D19)*'INGRESO A PS DE CA'!M19</f>
        <v>272.84193720000002</v>
      </c>
      <c r="N19" s="322">
        <f>(100%-$D19)*'INGRESO A PS DE CA'!N19</f>
        <v>275.72279279999992</v>
      </c>
      <c r="O19" s="322">
        <f>(100%-$D19)*'INGRESO A PS DE CA'!O19</f>
        <v>278.60404319999998</v>
      </c>
      <c r="P19" s="322">
        <f>(100%-$D19)*'INGRESO A PS DE CA'!P19</f>
        <v>281.48529359999998</v>
      </c>
      <c r="Q19" s="322">
        <f>(100%-$D19)*'INGRESO A PS DE CA'!Q19</f>
        <v>284.3661492</v>
      </c>
      <c r="R19" s="322">
        <f>(100%-$D19)*'INGRESO A PS DE CA'!R19</f>
        <v>287.24739959999999</v>
      </c>
      <c r="S19" s="322">
        <f>(100%-$D19)*'INGRESO A PS DE CA'!S19</f>
        <v>290.12864999999999</v>
      </c>
      <c r="T19" s="322">
        <f>(100%-$D19)*'INGRESO A PS DE CA'!T19</f>
        <v>293.00990039999999</v>
      </c>
      <c r="U19" s="322">
        <f>(100%-$D19)*'INGRESO A PS DE CA'!U19</f>
        <v>295.89075599999995</v>
      </c>
      <c r="V19" s="322">
        <f>(100%-$D19)*'INGRESO A PS DE CA'!V19</f>
        <v>298.77200639999995</v>
      </c>
      <c r="W19" s="322">
        <f>(100%-$D19)*'INGRESO A PS DE CA'!W19</f>
        <v>301.65325679999995</v>
      </c>
      <c r="X19" s="322">
        <f>(100%-$D19)*'INGRESO A PS DE CA'!X19</f>
        <v>304.53411239999991</v>
      </c>
      <c r="Y19" s="322">
        <f>(100%-$D19)*'INGRESO A PS DE CA'!Y19</f>
        <v>307.41536280000003</v>
      </c>
      <c r="Z19" s="322">
        <f>(100%-$D19)*'INGRESO A PS DE CA'!Z19</f>
        <v>310.29661319999997</v>
      </c>
    </row>
    <row r="20" spans="1:26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20">
        <v>0.2</v>
      </c>
      <c r="E20" s="278"/>
      <c r="F20" s="263"/>
      <c r="G20" s="322">
        <f>(100%-$D20)*'INGRESO A PS DE CA'!G20</f>
        <v>6.9852528000000014</v>
      </c>
      <c r="H20" s="322">
        <f>(100%-$D20)*'INGRESO A PS DE CA'!H20</f>
        <v>56.988635520000003</v>
      </c>
      <c r="I20" s="322">
        <f>(100%-$D20)*'INGRESO A PS DE CA'!I20</f>
        <v>108.9695376</v>
      </c>
      <c r="J20" s="322">
        <f>(100%-$D20)*'INGRESO A PS DE CA'!J20</f>
        <v>185.21195999999998</v>
      </c>
      <c r="K20" s="322">
        <f>(100%-$D20)*'INGRESO A PS DE CA'!K20</f>
        <v>264.43111799999997</v>
      </c>
      <c r="L20" s="322">
        <f>(100%-$D20)*'INGRESO A PS DE CA'!L20</f>
        <v>269.66735039999998</v>
      </c>
      <c r="M20" s="322">
        <f>(100%-$D20)*'INGRESO A PS DE CA'!M20</f>
        <v>275.00702039999999</v>
      </c>
      <c r="N20" s="322">
        <f>(100%-$D20)*'INGRESO A PS DE CA'!N20</f>
        <v>280.45289159999999</v>
      </c>
      <c r="O20" s="322">
        <f>(100%-$D20)*'INGRESO A PS DE CA'!O20</f>
        <v>286.00614839999997</v>
      </c>
      <c r="P20" s="322">
        <f>(100%-$D20)*'INGRESO A PS DE CA'!P20</f>
        <v>291.66955439999998</v>
      </c>
      <c r="Q20" s="322">
        <f>(100%-$D20)*'INGRESO A PS DE CA'!Q20</f>
        <v>297.44508359999998</v>
      </c>
      <c r="R20" s="322">
        <f>(100%-$D20)*'INGRESO A PS DE CA'!R20</f>
        <v>303.33471000000003</v>
      </c>
      <c r="S20" s="322">
        <f>(100%-$D20)*'INGRESO A PS DE CA'!S20</f>
        <v>309.34119720000001</v>
      </c>
      <c r="T20" s="322">
        <f>(100%-$D20)*'INGRESO A PS DE CA'!T20</f>
        <v>315.46651919999999</v>
      </c>
      <c r="U20" s="322">
        <f>(100%-$D20)*'INGRESO A PS DE CA'!U20</f>
        <v>321.71343959999996</v>
      </c>
      <c r="V20" s="322">
        <f>(100%-$D20)*'INGRESO A PS DE CA'!V20</f>
        <v>328.0835376</v>
      </c>
      <c r="W20" s="322">
        <f>(100%-$D20)*'INGRESO A PS DE CA'!W20</f>
        <v>334.5803664</v>
      </c>
      <c r="X20" s="322">
        <f>(100%-$D20)*'INGRESO A PS DE CA'!X20</f>
        <v>341.2055052</v>
      </c>
      <c r="Y20" s="322">
        <f>(100%-$D20)*'INGRESO A PS DE CA'!Y20</f>
        <v>347.96171759999993</v>
      </c>
      <c r="Z20" s="322">
        <f>(100%-$D20)*'INGRESO A PS DE CA'!Z20</f>
        <v>354.85176719999998</v>
      </c>
    </row>
    <row r="21" spans="1:26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20">
        <v>0.2</v>
      </c>
      <c r="E21" s="278"/>
      <c r="F21" s="263"/>
      <c r="G21" s="322">
        <f>(100%-$D21)*'INGRESO A PS DE CA'!G21</f>
        <v>4.0287535200000004</v>
      </c>
      <c r="H21" s="322">
        <f>(100%-$D21)*'INGRESO A PS DE CA'!H21</f>
        <v>32.46266688</v>
      </c>
      <c r="I21" s="322">
        <f>(100%-$D21)*'INGRESO A PS DE CA'!I21</f>
        <v>61.310804399999995</v>
      </c>
      <c r="J21" s="322">
        <f>(100%-$D21)*'INGRESO A PS DE CA'!J21</f>
        <v>102.93563999999999</v>
      </c>
      <c r="K21" s="322">
        <f>(100%-$D21)*'INGRESO A PS DE CA'!K21</f>
        <v>145.17822479999998</v>
      </c>
      <c r="L21" s="322">
        <f>(100%-$D21)*'INGRESO A PS DE CA'!L21</f>
        <v>146.26431959999999</v>
      </c>
      <c r="M21" s="322">
        <f>(100%-$D21)*'INGRESO A PS DE CA'!M21</f>
        <v>147.36778560000002</v>
      </c>
      <c r="N21" s="322">
        <f>(100%-$D21)*'INGRESO A PS DE CA'!N21</f>
        <v>148.48941239999996</v>
      </c>
      <c r="O21" s="322">
        <f>(100%-$D21)*'INGRESO A PS DE CA'!O21</f>
        <v>149.62959479999998</v>
      </c>
      <c r="P21" s="322">
        <f>(100%-$D21)*'INGRESO A PS DE CA'!P21</f>
        <v>150.78793799999997</v>
      </c>
      <c r="Q21" s="322">
        <f>(100%-$D21)*'INGRESO A PS DE CA'!Q21</f>
        <v>151.96523160000001</v>
      </c>
      <c r="R21" s="322">
        <f>(100%-$D21)*'INGRESO A PS DE CA'!R21</f>
        <v>153.16187039999997</v>
      </c>
      <c r="S21" s="322">
        <f>(100%-$D21)*'INGRESO A PS DE CA'!S21</f>
        <v>154.37824920000003</v>
      </c>
      <c r="T21" s="322">
        <f>(100%-$D21)*'INGRESO A PS DE CA'!T21</f>
        <v>155.6139732</v>
      </c>
      <c r="U21" s="322">
        <f>(100%-$D21)*'INGRESO A PS DE CA'!U21</f>
        <v>156.87022679999995</v>
      </c>
      <c r="V21" s="322">
        <f>(100%-$D21)*'INGRESO A PS DE CA'!V21</f>
        <v>158.14700999999999</v>
      </c>
      <c r="W21" s="322">
        <f>(100%-$D21)*'INGRESO A PS DE CA'!W21</f>
        <v>159.44432280000001</v>
      </c>
      <c r="X21" s="322">
        <f>(100%-$D21)*'INGRESO A PS DE CA'!X21</f>
        <v>160.76295479999999</v>
      </c>
      <c r="Y21" s="322">
        <f>(100%-$D21)*'INGRESO A PS DE CA'!Y21</f>
        <v>162.10290599999999</v>
      </c>
      <c r="Z21" s="322">
        <f>(100%-$D21)*'INGRESO A PS DE CA'!Z21</f>
        <v>163.464966</v>
      </c>
    </row>
    <row r="22" spans="1:26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20">
        <v>0.2</v>
      </c>
      <c r="E22" s="278"/>
      <c r="F22" s="263"/>
      <c r="G22" s="322">
        <f>(100%-$D22)*'INGRESO A PS DE CA'!G22</f>
        <v>7.3816883999999989</v>
      </c>
      <c r="H22" s="322">
        <f>(100%-$D22)*'INGRESO A PS DE CA'!H22</f>
        <v>59.481876480000011</v>
      </c>
      <c r="I22" s="322">
        <f>(100%-$D22)*'INGRESO A PS DE CA'!I22</f>
        <v>112.33746359999998</v>
      </c>
      <c r="J22" s="322">
        <f>(100%-$D22)*'INGRESO A PS DE CA'!J22</f>
        <v>188.58721800000001</v>
      </c>
      <c r="K22" s="322">
        <f>(100%-$D22)*'INGRESO A PS DE CA'!K22</f>
        <v>265.93727999999999</v>
      </c>
      <c r="L22" s="322">
        <f>(100%-$D22)*'INGRESO A PS DE CA'!L22</f>
        <v>267.86627279999993</v>
      </c>
      <c r="M22" s="322">
        <f>(100%-$D22)*'INGRESO A PS DE CA'!M22</f>
        <v>269.80908360000001</v>
      </c>
      <c r="N22" s="322">
        <f>(100%-$D22)*'INGRESO A PS DE CA'!N22</f>
        <v>271.76610720000002</v>
      </c>
      <c r="O22" s="322">
        <f>(100%-$D22)*'INGRESO A PS DE CA'!O22</f>
        <v>273.73734359999997</v>
      </c>
      <c r="P22" s="322">
        <f>(100%-$D22)*'INGRESO A PS DE CA'!P22</f>
        <v>275.72318760000002</v>
      </c>
      <c r="Q22" s="322">
        <f>(100%-$D22)*'INGRESO A PS DE CA'!Q22</f>
        <v>277.72284959999996</v>
      </c>
      <c r="R22" s="322">
        <f>(100%-$D22)*'INGRESO A PS DE CA'!R22</f>
        <v>279.73751399999998</v>
      </c>
      <c r="S22" s="322">
        <f>(100%-$D22)*'INGRESO A PS DE CA'!S22</f>
        <v>281.76639119999999</v>
      </c>
      <c r="T22" s="322">
        <f>(100%-$D22)*'INGRESO A PS DE CA'!T22</f>
        <v>283.81027080000001</v>
      </c>
      <c r="U22" s="322">
        <f>(100%-$D22)*'INGRESO A PS DE CA'!U22</f>
        <v>285.86915279999999</v>
      </c>
      <c r="V22" s="322">
        <f>(100%-$D22)*'INGRESO A PS DE CA'!V22</f>
        <v>287.94264239999995</v>
      </c>
      <c r="W22" s="322">
        <f>(100%-$D22)*'INGRESO A PS DE CA'!W22</f>
        <v>290.03113439999998</v>
      </c>
      <c r="X22" s="322">
        <f>(100%-$D22)*'INGRESO A PS DE CA'!X22</f>
        <v>292.13502360000001</v>
      </c>
      <c r="Y22" s="322">
        <f>(100%-$D22)*'INGRESO A PS DE CA'!Y22</f>
        <v>294.25391519999994</v>
      </c>
      <c r="Z22" s="322">
        <f>(100%-$D22)*'INGRESO A PS DE CA'!Z22</f>
        <v>296.38820400000003</v>
      </c>
    </row>
    <row r="23" spans="1:26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20">
        <v>0.2</v>
      </c>
      <c r="E23" s="278"/>
      <c r="F23" s="263"/>
      <c r="G23" s="322">
        <f>(100%-$D23)*'INGRESO A PS DE CA'!G23</f>
        <v>1.4303337600000001</v>
      </c>
      <c r="H23" s="322">
        <f>(100%-$D23)*'INGRESO A PS DE CA'!H23</f>
        <v>11.50834176</v>
      </c>
      <c r="I23" s="322">
        <f>(100%-$D23)*'INGRESO A PS DE CA'!I23</f>
        <v>21.701275199999998</v>
      </c>
      <c r="J23" s="322">
        <f>(100%-$D23)*'INGRESO A PS DE CA'!J23</f>
        <v>36.374016000000005</v>
      </c>
      <c r="K23" s="322">
        <f>(100%-$D23)*'INGRESO A PS DE CA'!K23</f>
        <v>51.210936000000004</v>
      </c>
      <c r="L23" s="322">
        <f>(100%-$D23)*'INGRESO A PS DE CA'!L23</f>
        <v>51.497964000000003</v>
      </c>
      <c r="M23" s="322">
        <f>(100%-$D23)*'INGRESO A PS DE CA'!M23</f>
        <v>51.785277600000008</v>
      </c>
      <c r="N23" s="322">
        <f>(100%-$D23)*'INGRESO A PS DE CA'!N23</f>
        <v>52.072591200000005</v>
      </c>
      <c r="O23" s="322">
        <f>(100%-$D23)*'INGRESO A PS DE CA'!O23</f>
        <v>52.35990480000001</v>
      </c>
      <c r="P23" s="322">
        <f>(100%-$D23)*'INGRESO A PS DE CA'!P23</f>
        <v>52.6472184</v>
      </c>
      <c r="Q23" s="322">
        <f>(100%-$D23)*'INGRESO A PS DE CA'!Q23</f>
        <v>52.93453199999999</v>
      </c>
      <c r="R23" s="322">
        <f>(100%-$D23)*'INGRESO A PS DE CA'!R23</f>
        <v>53.221845599999995</v>
      </c>
      <c r="S23" s="322">
        <f>(100%-$D23)*'INGRESO A PS DE CA'!S23</f>
        <v>53.509159199999999</v>
      </c>
      <c r="T23" s="322">
        <f>(100%-$D23)*'INGRESO A PS DE CA'!T23</f>
        <v>53.796472800000004</v>
      </c>
      <c r="U23" s="322">
        <f>(100%-$D23)*'INGRESO A PS DE CA'!U23</f>
        <v>54.083500800000003</v>
      </c>
      <c r="V23" s="322">
        <f>(100%-$D23)*'INGRESO A PS DE CA'!V23</f>
        <v>54.370814400000008</v>
      </c>
      <c r="W23" s="322">
        <f>(100%-$D23)*'INGRESO A PS DE CA'!W23</f>
        <v>54.658128000000005</v>
      </c>
      <c r="X23" s="322">
        <f>(100%-$D23)*'INGRESO A PS DE CA'!X23</f>
        <v>54.945441599999995</v>
      </c>
      <c r="Y23" s="322">
        <f>(100%-$D23)*'INGRESO A PS DE CA'!Y23</f>
        <v>55.2327552</v>
      </c>
      <c r="Z23" s="322">
        <f>(100%-$D23)*'INGRESO A PS DE CA'!Z23</f>
        <v>55.52006879999999</v>
      </c>
    </row>
    <row r="24" spans="1:26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20">
        <v>0.2</v>
      </c>
      <c r="E24" s="278"/>
      <c r="F24" s="263"/>
      <c r="G24" s="322">
        <f>(100%-$D24)*'INGRESO A PS DE CA'!G24</f>
        <v>2.42431968</v>
      </c>
      <c r="H24" s="322">
        <f>(100%-$D24)*'INGRESO A PS DE CA'!H24</f>
        <v>19.414272000000004</v>
      </c>
      <c r="I24" s="322">
        <f>(100%-$D24)*'INGRESO A PS DE CA'!I24</f>
        <v>36.439214399999997</v>
      </c>
      <c r="J24" s="322">
        <f>(100%-$D24)*'INGRESO A PS DE CA'!J24</f>
        <v>60.795672000000003</v>
      </c>
      <c r="K24" s="322">
        <f>(100%-$D24)*'INGRESO A PS DE CA'!K24</f>
        <v>85.204476000000014</v>
      </c>
      <c r="L24" s="322">
        <f>(100%-$D24)*'INGRESO A PS DE CA'!L24</f>
        <v>85.296439200000009</v>
      </c>
      <c r="M24" s="322">
        <f>(100%-$D24)*'INGRESO A PS DE CA'!M24</f>
        <v>85.389830399999994</v>
      </c>
      <c r="N24" s="322">
        <f>(100%-$D24)*'INGRESO A PS DE CA'!N24</f>
        <v>85.48493520000001</v>
      </c>
      <c r="O24" s="322">
        <f>(100%-$D24)*'INGRESO A PS DE CA'!O24</f>
        <v>85.581468000000001</v>
      </c>
      <c r="P24" s="322">
        <f>(100%-$D24)*'INGRESO A PS DE CA'!P24</f>
        <v>85.679428800000011</v>
      </c>
      <c r="Q24" s="322">
        <f>(100%-$D24)*'INGRESO A PS DE CA'!Q24</f>
        <v>85.779103200000009</v>
      </c>
      <c r="R24" s="322">
        <f>(100%-$D24)*'INGRESO A PS DE CA'!R24</f>
        <v>85.880491199999994</v>
      </c>
      <c r="S24" s="322">
        <f>(100%-$D24)*'INGRESO A PS DE CA'!S24</f>
        <v>85.983592800000011</v>
      </c>
      <c r="T24" s="322">
        <f>(100%-$D24)*'INGRESO A PS DE CA'!T24</f>
        <v>86.088122400000003</v>
      </c>
      <c r="U24" s="322">
        <f>(100%-$D24)*'INGRESO A PS DE CA'!U24</f>
        <v>86.194651199999996</v>
      </c>
      <c r="V24" s="322">
        <f>(100%-$D24)*'INGRESO A PS DE CA'!V24</f>
        <v>86.302607999999992</v>
      </c>
      <c r="W24" s="322">
        <f>(100%-$D24)*'INGRESO A PS DE CA'!W24</f>
        <v>86.412563999999989</v>
      </c>
      <c r="X24" s="322">
        <f>(100%-$D24)*'INGRESO A PS DE CA'!X24</f>
        <v>86.524233600000002</v>
      </c>
      <c r="Y24" s="322">
        <f>(100%-$D24)*'INGRESO A PS DE CA'!Y24</f>
        <v>86.637616799999989</v>
      </c>
      <c r="Z24" s="322">
        <f>(100%-$D24)*'INGRESO A PS DE CA'!Z24</f>
        <v>86.752999200000019</v>
      </c>
    </row>
    <row r="25" spans="1:26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20">
        <v>0.2</v>
      </c>
      <c r="E25" s="278"/>
      <c r="F25" s="263"/>
      <c r="G25" s="322">
        <f>(100%-$D25)*'INGRESO A PS DE CA'!G25</f>
        <v>3.9164272800000002</v>
      </c>
      <c r="H25" s="322">
        <f>(100%-$D25)*'INGRESO A PS DE CA'!H25</f>
        <v>31.789747200000001</v>
      </c>
      <c r="I25" s="322">
        <f>(100%-$D25)*'INGRESO A PS DE CA'!I25</f>
        <v>60.479017200000001</v>
      </c>
      <c r="J25" s="322">
        <f>(100%-$D25)*'INGRESO A PS DE CA'!J25</f>
        <v>102.27773400000001</v>
      </c>
      <c r="K25" s="322">
        <f>(100%-$D25)*'INGRESO A PS DE CA'!K25</f>
        <v>145.29350639999998</v>
      </c>
      <c r="L25" s="322">
        <f>(100%-$D25)*'INGRESO A PS DE CA'!L25</f>
        <v>147.43253279999999</v>
      </c>
      <c r="M25" s="322">
        <f>(100%-$D25)*'INGRESO A PS DE CA'!M25</f>
        <v>149.60630159999999</v>
      </c>
      <c r="N25" s="322">
        <f>(100%-$D25)*'INGRESO A PS DE CA'!N25</f>
        <v>151.81560239999999</v>
      </c>
      <c r="O25" s="322">
        <f>(100%-$D25)*'INGRESO A PS DE CA'!O25</f>
        <v>154.06122479999999</v>
      </c>
      <c r="P25" s="322">
        <f>(100%-$D25)*'INGRESO A PS DE CA'!P25</f>
        <v>156.34316879999997</v>
      </c>
      <c r="Q25" s="322">
        <f>(100%-$D25)*'INGRESO A PS DE CA'!Q25</f>
        <v>158.66261879999999</v>
      </c>
      <c r="R25" s="322">
        <f>(100%-$D25)*'INGRESO A PS DE CA'!R25</f>
        <v>161.01957479999999</v>
      </c>
      <c r="S25" s="322">
        <f>(100%-$D25)*'INGRESO A PS DE CA'!S25</f>
        <v>163.41522119999999</v>
      </c>
      <c r="T25" s="322">
        <f>(100%-$D25)*'INGRESO A PS DE CA'!T25</f>
        <v>165.84995280000001</v>
      </c>
      <c r="U25" s="322">
        <f>(100%-$D25)*'INGRESO A PS DE CA'!U25</f>
        <v>168.3241644</v>
      </c>
      <c r="V25" s="322">
        <f>(100%-$D25)*'INGRESO A PS DE CA'!V25</f>
        <v>170.83904039999999</v>
      </c>
      <c r="W25" s="322">
        <f>(100%-$D25)*'INGRESO A PS DE CA'!W25</f>
        <v>173.39458079999997</v>
      </c>
      <c r="X25" s="322">
        <f>(100%-$D25)*'INGRESO A PS DE CA'!X25</f>
        <v>175.99236479999999</v>
      </c>
      <c r="Y25" s="322">
        <f>(100%-$D25)*'INGRESO A PS DE CA'!Y25</f>
        <v>178.63199759999998</v>
      </c>
      <c r="Z25" s="322">
        <f>(100%-$D25)*'INGRESO A PS DE CA'!Z25</f>
        <v>181.3150584</v>
      </c>
    </row>
    <row r="26" spans="1:26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20">
        <v>0.2</v>
      </c>
      <c r="E26" s="278"/>
      <c r="F26" s="263"/>
      <c r="G26" s="322">
        <f>(100%-$D26)*'INGRESO A PS DE CA'!G26</f>
        <v>5.203182</v>
      </c>
      <c r="H26" s="322">
        <f>(100%-$D26)*'INGRESO A PS DE CA'!H26</f>
        <v>42.174024960000004</v>
      </c>
      <c r="I26" s="322">
        <f>(100%-$D26)*'INGRESO A PS DE CA'!I26</f>
        <v>80.104863599999987</v>
      </c>
      <c r="J26" s="322">
        <f>(100%-$D26)*'INGRESO A PS DE CA'!J26</f>
        <v>135.22238400000001</v>
      </c>
      <c r="K26" s="322">
        <f>(100%-$D26)*'INGRESO A PS DE CA'!K26</f>
        <v>191.71132679999997</v>
      </c>
      <c r="L26" s="322">
        <f>(100%-$D26)*'INGRESO A PS DE CA'!L26</f>
        <v>194.11131599999999</v>
      </c>
      <c r="M26" s="322">
        <f>(100%-$D26)*'INGRESO A PS DE CA'!M26</f>
        <v>196.51091039999997</v>
      </c>
      <c r="N26" s="322">
        <f>(100%-$D26)*'INGRESO A PS DE CA'!N26</f>
        <v>198.91089959999996</v>
      </c>
      <c r="O26" s="322">
        <f>(100%-$D26)*'INGRESO A PS DE CA'!O26</f>
        <v>201.31088879999999</v>
      </c>
      <c r="P26" s="322">
        <f>(100%-$D26)*'INGRESO A PS DE CA'!P26</f>
        <v>203.71087800000001</v>
      </c>
      <c r="Q26" s="322">
        <f>(100%-$D26)*'INGRESO A PS DE CA'!Q26</f>
        <v>206.1108672</v>
      </c>
      <c r="R26" s="322">
        <f>(100%-$D26)*'INGRESO A PS DE CA'!R26</f>
        <v>208.51085640000002</v>
      </c>
      <c r="S26" s="322">
        <f>(100%-$D26)*'INGRESO A PS DE CA'!S26</f>
        <v>210.91084559999996</v>
      </c>
      <c r="T26" s="322">
        <f>(100%-$D26)*'INGRESO A PS DE CA'!T26</f>
        <v>213.31083479999998</v>
      </c>
      <c r="U26" s="322">
        <f>(100%-$D26)*'INGRESO A PS DE CA'!U26</f>
        <v>215.71082399999997</v>
      </c>
      <c r="V26" s="322">
        <f>(100%-$D26)*'INGRESO A PS DE CA'!V26</f>
        <v>218.1108132</v>
      </c>
      <c r="W26" s="322">
        <f>(100%-$D26)*'INGRESO A PS DE CA'!W26</f>
        <v>220.51080239999999</v>
      </c>
      <c r="X26" s="322">
        <f>(100%-$D26)*'INGRESO A PS DE CA'!X26</f>
        <v>222.91079160000001</v>
      </c>
      <c r="Y26" s="322">
        <f>(100%-$D26)*'INGRESO A PS DE CA'!Y26</f>
        <v>225.31078079999997</v>
      </c>
      <c r="Z26" s="322">
        <f>(100%-$D26)*'INGRESO A PS DE CA'!Z26</f>
        <v>227.71077000000002</v>
      </c>
    </row>
    <row r="27" spans="1:26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20">
        <v>0.2</v>
      </c>
      <c r="E27" s="278"/>
      <c r="F27" s="263"/>
      <c r="G27" s="322">
        <f>(100%-$D27)*'INGRESO A PS DE CA'!G27</f>
        <v>3.9609494400000003</v>
      </c>
      <c r="H27" s="322">
        <f>(100%-$D27)*'INGRESO A PS DE CA'!H27</f>
        <v>31.7590656</v>
      </c>
      <c r="I27" s="322">
        <f>(100%-$D27)*'INGRESO A PS DE CA'!I27</f>
        <v>59.684453999999995</v>
      </c>
      <c r="J27" s="322">
        <f>(100%-$D27)*'INGRESO A PS DE CA'!J27</f>
        <v>99.705048000000005</v>
      </c>
      <c r="K27" s="322">
        <f>(100%-$D27)*'INGRESO A PS DE CA'!K27</f>
        <v>139.91514599999999</v>
      </c>
      <c r="L27" s="322">
        <f>(100%-$D27)*'INGRESO A PS DE CA'!L27</f>
        <v>140.248752</v>
      </c>
      <c r="M27" s="322">
        <f>(100%-$D27)*'INGRESO A PS DE CA'!M27</f>
        <v>140.58788519999999</v>
      </c>
      <c r="N27" s="322">
        <f>(100%-$D27)*'INGRESO A PS DE CA'!N27</f>
        <v>140.9325456</v>
      </c>
      <c r="O27" s="322">
        <f>(100%-$D27)*'INGRESO A PS DE CA'!O27</f>
        <v>141.2827332</v>
      </c>
      <c r="P27" s="322">
        <f>(100%-$D27)*'INGRESO A PS DE CA'!P27</f>
        <v>141.63884279999999</v>
      </c>
      <c r="Q27" s="322">
        <f>(100%-$D27)*'INGRESO A PS DE CA'!Q27</f>
        <v>142.00087440000001</v>
      </c>
      <c r="R27" s="322">
        <f>(100%-$D27)*'INGRESO A PS DE CA'!R27</f>
        <v>142.3684332</v>
      </c>
      <c r="S27" s="322">
        <f>(100%-$D27)*'INGRESO A PS DE CA'!S27</f>
        <v>142.74191400000001</v>
      </c>
      <c r="T27" s="322">
        <f>(100%-$D27)*'INGRESO A PS DE CA'!T27</f>
        <v>143.1217116</v>
      </c>
      <c r="U27" s="322">
        <f>(100%-$D27)*'INGRESO A PS DE CA'!U27</f>
        <v>143.50782599999999</v>
      </c>
      <c r="V27" s="322">
        <f>(100%-$D27)*'INGRESO A PS DE CA'!V27</f>
        <v>143.9002572</v>
      </c>
      <c r="W27" s="322">
        <f>(100%-$D27)*'INGRESO A PS DE CA'!W27</f>
        <v>144.2986104</v>
      </c>
      <c r="X27" s="322">
        <f>(100%-$D27)*'INGRESO A PS DE CA'!X27</f>
        <v>144.70406999999997</v>
      </c>
      <c r="Y27" s="322">
        <f>(100%-$D27)*'INGRESO A PS DE CA'!Y27</f>
        <v>145.11584639999998</v>
      </c>
      <c r="Z27" s="322">
        <f>(100%-$D27)*'INGRESO A PS DE CA'!Z27</f>
        <v>145.53433440000001</v>
      </c>
    </row>
    <row r="28" spans="1:26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20">
        <v>0.2</v>
      </c>
      <c r="E28" s="278"/>
      <c r="F28" s="263"/>
      <c r="G28" s="322">
        <f>(100%-$D28)*'INGRESO A PS DE CA'!G28</f>
        <v>2.0815425599999999</v>
      </c>
      <c r="H28" s="322">
        <f>(100%-$D28)*'INGRESO A PS DE CA'!H28</f>
        <v>16.585428480000001</v>
      </c>
      <c r="I28" s="322">
        <f>(100%-$D28)*'INGRESO A PS DE CA'!I28</f>
        <v>30.970260000000003</v>
      </c>
      <c r="J28" s="322">
        <f>(100%-$D28)*'INGRESO A PS DE CA'!J28</f>
        <v>51.401063999999998</v>
      </c>
      <c r="K28" s="322">
        <f>(100%-$D28)*'INGRESO A PS DE CA'!K28</f>
        <v>71.654469600000013</v>
      </c>
      <c r="L28" s="322">
        <f>(100%-$D28)*'INGRESO A PS DE CA'!L28</f>
        <v>71.342023200000014</v>
      </c>
      <c r="M28" s="322">
        <f>(100%-$D28)*'INGRESO A PS DE CA'!M28</f>
        <v>71.024721600000007</v>
      </c>
      <c r="N28" s="322">
        <f>(100%-$D28)*'INGRESO A PS DE CA'!N28</f>
        <v>70.702279200000007</v>
      </c>
      <c r="O28" s="322">
        <f>(100%-$D28)*'INGRESO A PS DE CA'!O28</f>
        <v>70.374410399999988</v>
      </c>
      <c r="P28" s="322">
        <f>(100%-$D28)*'INGRESO A PS DE CA'!P28</f>
        <v>70.041400800000005</v>
      </c>
      <c r="Q28" s="322">
        <f>(100%-$D28)*'INGRESO A PS DE CA'!Q28</f>
        <v>69.702964800000004</v>
      </c>
      <c r="R28" s="322">
        <f>(100%-$D28)*'INGRESO A PS DE CA'!R28</f>
        <v>69.3588168</v>
      </c>
      <c r="S28" s="322">
        <f>(100%-$D28)*'INGRESO A PS DE CA'!S28</f>
        <v>69.009242400000005</v>
      </c>
      <c r="T28" s="322">
        <f>(100%-$D28)*'INGRESO A PS DE CA'!T28</f>
        <v>68.653670399999996</v>
      </c>
      <c r="U28" s="322">
        <f>(100%-$D28)*'INGRESO A PS DE CA'!U28</f>
        <v>68.292671999999996</v>
      </c>
      <c r="V28" s="322">
        <f>(100%-$D28)*'INGRESO A PS DE CA'!V28</f>
        <v>67.925390399999998</v>
      </c>
      <c r="W28" s="322">
        <f>(100%-$D28)*'INGRESO A PS DE CA'!W28</f>
        <v>67.552396799999997</v>
      </c>
      <c r="X28" s="322">
        <f>(100%-$D28)*'INGRESO A PS DE CA'!X28</f>
        <v>67.173119999999997</v>
      </c>
      <c r="Y28" s="322">
        <f>(100%-$D28)*'INGRESO A PS DE CA'!Y28</f>
        <v>66.787845600000011</v>
      </c>
      <c r="Z28" s="322">
        <f>(100%-$D28)*'INGRESO A PS DE CA'!Z28</f>
        <v>66.396288000000013</v>
      </c>
    </row>
    <row r="29" spans="1:26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20">
        <v>0.2</v>
      </c>
      <c r="E29" s="278"/>
      <c r="F29" s="263"/>
      <c r="G29" s="322">
        <f>(100%-$D29)*'INGRESO A PS DE CA'!G29</f>
        <v>0.21160992000000003</v>
      </c>
      <c r="H29" s="322">
        <f>(100%-$D29)*'INGRESO A PS DE CA'!H29</f>
        <v>1.69966336</v>
      </c>
      <c r="I29" s="322">
        <f>(100%-$D29)*'INGRESO A PS DE CA'!I29</f>
        <v>3.1995888000000003</v>
      </c>
      <c r="J29" s="322">
        <f>(100%-$D29)*'INGRESO A PS DE CA'!J29</f>
        <v>5.3540600000000005</v>
      </c>
      <c r="K29" s="322">
        <f>(100%-$D29)*'INGRESO A PS DE CA'!K29</f>
        <v>7.5256608000000007</v>
      </c>
      <c r="L29" s="322">
        <f>(100%-$D29)*'INGRESO A PS DE CA'!L29</f>
        <v>7.5556376000000007</v>
      </c>
      <c r="M29" s="322">
        <f>(100%-$D29)*'INGRESO A PS DE CA'!M29</f>
        <v>7.5859112</v>
      </c>
      <c r="N29" s="322">
        <f>(100%-$D29)*'INGRESO A PS DE CA'!N29</f>
        <v>7.6164816000000002</v>
      </c>
      <c r="O29" s="322">
        <f>(100%-$D29)*'INGRESO A PS DE CA'!O29</f>
        <v>7.6467552000000003</v>
      </c>
      <c r="P29" s="322">
        <f>(100%-$D29)*'INGRESO A PS DE CA'!P29</f>
        <v>7.6776224000000006</v>
      </c>
      <c r="Q29" s="322">
        <f>(100%-$D29)*'INGRESO A PS DE CA'!Q29</f>
        <v>7.7081927999999991</v>
      </c>
      <c r="R29" s="322">
        <f>(100%-$D29)*'INGRESO A PS DE CA'!R29</f>
        <v>7.7390600000000012</v>
      </c>
      <c r="S29" s="322">
        <f>(100%-$D29)*'INGRESO A PS DE CA'!S29</f>
        <v>7.7702240000000007</v>
      </c>
      <c r="T29" s="322">
        <f>(100%-$D29)*'INGRESO A PS DE CA'!T29</f>
        <v>7.8010911999999992</v>
      </c>
      <c r="U29" s="322">
        <f>(100%-$D29)*'INGRESO A PS DE CA'!U29</f>
        <v>7.8325519999999997</v>
      </c>
      <c r="V29" s="322">
        <f>(100%-$D29)*'INGRESO A PS DE CA'!V29</f>
        <v>7.8637160000000002</v>
      </c>
      <c r="W29" s="322">
        <f>(100%-$D29)*'INGRESO A PS DE CA'!W29</f>
        <v>7.8954735999999999</v>
      </c>
      <c r="X29" s="322">
        <f>(100%-$D29)*'INGRESO A PS DE CA'!X29</f>
        <v>7.9269344000000004</v>
      </c>
      <c r="Y29" s="322">
        <f>(100%-$D29)*'INGRESO A PS DE CA'!Y29</f>
        <v>7.9586919999999992</v>
      </c>
      <c r="Z29" s="322">
        <f>(100%-$D29)*'INGRESO A PS DE CA'!Z29</f>
        <v>7.9904495999999998</v>
      </c>
    </row>
    <row r="30" spans="1:26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20">
        <v>0.2</v>
      </c>
      <c r="E30" s="278"/>
      <c r="F30" s="263"/>
      <c r="G30" s="322">
        <f>(100%-$D30)*'INGRESO A PS DE CA'!G30</f>
        <v>0.35576143999999998</v>
      </c>
      <c r="H30" s="322">
        <f>(100%-$D30)*'INGRESO A PS DE CA'!H30</f>
        <v>2.8680716799999999</v>
      </c>
      <c r="I30" s="322">
        <f>(100%-$D30)*'INGRESO A PS DE CA'!I30</f>
        <v>5.4189744000000006</v>
      </c>
      <c r="J30" s="322">
        <f>(100%-$D30)*'INGRESO A PS DE CA'!J30</f>
        <v>9.1003120000000006</v>
      </c>
      <c r="K30" s="322">
        <f>(100%-$D30)*'INGRESO A PS DE CA'!K30</f>
        <v>12.836896800000003</v>
      </c>
      <c r="L30" s="322">
        <f>(100%-$D30)*'INGRESO A PS DE CA'!L30</f>
        <v>12.933060000000001</v>
      </c>
      <c r="M30" s="322">
        <f>(100%-$D30)*'INGRESO A PS DE CA'!M30</f>
        <v>13.02952</v>
      </c>
      <c r="N30" s="322">
        <f>(100%-$D30)*'INGRESO A PS DE CA'!N30</f>
        <v>13.125683200000001</v>
      </c>
      <c r="O30" s="322">
        <f>(100%-$D30)*'INGRESO A PS DE CA'!O30</f>
        <v>13.2221432</v>
      </c>
      <c r="P30" s="322">
        <f>(100%-$D30)*'INGRESO A PS DE CA'!P30</f>
        <v>13.318306400000001</v>
      </c>
      <c r="Q30" s="322">
        <f>(100%-$D30)*'INGRESO A PS DE CA'!Q30</f>
        <v>13.4147664</v>
      </c>
      <c r="R30" s="322">
        <f>(100%-$D30)*'INGRESO A PS DE CA'!R30</f>
        <v>13.510929600000001</v>
      </c>
      <c r="S30" s="322">
        <f>(100%-$D30)*'INGRESO A PS DE CA'!S30</f>
        <v>13.607389599999999</v>
      </c>
      <c r="T30" s="322">
        <f>(100%-$D30)*'INGRESO A PS DE CA'!T30</f>
        <v>13.703552800000001</v>
      </c>
      <c r="U30" s="322">
        <f>(100%-$D30)*'INGRESO A PS DE CA'!U30</f>
        <v>13.799715999999998</v>
      </c>
      <c r="V30" s="322">
        <f>(100%-$D30)*'INGRESO A PS DE CA'!V30</f>
        <v>13.896176000000001</v>
      </c>
      <c r="W30" s="322">
        <f>(100%-$D30)*'INGRESO A PS DE CA'!W30</f>
        <v>13.992339199999998</v>
      </c>
      <c r="X30" s="322">
        <f>(100%-$D30)*'INGRESO A PS DE CA'!X30</f>
        <v>14.0887992</v>
      </c>
      <c r="Y30" s="322">
        <f>(100%-$D30)*'INGRESO A PS DE CA'!Y30</f>
        <v>14.184962400000002</v>
      </c>
      <c r="Z30" s="322">
        <f>(100%-$D30)*'INGRESO A PS DE CA'!Z30</f>
        <v>14.2814224</v>
      </c>
    </row>
    <row r="31" spans="1:26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20">
        <v>0.2</v>
      </c>
      <c r="E31" s="278"/>
      <c r="F31" s="263"/>
      <c r="G31" s="322">
        <f>(100%-$D31)*'INGRESO A PS DE CA'!G31</f>
        <v>7.6477760000000006E-2</v>
      </c>
      <c r="H31" s="322">
        <f>(100%-$D31)*'INGRESO A PS DE CA'!H31</f>
        <v>0.6151782400000001</v>
      </c>
      <c r="I31" s="322">
        <f>(100%-$D31)*'INGRESO A PS DE CA'!I31</f>
        <v>1.1598624000000002</v>
      </c>
      <c r="J31" s="322">
        <f>(100%-$D31)*'INGRESO A PS DE CA'!J31</f>
        <v>1.9437760000000002</v>
      </c>
      <c r="K31" s="322">
        <f>(100%-$D31)*'INGRESO A PS DE CA'!K31</f>
        <v>2.7359695999999998</v>
      </c>
      <c r="L31" s="322">
        <f>(100%-$D31)*'INGRESO A PS DE CA'!L31</f>
        <v>2.7509104000000004</v>
      </c>
      <c r="M31" s="322">
        <f>(100%-$D31)*'INGRESO A PS DE CA'!M31</f>
        <v>2.7658512000000002</v>
      </c>
      <c r="N31" s="322">
        <f>(100%-$D31)*'INGRESO A PS DE CA'!N31</f>
        <v>2.7805344000000001</v>
      </c>
      <c r="O31" s="322">
        <f>(100%-$D31)*'INGRESO A PS DE CA'!O31</f>
        <v>2.7954752000000003</v>
      </c>
      <c r="P31" s="322">
        <f>(100%-$D31)*'INGRESO A PS DE CA'!P31</f>
        <v>2.810416</v>
      </c>
      <c r="Q31" s="322">
        <f>(100%-$D31)*'INGRESO A PS DE CA'!Q31</f>
        <v>2.8250992000000004</v>
      </c>
      <c r="R31" s="322">
        <f>(100%-$D31)*'INGRESO A PS DE CA'!R31</f>
        <v>2.8400400000000001</v>
      </c>
      <c r="S31" s="322">
        <f>(100%-$D31)*'INGRESO A PS DE CA'!S31</f>
        <v>2.8549807999999999</v>
      </c>
      <c r="T31" s="322">
        <f>(100%-$D31)*'INGRESO A PS DE CA'!T31</f>
        <v>2.8696640000000002</v>
      </c>
      <c r="U31" s="322">
        <f>(100%-$D31)*'INGRESO A PS DE CA'!U31</f>
        <v>2.8846048</v>
      </c>
      <c r="V31" s="322">
        <f>(100%-$D31)*'INGRESO A PS DE CA'!V31</f>
        <v>2.8995455999999997</v>
      </c>
      <c r="W31" s="322">
        <f>(100%-$D31)*'INGRESO A PS DE CA'!W31</f>
        <v>2.9144864000000004</v>
      </c>
      <c r="X31" s="322">
        <f>(100%-$D31)*'INGRESO A PS DE CA'!X31</f>
        <v>2.9291695999999998</v>
      </c>
      <c r="Y31" s="322">
        <f>(100%-$D31)*'INGRESO A PS DE CA'!Y31</f>
        <v>2.9441104</v>
      </c>
      <c r="Z31" s="322">
        <f>(100%-$D31)*'INGRESO A PS DE CA'!Z31</f>
        <v>2.9590512000000007</v>
      </c>
    </row>
    <row r="32" spans="1:26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20">
        <v>0.2</v>
      </c>
      <c r="E32" s="278"/>
      <c r="F32" s="263"/>
      <c r="G32" s="322">
        <f>(100%-$D32)*'INGRESO A PS DE CA'!G32</f>
        <v>7.1266880000000005E-2</v>
      </c>
      <c r="H32" s="322">
        <f>(100%-$D32)*'INGRESO A PS DE CA'!H32</f>
        <v>0.57484544000000015</v>
      </c>
      <c r="I32" s="322">
        <f>(100%-$D32)*'INGRESO A PS DE CA'!I32</f>
        <v>1.0866671999999999</v>
      </c>
      <c r="J32" s="322">
        <f>(100%-$D32)*'INGRESO A PS DE CA'!J32</f>
        <v>1.8258320000000001</v>
      </c>
      <c r="K32" s="322">
        <f>(100%-$D32)*'INGRESO A PS DE CA'!K32</f>
        <v>2.5767728000000001</v>
      </c>
      <c r="L32" s="322">
        <f>(100%-$D32)*'INGRESO A PS DE CA'!L32</f>
        <v>2.6069119999999999</v>
      </c>
      <c r="M32" s="322">
        <f>(100%-$D32)*'INGRESO A PS DE CA'!M32</f>
        <v>2.6370512000000002</v>
      </c>
      <c r="N32" s="322">
        <f>(100%-$D32)*'INGRESO A PS DE CA'!N32</f>
        <v>2.6671904</v>
      </c>
      <c r="O32" s="322">
        <f>(100%-$D32)*'INGRESO A PS DE CA'!O32</f>
        <v>2.6973295999999998</v>
      </c>
      <c r="P32" s="322">
        <f>(100%-$D32)*'INGRESO A PS DE CA'!P32</f>
        <v>2.7274688000000005</v>
      </c>
      <c r="Q32" s="322">
        <f>(100%-$D32)*'INGRESO A PS DE CA'!Q32</f>
        <v>2.7576080000000003</v>
      </c>
      <c r="R32" s="322">
        <f>(100%-$D32)*'INGRESO A PS DE CA'!R32</f>
        <v>2.7877472000000001</v>
      </c>
      <c r="S32" s="322">
        <f>(100%-$D32)*'INGRESO A PS DE CA'!S32</f>
        <v>2.8178864000000003</v>
      </c>
      <c r="T32" s="322">
        <f>(100%-$D32)*'INGRESO A PS DE CA'!T32</f>
        <v>2.8480256000000002</v>
      </c>
      <c r="U32" s="322">
        <f>(100%-$D32)*'INGRESO A PS DE CA'!U32</f>
        <v>2.8781648</v>
      </c>
      <c r="V32" s="322">
        <f>(100%-$D32)*'INGRESO A PS DE CA'!V32</f>
        <v>2.9083040000000002</v>
      </c>
      <c r="W32" s="322">
        <f>(100%-$D32)*'INGRESO A PS DE CA'!W32</f>
        <v>2.9384432</v>
      </c>
      <c r="X32" s="322">
        <f>(100%-$D32)*'INGRESO A PS DE CA'!X32</f>
        <v>2.9685823999999998</v>
      </c>
      <c r="Y32" s="322">
        <f>(100%-$D32)*'INGRESO A PS DE CA'!Y32</f>
        <v>2.9987216000000001</v>
      </c>
      <c r="Z32" s="322">
        <f>(100%-$D32)*'INGRESO A PS DE CA'!Z32</f>
        <v>3.0288608000000004</v>
      </c>
    </row>
    <row r="33" spans="1:26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20">
        <v>0.2</v>
      </c>
      <c r="E33" s="278"/>
      <c r="F33" s="263"/>
      <c r="G33" s="322">
        <f>(100%-$D33)*'INGRESO A PS DE CA'!G33</f>
        <v>7.5756480000000015E-2</v>
      </c>
      <c r="H33" s="322">
        <f>(100%-$D33)*'INGRESO A PS DE CA'!H33</f>
        <v>0.61464832000000014</v>
      </c>
      <c r="I33" s="322">
        <f>(100%-$D33)*'INGRESO A PS DE CA'!I33</f>
        <v>1.1685840000000001</v>
      </c>
      <c r="J33" s="322">
        <f>(100%-$D33)*'INGRESO A PS DE CA'!J33</f>
        <v>1.9743200000000003</v>
      </c>
      <c r="K33" s="322">
        <f>(100%-$D33)*'INGRESO A PS DE CA'!K33</f>
        <v>2.8016576</v>
      </c>
      <c r="L33" s="322">
        <f>(100%-$D33)*'INGRESO A PS DE CA'!L33</f>
        <v>2.8485408000000003</v>
      </c>
      <c r="M33" s="322">
        <f>(100%-$D33)*'INGRESO A PS DE CA'!M33</f>
        <v>2.8951664000000004</v>
      </c>
      <c r="N33" s="322">
        <f>(100%-$D33)*'INGRESO A PS DE CA'!N33</f>
        <v>2.9420495999999998</v>
      </c>
      <c r="O33" s="322">
        <f>(100%-$D33)*'INGRESO A PS DE CA'!O33</f>
        <v>2.9889328000000002</v>
      </c>
      <c r="P33" s="322">
        <f>(100%-$D33)*'INGRESO A PS DE CA'!P33</f>
        <v>3.0358160000000001</v>
      </c>
      <c r="Q33" s="322">
        <f>(100%-$D33)*'INGRESO A PS DE CA'!Q33</f>
        <v>3.0824416000000001</v>
      </c>
      <c r="R33" s="322">
        <f>(100%-$D33)*'INGRESO A PS DE CA'!R33</f>
        <v>3.1293247999999996</v>
      </c>
      <c r="S33" s="322">
        <f>(100%-$D33)*'INGRESO A PS DE CA'!S33</f>
        <v>3.1762079999999999</v>
      </c>
      <c r="T33" s="322">
        <f>(100%-$D33)*'INGRESO A PS DE CA'!T33</f>
        <v>3.2228336</v>
      </c>
      <c r="U33" s="322">
        <f>(100%-$D33)*'INGRESO A PS DE CA'!U33</f>
        <v>3.2697168000000008</v>
      </c>
      <c r="V33" s="322">
        <f>(100%-$D33)*'INGRESO A PS DE CA'!V33</f>
        <v>3.3165999999999998</v>
      </c>
      <c r="W33" s="322">
        <f>(100%-$D33)*'INGRESO A PS DE CA'!W33</f>
        <v>3.3632255999999998</v>
      </c>
      <c r="X33" s="322">
        <f>(100%-$D33)*'INGRESO A PS DE CA'!X33</f>
        <v>3.4101088000000006</v>
      </c>
      <c r="Y33" s="322">
        <f>(100%-$D33)*'INGRESO A PS DE CA'!Y33</f>
        <v>3.4569919999999996</v>
      </c>
      <c r="Z33" s="322">
        <f>(100%-$D33)*'INGRESO A PS DE CA'!Z33</f>
        <v>3.5038751999999995</v>
      </c>
    </row>
    <row r="34" spans="1:26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20">
        <v>0.2</v>
      </c>
      <c r="E34" s="278"/>
      <c r="F34" s="263"/>
      <c r="G34" s="322">
        <f>(100%-$D34)*'INGRESO A PS DE CA'!G34</f>
        <v>0.25873328000000001</v>
      </c>
      <c r="H34" s="322">
        <f>(100%-$D34)*'INGRESO A PS DE CA'!H34</f>
        <v>2.0886579200000002</v>
      </c>
      <c r="I34" s="322">
        <f>(100%-$D34)*'INGRESO A PS DE CA'!I34</f>
        <v>3.9518496000000001</v>
      </c>
      <c r="J34" s="322">
        <f>(100%-$D34)*'INGRESO A PS DE CA'!J34</f>
        <v>6.6462000000000003</v>
      </c>
      <c r="K34" s="322">
        <f>(100%-$D34)*'INGRESO A PS DE CA'!K34</f>
        <v>9.3892679999999995</v>
      </c>
      <c r="L34" s="322">
        <f>(100%-$D34)*'INGRESO A PS DE CA'!L34</f>
        <v>9.4747464000000026</v>
      </c>
      <c r="M34" s="322">
        <f>(100%-$D34)*'INGRESO A PS DE CA'!M34</f>
        <v>9.5608184000000005</v>
      </c>
      <c r="N34" s="322">
        <f>(100%-$D34)*'INGRESO A PS DE CA'!N34</f>
        <v>9.6474840000000004</v>
      </c>
      <c r="O34" s="322">
        <f>(100%-$D34)*'INGRESO A PS DE CA'!O34</f>
        <v>9.7353368000000007</v>
      </c>
      <c r="P34" s="322">
        <f>(100%-$D34)*'INGRESO A PS DE CA'!P34</f>
        <v>9.8237832000000012</v>
      </c>
      <c r="Q34" s="322">
        <f>(100%-$D34)*'INGRESO A PS DE CA'!Q34</f>
        <v>9.9128232000000001</v>
      </c>
      <c r="R34" s="322">
        <f>(100%-$D34)*'INGRESO A PS DE CA'!R34</f>
        <v>10.003050399999999</v>
      </c>
      <c r="S34" s="322">
        <f>(100%-$D34)*'INGRESO A PS DE CA'!S34</f>
        <v>10.093871200000001</v>
      </c>
      <c r="T34" s="322">
        <f>(100%-$D34)*'INGRESO A PS DE CA'!T34</f>
        <v>10.185582400000001</v>
      </c>
      <c r="U34" s="322">
        <f>(100%-$D34)*'INGRESO A PS DE CA'!U34</f>
        <v>10.278184000000003</v>
      </c>
      <c r="V34" s="322">
        <f>(100%-$D34)*'INGRESO A PS DE CA'!V34</f>
        <v>10.371676000000001</v>
      </c>
      <c r="W34" s="322">
        <f>(100%-$D34)*'INGRESO A PS DE CA'!W34</f>
        <v>10.4657616</v>
      </c>
      <c r="X34" s="322">
        <f>(100%-$D34)*'INGRESO A PS DE CA'!X34</f>
        <v>10.561034400000002</v>
      </c>
      <c r="Y34" s="322">
        <f>(100%-$D34)*'INGRESO A PS DE CA'!Y34</f>
        <v>10.656900800000001</v>
      </c>
      <c r="Z34" s="322">
        <f>(100%-$D34)*'INGRESO A PS DE CA'!Z34</f>
        <v>10.753657600000004</v>
      </c>
    </row>
    <row r="35" spans="1:26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20">
        <v>0.2</v>
      </c>
      <c r="E35" s="278"/>
      <c r="F35" s="263"/>
      <c r="G35" s="322">
        <f>(100%-$D35)*'INGRESO A PS DE CA'!G35</f>
        <v>0.16220544000000003</v>
      </c>
      <c r="H35" s="322">
        <f>(100%-$D35)*'INGRESO A PS DE CA'!H35</f>
        <v>1.3055808</v>
      </c>
      <c r="I35" s="322">
        <f>(100%-$D35)*'INGRESO A PS DE CA'!I35</f>
        <v>2.4627192</v>
      </c>
      <c r="J35" s="322">
        <f>(100%-$D35)*'INGRESO A PS DE CA'!J35</f>
        <v>4.1295480000000007</v>
      </c>
      <c r="K35" s="322">
        <f>(100%-$D35)*'INGRESO A PS DE CA'!K35</f>
        <v>5.8163895999999999</v>
      </c>
      <c r="L35" s="322">
        <f>(100%-$D35)*'INGRESO A PS DE CA'!L35</f>
        <v>5.8517088000000008</v>
      </c>
      <c r="M35" s="322">
        <f>(100%-$D35)*'INGRESO A PS DE CA'!M35</f>
        <v>5.8870280000000008</v>
      </c>
      <c r="N35" s="322">
        <f>(100%-$D35)*'INGRESO A PS DE CA'!N35</f>
        <v>5.9229407999999992</v>
      </c>
      <c r="O35" s="322">
        <f>(100%-$D35)*'INGRESO A PS DE CA'!O35</f>
        <v>5.9588536000000012</v>
      </c>
      <c r="P35" s="322">
        <f>(100%-$D35)*'INGRESO A PS DE CA'!P35</f>
        <v>5.9950632000000006</v>
      </c>
      <c r="Q35" s="322">
        <f>(100%-$D35)*'INGRESO A PS DE CA'!Q35</f>
        <v>6.0312728000000009</v>
      </c>
      <c r="R35" s="322">
        <f>(100%-$D35)*'INGRESO A PS DE CA'!R35</f>
        <v>6.0680760000000005</v>
      </c>
      <c r="S35" s="322">
        <f>(100%-$D35)*'INGRESO A PS DE CA'!S35</f>
        <v>6.1048791999999992</v>
      </c>
      <c r="T35" s="322">
        <f>(100%-$D35)*'INGRESO A PS DE CA'!T35</f>
        <v>6.1416824000000005</v>
      </c>
      <c r="U35" s="322">
        <f>(100%-$D35)*'INGRESO A PS DE CA'!U35</f>
        <v>6.1790792000000003</v>
      </c>
      <c r="V35" s="322">
        <f>(100%-$D35)*'INGRESO A PS DE CA'!V35</f>
        <v>6.2164760000000001</v>
      </c>
      <c r="W35" s="322">
        <f>(100%-$D35)*'INGRESO A PS DE CA'!W35</f>
        <v>6.2541696</v>
      </c>
      <c r="X35" s="322">
        <f>(100%-$D35)*'INGRESO A PS DE CA'!X35</f>
        <v>6.29216</v>
      </c>
      <c r="Y35" s="322">
        <f>(100%-$D35)*'INGRESO A PS DE CA'!Y35</f>
        <v>6.3304472000000001</v>
      </c>
      <c r="Z35" s="322">
        <f>(100%-$D35)*'INGRESO A PS DE CA'!Z35</f>
        <v>6.3687344000000001</v>
      </c>
    </row>
    <row r="36" spans="1:26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20">
        <v>0.2</v>
      </c>
      <c r="E36" s="278"/>
      <c r="F36" s="263"/>
      <c r="G36" s="322">
        <f>(100%-$D36)*'INGRESO A PS DE CA'!G36</f>
        <v>0.52955136000000003</v>
      </c>
      <c r="H36" s="322">
        <f>(100%-$D36)*'INGRESO A PS DE CA'!H36</f>
        <v>4.287394560000001</v>
      </c>
      <c r="I36" s="322">
        <f>(100%-$D36)*'INGRESO A PS DE CA'!I36</f>
        <v>8.1343367999999998</v>
      </c>
      <c r="J36" s="322">
        <f>(100%-$D36)*'INGRESO A PS DE CA'!J36</f>
        <v>13.716348000000004</v>
      </c>
      <c r="K36" s="322">
        <f>(100%-$D36)*'INGRESO A PS DE CA'!K36</f>
        <v>19.425655199999998</v>
      </c>
      <c r="L36" s="322">
        <f>(100%-$D36)*'INGRESO A PS DE CA'!L36</f>
        <v>19.7183952</v>
      </c>
      <c r="M36" s="322">
        <f>(100%-$D36)*'INGRESO A PS DE CA'!M36</f>
        <v>20.0108496</v>
      </c>
      <c r="N36" s="322">
        <f>(100%-$D36)*'INGRESO A PS DE CA'!N36</f>
        <v>20.303589600000002</v>
      </c>
      <c r="O36" s="322">
        <f>(100%-$D36)*'INGRESO A PS DE CA'!O36</f>
        <v>20.596043999999999</v>
      </c>
      <c r="P36" s="322">
        <f>(100%-$D36)*'INGRESO A PS DE CA'!P36</f>
        <v>20.888784000000001</v>
      </c>
      <c r="Q36" s="322">
        <f>(100%-$D36)*'INGRESO A PS DE CA'!Q36</f>
        <v>21.181238399999998</v>
      </c>
      <c r="R36" s="322">
        <f>(100%-$D36)*'INGRESO A PS DE CA'!R36</f>
        <v>21.4739784</v>
      </c>
      <c r="S36" s="322">
        <f>(100%-$D36)*'INGRESO A PS DE CA'!S36</f>
        <v>21.766718400000002</v>
      </c>
      <c r="T36" s="322">
        <f>(100%-$D36)*'INGRESO A PS DE CA'!T36</f>
        <v>22.059172799999999</v>
      </c>
      <c r="U36" s="322">
        <f>(100%-$D36)*'INGRESO A PS DE CA'!U36</f>
        <v>22.351912800000001</v>
      </c>
      <c r="V36" s="322">
        <f>(100%-$D36)*'INGRESO A PS DE CA'!V36</f>
        <v>22.644367200000001</v>
      </c>
      <c r="W36" s="322">
        <f>(100%-$D36)*'INGRESO A PS DE CA'!W36</f>
        <v>22.937107200000003</v>
      </c>
      <c r="X36" s="322">
        <f>(100%-$D36)*'INGRESO A PS DE CA'!X36</f>
        <v>23.2295616</v>
      </c>
      <c r="Y36" s="322">
        <f>(100%-$D36)*'INGRESO A PS DE CA'!Y36</f>
        <v>23.522301599999999</v>
      </c>
      <c r="Z36" s="322">
        <f>(100%-$D36)*'INGRESO A PS DE CA'!Z36</f>
        <v>23.815041600000001</v>
      </c>
    </row>
    <row r="37" spans="1:26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20">
        <v>0.2</v>
      </c>
      <c r="E37" s="278"/>
      <c r="F37" s="263"/>
      <c r="G37" s="322">
        <f>(100%-$D37)*'INGRESO A PS DE CA'!G37</f>
        <v>3.7912418400000001</v>
      </c>
      <c r="H37" s="322">
        <f>(100%-$D37)*'INGRESO A PS DE CA'!H37</f>
        <v>30.67744896</v>
      </c>
      <c r="I37" s="322">
        <f>(100%-$D37)*'INGRESO A PS DE CA'!I37</f>
        <v>58.171636799999987</v>
      </c>
      <c r="J37" s="322">
        <f>(100%-$D37)*'INGRESO A PS DE CA'!J37</f>
        <v>98.038427999999996</v>
      </c>
      <c r="K37" s="322">
        <f>(100%-$D37)*'INGRESO A PS DE CA'!K37</f>
        <v>138.77417399999999</v>
      </c>
      <c r="L37" s="322">
        <f>(100%-$D37)*'INGRESO A PS DE CA'!L37</f>
        <v>140.783706</v>
      </c>
      <c r="M37" s="322">
        <f>(100%-$D37)*'INGRESO A PS DE CA'!M37</f>
        <v>142.79363279999998</v>
      </c>
      <c r="N37" s="322">
        <f>(100%-$D37)*'INGRESO A PS DE CA'!N37</f>
        <v>144.80316479999996</v>
      </c>
      <c r="O37" s="322">
        <f>(100%-$D37)*'INGRESO A PS DE CA'!O37</f>
        <v>146.81309159999998</v>
      </c>
      <c r="P37" s="322">
        <f>(100%-$D37)*'INGRESO A PS DE CA'!P37</f>
        <v>148.82262360000001</v>
      </c>
      <c r="Q37" s="322">
        <f>(100%-$D37)*'INGRESO A PS DE CA'!Q37</f>
        <v>150.83255039999997</v>
      </c>
      <c r="R37" s="322">
        <f>(100%-$D37)*'INGRESO A PS DE CA'!R37</f>
        <v>152.84208239999998</v>
      </c>
      <c r="S37" s="322">
        <f>(100%-$D37)*'INGRESO A PS DE CA'!S37</f>
        <v>154.85161440000002</v>
      </c>
      <c r="T37" s="322">
        <f>(100%-$D37)*'INGRESO A PS DE CA'!T37</f>
        <v>156.86154119999998</v>
      </c>
      <c r="U37" s="322">
        <f>(100%-$D37)*'INGRESO A PS DE CA'!U37</f>
        <v>158.87107319999998</v>
      </c>
      <c r="V37" s="322">
        <f>(100%-$D37)*'INGRESO A PS DE CA'!V37</f>
        <v>160.881</v>
      </c>
      <c r="W37" s="322">
        <f>(100%-$D37)*'INGRESO A PS DE CA'!W37</f>
        <v>162.89053200000001</v>
      </c>
      <c r="X37" s="322">
        <f>(100%-$D37)*'INGRESO A PS DE CA'!X37</f>
        <v>164.9004588</v>
      </c>
      <c r="Y37" s="322">
        <f>(100%-$D37)*'INGRESO A PS DE CA'!Y37</f>
        <v>166.9099908</v>
      </c>
      <c r="Z37" s="322">
        <f>(100%-$D37)*'INGRESO A PS DE CA'!Z37</f>
        <v>168.91991759999996</v>
      </c>
    </row>
    <row r="38" spans="1:26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20">
        <v>0.2</v>
      </c>
      <c r="E38" s="278"/>
      <c r="F38" s="263"/>
      <c r="G38" s="322">
        <f>(100%-$D38)*'INGRESO A PS DE CA'!G38</f>
        <v>0.40950768000000004</v>
      </c>
      <c r="H38" s="322">
        <f>(100%-$D38)*'INGRESO A PS DE CA'!H38</f>
        <v>3.32416</v>
      </c>
      <c r="I38" s="322">
        <f>(100%-$D38)*'INGRESO A PS DE CA'!I38</f>
        <v>6.3245112000000008</v>
      </c>
      <c r="J38" s="322">
        <f>(100%-$D38)*'INGRESO A PS DE CA'!J38</f>
        <v>10.696035999999999</v>
      </c>
      <c r="K38" s="322">
        <f>(100%-$D38)*'INGRESO A PS DE CA'!K38</f>
        <v>15.195566400000002</v>
      </c>
      <c r="L38" s="322">
        <f>(100%-$D38)*'INGRESO A PS DE CA'!L38</f>
        <v>15.419947199999999</v>
      </c>
      <c r="M38" s="322">
        <f>(100%-$D38)*'INGRESO A PS DE CA'!M38</f>
        <v>15.6481864</v>
      </c>
      <c r="N38" s="322">
        <f>(100%-$D38)*'INGRESO A PS DE CA'!N38</f>
        <v>15.880284000000001</v>
      </c>
      <c r="O38" s="322">
        <f>(100%-$D38)*'INGRESO A PS DE CA'!O38</f>
        <v>16.1159432</v>
      </c>
      <c r="P38" s="322">
        <f>(100%-$D38)*'INGRESO A PS DE CA'!P38</f>
        <v>16.355460799999999</v>
      </c>
      <c r="Q38" s="322">
        <f>(100%-$D38)*'INGRESO A PS DE CA'!Q38</f>
        <v>16.598836800000001</v>
      </c>
      <c r="R38" s="322">
        <f>(100%-$D38)*'INGRESO A PS DE CA'!R38</f>
        <v>16.846368000000002</v>
      </c>
      <c r="S38" s="322">
        <f>(100%-$D38)*'INGRESO A PS DE CA'!S38</f>
        <v>17.097757600000001</v>
      </c>
      <c r="T38" s="322">
        <f>(100%-$D38)*'INGRESO A PS DE CA'!T38</f>
        <v>17.3533024</v>
      </c>
      <c r="U38" s="322">
        <f>(100%-$D38)*'INGRESO A PS DE CA'!U38</f>
        <v>17.613002399999999</v>
      </c>
      <c r="V38" s="322">
        <f>(100%-$D38)*'INGRESO A PS DE CA'!V38</f>
        <v>17.877154400000002</v>
      </c>
      <c r="W38" s="322">
        <f>(100%-$D38)*'INGRESO A PS DE CA'!W38</f>
        <v>18.145461600000001</v>
      </c>
      <c r="X38" s="322">
        <f>(100%-$D38)*'INGRESO A PS DE CA'!X38</f>
        <v>18.417923999999999</v>
      </c>
      <c r="Y38" s="322">
        <f>(100%-$D38)*'INGRESO A PS DE CA'!Y38</f>
        <v>18.695135199999999</v>
      </c>
      <c r="Z38" s="322">
        <f>(100%-$D38)*'INGRESO A PS DE CA'!Z38</f>
        <v>18.976798400000003</v>
      </c>
    </row>
    <row r="39" spans="1:26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20">
        <v>0.2</v>
      </c>
      <c r="E39" s="278"/>
      <c r="F39" s="263"/>
      <c r="G39" s="322">
        <f>(100%-$D39)*'INGRESO A PS DE CA'!G39</f>
        <v>0.28433440000000004</v>
      </c>
      <c r="H39" s="322">
        <f>(100%-$D39)*'INGRESO A PS DE CA'!H39</f>
        <v>2.2977408000000006</v>
      </c>
      <c r="I39" s="322">
        <f>(100%-$D39)*'INGRESO A PS DE CA'!I39</f>
        <v>4.3518935999999995</v>
      </c>
      <c r="J39" s="322">
        <f>(100%-$D39)*'INGRESO A PS DE CA'!J39</f>
        <v>7.3265080000000005</v>
      </c>
      <c r="K39" s="322">
        <f>(100%-$D39)*'INGRESO A PS DE CA'!K39</f>
        <v>10.360991200000001</v>
      </c>
      <c r="L39" s="322">
        <f>(100%-$D39)*'INGRESO A PS DE CA'!L39</f>
        <v>10.4660584</v>
      </c>
      <c r="M39" s="322">
        <f>(100%-$D39)*'INGRESO A PS DE CA'!M39</f>
        <v>10.572016000000001</v>
      </c>
      <c r="N39" s="322">
        <f>(100%-$D39)*'INGRESO A PS DE CA'!N39</f>
        <v>10.6791608</v>
      </c>
      <c r="O39" s="322">
        <f>(100%-$D39)*'INGRESO A PS DE CA'!O39</f>
        <v>10.787196000000002</v>
      </c>
      <c r="P39" s="322">
        <f>(100%-$D39)*'INGRESO A PS DE CA'!P39</f>
        <v>10.8964184</v>
      </c>
      <c r="Q39" s="322">
        <f>(100%-$D39)*'INGRESO A PS DE CA'!Q39</f>
        <v>11.006827999999999</v>
      </c>
      <c r="R39" s="322">
        <f>(100%-$D39)*'INGRESO A PS DE CA'!R39</f>
        <v>11.1184248</v>
      </c>
      <c r="S39" s="322">
        <f>(100%-$D39)*'INGRESO A PS DE CA'!S39</f>
        <v>11.230912</v>
      </c>
      <c r="T39" s="322">
        <f>(100%-$D39)*'INGRESO A PS DE CA'!T39</f>
        <v>11.344586400000001</v>
      </c>
      <c r="U39" s="322">
        <f>(100%-$D39)*'INGRESO A PS DE CA'!U39</f>
        <v>11.459744800000001</v>
      </c>
      <c r="V39" s="322">
        <f>(100%-$D39)*'INGRESO A PS DE CA'!V39</f>
        <v>11.575793600000001</v>
      </c>
      <c r="W39" s="322">
        <f>(100%-$D39)*'INGRESO A PS DE CA'!W39</f>
        <v>11.693029600000001</v>
      </c>
      <c r="X39" s="322">
        <f>(100%-$D39)*'INGRESO A PS DE CA'!X39</f>
        <v>11.8114528</v>
      </c>
      <c r="Y39" s="322">
        <f>(100%-$D39)*'INGRESO A PS DE CA'!Y39</f>
        <v>11.931063199999999</v>
      </c>
      <c r="Z39" s="322">
        <f>(100%-$D39)*'INGRESO A PS DE CA'!Z39</f>
        <v>12.0518608</v>
      </c>
    </row>
    <row r="40" spans="1:26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20">
        <v>0.2</v>
      </c>
      <c r="E40" s="278"/>
      <c r="F40" s="263"/>
      <c r="G40" s="322">
        <f>(100%-$D40)*'INGRESO A PS DE CA'!G40</f>
        <v>0.13179616000000002</v>
      </c>
      <c r="H40" s="322">
        <f>(100%-$D40)*'INGRESO A PS DE CA'!H40</f>
        <v>1.0605427199999999</v>
      </c>
      <c r="I40" s="322">
        <f>(100%-$D40)*'INGRESO A PS DE CA'!I40</f>
        <v>2.0000928000000004</v>
      </c>
      <c r="J40" s="322">
        <f>(100%-$D40)*'INGRESO A PS DE CA'!J40</f>
        <v>3.3534160000000002</v>
      </c>
      <c r="K40" s="322">
        <f>(100%-$D40)*'INGRESO A PS DE CA'!K40</f>
        <v>4.7229784000000015</v>
      </c>
      <c r="L40" s="322">
        <f>(100%-$D40)*'INGRESO A PS DE CA'!L40</f>
        <v>4.7514712000000001</v>
      </c>
      <c r="M40" s="322">
        <f>(100%-$D40)*'INGRESO A PS DE CA'!M40</f>
        <v>4.7805576000000007</v>
      </c>
      <c r="N40" s="322">
        <f>(100%-$D40)*'INGRESO A PS DE CA'!N40</f>
        <v>4.8099408000000006</v>
      </c>
      <c r="O40" s="322">
        <f>(100%-$D40)*'INGRESO A PS DE CA'!O40</f>
        <v>4.8402144000000007</v>
      </c>
      <c r="P40" s="322">
        <f>(100%-$D40)*'INGRESO A PS DE CA'!P40</f>
        <v>4.8704879999999999</v>
      </c>
      <c r="Q40" s="322">
        <f>(100%-$D40)*'INGRESO A PS DE CA'!Q40</f>
        <v>4.9016520000000003</v>
      </c>
      <c r="R40" s="322">
        <f>(100%-$D40)*'INGRESO A PS DE CA'!R40</f>
        <v>4.9331128000000009</v>
      </c>
      <c r="S40" s="322">
        <f>(100%-$D40)*'INGRESO A PS DE CA'!S40</f>
        <v>4.9651672000000007</v>
      </c>
      <c r="T40" s="322">
        <f>(100%-$D40)*'INGRESO A PS DE CA'!T40</f>
        <v>4.9978152000000007</v>
      </c>
      <c r="U40" s="322">
        <f>(100%-$D40)*'INGRESO A PS DE CA'!U40</f>
        <v>5.0307599999999999</v>
      </c>
      <c r="V40" s="322">
        <f>(100%-$D40)*'INGRESO A PS DE CA'!V40</f>
        <v>5.0645951999999994</v>
      </c>
      <c r="W40" s="322">
        <f>(100%-$D40)*'INGRESO A PS DE CA'!W40</f>
        <v>5.0987271999999999</v>
      </c>
      <c r="X40" s="322">
        <f>(100%-$D40)*'INGRESO A PS DE CA'!X40</f>
        <v>5.1334528000000006</v>
      </c>
      <c r="Y40" s="322">
        <f>(100%-$D40)*'INGRESO A PS DE CA'!Y40</f>
        <v>5.1687720000000006</v>
      </c>
      <c r="Z40" s="322">
        <f>(100%-$D40)*'INGRESO A PS DE CA'!Z40</f>
        <v>5.204684799999999</v>
      </c>
    </row>
    <row r="41" spans="1:26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20">
        <v>0.2</v>
      </c>
      <c r="E41" s="278"/>
      <c r="F41" s="263"/>
      <c r="G41" s="322">
        <f>(100%-$D41)*'INGRESO A PS DE CA'!G41</f>
        <v>0.83619600000000005</v>
      </c>
      <c r="H41" s="322">
        <f>(100%-$D41)*'INGRESO A PS DE CA'!H41</f>
        <v>6.7549785600000014</v>
      </c>
      <c r="I41" s="322">
        <f>(100%-$D41)*'INGRESO A PS DE CA'!I41</f>
        <v>12.7894536</v>
      </c>
      <c r="J41" s="322">
        <f>(100%-$D41)*'INGRESO A PS DE CA'!J41</f>
        <v>21.524244000000003</v>
      </c>
      <c r="K41" s="322">
        <f>(100%-$D41)*'INGRESO A PS DE CA'!K41</f>
        <v>30.428680800000002</v>
      </c>
      <c r="L41" s="322">
        <f>(100%-$D41)*'INGRESO A PS DE CA'!L41</f>
        <v>30.726275999999999</v>
      </c>
      <c r="M41" s="322">
        <f>(100%-$D41)*'INGRESO A PS DE CA'!M41</f>
        <v>31.0267272</v>
      </c>
      <c r="N41" s="322">
        <f>(100%-$D41)*'INGRESO A PS DE CA'!N41</f>
        <v>31.330034399999995</v>
      </c>
      <c r="O41" s="322">
        <f>(100%-$D41)*'INGRESO A PS DE CA'!O41</f>
        <v>31.636483200000001</v>
      </c>
      <c r="P41" s="322">
        <f>(100%-$D41)*'INGRESO A PS DE CA'!P41</f>
        <v>31.945788</v>
      </c>
      <c r="Q41" s="322">
        <f>(100%-$D41)*'INGRESO A PS DE CA'!Q41</f>
        <v>32.258234399999999</v>
      </c>
      <c r="R41" s="322">
        <f>(100%-$D41)*'INGRESO A PS DE CA'!R41</f>
        <v>32.573822400000005</v>
      </c>
      <c r="S41" s="322">
        <f>(100%-$D41)*'INGRESO A PS DE CA'!S41</f>
        <v>32.892266400000004</v>
      </c>
      <c r="T41" s="322">
        <f>(100%-$D41)*'INGRESO A PS DE CA'!T41</f>
        <v>33.214137600000001</v>
      </c>
      <c r="U41" s="322">
        <f>(100%-$D41)*'INGRESO A PS DE CA'!U41</f>
        <v>33.538864799999999</v>
      </c>
      <c r="V41" s="322">
        <f>(100%-$D41)*'INGRESO A PS DE CA'!V41</f>
        <v>33.867019200000001</v>
      </c>
      <c r="W41" s="322">
        <f>(100%-$D41)*'INGRESO A PS DE CA'!W41</f>
        <v>34.198029600000005</v>
      </c>
      <c r="X41" s="322">
        <f>(100%-$D41)*'INGRESO A PS DE CA'!X41</f>
        <v>34.532467199999999</v>
      </c>
      <c r="Y41" s="322">
        <f>(100%-$D41)*'INGRESO A PS DE CA'!Y41</f>
        <v>34.870331999999998</v>
      </c>
      <c r="Z41" s="322">
        <f>(100%-$D41)*'INGRESO A PS DE CA'!Z41</f>
        <v>35.211338400000002</v>
      </c>
    </row>
    <row r="42" spans="1:26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20">
        <v>0.2</v>
      </c>
      <c r="E42" s="278"/>
      <c r="F42" s="263"/>
      <c r="G42" s="322">
        <f>(100%-$D42)*'INGRESO A PS DE CA'!G42</f>
        <v>0.24821808000000001</v>
      </c>
      <c r="H42" s="322">
        <f>(100%-$D42)*'INGRESO A PS DE CA'!H42</f>
        <v>1.9993126400000003</v>
      </c>
      <c r="I42" s="322">
        <f>(100%-$D42)*'INGRESO A PS DE CA'!I42</f>
        <v>3.7744056000000001</v>
      </c>
      <c r="J42" s="322">
        <f>(100%-$D42)*'INGRESO A PS DE CA'!J42</f>
        <v>6.3337120000000011</v>
      </c>
      <c r="K42" s="322">
        <f>(100%-$D42)*'INGRESO A PS DE CA'!K42</f>
        <v>8.9280407999999998</v>
      </c>
      <c r="L42" s="322">
        <f>(100%-$D42)*'INGRESO A PS DE CA'!L42</f>
        <v>8.9891816000000002</v>
      </c>
      <c r="M42" s="322">
        <f>(100%-$D42)*'INGRESO A PS DE CA'!M42</f>
        <v>9.0506192000000016</v>
      </c>
      <c r="N42" s="322">
        <f>(100%-$D42)*'INGRESO A PS DE CA'!N42</f>
        <v>9.1126503999999997</v>
      </c>
      <c r="O42" s="322">
        <f>(100%-$D42)*'INGRESO A PS DE CA'!O42</f>
        <v>9.1749784000000005</v>
      </c>
      <c r="P42" s="322">
        <f>(100%-$D42)*'INGRESO A PS DE CA'!P42</f>
        <v>9.2378999999999998</v>
      </c>
      <c r="Q42" s="322">
        <f>(100%-$D42)*'INGRESO A PS DE CA'!Q42</f>
        <v>9.3011184</v>
      </c>
      <c r="R42" s="322">
        <f>(100%-$D42)*'INGRESO A PS DE CA'!R42</f>
        <v>9.3649303999999987</v>
      </c>
      <c r="S42" s="322">
        <f>(100%-$D42)*'INGRESO A PS DE CA'!S42</f>
        <v>9.4290392000000001</v>
      </c>
      <c r="T42" s="322">
        <f>(100%-$D42)*'INGRESO A PS DE CA'!T42</f>
        <v>9.4937416000000017</v>
      </c>
      <c r="U42" s="322">
        <f>(100%-$D42)*'INGRESO A PS DE CA'!U42</f>
        <v>9.5587408000000007</v>
      </c>
      <c r="V42" s="322">
        <f>(100%-$D42)*'INGRESO A PS DE CA'!V42</f>
        <v>9.6243336000000017</v>
      </c>
      <c r="W42" s="322">
        <f>(100%-$D42)*'INGRESO A PS DE CA'!W42</f>
        <v>9.6902232000000001</v>
      </c>
      <c r="X42" s="322">
        <f>(100%-$D42)*'INGRESO A PS DE CA'!X42</f>
        <v>9.7564095999999978</v>
      </c>
      <c r="Y42" s="322">
        <f>(100%-$D42)*'INGRESO A PS DE CA'!Y42</f>
        <v>9.8231895999999992</v>
      </c>
      <c r="Z42" s="322">
        <f>(100%-$D42)*'INGRESO A PS DE CA'!Z42</f>
        <v>9.8905632000000026</v>
      </c>
    </row>
    <row r="43" spans="1:26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20">
        <v>0.2</v>
      </c>
      <c r="E43" s="278"/>
      <c r="F43" s="263"/>
      <c r="G43" s="322">
        <f>(100%-$D43)*'INGRESO A PS DE CA'!G43</f>
        <v>0.29777519999999996</v>
      </c>
      <c r="H43" s="322">
        <f>(100%-$D43)*'INGRESO A PS DE CA'!H43</f>
        <v>2.3893926400000001</v>
      </c>
      <c r="I43" s="322">
        <f>(100%-$D43)*'INGRESO A PS DE CA'!I43</f>
        <v>4.4937215999999998</v>
      </c>
      <c r="J43" s="322">
        <f>(100%-$D43)*'INGRESO A PS DE CA'!J43</f>
        <v>7.5120080000000007</v>
      </c>
      <c r="K43" s="322">
        <f>(100%-$D43)*'INGRESO A PS DE CA'!K43</f>
        <v>10.548272000000001</v>
      </c>
      <c r="L43" s="322">
        <f>(100%-$D43)*'INGRESO A PS DE CA'!L43</f>
        <v>10.5797328</v>
      </c>
      <c r="M43" s="322">
        <f>(100%-$D43)*'INGRESO A PS DE CA'!M43</f>
        <v>10.6111936</v>
      </c>
      <c r="N43" s="322">
        <f>(100%-$D43)*'INGRESO A PS DE CA'!N43</f>
        <v>10.642951199999999</v>
      </c>
      <c r="O43" s="322">
        <f>(100%-$D43)*'INGRESO A PS DE CA'!O43</f>
        <v>10.674412</v>
      </c>
      <c r="P43" s="322">
        <f>(100%-$D43)*'INGRESO A PS DE CA'!P43</f>
        <v>10.705872800000002</v>
      </c>
      <c r="Q43" s="322">
        <f>(100%-$D43)*'INGRESO A PS DE CA'!Q43</f>
        <v>10.737333599999999</v>
      </c>
      <c r="R43" s="322">
        <f>(100%-$D43)*'INGRESO A PS DE CA'!R43</f>
        <v>10.768794400000001</v>
      </c>
      <c r="S43" s="322">
        <f>(100%-$D43)*'INGRESO A PS DE CA'!S43</f>
        <v>10.800255200000002</v>
      </c>
      <c r="T43" s="322">
        <f>(100%-$D43)*'INGRESO A PS DE CA'!T43</f>
        <v>10.832012800000001</v>
      </c>
      <c r="U43" s="322">
        <f>(100%-$D43)*'INGRESO A PS DE CA'!U43</f>
        <v>10.863473600000001</v>
      </c>
      <c r="V43" s="322">
        <f>(100%-$D43)*'INGRESO A PS DE CA'!V43</f>
        <v>10.8949344</v>
      </c>
      <c r="W43" s="322">
        <f>(100%-$D43)*'INGRESO A PS DE CA'!W43</f>
        <v>10.926395200000002</v>
      </c>
      <c r="X43" s="322">
        <f>(100%-$D43)*'INGRESO A PS DE CA'!X43</f>
        <v>10.957856000000001</v>
      </c>
      <c r="Y43" s="322">
        <f>(100%-$D43)*'INGRESO A PS DE CA'!Y43</f>
        <v>10.9896136</v>
      </c>
      <c r="Z43" s="322">
        <f>(100%-$D43)*'INGRESO A PS DE CA'!Z43</f>
        <v>11.021074400000002</v>
      </c>
    </row>
    <row r="44" spans="1:26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20">
        <v>0.2</v>
      </c>
      <c r="E44" s="278"/>
      <c r="F44" s="263"/>
      <c r="G44" s="322">
        <f>(100%-$D44)*'INGRESO A PS DE CA'!G44</f>
        <v>0.22894304000000001</v>
      </c>
      <c r="H44" s="322">
        <f>(100%-$D44)*'INGRESO A PS DE CA'!H44</f>
        <v>1.8669568000000003</v>
      </c>
      <c r="I44" s="322">
        <f>(100%-$D44)*'INGRESO A PS DE CA'!I44</f>
        <v>3.5682144000000005</v>
      </c>
      <c r="J44" s="322">
        <f>(100%-$D44)*'INGRESO A PS DE CA'!J44</f>
        <v>6.0619280000000009</v>
      </c>
      <c r="K44" s="322">
        <f>(100%-$D44)*'INGRESO A PS DE CA'!K44</f>
        <v>8.6505328000000006</v>
      </c>
      <c r="L44" s="322">
        <f>(100%-$D44)*'INGRESO A PS DE CA'!L44</f>
        <v>8.8176311999999992</v>
      </c>
      <c r="M44" s="322">
        <f>(100%-$D44)*'INGRESO A PS DE CA'!M44</f>
        <v>8.9879943999999998</v>
      </c>
      <c r="N44" s="322">
        <f>(100%-$D44)*'INGRESO A PS DE CA'!N44</f>
        <v>9.1616224000000006</v>
      </c>
      <c r="O44" s="322">
        <f>(100%-$D44)*'INGRESO A PS DE CA'!O44</f>
        <v>9.338811999999999</v>
      </c>
      <c r="P44" s="322">
        <f>(100%-$D44)*'INGRESO A PS DE CA'!P44</f>
        <v>9.5192664000000011</v>
      </c>
      <c r="Q44" s="322">
        <f>(100%-$D44)*'INGRESO A PS DE CA'!Q44</f>
        <v>9.7032824000000009</v>
      </c>
      <c r="R44" s="322">
        <f>(100%-$D44)*'INGRESO A PS DE CA'!R44</f>
        <v>9.8905632000000026</v>
      </c>
      <c r="S44" s="322">
        <f>(100%-$D44)*'INGRESO A PS DE CA'!S44</f>
        <v>10.081702400000001</v>
      </c>
      <c r="T44" s="322">
        <f>(100%-$D44)*'INGRESO A PS DE CA'!T44</f>
        <v>10.276403200000003</v>
      </c>
      <c r="U44" s="322">
        <f>(100%-$D44)*'INGRESO A PS DE CA'!U44</f>
        <v>10.474962400000001</v>
      </c>
      <c r="V44" s="322">
        <f>(100%-$D44)*'INGRESO A PS DE CA'!V44</f>
        <v>10.677379999999999</v>
      </c>
      <c r="W44" s="322">
        <f>(100%-$D44)*'INGRESO A PS DE CA'!W44</f>
        <v>10.883952799999999</v>
      </c>
      <c r="X44" s="322">
        <f>(100%-$D44)*'INGRESO A PS DE CA'!X44</f>
        <v>11.094087200000001</v>
      </c>
      <c r="Y44" s="322">
        <f>(100%-$D44)*'INGRESO A PS DE CA'!Y44</f>
        <v>11.308376800000001</v>
      </c>
      <c r="Z44" s="322">
        <f>(100%-$D44)*'INGRESO A PS DE CA'!Z44</f>
        <v>11.527118399999999</v>
      </c>
    </row>
    <row r="45" spans="1:26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20">
        <v>0.2</v>
      </c>
      <c r="E45" s="278"/>
      <c r="F45" s="263"/>
      <c r="G45" s="322">
        <f>(100%-$D45)*'INGRESO A PS DE CA'!G45</f>
        <v>0.83990880000000012</v>
      </c>
      <c r="H45" s="322">
        <f>(100%-$D45)*'INGRESO A PS DE CA'!H45</f>
        <v>6.7848115200000017</v>
      </c>
      <c r="I45" s="322">
        <f>(100%-$D45)*'INGRESO A PS DE CA'!I45</f>
        <v>12.8445336</v>
      </c>
      <c r="J45" s="322">
        <f>(100%-$D45)*'INGRESO A PS DE CA'!J45</f>
        <v>21.612372000000001</v>
      </c>
      <c r="K45" s="322">
        <f>(100%-$D45)*'INGRESO A PS DE CA'!K45</f>
        <v>30.5440632</v>
      </c>
      <c r="L45" s="322">
        <f>(100%-$D45)*'INGRESO A PS DE CA'!L45</f>
        <v>30.830805600000005</v>
      </c>
      <c r="M45" s="322">
        <f>(100%-$D45)*'INGRESO A PS DE CA'!M45</f>
        <v>31.117547999999999</v>
      </c>
      <c r="N45" s="322">
        <f>(100%-$D45)*'INGRESO A PS DE CA'!N45</f>
        <v>31.404290399999997</v>
      </c>
      <c r="O45" s="322">
        <f>(100%-$D45)*'INGRESO A PS DE CA'!O45</f>
        <v>31.691032800000002</v>
      </c>
      <c r="P45" s="322">
        <f>(100%-$D45)*'INGRESO A PS DE CA'!P45</f>
        <v>31.977775199999996</v>
      </c>
      <c r="Q45" s="322">
        <f>(100%-$D45)*'INGRESO A PS DE CA'!Q45</f>
        <v>32.264517599999998</v>
      </c>
      <c r="R45" s="322">
        <f>(100%-$D45)*'INGRESO A PS DE CA'!R45</f>
        <v>32.551259999999999</v>
      </c>
      <c r="S45" s="322">
        <f>(100%-$D45)*'INGRESO A PS DE CA'!S45</f>
        <v>32.838002400000001</v>
      </c>
      <c r="T45" s="322">
        <f>(100%-$D45)*'INGRESO A PS DE CA'!T45</f>
        <v>33.124744799999995</v>
      </c>
      <c r="U45" s="322">
        <f>(100%-$D45)*'INGRESO A PS DE CA'!U45</f>
        <v>33.411487200000003</v>
      </c>
      <c r="V45" s="322">
        <f>(100%-$D45)*'INGRESO A PS DE CA'!V45</f>
        <v>33.698515199999996</v>
      </c>
      <c r="W45" s="322">
        <f>(100%-$D45)*'INGRESO A PS DE CA'!W45</f>
        <v>33.985257599999997</v>
      </c>
      <c r="X45" s="322">
        <f>(100%-$D45)*'INGRESO A PS DE CA'!X45</f>
        <v>34.271999999999998</v>
      </c>
      <c r="Y45" s="322">
        <f>(100%-$D45)*'INGRESO A PS DE CA'!Y45</f>
        <v>34.5587424</v>
      </c>
      <c r="Z45" s="322">
        <f>(100%-$D45)*'INGRESO A PS DE CA'!Z45</f>
        <v>34.845484800000001</v>
      </c>
    </row>
    <row r="46" spans="1:26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20">
        <v>0.2</v>
      </c>
      <c r="E46" s="278"/>
      <c r="F46" s="263"/>
      <c r="G46" s="322">
        <f>(100%-$D46)*'INGRESO A PS DE CA'!G46</f>
        <v>0.39997616000000008</v>
      </c>
      <c r="H46" s="322">
        <f>(100%-$D46)*'INGRESO A PS DE CA'!H46</f>
        <v>3.2832524800000003</v>
      </c>
      <c r="I46" s="322">
        <f>(100%-$D46)*'INGRESO A PS DE CA'!I46</f>
        <v>6.3150984000000001</v>
      </c>
      <c r="J46" s="322">
        <f>(100%-$D46)*'INGRESO A PS DE CA'!J46</f>
        <v>10.794404</v>
      </c>
      <c r="K46" s="322">
        <f>(100%-$D46)*'INGRESO A PS DE CA'!K46</f>
        <v>15.495334400000003</v>
      </c>
      <c r="L46" s="322">
        <f>(100%-$D46)*'INGRESO A PS DE CA'!L46</f>
        <v>15.884439200000001</v>
      </c>
      <c r="M46" s="322">
        <f>(100%-$D46)*'INGRESO A PS DE CA'!M46</f>
        <v>16.280370399999999</v>
      </c>
      <c r="N46" s="322">
        <f>(100%-$D46)*'INGRESO A PS DE CA'!N46</f>
        <v>16.682534400000002</v>
      </c>
      <c r="O46" s="322">
        <f>(100%-$D46)*'INGRESO A PS DE CA'!O46</f>
        <v>17.091228000000001</v>
      </c>
      <c r="P46" s="322">
        <f>(100%-$D46)*'INGRESO A PS DE CA'!P46</f>
        <v>17.506451200000001</v>
      </c>
      <c r="Q46" s="322">
        <f>(100%-$D46)*'INGRESO A PS DE CA'!Q46</f>
        <v>17.928797600000003</v>
      </c>
      <c r="R46" s="322">
        <f>(100%-$D46)*'INGRESO A PS DE CA'!R46</f>
        <v>18.357673600000002</v>
      </c>
      <c r="S46" s="322">
        <f>(100%-$D46)*'INGRESO A PS DE CA'!S46</f>
        <v>18.793672800000007</v>
      </c>
      <c r="T46" s="322">
        <f>(100%-$D46)*'INGRESO A PS DE CA'!T46</f>
        <v>19.2367952</v>
      </c>
      <c r="U46" s="322">
        <f>(100%-$D46)*'INGRESO A PS DE CA'!U46</f>
        <v>19.687337599999999</v>
      </c>
      <c r="V46" s="322">
        <f>(100%-$D46)*'INGRESO A PS DE CA'!V46</f>
        <v>20.145003199999998</v>
      </c>
      <c r="W46" s="322">
        <f>(100%-$D46)*'INGRESO A PS DE CA'!W46</f>
        <v>20.610385600000001</v>
      </c>
      <c r="X46" s="322">
        <f>(100%-$D46)*'INGRESO A PS DE CA'!X46</f>
        <v>21.082891200000002</v>
      </c>
      <c r="Y46" s="322">
        <f>(100%-$D46)*'INGRESO A PS DE CA'!Y46</f>
        <v>21.563410399999999</v>
      </c>
      <c r="Z46" s="322">
        <f>(100%-$D46)*'INGRESO A PS DE CA'!Z46</f>
        <v>22.0519432</v>
      </c>
    </row>
    <row r="47" spans="1:26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20">
        <v>0.2</v>
      </c>
      <c r="E47" s="278"/>
      <c r="F47" s="263"/>
      <c r="G47" s="322">
        <f>(100%-$D47)*'INGRESO A PS DE CA'!G47</f>
        <v>0.13514576</v>
      </c>
      <c r="H47" s="322">
        <f>(100%-$D47)*'INGRESO A PS DE CA'!H47</f>
        <v>1.0934451200000002</v>
      </c>
      <c r="I47" s="322">
        <f>(100%-$D47)*'INGRESO A PS DE CA'!I47</f>
        <v>2.0732328000000004</v>
      </c>
      <c r="J47" s="322">
        <f>(100%-$D47)*'INGRESO A PS DE CA'!J47</f>
        <v>3.49376</v>
      </c>
      <c r="K47" s="322">
        <f>(100%-$D47)*'INGRESO A PS DE CA'!K47</f>
        <v>4.9449848000000003</v>
      </c>
      <c r="L47" s="322">
        <f>(100%-$D47)*'INGRESO A PS DE CA'!L47</f>
        <v>4.998705600000001</v>
      </c>
      <c r="M47" s="322">
        <f>(100%-$D47)*'INGRESO A PS DE CA'!M47</f>
        <v>5.0524263999999999</v>
      </c>
      <c r="N47" s="322">
        <f>(100%-$D47)*'INGRESO A PS DE CA'!N47</f>
        <v>5.1064439999999998</v>
      </c>
      <c r="O47" s="322">
        <f>(100%-$D47)*'INGRESO A PS DE CA'!O47</f>
        <v>5.1601648000000004</v>
      </c>
      <c r="P47" s="322">
        <f>(100%-$D47)*'INGRESO A PS DE CA'!P47</f>
        <v>5.2138856000000011</v>
      </c>
      <c r="Q47" s="322">
        <f>(100%-$D47)*'INGRESO A PS DE CA'!Q47</f>
        <v>5.2676064</v>
      </c>
      <c r="R47" s="322">
        <f>(100%-$D47)*'INGRESO A PS DE CA'!R47</f>
        <v>5.3213272000000007</v>
      </c>
      <c r="S47" s="322">
        <f>(100%-$D47)*'INGRESO A PS DE CA'!S47</f>
        <v>5.3750480000000014</v>
      </c>
      <c r="T47" s="322">
        <f>(100%-$D47)*'INGRESO A PS DE CA'!T47</f>
        <v>5.4287688000000003</v>
      </c>
      <c r="U47" s="322">
        <f>(100%-$D47)*'INGRESO A PS DE CA'!U47</f>
        <v>5.4824896000000001</v>
      </c>
      <c r="V47" s="322">
        <f>(100%-$D47)*'INGRESO A PS DE CA'!V47</f>
        <v>5.5362103999999999</v>
      </c>
      <c r="W47" s="322">
        <f>(100%-$D47)*'INGRESO A PS DE CA'!W47</f>
        <v>5.5902280000000006</v>
      </c>
      <c r="X47" s="322">
        <f>(100%-$D47)*'INGRESO A PS DE CA'!X47</f>
        <v>5.6439488000000004</v>
      </c>
      <c r="Y47" s="322">
        <f>(100%-$D47)*'INGRESO A PS DE CA'!Y47</f>
        <v>5.6976696000000002</v>
      </c>
      <c r="Z47" s="322">
        <f>(100%-$D47)*'INGRESO A PS DE CA'!Z47</f>
        <v>5.7513904000000009</v>
      </c>
    </row>
    <row r="48" spans="1:26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20">
        <v>0.2</v>
      </c>
      <c r="E48" s="278"/>
      <c r="F48" s="263"/>
      <c r="G48" s="322">
        <f>(100%-$D48)*'INGRESO A PS DE CA'!G48</f>
        <v>0.17531552000000003</v>
      </c>
      <c r="H48" s="322">
        <f>(100%-$D48)*'INGRESO A PS DE CA'!H48</f>
        <v>1.4130393600000004</v>
      </c>
      <c r="I48" s="322">
        <f>(100%-$D48)*'INGRESO A PS DE CA'!I48</f>
        <v>2.6692920000000004</v>
      </c>
      <c r="J48" s="322">
        <f>(100%-$D48)*'INGRESO A PS DE CA'!J48</f>
        <v>4.4821040000000005</v>
      </c>
      <c r="K48" s="322">
        <f>(100%-$D48)*'INGRESO A PS DE CA'!K48</f>
        <v>6.3221368</v>
      </c>
      <c r="L48" s="322">
        <f>(100%-$D48)*'INGRESO A PS DE CA'!L48</f>
        <v>6.3693280000000003</v>
      </c>
      <c r="M48" s="322">
        <f>(100%-$D48)*'INGRESO A PS DE CA'!M48</f>
        <v>6.4171128000000017</v>
      </c>
      <c r="N48" s="322">
        <f>(100%-$D48)*'INGRESO A PS DE CA'!N48</f>
        <v>6.4651944000000006</v>
      </c>
      <c r="O48" s="322">
        <f>(100%-$D48)*'INGRESO A PS DE CA'!O48</f>
        <v>6.5135728000000004</v>
      </c>
      <c r="P48" s="322">
        <f>(100%-$D48)*'INGRESO A PS DE CA'!P48</f>
        <v>6.5625448000000013</v>
      </c>
      <c r="Q48" s="322">
        <f>(100%-$D48)*'INGRESO A PS DE CA'!Q48</f>
        <v>6.6115168000000004</v>
      </c>
      <c r="R48" s="322">
        <f>(100%-$D48)*'INGRESO A PS DE CA'!R48</f>
        <v>6.6610823999999997</v>
      </c>
      <c r="S48" s="322">
        <f>(100%-$D48)*'INGRESO A PS DE CA'!S48</f>
        <v>6.7112416000000001</v>
      </c>
      <c r="T48" s="322">
        <f>(100%-$D48)*'INGRESO A PS DE CA'!T48</f>
        <v>6.7614008000000005</v>
      </c>
      <c r="U48" s="322">
        <f>(100%-$D48)*'INGRESO A PS DE CA'!U48</f>
        <v>6.8121536000000011</v>
      </c>
      <c r="V48" s="322">
        <f>(100%-$D48)*'INGRESO A PS DE CA'!V48</f>
        <v>6.8632032000000009</v>
      </c>
      <c r="W48" s="322">
        <f>(100%-$D48)*'INGRESO A PS DE CA'!W48</f>
        <v>6.9145496</v>
      </c>
      <c r="X48" s="322">
        <f>(100%-$D48)*'INGRESO A PS DE CA'!X48</f>
        <v>6.9661928000000009</v>
      </c>
      <c r="Y48" s="322">
        <f>(100%-$D48)*'INGRESO A PS DE CA'!Y48</f>
        <v>7.0184295999999993</v>
      </c>
      <c r="Z48" s="322">
        <f>(100%-$D48)*'INGRESO A PS DE CA'!Z48</f>
        <v>7.0709632000000004</v>
      </c>
    </row>
    <row r="49" spans="1:26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20">
        <v>0.2</v>
      </c>
      <c r="E49" s="278"/>
      <c r="F49" s="263"/>
      <c r="G49" s="322">
        <f>(100%-$D49)*'INGRESO A PS DE CA'!G49</f>
        <v>4.0825920000000002E-2</v>
      </c>
      <c r="H49" s="322">
        <f>(100%-$D49)*'INGRESO A PS DE CA'!H49</f>
        <v>0.32778496000000001</v>
      </c>
      <c r="I49" s="322">
        <f>(100%-$D49)*'INGRESO A PS DE CA'!I49</f>
        <v>0.6169152</v>
      </c>
      <c r="J49" s="322">
        <f>(100%-$D49)*'INGRESO A PS DE CA'!J49</f>
        <v>1.0318720000000001</v>
      </c>
      <c r="K49" s="322">
        <f>(100%-$D49)*'INGRESO A PS DE CA'!K49</f>
        <v>1.4497727999999999</v>
      </c>
      <c r="L49" s="322">
        <f>(100%-$D49)*'INGRESO A PS DE CA'!L49</f>
        <v>1.4549247999999999</v>
      </c>
      <c r="M49" s="322">
        <f>(100%-$D49)*'INGRESO A PS DE CA'!M49</f>
        <v>1.4600768000000002</v>
      </c>
      <c r="N49" s="322">
        <f>(100%-$D49)*'INGRESO A PS DE CA'!N49</f>
        <v>1.4654864000000001</v>
      </c>
      <c r="O49" s="322">
        <f>(100%-$D49)*'INGRESO A PS DE CA'!O49</f>
        <v>1.4706384000000003</v>
      </c>
      <c r="P49" s="322">
        <f>(100%-$D49)*'INGRESO A PS DE CA'!P49</f>
        <v>1.4757904000000002</v>
      </c>
      <c r="Q49" s="322">
        <f>(100%-$D49)*'INGRESO A PS DE CA'!Q49</f>
        <v>1.4809424</v>
      </c>
      <c r="R49" s="322">
        <f>(100%-$D49)*'INGRESO A PS DE CA'!R49</f>
        <v>1.4863520000000001</v>
      </c>
      <c r="S49" s="322">
        <f>(100%-$D49)*'INGRESO A PS DE CA'!S49</f>
        <v>1.4915039999999999</v>
      </c>
      <c r="T49" s="322">
        <f>(100%-$D49)*'INGRESO A PS DE CA'!T49</f>
        <v>1.496656</v>
      </c>
      <c r="U49" s="322">
        <f>(100%-$D49)*'INGRESO A PS DE CA'!U49</f>
        <v>1.501808</v>
      </c>
      <c r="V49" s="322">
        <f>(100%-$D49)*'INGRESO A PS DE CA'!V49</f>
        <v>1.5072176000000002</v>
      </c>
      <c r="W49" s="322">
        <f>(100%-$D49)*'INGRESO A PS DE CA'!W49</f>
        <v>1.5123696000000004</v>
      </c>
      <c r="X49" s="322">
        <f>(100%-$D49)*'INGRESO A PS DE CA'!X49</f>
        <v>1.5175216</v>
      </c>
      <c r="Y49" s="322">
        <f>(100%-$D49)*'INGRESO A PS DE CA'!Y49</f>
        <v>1.5226735999999998</v>
      </c>
      <c r="Z49" s="322">
        <f>(100%-$D49)*'INGRESO A PS DE CA'!Z49</f>
        <v>1.5280832</v>
      </c>
    </row>
    <row r="50" spans="1:26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20">
        <v>0.2</v>
      </c>
      <c r="E50" s="278"/>
      <c r="F50" s="263"/>
      <c r="G50" s="322">
        <f>(100%-$D50)*'INGRESO A PS DE CA'!G50</f>
        <v>0.13344128000000002</v>
      </c>
      <c r="H50" s="322">
        <f>(100%-$D50)*'INGRESO A PS DE CA'!H50</f>
        <v>1.0789951999999998</v>
      </c>
      <c r="I50" s="322">
        <f>(100%-$D50)*'INGRESO A PS DE CA'!I50</f>
        <v>2.0446128000000003</v>
      </c>
      <c r="J50" s="322">
        <f>(100%-$D50)*'INGRESO A PS DE CA'!J50</f>
        <v>3.4433039999999999</v>
      </c>
      <c r="K50" s="322">
        <f>(100%-$D50)*'INGRESO A PS DE CA'!K50</f>
        <v>4.8707848</v>
      </c>
      <c r="L50" s="322">
        <f>(100%-$D50)*'INGRESO A PS DE CA'!L50</f>
        <v>4.9209439999999995</v>
      </c>
      <c r="M50" s="322">
        <f>(100%-$D50)*'INGRESO A PS DE CA'!M50</f>
        <v>4.9711032000000017</v>
      </c>
      <c r="N50" s="322">
        <f>(100%-$D50)*'INGRESO A PS DE CA'!N50</f>
        <v>5.0212624000000003</v>
      </c>
      <c r="O50" s="322">
        <f>(100%-$D50)*'INGRESO A PS DE CA'!O50</f>
        <v>5.0714216000000008</v>
      </c>
      <c r="P50" s="322">
        <f>(100%-$D50)*'INGRESO A PS DE CA'!P50</f>
        <v>5.1212839999999993</v>
      </c>
      <c r="Q50" s="322">
        <f>(100%-$D50)*'INGRESO A PS DE CA'!Q50</f>
        <v>5.1714432000000006</v>
      </c>
      <c r="R50" s="322">
        <f>(100%-$D50)*'INGRESO A PS DE CA'!R50</f>
        <v>5.221602400000001</v>
      </c>
      <c r="S50" s="322">
        <f>(100%-$D50)*'INGRESO A PS DE CA'!S50</f>
        <v>5.2717616000000014</v>
      </c>
      <c r="T50" s="322">
        <f>(100%-$D50)*'INGRESO A PS DE CA'!T50</f>
        <v>5.3219208</v>
      </c>
      <c r="U50" s="322">
        <f>(100%-$D50)*'INGRESO A PS DE CA'!U50</f>
        <v>5.3720800000000004</v>
      </c>
      <c r="V50" s="322">
        <f>(100%-$D50)*'INGRESO A PS DE CA'!V50</f>
        <v>5.4222391999999999</v>
      </c>
      <c r="W50" s="322">
        <f>(100%-$D50)*'INGRESO A PS DE CA'!W50</f>
        <v>5.4721016000000002</v>
      </c>
      <c r="X50" s="322">
        <f>(100%-$D50)*'INGRESO A PS DE CA'!X50</f>
        <v>5.5222608000000006</v>
      </c>
      <c r="Y50" s="322">
        <f>(100%-$D50)*'INGRESO A PS DE CA'!Y50</f>
        <v>5.5724200000000002</v>
      </c>
      <c r="Z50" s="322">
        <f>(100%-$D50)*'INGRESO A PS DE CA'!Z50</f>
        <v>5.6225791999999997</v>
      </c>
    </row>
    <row r="51" spans="1:26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20">
        <v>0.2</v>
      </c>
      <c r="E51" s="278"/>
      <c r="F51" s="263"/>
      <c r="G51" s="322">
        <f>(100%-$D51)*'INGRESO A PS DE CA'!G51</f>
        <v>6.8367040000000004E-2</v>
      </c>
      <c r="H51" s="322">
        <f>(100%-$D51)*'INGRESO A PS DE CA'!H51</f>
        <v>0.55682816000000013</v>
      </c>
      <c r="I51" s="322">
        <f>(100%-$D51)*'INGRESO A PS DE CA'!I51</f>
        <v>1.0627104000000001</v>
      </c>
      <c r="J51" s="322">
        <f>(100%-$D51)*'INGRESO A PS DE CA'!J51</f>
        <v>1.8020959999999999</v>
      </c>
      <c r="K51" s="322">
        <f>(100%-$D51)*'INGRESO A PS DE CA'!K51</f>
        <v>2.5662112000000001</v>
      </c>
      <c r="L51" s="322">
        <f>(100%-$D51)*'INGRESO A PS DE CA'!L51</f>
        <v>2.6195344</v>
      </c>
      <c r="M51" s="322">
        <f>(100%-$D51)*'INGRESO A PS DE CA'!M51</f>
        <v>2.6726000000000001</v>
      </c>
      <c r="N51" s="322">
        <f>(100%-$D51)*'INGRESO A PS DE CA'!N51</f>
        <v>2.7259232000000004</v>
      </c>
      <c r="O51" s="322">
        <f>(100%-$D51)*'INGRESO A PS DE CA'!O51</f>
        <v>2.7789888000000005</v>
      </c>
      <c r="P51" s="322">
        <f>(100%-$D51)*'INGRESO A PS DE CA'!P51</f>
        <v>2.8323119999999999</v>
      </c>
      <c r="Q51" s="322">
        <f>(100%-$D51)*'INGRESO A PS DE CA'!Q51</f>
        <v>2.8853776</v>
      </c>
      <c r="R51" s="322">
        <f>(100%-$D51)*'INGRESO A PS DE CA'!R51</f>
        <v>2.9387007999999999</v>
      </c>
      <c r="S51" s="322">
        <f>(100%-$D51)*'INGRESO A PS DE CA'!S51</f>
        <v>2.9917664000000004</v>
      </c>
      <c r="T51" s="322">
        <f>(100%-$D51)*'INGRESO A PS DE CA'!T51</f>
        <v>3.0448319999999995</v>
      </c>
      <c r="U51" s="322">
        <f>(100%-$D51)*'INGRESO A PS DE CA'!U51</f>
        <v>3.0981551999999999</v>
      </c>
      <c r="V51" s="322">
        <f>(100%-$D51)*'INGRESO A PS DE CA'!V51</f>
        <v>3.1512207999999999</v>
      </c>
      <c r="W51" s="322">
        <f>(100%-$D51)*'INGRESO A PS DE CA'!W51</f>
        <v>3.2045440000000003</v>
      </c>
      <c r="X51" s="322">
        <f>(100%-$D51)*'INGRESO A PS DE CA'!X51</f>
        <v>3.2576095999999994</v>
      </c>
      <c r="Y51" s="322">
        <f>(100%-$D51)*'INGRESO A PS DE CA'!Y51</f>
        <v>3.3109327999999998</v>
      </c>
      <c r="Z51" s="322">
        <f>(100%-$D51)*'INGRESO A PS DE CA'!Z51</f>
        <v>3.3639983999999998</v>
      </c>
    </row>
    <row r="52" spans="1:26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20">
        <v>0.2</v>
      </c>
      <c r="E52" s="278"/>
      <c r="F52" s="263"/>
      <c r="G52" s="322">
        <f>(100%-$D52)*'INGRESO A PS DE CA'!G52</f>
        <v>0.3829568000000001</v>
      </c>
      <c r="H52" s="322">
        <f>(100%-$D52)*'INGRESO A PS DE CA'!H52</f>
        <v>3.0918758400000002</v>
      </c>
      <c r="I52" s="322">
        <f>(100%-$D52)*'INGRESO A PS DE CA'!I52</f>
        <v>5.8500551999999999</v>
      </c>
      <c r="J52" s="322">
        <f>(100%-$D52)*'INGRESO A PS DE CA'!J52</f>
        <v>9.8382840000000016</v>
      </c>
      <c r="K52" s="322">
        <f>(100%-$D52)*'INGRESO A PS DE CA'!K52</f>
        <v>13.896769599999999</v>
      </c>
      <c r="L52" s="322">
        <f>(100%-$D52)*'INGRESO A PS DE CA'!L52</f>
        <v>14.019941600000003</v>
      </c>
      <c r="M52" s="322">
        <f>(100%-$D52)*'INGRESO A PS DE CA'!M52</f>
        <v>14.1434104</v>
      </c>
      <c r="N52" s="322">
        <f>(100%-$D52)*'INGRESO A PS DE CA'!N52</f>
        <v>14.266582399999999</v>
      </c>
      <c r="O52" s="322">
        <f>(100%-$D52)*'INGRESO A PS DE CA'!O52</f>
        <v>14.3900512</v>
      </c>
      <c r="P52" s="322">
        <f>(100%-$D52)*'INGRESO A PS DE CA'!P52</f>
        <v>14.513223199999999</v>
      </c>
      <c r="Q52" s="322">
        <f>(100%-$D52)*'INGRESO A PS DE CA'!Q52</f>
        <v>14.636395199999999</v>
      </c>
      <c r="R52" s="322">
        <f>(100%-$D52)*'INGRESO A PS DE CA'!R52</f>
        <v>14.759864000000002</v>
      </c>
      <c r="S52" s="322">
        <f>(100%-$D52)*'INGRESO A PS DE CA'!S52</f>
        <v>14.883036000000002</v>
      </c>
      <c r="T52" s="322">
        <f>(100%-$D52)*'INGRESO A PS DE CA'!T52</f>
        <v>15.0065048</v>
      </c>
      <c r="U52" s="322">
        <f>(100%-$D52)*'INGRESO A PS DE CA'!U52</f>
        <v>15.129676800000002</v>
      </c>
      <c r="V52" s="322">
        <f>(100%-$D52)*'INGRESO A PS DE CA'!V52</f>
        <v>15.252848799999999</v>
      </c>
      <c r="W52" s="322">
        <f>(100%-$D52)*'INGRESO A PS DE CA'!W52</f>
        <v>15.376317600000002</v>
      </c>
      <c r="X52" s="322">
        <f>(100%-$D52)*'INGRESO A PS DE CA'!X52</f>
        <v>15.499489599999999</v>
      </c>
      <c r="Y52" s="322">
        <f>(100%-$D52)*'INGRESO A PS DE CA'!Y52</f>
        <v>15.6229584</v>
      </c>
      <c r="Z52" s="322">
        <f>(100%-$D52)*'INGRESO A PS DE CA'!Z52</f>
        <v>15.746130399999998</v>
      </c>
    </row>
    <row r="53" spans="1:26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20">
        <v>0.2</v>
      </c>
      <c r="E53" s="278"/>
      <c r="F53" s="263"/>
      <c r="G53" s="322">
        <f>(100%-$D53)*'INGRESO A PS DE CA'!G53</f>
        <v>0.33529920000000002</v>
      </c>
      <c r="H53" s="322">
        <f>(100%-$D53)*'INGRESO A PS DE CA'!H53</f>
        <v>2.7098009600000004</v>
      </c>
      <c r="I53" s="322">
        <f>(100%-$D53)*'INGRESO A PS DE CA'!I53</f>
        <v>5.1327744000000006</v>
      </c>
      <c r="J53" s="322">
        <f>(100%-$D53)*'INGRESO A PS DE CA'!J53</f>
        <v>8.6419680000000021</v>
      </c>
      <c r="K53" s="322">
        <f>(100%-$D53)*'INGRESO A PS DE CA'!K53</f>
        <v>12.222224000000001</v>
      </c>
      <c r="L53" s="322">
        <f>(100%-$D53)*'INGRESO A PS DE CA'!L53</f>
        <v>12.347176800000002</v>
      </c>
      <c r="M53" s="322">
        <f>(100%-$D53)*'INGRESO A PS DE CA'!M53</f>
        <v>12.473316800000001</v>
      </c>
      <c r="N53" s="322">
        <f>(100%-$D53)*'INGRESO A PS DE CA'!N53</f>
        <v>12.600644000000003</v>
      </c>
      <c r="O53" s="322">
        <f>(100%-$D53)*'INGRESO A PS DE CA'!O53</f>
        <v>12.729158400000001</v>
      </c>
      <c r="P53" s="322">
        <f>(100%-$D53)*'INGRESO A PS DE CA'!P53</f>
        <v>12.859156800000001</v>
      </c>
      <c r="Q53" s="322">
        <f>(100%-$D53)*'INGRESO A PS DE CA'!Q53</f>
        <v>12.990639199999999</v>
      </c>
      <c r="R53" s="322">
        <f>(100%-$D53)*'INGRESO A PS DE CA'!R53</f>
        <v>13.123308800000002</v>
      </c>
      <c r="S53" s="322">
        <f>(100%-$D53)*'INGRESO A PS DE CA'!S53</f>
        <v>13.2571656</v>
      </c>
      <c r="T53" s="322">
        <f>(100%-$D53)*'INGRESO A PS DE CA'!T53</f>
        <v>13.392803200000001</v>
      </c>
      <c r="U53" s="322">
        <f>(100%-$D53)*'INGRESO A PS DE CA'!U53</f>
        <v>13.5293312</v>
      </c>
      <c r="V53" s="322">
        <f>(100%-$D53)*'INGRESO A PS DE CA'!V53</f>
        <v>13.66764</v>
      </c>
      <c r="W53" s="322">
        <f>(100%-$D53)*'INGRESO A PS DE CA'!W53</f>
        <v>13.807136</v>
      </c>
      <c r="X53" s="322">
        <f>(100%-$D53)*'INGRESO A PS DE CA'!X53</f>
        <v>13.948115999999999</v>
      </c>
      <c r="Y53" s="322">
        <f>(100%-$D53)*'INGRESO A PS DE CA'!Y53</f>
        <v>14.090580000000001</v>
      </c>
      <c r="Z53" s="322">
        <f>(100%-$D53)*'INGRESO A PS DE CA'!Z53</f>
        <v>14.234528000000001</v>
      </c>
    </row>
    <row r="54" spans="1:26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20">
        <v>0.2</v>
      </c>
      <c r="E54" s="278"/>
      <c r="F54" s="263"/>
      <c r="G54" s="322">
        <f>(100%-$D54)*'INGRESO A PS DE CA'!G54</f>
        <v>0.54576528000000013</v>
      </c>
      <c r="H54" s="322">
        <f>(100%-$D54)*'INGRESO A PS DE CA'!H54</f>
        <v>4.4021567999999993</v>
      </c>
      <c r="I54" s="322">
        <f>(100%-$D54)*'INGRESO A PS DE CA'!I54</f>
        <v>8.3214863999999995</v>
      </c>
      <c r="J54" s="322">
        <f>(100%-$D54)*'INGRESO A PS DE CA'!J54</f>
        <v>13.981548000000002</v>
      </c>
      <c r="K54" s="322">
        <f>(100%-$D54)*'INGRESO A PS DE CA'!K54</f>
        <v>19.731532799999997</v>
      </c>
      <c r="L54" s="322">
        <f>(100%-$D54)*'INGRESO A PS DE CA'!L54</f>
        <v>19.888898400000002</v>
      </c>
      <c r="M54" s="322">
        <f>(100%-$D54)*'INGRESO A PS DE CA'!M54</f>
        <v>20.046264000000001</v>
      </c>
      <c r="N54" s="322">
        <f>(100%-$D54)*'INGRESO A PS DE CA'!N54</f>
        <v>20.203915200000001</v>
      </c>
      <c r="O54" s="322">
        <f>(100%-$D54)*'INGRESO A PS DE CA'!O54</f>
        <v>20.361280800000003</v>
      </c>
      <c r="P54" s="322">
        <f>(100%-$D54)*'INGRESO A PS DE CA'!P54</f>
        <v>20.518646400000005</v>
      </c>
      <c r="Q54" s="322">
        <f>(100%-$D54)*'INGRESO A PS DE CA'!Q54</f>
        <v>20.676012</v>
      </c>
      <c r="R54" s="322">
        <f>(100%-$D54)*'INGRESO A PS DE CA'!R54</f>
        <v>20.833377600000002</v>
      </c>
      <c r="S54" s="322">
        <f>(100%-$D54)*'INGRESO A PS DE CA'!S54</f>
        <v>20.990743200000001</v>
      </c>
      <c r="T54" s="322">
        <f>(100%-$D54)*'INGRESO A PS DE CA'!T54</f>
        <v>21.148394400000001</v>
      </c>
      <c r="U54" s="322">
        <f>(100%-$D54)*'INGRESO A PS DE CA'!U54</f>
        <v>21.305759999999999</v>
      </c>
      <c r="V54" s="322">
        <f>(100%-$D54)*'INGRESO A PS DE CA'!V54</f>
        <v>21.463125600000001</v>
      </c>
      <c r="W54" s="322">
        <f>(100%-$D54)*'INGRESO A PS DE CA'!W54</f>
        <v>21.620491200000004</v>
      </c>
      <c r="X54" s="322">
        <f>(100%-$D54)*'INGRESO A PS DE CA'!X54</f>
        <v>21.777856799999999</v>
      </c>
      <c r="Y54" s="322">
        <f>(100%-$D54)*'INGRESO A PS DE CA'!Y54</f>
        <v>21.935222400000001</v>
      </c>
      <c r="Z54" s="322">
        <f>(100%-$D54)*'INGRESO A PS DE CA'!Z54</f>
        <v>22.092873600000001</v>
      </c>
    </row>
    <row r="55" spans="1:26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20">
        <v>0.2</v>
      </c>
      <c r="E55" s="278"/>
      <c r="F55" s="263"/>
      <c r="G55" s="322">
        <f>(100%-$D55)*'INGRESO A PS DE CA'!G55</f>
        <v>0.22734880000000002</v>
      </c>
      <c r="H55" s="322">
        <f>(100%-$D55)*'INGRESO A PS DE CA'!H55</f>
        <v>1.8352755200000002</v>
      </c>
      <c r="I55" s="322">
        <f>(100%-$D55)*'INGRESO A PS DE CA'!I55</f>
        <v>3.4723056000000003</v>
      </c>
      <c r="J55" s="322">
        <f>(100%-$D55)*'INGRESO A PS DE CA'!J55</f>
        <v>5.8397520000000007</v>
      </c>
      <c r="K55" s="322">
        <f>(100%-$D55)*'INGRESO A PS DE CA'!K55</f>
        <v>8.2495560000000001</v>
      </c>
      <c r="L55" s="322">
        <f>(100%-$D55)*'INGRESO A PS DE CA'!L55</f>
        <v>8.3243495999999997</v>
      </c>
      <c r="M55" s="322">
        <f>(100%-$D55)*'INGRESO A PS DE CA'!M55</f>
        <v>8.4000336000000004</v>
      </c>
      <c r="N55" s="322">
        <f>(100%-$D55)*'INGRESO A PS DE CA'!N55</f>
        <v>8.4760144000000022</v>
      </c>
      <c r="O55" s="322">
        <f>(100%-$D55)*'INGRESO A PS DE CA'!O55</f>
        <v>8.5528856000000015</v>
      </c>
      <c r="P55" s="322">
        <f>(100%-$D55)*'INGRESO A PS DE CA'!P55</f>
        <v>8.6303504000000011</v>
      </c>
      <c r="Q55" s="322">
        <f>(100%-$D55)*'INGRESO A PS DE CA'!Q55</f>
        <v>8.7087056</v>
      </c>
      <c r="R55" s="322">
        <f>(100%-$D55)*'INGRESO A PS DE CA'!R55</f>
        <v>8.787654400000001</v>
      </c>
      <c r="S55" s="322">
        <f>(100%-$D55)*'INGRESO A PS DE CA'!S55</f>
        <v>8.8671968000000003</v>
      </c>
      <c r="T55" s="322">
        <f>(100%-$D55)*'INGRESO A PS DE CA'!T55</f>
        <v>8.9476296000000008</v>
      </c>
      <c r="U55" s="322">
        <f>(100%-$D55)*'INGRESO A PS DE CA'!U55</f>
        <v>9.0286560000000016</v>
      </c>
      <c r="V55" s="322">
        <f>(100%-$D55)*'INGRESO A PS DE CA'!V55</f>
        <v>9.1105727999999981</v>
      </c>
      <c r="W55" s="322">
        <f>(100%-$D55)*'INGRESO A PS DE CA'!W55</f>
        <v>9.193083200000002</v>
      </c>
      <c r="X55" s="322">
        <f>(100%-$D55)*'INGRESO A PS DE CA'!X55</f>
        <v>9.2764840000000017</v>
      </c>
      <c r="Y55" s="322">
        <f>(100%-$D55)*'INGRESO A PS DE CA'!Y55</f>
        <v>9.3604783999999981</v>
      </c>
      <c r="Z55" s="322">
        <f>(100%-$D55)*'INGRESO A PS DE CA'!Z55</f>
        <v>9.445363200000001</v>
      </c>
    </row>
    <row r="56" spans="1:26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20">
        <v>0.2</v>
      </c>
      <c r="E56" s="278"/>
      <c r="F56" s="263"/>
      <c r="G56" s="322">
        <f>(100%-$D56)*'INGRESO A PS DE CA'!G56</f>
        <v>0.50140752000000011</v>
      </c>
      <c r="H56" s="322">
        <f>(100%-$D56)*'INGRESO A PS DE CA'!H56</f>
        <v>4.0258828800000002</v>
      </c>
      <c r="I56" s="322">
        <f>(100%-$D56)*'INGRESO A PS DE CA'!I56</f>
        <v>7.5764376000000002</v>
      </c>
      <c r="J56" s="322">
        <f>(100%-$D56)*'INGRESO A PS DE CA'!J56</f>
        <v>12.674520000000001</v>
      </c>
      <c r="K56" s="322">
        <f>(100%-$D56)*'INGRESO A PS DE CA'!K56</f>
        <v>17.811444000000002</v>
      </c>
      <c r="L56" s="322">
        <f>(100%-$D56)*'INGRESO A PS DE CA'!L56</f>
        <v>17.879702399999999</v>
      </c>
      <c r="M56" s="322">
        <f>(100%-$D56)*'INGRESO A PS DE CA'!M56</f>
        <v>17.949103200000003</v>
      </c>
      <c r="N56" s="322">
        <f>(100%-$D56)*'INGRESO A PS DE CA'!N56</f>
        <v>18.019646399999999</v>
      </c>
      <c r="O56" s="322">
        <f>(100%-$D56)*'INGRESO A PS DE CA'!O56</f>
        <v>18.091332000000001</v>
      </c>
      <c r="P56" s="322">
        <f>(100%-$D56)*'INGRESO A PS DE CA'!P56</f>
        <v>18.163874400000001</v>
      </c>
      <c r="Q56" s="322">
        <f>(100%-$D56)*'INGRESO A PS DE CA'!Q56</f>
        <v>18.238130399999999</v>
      </c>
      <c r="R56" s="322">
        <f>(100%-$D56)*'INGRESO A PS DE CA'!R56</f>
        <v>18.313243200000002</v>
      </c>
      <c r="S56" s="322">
        <f>(100%-$D56)*'INGRESO A PS DE CA'!S56</f>
        <v>18.389784000000002</v>
      </c>
      <c r="T56" s="322">
        <f>(100%-$D56)*'INGRESO A PS DE CA'!T56</f>
        <v>18.467467199999998</v>
      </c>
      <c r="U56" s="322">
        <f>(100%-$D56)*'INGRESO A PS DE CA'!U56</f>
        <v>18.546292799999996</v>
      </c>
      <c r="V56" s="322">
        <f>(100%-$D56)*'INGRESO A PS DE CA'!V56</f>
        <v>18.626546400000002</v>
      </c>
      <c r="W56" s="322">
        <f>(100%-$D56)*'INGRESO A PS DE CA'!W56</f>
        <v>18.7079424</v>
      </c>
      <c r="X56" s="322">
        <f>(100%-$D56)*'INGRESO A PS DE CA'!X56</f>
        <v>18.791052000000001</v>
      </c>
      <c r="Y56" s="322">
        <f>(100%-$D56)*'INGRESO A PS DE CA'!Y56</f>
        <v>18.875018399999998</v>
      </c>
      <c r="Z56" s="322">
        <f>(100%-$D56)*'INGRESO A PS DE CA'!Z56</f>
        <v>18.960698399999998</v>
      </c>
    </row>
    <row r="57" spans="1:26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20">
        <v>0.2</v>
      </c>
      <c r="E57" s="278"/>
      <c r="F57" s="263"/>
      <c r="G57" s="322">
        <f>(100%-$D57)*'INGRESO A PS DE CA'!G57</f>
        <v>8.5780800000000004E-2</v>
      </c>
      <c r="H57" s="322">
        <f>(100%-$D57)*'INGRESO A PS DE CA'!H57</f>
        <v>0.68654080000000006</v>
      </c>
      <c r="I57" s="322">
        <f>(100%-$D57)*'INGRESO A PS DE CA'!I57</f>
        <v>1.2878160000000003</v>
      </c>
      <c r="J57" s="322">
        <f>(100%-$D57)*'INGRESO A PS DE CA'!J57</f>
        <v>2.1472799999999999</v>
      </c>
      <c r="K57" s="322">
        <f>(100%-$D57)*'INGRESO A PS DE CA'!K57</f>
        <v>3.0077376</v>
      </c>
      <c r="L57" s="322">
        <f>(100%-$D57)*'INGRESO A PS DE CA'!L57</f>
        <v>3.0090256000000002</v>
      </c>
      <c r="M57" s="322">
        <f>(100%-$D57)*'INGRESO A PS DE CA'!M57</f>
        <v>3.0103135999999999</v>
      </c>
      <c r="N57" s="322">
        <f>(100%-$D57)*'INGRESO A PS DE CA'!N57</f>
        <v>3.0116016000000005</v>
      </c>
      <c r="O57" s="322">
        <f>(100%-$D57)*'INGRESO A PS DE CA'!O57</f>
        <v>3.0128895999999998</v>
      </c>
      <c r="P57" s="322">
        <f>(100%-$D57)*'INGRESO A PS DE CA'!P57</f>
        <v>3.0141776</v>
      </c>
      <c r="Q57" s="322">
        <f>(100%-$D57)*'INGRESO A PS DE CA'!Q57</f>
        <v>3.0157232</v>
      </c>
      <c r="R57" s="322">
        <f>(100%-$D57)*'INGRESO A PS DE CA'!R57</f>
        <v>3.0170112000000002</v>
      </c>
      <c r="S57" s="322">
        <f>(100%-$D57)*'INGRESO A PS DE CA'!S57</f>
        <v>3.0182992</v>
      </c>
      <c r="T57" s="322">
        <f>(100%-$D57)*'INGRESO A PS DE CA'!T57</f>
        <v>3.0195872000000001</v>
      </c>
      <c r="U57" s="322">
        <f>(100%-$D57)*'INGRESO A PS DE CA'!U57</f>
        <v>3.0208752000000003</v>
      </c>
      <c r="V57" s="322">
        <f>(100%-$D57)*'INGRESO A PS DE CA'!V57</f>
        <v>3.0224208000000004</v>
      </c>
      <c r="W57" s="322">
        <f>(100%-$D57)*'INGRESO A PS DE CA'!W57</f>
        <v>3.0237088000000001</v>
      </c>
      <c r="X57" s="322">
        <f>(100%-$D57)*'INGRESO A PS DE CA'!X57</f>
        <v>3.0249968000000003</v>
      </c>
      <c r="Y57" s="322">
        <f>(100%-$D57)*'INGRESO A PS DE CA'!Y57</f>
        <v>3.0262847999999996</v>
      </c>
      <c r="Z57" s="322">
        <f>(100%-$D57)*'INGRESO A PS DE CA'!Z57</f>
        <v>3.0275728000000002</v>
      </c>
    </row>
    <row r="58" spans="1:26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20">
        <v>0.2</v>
      </c>
      <c r="E58" s="278"/>
      <c r="F58" s="263"/>
      <c r="G58" s="322">
        <f>(100%-$D58)*'INGRESO A PS DE CA'!G58</f>
        <v>0.18440608000000003</v>
      </c>
      <c r="H58" s="322">
        <f>(100%-$D58)*'INGRESO A PS DE CA'!H58</f>
        <v>1.4893593600000004</v>
      </c>
      <c r="I58" s="322">
        <f>(100%-$D58)*'INGRESO A PS DE CA'!I58</f>
        <v>2.8188791999999996</v>
      </c>
      <c r="J58" s="322">
        <f>(100%-$D58)*'INGRESO A PS DE CA'!J58</f>
        <v>4.7422279999999999</v>
      </c>
      <c r="K58" s="322">
        <f>(100%-$D58)*'INGRESO A PS DE CA'!K58</f>
        <v>6.7005568000000002</v>
      </c>
      <c r="L58" s="322">
        <f>(100%-$D58)*'INGRESO A PS DE CA'!L58</f>
        <v>6.7895968</v>
      </c>
      <c r="M58" s="322">
        <f>(100%-$D58)*'INGRESO A PS DE CA'!M58</f>
        <v>6.8786367999999998</v>
      </c>
      <c r="N58" s="322">
        <f>(100%-$D58)*'INGRESO A PS DE CA'!N58</f>
        <v>6.9676767999999996</v>
      </c>
      <c r="O58" s="322">
        <f>(100%-$D58)*'INGRESO A PS DE CA'!O58</f>
        <v>7.0564200000000001</v>
      </c>
      <c r="P58" s="322">
        <f>(100%-$D58)*'INGRESO A PS DE CA'!P58</f>
        <v>7.1454599999999999</v>
      </c>
      <c r="Q58" s="322">
        <f>(100%-$D58)*'INGRESO A PS DE CA'!Q58</f>
        <v>7.2344999999999988</v>
      </c>
      <c r="R58" s="322">
        <f>(100%-$D58)*'INGRESO A PS DE CA'!R58</f>
        <v>7.3235400000000004</v>
      </c>
      <c r="S58" s="322">
        <f>(100%-$D58)*'INGRESO A PS DE CA'!S58</f>
        <v>7.4125800000000002</v>
      </c>
      <c r="T58" s="322">
        <f>(100%-$D58)*'INGRESO A PS DE CA'!T58</f>
        <v>7.5013232000000007</v>
      </c>
      <c r="U58" s="322">
        <f>(100%-$D58)*'INGRESO A PS DE CA'!U58</f>
        <v>7.5903632000000005</v>
      </c>
      <c r="V58" s="322">
        <f>(100%-$D58)*'INGRESO A PS DE CA'!V58</f>
        <v>7.6794032000000003</v>
      </c>
      <c r="W58" s="322">
        <f>(100%-$D58)*'INGRESO A PS DE CA'!W58</f>
        <v>7.7684432000000001</v>
      </c>
      <c r="X58" s="322">
        <f>(100%-$D58)*'INGRESO A PS DE CA'!X58</f>
        <v>7.8574832000000008</v>
      </c>
      <c r="Y58" s="322">
        <f>(100%-$D58)*'INGRESO A PS DE CA'!Y58</f>
        <v>7.9462264000000005</v>
      </c>
      <c r="Z58" s="322">
        <f>(100%-$D58)*'INGRESO A PS DE CA'!Z58</f>
        <v>8.0352664000000011</v>
      </c>
    </row>
    <row r="59" spans="1:26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20">
        <v>0.2</v>
      </c>
      <c r="E59" s="278"/>
      <c r="F59" s="263"/>
      <c r="G59" s="322">
        <f>(100%-$D59)*'INGRESO A PS DE CA'!G59</f>
        <v>0.23167360000000004</v>
      </c>
      <c r="H59" s="322">
        <f>(100%-$D59)*'INGRESO A PS DE CA'!H59</f>
        <v>1.87530112</v>
      </c>
      <c r="I59" s="322">
        <f>(100%-$D59)*'INGRESO A PS DE CA'!I59</f>
        <v>3.5572752000000003</v>
      </c>
      <c r="J59" s="322">
        <f>(100%-$D59)*'INGRESO A PS DE CA'!J59</f>
        <v>5.997268</v>
      </c>
      <c r="K59" s="322">
        <f>(100%-$D59)*'INGRESO A PS DE CA'!K59</f>
        <v>8.4920416000000003</v>
      </c>
      <c r="L59" s="322">
        <f>(100%-$D59)*'INGRESO A PS DE CA'!L59</f>
        <v>8.6187752</v>
      </c>
      <c r="M59" s="322">
        <f>(100%-$D59)*'INGRESO A PS DE CA'!M59</f>
        <v>8.7455088000000014</v>
      </c>
      <c r="N59" s="322">
        <f>(100%-$D59)*'INGRESO A PS DE CA'!N59</f>
        <v>8.8722424000000011</v>
      </c>
      <c r="O59" s="322">
        <f>(100%-$D59)*'INGRESO A PS DE CA'!O59</f>
        <v>8.9989760000000008</v>
      </c>
      <c r="P59" s="322">
        <f>(100%-$D59)*'INGRESO A PS DE CA'!P59</f>
        <v>9.1257096000000004</v>
      </c>
      <c r="Q59" s="322">
        <f>(100%-$D59)*'INGRESO A PS DE CA'!Q59</f>
        <v>9.2524432000000001</v>
      </c>
      <c r="R59" s="322">
        <f>(100%-$D59)*'INGRESO A PS DE CA'!R59</f>
        <v>9.3794736000000007</v>
      </c>
      <c r="S59" s="322">
        <f>(100%-$D59)*'INGRESO A PS DE CA'!S59</f>
        <v>9.5062072000000004</v>
      </c>
      <c r="T59" s="322">
        <f>(100%-$D59)*'INGRESO A PS DE CA'!T59</f>
        <v>9.6329408000000001</v>
      </c>
      <c r="U59" s="322">
        <f>(100%-$D59)*'INGRESO A PS DE CA'!U59</f>
        <v>9.7596744000000015</v>
      </c>
      <c r="V59" s="322">
        <f>(100%-$D59)*'INGRESO A PS DE CA'!V59</f>
        <v>9.8864079999999994</v>
      </c>
      <c r="W59" s="322">
        <f>(100%-$D59)*'INGRESO A PS DE CA'!W59</f>
        <v>10.013141600000001</v>
      </c>
      <c r="X59" s="322">
        <f>(100%-$D59)*'INGRESO A PS DE CA'!X59</f>
        <v>10.139875200000001</v>
      </c>
      <c r="Y59" s="322">
        <f>(100%-$D59)*'INGRESO A PS DE CA'!Y59</f>
        <v>10.2666088</v>
      </c>
      <c r="Z59" s="322">
        <f>(100%-$D59)*'INGRESO A PS DE CA'!Z59</f>
        <v>10.393342400000002</v>
      </c>
    </row>
    <row r="60" spans="1:26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20">
        <v>0.2</v>
      </c>
      <c r="E60" s="278"/>
      <c r="F60" s="263"/>
      <c r="G60" s="322">
        <f>(100%-$D60)*'INGRESO A PS DE CA'!G60</f>
        <v>0.10312832000000001</v>
      </c>
      <c r="H60" s="322">
        <f>(100%-$D60)*'INGRESO A PS DE CA'!H60</f>
        <v>0.83215104000000018</v>
      </c>
      <c r="I60" s="322">
        <f>(100%-$D60)*'INGRESO A PS DE CA'!I60</f>
        <v>1.5735311999999999</v>
      </c>
      <c r="J60" s="322">
        <f>(100%-$D60)*'INGRESO A PS DE CA'!J60</f>
        <v>2.6448160000000005</v>
      </c>
      <c r="K60" s="322">
        <f>(100%-$D60)*'INGRESO A PS DE CA'!K60</f>
        <v>3.7336544000000007</v>
      </c>
      <c r="L60" s="322">
        <f>(100%-$D60)*'INGRESO A PS DE CA'!L60</f>
        <v>3.7648240000000004</v>
      </c>
      <c r="M60" s="322">
        <f>(100%-$D60)*'INGRESO A PS DE CA'!M60</f>
        <v>3.7957360000000002</v>
      </c>
      <c r="N60" s="322">
        <f>(100%-$D60)*'INGRESO A PS DE CA'!N60</f>
        <v>3.8269055999999999</v>
      </c>
      <c r="O60" s="322">
        <f>(100%-$D60)*'INGRESO A PS DE CA'!O60</f>
        <v>3.8578176000000002</v>
      </c>
      <c r="P60" s="322">
        <f>(100%-$D60)*'INGRESO A PS DE CA'!P60</f>
        <v>3.8887296</v>
      </c>
      <c r="Q60" s="322">
        <f>(100%-$D60)*'INGRESO A PS DE CA'!Q60</f>
        <v>3.9198992000000006</v>
      </c>
      <c r="R60" s="322">
        <f>(100%-$D60)*'INGRESO A PS DE CA'!R60</f>
        <v>3.9508112000000004</v>
      </c>
      <c r="S60" s="322">
        <f>(100%-$D60)*'INGRESO A PS DE CA'!S60</f>
        <v>3.9819808000000005</v>
      </c>
      <c r="T60" s="322">
        <f>(100%-$D60)*'INGRESO A PS DE CA'!T60</f>
        <v>4.0128928000000004</v>
      </c>
      <c r="U60" s="322">
        <f>(100%-$D60)*'INGRESO A PS DE CA'!U60</f>
        <v>4.0440624000000005</v>
      </c>
      <c r="V60" s="322">
        <f>(100%-$D60)*'INGRESO A PS DE CA'!V60</f>
        <v>4.0749744000000012</v>
      </c>
      <c r="W60" s="322">
        <f>(100%-$D60)*'INGRESO A PS DE CA'!W60</f>
        <v>4.1058864000000002</v>
      </c>
      <c r="X60" s="322">
        <f>(100%-$D60)*'INGRESO A PS DE CA'!X60</f>
        <v>4.1370560000000003</v>
      </c>
      <c r="Y60" s="322">
        <f>(100%-$D60)*'INGRESO A PS DE CA'!Y60</f>
        <v>4.1679680000000001</v>
      </c>
      <c r="Z60" s="322">
        <f>(100%-$D60)*'INGRESO A PS DE CA'!Z60</f>
        <v>4.1991375999999994</v>
      </c>
    </row>
    <row r="61" spans="1:26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20">
        <v>0.2</v>
      </c>
      <c r="E61" s="278"/>
      <c r="F61" s="263"/>
      <c r="G61" s="322">
        <f>(100%-$D61)*'INGRESO A PS DE CA'!G61</f>
        <v>0.26812912</v>
      </c>
      <c r="H61" s="322">
        <f>(100%-$D61)*'INGRESO A PS DE CA'!H61</f>
        <v>2.1742041600000004</v>
      </c>
      <c r="I61" s="322">
        <f>(100%-$D61)*'INGRESO A PS DE CA'!I61</f>
        <v>4.1313288000000012</v>
      </c>
      <c r="J61" s="322">
        <f>(100%-$D61)*'INGRESO A PS DE CA'!J61</f>
        <v>6.9769199999999998</v>
      </c>
      <c r="K61" s="322">
        <f>(100%-$D61)*'INGRESO A PS DE CA'!K61</f>
        <v>9.8953120000000006</v>
      </c>
      <c r="L61" s="322">
        <f>(100%-$D61)*'INGRESO A PS DE CA'!L61</f>
        <v>10.057067999999999</v>
      </c>
      <c r="M61" s="322">
        <f>(100%-$D61)*'INGRESO A PS DE CA'!M61</f>
        <v>10.219120799999999</v>
      </c>
      <c r="N61" s="322">
        <f>(100%-$D61)*'INGRESO A PS DE CA'!N61</f>
        <v>10.380876800000003</v>
      </c>
      <c r="O61" s="322">
        <f>(100%-$D61)*'INGRESO A PS DE CA'!O61</f>
        <v>10.542929600000001</v>
      </c>
      <c r="P61" s="322">
        <f>(100%-$D61)*'INGRESO A PS DE CA'!P61</f>
        <v>10.704685599999999</v>
      </c>
      <c r="Q61" s="322">
        <f>(100%-$D61)*'INGRESO A PS DE CA'!Q61</f>
        <v>10.866738399999999</v>
      </c>
      <c r="R61" s="322">
        <f>(100%-$D61)*'INGRESO A PS DE CA'!R61</f>
        <v>11.028494400000001</v>
      </c>
      <c r="S61" s="322">
        <f>(100%-$D61)*'INGRESO A PS DE CA'!S61</f>
        <v>11.190250400000002</v>
      </c>
      <c r="T61" s="322">
        <f>(100%-$D61)*'INGRESO A PS DE CA'!T61</f>
        <v>11.3523032</v>
      </c>
      <c r="U61" s="322">
        <f>(100%-$D61)*'INGRESO A PS DE CA'!U61</f>
        <v>11.514059199999998</v>
      </c>
      <c r="V61" s="322">
        <f>(100%-$D61)*'INGRESO A PS DE CA'!V61</f>
        <v>11.676112</v>
      </c>
      <c r="W61" s="322">
        <f>(100%-$D61)*'INGRESO A PS DE CA'!W61</f>
        <v>11.837868</v>
      </c>
      <c r="X61" s="322">
        <f>(100%-$D61)*'INGRESO A PS DE CA'!X61</f>
        <v>11.999920799999998</v>
      </c>
      <c r="Y61" s="322">
        <f>(100%-$D61)*'INGRESO A PS DE CA'!Y61</f>
        <v>12.161676800000002</v>
      </c>
      <c r="Z61" s="322">
        <f>(100%-$D61)*'INGRESO A PS DE CA'!Z61</f>
        <v>12.3237296</v>
      </c>
    </row>
    <row r="62" spans="1:26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20">
        <v>0.2</v>
      </c>
      <c r="E62" s="278"/>
      <c r="F62" s="263"/>
      <c r="G62" s="322">
        <f>(100%-$D62)*'INGRESO A PS DE CA'!G62</f>
        <v>0.52905360000000001</v>
      </c>
      <c r="H62" s="322">
        <f>(100%-$D62)*'INGRESO A PS DE CA'!H62</f>
        <v>4.2691814400000005</v>
      </c>
      <c r="I62" s="322">
        <f>(100%-$D62)*'INGRESO A PS DE CA'!I62</f>
        <v>8.0741160000000001</v>
      </c>
      <c r="J62" s="322">
        <f>(100%-$D62)*'INGRESO A PS DE CA'!J62</f>
        <v>13.573751999999999</v>
      </c>
      <c r="K62" s="322">
        <f>(100%-$D62)*'INGRESO A PS DE CA'!K62</f>
        <v>19.168044000000002</v>
      </c>
      <c r="L62" s="322">
        <f>(100%-$D62)*'INGRESO A PS DE CA'!L62</f>
        <v>19.334263199999999</v>
      </c>
      <c r="M62" s="322">
        <f>(100%-$D62)*'INGRESO A PS DE CA'!M62</f>
        <v>19.502195999999998</v>
      </c>
      <c r="N62" s="322">
        <f>(100%-$D62)*'INGRESO A PS DE CA'!N62</f>
        <v>19.671556800000001</v>
      </c>
      <c r="O62" s="322">
        <f>(100%-$D62)*'INGRESO A PS DE CA'!O62</f>
        <v>19.842060000000004</v>
      </c>
      <c r="P62" s="322">
        <f>(100%-$D62)*'INGRESO A PS DE CA'!P62</f>
        <v>20.014276799999998</v>
      </c>
      <c r="Q62" s="322">
        <f>(100%-$D62)*'INGRESO A PS DE CA'!Q62</f>
        <v>20.187921600000003</v>
      </c>
      <c r="R62" s="322">
        <f>(100%-$D62)*'INGRESO A PS DE CA'!R62</f>
        <v>20.36328</v>
      </c>
      <c r="S62" s="322">
        <f>(100%-$D62)*'INGRESO A PS DE CA'!S62</f>
        <v>20.540066400000001</v>
      </c>
      <c r="T62" s="322">
        <f>(100%-$D62)*'INGRESO A PS DE CA'!T62</f>
        <v>20.718280800000002</v>
      </c>
      <c r="U62" s="322">
        <f>(100%-$D62)*'INGRESO A PS DE CA'!U62</f>
        <v>20.897923200000001</v>
      </c>
      <c r="V62" s="322">
        <f>(100%-$D62)*'INGRESO A PS DE CA'!V62</f>
        <v>21.079279200000002</v>
      </c>
      <c r="W62" s="322">
        <f>(100%-$D62)*'INGRESO A PS DE CA'!W62</f>
        <v>21.262348800000005</v>
      </c>
      <c r="X62" s="322">
        <f>(100%-$D62)*'INGRESO A PS DE CA'!X62</f>
        <v>21.446846400000002</v>
      </c>
      <c r="Y62" s="322">
        <f>(100%-$D62)*'INGRESO A PS DE CA'!Y62</f>
        <v>21.633057600000001</v>
      </c>
      <c r="Z62" s="322">
        <f>(100%-$D62)*'INGRESO A PS DE CA'!Z62</f>
        <v>21.8206968</v>
      </c>
    </row>
    <row r="63" spans="1:26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20">
        <v>0.2</v>
      </c>
      <c r="E63" s="278"/>
      <c r="F63" s="263"/>
      <c r="G63" s="322">
        <f>(100%-$D63)*'INGRESO A PS DE CA'!G63</f>
        <v>2.36428656</v>
      </c>
      <c r="H63" s="322">
        <f>(100%-$D63)*'INGRESO A PS DE CA'!H63</f>
        <v>19.225221120000004</v>
      </c>
      <c r="I63" s="322">
        <f>(100%-$D63)*'INGRESO A PS DE CA'!I63</f>
        <v>36.630403199999996</v>
      </c>
      <c r="J63" s="322">
        <f>(100%-$D63)*'INGRESO A PS DE CA'!J63</f>
        <v>62.022324000000005</v>
      </c>
      <c r="K63" s="322">
        <f>(100%-$D63)*'INGRESO A PS DE CA'!K63</f>
        <v>88.191852000000011</v>
      </c>
      <c r="L63" s="322">
        <f>(100%-$D63)*'INGRESO A PS DE CA'!L63</f>
        <v>89.552164800000014</v>
      </c>
      <c r="M63" s="322">
        <f>(100%-$D63)*'INGRESO A PS DE CA'!M63</f>
        <v>90.912763200000001</v>
      </c>
      <c r="N63" s="322">
        <f>(100%-$D63)*'INGRESO A PS DE CA'!N63</f>
        <v>92.273076000000003</v>
      </c>
      <c r="O63" s="322">
        <f>(100%-$D63)*'INGRESO A PS DE CA'!O63</f>
        <v>93.633674400000004</v>
      </c>
      <c r="P63" s="322">
        <f>(100%-$D63)*'INGRESO A PS DE CA'!P63</f>
        <v>94.993987199999992</v>
      </c>
      <c r="Q63" s="322">
        <f>(100%-$D63)*'INGRESO A PS DE CA'!Q63</f>
        <v>96.354585600000007</v>
      </c>
      <c r="R63" s="322">
        <f>(100%-$D63)*'INGRESO A PS DE CA'!R63</f>
        <v>97.715183999999994</v>
      </c>
      <c r="S63" s="322">
        <f>(100%-$D63)*'INGRESO A PS DE CA'!S63</f>
        <v>99.075496799999996</v>
      </c>
      <c r="T63" s="322">
        <f>(100%-$D63)*'INGRESO A PS DE CA'!T63</f>
        <v>100.43609520000001</v>
      </c>
      <c r="U63" s="322">
        <f>(100%-$D63)*'INGRESO A PS DE CA'!U63</f>
        <v>101.796408</v>
      </c>
      <c r="V63" s="322">
        <f>(100%-$D63)*'INGRESO A PS DE CA'!V63</f>
        <v>103.1570064</v>
      </c>
      <c r="W63" s="322">
        <f>(100%-$D63)*'INGRESO A PS DE CA'!W63</f>
        <v>104.5173192</v>
      </c>
      <c r="X63" s="322">
        <f>(100%-$D63)*'INGRESO A PS DE CA'!X63</f>
        <v>105.8779176</v>
      </c>
      <c r="Y63" s="322">
        <f>(100%-$D63)*'INGRESO A PS DE CA'!Y63</f>
        <v>107.23823040000001</v>
      </c>
      <c r="Z63" s="322">
        <f>(100%-$D63)*'INGRESO A PS DE CA'!Z63</f>
        <v>108.59882880000001</v>
      </c>
    </row>
    <row r="64" spans="1:26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20">
        <v>0.2</v>
      </c>
      <c r="E64" s="278"/>
      <c r="F64" s="263"/>
      <c r="G64" s="322">
        <f>(100%-$D64)*'INGRESO A PS DE CA'!G64</f>
        <v>9.5179520000000017E-2</v>
      </c>
      <c r="H64" s="322">
        <f>(100%-$D64)*'INGRESO A PS DE CA'!H64</f>
        <v>0.77698047999999997</v>
      </c>
      <c r="I64" s="322">
        <f>(100%-$D64)*'INGRESO A PS DE CA'!I64</f>
        <v>1.4864256000000002</v>
      </c>
      <c r="J64" s="322">
        <f>(100%-$D64)*'INGRESO A PS DE CA'!J64</f>
        <v>2.5276080000000003</v>
      </c>
      <c r="K64" s="322">
        <f>(100%-$D64)*'INGRESO A PS DE CA'!K64</f>
        <v>3.6097488000000002</v>
      </c>
      <c r="L64" s="322">
        <f>(100%-$D64)*'INGRESO A PS DE CA'!L64</f>
        <v>3.6823920000000001</v>
      </c>
      <c r="M64" s="322">
        <f>(100%-$D64)*'INGRESO A PS DE CA'!M64</f>
        <v>3.7560655999999994</v>
      </c>
      <c r="N64" s="322">
        <f>(100%-$D64)*'INGRESO A PS DE CA'!N64</f>
        <v>3.8310271999999999</v>
      </c>
      <c r="O64" s="322">
        <f>(100%-$D64)*'INGRESO A PS DE CA'!O64</f>
        <v>3.9070192000000006</v>
      </c>
      <c r="P64" s="322">
        <f>(100%-$D64)*'INGRESO A PS DE CA'!P64</f>
        <v>3.9842992000000006</v>
      </c>
      <c r="Q64" s="322">
        <f>(100%-$D64)*'INGRESO A PS DE CA'!Q64</f>
        <v>4.0628671999999995</v>
      </c>
      <c r="R64" s="322">
        <f>(100%-$D64)*'INGRESO A PS DE CA'!R64</f>
        <v>4.1427232000000007</v>
      </c>
      <c r="S64" s="322">
        <f>(100%-$D64)*'INGRESO A PS DE CA'!S64</f>
        <v>4.2241248000000002</v>
      </c>
      <c r="T64" s="322">
        <f>(100%-$D64)*'INGRESO A PS DE CA'!T64</f>
        <v>4.3065568000000001</v>
      </c>
      <c r="U64" s="322">
        <f>(100%-$D64)*'INGRESO A PS DE CA'!U64</f>
        <v>4.3902768000000005</v>
      </c>
      <c r="V64" s="322">
        <f>(100%-$D64)*'INGRESO A PS DE CA'!V64</f>
        <v>4.4755424000000001</v>
      </c>
      <c r="W64" s="322">
        <f>(100%-$D64)*'INGRESO A PS DE CA'!W64</f>
        <v>4.5620960000000004</v>
      </c>
      <c r="X64" s="322">
        <f>(100%-$D64)*'INGRESO A PS DE CA'!X64</f>
        <v>4.6501951999999998</v>
      </c>
      <c r="Y64" s="322">
        <f>(100%-$D64)*'INGRESO A PS DE CA'!Y64</f>
        <v>4.7395823999999998</v>
      </c>
      <c r="Z64" s="322">
        <f>(100%-$D64)*'INGRESO A PS DE CA'!Z64</f>
        <v>4.8305152000000007</v>
      </c>
    </row>
    <row r="65" spans="1:26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20">
        <v>0.2</v>
      </c>
      <c r="E65" s="278"/>
      <c r="F65" s="263"/>
      <c r="G65" s="322">
        <f>(100%-$D65)*'INGRESO A PS DE CA'!G65</f>
        <v>6.5614400000000003E-2</v>
      </c>
      <c r="H65" s="322">
        <f>(100%-$D65)*'INGRESO A PS DE CA'!H65</f>
        <v>0.53115648000000004</v>
      </c>
      <c r="I65" s="322">
        <f>(100%-$D65)*'INGRESO A PS DE CA'!I65</f>
        <v>1.0077312</v>
      </c>
      <c r="J65" s="322">
        <f>(100%-$D65)*'INGRESO A PS DE CA'!J65</f>
        <v>1.6992400000000001</v>
      </c>
      <c r="K65" s="322">
        <f>(100%-$D65)*'INGRESO A PS DE CA'!K65</f>
        <v>2.4062416000000004</v>
      </c>
      <c r="L65" s="322">
        <f>(100%-$D65)*'INGRESO A PS DE CA'!L65</f>
        <v>2.4338047999999999</v>
      </c>
      <c r="M65" s="322">
        <f>(100%-$D65)*'INGRESO A PS DE CA'!M65</f>
        <v>2.4613680000000002</v>
      </c>
      <c r="N65" s="322">
        <f>(100%-$D65)*'INGRESO A PS DE CA'!N65</f>
        <v>2.4886736000000003</v>
      </c>
      <c r="O65" s="322">
        <f>(100%-$D65)*'INGRESO A PS DE CA'!O65</f>
        <v>2.5162367999999997</v>
      </c>
      <c r="P65" s="322">
        <f>(100%-$D65)*'INGRESO A PS DE CA'!P65</f>
        <v>2.5438000000000005</v>
      </c>
      <c r="Q65" s="322">
        <f>(100%-$D65)*'INGRESO A PS DE CA'!Q65</f>
        <v>2.5711056000000001</v>
      </c>
      <c r="R65" s="322">
        <f>(100%-$D65)*'INGRESO A PS DE CA'!R65</f>
        <v>2.5986688000000004</v>
      </c>
      <c r="S65" s="322">
        <f>(100%-$D65)*'INGRESO A PS DE CA'!S65</f>
        <v>2.6262319999999999</v>
      </c>
      <c r="T65" s="322">
        <f>(100%-$D65)*'INGRESO A PS DE CA'!T65</f>
        <v>2.6535375999999999</v>
      </c>
      <c r="U65" s="322">
        <f>(100%-$D65)*'INGRESO A PS DE CA'!U65</f>
        <v>2.6811007999999998</v>
      </c>
      <c r="V65" s="322">
        <f>(100%-$D65)*'INGRESO A PS DE CA'!V65</f>
        <v>2.7086640000000006</v>
      </c>
      <c r="W65" s="322">
        <f>(100%-$D65)*'INGRESO A PS DE CA'!W65</f>
        <v>2.7359695999999998</v>
      </c>
      <c r="X65" s="322">
        <f>(100%-$D65)*'INGRESO A PS DE CA'!X65</f>
        <v>2.7635328000000001</v>
      </c>
      <c r="Y65" s="322">
        <f>(100%-$D65)*'INGRESO A PS DE CA'!Y65</f>
        <v>2.7908384000000002</v>
      </c>
      <c r="Z65" s="322">
        <f>(100%-$D65)*'INGRESO A PS DE CA'!Z65</f>
        <v>2.8184016000000001</v>
      </c>
    </row>
    <row r="66" spans="1:26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20">
        <v>0.2</v>
      </c>
      <c r="E66" s="278"/>
      <c r="F66" s="263"/>
      <c r="G66" s="322">
        <f>(100%-$D66)*'INGRESO A PS DE CA'!G66</f>
        <v>0.43796656</v>
      </c>
      <c r="H66" s="322">
        <f>(100%-$D66)*'INGRESO A PS DE CA'!H66</f>
        <v>3.5520345600000001</v>
      </c>
      <c r="I66" s="322">
        <f>(100%-$D66)*'INGRESO A PS DE CA'!I66</f>
        <v>6.750885600000001</v>
      </c>
      <c r="J66" s="322">
        <f>(100%-$D66)*'INGRESO A PS DE CA'!J66</f>
        <v>11.402420000000001</v>
      </c>
      <c r="K66" s="322">
        <f>(100%-$D66)*'INGRESO A PS DE CA'!K66</f>
        <v>16.1747096</v>
      </c>
      <c r="L66" s="322">
        <f>(100%-$D66)*'INGRESO A PS DE CA'!L66</f>
        <v>16.386328000000002</v>
      </c>
      <c r="M66" s="322">
        <f>(100%-$D66)*'INGRESO A PS DE CA'!M66</f>
        <v>16.5976496</v>
      </c>
      <c r="N66" s="322">
        <f>(100%-$D66)*'INGRESO A PS DE CA'!N66</f>
        <v>16.809267999999999</v>
      </c>
      <c r="O66" s="322">
        <f>(100%-$D66)*'INGRESO A PS DE CA'!O66</f>
        <v>17.020886400000002</v>
      </c>
      <c r="P66" s="322">
        <f>(100%-$D66)*'INGRESO A PS DE CA'!P66</f>
        <v>17.232208</v>
      </c>
      <c r="Q66" s="322">
        <f>(100%-$D66)*'INGRESO A PS DE CA'!Q66</f>
        <v>17.443529600000002</v>
      </c>
      <c r="R66" s="322">
        <f>(100%-$D66)*'INGRESO A PS DE CA'!R66</f>
        <v>17.655148000000001</v>
      </c>
      <c r="S66" s="322">
        <f>(100%-$D66)*'INGRESO A PS DE CA'!S66</f>
        <v>17.866469599999999</v>
      </c>
      <c r="T66" s="322">
        <f>(100%-$D66)*'INGRESO A PS DE CA'!T66</f>
        <v>18.078088000000005</v>
      </c>
      <c r="U66" s="322">
        <f>(100%-$D66)*'INGRESO A PS DE CA'!U66</f>
        <v>18.2897064</v>
      </c>
      <c r="V66" s="322">
        <f>(100%-$D66)*'INGRESO A PS DE CA'!V66</f>
        <v>18.501028000000002</v>
      </c>
      <c r="W66" s="322">
        <f>(100%-$D66)*'INGRESO A PS DE CA'!W66</f>
        <v>18.712349600000003</v>
      </c>
      <c r="X66" s="322">
        <f>(100%-$D66)*'INGRESO A PS DE CA'!X66</f>
        <v>18.923967999999999</v>
      </c>
      <c r="Y66" s="322">
        <f>(100%-$D66)*'INGRESO A PS DE CA'!Y66</f>
        <v>19.135586400000001</v>
      </c>
      <c r="Z66" s="322">
        <f>(100%-$D66)*'INGRESO A PS DE CA'!Z66</f>
        <v>19.346908000000003</v>
      </c>
    </row>
    <row r="67" spans="1:26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20">
        <v>0.2</v>
      </c>
      <c r="E67" s="278"/>
      <c r="F67" s="263"/>
      <c r="G67" s="322">
        <f>(100%-$D67)*'INGRESO A PS DE CA'!G67</f>
        <v>7.5800640000000016E-2</v>
      </c>
      <c r="H67" s="322">
        <f>(100%-$D67)*'INGRESO A PS DE CA'!H67</f>
        <v>0.60828928000000015</v>
      </c>
      <c r="I67" s="322">
        <f>(100%-$D67)*'INGRESO A PS DE CA'!I67</f>
        <v>1.1439648000000002</v>
      </c>
      <c r="J67" s="322">
        <f>(100%-$D67)*'INGRESO A PS DE CA'!J67</f>
        <v>1.912496</v>
      </c>
      <c r="K67" s="322">
        <f>(100%-$D67)*'INGRESO A PS DE CA'!K67</f>
        <v>2.6854800000000001</v>
      </c>
      <c r="L67" s="322">
        <f>(100%-$D67)*'INGRESO A PS DE CA'!L67</f>
        <v>2.6937232</v>
      </c>
      <c r="M67" s="322">
        <f>(100%-$D67)*'INGRESO A PS DE CA'!M67</f>
        <v>2.7017088000000005</v>
      </c>
      <c r="N67" s="322">
        <f>(100%-$D67)*'INGRESO A PS DE CA'!N67</f>
        <v>2.7099519999999999</v>
      </c>
      <c r="O67" s="322">
        <f>(100%-$D67)*'INGRESO A PS DE CA'!O67</f>
        <v>2.7181952000000003</v>
      </c>
      <c r="P67" s="322">
        <f>(100%-$D67)*'INGRESO A PS DE CA'!P67</f>
        <v>2.7264384000000002</v>
      </c>
      <c r="Q67" s="322">
        <f>(100%-$D67)*'INGRESO A PS DE CA'!Q67</f>
        <v>2.7346816</v>
      </c>
      <c r="R67" s="322">
        <f>(100%-$D67)*'INGRESO A PS DE CA'!R67</f>
        <v>2.7431823999999998</v>
      </c>
      <c r="S67" s="322">
        <f>(100%-$D67)*'INGRESO A PS DE CA'!S67</f>
        <v>2.7514256000000001</v>
      </c>
      <c r="T67" s="322">
        <f>(100%-$D67)*'INGRESO A PS DE CA'!T67</f>
        <v>2.7596688000000005</v>
      </c>
      <c r="U67" s="322">
        <f>(100%-$D67)*'INGRESO A PS DE CA'!U67</f>
        <v>2.7681696000000002</v>
      </c>
      <c r="V67" s="322">
        <f>(100%-$D67)*'INGRESO A PS DE CA'!V67</f>
        <v>2.7764128000000001</v>
      </c>
      <c r="W67" s="322">
        <f>(100%-$D67)*'INGRESO A PS DE CA'!W67</f>
        <v>2.7849136000000003</v>
      </c>
      <c r="X67" s="322">
        <f>(100%-$D67)*'INGRESO A PS DE CA'!X67</f>
        <v>2.7934143999999996</v>
      </c>
      <c r="Y67" s="322">
        <f>(100%-$D67)*'INGRESO A PS DE CA'!Y67</f>
        <v>2.8019151999999998</v>
      </c>
      <c r="Z67" s="322">
        <f>(100%-$D67)*'INGRESO A PS DE CA'!Z67</f>
        <v>2.810416</v>
      </c>
    </row>
    <row r="68" spans="1:26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20">
        <v>0.2</v>
      </c>
      <c r="E68" s="278"/>
      <c r="F68" s="263"/>
      <c r="G68" s="322">
        <f>(100%-$D68)*'INGRESO A PS DE CA'!G68</f>
        <v>3.6711680000000003E-2</v>
      </c>
      <c r="H68" s="322">
        <f>(100%-$D68)*'INGRESO A PS DE CA'!H68</f>
        <v>0.29610752000000001</v>
      </c>
      <c r="I68" s="322">
        <f>(100%-$D68)*'INGRESO A PS DE CA'!I68</f>
        <v>0.55972800000000011</v>
      </c>
      <c r="J68" s="322">
        <f>(100%-$D68)*'INGRESO A PS DE CA'!J68</f>
        <v>0.940608</v>
      </c>
      <c r="K68" s="322">
        <f>(100%-$D68)*'INGRESO A PS DE CA'!K68</f>
        <v>1.3274128000000001</v>
      </c>
      <c r="L68" s="322">
        <f>(100%-$D68)*'INGRESO A PS DE CA'!L68</f>
        <v>1.3379744</v>
      </c>
      <c r="M68" s="322">
        <f>(100%-$D68)*'INGRESO A PS DE CA'!M68</f>
        <v>1.3485360000000002</v>
      </c>
      <c r="N68" s="322">
        <f>(100%-$D68)*'INGRESO A PS DE CA'!N68</f>
        <v>1.3590976000000001</v>
      </c>
      <c r="O68" s="322">
        <f>(100%-$D68)*'INGRESO A PS DE CA'!O68</f>
        <v>1.3699168000000002</v>
      </c>
      <c r="P68" s="322">
        <f>(100%-$D68)*'INGRESO A PS DE CA'!P68</f>
        <v>1.3804784000000003</v>
      </c>
      <c r="Q68" s="322">
        <f>(100%-$D68)*'INGRESO A PS DE CA'!Q68</f>
        <v>1.3910400000000001</v>
      </c>
      <c r="R68" s="322">
        <f>(100%-$D68)*'INGRESO A PS DE CA'!R68</f>
        <v>1.4016016</v>
      </c>
      <c r="S68" s="322">
        <f>(100%-$D68)*'INGRESO A PS DE CA'!S68</f>
        <v>1.4121632000000002</v>
      </c>
      <c r="T68" s="322">
        <f>(100%-$D68)*'INGRESO A PS DE CA'!T68</f>
        <v>1.4229823999999998</v>
      </c>
      <c r="U68" s="322">
        <f>(100%-$D68)*'INGRESO A PS DE CA'!U68</f>
        <v>1.4335440000000002</v>
      </c>
      <c r="V68" s="322">
        <f>(100%-$D68)*'INGRESO A PS DE CA'!V68</f>
        <v>1.4441056000000003</v>
      </c>
      <c r="W68" s="322">
        <f>(100%-$D68)*'INGRESO A PS DE CA'!W68</f>
        <v>1.4546672</v>
      </c>
      <c r="X68" s="322">
        <f>(100%-$D68)*'INGRESO A PS DE CA'!X68</f>
        <v>1.4652288000000002</v>
      </c>
      <c r="Y68" s="322">
        <f>(100%-$D68)*'INGRESO A PS DE CA'!Y68</f>
        <v>1.476048</v>
      </c>
      <c r="Z68" s="322">
        <f>(100%-$D68)*'INGRESO A PS DE CA'!Z68</f>
        <v>1.4866096000000002</v>
      </c>
    </row>
    <row r="69" spans="1:26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20">
        <v>0.2</v>
      </c>
      <c r="E69" s="278"/>
      <c r="F69" s="263"/>
      <c r="G69" s="322">
        <f>(100%-$D69)*'INGRESO A PS DE CA'!G69</f>
        <v>0.16451200000000002</v>
      </c>
      <c r="H69" s="322">
        <f>(100%-$D69)*'INGRESO A PS DE CA'!H69</f>
        <v>1.3352268800000004</v>
      </c>
      <c r="I69" s="322">
        <f>(100%-$D69)*'INGRESO A PS DE CA'!I69</f>
        <v>2.5400568000000003</v>
      </c>
      <c r="J69" s="322">
        <f>(100%-$D69)*'INGRESO A PS DE CA'!J69</f>
        <v>4.2951200000000007</v>
      </c>
      <c r="K69" s="322">
        <f>(100%-$D69)*'INGRESO A PS DE CA'!K69</f>
        <v>6.1007240000000005</v>
      </c>
      <c r="L69" s="322">
        <f>(100%-$D69)*'INGRESO A PS DE CA'!L69</f>
        <v>6.1894672000000002</v>
      </c>
      <c r="M69" s="322">
        <f>(100%-$D69)*'INGRESO A PS DE CA'!M69</f>
        <v>6.2796944000000003</v>
      </c>
      <c r="N69" s="322">
        <f>(100%-$D69)*'INGRESO A PS DE CA'!N69</f>
        <v>6.3711088000000009</v>
      </c>
      <c r="O69" s="322">
        <f>(100%-$D69)*'INGRESO A PS DE CA'!O69</f>
        <v>6.4637104000000001</v>
      </c>
      <c r="P69" s="322">
        <f>(100%-$D69)*'INGRESO A PS DE CA'!P69</f>
        <v>6.5580928000000007</v>
      </c>
      <c r="Q69" s="322">
        <f>(100%-$D69)*'INGRESO A PS DE CA'!Q69</f>
        <v>6.6533655999999999</v>
      </c>
      <c r="R69" s="322">
        <f>(100%-$D69)*'INGRESO A PS DE CA'!R69</f>
        <v>6.7504192000000005</v>
      </c>
      <c r="S69" s="322">
        <f>(100%-$D69)*'INGRESO A PS DE CA'!S69</f>
        <v>6.8486599999999997</v>
      </c>
      <c r="T69" s="322">
        <f>(100%-$D69)*'INGRESO A PS DE CA'!T69</f>
        <v>6.9483847999999995</v>
      </c>
      <c r="U69" s="322">
        <f>(100%-$D69)*'INGRESO A PS DE CA'!U69</f>
        <v>7.0495936000000006</v>
      </c>
      <c r="V69" s="322">
        <f>(100%-$D69)*'INGRESO A PS DE CA'!V69</f>
        <v>7.1522864000000004</v>
      </c>
      <c r="W69" s="322">
        <f>(100%-$D69)*'INGRESO A PS DE CA'!W69</f>
        <v>7.2561663999999997</v>
      </c>
      <c r="X69" s="322">
        <f>(100%-$D69)*'INGRESO A PS DE CA'!X69</f>
        <v>7.3618272000000005</v>
      </c>
      <c r="Y69" s="322">
        <f>(100%-$D69)*'INGRESO A PS DE CA'!Y69</f>
        <v>7.4692688000000009</v>
      </c>
      <c r="Z69" s="322">
        <f>(100%-$D69)*'INGRESO A PS DE CA'!Z69</f>
        <v>7.5778976</v>
      </c>
    </row>
    <row r="70" spans="1:26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20">
        <v>0.2</v>
      </c>
      <c r="E70" s="278"/>
      <c r="F70" s="263"/>
      <c r="G70" s="322">
        <f>(100%-$D70)*'INGRESO A PS DE CA'!G70</f>
        <v>1.1378560000000003E-2</v>
      </c>
      <c r="H70" s="322">
        <f>(100%-$D70)*'INGRESO A PS DE CA'!H70</f>
        <v>9.2088320000000015E-2</v>
      </c>
      <c r="I70" s="322">
        <f>(100%-$D70)*'INGRESO A PS DE CA'!I70</f>
        <v>0.17454240000000001</v>
      </c>
      <c r="J70" s="322">
        <f>(100%-$D70)*'INGRESO A PS DE CA'!J70</f>
        <v>0.29421600000000003</v>
      </c>
      <c r="K70" s="322">
        <f>(100%-$D70)*'INGRESO A PS DE CA'!K70</f>
        <v>0.4165392</v>
      </c>
      <c r="L70" s="322">
        <f>(100%-$D70)*'INGRESO A PS DE CA'!L70</f>
        <v>0.42143359999999996</v>
      </c>
      <c r="M70" s="322">
        <f>(100%-$D70)*'INGRESO A PS DE CA'!M70</f>
        <v>0.42607040000000007</v>
      </c>
      <c r="N70" s="322">
        <f>(100%-$D70)*'INGRESO A PS DE CA'!N70</f>
        <v>0.43096480000000004</v>
      </c>
      <c r="O70" s="322">
        <f>(100%-$D70)*'INGRESO A PS DE CA'!O70</f>
        <v>0.4358592</v>
      </c>
      <c r="P70" s="322">
        <f>(100%-$D70)*'INGRESO A PS DE CA'!P70</f>
        <v>0.44075360000000008</v>
      </c>
      <c r="Q70" s="322">
        <f>(100%-$D70)*'INGRESO A PS DE CA'!Q70</f>
        <v>0.44564800000000004</v>
      </c>
      <c r="R70" s="322">
        <f>(100%-$D70)*'INGRESO A PS DE CA'!R70</f>
        <v>0.45080000000000003</v>
      </c>
      <c r="S70" s="322">
        <f>(100%-$D70)*'INGRESO A PS DE CA'!S70</f>
        <v>0.45595200000000002</v>
      </c>
      <c r="T70" s="322">
        <f>(100%-$D70)*'INGRESO A PS DE CA'!T70</f>
        <v>0.46110400000000001</v>
      </c>
      <c r="U70" s="322">
        <f>(100%-$D70)*'INGRESO A PS DE CA'!U70</f>
        <v>0.466256</v>
      </c>
      <c r="V70" s="322">
        <f>(100%-$D70)*'INGRESO A PS DE CA'!V70</f>
        <v>0.47166559999999996</v>
      </c>
      <c r="W70" s="322">
        <f>(100%-$D70)*'INGRESO A PS DE CA'!W70</f>
        <v>0.47681759999999995</v>
      </c>
      <c r="X70" s="322">
        <f>(100%-$D70)*'INGRESO A PS DE CA'!X70</f>
        <v>0.48222720000000002</v>
      </c>
      <c r="Y70" s="322">
        <f>(100%-$D70)*'INGRESO A PS DE CA'!Y70</f>
        <v>0.48789440000000001</v>
      </c>
      <c r="Z70" s="322">
        <f>(100%-$D70)*'INGRESO A PS DE CA'!Z70</f>
        <v>0.49330400000000002</v>
      </c>
    </row>
    <row r="71" spans="1:26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20">
        <v>0.2</v>
      </c>
      <c r="E71" s="278"/>
      <c r="F71" s="263"/>
      <c r="G71" s="322">
        <f>(100%-$D71)*'INGRESO A PS DE CA'!G71</f>
        <v>0.18795920000000002</v>
      </c>
      <c r="H71" s="322">
        <f>(100%-$D71)*'INGRESO A PS DE CA'!H71</f>
        <v>1.5234150400000002</v>
      </c>
      <c r="I71" s="322">
        <f>(100%-$D71)*'INGRESO A PS DE CA'!I71</f>
        <v>2.8940544000000004</v>
      </c>
      <c r="J71" s="322">
        <f>(100%-$D71)*'INGRESO A PS DE CA'!J71</f>
        <v>4.8872360000000006</v>
      </c>
      <c r="K71" s="322">
        <f>(100%-$D71)*'INGRESO A PS DE CA'!K71</f>
        <v>6.9329512000000015</v>
      </c>
      <c r="L71" s="322">
        <f>(100%-$D71)*'INGRESO A PS DE CA'!L71</f>
        <v>7.0252559999999988</v>
      </c>
      <c r="M71" s="322">
        <f>(100%-$D71)*'INGRESO A PS DE CA'!M71</f>
        <v>7.1190447999999993</v>
      </c>
      <c r="N71" s="322">
        <f>(100%-$D71)*'INGRESO A PS DE CA'!N71</f>
        <v>7.2143176000000002</v>
      </c>
      <c r="O71" s="322">
        <f>(100%-$D71)*'INGRESO A PS DE CA'!O71</f>
        <v>7.3113712</v>
      </c>
      <c r="P71" s="322">
        <f>(100%-$D71)*'INGRESO A PS DE CA'!P71</f>
        <v>7.4099088000000011</v>
      </c>
      <c r="Q71" s="322">
        <f>(100%-$D71)*'INGRESO A PS DE CA'!Q71</f>
        <v>7.5099304000000009</v>
      </c>
      <c r="R71" s="322">
        <f>(100%-$D71)*'INGRESO A PS DE CA'!R71</f>
        <v>7.6114360000000012</v>
      </c>
      <c r="S71" s="322">
        <f>(100%-$D71)*'INGRESO A PS DE CA'!S71</f>
        <v>7.7150192000000004</v>
      </c>
      <c r="T71" s="322">
        <f>(100%-$D71)*'INGRESO A PS DE CA'!T71</f>
        <v>7.8200864000000001</v>
      </c>
      <c r="U71" s="322">
        <f>(100%-$D71)*'INGRESO A PS DE CA'!U71</f>
        <v>7.9266376000000012</v>
      </c>
      <c r="V71" s="322">
        <f>(100%-$D71)*'INGRESO A PS DE CA'!V71</f>
        <v>8.0352664000000011</v>
      </c>
      <c r="W71" s="322">
        <f>(100%-$D71)*'INGRESO A PS DE CA'!W71</f>
        <v>8.1453792000000007</v>
      </c>
      <c r="X71" s="322">
        <f>(100%-$D71)*'INGRESO A PS DE CA'!X71</f>
        <v>8.2575696000000001</v>
      </c>
      <c r="Y71" s="322">
        <f>(100%-$D71)*'INGRESO A PS DE CA'!Y71</f>
        <v>8.3715408</v>
      </c>
      <c r="Z71" s="322">
        <f>(100%-$D71)*'INGRESO A PS DE CA'!Z71</f>
        <v>8.4872928000000005</v>
      </c>
    </row>
    <row r="72" spans="1:26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20">
        <v>0.2</v>
      </c>
      <c r="E72" s="278"/>
      <c r="F72" s="263"/>
      <c r="G72" s="322">
        <f>(100%-$D72)*'INGRESO A PS DE CA'!G72</f>
        <v>6.8609920000000005E-2</v>
      </c>
      <c r="H72" s="322">
        <f>(100%-$D72)*'INGRESO A PS DE CA'!H72</f>
        <v>0.55553280000000016</v>
      </c>
      <c r="I72" s="322">
        <f>(100%-$D72)*'INGRESO A PS DE CA'!I72</f>
        <v>1.0540992</v>
      </c>
      <c r="J72" s="322">
        <f>(100%-$D72)*'INGRESO A PS DE CA'!J72</f>
        <v>1.7776240000000003</v>
      </c>
      <c r="K72" s="322">
        <f>(100%-$D72)*'INGRESO A PS DE CA'!K72</f>
        <v>2.5177823999999998</v>
      </c>
      <c r="L72" s="322">
        <f>(100%-$D72)*'INGRESO A PS DE CA'!L72</f>
        <v>2.5564223999999998</v>
      </c>
      <c r="M72" s="322">
        <f>(100%-$D72)*'INGRESO A PS DE CA'!M72</f>
        <v>2.5953200000000001</v>
      </c>
      <c r="N72" s="322">
        <f>(100%-$D72)*'INGRESO A PS DE CA'!N72</f>
        <v>2.6339600000000001</v>
      </c>
      <c r="O72" s="322">
        <f>(100%-$D72)*'INGRESO A PS DE CA'!O72</f>
        <v>2.6726000000000001</v>
      </c>
      <c r="P72" s="322">
        <f>(100%-$D72)*'INGRESO A PS DE CA'!P72</f>
        <v>2.7114976</v>
      </c>
      <c r="Q72" s="322">
        <f>(100%-$D72)*'INGRESO A PS DE CA'!Q72</f>
        <v>2.7501376000000004</v>
      </c>
      <c r="R72" s="322">
        <f>(100%-$D72)*'INGRESO A PS DE CA'!R72</f>
        <v>2.7887776</v>
      </c>
      <c r="S72" s="322">
        <f>(100%-$D72)*'INGRESO A PS DE CA'!S72</f>
        <v>2.8274176</v>
      </c>
      <c r="T72" s="322">
        <f>(100%-$D72)*'INGRESO A PS DE CA'!T72</f>
        <v>2.8663152000000003</v>
      </c>
      <c r="U72" s="322">
        <f>(100%-$D72)*'INGRESO A PS DE CA'!U72</f>
        <v>2.9049551999999998</v>
      </c>
      <c r="V72" s="322">
        <f>(100%-$D72)*'INGRESO A PS DE CA'!V72</f>
        <v>2.9435952000000003</v>
      </c>
      <c r="W72" s="322">
        <f>(100%-$D72)*'INGRESO A PS DE CA'!W72</f>
        <v>2.9824927999999997</v>
      </c>
      <c r="X72" s="322">
        <f>(100%-$D72)*'INGRESO A PS DE CA'!X72</f>
        <v>3.0211327999999997</v>
      </c>
      <c r="Y72" s="322">
        <f>(100%-$D72)*'INGRESO A PS DE CA'!Y72</f>
        <v>3.0597728000000002</v>
      </c>
      <c r="Z72" s="322">
        <f>(100%-$D72)*'INGRESO A PS DE CA'!Z72</f>
        <v>3.0986703999999996</v>
      </c>
    </row>
    <row r="73" spans="1:26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20">
        <v>0.2</v>
      </c>
      <c r="E73" s="278"/>
      <c r="F73" s="263"/>
      <c r="G73" s="322">
        <f>(100%-$D73)*'INGRESO A PS DE CA'!G73</f>
        <v>0.10537312000000001</v>
      </c>
      <c r="H73" s="322">
        <f>(100%-$D73)*'INGRESO A PS DE CA'!H73</f>
        <v>0.85387776000000004</v>
      </c>
      <c r="I73" s="322">
        <f>(100%-$D73)*'INGRESO A PS DE CA'!I73</f>
        <v>1.6214448000000001</v>
      </c>
      <c r="J73" s="322">
        <f>(100%-$D73)*'INGRESO A PS DE CA'!J73</f>
        <v>2.7366320000000002</v>
      </c>
      <c r="K73" s="322">
        <f>(100%-$D73)*'INGRESO A PS DE CA'!K73</f>
        <v>3.8789408000000005</v>
      </c>
      <c r="L73" s="322">
        <f>(100%-$D73)*'INGRESO A PS DE CA'!L73</f>
        <v>3.9265968000000004</v>
      </c>
      <c r="M73" s="322">
        <f>(100%-$D73)*'INGRESO A PS DE CA'!M73</f>
        <v>3.9742528000000004</v>
      </c>
      <c r="N73" s="322">
        <f>(100%-$D73)*'INGRESO A PS DE CA'!N73</f>
        <v>4.0219088000000003</v>
      </c>
      <c r="O73" s="322">
        <f>(100%-$D73)*'INGRESO A PS DE CA'!O73</f>
        <v>4.0695648000000002</v>
      </c>
      <c r="P73" s="322">
        <f>(100%-$D73)*'INGRESO A PS DE CA'!P73</f>
        <v>4.1172208000000001</v>
      </c>
      <c r="Q73" s="322">
        <f>(100%-$D73)*'INGRESO A PS DE CA'!Q73</f>
        <v>4.1648768</v>
      </c>
      <c r="R73" s="322">
        <f>(100%-$D73)*'INGRESO A PS DE CA'!R73</f>
        <v>4.2127904000000003</v>
      </c>
      <c r="S73" s="322">
        <f>(100%-$D73)*'INGRESO A PS DE CA'!S73</f>
        <v>4.2604464000000002</v>
      </c>
      <c r="T73" s="322">
        <f>(100%-$D73)*'INGRESO A PS DE CA'!T73</f>
        <v>4.3081024000000001</v>
      </c>
      <c r="U73" s="322">
        <f>(100%-$D73)*'INGRESO A PS DE CA'!U73</f>
        <v>4.3557584</v>
      </c>
      <c r="V73" s="322">
        <f>(100%-$D73)*'INGRESO A PS DE CA'!V73</f>
        <v>4.4034144000000008</v>
      </c>
      <c r="W73" s="322">
        <f>(100%-$D73)*'INGRESO A PS DE CA'!W73</f>
        <v>4.4510703999999999</v>
      </c>
      <c r="X73" s="322">
        <f>(100%-$D73)*'INGRESO A PS DE CA'!X73</f>
        <v>4.4987264000000007</v>
      </c>
      <c r="Y73" s="322">
        <f>(100%-$D73)*'INGRESO A PS DE CA'!Y73</f>
        <v>4.5466399999999991</v>
      </c>
      <c r="Z73" s="322">
        <f>(100%-$D73)*'INGRESO A PS DE CA'!Z73</f>
        <v>4.5942959999999999</v>
      </c>
    </row>
    <row r="74" spans="1:26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20">
        <v>0.2</v>
      </c>
      <c r="E74" s="278"/>
      <c r="F74" s="263"/>
      <c r="G74" s="322">
        <f>(100%-$D74)*'INGRESO A PS DE CA'!G74</f>
        <v>1.9746880000000001E-2</v>
      </c>
      <c r="H74" s="322">
        <f>(100%-$D74)*'INGRESO A PS DE CA'!H74</f>
        <v>0.16180224000000001</v>
      </c>
      <c r="I74" s="322">
        <f>(100%-$D74)*'INGRESO A PS DE CA'!I74</f>
        <v>0.31066560000000004</v>
      </c>
      <c r="J74" s="322">
        <f>(100%-$D74)*'INGRESO A PS DE CA'!J74</f>
        <v>0.53047200000000005</v>
      </c>
      <c r="K74" s="322">
        <f>(100%-$D74)*'INGRESO A PS DE CA'!K74</f>
        <v>0.76069280000000006</v>
      </c>
      <c r="L74" s="322">
        <f>(100%-$D74)*'INGRESO A PS DE CA'!L74</f>
        <v>0.77923999999999993</v>
      </c>
      <c r="M74" s="322">
        <f>(100%-$D74)*'INGRESO A PS DE CA'!M74</f>
        <v>0.7980448</v>
      </c>
      <c r="N74" s="322">
        <f>(100%-$D74)*'INGRESO A PS DE CA'!N74</f>
        <v>0.8173648</v>
      </c>
      <c r="O74" s="322">
        <f>(100%-$D74)*'INGRESO A PS DE CA'!O74</f>
        <v>0.83745760000000002</v>
      </c>
      <c r="P74" s="322">
        <f>(100%-$D74)*'INGRESO A PS DE CA'!P74</f>
        <v>0.85780800000000001</v>
      </c>
      <c r="Q74" s="322">
        <f>(100%-$D74)*'INGRESO A PS DE CA'!Q74</f>
        <v>0.87841600000000009</v>
      </c>
      <c r="R74" s="322">
        <f>(100%-$D74)*'INGRESO A PS DE CA'!R74</f>
        <v>0.89979679999999984</v>
      </c>
      <c r="S74" s="322">
        <f>(100%-$D74)*'INGRESO A PS DE CA'!S74</f>
        <v>0.92169279999999998</v>
      </c>
      <c r="T74" s="322">
        <f>(100%-$D74)*'INGRESO A PS DE CA'!T74</f>
        <v>0.94410400000000017</v>
      </c>
      <c r="U74" s="322">
        <f>(100%-$D74)*'INGRESO A PS DE CA'!U74</f>
        <v>0.96703040000000007</v>
      </c>
      <c r="V74" s="322">
        <f>(100%-$D74)*'INGRESO A PS DE CA'!V74</f>
        <v>0.99047200000000002</v>
      </c>
      <c r="W74" s="322">
        <f>(100%-$D74)*'INGRESO A PS DE CA'!W74</f>
        <v>1.0146864000000002</v>
      </c>
      <c r="X74" s="322">
        <f>(100%-$D74)*'INGRESO A PS DE CA'!X74</f>
        <v>1.0391584</v>
      </c>
      <c r="Y74" s="322">
        <f>(100%-$D74)*'INGRESO A PS DE CA'!Y74</f>
        <v>1.0644031999999999</v>
      </c>
      <c r="Z74" s="322">
        <f>(100%-$D74)*'INGRESO A PS DE CA'!Z74</f>
        <v>1.0904208000000002</v>
      </c>
    </row>
    <row r="75" spans="1:26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20">
        <v>0.2</v>
      </c>
      <c r="E75" s="278"/>
      <c r="F75" s="263"/>
      <c r="G75" s="322">
        <f>(100%-$D75)*'INGRESO A PS DE CA'!G75</f>
        <v>7.6897280000000012E-2</v>
      </c>
      <c r="H75" s="322">
        <f>(100%-$D75)*'INGRESO A PS DE CA'!H75</f>
        <v>0.62560000000000004</v>
      </c>
      <c r="I75" s="322">
        <f>(100%-$D75)*'INGRESO A PS DE CA'!I75</f>
        <v>1.1925408</v>
      </c>
      <c r="J75" s="322">
        <f>(100%-$D75)*'INGRESO A PS DE CA'!J75</f>
        <v>2.0201360000000004</v>
      </c>
      <c r="K75" s="322">
        <f>(100%-$D75)*'INGRESO A PS DE CA'!K75</f>
        <v>2.8737855999999997</v>
      </c>
      <c r="L75" s="322">
        <f>(100%-$D75)*'INGRESO A PS DE CA'!L75</f>
        <v>2.9299423999999998</v>
      </c>
      <c r="M75" s="322">
        <f>(100%-$D75)*'INGRESO A PS DE CA'!M75</f>
        <v>2.9858416000000005</v>
      </c>
      <c r="N75" s="322">
        <f>(100%-$D75)*'INGRESO A PS DE CA'!N75</f>
        <v>3.0417407999999999</v>
      </c>
      <c r="O75" s="322">
        <f>(100%-$D75)*'INGRESO A PS DE CA'!O75</f>
        <v>3.0978975999999996</v>
      </c>
      <c r="P75" s="322">
        <f>(100%-$D75)*'INGRESO A PS DE CA'!P75</f>
        <v>3.1537968000000003</v>
      </c>
      <c r="Q75" s="322">
        <f>(100%-$D75)*'INGRESO A PS DE CA'!Q75</f>
        <v>3.2099536000000004</v>
      </c>
      <c r="R75" s="322">
        <f>(100%-$D75)*'INGRESO A PS DE CA'!R75</f>
        <v>3.2658527999999998</v>
      </c>
      <c r="S75" s="322">
        <f>(100%-$D75)*'INGRESO A PS DE CA'!S75</f>
        <v>3.3220095999999999</v>
      </c>
      <c r="T75" s="322">
        <f>(100%-$D75)*'INGRESO A PS DE CA'!T75</f>
        <v>3.3779088000000002</v>
      </c>
      <c r="U75" s="322">
        <f>(100%-$D75)*'INGRESO A PS DE CA'!U75</f>
        <v>3.4340656000000003</v>
      </c>
      <c r="V75" s="322">
        <f>(100%-$D75)*'INGRESO A PS DE CA'!V75</f>
        <v>3.4899648000000001</v>
      </c>
      <c r="W75" s="322">
        <f>(100%-$D75)*'INGRESO A PS DE CA'!W75</f>
        <v>3.5461216000000002</v>
      </c>
      <c r="X75" s="322">
        <f>(100%-$D75)*'INGRESO A PS DE CA'!X75</f>
        <v>3.6020208000000005</v>
      </c>
      <c r="Y75" s="322">
        <f>(100%-$D75)*'INGRESO A PS DE CA'!Y75</f>
        <v>3.6579200000000003</v>
      </c>
      <c r="Z75" s="322">
        <f>(100%-$D75)*'INGRESO A PS DE CA'!Z75</f>
        <v>3.7140768000000004</v>
      </c>
    </row>
    <row r="76" spans="1:26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20">
        <v>0.2</v>
      </c>
      <c r="E76" s="278"/>
      <c r="F76" s="263"/>
      <c r="G76" s="322">
        <f>(100%-$D76)*'INGRESO A PS DE CA'!G76</f>
        <v>5.3485120000000011E-2</v>
      </c>
      <c r="H76" s="322">
        <f>(100%-$D76)*'INGRESO A PS DE CA'!H76</f>
        <v>0.43047168000000008</v>
      </c>
      <c r="I76" s="322">
        <f>(100%-$D76)*'INGRESO A PS DE CA'!I76</f>
        <v>0.81199200000000005</v>
      </c>
      <c r="J76" s="322">
        <f>(100%-$D76)*'INGRESO A PS DE CA'!J76</f>
        <v>1.3616000000000001</v>
      </c>
      <c r="K76" s="322">
        <f>(100%-$D76)*'INGRESO A PS DE CA'!K76</f>
        <v>1.9175743999999999</v>
      </c>
      <c r="L76" s="322">
        <f>(100%-$D76)*'INGRESO A PS DE CA'!L76</f>
        <v>1.9291663999999997</v>
      </c>
      <c r="M76" s="322">
        <f>(100%-$D76)*'INGRESO A PS DE CA'!M76</f>
        <v>1.9405007999999999</v>
      </c>
      <c r="N76" s="322">
        <f>(100%-$D76)*'INGRESO A PS DE CA'!N76</f>
        <v>1.9518352000000001</v>
      </c>
      <c r="O76" s="322">
        <f>(100%-$D76)*'INGRESO A PS DE CA'!O76</f>
        <v>1.9634271999999999</v>
      </c>
      <c r="P76" s="322">
        <f>(100%-$D76)*'INGRESO A PS DE CA'!P76</f>
        <v>1.9747615999999999</v>
      </c>
      <c r="Q76" s="322">
        <f>(100%-$D76)*'INGRESO A PS DE CA'!Q76</f>
        <v>1.9863536000000002</v>
      </c>
      <c r="R76" s="322">
        <f>(100%-$D76)*'INGRESO A PS DE CA'!R76</f>
        <v>1.9976880000000001</v>
      </c>
      <c r="S76" s="322">
        <f>(100%-$D76)*'INGRESO A PS DE CA'!S76</f>
        <v>2.0090224000000001</v>
      </c>
      <c r="T76" s="322">
        <f>(100%-$D76)*'INGRESO A PS DE CA'!T76</f>
        <v>2.0206144000000004</v>
      </c>
      <c r="U76" s="322">
        <f>(100%-$D76)*'INGRESO A PS DE CA'!U76</f>
        <v>2.0319487999999999</v>
      </c>
      <c r="V76" s="322">
        <f>(100%-$D76)*'INGRESO A PS DE CA'!V76</f>
        <v>2.0435408000000002</v>
      </c>
      <c r="W76" s="322">
        <f>(100%-$D76)*'INGRESO A PS DE CA'!W76</f>
        <v>2.0548752000000001</v>
      </c>
      <c r="X76" s="322">
        <f>(100%-$D76)*'INGRESO A PS DE CA'!X76</f>
        <v>2.0664671999999999</v>
      </c>
      <c r="Y76" s="322">
        <f>(100%-$D76)*'INGRESO A PS DE CA'!Y76</f>
        <v>2.0778016000000004</v>
      </c>
      <c r="Z76" s="322">
        <f>(100%-$D76)*'INGRESO A PS DE CA'!Z76</f>
        <v>2.0891360000000003</v>
      </c>
    </row>
    <row r="77" spans="1:26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20">
        <v>0.2</v>
      </c>
      <c r="E77" s="278"/>
      <c r="F77" s="263"/>
      <c r="G77" s="322">
        <f>(100%-$D77)*'INGRESO A PS DE CA'!G77</f>
        <v>8.5851741600000011</v>
      </c>
      <c r="H77" s="322">
        <f>(100%-$D77)*'INGRESO A PS DE CA'!H77</f>
        <v>69.219133439999993</v>
      </c>
      <c r="I77" s="322">
        <f>(100%-$D77)*'INGRESO A PS DE CA'!I77</f>
        <v>130.8024288</v>
      </c>
      <c r="J77" s="322">
        <f>(100%-$D77)*'INGRESO A PS DE CA'!J77</f>
        <v>219.711276</v>
      </c>
      <c r="K77" s="322">
        <f>(100%-$D77)*'INGRESO A PS DE CA'!K77</f>
        <v>310.00485600000002</v>
      </c>
      <c r="L77" s="322">
        <f>(100%-$D77)*'INGRESO A PS DE CA'!L77</f>
        <v>312.43287600000002</v>
      </c>
      <c r="M77" s="322">
        <f>(100%-$D77)*'INGRESO A PS DE CA'!M77</f>
        <v>314.87945159999998</v>
      </c>
      <c r="N77" s="322">
        <f>(100%-$D77)*'INGRESO A PS DE CA'!N77</f>
        <v>317.34576719999995</v>
      </c>
      <c r="O77" s="322">
        <f>(100%-$D77)*'INGRESO A PS DE CA'!O77</f>
        <v>319.83103320000004</v>
      </c>
      <c r="P77" s="322">
        <f>(100%-$D77)*'INGRESO A PS DE CA'!P77</f>
        <v>322.33564440000004</v>
      </c>
      <c r="Q77" s="322">
        <f>(100%-$D77)*'INGRESO A PS DE CA'!Q77</f>
        <v>324.85999559999999</v>
      </c>
      <c r="R77" s="322">
        <f>(100%-$D77)*'INGRESO A PS DE CA'!R77</f>
        <v>327.40408679999996</v>
      </c>
      <c r="S77" s="322">
        <f>(100%-$D77)*'INGRESO A PS DE CA'!S77</f>
        <v>329.96831280000004</v>
      </c>
      <c r="T77" s="322">
        <f>(100%-$D77)*'INGRESO A PS DE CA'!T77</f>
        <v>332.55227880000001</v>
      </c>
      <c r="U77" s="322">
        <f>(100%-$D77)*'INGRESO A PS DE CA'!U77</f>
        <v>335.15677440000002</v>
      </c>
      <c r="V77" s="322">
        <f>(100%-$D77)*'INGRESO A PS DE CA'!V77</f>
        <v>337.78140480000002</v>
      </c>
      <c r="W77" s="322">
        <f>(100%-$D77)*'INGRESO A PS DE CA'!W77</f>
        <v>340.42695959999998</v>
      </c>
      <c r="X77" s="322">
        <f>(100%-$D77)*'INGRESO A PS DE CA'!X77</f>
        <v>343.0934388</v>
      </c>
      <c r="Y77" s="322">
        <f>(100%-$D77)*'INGRESO A PS DE CA'!Y77</f>
        <v>345.78005280000002</v>
      </c>
      <c r="Z77" s="322">
        <f>(100%-$D77)*'INGRESO A PS DE CA'!Z77</f>
        <v>348.48798600000003</v>
      </c>
    </row>
    <row r="78" spans="1:26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20">
        <v>0.2</v>
      </c>
      <c r="E78" s="278"/>
      <c r="F78" s="263"/>
      <c r="G78" s="322">
        <f>(100%-$D78)*'INGRESO A PS DE CA'!G78</f>
        <v>1.2478843200000003</v>
      </c>
      <c r="H78" s="322">
        <f>(100%-$D78)*'INGRESO A PS DE CA'!H78</f>
        <v>10.298703360000001</v>
      </c>
      <c r="I78" s="322">
        <f>(100%-$D78)*'INGRESO A PS DE CA'!I78</f>
        <v>19.911542400000002</v>
      </c>
      <c r="J78" s="322">
        <f>(100%-$D78)*'INGRESO A PS DE CA'!J78</f>
        <v>34.204884000000007</v>
      </c>
      <c r="K78" s="322">
        <f>(100%-$D78)*'INGRESO A PS DE CA'!K78</f>
        <v>49.336543200000001</v>
      </c>
      <c r="L78" s="322">
        <f>(100%-$D78)*'INGRESO A PS DE CA'!L78</f>
        <v>50.809667999999995</v>
      </c>
      <c r="M78" s="322">
        <f>(100%-$D78)*'INGRESO A PS DE CA'!M78</f>
        <v>52.307068799999996</v>
      </c>
      <c r="N78" s="322">
        <f>(100%-$D78)*'INGRESO A PS DE CA'!N78</f>
        <v>53.829031200000003</v>
      </c>
      <c r="O78" s="322">
        <f>(100%-$D78)*'INGRESO A PS DE CA'!O78</f>
        <v>55.375555200000001</v>
      </c>
      <c r="P78" s="322">
        <f>(100%-$D78)*'INGRESO A PS DE CA'!P78</f>
        <v>56.947212000000007</v>
      </c>
      <c r="Q78" s="322">
        <f>(100%-$D78)*'INGRESO A PS DE CA'!Q78</f>
        <v>58.544858399999988</v>
      </c>
      <c r="R78" s="322">
        <f>(100%-$D78)*'INGRESO A PS DE CA'!R78</f>
        <v>60.168208799999995</v>
      </c>
      <c r="S78" s="322">
        <f>(100%-$D78)*'INGRESO A PS DE CA'!S78</f>
        <v>61.818405599999998</v>
      </c>
      <c r="T78" s="322">
        <f>(100%-$D78)*'INGRESO A PS DE CA'!T78</f>
        <v>63.495163199999993</v>
      </c>
      <c r="U78" s="322">
        <f>(100%-$D78)*'INGRESO A PS DE CA'!U78</f>
        <v>65.199624000000014</v>
      </c>
      <c r="V78" s="322">
        <f>(100%-$D78)*'INGRESO A PS DE CA'!V78</f>
        <v>66.931787999999997</v>
      </c>
      <c r="W78" s="322">
        <f>(100%-$D78)*'INGRESO A PS DE CA'!W78</f>
        <v>68.691940799999998</v>
      </c>
      <c r="X78" s="322">
        <f>(100%-$D78)*'INGRESO A PS DE CA'!X78</f>
        <v>70.480939200000009</v>
      </c>
      <c r="Y78" s="322">
        <f>(100%-$D78)*'INGRESO A PS DE CA'!Y78</f>
        <v>72.299354399999999</v>
      </c>
      <c r="Z78" s="322">
        <f>(100%-$D78)*'INGRESO A PS DE CA'!Z78</f>
        <v>74.147186399999995</v>
      </c>
    </row>
    <row r="79" spans="1:26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20">
        <v>0.2</v>
      </c>
      <c r="E79" s="278"/>
      <c r="F79" s="263"/>
      <c r="G79" s="322">
        <f>(100%-$D79)*'INGRESO A PS DE CA'!G79</f>
        <v>0.13957232000000003</v>
      </c>
      <c r="H79" s="322">
        <f>(100%-$D79)*'INGRESO A PS DE CA'!H79</f>
        <v>1.1247871999999999</v>
      </c>
      <c r="I79" s="322">
        <f>(100%-$D79)*'INGRESO A PS DE CA'!I79</f>
        <v>2.1244944000000006</v>
      </c>
      <c r="J79" s="322">
        <f>(100%-$D79)*'INGRESO A PS DE CA'!J79</f>
        <v>3.5664760000000002</v>
      </c>
      <c r="K79" s="322">
        <f>(100%-$D79)*'INGRESO A PS DE CA'!K79</f>
        <v>5.0292760000000003</v>
      </c>
      <c r="L79" s="322">
        <f>(100%-$D79)*'INGRESO A PS DE CA'!L79</f>
        <v>5.0651887999999996</v>
      </c>
      <c r="M79" s="322">
        <f>(100%-$D79)*'INGRESO A PS DE CA'!M79</f>
        <v>5.1013984000000008</v>
      </c>
      <c r="N79" s="322">
        <f>(100%-$D79)*'INGRESO A PS DE CA'!N79</f>
        <v>5.137311200000001</v>
      </c>
      <c r="O79" s="322">
        <f>(100%-$D79)*'INGRESO A PS DE CA'!O79</f>
        <v>5.1732240000000003</v>
      </c>
      <c r="P79" s="322">
        <f>(100%-$D79)*'INGRESO A PS DE CA'!P79</f>
        <v>5.2094336000000006</v>
      </c>
      <c r="Q79" s="322">
        <f>(100%-$D79)*'INGRESO A PS DE CA'!Q79</f>
        <v>5.2453463999999999</v>
      </c>
      <c r="R79" s="322">
        <f>(100%-$D79)*'INGRESO A PS DE CA'!R79</f>
        <v>5.2815560000000001</v>
      </c>
      <c r="S79" s="322">
        <f>(100%-$D79)*'INGRESO A PS DE CA'!S79</f>
        <v>5.3174688000000003</v>
      </c>
      <c r="T79" s="322">
        <f>(100%-$D79)*'INGRESO A PS DE CA'!T79</f>
        <v>5.3536783999999997</v>
      </c>
      <c r="U79" s="322">
        <f>(100%-$D79)*'INGRESO A PS DE CA'!U79</f>
        <v>5.3895912000000008</v>
      </c>
      <c r="V79" s="322">
        <f>(100%-$D79)*'INGRESO A PS DE CA'!V79</f>
        <v>5.4255040000000001</v>
      </c>
      <c r="W79" s="322">
        <f>(100%-$D79)*'INGRESO A PS DE CA'!W79</f>
        <v>5.4617136000000004</v>
      </c>
      <c r="X79" s="322">
        <f>(100%-$D79)*'INGRESO A PS DE CA'!X79</f>
        <v>5.4976264000000006</v>
      </c>
      <c r="Y79" s="322">
        <f>(100%-$D79)*'INGRESO A PS DE CA'!Y79</f>
        <v>5.533836</v>
      </c>
      <c r="Z79" s="322">
        <f>(100%-$D79)*'INGRESO A PS DE CA'!Z79</f>
        <v>5.5697488000000011</v>
      </c>
    </row>
    <row r="80" spans="1:26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20">
        <v>0.2</v>
      </c>
      <c r="E80" s="278"/>
      <c r="F80" s="263"/>
      <c r="G80" s="322">
        <f>(100%-$D80)*'INGRESO A PS DE CA'!G80</f>
        <v>0.19053712</v>
      </c>
      <c r="H80" s="322">
        <f>(100%-$D80)*'INGRESO A PS DE CA'!H80</f>
        <v>1.5441062400000003</v>
      </c>
      <c r="I80" s="322">
        <f>(100%-$D80)*'INGRESO A PS DE CA'!I80</f>
        <v>2.9328504000000004</v>
      </c>
      <c r="J80" s="322">
        <f>(100%-$D80)*'INGRESO A PS DE CA'!J80</f>
        <v>4.9514720000000008</v>
      </c>
      <c r="K80" s="322">
        <f>(100%-$D80)*'INGRESO A PS DE CA'!K80</f>
        <v>7.0222880000000005</v>
      </c>
      <c r="L80" s="322">
        <f>(100%-$D80)*'INGRESO A PS DE CA'!L80</f>
        <v>7.1134056000000001</v>
      </c>
      <c r="M80" s="322">
        <f>(100%-$D80)*'INGRESO A PS DE CA'!M80</f>
        <v>7.2060071999999993</v>
      </c>
      <c r="N80" s="322">
        <f>(100%-$D80)*'INGRESO A PS DE CA'!N80</f>
        <v>7.2994992000000014</v>
      </c>
      <c r="O80" s="322">
        <f>(100%-$D80)*'INGRESO A PS DE CA'!O80</f>
        <v>7.3944751999999996</v>
      </c>
      <c r="P80" s="322">
        <f>(100%-$D80)*'INGRESO A PS DE CA'!P80</f>
        <v>7.4906384000000008</v>
      </c>
      <c r="Q80" s="322">
        <f>(100%-$D80)*'INGRESO A PS DE CA'!Q80</f>
        <v>7.5879888000000015</v>
      </c>
      <c r="R80" s="322">
        <f>(100%-$D80)*'INGRESO A PS DE CA'!R80</f>
        <v>7.6865264</v>
      </c>
      <c r="S80" s="322">
        <f>(100%-$D80)*'INGRESO A PS DE CA'!S80</f>
        <v>7.7865479999999998</v>
      </c>
      <c r="T80" s="322">
        <f>(100%-$D80)*'INGRESO A PS DE CA'!T80</f>
        <v>7.8877568</v>
      </c>
      <c r="U80" s="322">
        <f>(100%-$D80)*'INGRESO A PS DE CA'!U80</f>
        <v>7.9901528000000006</v>
      </c>
      <c r="V80" s="322">
        <f>(100%-$D80)*'INGRESO A PS DE CA'!V80</f>
        <v>8.094032799999999</v>
      </c>
      <c r="W80" s="322">
        <f>(100%-$D80)*'INGRESO A PS DE CA'!W80</f>
        <v>8.1990999999999996</v>
      </c>
      <c r="X80" s="322">
        <f>(100%-$D80)*'INGRESO A PS DE CA'!X80</f>
        <v>8.3056511999999998</v>
      </c>
      <c r="Y80" s="322">
        <f>(100%-$D80)*'INGRESO A PS DE CA'!Y80</f>
        <v>8.4136864000000013</v>
      </c>
      <c r="Z80" s="322">
        <f>(100%-$D80)*'INGRESO A PS DE CA'!Z80</f>
        <v>8.5229088000000015</v>
      </c>
    </row>
    <row r="81" spans="1:26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20">
        <v>0.2</v>
      </c>
      <c r="E81" s="278"/>
      <c r="F81" s="263"/>
      <c r="G81" s="322">
        <f>(100%-$D81)*'INGRESO A PS DE CA'!G81</f>
        <v>2.1388160000000003E-2</v>
      </c>
      <c r="H81" s="322">
        <f>(100%-$D81)*'INGRESO A PS DE CA'!H81</f>
        <v>0.17145856000000004</v>
      </c>
      <c r="I81" s="322">
        <f>(100%-$D81)*'INGRESO A PS DE CA'!I81</f>
        <v>0.32203680000000007</v>
      </c>
      <c r="J81" s="322">
        <f>(100%-$D81)*'INGRESO A PS DE CA'!J81</f>
        <v>0.53783200000000009</v>
      </c>
      <c r="K81" s="322">
        <f>(100%-$D81)*'INGRESO A PS DE CA'!K81</f>
        <v>0.75451040000000003</v>
      </c>
      <c r="L81" s="322">
        <f>(100%-$D81)*'INGRESO A PS DE CA'!L81</f>
        <v>0.75605600000000006</v>
      </c>
      <c r="M81" s="322">
        <f>(100%-$D81)*'INGRESO A PS DE CA'!M81</f>
        <v>0.75734400000000002</v>
      </c>
      <c r="N81" s="322">
        <f>(100%-$D81)*'INGRESO A PS DE CA'!N81</f>
        <v>0.75888960000000005</v>
      </c>
      <c r="O81" s="322">
        <f>(100%-$D81)*'INGRESO A PS DE CA'!O81</f>
        <v>0.76043519999999998</v>
      </c>
      <c r="P81" s="322">
        <f>(100%-$D81)*'INGRESO A PS DE CA'!P81</f>
        <v>0.76172320000000004</v>
      </c>
      <c r="Q81" s="322">
        <f>(100%-$D81)*'INGRESO A PS DE CA'!Q81</f>
        <v>0.76326880000000008</v>
      </c>
      <c r="R81" s="322">
        <f>(100%-$D81)*'INGRESO A PS DE CA'!R81</f>
        <v>0.76481440000000001</v>
      </c>
      <c r="S81" s="322">
        <f>(100%-$D81)*'INGRESO A PS DE CA'!S81</f>
        <v>0.76636000000000004</v>
      </c>
      <c r="T81" s="322">
        <f>(100%-$D81)*'INGRESO A PS DE CA'!T81</f>
        <v>0.767648</v>
      </c>
      <c r="U81" s="322">
        <f>(100%-$D81)*'INGRESO A PS DE CA'!U81</f>
        <v>0.76919360000000003</v>
      </c>
      <c r="V81" s="322">
        <f>(100%-$D81)*'INGRESO A PS DE CA'!V81</f>
        <v>0.77073920000000007</v>
      </c>
      <c r="W81" s="322">
        <f>(100%-$D81)*'INGRESO A PS DE CA'!W81</f>
        <v>0.77228479999999999</v>
      </c>
      <c r="X81" s="322">
        <f>(100%-$D81)*'INGRESO A PS DE CA'!X81</f>
        <v>0.77357280000000006</v>
      </c>
      <c r="Y81" s="322">
        <f>(100%-$D81)*'INGRESO A PS DE CA'!Y81</f>
        <v>0.7751184000000001</v>
      </c>
      <c r="Z81" s="322">
        <f>(100%-$D81)*'INGRESO A PS DE CA'!Z81</f>
        <v>0.77666400000000002</v>
      </c>
    </row>
    <row r="82" spans="1:26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20">
        <v>0.2</v>
      </c>
      <c r="E82" s="278"/>
      <c r="F82" s="263"/>
      <c r="G82" s="322">
        <f>(100%-$D82)*'INGRESO A PS DE CA'!G82</f>
        <v>6.9765439999999998E-2</v>
      </c>
      <c r="H82" s="322">
        <f>(100%-$D82)*'INGRESO A PS DE CA'!H82</f>
        <v>0.56136192000000007</v>
      </c>
      <c r="I82" s="322">
        <f>(100%-$D82)*'INGRESO A PS DE CA'!I82</f>
        <v>1.0586256000000001</v>
      </c>
      <c r="J82" s="322">
        <f>(100%-$D82)*'INGRESO A PS DE CA'!J82</f>
        <v>1.7744960000000001</v>
      </c>
      <c r="K82" s="322">
        <f>(100%-$D82)*'INGRESO A PS DE CA'!K82</f>
        <v>2.4987200000000001</v>
      </c>
      <c r="L82" s="322">
        <f>(100%-$D82)*'INGRESO A PS DE CA'!L82</f>
        <v>2.5131456000000005</v>
      </c>
      <c r="M82" s="322">
        <f>(100%-$D82)*'INGRESO A PS DE CA'!M82</f>
        <v>2.5275712000000006</v>
      </c>
      <c r="N82" s="322">
        <f>(100%-$D82)*'INGRESO A PS DE CA'!N82</f>
        <v>2.5422544</v>
      </c>
      <c r="O82" s="322">
        <f>(100%-$D82)*'INGRESO A PS DE CA'!O82</f>
        <v>2.5569376000000004</v>
      </c>
      <c r="P82" s="322">
        <f>(100%-$D82)*'INGRESO A PS DE CA'!P82</f>
        <v>2.5716207999999998</v>
      </c>
      <c r="Q82" s="322">
        <f>(100%-$D82)*'INGRESO A PS DE CA'!Q82</f>
        <v>2.5865616000000005</v>
      </c>
      <c r="R82" s="322">
        <f>(100%-$D82)*'INGRESO A PS DE CA'!R82</f>
        <v>2.6015023999999998</v>
      </c>
      <c r="S82" s="322">
        <f>(100%-$D82)*'INGRESO A PS DE CA'!S82</f>
        <v>2.6164432000000004</v>
      </c>
      <c r="T82" s="322">
        <f>(100%-$D82)*'INGRESO A PS DE CA'!T82</f>
        <v>2.6316416</v>
      </c>
      <c r="U82" s="322">
        <f>(100%-$D82)*'INGRESO A PS DE CA'!U82</f>
        <v>2.6468399999999996</v>
      </c>
      <c r="V82" s="322">
        <f>(100%-$D82)*'INGRESO A PS DE CA'!V82</f>
        <v>2.6620384000000001</v>
      </c>
      <c r="W82" s="322">
        <f>(100%-$D82)*'INGRESO A PS DE CA'!W82</f>
        <v>2.6774943999999996</v>
      </c>
      <c r="X82" s="322">
        <f>(100%-$D82)*'INGRESO A PS DE CA'!X82</f>
        <v>2.6929504</v>
      </c>
      <c r="Y82" s="322">
        <f>(100%-$D82)*'INGRESO A PS DE CA'!Y82</f>
        <v>2.7084064000000003</v>
      </c>
      <c r="Z82" s="322">
        <f>(100%-$D82)*'INGRESO A PS DE CA'!Z82</f>
        <v>2.7241199999999997</v>
      </c>
    </row>
    <row r="83" spans="1:26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20">
        <v>0.2</v>
      </c>
      <c r="E83" s="278"/>
      <c r="F83" s="263"/>
      <c r="G83" s="322">
        <f>(100%-$D83)*'INGRESO A PS DE CA'!G83</f>
        <v>0.80266656000000003</v>
      </c>
      <c r="H83" s="322">
        <f>(100%-$D83)*'INGRESO A PS DE CA'!H83</f>
        <v>6.4644825600000004</v>
      </c>
      <c r="I83" s="322">
        <f>(100%-$D83)*'INGRESO A PS DE CA'!I83</f>
        <v>12.201688799999999</v>
      </c>
      <c r="J83" s="322">
        <f>(100%-$D83)*'INGRESO A PS DE CA'!J83</f>
        <v>20.470788000000002</v>
      </c>
      <c r="K83" s="322">
        <f>(100%-$D83)*'INGRESO A PS DE CA'!K83</f>
        <v>28.847599199999998</v>
      </c>
      <c r="L83" s="322">
        <f>(100%-$D83)*'INGRESO A PS DE CA'!L83</f>
        <v>29.036095200000002</v>
      </c>
      <c r="M83" s="322">
        <f>(100%-$D83)*'INGRESO A PS DE CA'!M83</f>
        <v>29.224591199999999</v>
      </c>
      <c r="N83" s="322">
        <f>(100%-$D83)*'INGRESO A PS DE CA'!N83</f>
        <v>29.413087199999996</v>
      </c>
      <c r="O83" s="322">
        <f>(100%-$D83)*'INGRESO A PS DE CA'!O83</f>
        <v>29.6015832</v>
      </c>
      <c r="P83" s="322">
        <f>(100%-$D83)*'INGRESO A PS DE CA'!P83</f>
        <v>29.790079199999997</v>
      </c>
      <c r="Q83" s="322">
        <f>(100%-$D83)*'INGRESO A PS DE CA'!Q83</f>
        <v>29.978575199999995</v>
      </c>
      <c r="R83" s="322">
        <f>(100%-$D83)*'INGRESO A PS DE CA'!R83</f>
        <v>30.167071199999999</v>
      </c>
      <c r="S83" s="322">
        <f>(100%-$D83)*'INGRESO A PS DE CA'!S83</f>
        <v>30.355852799999997</v>
      </c>
      <c r="T83" s="322">
        <f>(100%-$D83)*'INGRESO A PS DE CA'!T83</f>
        <v>30.544348800000002</v>
      </c>
      <c r="U83" s="322">
        <f>(100%-$D83)*'INGRESO A PS DE CA'!U83</f>
        <v>30.732844799999999</v>
      </c>
      <c r="V83" s="322">
        <f>(100%-$D83)*'INGRESO A PS DE CA'!V83</f>
        <v>30.921340800000003</v>
      </c>
      <c r="W83" s="322">
        <f>(100%-$D83)*'INGRESO A PS DE CA'!W83</f>
        <v>31.1098368</v>
      </c>
      <c r="X83" s="322">
        <f>(100%-$D83)*'INGRESO A PS DE CA'!X83</f>
        <v>31.298332799999997</v>
      </c>
      <c r="Y83" s="322">
        <f>(100%-$D83)*'INGRESO A PS DE CA'!Y83</f>
        <v>31.486828800000001</v>
      </c>
      <c r="Z83" s="322">
        <f>(100%-$D83)*'INGRESO A PS DE CA'!Z83</f>
        <v>31.675324799999999</v>
      </c>
    </row>
    <row r="84" spans="1:26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20">
        <v>0.2</v>
      </c>
      <c r="E84" s="278"/>
      <c r="F84" s="263"/>
      <c r="G84" s="322">
        <f>(100%-$D84)*'INGRESO A PS DE CA'!G84</f>
        <v>0.81368256000000017</v>
      </c>
      <c r="H84" s="322">
        <f>(100%-$D84)*'INGRESO A PS DE CA'!H84</f>
        <v>6.6901555200000011</v>
      </c>
      <c r="I84" s="322">
        <f>(100%-$D84)*'INGRESO A PS DE CA'!I84</f>
        <v>12.8826</v>
      </c>
      <c r="J84" s="322">
        <f>(100%-$D84)*'INGRESO A PS DE CA'!J84</f>
        <v>22.035672000000002</v>
      </c>
      <c r="K84" s="322">
        <f>(100%-$D84)*'INGRESO A PS DE CA'!K84</f>
        <v>31.640196</v>
      </c>
      <c r="L84" s="322">
        <f>(100%-$D84)*'INGRESO A PS DE CA'!L84</f>
        <v>32.608665599999995</v>
      </c>
      <c r="M84" s="322">
        <f>(100%-$D84)*'INGRESO A PS DE CA'!M84</f>
        <v>33.577420799999999</v>
      </c>
      <c r="N84" s="322">
        <f>(100%-$D84)*'INGRESO A PS DE CA'!N84</f>
        <v>34.545890400000005</v>
      </c>
      <c r="O84" s="322">
        <f>(100%-$D84)*'INGRESO A PS DE CA'!O84</f>
        <v>35.514360000000003</v>
      </c>
      <c r="P84" s="322">
        <f>(100%-$D84)*'INGRESO A PS DE CA'!P84</f>
        <v>36.4831152</v>
      </c>
      <c r="Q84" s="322">
        <f>(100%-$D84)*'INGRESO A PS DE CA'!Q84</f>
        <v>37.451584799999999</v>
      </c>
      <c r="R84" s="322">
        <f>(100%-$D84)*'INGRESO A PS DE CA'!R84</f>
        <v>38.420339999999996</v>
      </c>
      <c r="S84" s="322">
        <f>(100%-$D84)*'INGRESO A PS DE CA'!S84</f>
        <v>39.388809600000002</v>
      </c>
      <c r="T84" s="322">
        <f>(100%-$D84)*'INGRESO A PS DE CA'!T84</f>
        <v>40.357279200000008</v>
      </c>
      <c r="U84" s="322">
        <f>(100%-$D84)*'INGRESO A PS DE CA'!U84</f>
        <v>41.326034400000005</v>
      </c>
      <c r="V84" s="322">
        <f>(100%-$D84)*'INGRESO A PS DE CA'!V84</f>
        <v>42.294503999999996</v>
      </c>
      <c r="W84" s="322">
        <f>(100%-$D84)*'INGRESO A PS DE CA'!W84</f>
        <v>43.2632592</v>
      </c>
      <c r="X84" s="322">
        <f>(100%-$D84)*'INGRESO A PS DE CA'!X84</f>
        <v>44.231728799999999</v>
      </c>
      <c r="Y84" s="322">
        <f>(100%-$D84)*'INGRESO A PS DE CA'!Y84</f>
        <v>45.200483999999996</v>
      </c>
      <c r="Z84" s="322">
        <f>(100%-$D84)*'INGRESO A PS DE CA'!Z84</f>
        <v>46.168953599999995</v>
      </c>
    </row>
    <row r="85" spans="1:26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20">
        <v>0.2</v>
      </c>
      <c r="E85" s="278"/>
      <c r="F85" s="263"/>
      <c r="G85" s="322">
        <f>(100%-$D85)*'INGRESO A PS DE CA'!G85</f>
        <v>0.51802128000000003</v>
      </c>
      <c r="H85" s="322">
        <f>(100%-$D85)*'INGRESO A PS DE CA'!H85</f>
        <v>4.2194380799999998</v>
      </c>
      <c r="I85" s="322">
        <f>(100%-$D85)*'INGRESO A PS DE CA'!I85</f>
        <v>8.0523288000000015</v>
      </c>
      <c r="J85" s="322">
        <f>(100%-$D85)*'INGRESO A PS DE CA'!J85</f>
        <v>13.655555999999999</v>
      </c>
      <c r="K85" s="322">
        <f>(100%-$D85)*'INGRESO A PS DE CA'!K85</f>
        <v>19.4470752</v>
      </c>
      <c r="L85" s="322">
        <f>(100%-$D85)*'INGRESO A PS DE CA'!L85</f>
        <v>19.776086400000004</v>
      </c>
      <c r="M85" s="322">
        <f>(100%-$D85)*'INGRESO A PS DE CA'!M85</f>
        <v>20.104811999999999</v>
      </c>
      <c r="N85" s="322">
        <f>(100%-$D85)*'INGRESO A PS DE CA'!N85</f>
        <v>20.434108800000001</v>
      </c>
      <c r="O85" s="322">
        <f>(100%-$D85)*'INGRESO A PS DE CA'!O85</f>
        <v>20.763120000000001</v>
      </c>
      <c r="P85" s="322">
        <f>(100%-$D85)*'INGRESO A PS DE CA'!P85</f>
        <v>21.092131200000001</v>
      </c>
      <c r="Q85" s="322">
        <f>(100%-$D85)*'INGRESO A PS DE CA'!Q85</f>
        <v>21.421427999999999</v>
      </c>
      <c r="R85" s="322">
        <f>(100%-$D85)*'INGRESO A PS DE CA'!R85</f>
        <v>21.750153600000001</v>
      </c>
      <c r="S85" s="322">
        <f>(100%-$D85)*'INGRESO A PS DE CA'!S85</f>
        <v>22.079164800000001</v>
      </c>
      <c r="T85" s="322">
        <f>(100%-$D85)*'INGRESO A PS DE CA'!T85</f>
        <v>22.408461599999999</v>
      </c>
      <c r="U85" s="322">
        <f>(100%-$D85)*'INGRESO A PS DE CA'!U85</f>
        <v>22.737472799999999</v>
      </c>
      <c r="V85" s="322">
        <f>(100%-$D85)*'INGRESO A PS DE CA'!V85</f>
        <v>23.066484000000003</v>
      </c>
      <c r="W85" s="322">
        <f>(100%-$D85)*'INGRESO A PS DE CA'!W85</f>
        <v>23.395495199999999</v>
      </c>
      <c r="X85" s="322">
        <f>(100%-$D85)*'INGRESO A PS DE CA'!X85</f>
        <v>23.724506400000003</v>
      </c>
      <c r="Y85" s="322">
        <f>(100%-$D85)*'INGRESO A PS DE CA'!Y85</f>
        <v>24.053517599999996</v>
      </c>
      <c r="Z85" s="322">
        <f>(100%-$D85)*'INGRESO A PS DE CA'!Z85</f>
        <v>24.382814400000001</v>
      </c>
    </row>
    <row r="86" spans="1:26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20">
        <v>0.2</v>
      </c>
      <c r="E86" s="278"/>
      <c r="F86" s="263"/>
      <c r="G86" s="322">
        <f>(100%-$D86)*'INGRESO A PS DE CA'!G86</f>
        <v>8.6733612000000004</v>
      </c>
      <c r="H86" s="322">
        <f>(100%-$D86)*'INGRESO A PS DE CA'!H86</f>
        <v>70.165931520000001</v>
      </c>
      <c r="I86" s="322">
        <f>(100%-$D86)*'INGRESO A PS DE CA'!I86</f>
        <v>133.03806839999999</v>
      </c>
      <c r="J86" s="322">
        <f>(100%-$D86)*'INGRESO A PS DE CA'!J86</f>
        <v>224.21961000000002</v>
      </c>
      <c r="K86" s="322">
        <f>(100%-$D86)*'INGRESO A PS DE CA'!K86</f>
        <v>317.43143880000002</v>
      </c>
      <c r="L86" s="322">
        <f>(100%-$D86)*'INGRESO A PS DE CA'!L86</f>
        <v>320.99529840000002</v>
      </c>
      <c r="M86" s="322">
        <f>(100%-$D86)*'INGRESO A PS DE CA'!M86</f>
        <v>324.59903280000003</v>
      </c>
      <c r="N86" s="322">
        <f>(100%-$D86)*'INGRESO A PS DE CA'!N86</f>
        <v>328.24343160000001</v>
      </c>
      <c r="O86" s="322">
        <f>(100%-$D86)*'INGRESO A PS DE CA'!O86</f>
        <v>331.92849479999995</v>
      </c>
      <c r="P86" s="322">
        <f>(100%-$D86)*'INGRESO A PS DE CA'!P86</f>
        <v>335.65501199999994</v>
      </c>
      <c r="Q86" s="322">
        <f>(100%-$D86)*'INGRESO A PS DE CA'!Q86</f>
        <v>339.42337799999996</v>
      </c>
      <c r="R86" s="322">
        <f>(100%-$D86)*'INGRESO A PS DE CA'!R86</f>
        <v>343.23398759999998</v>
      </c>
      <c r="S86" s="322">
        <f>(100%-$D86)*'INGRESO A PS DE CA'!S86</f>
        <v>347.08723559999999</v>
      </c>
      <c r="T86" s="322">
        <f>(100%-$D86)*'INGRESO A PS DE CA'!T86</f>
        <v>350.9839116</v>
      </c>
      <c r="U86" s="322">
        <f>(100%-$D86)*'INGRESO A PS DE CA'!U86</f>
        <v>354.9244104</v>
      </c>
      <c r="V86" s="322">
        <f>(100%-$D86)*'INGRESO A PS DE CA'!V86</f>
        <v>358.90912679999997</v>
      </c>
      <c r="W86" s="322">
        <f>(100%-$D86)*'INGRESO A PS DE CA'!W86</f>
        <v>362.93885040000004</v>
      </c>
      <c r="X86" s="322">
        <f>(100%-$D86)*'INGRESO A PS DE CA'!X86</f>
        <v>367.0131864</v>
      </c>
      <c r="Y86" s="322">
        <f>(100%-$D86)*'INGRESO A PS DE CA'!Y86</f>
        <v>371.13371399999994</v>
      </c>
      <c r="Z86" s="322">
        <f>(100%-$D86)*'INGRESO A PS DE CA'!Z86</f>
        <v>375.30043320000004</v>
      </c>
    </row>
    <row r="87" spans="1:26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20">
        <v>0.2</v>
      </c>
      <c r="E87" s="278"/>
      <c r="F87" s="263"/>
      <c r="G87" s="322">
        <f>(100%-$D87)*'INGRESO A PS DE CA'!G87</f>
        <v>7.4718720000000002E-2</v>
      </c>
      <c r="H87" s="322">
        <f>(100%-$D87)*'INGRESO A PS DE CA'!H87</f>
        <v>0.60293120000000011</v>
      </c>
      <c r="I87" s="322">
        <f>(100%-$D87)*'INGRESO A PS DE CA'!I87</f>
        <v>1.1403215999999998</v>
      </c>
      <c r="J87" s="322">
        <f>(100%-$D87)*'INGRESO A PS DE CA'!J87</f>
        <v>1.9170960000000001</v>
      </c>
      <c r="K87" s="322">
        <f>(100%-$D87)*'INGRESO A PS DE CA'!K87</f>
        <v>2.7071184000000006</v>
      </c>
      <c r="L87" s="322">
        <f>(100%-$D87)*'INGRESO A PS DE CA'!L87</f>
        <v>2.7308176</v>
      </c>
      <c r="M87" s="322">
        <f>(100%-$D87)*'INGRESO A PS DE CA'!M87</f>
        <v>2.7545168000000007</v>
      </c>
      <c r="N87" s="322">
        <f>(100%-$D87)*'INGRESO A PS DE CA'!N87</f>
        <v>2.7784736000000003</v>
      </c>
      <c r="O87" s="322">
        <f>(100%-$D87)*'INGRESO A PS DE CA'!O87</f>
        <v>2.8024304</v>
      </c>
      <c r="P87" s="322">
        <f>(100%-$D87)*'INGRESO A PS DE CA'!P87</f>
        <v>2.8269023999999998</v>
      </c>
      <c r="Q87" s="322">
        <f>(100%-$D87)*'INGRESO A PS DE CA'!Q87</f>
        <v>2.8513743999999996</v>
      </c>
      <c r="R87" s="322">
        <f>(100%-$D87)*'INGRESO A PS DE CA'!R87</f>
        <v>2.8761040000000002</v>
      </c>
      <c r="S87" s="322">
        <f>(100%-$D87)*'INGRESO A PS DE CA'!S87</f>
        <v>2.9010912000000002</v>
      </c>
      <c r="T87" s="322">
        <f>(100%-$D87)*'INGRESO A PS DE CA'!T87</f>
        <v>2.926336</v>
      </c>
      <c r="U87" s="322">
        <f>(100%-$D87)*'INGRESO A PS DE CA'!U87</f>
        <v>2.9518383999999998</v>
      </c>
      <c r="V87" s="322">
        <f>(100%-$D87)*'INGRESO A PS DE CA'!V87</f>
        <v>2.9773407999999999</v>
      </c>
      <c r="W87" s="322">
        <f>(100%-$D87)*'INGRESO A PS DE CA'!W87</f>
        <v>3.0033584000000002</v>
      </c>
      <c r="X87" s="322">
        <f>(100%-$D87)*'INGRESO A PS DE CA'!X87</f>
        <v>3.0293760000000001</v>
      </c>
      <c r="Y87" s="322">
        <f>(100%-$D87)*'INGRESO A PS DE CA'!Y87</f>
        <v>3.0556511999999998</v>
      </c>
      <c r="Z87" s="322">
        <f>(100%-$D87)*'INGRESO A PS DE CA'!Z87</f>
        <v>3.0821840000000003</v>
      </c>
    </row>
    <row r="88" spans="1:26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20">
        <v>0.2</v>
      </c>
      <c r="E88" s="278"/>
      <c r="F88" s="263"/>
      <c r="G88" s="322">
        <f>(100%-$D88)*'INGRESO A PS DE CA'!G88</f>
        <v>0.21011744000000002</v>
      </c>
      <c r="H88" s="322">
        <f>(100%-$D88)*'INGRESO A PS DE CA'!H88</f>
        <v>1.7009523200000001</v>
      </c>
      <c r="I88" s="322">
        <f>(100%-$D88)*'INGRESO A PS DE CA'!I88</f>
        <v>3.2268096000000002</v>
      </c>
      <c r="J88" s="322">
        <f>(100%-$D88)*'INGRESO A PS DE CA'!J88</f>
        <v>5.4403440000000005</v>
      </c>
      <c r="K88" s="322">
        <f>(100%-$D88)*'INGRESO A PS DE CA'!K88</f>
        <v>7.7040375999999995</v>
      </c>
      <c r="L88" s="322">
        <f>(100%-$D88)*'INGRESO A PS DE CA'!L88</f>
        <v>7.8197896</v>
      </c>
      <c r="M88" s="322">
        <f>(100%-$D88)*'INGRESO A PS DE CA'!M88</f>
        <v>7.9358384000000006</v>
      </c>
      <c r="N88" s="322">
        <f>(100%-$D88)*'INGRESO A PS DE CA'!N88</f>
        <v>8.0515904000000003</v>
      </c>
      <c r="O88" s="322">
        <f>(100%-$D88)*'INGRESO A PS DE CA'!O88</f>
        <v>8.1676392000000018</v>
      </c>
      <c r="P88" s="322">
        <f>(100%-$D88)*'INGRESO A PS DE CA'!P88</f>
        <v>8.2833912000000005</v>
      </c>
      <c r="Q88" s="322">
        <f>(100%-$D88)*'INGRESO A PS DE CA'!Q88</f>
        <v>8.3994400000000002</v>
      </c>
      <c r="R88" s="322">
        <f>(100%-$D88)*'INGRESO A PS DE CA'!R88</f>
        <v>8.515191999999999</v>
      </c>
      <c r="S88" s="322">
        <f>(100%-$D88)*'INGRESO A PS DE CA'!S88</f>
        <v>8.6312408000000005</v>
      </c>
      <c r="T88" s="322">
        <f>(100%-$D88)*'INGRESO A PS DE CA'!T88</f>
        <v>8.7469927999999992</v>
      </c>
      <c r="U88" s="322">
        <f>(100%-$D88)*'INGRESO A PS DE CA'!U88</f>
        <v>8.8630416000000007</v>
      </c>
      <c r="V88" s="322">
        <f>(100%-$D88)*'INGRESO A PS DE CA'!V88</f>
        <v>8.9787936000000013</v>
      </c>
      <c r="W88" s="322">
        <f>(100%-$D88)*'INGRESO A PS DE CA'!W88</f>
        <v>9.094842400000001</v>
      </c>
      <c r="X88" s="322">
        <f>(100%-$D88)*'INGRESO A PS DE CA'!X88</f>
        <v>9.2105944000000015</v>
      </c>
      <c r="Y88" s="322">
        <f>(100%-$D88)*'INGRESO A PS DE CA'!Y88</f>
        <v>9.3266431999999995</v>
      </c>
      <c r="Z88" s="322">
        <f>(100%-$D88)*'INGRESO A PS DE CA'!Z88</f>
        <v>9.4423952000000018</v>
      </c>
    </row>
    <row r="89" spans="1:26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20">
        <v>0.2</v>
      </c>
      <c r="E89" s="278"/>
      <c r="F89" s="263"/>
      <c r="G89" s="322">
        <f>(100%-$D89)*'INGRESO A PS DE CA'!G89</f>
        <v>7.4829120000000013E-2</v>
      </c>
      <c r="H89" s="322">
        <f>(100%-$D89)*'INGRESO A PS DE CA'!H89</f>
        <v>0.60352000000000006</v>
      </c>
      <c r="I89" s="322">
        <f>(100%-$D89)*'INGRESO A PS DE CA'!I89</f>
        <v>1.1407632000000001</v>
      </c>
      <c r="J89" s="322">
        <f>(100%-$D89)*'INGRESO A PS DE CA'!J89</f>
        <v>1.9167280000000002</v>
      </c>
      <c r="K89" s="322">
        <f>(100%-$D89)*'INGRESO A PS DE CA'!K89</f>
        <v>2.7048000000000001</v>
      </c>
      <c r="L89" s="322">
        <f>(100%-$D89)*'INGRESO A PS DE CA'!L89</f>
        <v>2.7264384000000002</v>
      </c>
      <c r="M89" s="322">
        <f>(100%-$D89)*'INGRESO A PS DE CA'!M89</f>
        <v>2.7478192000000004</v>
      </c>
      <c r="N89" s="322">
        <f>(100%-$D89)*'INGRESO A PS DE CA'!N89</f>
        <v>2.7694576</v>
      </c>
      <c r="O89" s="322">
        <f>(100%-$D89)*'INGRESO A PS DE CA'!O89</f>
        <v>2.7908384000000002</v>
      </c>
      <c r="P89" s="322">
        <f>(100%-$D89)*'INGRESO A PS DE CA'!P89</f>
        <v>2.8124768000000002</v>
      </c>
      <c r="Q89" s="322">
        <f>(100%-$D89)*'INGRESO A PS DE CA'!Q89</f>
        <v>2.8338576</v>
      </c>
      <c r="R89" s="322">
        <f>(100%-$D89)*'INGRESO A PS DE CA'!R89</f>
        <v>2.8552384000000002</v>
      </c>
      <c r="S89" s="322">
        <f>(100%-$D89)*'INGRESO A PS DE CA'!S89</f>
        <v>2.8768768000000002</v>
      </c>
      <c r="T89" s="322">
        <f>(100%-$D89)*'INGRESO A PS DE CA'!T89</f>
        <v>2.8982576</v>
      </c>
      <c r="U89" s="322">
        <f>(100%-$D89)*'INGRESO A PS DE CA'!U89</f>
        <v>2.919896</v>
      </c>
      <c r="V89" s="322">
        <f>(100%-$D89)*'INGRESO A PS DE CA'!V89</f>
        <v>2.9412768000000007</v>
      </c>
      <c r="W89" s="322">
        <f>(100%-$D89)*'INGRESO A PS DE CA'!W89</f>
        <v>2.9629151999999999</v>
      </c>
      <c r="X89" s="322">
        <f>(100%-$D89)*'INGRESO A PS DE CA'!X89</f>
        <v>2.9842960000000005</v>
      </c>
      <c r="Y89" s="322">
        <f>(100%-$D89)*'INGRESO A PS DE CA'!Y89</f>
        <v>3.0059343999999997</v>
      </c>
      <c r="Z89" s="322">
        <f>(100%-$D89)*'INGRESO A PS DE CA'!Z89</f>
        <v>3.0273152000000003</v>
      </c>
    </row>
    <row r="90" spans="1:26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20">
        <v>0.2</v>
      </c>
      <c r="E90" s="278"/>
      <c r="F90" s="263"/>
      <c r="G90" s="322">
        <f>(100%-$D90)*'INGRESO A PS DE CA'!G90</f>
        <v>0.25594336000000001</v>
      </c>
      <c r="H90" s="322">
        <f>(100%-$D90)*'INGRESO A PS DE CA'!H90</f>
        <v>2.0569766400000002</v>
      </c>
      <c r="I90" s="322">
        <f>(100%-$D90)*'INGRESO A PS DE CA'!I90</f>
        <v>3.8745120000000011</v>
      </c>
      <c r="J90" s="322">
        <f>(100%-$D90)*'INGRESO A PS DE CA'!J90</f>
        <v>6.4872000000000005</v>
      </c>
      <c r="K90" s="322">
        <f>(100%-$D90)*'INGRESO A PS DE CA'!K90</f>
        <v>9.1236320000000006</v>
      </c>
      <c r="L90" s="322">
        <f>(100%-$D90)*'INGRESO A PS DE CA'!L90</f>
        <v>9.1654807999999992</v>
      </c>
      <c r="M90" s="322">
        <f>(100%-$D90)*'INGRESO A PS DE CA'!M90</f>
        <v>9.2076264000000005</v>
      </c>
      <c r="N90" s="322">
        <f>(100%-$D90)*'INGRESO A PS DE CA'!N90</f>
        <v>9.2497720000000001</v>
      </c>
      <c r="O90" s="322">
        <f>(100%-$D90)*'INGRESO A PS DE CA'!O90</f>
        <v>9.2922144000000007</v>
      </c>
      <c r="P90" s="322">
        <f>(100%-$D90)*'INGRESO A PS DE CA'!P90</f>
        <v>9.3346568000000012</v>
      </c>
      <c r="Q90" s="322">
        <f>(100%-$D90)*'INGRESO A PS DE CA'!Q90</f>
        <v>9.3776928000000002</v>
      </c>
      <c r="R90" s="322">
        <f>(100%-$D90)*'INGRESO A PS DE CA'!R90</f>
        <v>9.4207287999999991</v>
      </c>
      <c r="S90" s="322">
        <f>(100%-$D90)*'INGRESO A PS DE CA'!S90</f>
        <v>9.4637647999999999</v>
      </c>
      <c r="T90" s="322">
        <f>(100%-$D90)*'INGRESO A PS DE CA'!T90</f>
        <v>9.5073944000000008</v>
      </c>
      <c r="U90" s="322">
        <f>(100%-$D90)*'INGRESO A PS DE CA'!U90</f>
        <v>9.5510240000000017</v>
      </c>
      <c r="V90" s="322">
        <f>(100%-$D90)*'INGRESO A PS DE CA'!V90</f>
        <v>9.5946536000000009</v>
      </c>
      <c r="W90" s="322">
        <f>(100%-$D90)*'INGRESO A PS DE CA'!W90</f>
        <v>9.6385799999999993</v>
      </c>
      <c r="X90" s="322">
        <f>(100%-$D90)*'INGRESO A PS DE CA'!X90</f>
        <v>9.6828032000000004</v>
      </c>
      <c r="Y90" s="322">
        <f>(100%-$D90)*'INGRESO A PS DE CA'!Y90</f>
        <v>9.7273232000000007</v>
      </c>
      <c r="Z90" s="322">
        <f>(100%-$D90)*'INGRESO A PS DE CA'!Z90</f>
        <v>9.7718432000000011</v>
      </c>
    </row>
    <row r="91" spans="1:26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20">
        <v>0.2</v>
      </c>
      <c r="E91" s="278"/>
      <c r="F91" s="263"/>
      <c r="G91" s="322">
        <f>(100%-$D91)*'INGRESO A PS DE CA'!G91</f>
        <v>0.10724992</v>
      </c>
      <c r="H91" s="322">
        <f>(100%-$D91)*'INGRESO A PS DE CA'!H91</f>
        <v>0.86412288000000004</v>
      </c>
      <c r="I91" s="322">
        <f>(100%-$D91)*'INGRESO A PS DE CA'!I91</f>
        <v>1.6317120000000001</v>
      </c>
      <c r="J91" s="322">
        <f>(100%-$D91)*'INGRESO A PS DE CA'!J91</f>
        <v>2.7390240000000006</v>
      </c>
      <c r="K91" s="322">
        <f>(100%-$D91)*'INGRESO A PS DE CA'!K91</f>
        <v>3.8619392000000001</v>
      </c>
      <c r="L91" s="322">
        <f>(100%-$D91)*'INGRESO A PS DE CA'!L91</f>
        <v>3.8895024</v>
      </c>
      <c r="M91" s="322">
        <f>(100%-$D91)*'INGRESO A PS DE CA'!M91</f>
        <v>3.9173232000000002</v>
      </c>
      <c r="N91" s="322">
        <f>(100%-$D91)*'INGRESO A PS DE CA'!N91</f>
        <v>3.945144</v>
      </c>
      <c r="O91" s="322">
        <f>(100%-$D91)*'INGRESO A PS DE CA'!O91</f>
        <v>3.9732223999999996</v>
      </c>
      <c r="P91" s="322">
        <f>(100%-$D91)*'INGRESO A PS DE CA'!P91</f>
        <v>4.0015583999999995</v>
      </c>
      <c r="Q91" s="322">
        <f>(100%-$D91)*'INGRESO A PS DE CA'!Q91</f>
        <v>4.0301520000000002</v>
      </c>
      <c r="R91" s="322">
        <f>(100%-$D91)*'INGRESO A PS DE CA'!R91</f>
        <v>4.0590031999999994</v>
      </c>
      <c r="S91" s="322">
        <f>(100%-$D91)*'INGRESO A PS DE CA'!S91</f>
        <v>4.0878544000000003</v>
      </c>
      <c r="T91" s="322">
        <f>(100%-$D91)*'INGRESO A PS DE CA'!T91</f>
        <v>4.1169631999999998</v>
      </c>
      <c r="U91" s="322">
        <f>(100%-$D91)*'INGRESO A PS DE CA'!U91</f>
        <v>4.1463296000000005</v>
      </c>
      <c r="V91" s="322">
        <f>(100%-$D91)*'INGRESO A PS DE CA'!V91</f>
        <v>4.1759535999999997</v>
      </c>
      <c r="W91" s="322">
        <f>(100%-$D91)*'INGRESO A PS DE CA'!W91</f>
        <v>4.2058352000000001</v>
      </c>
      <c r="X91" s="322">
        <f>(100%-$D91)*'INGRESO A PS DE CA'!X91</f>
        <v>4.2357168000000005</v>
      </c>
      <c r="Y91" s="322">
        <f>(100%-$D91)*'INGRESO A PS DE CA'!Y91</f>
        <v>4.2661135999999997</v>
      </c>
      <c r="Z91" s="322">
        <f>(100%-$D91)*'INGRESO A PS DE CA'!Z91</f>
        <v>4.2965103999999998</v>
      </c>
    </row>
    <row r="92" spans="1:26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20">
        <v>0.2</v>
      </c>
      <c r="E92" s="278"/>
      <c r="F92" s="263"/>
      <c r="G92" s="322">
        <f>(100%-$D92)*'INGRESO A PS DE CA'!G92</f>
        <v>0.30433024000000003</v>
      </c>
      <c r="H92" s="322">
        <f>(100%-$D92)*'INGRESO A PS DE CA'!H92</f>
        <v>2.4627276800000004</v>
      </c>
      <c r="I92" s="322">
        <f>(100%-$D92)*'INGRESO A PS DE CA'!I92</f>
        <v>4.6709112000000008</v>
      </c>
      <c r="J92" s="322">
        <f>(100%-$D92)*'INGRESO A PS DE CA'!J92</f>
        <v>7.8747400000000018</v>
      </c>
      <c r="K92" s="322">
        <f>(100%-$D92)*'INGRESO A PS DE CA'!K92</f>
        <v>11.151963200000001</v>
      </c>
      <c r="L92" s="322">
        <f>(100%-$D92)*'INGRESO A PS DE CA'!L92</f>
        <v>11.280774399999999</v>
      </c>
      <c r="M92" s="322">
        <f>(100%-$D92)*'INGRESO A PS DE CA'!M92</f>
        <v>11.4107728</v>
      </c>
      <c r="N92" s="322">
        <f>(100%-$D92)*'INGRESO A PS DE CA'!N92</f>
        <v>11.542552000000001</v>
      </c>
      <c r="O92" s="322">
        <f>(100%-$D92)*'INGRESO A PS DE CA'!O92</f>
        <v>11.675815200000002</v>
      </c>
      <c r="P92" s="322">
        <f>(100%-$D92)*'INGRESO A PS DE CA'!P92</f>
        <v>11.8105624</v>
      </c>
      <c r="Q92" s="322">
        <f>(100%-$D92)*'INGRESO A PS DE CA'!Q92</f>
        <v>11.946793600000001</v>
      </c>
      <c r="R92" s="322">
        <f>(100%-$D92)*'INGRESO A PS DE CA'!R92</f>
        <v>12.084805600000001</v>
      </c>
      <c r="S92" s="322">
        <f>(100%-$D92)*'INGRESO A PS DE CA'!S92</f>
        <v>12.2243016</v>
      </c>
      <c r="T92" s="322">
        <f>(100%-$D92)*'INGRESO A PS DE CA'!T92</f>
        <v>12.365281600000001</v>
      </c>
      <c r="U92" s="322">
        <f>(100%-$D92)*'INGRESO A PS DE CA'!U92</f>
        <v>12.508042400000001</v>
      </c>
      <c r="V92" s="322">
        <f>(100%-$D92)*'INGRESO A PS DE CA'!V92</f>
        <v>12.652584000000001</v>
      </c>
      <c r="W92" s="322">
        <f>(100%-$D92)*'INGRESO A PS DE CA'!W92</f>
        <v>12.798609599999999</v>
      </c>
      <c r="X92" s="322">
        <f>(100%-$D92)*'INGRESO A PS DE CA'!X92</f>
        <v>12.946415999999999</v>
      </c>
      <c r="Y92" s="322">
        <f>(100%-$D92)*'INGRESO A PS DE CA'!Y92</f>
        <v>13.095706400000001</v>
      </c>
      <c r="Z92" s="322">
        <f>(100%-$D92)*'INGRESO A PS DE CA'!Z92</f>
        <v>13.246777600000001</v>
      </c>
    </row>
    <row r="93" spans="1:26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20">
        <v>0.2</v>
      </c>
      <c r="E93" s="278"/>
      <c r="F93" s="263"/>
      <c r="G93" s="322">
        <f>(100%-$D93)*'INGRESO A PS DE CA'!G93</f>
        <v>1.0269604800000001</v>
      </c>
      <c r="H93" s="322">
        <f>(100%-$D93)*'INGRESO A PS DE CA'!H93</f>
        <v>8.3484633600000002</v>
      </c>
      <c r="I93" s="322">
        <f>(100%-$D93)*'INGRESO A PS DE CA'!I93</f>
        <v>15.902452800000001</v>
      </c>
      <c r="J93" s="322">
        <f>(100%-$D93)*'INGRESO A PS DE CA'!J93</f>
        <v>26.919228000000004</v>
      </c>
      <c r="K93" s="322">
        <f>(100%-$D93)*'INGRESO A PS DE CA'!K93</f>
        <v>38.267829600000006</v>
      </c>
      <c r="L93" s="322">
        <f>(100%-$D93)*'INGRESO A PS DE CA'!L93</f>
        <v>38.849025599999997</v>
      </c>
      <c r="M93" s="322">
        <f>(100%-$D93)*'INGRESO A PS DE CA'!M93</f>
        <v>39.429935999999998</v>
      </c>
      <c r="N93" s="322">
        <f>(100%-$D93)*'INGRESO A PS DE CA'!N93</f>
        <v>40.011131999999996</v>
      </c>
      <c r="O93" s="322">
        <f>(100%-$D93)*'INGRESO A PS DE CA'!O93</f>
        <v>40.592328000000002</v>
      </c>
      <c r="P93" s="322">
        <f>(100%-$D93)*'INGRESO A PS DE CA'!P93</f>
        <v>41.173238400000002</v>
      </c>
      <c r="Q93" s="322">
        <f>(100%-$D93)*'INGRESO A PS DE CA'!Q93</f>
        <v>41.754434400000008</v>
      </c>
      <c r="R93" s="322">
        <f>(100%-$D93)*'INGRESO A PS DE CA'!R93</f>
        <v>42.335630399999999</v>
      </c>
      <c r="S93" s="322">
        <f>(100%-$D93)*'INGRESO A PS DE CA'!S93</f>
        <v>42.916540800000007</v>
      </c>
      <c r="T93" s="322">
        <f>(100%-$D93)*'INGRESO A PS DE CA'!T93</f>
        <v>43.497736800000006</v>
      </c>
      <c r="U93" s="322">
        <f>(100%-$D93)*'INGRESO A PS DE CA'!U93</f>
        <v>44.078647199999999</v>
      </c>
      <c r="V93" s="322">
        <f>(100%-$D93)*'INGRESO A PS DE CA'!V93</f>
        <v>44.659843199999997</v>
      </c>
      <c r="W93" s="322">
        <f>(100%-$D93)*'INGRESO A PS DE CA'!W93</f>
        <v>45.241039200000003</v>
      </c>
      <c r="X93" s="322">
        <f>(100%-$D93)*'INGRESO A PS DE CA'!X93</f>
        <v>45.821949600000003</v>
      </c>
      <c r="Y93" s="322">
        <f>(100%-$D93)*'INGRESO A PS DE CA'!Y93</f>
        <v>46.403145599999995</v>
      </c>
      <c r="Z93" s="322">
        <f>(100%-$D93)*'INGRESO A PS DE CA'!Z93</f>
        <v>46.98405600000001</v>
      </c>
    </row>
    <row r="94" spans="1:26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20">
        <v>0.2</v>
      </c>
      <c r="E94" s="278"/>
      <c r="F94" s="263"/>
      <c r="G94" s="322">
        <f>(100%-$D94)*'INGRESO A PS DE CA'!G94</f>
        <v>0.10251744000000002</v>
      </c>
      <c r="H94" s="322">
        <f>(100%-$D94)*'INGRESO A PS DE CA'!H94</f>
        <v>0.83079680000000011</v>
      </c>
      <c r="I94" s="322">
        <f>(100%-$D94)*'INGRESO A PS DE CA'!I94</f>
        <v>1.5777264000000002</v>
      </c>
      <c r="J94" s="322">
        <f>(100%-$D94)*'INGRESO A PS DE CA'!J94</f>
        <v>2.6628480000000003</v>
      </c>
      <c r="K94" s="322">
        <f>(100%-$D94)*'INGRESO A PS DE CA'!K94</f>
        <v>3.7746127999999999</v>
      </c>
      <c r="L94" s="322">
        <f>(100%-$D94)*'INGRESO A PS DE CA'!L94</f>
        <v>3.8212384000000004</v>
      </c>
      <c r="M94" s="322">
        <f>(100%-$D94)*'INGRESO A PS DE CA'!M94</f>
        <v>3.8678640000000004</v>
      </c>
      <c r="N94" s="322">
        <f>(100%-$D94)*'INGRESO A PS DE CA'!N94</f>
        <v>3.9144895999999996</v>
      </c>
      <c r="O94" s="322">
        <f>(100%-$D94)*'INGRESO A PS DE CA'!O94</f>
        <v>3.9611152000000001</v>
      </c>
      <c r="P94" s="322">
        <f>(100%-$D94)*'INGRESO A PS DE CA'!P94</f>
        <v>4.0077407999999997</v>
      </c>
      <c r="Q94" s="322">
        <f>(100%-$D94)*'INGRESO A PS DE CA'!Q94</f>
        <v>4.0543664000000001</v>
      </c>
      <c r="R94" s="322">
        <f>(100%-$D94)*'INGRESO A PS DE CA'!R94</f>
        <v>4.1009920000000006</v>
      </c>
      <c r="S94" s="322">
        <f>(100%-$D94)*'INGRESO A PS DE CA'!S94</f>
        <v>4.1476175999999993</v>
      </c>
      <c r="T94" s="322">
        <f>(100%-$D94)*'INGRESO A PS DE CA'!T94</f>
        <v>4.1942431999999998</v>
      </c>
      <c r="U94" s="322">
        <f>(100%-$D94)*'INGRESO A PS DE CA'!U94</f>
        <v>4.2408688000000003</v>
      </c>
      <c r="V94" s="322">
        <f>(100%-$D94)*'INGRESO A PS DE CA'!V94</f>
        <v>4.2874943999999999</v>
      </c>
      <c r="W94" s="322">
        <f>(100%-$D94)*'INGRESO A PS DE CA'!W94</f>
        <v>4.3341199999999995</v>
      </c>
      <c r="X94" s="322">
        <f>(100%-$D94)*'INGRESO A PS DE CA'!X94</f>
        <v>4.3807456</v>
      </c>
      <c r="Y94" s="322">
        <f>(100%-$D94)*'INGRESO A PS DE CA'!Y94</f>
        <v>4.4273712000000005</v>
      </c>
      <c r="Z94" s="322">
        <f>(100%-$D94)*'INGRESO A PS DE CA'!Z94</f>
        <v>4.473996800000001</v>
      </c>
    </row>
    <row r="95" spans="1:26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20">
        <v>0.2</v>
      </c>
      <c r="E95" s="278"/>
      <c r="F95" s="263"/>
      <c r="G95" s="322">
        <f>(100%-$D95)*'INGRESO A PS DE CA'!G95</f>
        <v>7.1701120000000007E-2</v>
      </c>
      <c r="H95" s="322">
        <f>(100%-$D95)*'INGRESO A PS DE CA'!H95</f>
        <v>0.5762585600000002</v>
      </c>
      <c r="I95" s="322">
        <f>(100%-$D95)*'INGRESO A PS DE CA'!I95</f>
        <v>1.0854528000000001</v>
      </c>
      <c r="J95" s="322">
        <f>(100%-$D95)*'INGRESO A PS DE CA'!J95</f>
        <v>1.8175520000000001</v>
      </c>
      <c r="K95" s="322">
        <f>(100%-$D95)*'INGRESO A PS DE CA'!K95</f>
        <v>2.5561648000000003</v>
      </c>
      <c r="L95" s="322">
        <f>(100%-$D95)*'INGRESO A PS DE CA'!L95</f>
        <v>2.5677567999999997</v>
      </c>
      <c r="M95" s="322">
        <f>(100%-$D95)*'INGRESO A PS DE CA'!M95</f>
        <v>2.5796063999999999</v>
      </c>
      <c r="N95" s="322">
        <f>(100%-$D95)*'INGRESO A PS DE CA'!N95</f>
        <v>2.5911984000000006</v>
      </c>
      <c r="O95" s="322">
        <f>(100%-$D95)*'INGRESO A PS DE CA'!O95</f>
        <v>2.6027903999999999</v>
      </c>
      <c r="P95" s="322">
        <f>(100%-$D95)*'INGRESO A PS DE CA'!P95</f>
        <v>2.6143824000000002</v>
      </c>
      <c r="Q95" s="322">
        <f>(100%-$D95)*'INGRESO A PS DE CA'!Q95</f>
        <v>2.6262319999999999</v>
      </c>
      <c r="R95" s="322">
        <f>(100%-$D95)*'INGRESO A PS DE CA'!R95</f>
        <v>2.6378240000000002</v>
      </c>
      <c r="S95" s="322">
        <f>(100%-$D95)*'INGRESO A PS DE CA'!S95</f>
        <v>2.6494160000000004</v>
      </c>
      <c r="T95" s="322">
        <f>(100%-$D95)*'INGRESO A PS DE CA'!T95</f>
        <v>2.6612656000000001</v>
      </c>
      <c r="U95" s="322">
        <f>(100%-$D95)*'INGRESO A PS DE CA'!U95</f>
        <v>2.6728576000000004</v>
      </c>
      <c r="V95" s="322">
        <f>(100%-$D95)*'INGRESO A PS DE CA'!V95</f>
        <v>2.6844496000000002</v>
      </c>
      <c r="W95" s="322">
        <f>(100%-$D95)*'INGRESO A PS DE CA'!W95</f>
        <v>2.6960416000000005</v>
      </c>
      <c r="X95" s="322">
        <f>(100%-$D95)*'INGRESO A PS DE CA'!X95</f>
        <v>2.7078912000000006</v>
      </c>
      <c r="Y95" s="322">
        <f>(100%-$D95)*'INGRESO A PS DE CA'!Y95</f>
        <v>2.7194832000000004</v>
      </c>
      <c r="Z95" s="322">
        <f>(100%-$D95)*'INGRESO A PS DE CA'!Z95</f>
        <v>2.7310752000000003</v>
      </c>
    </row>
    <row r="96" spans="1:26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20">
        <v>0.2</v>
      </c>
      <c r="E96" s="278"/>
      <c r="F96" s="263"/>
      <c r="G96" s="322">
        <f>(100%-$D96)*'INGRESO A PS DE CA'!G96</f>
        <v>5.6723520000000006E-2</v>
      </c>
      <c r="H96" s="322">
        <f>(100%-$D96)*'INGRESO A PS DE CA'!H96</f>
        <v>0.45932288000000004</v>
      </c>
      <c r="I96" s="322">
        <f>(100%-$D96)*'INGRESO A PS DE CA'!I96</f>
        <v>0.87149760000000009</v>
      </c>
      <c r="J96" s="322">
        <f>(100%-$D96)*'INGRESO A PS DE CA'!J96</f>
        <v>1.469792</v>
      </c>
      <c r="K96" s="322">
        <f>(100%-$D96)*'INGRESO A PS DE CA'!K96</f>
        <v>2.0816656</v>
      </c>
      <c r="L96" s="322">
        <f>(100%-$D96)*'INGRESO A PS DE CA'!L96</f>
        <v>2.1133504000000003</v>
      </c>
      <c r="M96" s="322">
        <f>(100%-$D96)*'INGRESO A PS DE CA'!M96</f>
        <v>2.1450352000000001</v>
      </c>
      <c r="N96" s="322">
        <f>(100%-$D96)*'INGRESO A PS DE CA'!N96</f>
        <v>2.17672</v>
      </c>
      <c r="O96" s="322">
        <f>(100%-$D96)*'INGRESO A PS DE CA'!O96</f>
        <v>2.2084047999999998</v>
      </c>
      <c r="P96" s="322">
        <f>(100%-$D96)*'INGRESO A PS DE CA'!P96</f>
        <v>2.2398319999999998</v>
      </c>
      <c r="Q96" s="322">
        <f>(100%-$D96)*'INGRESO A PS DE CA'!Q96</f>
        <v>2.2715168000000001</v>
      </c>
      <c r="R96" s="322">
        <f>(100%-$D96)*'INGRESO A PS DE CA'!R96</f>
        <v>2.3032016000000004</v>
      </c>
      <c r="S96" s="322">
        <f>(100%-$D96)*'INGRESO A PS DE CA'!S96</f>
        <v>2.3348864000000003</v>
      </c>
      <c r="T96" s="322">
        <f>(100%-$D96)*'INGRESO A PS DE CA'!T96</f>
        <v>2.3665712000000001</v>
      </c>
      <c r="U96" s="322">
        <f>(100%-$D96)*'INGRESO A PS DE CA'!U96</f>
        <v>2.3979984000000001</v>
      </c>
      <c r="V96" s="322">
        <f>(100%-$D96)*'INGRESO A PS DE CA'!V96</f>
        <v>2.4296832000000004</v>
      </c>
      <c r="W96" s="322">
        <f>(100%-$D96)*'INGRESO A PS DE CA'!W96</f>
        <v>2.4613680000000002</v>
      </c>
      <c r="X96" s="322">
        <f>(100%-$D96)*'INGRESO A PS DE CA'!X96</f>
        <v>2.4930528000000001</v>
      </c>
      <c r="Y96" s="322">
        <f>(100%-$D96)*'INGRESO A PS DE CA'!Y96</f>
        <v>2.5247375999999999</v>
      </c>
      <c r="Z96" s="322">
        <f>(100%-$D96)*'INGRESO A PS DE CA'!Z96</f>
        <v>2.5561648000000003</v>
      </c>
    </row>
    <row r="97" spans="1:26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20">
        <v>0.2</v>
      </c>
      <c r="E97" s="278"/>
      <c r="F97" s="263"/>
      <c r="G97" s="322">
        <f>(100%-$D97)*'INGRESO A PS DE CA'!G97</f>
        <v>0.58781376000000007</v>
      </c>
      <c r="H97" s="322">
        <f>(100%-$D97)*'INGRESO A PS DE CA'!H97</f>
        <v>4.789593599999999</v>
      </c>
      <c r="I97" s="322">
        <f>(100%-$D97)*'INGRESO A PS DE CA'!I97</f>
        <v>9.1436472000000002</v>
      </c>
      <c r="J97" s="322">
        <f>(100%-$D97)*'INGRESO A PS DE CA'!J97</f>
        <v>15.511548000000003</v>
      </c>
      <c r="K97" s="322">
        <f>(100%-$D97)*'INGRESO A PS DE CA'!K97</f>
        <v>22.096872000000001</v>
      </c>
      <c r="L97" s="322">
        <f>(100%-$D97)*'INGRESO A PS DE CA'!L97</f>
        <v>22.477862399999999</v>
      </c>
      <c r="M97" s="322">
        <f>(100%-$D97)*'INGRESO A PS DE CA'!M97</f>
        <v>22.858852799999998</v>
      </c>
      <c r="N97" s="322">
        <f>(100%-$D97)*'INGRESO A PS DE CA'!N97</f>
        <v>23.239557599999998</v>
      </c>
      <c r="O97" s="322">
        <f>(100%-$D97)*'INGRESO A PS DE CA'!O97</f>
        <v>23.620548000000003</v>
      </c>
      <c r="P97" s="322">
        <f>(100%-$D97)*'INGRESO A PS DE CA'!P97</f>
        <v>24.001252799999996</v>
      </c>
      <c r="Q97" s="322">
        <f>(100%-$D97)*'INGRESO A PS DE CA'!Q97</f>
        <v>24.382243200000001</v>
      </c>
      <c r="R97" s="322">
        <f>(100%-$D97)*'INGRESO A PS DE CA'!R97</f>
        <v>24.763233599999996</v>
      </c>
      <c r="S97" s="322">
        <f>(100%-$D97)*'INGRESO A PS DE CA'!S97</f>
        <v>25.1439384</v>
      </c>
      <c r="T97" s="322">
        <f>(100%-$D97)*'INGRESO A PS DE CA'!T97</f>
        <v>25.524928799999998</v>
      </c>
      <c r="U97" s="322">
        <f>(100%-$D97)*'INGRESO A PS DE CA'!U97</f>
        <v>25.905633600000002</v>
      </c>
      <c r="V97" s="322">
        <f>(100%-$D97)*'INGRESO A PS DE CA'!V97</f>
        <v>26.286624000000003</v>
      </c>
      <c r="W97" s="322">
        <f>(100%-$D97)*'INGRESO A PS DE CA'!W97</f>
        <v>26.667328800000003</v>
      </c>
      <c r="X97" s="322">
        <f>(100%-$D97)*'INGRESO A PS DE CA'!X97</f>
        <v>27.048319199999998</v>
      </c>
      <c r="Y97" s="322">
        <f>(100%-$D97)*'INGRESO A PS DE CA'!Y97</f>
        <v>27.4293096</v>
      </c>
      <c r="Z97" s="322">
        <f>(100%-$D97)*'INGRESO A PS DE CA'!Z97</f>
        <v>27.810014399999996</v>
      </c>
    </row>
    <row r="98" spans="1:26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20">
        <v>0.2</v>
      </c>
      <c r="E98" s="278"/>
      <c r="F98" s="263"/>
      <c r="G98" s="322">
        <f>(100%-$D98)*'INGRESO A PS DE CA'!G98</f>
        <v>0.52419024000000003</v>
      </c>
      <c r="H98" s="322">
        <f>(100%-$D98)*'INGRESO A PS DE CA'!H98</f>
        <v>4.229099520000001</v>
      </c>
      <c r="I98" s="322">
        <f>(100%-$D98)*'INGRESO A PS DE CA'!I98</f>
        <v>7.9968816000000009</v>
      </c>
      <c r="J98" s="322">
        <f>(100%-$D98)*'INGRESO A PS DE CA'!J98</f>
        <v>13.441355999999999</v>
      </c>
      <c r="K98" s="322">
        <f>(100%-$D98)*'INGRESO A PS DE CA'!K98</f>
        <v>18.977548800000001</v>
      </c>
      <c r="L98" s="322">
        <f>(100%-$D98)*'INGRESO A PS DE CA'!L98</f>
        <v>19.1383416</v>
      </c>
      <c r="M98" s="322">
        <f>(100%-$D98)*'INGRESO A PS DE CA'!M98</f>
        <v>19.300848000000002</v>
      </c>
      <c r="N98" s="322">
        <f>(100%-$D98)*'INGRESO A PS DE CA'!N98</f>
        <v>19.464782400000004</v>
      </c>
      <c r="O98" s="322">
        <f>(100%-$D98)*'INGRESO A PS DE CA'!O98</f>
        <v>19.629859199999999</v>
      </c>
      <c r="P98" s="322">
        <f>(100%-$D98)*'INGRESO A PS DE CA'!P98</f>
        <v>19.796364000000001</v>
      </c>
      <c r="Q98" s="322">
        <f>(100%-$D98)*'INGRESO A PS DE CA'!Q98</f>
        <v>19.9642968</v>
      </c>
      <c r="R98" s="322">
        <f>(100%-$D98)*'INGRESO A PS DE CA'!R98</f>
        <v>20.133657599999999</v>
      </c>
      <c r="S98" s="322">
        <f>(100%-$D98)*'INGRESO A PS DE CA'!S98</f>
        <v>20.304731999999998</v>
      </c>
      <c r="T98" s="322">
        <f>(100%-$D98)*'INGRESO A PS DE CA'!T98</f>
        <v>20.476948800000002</v>
      </c>
      <c r="U98" s="322">
        <f>(100%-$D98)*'INGRESO A PS DE CA'!U98</f>
        <v>20.650593599999997</v>
      </c>
      <c r="V98" s="322">
        <f>(100%-$D98)*'INGRESO A PS DE CA'!V98</f>
        <v>20.825952000000001</v>
      </c>
      <c r="W98" s="322">
        <f>(100%-$D98)*'INGRESO A PS DE CA'!W98</f>
        <v>21.002738399999998</v>
      </c>
      <c r="X98" s="322">
        <f>(100%-$D98)*'INGRESO A PS DE CA'!X98</f>
        <v>21.1809528</v>
      </c>
      <c r="Y98" s="322">
        <f>(100%-$D98)*'INGRESO A PS DE CA'!Y98</f>
        <v>21.360595200000002</v>
      </c>
      <c r="Z98" s="322">
        <f>(100%-$D98)*'INGRESO A PS DE CA'!Z98</f>
        <v>21.541665600000002</v>
      </c>
    </row>
    <row r="99" spans="1:26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20">
        <v>0.2</v>
      </c>
      <c r="E99" s="278"/>
      <c r="F99" s="263"/>
      <c r="G99" s="322">
        <f>(100%-$D99)*'INGRESO A PS DE CA'!G99</f>
        <v>0.18651760000000003</v>
      </c>
      <c r="H99" s="322">
        <f>(100%-$D99)*'INGRESO A PS DE CA'!H99</f>
        <v>1.5142566400000002</v>
      </c>
      <c r="I99" s="322">
        <f>(100%-$D99)*'INGRESO A PS DE CA'!I99</f>
        <v>2.8808256000000001</v>
      </c>
      <c r="J99" s="322">
        <f>(100%-$D99)*'INGRESO A PS DE CA'!J99</f>
        <v>4.8704880000000008</v>
      </c>
      <c r="K99" s="322">
        <f>(100%-$D99)*'INGRESO A PS DE CA'!K99</f>
        <v>6.9157368000000012</v>
      </c>
      <c r="L99" s="322">
        <f>(100%-$D99)*'INGRESO A PS DE CA'!L99</f>
        <v>7.0124936000000009</v>
      </c>
      <c r="M99" s="322">
        <f>(100%-$D99)*'INGRESO A PS DE CA'!M99</f>
        <v>7.1095472000000006</v>
      </c>
      <c r="N99" s="322">
        <f>(100%-$D99)*'INGRESO A PS DE CA'!N99</f>
        <v>7.2066008000000004</v>
      </c>
      <c r="O99" s="322">
        <f>(100%-$D99)*'INGRESO A PS DE CA'!O99</f>
        <v>7.3033576</v>
      </c>
      <c r="P99" s="322">
        <f>(100%-$D99)*'INGRESO A PS DE CA'!P99</f>
        <v>7.4004112000000006</v>
      </c>
      <c r="Q99" s="322">
        <f>(100%-$D99)*'INGRESO A PS DE CA'!Q99</f>
        <v>7.4971679999999994</v>
      </c>
      <c r="R99" s="322">
        <f>(100%-$D99)*'INGRESO A PS DE CA'!R99</f>
        <v>7.5942216000000009</v>
      </c>
      <c r="S99" s="322">
        <f>(100%-$D99)*'INGRESO A PS DE CA'!S99</f>
        <v>7.6909784000000005</v>
      </c>
      <c r="T99" s="322">
        <f>(100%-$D99)*'INGRESO A PS DE CA'!T99</f>
        <v>7.7880320000000003</v>
      </c>
      <c r="U99" s="322">
        <f>(100%-$D99)*'INGRESO A PS DE CA'!U99</f>
        <v>7.8847887999999999</v>
      </c>
      <c r="V99" s="322">
        <f>(100%-$D99)*'INGRESO A PS DE CA'!V99</f>
        <v>7.9818424000000014</v>
      </c>
      <c r="W99" s="322">
        <f>(100%-$D99)*'INGRESO A PS DE CA'!W99</f>
        <v>8.0785992000000011</v>
      </c>
      <c r="X99" s="322">
        <f>(100%-$D99)*'INGRESO A PS DE CA'!X99</f>
        <v>8.1756527999999999</v>
      </c>
      <c r="Y99" s="322">
        <f>(100%-$D99)*'INGRESO A PS DE CA'!Y99</f>
        <v>8.2727064000000006</v>
      </c>
      <c r="Z99" s="322">
        <f>(100%-$D99)*'INGRESO A PS DE CA'!Z99</f>
        <v>8.369463200000002</v>
      </c>
    </row>
    <row r="100" spans="1:26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20">
        <v>0.2</v>
      </c>
      <c r="E100" s="278"/>
      <c r="F100" s="263"/>
      <c r="G100" s="322">
        <f>(100%-$D100)*'INGRESO A PS DE CA'!G100</f>
        <v>0.18019152000000005</v>
      </c>
      <c r="H100" s="322">
        <f>(100%-$D100)*'INGRESO A PS DE CA'!H100</f>
        <v>1.4742310400000003</v>
      </c>
      <c r="I100" s="322">
        <f>(100%-$D100)*'INGRESO A PS DE CA'!I100</f>
        <v>2.826384</v>
      </c>
      <c r="J100" s="322">
        <f>(100%-$D100)*'INGRESO A PS DE CA'!J100</f>
        <v>4.815792000000001</v>
      </c>
      <c r="K100" s="322">
        <f>(100%-$D100)*'INGRESO A PS DE CA'!K100</f>
        <v>6.8919928000000006</v>
      </c>
      <c r="L100" s="322">
        <f>(100%-$D100)*'INGRESO A PS DE CA'!L100</f>
        <v>7.0442511999999997</v>
      </c>
      <c r="M100" s="322">
        <f>(100%-$D100)*'INGRESO A PS DE CA'!M100</f>
        <v>7.1991807999999997</v>
      </c>
      <c r="N100" s="322">
        <f>(100%-$D100)*'INGRESO A PS DE CA'!N100</f>
        <v>7.3564848000000005</v>
      </c>
      <c r="O100" s="322">
        <f>(100%-$D100)*'INGRESO A PS DE CA'!O100</f>
        <v>7.5164599999999995</v>
      </c>
      <c r="P100" s="322">
        <f>(100%-$D100)*'INGRESO A PS DE CA'!P100</f>
        <v>7.6788096000000001</v>
      </c>
      <c r="Q100" s="322">
        <f>(100%-$D100)*'INGRESO A PS DE CA'!Q100</f>
        <v>7.8438304000000008</v>
      </c>
      <c r="R100" s="322">
        <f>(100%-$D100)*'INGRESO A PS DE CA'!R100</f>
        <v>8.0121159999999989</v>
      </c>
      <c r="S100" s="322">
        <f>(100%-$D100)*'INGRESO A PS DE CA'!S100</f>
        <v>8.1824792000000013</v>
      </c>
      <c r="T100" s="322">
        <f>(100%-$D100)*'INGRESO A PS DE CA'!T100</f>
        <v>8.3558103999999993</v>
      </c>
      <c r="U100" s="322">
        <f>(100%-$D100)*'INGRESO A PS DE CA'!U100</f>
        <v>8.5321096000000018</v>
      </c>
      <c r="V100" s="322">
        <f>(100%-$D100)*'INGRESO A PS DE CA'!V100</f>
        <v>8.7110800000000008</v>
      </c>
      <c r="W100" s="322">
        <f>(100%-$D100)*'INGRESO A PS DE CA'!W100</f>
        <v>8.8930184000000008</v>
      </c>
      <c r="X100" s="322">
        <f>(100%-$D100)*'INGRESO A PS DE CA'!X100</f>
        <v>9.0779247999999999</v>
      </c>
      <c r="Y100" s="322">
        <f>(100%-$D100)*'INGRESO A PS DE CA'!Y100</f>
        <v>9.2657992</v>
      </c>
      <c r="Z100" s="322">
        <f>(100%-$D100)*'INGRESO A PS DE CA'!Z100</f>
        <v>9.4569384000000003</v>
      </c>
    </row>
    <row r="101" spans="1:26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20">
        <v>0.2</v>
      </c>
      <c r="E101" s="278"/>
      <c r="F101" s="263"/>
      <c r="G101" s="322">
        <f>(100%-$D101)*'INGRESO A PS DE CA'!G101</f>
        <v>0.14237920000000004</v>
      </c>
      <c r="H101" s="322">
        <f>(100%-$D101)*'INGRESO A PS DE CA'!H101</f>
        <v>1.1561971200000001</v>
      </c>
      <c r="I101" s="322">
        <f>(100%-$D101)*'INGRESO A PS DE CA'!I101</f>
        <v>2.2004328000000002</v>
      </c>
      <c r="J101" s="322">
        <f>(100%-$D101)*'INGRESO A PS DE CA'!J101</f>
        <v>3.7225079999999999</v>
      </c>
      <c r="K101" s="322">
        <f>(100%-$D101)*'INGRESO A PS DE CA'!K101</f>
        <v>5.2898664000000002</v>
      </c>
      <c r="L101" s="322">
        <f>(100%-$D101)*'INGRESO A PS DE CA'!L101</f>
        <v>5.3694088000000004</v>
      </c>
      <c r="M101" s="322">
        <f>(100%-$D101)*'INGRESO A PS DE CA'!M101</f>
        <v>5.4501384000000002</v>
      </c>
      <c r="N101" s="322">
        <f>(100%-$D101)*'INGRESO A PS DE CA'!N101</f>
        <v>5.5320551999999994</v>
      </c>
      <c r="O101" s="322">
        <f>(100%-$D101)*'INGRESO A PS DE CA'!O101</f>
        <v>5.6151591999999999</v>
      </c>
      <c r="P101" s="322">
        <f>(100%-$D101)*'INGRESO A PS DE CA'!P101</f>
        <v>5.6997472000000009</v>
      </c>
      <c r="Q101" s="322">
        <f>(100%-$D101)*'INGRESO A PS DE CA'!Q101</f>
        <v>5.7855224000000005</v>
      </c>
      <c r="R101" s="322">
        <f>(100%-$D101)*'INGRESO A PS DE CA'!R101</f>
        <v>5.8724847999999996</v>
      </c>
      <c r="S101" s="322">
        <f>(100%-$D101)*'INGRESO A PS DE CA'!S101</f>
        <v>5.9606344</v>
      </c>
      <c r="T101" s="322">
        <f>(100%-$D101)*'INGRESO A PS DE CA'!T101</f>
        <v>6.0502680000000009</v>
      </c>
      <c r="U101" s="322">
        <f>(100%-$D101)*'INGRESO A PS DE CA'!U101</f>
        <v>6.1413856000000004</v>
      </c>
      <c r="V101" s="322">
        <f>(100%-$D101)*'INGRESO A PS DE CA'!V101</f>
        <v>6.2336904000000004</v>
      </c>
      <c r="W101" s="322">
        <f>(100%-$D101)*'INGRESO A PS DE CA'!W101</f>
        <v>6.3274792</v>
      </c>
      <c r="X101" s="322">
        <f>(100%-$D101)*'INGRESO A PS DE CA'!X101</f>
        <v>6.422455199999999</v>
      </c>
      <c r="Y101" s="322">
        <f>(100%-$D101)*'INGRESO A PS DE CA'!Y101</f>
        <v>6.5189151999999995</v>
      </c>
      <c r="Z101" s="322">
        <f>(100%-$D101)*'INGRESO A PS DE CA'!Z101</f>
        <v>6.6171560000000005</v>
      </c>
    </row>
    <row r="102" spans="1:26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20">
        <v>0.2</v>
      </c>
      <c r="E102" s="278"/>
      <c r="F102" s="263"/>
      <c r="G102" s="322">
        <f>(100%-$D102)*'INGRESO A PS DE CA'!G102</f>
        <v>0.88616784000000015</v>
      </c>
      <c r="H102" s="322">
        <f>(100%-$D102)*'INGRESO A PS DE CA'!H102</f>
        <v>7.1644800000000011</v>
      </c>
      <c r="I102" s="322">
        <f>(100%-$D102)*'INGRESO A PS DE CA'!I102</f>
        <v>13.576730400000001</v>
      </c>
      <c r="J102" s="322">
        <f>(100%-$D102)*'INGRESO A PS DE CA'!J102</f>
        <v>22.870440000000002</v>
      </c>
      <c r="K102" s="322">
        <f>(100%-$D102)*'INGRESO A PS DE CA'!K102</f>
        <v>32.363906399999998</v>
      </c>
      <c r="L102" s="322">
        <f>(100%-$D102)*'INGRESO A PS DE CA'!L102</f>
        <v>32.714908800000003</v>
      </c>
      <c r="M102" s="322">
        <f>(100%-$D102)*'INGRESO A PS DE CA'!M102</f>
        <v>33.0713376</v>
      </c>
      <c r="N102" s="322">
        <f>(100%-$D102)*'INGRESO A PS DE CA'!N102</f>
        <v>33.433763999999996</v>
      </c>
      <c r="O102" s="322">
        <f>(100%-$D102)*'INGRESO A PS DE CA'!O102</f>
        <v>33.802188000000001</v>
      </c>
      <c r="P102" s="322">
        <f>(100%-$D102)*'INGRESO A PS DE CA'!P102</f>
        <v>34.176324000000001</v>
      </c>
      <c r="Q102" s="322">
        <f>(100%-$D102)*'INGRESO A PS DE CA'!Q102</f>
        <v>34.556457600000002</v>
      </c>
      <c r="R102" s="322">
        <f>(100%-$D102)*'INGRESO A PS DE CA'!R102</f>
        <v>34.943159999999999</v>
      </c>
      <c r="S102" s="322">
        <f>(100%-$D102)*'INGRESO A PS DE CA'!S102</f>
        <v>35.336145600000002</v>
      </c>
      <c r="T102" s="322">
        <f>(100%-$D102)*'INGRESO A PS DE CA'!T102</f>
        <v>35.735128800000005</v>
      </c>
      <c r="U102" s="322">
        <f>(100%-$D102)*'INGRESO A PS DE CA'!U102</f>
        <v>36.141252000000001</v>
      </c>
      <c r="V102" s="322">
        <f>(100%-$D102)*'INGRESO A PS DE CA'!V102</f>
        <v>36.553372799999998</v>
      </c>
      <c r="W102" s="322">
        <f>(100%-$D102)*'INGRESO A PS DE CA'!W102</f>
        <v>36.9729192</v>
      </c>
      <c r="X102" s="322">
        <f>(100%-$D102)*'INGRESO A PS DE CA'!X102</f>
        <v>37.3987488</v>
      </c>
      <c r="Y102" s="322">
        <f>(100%-$D102)*'INGRESO A PS DE CA'!Y102</f>
        <v>37.831432800000009</v>
      </c>
      <c r="Z102" s="322">
        <f>(100%-$D102)*'INGRESO A PS DE CA'!Z102</f>
        <v>38.271542400000008</v>
      </c>
    </row>
    <row r="103" spans="1:26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20">
        <v>0.2</v>
      </c>
      <c r="E103" s="278"/>
      <c r="F103" s="263"/>
      <c r="G103" s="322">
        <f>(100%-$D103)*'INGRESO A PS DE CA'!G103</f>
        <v>0.82768511999999994</v>
      </c>
      <c r="H103" s="322">
        <f>(100%-$D103)*'INGRESO A PS DE CA'!H103</f>
        <v>6.6724646400000003</v>
      </c>
      <c r="I103" s="322">
        <f>(100%-$D103)*'INGRESO A PS DE CA'!I103</f>
        <v>12.607200000000001</v>
      </c>
      <c r="J103" s="322">
        <f>(100%-$D103)*'INGRESO A PS DE CA'!J103</f>
        <v>21.173772</v>
      </c>
      <c r="K103" s="322">
        <f>(100%-$D103)*'INGRESO A PS DE CA'!K103</f>
        <v>29.871475199999999</v>
      </c>
      <c r="L103" s="322">
        <f>(100%-$D103)*'INGRESO A PS DE CA'!L103</f>
        <v>30.101383200000001</v>
      </c>
      <c r="M103" s="322">
        <f>(100%-$D103)*'INGRESO A PS DE CA'!M103</f>
        <v>30.333004799999998</v>
      </c>
      <c r="N103" s="322">
        <f>(100%-$D103)*'INGRESO A PS DE CA'!N103</f>
        <v>30.566625599999998</v>
      </c>
      <c r="O103" s="322">
        <f>(100%-$D103)*'INGRESO A PS DE CA'!O103</f>
        <v>30.801959999999998</v>
      </c>
      <c r="P103" s="322">
        <f>(100%-$D103)*'INGRESO A PS DE CA'!P103</f>
        <v>31.039007999999995</v>
      </c>
      <c r="Q103" s="322">
        <f>(100%-$D103)*'INGRESO A PS DE CA'!Q103</f>
        <v>31.277769599999999</v>
      </c>
      <c r="R103" s="322">
        <f>(100%-$D103)*'INGRESO A PS DE CA'!R103</f>
        <v>31.5185304</v>
      </c>
      <c r="S103" s="322">
        <f>(100%-$D103)*'INGRESO A PS DE CA'!S103</f>
        <v>31.761290400000004</v>
      </c>
      <c r="T103" s="322">
        <f>(100%-$D103)*'INGRESO A PS DE CA'!T103</f>
        <v>32.005763999999999</v>
      </c>
      <c r="U103" s="322">
        <f>(100%-$D103)*'INGRESO A PS DE CA'!U103</f>
        <v>32.251951200000001</v>
      </c>
      <c r="V103" s="322">
        <f>(100%-$D103)*'INGRESO A PS DE CA'!V103</f>
        <v>32.5004232</v>
      </c>
      <c r="W103" s="322">
        <f>(100%-$D103)*'INGRESO A PS DE CA'!W103</f>
        <v>32.750608800000002</v>
      </c>
      <c r="X103" s="322">
        <f>(100%-$D103)*'INGRESO A PS DE CA'!X103</f>
        <v>33.002507999999999</v>
      </c>
      <c r="Y103" s="322">
        <f>(100%-$D103)*'INGRESO A PS DE CA'!Y103</f>
        <v>33.256692000000008</v>
      </c>
      <c r="Z103" s="322">
        <f>(100%-$D103)*'INGRESO A PS DE CA'!Z103</f>
        <v>33.512589600000005</v>
      </c>
    </row>
    <row r="104" spans="1:26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20">
        <v>0.2</v>
      </c>
      <c r="E104" s="278"/>
      <c r="F104" s="263"/>
      <c r="G104" s="322">
        <f>(100%-$D104)*'INGRESO A PS DE CA'!G104</f>
        <v>0.23520976000000002</v>
      </c>
      <c r="H104" s="322">
        <f>(100%-$D104)*'INGRESO A PS DE CA'!H104</f>
        <v>1.9166835200000003</v>
      </c>
      <c r="I104" s="322">
        <f>(100%-$D104)*'INGRESO A PS DE CA'!I104</f>
        <v>3.6603072000000005</v>
      </c>
      <c r="J104" s="322">
        <f>(100%-$D104)*'INGRESO A PS DE CA'!J104</f>
        <v>6.2132960000000006</v>
      </c>
      <c r="K104" s="322">
        <f>(100%-$D104)*'INGRESO A PS DE CA'!K104</f>
        <v>8.8591832000000004</v>
      </c>
      <c r="L104" s="322">
        <f>(100%-$D104)*'INGRESO A PS DE CA'!L104</f>
        <v>9.0224232000000004</v>
      </c>
      <c r="M104" s="322">
        <f>(100%-$D104)*'INGRESO A PS DE CA'!M104</f>
        <v>9.1883344000000005</v>
      </c>
      <c r="N104" s="322">
        <f>(100%-$D104)*'INGRESO A PS DE CA'!N104</f>
        <v>9.3566199999999995</v>
      </c>
      <c r="O104" s="322">
        <f>(100%-$D104)*'INGRESO A PS DE CA'!O104</f>
        <v>9.5278735999999995</v>
      </c>
      <c r="P104" s="322">
        <f>(100%-$D104)*'INGRESO A PS DE CA'!P104</f>
        <v>9.7020952000000023</v>
      </c>
      <c r="Q104" s="322">
        <f>(100%-$D104)*'INGRESO A PS DE CA'!Q104</f>
        <v>9.8789879999999997</v>
      </c>
      <c r="R104" s="322">
        <f>(100%-$D104)*'INGRESO A PS DE CA'!R104</f>
        <v>10.0588488</v>
      </c>
      <c r="S104" s="322">
        <f>(100%-$D104)*'INGRESO A PS DE CA'!S104</f>
        <v>10.241380800000002</v>
      </c>
      <c r="T104" s="322">
        <f>(100%-$D104)*'INGRESO A PS DE CA'!T104</f>
        <v>10.4271776</v>
      </c>
      <c r="U104" s="322">
        <f>(100%-$D104)*'INGRESO A PS DE CA'!U104</f>
        <v>10.6159424</v>
      </c>
      <c r="V104" s="322">
        <f>(100%-$D104)*'INGRESO A PS DE CA'!V104</f>
        <v>10.8076752</v>
      </c>
      <c r="W104" s="322">
        <f>(100%-$D104)*'INGRESO A PS DE CA'!W104</f>
        <v>11.002672799999999</v>
      </c>
      <c r="X104" s="322">
        <f>(100%-$D104)*'INGRESO A PS DE CA'!X104</f>
        <v>11.200638400000001</v>
      </c>
      <c r="Y104" s="322">
        <f>(100%-$D104)*'INGRESO A PS DE CA'!Y104</f>
        <v>11.4021656</v>
      </c>
      <c r="Z104" s="322">
        <f>(100%-$D104)*'INGRESO A PS DE CA'!Z104</f>
        <v>11.6066608</v>
      </c>
    </row>
    <row r="105" spans="1:26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20">
        <v>0.2</v>
      </c>
      <c r="E105" s="278"/>
      <c r="F105" s="263"/>
      <c r="G105" s="322">
        <f>(100%-$D105)*'INGRESO A PS DE CA'!G105</f>
        <v>0.29464608000000009</v>
      </c>
      <c r="H105" s="322">
        <f>(100%-$D105)*'INGRESO A PS DE CA'!H105</f>
        <v>2.3709401600000004</v>
      </c>
      <c r="I105" s="322">
        <f>(100%-$D105)*'INGRESO A PS DE CA'!I105</f>
        <v>4.4712072000000003</v>
      </c>
      <c r="J105" s="322">
        <f>(100%-$D105)*'INGRESO A PS DE CA'!J105</f>
        <v>7.4950480000000015</v>
      </c>
      <c r="K105" s="322">
        <f>(100%-$D105)*'INGRESO A PS DE CA'!K105</f>
        <v>10.553020800000001</v>
      </c>
      <c r="L105" s="322">
        <f>(100%-$D105)*'INGRESO A PS DE CA'!L105</f>
        <v>10.612974400000001</v>
      </c>
      <c r="M105" s="322">
        <f>(100%-$D105)*'INGRESO A PS DE CA'!M105</f>
        <v>10.673224800000002</v>
      </c>
      <c r="N105" s="322">
        <f>(100%-$D105)*'INGRESO A PS DE CA'!N105</f>
        <v>10.7331784</v>
      </c>
      <c r="O105" s="322">
        <f>(100%-$D105)*'INGRESO A PS DE CA'!O105</f>
        <v>10.793132</v>
      </c>
      <c r="P105" s="322">
        <f>(100%-$D105)*'INGRESO A PS DE CA'!P105</f>
        <v>10.853382400000001</v>
      </c>
      <c r="Q105" s="322">
        <f>(100%-$D105)*'INGRESO A PS DE CA'!Q105</f>
        <v>10.913336000000001</v>
      </c>
      <c r="R105" s="322">
        <f>(100%-$D105)*'INGRESO A PS DE CA'!R105</f>
        <v>10.973586400000002</v>
      </c>
      <c r="S105" s="322">
        <f>(100%-$D105)*'INGRESO A PS DE CA'!S105</f>
        <v>11.033540000000002</v>
      </c>
      <c r="T105" s="322">
        <f>(100%-$D105)*'INGRESO A PS DE CA'!T105</f>
        <v>11.093493600000002</v>
      </c>
      <c r="U105" s="322">
        <f>(100%-$D105)*'INGRESO A PS DE CA'!U105</f>
        <v>11.153744000000001</v>
      </c>
      <c r="V105" s="322">
        <f>(100%-$D105)*'INGRESO A PS DE CA'!V105</f>
        <v>11.213697600000001</v>
      </c>
      <c r="W105" s="322">
        <f>(100%-$D105)*'INGRESO A PS DE CA'!W105</f>
        <v>11.273947999999999</v>
      </c>
      <c r="X105" s="322">
        <f>(100%-$D105)*'INGRESO A PS DE CA'!X105</f>
        <v>11.333901599999999</v>
      </c>
      <c r="Y105" s="322">
        <f>(100%-$D105)*'INGRESO A PS DE CA'!Y105</f>
        <v>11.393855200000001</v>
      </c>
      <c r="Z105" s="322">
        <f>(100%-$D105)*'INGRESO A PS DE CA'!Z105</f>
        <v>11.454105600000002</v>
      </c>
    </row>
    <row r="106" spans="1:26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20">
        <v>0.2</v>
      </c>
      <c r="E106" s="278"/>
      <c r="F106" s="263"/>
      <c r="G106" s="322">
        <f>(100%-$D106)*'INGRESO A PS DE CA'!G106</f>
        <v>4.1495680000000007E-2</v>
      </c>
      <c r="H106" s="322">
        <f>(100%-$D106)*'INGRESO A PS DE CA'!H106</f>
        <v>0.33367296000000007</v>
      </c>
      <c r="I106" s="322">
        <f>(100%-$D106)*'INGRESO A PS DE CA'!I106</f>
        <v>0.62883840000000013</v>
      </c>
      <c r="J106" s="322">
        <f>(100%-$D106)*'INGRESO A PS DE CA'!J106</f>
        <v>1.0534000000000001</v>
      </c>
      <c r="K106" s="322">
        <f>(100%-$D106)*'INGRESO A PS DE CA'!K106</f>
        <v>1.4822303999999999</v>
      </c>
      <c r="L106" s="322">
        <f>(100%-$D106)*'INGRESO A PS DE CA'!L106</f>
        <v>1.4897008000000003</v>
      </c>
      <c r="M106" s="322">
        <f>(100%-$D106)*'INGRESO A PS DE CA'!M106</f>
        <v>1.4969136000000001</v>
      </c>
      <c r="N106" s="322">
        <f>(100%-$D106)*'INGRESO A PS DE CA'!N106</f>
        <v>1.5043839999999999</v>
      </c>
      <c r="O106" s="322">
        <f>(100%-$D106)*'INGRESO A PS DE CA'!O106</f>
        <v>1.5118544</v>
      </c>
      <c r="P106" s="322">
        <f>(100%-$D106)*'INGRESO A PS DE CA'!P106</f>
        <v>1.5193247999999997</v>
      </c>
      <c r="Q106" s="322">
        <f>(100%-$D106)*'INGRESO A PS DE CA'!Q106</f>
        <v>1.5267952</v>
      </c>
      <c r="R106" s="322">
        <f>(100%-$D106)*'INGRESO A PS DE CA'!R106</f>
        <v>1.5342656000000003</v>
      </c>
      <c r="S106" s="322">
        <f>(100%-$D106)*'INGRESO A PS DE CA'!S106</f>
        <v>1.541736</v>
      </c>
      <c r="T106" s="322">
        <f>(100%-$D106)*'INGRESO A PS DE CA'!T106</f>
        <v>1.5492064000000001</v>
      </c>
      <c r="U106" s="322">
        <f>(100%-$D106)*'INGRESO A PS DE CA'!U106</f>
        <v>1.5566768</v>
      </c>
      <c r="V106" s="322">
        <f>(100%-$D106)*'INGRESO A PS DE CA'!V106</f>
        <v>1.5641472000000003</v>
      </c>
      <c r="W106" s="322">
        <f>(100%-$D106)*'INGRESO A PS DE CA'!W106</f>
        <v>1.5713600000000001</v>
      </c>
      <c r="X106" s="322">
        <f>(100%-$D106)*'INGRESO A PS DE CA'!X106</f>
        <v>1.5788304</v>
      </c>
      <c r="Y106" s="322">
        <f>(100%-$D106)*'INGRESO A PS DE CA'!Y106</f>
        <v>1.5863008000000001</v>
      </c>
      <c r="Z106" s="322">
        <f>(100%-$D106)*'INGRESO A PS DE CA'!Z106</f>
        <v>1.5937711999999999</v>
      </c>
    </row>
    <row r="107" spans="1:26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20">
        <v>0.2</v>
      </c>
      <c r="E107" s="278"/>
      <c r="F107" s="263"/>
      <c r="G107" s="322">
        <f>(100%-$D107)*'INGRESO A PS DE CA'!G107</f>
        <v>0.8288928000000001</v>
      </c>
      <c r="H107" s="322">
        <f>(100%-$D107)*'INGRESO A PS DE CA'!H107</f>
        <v>6.6729216000000013</v>
      </c>
      <c r="I107" s="322">
        <f>(100%-$D107)*'INGRESO A PS DE CA'!I107</f>
        <v>12.590063999999998</v>
      </c>
      <c r="J107" s="322">
        <f>(100%-$D107)*'INGRESO A PS DE CA'!J107</f>
        <v>21.113796000000001</v>
      </c>
      <c r="K107" s="322">
        <f>(100%-$D107)*'INGRESO A PS DE CA'!K107</f>
        <v>29.7420984</v>
      </c>
      <c r="L107" s="322">
        <f>(100%-$D107)*'INGRESO A PS DE CA'!L107</f>
        <v>29.924882400000001</v>
      </c>
      <c r="M107" s="322">
        <f>(100%-$D107)*'INGRESO A PS DE CA'!M107</f>
        <v>30.107380800000001</v>
      </c>
      <c r="N107" s="322">
        <f>(100%-$D107)*'INGRESO A PS DE CA'!N107</f>
        <v>30.290164800000003</v>
      </c>
      <c r="O107" s="322">
        <f>(100%-$D107)*'INGRESO A PS DE CA'!O107</f>
        <v>30.472948800000001</v>
      </c>
      <c r="P107" s="322">
        <f>(100%-$D107)*'INGRESO A PS DE CA'!P107</f>
        <v>30.655447200000005</v>
      </c>
      <c r="Q107" s="322">
        <f>(100%-$D107)*'INGRESO A PS DE CA'!Q107</f>
        <v>30.838231200000003</v>
      </c>
      <c r="R107" s="322">
        <f>(100%-$D107)*'INGRESO A PS DE CA'!R107</f>
        <v>31.021015200000001</v>
      </c>
      <c r="S107" s="322">
        <f>(100%-$D107)*'INGRESO A PS DE CA'!S107</f>
        <v>31.203513599999997</v>
      </c>
      <c r="T107" s="322">
        <f>(100%-$D107)*'INGRESO A PS DE CA'!T107</f>
        <v>31.386297599999995</v>
      </c>
      <c r="U107" s="322">
        <f>(100%-$D107)*'INGRESO A PS DE CA'!U107</f>
        <v>31.569081600000001</v>
      </c>
      <c r="V107" s="322">
        <f>(100%-$D107)*'INGRESO A PS DE CA'!V107</f>
        <v>31.751579999999997</v>
      </c>
      <c r="W107" s="322">
        <f>(100%-$D107)*'INGRESO A PS DE CA'!W107</f>
        <v>31.934364000000002</v>
      </c>
      <c r="X107" s="322">
        <f>(100%-$D107)*'INGRESO A PS DE CA'!X107</f>
        <v>32.117148000000007</v>
      </c>
      <c r="Y107" s="322">
        <f>(100%-$D107)*'INGRESO A PS DE CA'!Y107</f>
        <v>32.2996464</v>
      </c>
      <c r="Z107" s="322">
        <f>(100%-$D107)*'INGRESO A PS DE CA'!Z107</f>
        <v>32.482430400000005</v>
      </c>
    </row>
    <row r="108" spans="1:26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20">
        <v>0.2</v>
      </c>
      <c r="E108" s="278"/>
      <c r="F108" s="263"/>
      <c r="G108" s="322">
        <f>(100%-$D108)*'INGRESO A PS DE CA'!G108</f>
        <v>2.5465600000000005E-2</v>
      </c>
      <c r="H108" s="322">
        <f>(100%-$D108)*'INGRESO A PS DE CA'!H108</f>
        <v>0.20790528</v>
      </c>
      <c r="I108" s="322">
        <f>(100%-$D108)*'INGRESO A PS DE CA'!I108</f>
        <v>0.39777119999999999</v>
      </c>
      <c r="J108" s="322">
        <f>(100%-$D108)*'INGRESO A PS DE CA'!J108</f>
        <v>0.67656800000000006</v>
      </c>
      <c r="K108" s="322">
        <f>(100%-$D108)*'INGRESO A PS DE CA'!K108</f>
        <v>0.96651520000000013</v>
      </c>
      <c r="L108" s="322">
        <f>(100%-$D108)*'INGRESO A PS DE CA'!L108</f>
        <v>0.98635040000000007</v>
      </c>
      <c r="M108" s="322">
        <f>(100%-$D108)*'INGRESO A PS DE CA'!M108</f>
        <v>1.0064432000000001</v>
      </c>
      <c r="N108" s="322">
        <f>(100%-$D108)*'INGRESO A PS DE CA'!N108</f>
        <v>1.0270512000000001</v>
      </c>
      <c r="O108" s="322">
        <f>(100%-$D108)*'INGRESO A PS DE CA'!O108</f>
        <v>1.0481744</v>
      </c>
      <c r="P108" s="322">
        <f>(100%-$D108)*'INGRESO A PS DE CA'!P108</f>
        <v>1.0695551999999999</v>
      </c>
      <c r="Q108" s="322">
        <f>(100%-$D108)*'INGRESO A PS DE CA'!Q108</f>
        <v>1.0914511999999998</v>
      </c>
      <c r="R108" s="322">
        <f>(100%-$D108)*'INGRESO A PS DE CA'!R108</f>
        <v>1.1136048000000001</v>
      </c>
      <c r="S108" s="322">
        <f>(100%-$D108)*'INGRESO A PS DE CA'!S108</f>
        <v>1.1365311999999999</v>
      </c>
      <c r="T108" s="322">
        <f>(100%-$D108)*'INGRESO A PS DE CA'!T108</f>
        <v>1.1597151999999999</v>
      </c>
      <c r="U108" s="322">
        <f>(100%-$D108)*'INGRESO A PS DE CA'!U108</f>
        <v>1.1834144</v>
      </c>
      <c r="V108" s="322">
        <f>(100%-$D108)*'INGRESO A PS DE CA'!V108</f>
        <v>1.2076288000000002</v>
      </c>
      <c r="W108" s="322">
        <f>(100%-$D108)*'INGRESO A PS DE CA'!W108</f>
        <v>1.2323583999999999</v>
      </c>
      <c r="X108" s="322">
        <f>(100%-$D108)*'INGRESO A PS DE CA'!X108</f>
        <v>1.2576032000000001</v>
      </c>
      <c r="Y108" s="322">
        <f>(100%-$D108)*'INGRESO A PS DE CA'!Y108</f>
        <v>1.2833632000000001</v>
      </c>
      <c r="Z108" s="322">
        <f>(100%-$D108)*'INGRESO A PS DE CA'!Z108</f>
        <v>1.3096384000000001</v>
      </c>
    </row>
    <row r="109" spans="1:26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20">
        <v>0.2</v>
      </c>
      <c r="E109" s="278"/>
      <c r="F109" s="263"/>
      <c r="G109" s="322">
        <f>(100%-$D109)*'INGRESO A PS DE CA'!G109</f>
        <v>4.894493520000001</v>
      </c>
      <c r="H109" s="322">
        <f>(100%-$D109)*'INGRESO A PS DE CA'!H109</f>
        <v>39.917934720000005</v>
      </c>
      <c r="I109" s="322">
        <f>(100%-$D109)*'INGRESO A PS DE CA'!I109</f>
        <v>76.275021599999988</v>
      </c>
      <c r="J109" s="322">
        <f>(100%-$D109)*'INGRESO A PS DE CA'!J109</f>
        <v>129.50652600000001</v>
      </c>
      <c r="K109" s="322">
        <f>(100%-$D109)*'INGRESO A PS DE CA'!K109</f>
        <v>184.64322239999998</v>
      </c>
      <c r="L109" s="322">
        <f>(100%-$D109)*'INGRESO A PS DE CA'!L109</f>
        <v>187.97730839999997</v>
      </c>
      <c r="M109" s="322">
        <f>(100%-$D109)*'INGRESO A PS DE CA'!M109</f>
        <v>191.31139439999998</v>
      </c>
      <c r="N109" s="322">
        <f>(100%-$D109)*'INGRESO A PS DE CA'!N109</f>
        <v>194.6454804</v>
      </c>
      <c r="O109" s="322">
        <f>(100%-$D109)*'INGRESO A PS DE CA'!O109</f>
        <v>197.97956640000001</v>
      </c>
      <c r="P109" s="322">
        <f>(100%-$D109)*'INGRESO A PS DE CA'!P109</f>
        <v>201.3136524</v>
      </c>
      <c r="Q109" s="322">
        <f>(100%-$D109)*'INGRESO A PS DE CA'!Q109</f>
        <v>204.64773839999998</v>
      </c>
      <c r="R109" s="322">
        <f>(100%-$D109)*'INGRESO A PS DE CA'!R109</f>
        <v>207.98182440000002</v>
      </c>
      <c r="S109" s="322">
        <f>(100%-$D109)*'INGRESO A PS DE CA'!S109</f>
        <v>211.31551559999994</v>
      </c>
      <c r="T109" s="322">
        <f>(100%-$D109)*'INGRESO A PS DE CA'!T109</f>
        <v>214.64960160000001</v>
      </c>
      <c r="U109" s="322">
        <f>(100%-$D109)*'INGRESO A PS DE CA'!U109</f>
        <v>217.9836876</v>
      </c>
      <c r="V109" s="322">
        <f>(100%-$D109)*'INGRESO A PS DE CA'!V109</f>
        <v>221.31777359999998</v>
      </c>
      <c r="W109" s="322">
        <f>(100%-$D109)*'INGRESO A PS DE CA'!W109</f>
        <v>224.65185959999997</v>
      </c>
      <c r="X109" s="322">
        <f>(100%-$D109)*'INGRESO A PS DE CA'!X109</f>
        <v>227.98594559999998</v>
      </c>
      <c r="Y109" s="322">
        <f>(100%-$D109)*'INGRESO A PS DE CA'!Y109</f>
        <v>231.32003159999999</v>
      </c>
      <c r="Z109" s="322">
        <f>(100%-$D109)*'INGRESO A PS DE CA'!Z109</f>
        <v>234.65411759999998</v>
      </c>
    </row>
    <row r="110" spans="1:26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20">
        <v>0.2</v>
      </c>
      <c r="E110" s="278"/>
      <c r="F110" s="263"/>
      <c r="G110" s="322">
        <f>(100%-$D110)*'INGRESO A PS DE CA'!G110</f>
        <v>0.52929840000000006</v>
      </c>
      <c r="H110" s="322">
        <f>(100%-$D110)*'INGRESO A PS DE CA'!H110</f>
        <v>4.3458201600000006</v>
      </c>
      <c r="I110" s="322">
        <f>(100%-$D110)*'INGRESO A PS DE CA'!I110</f>
        <v>8.360532000000001</v>
      </c>
      <c r="J110" s="322">
        <f>(100%-$D110)*'INGRESO A PS DE CA'!J110</f>
        <v>14.293668</v>
      </c>
      <c r="K110" s="322">
        <f>(100%-$D110)*'INGRESO A PS DE CA'!K110</f>
        <v>20.522644800000002</v>
      </c>
      <c r="L110" s="322">
        <f>(100%-$D110)*'INGRESO A PS DE CA'!L110</f>
        <v>21.042151200000003</v>
      </c>
      <c r="M110" s="322">
        <f>(100%-$D110)*'INGRESO A PS DE CA'!M110</f>
        <v>21.570511200000002</v>
      </c>
      <c r="N110" s="322">
        <f>(100%-$D110)*'INGRESO A PS DE CA'!N110</f>
        <v>22.107153599999997</v>
      </c>
      <c r="O110" s="322">
        <f>(100%-$D110)*'INGRESO A PS DE CA'!O110</f>
        <v>22.6526496</v>
      </c>
      <c r="P110" s="322">
        <f>(100%-$D110)*'INGRESO A PS DE CA'!P110</f>
        <v>23.206999199999998</v>
      </c>
      <c r="Q110" s="322">
        <f>(100%-$D110)*'INGRESO A PS DE CA'!Q110</f>
        <v>23.770773599999998</v>
      </c>
      <c r="R110" s="322">
        <f>(100%-$D110)*'INGRESO A PS DE CA'!R110</f>
        <v>24.3434016</v>
      </c>
      <c r="S110" s="322">
        <f>(100%-$D110)*'INGRESO A PS DE CA'!S110</f>
        <v>24.9254544</v>
      </c>
      <c r="T110" s="322">
        <f>(100%-$D110)*'INGRESO A PS DE CA'!T110</f>
        <v>25.516932000000001</v>
      </c>
      <c r="U110" s="322">
        <f>(100%-$D110)*'INGRESO A PS DE CA'!U110</f>
        <v>26.118405600000003</v>
      </c>
      <c r="V110" s="322">
        <f>(100%-$D110)*'INGRESO A PS DE CA'!V110</f>
        <v>26.729303999999999</v>
      </c>
      <c r="W110" s="322">
        <f>(100%-$D110)*'INGRESO A PS DE CA'!W110</f>
        <v>27.3501984</v>
      </c>
      <c r="X110" s="322">
        <f>(100%-$D110)*'INGRESO A PS DE CA'!X110</f>
        <v>27.9813744</v>
      </c>
      <c r="Y110" s="322">
        <f>(100%-$D110)*'INGRESO A PS DE CA'!Y110</f>
        <v>28.622832000000002</v>
      </c>
      <c r="Z110" s="322">
        <f>(100%-$D110)*'INGRESO A PS DE CA'!Z110</f>
        <v>29.274571199999997</v>
      </c>
    </row>
    <row r="111" spans="1:26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20">
        <v>0.2</v>
      </c>
      <c r="E111" s="278"/>
      <c r="F111" s="263"/>
      <c r="G111" s="322">
        <f>(100%-$D111)*'INGRESO A PS DE CA'!G111</f>
        <v>0.92990544000000019</v>
      </c>
      <c r="H111" s="322">
        <f>(100%-$D111)*'INGRESO A PS DE CA'!H111</f>
        <v>7.5773107199999998</v>
      </c>
      <c r="I111" s="322">
        <f>(100%-$D111)*'INGRESO A PS DE CA'!I111</f>
        <v>14.466333599999999</v>
      </c>
      <c r="J111" s="322">
        <f>(100%-$D111)*'INGRESO A PS DE CA'!J111</f>
        <v>24.542016000000004</v>
      </c>
      <c r="K111" s="322">
        <f>(100%-$D111)*'INGRESO A PS DE CA'!K111</f>
        <v>34.963152000000001</v>
      </c>
      <c r="L111" s="322">
        <f>(100%-$D111)*'INGRESO A PS DE CA'!L111</f>
        <v>35.567195999999996</v>
      </c>
      <c r="M111" s="322">
        <f>(100%-$D111)*'INGRESO A PS DE CA'!M111</f>
        <v>36.171239999999997</v>
      </c>
      <c r="N111" s="322">
        <f>(100%-$D111)*'INGRESO A PS DE CA'!N111</f>
        <v>36.775283999999992</v>
      </c>
      <c r="O111" s="322">
        <f>(100%-$D111)*'INGRESO A PS DE CA'!O111</f>
        <v>37.379328000000001</v>
      </c>
      <c r="P111" s="322">
        <f>(100%-$D111)*'INGRESO A PS DE CA'!P111</f>
        <v>37.983371999999996</v>
      </c>
      <c r="Q111" s="322">
        <f>(100%-$D111)*'INGRESO A PS DE CA'!Q111</f>
        <v>38.587416000000005</v>
      </c>
      <c r="R111" s="322">
        <f>(100%-$D111)*'INGRESO A PS DE CA'!R111</f>
        <v>39.191460000000006</v>
      </c>
      <c r="S111" s="322">
        <f>(100%-$D111)*'INGRESO A PS DE CA'!S111</f>
        <v>39.795789600000006</v>
      </c>
      <c r="T111" s="322">
        <f>(100%-$D111)*'INGRESO A PS DE CA'!T111</f>
        <v>40.399833600000001</v>
      </c>
      <c r="U111" s="322">
        <f>(100%-$D111)*'INGRESO A PS DE CA'!U111</f>
        <v>41.00387760000001</v>
      </c>
      <c r="V111" s="322">
        <f>(100%-$D111)*'INGRESO A PS DE CA'!V111</f>
        <v>41.607921599999997</v>
      </c>
      <c r="W111" s="322">
        <f>(100%-$D111)*'INGRESO A PS DE CA'!W111</f>
        <v>42.211965599999992</v>
      </c>
      <c r="X111" s="322">
        <f>(100%-$D111)*'INGRESO A PS DE CA'!X111</f>
        <v>42.816009600000001</v>
      </c>
      <c r="Y111" s="322">
        <f>(100%-$D111)*'INGRESO A PS DE CA'!Y111</f>
        <v>43.420053599999996</v>
      </c>
      <c r="Z111" s="322">
        <f>(100%-$D111)*'INGRESO A PS DE CA'!Z111</f>
        <v>44.024097600000005</v>
      </c>
    </row>
    <row r="112" spans="1:26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20">
        <v>0.2</v>
      </c>
      <c r="E112" s="278"/>
      <c r="F112" s="263"/>
      <c r="G112" s="322">
        <f>(100%-$D112)*'INGRESO A PS DE CA'!G112</f>
        <v>3.7271039999999998E-2</v>
      </c>
      <c r="H112" s="322">
        <f>(100%-$D112)*'INGRESO A PS DE CA'!H112</f>
        <v>0.3008768</v>
      </c>
      <c r="I112" s="322">
        <f>(100%-$D112)*'INGRESO A PS DE CA'!I112</f>
        <v>0.56922240000000002</v>
      </c>
      <c r="J112" s="322">
        <f>(100%-$D112)*'INGRESO A PS DE CA'!J112</f>
        <v>0.95698400000000017</v>
      </c>
      <c r="K112" s="322">
        <f>(100%-$D112)*'INGRESO A PS DE CA'!K112</f>
        <v>1.3516272</v>
      </c>
      <c r="L112" s="322">
        <f>(100%-$D112)*'INGRESO A PS DE CA'!L112</f>
        <v>1.3688864000000001</v>
      </c>
      <c r="M112" s="322">
        <f>(100%-$D112)*'INGRESO A PS DE CA'!M112</f>
        <v>1.385888</v>
      </c>
      <c r="N112" s="322">
        <f>(100%-$D112)*'INGRESO A PS DE CA'!N112</f>
        <v>1.4031472</v>
      </c>
      <c r="O112" s="322">
        <f>(100%-$D112)*'INGRESO A PS DE CA'!O112</f>
        <v>1.4204064000000001</v>
      </c>
      <c r="P112" s="322">
        <f>(100%-$D112)*'INGRESO A PS DE CA'!P112</f>
        <v>1.437408</v>
      </c>
      <c r="Q112" s="322">
        <f>(100%-$D112)*'INGRESO A PS DE CA'!Q112</f>
        <v>1.4546672</v>
      </c>
      <c r="R112" s="322">
        <f>(100%-$D112)*'INGRESO A PS DE CA'!R112</f>
        <v>1.4719264000000001</v>
      </c>
      <c r="S112" s="322">
        <f>(100%-$D112)*'INGRESO A PS DE CA'!S112</f>
        <v>1.4889280000000003</v>
      </c>
      <c r="T112" s="322">
        <f>(100%-$D112)*'INGRESO A PS DE CA'!T112</f>
        <v>1.5061871999999998</v>
      </c>
      <c r="U112" s="322">
        <f>(100%-$D112)*'INGRESO A PS DE CA'!U112</f>
        <v>1.5231888</v>
      </c>
      <c r="V112" s="322">
        <f>(100%-$D112)*'INGRESO A PS DE CA'!V112</f>
        <v>1.5404480000000003</v>
      </c>
      <c r="W112" s="322">
        <f>(100%-$D112)*'INGRESO A PS DE CA'!W112</f>
        <v>1.5577072000000001</v>
      </c>
      <c r="X112" s="322">
        <f>(100%-$D112)*'INGRESO A PS DE CA'!X112</f>
        <v>1.5747088</v>
      </c>
      <c r="Y112" s="322">
        <f>(100%-$D112)*'INGRESO A PS DE CA'!Y112</f>
        <v>1.591968</v>
      </c>
      <c r="Z112" s="322">
        <f>(100%-$D112)*'INGRESO A PS DE CA'!Z112</f>
        <v>1.6092272000000003</v>
      </c>
    </row>
    <row r="113" spans="1:26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20">
        <v>0.2</v>
      </c>
      <c r="E113" s="278"/>
      <c r="F113" s="263"/>
      <c r="G113" s="322">
        <f>(100%-$D113)*'INGRESO A PS DE CA'!G113</f>
        <v>6.568800000000001E-2</v>
      </c>
      <c r="H113" s="322">
        <f>(100%-$D113)*'INGRESO A PS DE CA'!H113</f>
        <v>0.53551360000000003</v>
      </c>
      <c r="I113" s="322">
        <f>(100%-$D113)*'INGRESO A PS DE CA'!I113</f>
        <v>1.0231872</v>
      </c>
      <c r="J113" s="322">
        <f>(100%-$D113)*'INGRESO A PS DE CA'!J113</f>
        <v>1.7376960000000001</v>
      </c>
      <c r="K113" s="322">
        <f>(100%-$D113)*'INGRESO A PS DE CA'!K113</f>
        <v>2.4786272</v>
      </c>
      <c r="L113" s="322">
        <f>(100%-$D113)*'INGRESO A PS DE CA'!L113</f>
        <v>2.5255104000000004</v>
      </c>
      <c r="M113" s="322">
        <f>(100%-$D113)*'INGRESO A PS DE CA'!M113</f>
        <v>2.5729088000000004</v>
      </c>
      <c r="N113" s="322">
        <f>(100%-$D113)*'INGRESO A PS DE CA'!N113</f>
        <v>2.6213375999999999</v>
      </c>
      <c r="O113" s="322">
        <f>(100%-$D113)*'INGRESO A PS DE CA'!O113</f>
        <v>2.6702816000000005</v>
      </c>
      <c r="P113" s="322">
        <f>(100%-$D113)*'INGRESO A PS DE CA'!P113</f>
        <v>2.7202560000000005</v>
      </c>
      <c r="Q113" s="322">
        <f>(100%-$D113)*'INGRESO A PS DE CA'!Q113</f>
        <v>2.7710032</v>
      </c>
      <c r="R113" s="322">
        <f>(100%-$D113)*'INGRESO A PS DE CA'!R113</f>
        <v>2.8225232000000005</v>
      </c>
      <c r="S113" s="322">
        <f>(100%-$D113)*'INGRESO A PS DE CA'!S113</f>
        <v>2.874816</v>
      </c>
      <c r="T113" s="322">
        <f>(100%-$D113)*'INGRESO A PS DE CA'!T113</f>
        <v>2.9281392000000004</v>
      </c>
      <c r="U113" s="322">
        <f>(100%-$D113)*'INGRESO A PS DE CA'!U113</f>
        <v>2.9822351999999999</v>
      </c>
      <c r="V113" s="322">
        <f>(100%-$D113)*'INGRESO A PS DE CA'!V113</f>
        <v>3.0371040000000007</v>
      </c>
      <c r="W113" s="322">
        <f>(100%-$D113)*'INGRESO A PS DE CA'!W113</f>
        <v>3.0930032000000001</v>
      </c>
      <c r="X113" s="322">
        <f>(100%-$D113)*'INGRESO A PS DE CA'!X113</f>
        <v>3.1496751999999999</v>
      </c>
      <c r="Y113" s="322">
        <f>(100%-$D113)*'INGRESO A PS DE CA'!Y113</f>
        <v>3.2073775999999996</v>
      </c>
      <c r="Z113" s="322">
        <f>(100%-$D113)*'INGRESO A PS DE CA'!Z113</f>
        <v>3.2661104000000005</v>
      </c>
    </row>
    <row r="114" spans="1:26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20">
        <v>0.2</v>
      </c>
      <c r="E114" s="278"/>
      <c r="F114" s="263"/>
      <c r="G114" s="322">
        <f>(100%-$D114)*'INGRESO A PS DE CA'!G114</f>
        <v>0.14114112000000001</v>
      </c>
      <c r="H114" s="322">
        <f>(100%-$D114)*'INGRESO A PS DE CA'!H114</f>
        <v>1.1449356800000003</v>
      </c>
      <c r="I114" s="322">
        <f>(100%-$D114)*'INGRESO A PS DE CA'!I114</f>
        <v>2.1769007999999999</v>
      </c>
      <c r="J114" s="322">
        <f>(100%-$D114)*'INGRESO A PS DE CA'!J114</f>
        <v>3.6790480000000003</v>
      </c>
      <c r="K114" s="322">
        <f>(100%-$D114)*'INGRESO A PS DE CA'!K114</f>
        <v>5.2227895999999996</v>
      </c>
      <c r="L114" s="322">
        <f>(100%-$D114)*'INGRESO A PS DE CA'!L114</f>
        <v>5.2960991999999996</v>
      </c>
      <c r="M114" s="322">
        <f>(100%-$D114)*'INGRESO A PS DE CA'!M114</f>
        <v>5.3702991999999998</v>
      </c>
      <c r="N114" s="322">
        <f>(100%-$D114)*'INGRESO A PS DE CA'!N114</f>
        <v>5.4456864000000005</v>
      </c>
      <c r="O114" s="322">
        <f>(100%-$D114)*'INGRESO A PS DE CA'!O114</f>
        <v>5.5219640000000005</v>
      </c>
      <c r="P114" s="322">
        <f>(100%-$D114)*'INGRESO A PS DE CA'!P114</f>
        <v>5.599428800000001</v>
      </c>
      <c r="Q114" s="322">
        <f>(100%-$D114)*'INGRESO A PS DE CA'!Q114</f>
        <v>5.6780808</v>
      </c>
      <c r="R114" s="322">
        <f>(100%-$D114)*'INGRESO A PS DE CA'!R114</f>
        <v>5.7576232000000003</v>
      </c>
      <c r="S114" s="322">
        <f>(100%-$D114)*'INGRESO A PS DE CA'!S114</f>
        <v>5.8383528000000009</v>
      </c>
      <c r="T114" s="322">
        <f>(100%-$D114)*'INGRESO A PS DE CA'!T114</f>
        <v>5.9202695999999992</v>
      </c>
      <c r="U114" s="322">
        <f>(100%-$D114)*'INGRESO A PS DE CA'!U114</f>
        <v>6.0033736000000006</v>
      </c>
      <c r="V114" s="322">
        <f>(100%-$D114)*'INGRESO A PS DE CA'!V114</f>
        <v>6.0873680000000006</v>
      </c>
      <c r="W114" s="322">
        <f>(100%-$D114)*'INGRESO A PS DE CA'!W114</f>
        <v>6.1728464000000001</v>
      </c>
      <c r="X114" s="322">
        <f>(100%-$D114)*'INGRESO A PS DE CA'!X114</f>
        <v>6.2595120000000009</v>
      </c>
      <c r="Y114" s="322">
        <f>(100%-$D114)*'INGRESO A PS DE CA'!Y114</f>
        <v>6.3470680000000002</v>
      </c>
      <c r="Z114" s="322">
        <f>(100%-$D114)*'INGRESO A PS DE CA'!Z114</f>
        <v>6.4361080000000008</v>
      </c>
    </row>
    <row r="115" spans="1:26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20">
        <v>0.2</v>
      </c>
      <c r="E115" s="278"/>
      <c r="F115" s="263"/>
      <c r="G115" s="322">
        <f>(100%-$D115)*'INGRESO A PS DE CA'!G115</f>
        <v>0.10833920000000002</v>
      </c>
      <c r="H115" s="322">
        <f>(100%-$D115)*'INGRESO A PS DE CA'!H115</f>
        <v>0.87425023999999996</v>
      </c>
      <c r="I115" s="322">
        <f>(100%-$D115)*'INGRESO A PS DE CA'!I115</f>
        <v>1.65324</v>
      </c>
      <c r="J115" s="322">
        <f>(100%-$D115)*'INGRESO A PS DE CA'!J115</f>
        <v>2.7789520000000003</v>
      </c>
      <c r="K115" s="322">
        <f>(100%-$D115)*'INGRESO A PS DE CA'!K115</f>
        <v>3.9232479999999996</v>
      </c>
      <c r="L115" s="322">
        <f>(100%-$D115)*'INGRESO A PS DE CA'!L115</f>
        <v>3.9562208000000001</v>
      </c>
      <c r="M115" s="322">
        <f>(100%-$D115)*'INGRESO A PS DE CA'!M115</f>
        <v>3.9891936000000001</v>
      </c>
      <c r="N115" s="322">
        <f>(100%-$D115)*'INGRESO A PS DE CA'!N115</f>
        <v>4.0219088000000003</v>
      </c>
      <c r="O115" s="322">
        <f>(100%-$D115)*'INGRESO A PS DE CA'!O115</f>
        <v>4.0548816000000008</v>
      </c>
      <c r="P115" s="322">
        <f>(100%-$D115)*'INGRESO A PS DE CA'!P115</f>
        <v>4.0875968</v>
      </c>
      <c r="Q115" s="322">
        <f>(100%-$D115)*'INGRESO A PS DE CA'!Q115</f>
        <v>4.1205696000000005</v>
      </c>
      <c r="R115" s="322">
        <f>(100%-$D115)*'INGRESO A PS DE CA'!R115</f>
        <v>4.1532847999999998</v>
      </c>
      <c r="S115" s="322">
        <f>(100%-$D115)*'INGRESO A PS DE CA'!S115</f>
        <v>4.1862576000000002</v>
      </c>
      <c r="T115" s="322">
        <f>(100%-$D115)*'INGRESO A PS DE CA'!T115</f>
        <v>4.2189727999999995</v>
      </c>
      <c r="U115" s="322">
        <f>(100%-$D115)*'INGRESO A PS DE CA'!U115</f>
        <v>4.2519456</v>
      </c>
      <c r="V115" s="322">
        <f>(100%-$D115)*'INGRESO A PS DE CA'!V115</f>
        <v>4.2849184000000005</v>
      </c>
      <c r="W115" s="322">
        <f>(100%-$D115)*'INGRESO A PS DE CA'!W115</f>
        <v>4.3176335999999997</v>
      </c>
      <c r="X115" s="322">
        <f>(100%-$D115)*'INGRESO A PS DE CA'!X115</f>
        <v>4.3506064000000002</v>
      </c>
      <c r="Y115" s="322">
        <f>(100%-$D115)*'INGRESO A PS DE CA'!Y115</f>
        <v>4.3833216000000004</v>
      </c>
      <c r="Z115" s="322">
        <f>(100%-$D115)*'INGRESO A PS DE CA'!Z115</f>
        <v>4.4162944000000008</v>
      </c>
    </row>
    <row r="116" spans="1:26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20">
        <v>0.2</v>
      </c>
      <c r="E116" s="278"/>
      <c r="F116" s="263"/>
      <c r="G116" s="322">
        <f>(100%-$D116)*'INGRESO A PS DE CA'!G116</f>
        <v>0.10231136000000002</v>
      </c>
      <c r="H116" s="322">
        <f>(100%-$D116)*'INGRESO A PS DE CA'!H116</f>
        <v>0.82673408000000015</v>
      </c>
      <c r="I116" s="322">
        <f>(100%-$D116)*'INGRESO A PS DE CA'!I116</f>
        <v>1.565472</v>
      </c>
      <c r="J116" s="322">
        <f>(100%-$D116)*'INGRESO A PS DE CA'!J116</f>
        <v>2.6348800000000008</v>
      </c>
      <c r="K116" s="322">
        <f>(100%-$D116)*'INGRESO A PS DE CA'!K116</f>
        <v>3.7248959999999998</v>
      </c>
      <c r="L116" s="322">
        <f>(100%-$D116)*'INGRESO A PS DE CA'!L116</f>
        <v>3.7609600000000003</v>
      </c>
      <c r="M116" s="322">
        <f>(100%-$D116)*'INGRESO A PS DE CA'!M116</f>
        <v>3.797024</v>
      </c>
      <c r="N116" s="322">
        <f>(100%-$D116)*'INGRESO A PS DE CA'!N116</f>
        <v>3.8330880000000001</v>
      </c>
      <c r="O116" s="322">
        <f>(100%-$D116)*'INGRESO A PS DE CA'!O116</f>
        <v>3.8691520000000006</v>
      </c>
      <c r="P116" s="322">
        <f>(100%-$D116)*'INGRESO A PS DE CA'!P116</f>
        <v>3.9052160000000002</v>
      </c>
      <c r="Q116" s="322">
        <f>(100%-$D116)*'INGRESO A PS DE CA'!Q116</f>
        <v>3.9410224</v>
      </c>
      <c r="R116" s="322">
        <f>(100%-$D116)*'INGRESO A PS DE CA'!R116</f>
        <v>3.9770864000000006</v>
      </c>
      <c r="S116" s="322">
        <f>(100%-$D116)*'INGRESO A PS DE CA'!S116</f>
        <v>4.0131503999999998</v>
      </c>
      <c r="T116" s="322">
        <f>(100%-$D116)*'INGRESO A PS DE CA'!T116</f>
        <v>4.0492144000000003</v>
      </c>
      <c r="U116" s="322">
        <f>(100%-$D116)*'INGRESO A PS DE CA'!U116</f>
        <v>4.0852784</v>
      </c>
      <c r="V116" s="322">
        <f>(100%-$D116)*'INGRESO A PS DE CA'!V116</f>
        <v>4.1213423999999996</v>
      </c>
      <c r="W116" s="322">
        <f>(100%-$D116)*'INGRESO A PS DE CA'!W116</f>
        <v>4.1574064000000002</v>
      </c>
      <c r="X116" s="322">
        <f>(100%-$D116)*'INGRESO A PS DE CA'!X116</f>
        <v>4.1934703999999998</v>
      </c>
      <c r="Y116" s="322">
        <f>(100%-$D116)*'INGRESO A PS DE CA'!Y116</f>
        <v>4.2295344000000004</v>
      </c>
      <c r="Z116" s="322">
        <f>(100%-$D116)*'INGRESO A PS DE CA'!Z116</f>
        <v>4.2653407999999997</v>
      </c>
    </row>
    <row r="117" spans="1:26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20">
        <v>0.2</v>
      </c>
      <c r="E117" s="278"/>
      <c r="F117" s="263"/>
      <c r="G117" s="322">
        <f>(100%-$D117)*'INGRESO A PS DE CA'!G117</f>
        <v>0.18483856000000001</v>
      </c>
      <c r="H117" s="322">
        <f>(100%-$D117)*'INGRESO A PS DE CA'!H117</f>
        <v>1.4877312000000003</v>
      </c>
      <c r="I117" s="322">
        <f>(100%-$D117)*'INGRESO A PS DE CA'!I117</f>
        <v>2.8066680000000002</v>
      </c>
      <c r="J117" s="322">
        <f>(100%-$D117)*'INGRESO A PS DE CA'!J117</f>
        <v>4.7064000000000004</v>
      </c>
      <c r="K117" s="322">
        <f>(100%-$D117)*'INGRESO A PS DE CA'!K117</f>
        <v>6.6293247999999991</v>
      </c>
      <c r="L117" s="322">
        <f>(100%-$D117)*'INGRESO A PS DE CA'!L117</f>
        <v>6.6699864000000009</v>
      </c>
      <c r="M117" s="322">
        <f>(100%-$D117)*'INGRESO A PS DE CA'!M117</f>
        <v>6.7109447999999992</v>
      </c>
      <c r="N117" s="322">
        <f>(100%-$D117)*'INGRESO A PS DE CA'!N117</f>
        <v>6.7521999999999993</v>
      </c>
      <c r="O117" s="322">
        <f>(100%-$D117)*'INGRESO A PS DE CA'!O117</f>
        <v>6.7934552000000004</v>
      </c>
      <c r="P117" s="322">
        <f>(100%-$D117)*'INGRESO A PS DE CA'!P117</f>
        <v>6.8350071999999997</v>
      </c>
      <c r="Q117" s="322">
        <f>(100%-$D117)*'INGRESO A PS DE CA'!Q117</f>
        <v>6.8771528000000011</v>
      </c>
      <c r="R117" s="322">
        <f>(100%-$D117)*'INGRESO A PS DE CA'!R117</f>
        <v>6.9192983999999997</v>
      </c>
      <c r="S117" s="322">
        <f>(100%-$D117)*'INGRESO A PS DE CA'!S117</f>
        <v>6.9617408000000003</v>
      </c>
      <c r="T117" s="322">
        <f>(100%-$D117)*'INGRESO A PS DE CA'!T117</f>
        <v>7.0041831999999999</v>
      </c>
      <c r="U117" s="322">
        <f>(100%-$D117)*'INGRESO A PS DE CA'!U117</f>
        <v>7.0472192000000007</v>
      </c>
      <c r="V117" s="322">
        <f>(100%-$D117)*'INGRESO A PS DE CA'!V117</f>
        <v>7.0905520000000015</v>
      </c>
      <c r="W117" s="322">
        <f>(100%-$D117)*'INGRESO A PS DE CA'!W117</f>
        <v>7.1338848000000006</v>
      </c>
      <c r="X117" s="322">
        <f>(100%-$D117)*'INGRESO A PS DE CA'!X117</f>
        <v>7.1778111999999998</v>
      </c>
      <c r="Y117" s="322">
        <f>(100%-$D117)*'INGRESO A PS DE CA'!Y117</f>
        <v>7.2217376000000009</v>
      </c>
      <c r="Z117" s="322">
        <f>(100%-$D117)*'INGRESO A PS DE CA'!Z117</f>
        <v>7.2659607999999993</v>
      </c>
    </row>
    <row r="118" spans="1:26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20">
        <v>0.2</v>
      </c>
      <c r="E118" s="278"/>
      <c r="F118" s="263"/>
      <c r="G118" s="322">
        <f>(100%-$D118)*'INGRESO A PS DE CA'!G118</f>
        <v>0.10318720000000002</v>
      </c>
      <c r="H118" s="322">
        <f>(100%-$D118)*'INGRESO A PS DE CA'!H118</f>
        <v>0.83892224000000004</v>
      </c>
      <c r="I118" s="322">
        <f>(100%-$D118)*'INGRESO A PS DE CA'!I118</f>
        <v>1.5981504000000002</v>
      </c>
      <c r="J118" s="322">
        <f>(100%-$D118)*'INGRESO A PS DE CA'!J118</f>
        <v>2.7055360000000004</v>
      </c>
      <c r="K118" s="322">
        <f>(100%-$D118)*'INGRESO A PS DE CA'!K118</f>
        <v>3.8464832000000002</v>
      </c>
      <c r="L118" s="322">
        <f>(100%-$D118)*'INGRESO A PS DE CA'!L118</f>
        <v>3.9052160000000002</v>
      </c>
      <c r="M118" s="322">
        <f>(100%-$D118)*'INGRESO A PS DE CA'!M118</f>
        <v>3.9636912000000004</v>
      </c>
      <c r="N118" s="322">
        <f>(100%-$D118)*'INGRESO A PS DE CA'!N118</f>
        <v>4.022424</v>
      </c>
      <c r="O118" s="322">
        <f>(100%-$D118)*'INGRESO A PS DE CA'!O118</f>
        <v>4.0811568000000005</v>
      </c>
      <c r="P118" s="322">
        <f>(100%-$D118)*'INGRESO A PS DE CA'!P118</f>
        <v>4.1398896000000001</v>
      </c>
      <c r="Q118" s="322">
        <f>(100%-$D118)*'INGRESO A PS DE CA'!Q118</f>
        <v>4.1986224000000005</v>
      </c>
      <c r="R118" s="322">
        <f>(100%-$D118)*'INGRESO A PS DE CA'!R118</f>
        <v>4.2573552000000001</v>
      </c>
      <c r="S118" s="322">
        <f>(100%-$D118)*'INGRESO A PS DE CA'!S118</f>
        <v>4.3160879999999997</v>
      </c>
      <c r="T118" s="322">
        <f>(100%-$D118)*'INGRESO A PS DE CA'!T118</f>
        <v>4.3748208000000002</v>
      </c>
      <c r="U118" s="322">
        <f>(100%-$D118)*'INGRESO A PS DE CA'!U118</f>
        <v>4.4332960000000003</v>
      </c>
      <c r="V118" s="322">
        <f>(100%-$D118)*'INGRESO A PS DE CA'!V118</f>
        <v>4.4920287999999999</v>
      </c>
      <c r="W118" s="322">
        <f>(100%-$D118)*'INGRESO A PS DE CA'!W118</f>
        <v>4.5507616000000004</v>
      </c>
      <c r="X118" s="322">
        <f>(100%-$D118)*'INGRESO A PS DE CA'!X118</f>
        <v>4.6094944</v>
      </c>
      <c r="Y118" s="322">
        <f>(100%-$D118)*'INGRESO A PS DE CA'!Y118</f>
        <v>4.6682272000000005</v>
      </c>
      <c r="Z118" s="322">
        <f>(100%-$D118)*'INGRESO A PS DE CA'!Z118</f>
        <v>4.7269600000000009</v>
      </c>
    </row>
    <row r="119" spans="1:26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20">
        <v>0.2</v>
      </c>
      <c r="E119" s="278"/>
      <c r="F119" s="263"/>
      <c r="G119" s="322">
        <f>(100%-$D119)*'INGRESO A PS DE CA'!G119</f>
        <v>0.13090576000000004</v>
      </c>
      <c r="H119" s="322">
        <f>(100%-$D119)*'INGRESO A PS DE CA'!H119</f>
        <v>1.05192704</v>
      </c>
      <c r="I119" s="322">
        <f>(100%-$D119)*'INGRESO A PS DE CA'!I119</f>
        <v>1.9810128000000002</v>
      </c>
      <c r="J119" s="322">
        <f>(100%-$D119)*'INGRESO A PS DE CA'!J119</f>
        <v>3.3163160000000005</v>
      </c>
      <c r="K119" s="322">
        <f>(100%-$D119)*'INGRESO A PS DE CA'!K119</f>
        <v>4.6636184000000007</v>
      </c>
      <c r="L119" s="322">
        <f>(100%-$D119)*'INGRESO A PS DE CA'!L119</f>
        <v>4.6840976000000003</v>
      </c>
      <c r="M119" s="322">
        <f>(100%-$D119)*'INGRESO A PS DE CA'!M119</f>
        <v>4.7048736000000009</v>
      </c>
      <c r="N119" s="322">
        <f>(100%-$D119)*'INGRESO A PS DE CA'!N119</f>
        <v>4.7256495999999997</v>
      </c>
      <c r="O119" s="322">
        <f>(100%-$D119)*'INGRESO A PS DE CA'!O119</f>
        <v>4.7467224000000003</v>
      </c>
      <c r="P119" s="322">
        <f>(100%-$D119)*'INGRESO A PS DE CA'!P119</f>
        <v>4.7677952000000001</v>
      </c>
      <c r="Q119" s="322">
        <f>(100%-$D119)*'INGRESO A PS DE CA'!Q119</f>
        <v>4.7888679999999999</v>
      </c>
      <c r="R119" s="322">
        <f>(100%-$D119)*'INGRESO A PS DE CA'!R119</f>
        <v>4.8099408000000006</v>
      </c>
      <c r="S119" s="322">
        <f>(100%-$D119)*'INGRESO A PS DE CA'!S119</f>
        <v>4.8313103999999996</v>
      </c>
      <c r="T119" s="322">
        <f>(100%-$D119)*'INGRESO A PS DE CA'!T119</f>
        <v>4.8526799999999994</v>
      </c>
      <c r="U119" s="322">
        <f>(100%-$D119)*'INGRESO A PS DE CA'!U119</f>
        <v>4.8743464000000003</v>
      </c>
      <c r="V119" s="322">
        <f>(100%-$D119)*'INGRESO A PS DE CA'!V119</f>
        <v>4.8957160000000002</v>
      </c>
      <c r="W119" s="322">
        <f>(100%-$D119)*'INGRESO A PS DE CA'!W119</f>
        <v>4.9176792000000003</v>
      </c>
      <c r="X119" s="322">
        <f>(100%-$D119)*'INGRESO A PS DE CA'!X119</f>
        <v>4.9393456000000002</v>
      </c>
      <c r="Y119" s="322">
        <f>(100%-$D119)*'INGRESO A PS DE CA'!Y119</f>
        <v>4.9613088000000003</v>
      </c>
      <c r="Z119" s="322">
        <f>(100%-$D119)*'INGRESO A PS DE CA'!Z119</f>
        <v>4.9832720000000013</v>
      </c>
    </row>
    <row r="120" spans="1:26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20">
        <v>0.2</v>
      </c>
      <c r="E120" s="278"/>
      <c r="F120" s="263"/>
      <c r="G120" s="322">
        <f>(100%-$D120)*'INGRESO A PS DE CA'!G120</f>
        <v>0.28230768000000001</v>
      </c>
      <c r="H120" s="322">
        <f>(100%-$D120)*'INGRESO A PS DE CA'!H120</f>
        <v>2.2858688000000003</v>
      </c>
      <c r="I120" s="322">
        <f>(100%-$D120)*'INGRESO A PS DE CA'!I120</f>
        <v>4.3372656000000003</v>
      </c>
      <c r="J120" s="322">
        <f>(100%-$D120)*'INGRESO A PS DE CA'!J120</f>
        <v>7.3144240000000016</v>
      </c>
      <c r="K120" s="322">
        <f>(100%-$D120)*'INGRESO A PS DE CA'!K120</f>
        <v>10.3601008</v>
      </c>
      <c r="L120" s="322">
        <f>(100%-$D120)*'INGRESO A PS DE CA'!L120</f>
        <v>10.480007999999998</v>
      </c>
      <c r="M120" s="322">
        <f>(100%-$D120)*'INGRESO A PS DE CA'!M120</f>
        <v>10.599915200000002</v>
      </c>
      <c r="N120" s="322">
        <f>(100%-$D120)*'INGRESO A PS DE CA'!N120</f>
        <v>10.7198224</v>
      </c>
      <c r="O120" s="322">
        <f>(100%-$D120)*'INGRESO A PS DE CA'!O120</f>
        <v>10.8397296</v>
      </c>
      <c r="P120" s="322">
        <f>(100%-$D120)*'INGRESO A PS DE CA'!P120</f>
        <v>10.959636800000002</v>
      </c>
      <c r="Q120" s="322">
        <f>(100%-$D120)*'INGRESO A PS DE CA'!Q120</f>
        <v>11.079544</v>
      </c>
      <c r="R120" s="322">
        <f>(100%-$D120)*'INGRESO A PS DE CA'!R120</f>
        <v>11.1994512</v>
      </c>
      <c r="S120" s="322">
        <f>(100%-$D120)*'INGRESO A PS DE CA'!S120</f>
        <v>11.319358399999999</v>
      </c>
      <c r="T120" s="322">
        <f>(100%-$D120)*'INGRESO A PS DE CA'!T120</f>
        <v>11.439265599999999</v>
      </c>
      <c r="U120" s="322">
        <f>(100%-$D120)*'INGRESO A PS DE CA'!U120</f>
        <v>11.559172800000001</v>
      </c>
      <c r="V120" s="322">
        <f>(100%-$D120)*'INGRESO A PS DE CA'!V120</f>
        <v>11.679079999999999</v>
      </c>
      <c r="W120" s="322">
        <f>(100%-$D120)*'INGRESO A PS DE CA'!W120</f>
        <v>11.798987200000003</v>
      </c>
      <c r="X120" s="322">
        <f>(100%-$D120)*'INGRESO A PS DE CA'!X120</f>
        <v>11.918894400000001</v>
      </c>
      <c r="Y120" s="322">
        <f>(100%-$D120)*'INGRESO A PS DE CA'!Y120</f>
        <v>12.038801599999999</v>
      </c>
      <c r="Z120" s="322">
        <f>(100%-$D120)*'INGRESO A PS DE CA'!Z120</f>
        <v>12.158708799999999</v>
      </c>
    </row>
    <row r="121" spans="1:26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20">
        <v>0.2</v>
      </c>
      <c r="E121" s="278"/>
      <c r="F121" s="263"/>
      <c r="G121" s="322">
        <f>(100%-$D121)*'INGRESO A PS DE CA'!G121</f>
        <v>6.0388800000000013E-2</v>
      </c>
      <c r="H121" s="322">
        <f>(100%-$D121)*'INGRESO A PS DE CA'!H121</f>
        <v>0.48505344</v>
      </c>
      <c r="I121" s="322">
        <f>(100%-$D121)*'INGRESO A PS DE CA'!I121</f>
        <v>0.91300800000000004</v>
      </c>
      <c r="J121" s="322">
        <f>(100%-$D121)*'INGRESO A PS DE CA'!J121</f>
        <v>1.5277520000000002</v>
      </c>
      <c r="K121" s="322">
        <f>(100%-$D121)*'INGRESO A PS DE CA'!K121</f>
        <v>2.1470960000000003</v>
      </c>
      <c r="L121" s="322">
        <f>(100%-$D121)*'INGRESO A PS DE CA'!L121</f>
        <v>2.1555968000000001</v>
      </c>
      <c r="M121" s="322">
        <f>(100%-$D121)*'INGRESO A PS DE CA'!M121</f>
        <v>2.1640975999999998</v>
      </c>
      <c r="N121" s="322">
        <f>(100%-$D121)*'INGRESO A PS DE CA'!N121</f>
        <v>2.1723408000000002</v>
      </c>
      <c r="O121" s="322">
        <f>(100%-$D121)*'INGRESO A PS DE CA'!O121</f>
        <v>2.1808416000000004</v>
      </c>
      <c r="P121" s="322">
        <f>(100%-$D121)*'INGRESO A PS DE CA'!P121</f>
        <v>2.1890848000000003</v>
      </c>
      <c r="Q121" s="322">
        <f>(100%-$D121)*'INGRESO A PS DE CA'!Q121</f>
        <v>2.1975856</v>
      </c>
      <c r="R121" s="322">
        <f>(100%-$D121)*'INGRESO A PS DE CA'!R121</f>
        <v>2.2058287999999999</v>
      </c>
      <c r="S121" s="322">
        <f>(100%-$D121)*'INGRESO A PS DE CA'!S121</f>
        <v>2.2143296000000001</v>
      </c>
      <c r="T121" s="322">
        <f>(100%-$D121)*'INGRESO A PS DE CA'!T121</f>
        <v>2.2225728</v>
      </c>
      <c r="U121" s="322">
        <f>(100%-$D121)*'INGRESO A PS DE CA'!U121</f>
        <v>2.2310736000000002</v>
      </c>
      <c r="V121" s="322">
        <f>(100%-$D121)*'INGRESO A PS DE CA'!V121</f>
        <v>2.2393168000000001</v>
      </c>
      <c r="W121" s="322">
        <f>(100%-$D121)*'INGRESO A PS DE CA'!W121</f>
        <v>2.2478175999999999</v>
      </c>
      <c r="X121" s="322">
        <f>(100%-$D121)*'INGRESO A PS DE CA'!X121</f>
        <v>2.2560608000000002</v>
      </c>
      <c r="Y121" s="322">
        <f>(100%-$D121)*'INGRESO A PS DE CA'!Y121</f>
        <v>2.2645616</v>
      </c>
      <c r="Z121" s="322">
        <f>(100%-$D121)*'INGRESO A PS DE CA'!Z121</f>
        <v>2.2728047999999998</v>
      </c>
    </row>
    <row r="122" spans="1:26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20">
        <v>0.2</v>
      </c>
      <c r="E122" s="278"/>
      <c r="F122" s="263"/>
      <c r="G122" s="322">
        <f>(100%-$D122)*'INGRESO A PS DE CA'!G122</f>
        <v>0.29295855999999998</v>
      </c>
      <c r="H122" s="322">
        <f>(100%-$D122)*'INGRESO A PS DE CA'!H122</f>
        <v>2.3775206400000002</v>
      </c>
      <c r="I122" s="322">
        <f>(100%-$D122)*'INGRESO A PS DE CA'!I122</f>
        <v>4.5222144000000011</v>
      </c>
      <c r="J122" s="322">
        <f>(100%-$D122)*'INGRESO A PS DE CA'!J122</f>
        <v>7.6459919999999997</v>
      </c>
      <c r="K122" s="322">
        <f>(100%-$D122)*'INGRESO A PS DE CA'!K122</f>
        <v>10.858724800000003</v>
      </c>
      <c r="L122" s="322">
        <f>(100%-$D122)*'INGRESO A PS DE CA'!L122</f>
        <v>11.015732</v>
      </c>
      <c r="M122" s="322">
        <f>(100%-$D122)*'INGRESO A PS DE CA'!M122</f>
        <v>11.174520000000001</v>
      </c>
      <c r="N122" s="322">
        <f>(100%-$D122)*'INGRESO A PS DE CA'!N122</f>
        <v>11.335979199999999</v>
      </c>
      <c r="O122" s="322">
        <f>(100%-$D122)*'INGRESO A PS DE CA'!O122</f>
        <v>11.499812800000001</v>
      </c>
      <c r="P122" s="322">
        <f>(100%-$D122)*'INGRESO A PS DE CA'!P122</f>
        <v>11.665723999999999</v>
      </c>
      <c r="Q122" s="322">
        <f>(100%-$D122)*'INGRESO A PS DE CA'!Q122</f>
        <v>11.834306400000003</v>
      </c>
      <c r="R122" s="322">
        <f>(100%-$D122)*'INGRESO A PS DE CA'!R122</f>
        <v>12.004966400000001</v>
      </c>
      <c r="S122" s="322">
        <f>(100%-$D122)*'INGRESO A PS DE CA'!S122</f>
        <v>12.178297600000001</v>
      </c>
      <c r="T122" s="322">
        <f>(100%-$D122)*'INGRESO A PS DE CA'!T122</f>
        <v>12.3543</v>
      </c>
      <c r="U122" s="322">
        <f>(100%-$D122)*'INGRESO A PS DE CA'!U122</f>
        <v>12.532676800000003</v>
      </c>
      <c r="V122" s="322">
        <f>(100%-$D122)*'INGRESO A PS DE CA'!V122</f>
        <v>12.713724800000001</v>
      </c>
      <c r="W122" s="322">
        <f>(100%-$D122)*'INGRESO A PS DE CA'!W122</f>
        <v>12.897147200000001</v>
      </c>
      <c r="X122" s="322">
        <f>(100%-$D122)*'INGRESO A PS DE CA'!X122</f>
        <v>13.083537600000003</v>
      </c>
      <c r="Y122" s="322">
        <f>(100%-$D122)*'INGRESO A PS DE CA'!Y122</f>
        <v>13.272302399999999</v>
      </c>
      <c r="Z122" s="322">
        <f>(100%-$D122)*'INGRESO A PS DE CA'!Z122</f>
        <v>13.464035200000001</v>
      </c>
    </row>
    <row r="123" spans="1:26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20">
        <v>0.2</v>
      </c>
      <c r="E123" s="278"/>
      <c r="F123" s="263"/>
      <c r="G123" s="322">
        <f>(100%-$D123)*'INGRESO A PS DE CA'!G123</f>
        <v>0.17278000000000002</v>
      </c>
      <c r="H123" s="322">
        <f>(100%-$D123)*'INGRESO A PS DE CA'!H123</f>
        <v>1.3996748800000001</v>
      </c>
      <c r="I123" s="322">
        <f>(100%-$D123)*'INGRESO A PS DE CA'!I123</f>
        <v>2.6572080000000002</v>
      </c>
      <c r="J123" s="322">
        <f>(100%-$D123)*'INGRESO A PS DE CA'!J123</f>
        <v>4.4833760000000007</v>
      </c>
      <c r="K123" s="322">
        <f>(100%-$D123)*'INGRESO A PS DE CA'!K123</f>
        <v>6.3533008000000004</v>
      </c>
      <c r="L123" s="322">
        <f>(100%-$D123)*'INGRESO A PS DE CA'!L123</f>
        <v>6.4298751999999997</v>
      </c>
      <c r="M123" s="322">
        <f>(100%-$D123)*'INGRESO A PS DE CA'!M123</f>
        <v>6.5061527999999997</v>
      </c>
      <c r="N123" s="322">
        <f>(100%-$D123)*'INGRESO A PS DE CA'!N123</f>
        <v>6.5827271999999999</v>
      </c>
      <c r="O123" s="322">
        <f>(100%-$D123)*'INGRESO A PS DE CA'!O123</f>
        <v>6.6593015999999992</v>
      </c>
      <c r="P123" s="322">
        <f>(100%-$D123)*'INGRESO A PS DE CA'!P123</f>
        <v>6.7358759999999993</v>
      </c>
      <c r="Q123" s="322">
        <f>(100%-$D123)*'INGRESO A PS DE CA'!Q123</f>
        <v>6.8124503999999995</v>
      </c>
      <c r="R123" s="322">
        <f>(100%-$D123)*'INGRESO A PS DE CA'!R123</f>
        <v>6.8890248000000005</v>
      </c>
      <c r="S123" s="322">
        <f>(100%-$D123)*'INGRESO A PS DE CA'!S123</f>
        <v>6.9653024000000006</v>
      </c>
      <c r="T123" s="322">
        <f>(100%-$D123)*'INGRESO A PS DE CA'!T123</f>
        <v>7.0418768000000007</v>
      </c>
      <c r="U123" s="322">
        <f>(100%-$D123)*'INGRESO A PS DE CA'!U123</f>
        <v>7.1184512</v>
      </c>
      <c r="V123" s="322">
        <f>(100%-$D123)*'INGRESO A PS DE CA'!V123</f>
        <v>7.1950256000000001</v>
      </c>
      <c r="W123" s="322">
        <f>(100%-$D123)*'INGRESO A PS DE CA'!W123</f>
        <v>7.2715999999999994</v>
      </c>
      <c r="X123" s="322">
        <f>(100%-$D123)*'INGRESO A PS DE CA'!X123</f>
        <v>7.3481743999999996</v>
      </c>
      <c r="Y123" s="322">
        <f>(100%-$D123)*'INGRESO A PS DE CA'!Y123</f>
        <v>7.4244519999999996</v>
      </c>
      <c r="Z123" s="322">
        <f>(100%-$D123)*'INGRESO A PS DE CA'!Z123</f>
        <v>7.5010263999999998</v>
      </c>
    </row>
    <row r="124" spans="1:26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20">
        <v>0.2</v>
      </c>
      <c r="E124" s="278"/>
      <c r="F124" s="263"/>
      <c r="G124" s="322">
        <f>(100%-$D124)*'INGRESO A PS DE CA'!G124</f>
        <v>0.19906800000000002</v>
      </c>
      <c r="H124" s="322">
        <f>(100%-$D124)*'INGRESO A PS DE CA'!H124</f>
        <v>1.6081472000000003</v>
      </c>
      <c r="I124" s="322">
        <f>(100%-$D124)*'INGRESO A PS DE CA'!I124</f>
        <v>3.0446591999999999</v>
      </c>
      <c r="J124" s="322">
        <f>(100%-$D124)*'INGRESO A PS DE CA'!J124</f>
        <v>5.1231920000000004</v>
      </c>
      <c r="K124" s="322">
        <f>(100%-$D124)*'INGRESO A PS DE CA'!K124</f>
        <v>7.2407328</v>
      </c>
      <c r="L124" s="322">
        <f>(100%-$D124)*'INGRESO A PS DE CA'!L124</f>
        <v>7.3089968000000001</v>
      </c>
      <c r="M124" s="322">
        <f>(100%-$D124)*'INGRESO A PS DE CA'!M124</f>
        <v>7.3775576000000003</v>
      </c>
      <c r="N124" s="322">
        <f>(100%-$D124)*'INGRESO A PS DE CA'!N124</f>
        <v>7.4458215999999995</v>
      </c>
      <c r="O124" s="322">
        <f>(100%-$D124)*'INGRESO A PS DE CA'!O124</f>
        <v>7.5140856000000005</v>
      </c>
      <c r="P124" s="322">
        <f>(100%-$D124)*'INGRESO A PS DE CA'!P124</f>
        <v>7.5823495999999997</v>
      </c>
      <c r="Q124" s="322">
        <f>(100%-$D124)*'INGRESO A PS DE CA'!Q124</f>
        <v>7.6506135999999998</v>
      </c>
      <c r="R124" s="322">
        <f>(100%-$D124)*'INGRESO A PS DE CA'!R124</f>
        <v>7.7191744000000018</v>
      </c>
      <c r="S124" s="322">
        <f>(100%-$D124)*'INGRESO A PS DE CA'!S124</f>
        <v>7.7874383999999992</v>
      </c>
      <c r="T124" s="322">
        <f>(100%-$D124)*'INGRESO A PS DE CA'!T124</f>
        <v>7.8557024000000002</v>
      </c>
      <c r="U124" s="322">
        <f>(100%-$D124)*'INGRESO A PS DE CA'!U124</f>
        <v>7.9239664000000012</v>
      </c>
      <c r="V124" s="322">
        <f>(100%-$D124)*'INGRESO A PS DE CA'!V124</f>
        <v>7.9925271999999996</v>
      </c>
      <c r="W124" s="322">
        <f>(100%-$D124)*'INGRESO A PS DE CA'!W124</f>
        <v>8.0607912000000006</v>
      </c>
      <c r="X124" s="322">
        <f>(100%-$D124)*'INGRESO A PS DE CA'!X124</f>
        <v>8.1290552000000016</v>
      </c>
      <c r="Y124" s="322">
        <f>(100%-$D124)*'INGRESO A PS DE CA'!Y124</f>
        <v>8.1973192000000008</v>
      </c>
      <c r="Z124" s="322">
        <f>(100%-$D124)*'INGRESO A PS DE CA'!Z124</f>
        <v>8.2655832</v>
      </c>
    </row>
    <row r="125" spans="1:26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20">
        <v>0.2</v>
      </c>
      <c r="E125" s="278"/>
      <c r="F125" s="263"/>
      <c r="G125" s="322">
        <f>(100%-$D125)*'INGRESO A PS DE CA'!G125</f>
        <v>6.2920640000000014E-2</v>
      </c>
      <c r="H125" s="322">
        <f>(100%-$D125)*'INGRESO A PS DE CA'!H125</f>
        <v>0.50807552000000011</v>
      </c>
      <c r="I125" s="322">
        <f>(100%-$D125)*'INGRESO A PS DE CA'!I125</f>
        <v>0.96169440000000006</v>
      </c>
      <c r="J125" s="322">
        <f>(100%-$D125)*'INGRESO A PS DE CA'!J125</f>
        <v>1.6179120000000002</v>
      </c>
      <c r="K125" s="322">
        <f>(100%-$D125)*'INGRESO A PS DE CA'!K125</f>
        <v>2.2864575999999999</v>
      </c>
      <c r="L125" s="322">
        <f>(100%-$D125)*'INGRESO A PS DE CA'!L125</f>
        <v>2.3080959999999999</v>
      </c>
      <c r="M125" s="322">
        <f>(100%-$D125)*'INGRESO A PS DE CA'!M125</f>
        <v>2.3299919999999998</v>
      </c>
      <c r="N125" s="322">
        <f>(100%-$D125)*'INGRESO A PS DE CA'!N125</f>
        <v>2.3518879999999998</v>
      </c>
      <c r="O125" s="322">
        <f>(100%-$D125)*'INGRESO A PS DE CA'!O125</f>
        <v>2.3742992000000007</v>
      </c>
      <c r="P125" s="322">
        <f>(100%-$D125)*'INGRESO A PS DE CA'!P125</f>
        <v>2.3967103999999999</v>
      </c>
      <c r="Q125" s="322">
        <f>(100%-$D125)*'INGRESO A PS DE CA'!Q125</f>
        <v>2.4193792000000003</v>
      </c>
      <c r="R125" s="322">
        <f>(100%-$D125)*'INGRESO A PS DE CA'!R125</f>
        <v>2.4423056000000005</v>
      </c>
      <c r="S125" s="322">
        <f>(100%-$D125)*'INGRESO A PS DE CA'!S125</f>
        <v>2.4652319999999999</v>
      </c>
      <c r="T125" s="322">
        <f>(100%-$D125)*'INGRESO A PS DE CA'!T125</f>
        <v>2.4886736000000003</v>
      </c>
      <c r="U125" s="322">
        <f>(100%-$D125)*'INGRESO A PS DE CA'!U125</f>
        <v>2.5121152000000002</v>
      </c>
      <c r="V125" s="322">
        <f>(100%-$D125)*'INGRESO A PS DE CA'!V125</f>
        <v>2.5358143999999996</v>
      </c>
      <c r="W125" s="322">
        <f>(100%-$D125)*'INGRESO A PS DE CA'!W125</f>
        <v>2.5597712000000001</v>
      </c>
      <c r="X125" s="322">
        <f>(100%-$D125)*'INGRESO A PS DE CA'!X125</f>
        <v>2.5839856000000001</v>
      </c>
      <c r="Y125" s="322">
        <f>(100%-$D125)*'INGRESO A PS DE CA'!Y125</f>
        <v>2.6084575999999999</v>
      </c>
      <c r="Z125" s="322">
        <f>(100%-$D125)*'INGRESO A PS DE CA'!Z125</f>
        <v>2.6331872000000001</v>
      </c>
    </row>
    <row r="126" spans="1:26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20">
        <v>0.2</v>
      </c>
      <c r="E126" s="278"/>
      <c r="F126" s="263"/>
      <c r="G126" s="322">
        <f>(100%-$D126)*'INGRESO A PS DE CA'!G126</f>
        <v>1.29570192</v>
      </c>
      <c r="H126" s="322">
        <f>(100%-$D126)*'INGRESO A PS DE CA'!H126</f>
        <v>10.483184640000003</v>
      </c>
      <c r="I126" s="322">
        <f>(100%-$D126)*'INGRESO A PS DE CA'!I126</f>
        <v>19.879963200000006</v>
      </c>
      <c r="J126" s="322">
        <f>(100%-$D126)*'INGRESO A PS DE CA'!J126</f>
        <v>33.512916000000004</v>
      </c>
      <c r="K126" s="322">
        <f>(100%-$D126)*'INGRESO A PS DE CA'!K126</f>
        <v>47.4578664</v>
      </c>
      <c r="L126" s="322">
        <f>(100%-$D126)*'INGRESO A PS DE CA'!L126</f>
        <v>48.006789599999998</v>
      </c>
      <c r="M126" s="322">
        <f>(100%-$D126)*'INGRESO A PS DE CA'!M126</f>
        <v>48.564566400000004</v>
      </c>
      <c r="N126" s="322">
        <f>(100%-$D126)*'INGRESO A PS DE CA'!N126</f>
        <v>49.131482400000003</v>
      </c>
      <c r="O126" s="322">
        <f>(100%-$D126)*'INGRESO A PS DE CA'!O126</f>
        <v>49.707537600000002</v>
      </c>
      <c r="P126" s="322">
        <f>(100%-$D126)*'INGRESO A PS DE CA'!P126</f>
        <v>50.293017600000006</v>
      </c>
      <c r="Q126" s="322">
        <f>(100%-$D126)*'INGRESO A PS DE CA'!Q126</f>
        <v>50.887922400000001</v>
      </c>
      <c r="R126" s="322">
        <f>(100%-$D126)*'INGRESO A PS DE CA'!R126</f>
        <v>51.492823200000004</v>
      </c>
      <c r="S126" s="322">
        <f>(100%-$D126)*'INGRESO A PS DE CA'!S126</f>
        <v>52.107434400000002</v>
      </c>
      <c r="T126" s="322">
        <f>(100%-$D126)*'INGRESO A PS DE CA'!T126</f>
        <v>52.732041600000002</v>
      </c>
      <c r="U126" s="322">
        <f>(100%-$D126)*'INGRESO A PS DE CA'!U126</f>
        <v>53.366644799999996</v>
      </c>
      <c r="V126" s="322">
        <f>(100%-$D126)*'INGRESO A PS DE CA'!V126</f>
        <v>54.012100799999999</v>
      </c>
      <c r="W126" s="322">
        <f>(100%-$D126)*'INGRESO A PS DE CA'!W126</f>
        <v>54.667552800000003</v>
      </c>
      <c r="X126" s="322">
        <f>(100%-$D126)*'INGRESO A PS DE CA'!X126</f>
        <v>55.3341432</v>
      </c>
      <c r="Y126" s="322">
        <f>(100%-$D126)*'INGRESO A PS DE CA'!Y126</f>
        <v>56.011300800000008</v>
      </c>
      <c r="Z126" s="322">
        <f>(100%-$D126)*'INGRESO A PS DE CA'!Z126</f>
        <v>56.699596799999995</v>
      </c>
    </row>
    <row r="127" spans="1:26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20">
        <v>0.2</v>
      </c>
      <c r="E127" s="278"/>
      <c r="F127" s="263"/>
      <c r="G127" s="322">
        <f>(100%-$D127)*'INGRESO A PS DE CA'!G127</f>
        <v>0.47797200000000006</v>
      </c>
      <c r="H127" s="322">
        <f>(100%-$D127)*'INGRESO A PS DE CA'!H127</f>
        <v>3.8744332800000003</v>
      </c>
      <c r="I127" s="322">
        <f>(100%-$D127)*'INGRESO A PS DE CA'!I127</f>
        <v>7.3608912000000011</v>
      </c>
      <c r="J127" s="322">
        <f>(100%-$D127)*'INGRESO A PS DE CA'!J127</f>
        <v>12.430740000000002</v>
      </c>
      <c r="K127" s="322">
        <f>(100%-$D127)*'INGRESO A PS DE CA'!K127</f>
        <v>17.633515200000001</v>
      </c>
      <c r="L127" s="322">
        <f>(100%-$D127)*'INGRESO A PS DE CA'!L127</f>
        <v>17.867136000000002</v>
      </c>
      <c r="M127" s="322">
        <f>(100%-$D127)*'INGRESO A PS DE CA'!M127</f>
        <v>18.103898399999999</v>
      </c>
      <c r="N127" s="322">
        <f>(100%-$D127)*'INGRESO A PS DE CA'!N127</f>
        <v>18.343802400000001</v>
      </c>
      <c r="O127" s="322">
        <f>(100%-$D127)*'INGRESO A PS DE CA'!O127</f>
        <v>18.586848</v>
      </c>
      <c r="P127" s="322">
        <f>(100%-$D127)*'INGRESO A PS DE CA'!P127</f>
        <v>18.833035200000001</v>
      </c>
      <c r="Q127" s="322">
        <f>(100%-$D127)*'INGRESO A PS DE CA'!Q127</f>
        <v>19.0826496</v>
      </c>
      <c r="R127" s="322">
        <f>(100%-$D127)*'INGRESO A PS DE CA'!R127</f>
        <v>19.335405600000001</v>
      </c>
      <c r="S127" s="322">
        <f>(100%-$D127)*'INGRESO A PS DE CA'!S127</f>
        <v>19.5915888</v>
      </c>
      <c r="T127" s="322">
        <f>(100%-$D127)*'INGRESO A PS DE CA'!T127</f>
        <v>19.851199199999996</v>
      </c>
      <c r="U127" s="322">
        <f>(100%-$D127)*'INGRESO A PS DE CA'!U127</f>
        <v>20.1142368</v>
      </c>
      <c r="V127" s="322">
        <f>(100%-$D127)*'INGRESO A PS DE CA'!V127</f>
        <v>20.380701599999998</v>
      </c>
      <c r="W127" s="322">
        <f>(100%-$D127)*'INGRESO A PS DE CA'!W127</f>
        <v>20.650593599999997</v>
      </c>
      <c r="X127" s="322">
        <f>(100%-$D127)*'INGRESO A PS DE CA'!X127</f>
        <v>20.924198400000002</v>
      </c>
      <c r="Y127" s="322">
        <f>(100%-$D127)*'INGRESO A PS DE CA'!Y127</f>
        <v>21.201516000000002</v>
      </c>
      <c r="Z127" s="322">
        <f>(100%-$D127)*'INGRESO A PS DE CA'!Z127</f>
        <v>21.482546400000004</v>
      </c>
    </row>
    <row r="128" spans="1:26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20">
        <v>0.2</v>
      </c>
      <c r="E128" s="278"/>
      <c r="F128" s="263"/>
      <c r="G128" s="322">
        <f>(100%-$D128)*'INGRESO A PS DE CA'!G128</f>
        <v>0.90522960000000008</v>
      </c>
      <c r="H128" s="322">
        <f>(100%-$D128)*'INGRESO A PS DE CA'!H128</f>
        <v>7.4882035200000008</v>
      </c>
      <c r="I128" s="322">
        <f>(100%-$D128)*'INGRESO A PS DE CA'!I128</f>
        <v>14.509785600000001</v>
      </c>
      <c r="J128" s="322">
        <f>(100%-$D128)*'INGRESO A PS DE CA'!J128</f>
        <v>24.978168</v>
      </c>
      <c r="K128" s="322">
        <f>(100%-$D128)*'INGRESO A PS DE CA'!K128</f>
        <v>36.100982400000007</v>
      </c>
      <c r="L128" s="322">
        <f>(100%-$D128)*'INGRESO A PS DE CA'!L128</f>
        <v>37.250807999999999</v>
      </c>
      <c r="M128" s="322">
        <f>(100%-$D128)*'INGRESO A PS DE CA'!M128</f>
        <v>38.419483200000002</v>
      </c>
      <c r="N128" s="322">
        <f>(100%-$D128)*'INGRESO A PS DE CA'!N128</f>
        <v>39.607293599999998</v>
      </c>
      <c r="O128" s="322">
        <f>(100%-$D128)*'INGRESO A PS DE CA'!O128</f>
        <v>40.814239200000003</v>
      </c>
      <c r="P128" s="322">
        <f>(100%-$D128)*'INGRESO A PS DE CA'!P128</f>
        <v>42.041176800000002</v>
      </c>
      <c r="Q128" s="322">
        <f>(100%-$D128)*'INGRESO A PS DE CA'!Q128</f>
        <v>43.287820800000006</v>
      </c>
      <c r="R128" s="322">
        <f>(100%-$D128)*'INGRESO A PS DE CA'!R128</f>
        <v>44.555028</v>
      </c>
      <c r="S128" s="322">
        <f>(100%-$D128)*'INGRESO A PS DE CA'!S128</f>
        <v>45.842798399999992</v>
      </c>
      <c r="T128" s="322">
        <f>(100%-$D128)*'INGRESO A PS DE CA'!T128</f>
        <v>47.1517032</v>
      </c>
      <c r="U128" s="322">
        <f>(100%-$D128)*'INGRESO A PS DE CA'!U128</f>
        <v>48.481742400000002</v>
      </c>
      <c r="V128" s="322">
        <f>(100%-$D128)*'INGRESO A PS DE CA'!V128</f>
        <v>49.833487199999993</v>
      </c>
      <c r="W128" s="322">
        <f>(100%-$D128)*'INGRESO A PS DE CA'!W128</f>
        <v>51.207508799999999</v>
      </c>
      <c r="X128" s="322">
        <f>(100%-$D128)*'INGRESO A PS DE CA'!X128</f>
        <v>52.603807199999999</v>
      </c>
      <c r="Y128" s="322">
        <f>(100%-$D128)*'INGRESO A PS DE CA'!Y128</f>
        <v>54.022953599999994</v>
      </c>
      <c r="Z128" s="322">
        <f>(100%-$D128)*'INGRESO A PS DE CA'!Z128</f>
        <v>55.465233599999991</v>
      </c>
    </row>
    <row r="129" spans="1:26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20">
        <v>0.2</v>
      </c>
      <c r="E129" s="278"/>
      <c r="F129" s="263"/>
      <c r="G129" s="322">
        <f>(100%-$D129)*'INGRESO A PS DE CA'!G129</f>
        <v>7.710336000000001E-2</v>
      </c>
      <c r="H129" s="322">
        <f>(100%-$D129)*'INGRESO A PS DE CA'!H129</f>
        <v>0.62454016000000001</v>
      </c>
      <c r="I129" s="322">
        <f>(100%-$D129)*'INGRESO A PS DE CA'!I129</f>
        <v>1.1854752000000002</v>
      </c>
      <c r="J129" s="322">
        <f>(100%-$D129)*'INGRESO A PS DE CA'!J129</f>
        <v>1.9998960000000001</v>
      </c>
      <c r="K129" s="322">
        <f>(100%-$D129)*'INGRESO A PS DE CA'!K129</f>
        <v>2.8335999999999997</v>
      </c>
      <c r="L129" s="322">
        <f>(100%-$D129)*'INGRESO A PS DE CA'!L129</f>
        <v>2.8673456000000002</v>
      </c>
      <c r="M129" s="322">
        <f>(100%-$D129)*'INGRESO A PS DE CA'!M129</f>
        <v>2.9010912000000002</v>
      </c>
      <c r="N129" s="322">
        <f>(100%-$D129)*'INGRESO A PS DE CA'!N129</f>
        <v>2.9350943999999997</v>
      </c>
      <c r="O129" s="322">
        <f>(100%-$D129)*'INGRESO A PS DE CA'!O129</f>
        <v>2.9688400000000001</v>
      </c>
      <c r="P129" s="322">
        <f>(100%-$D129)*'INGRESO A PS DE CA'!P129</f>
        <v>3.0025856000000002</v>
      </c>
      <c r="Q129" s="322">
        <f>(100%-$D129)*'INGRESO A PS DE CA'!Q129</f>
        <v>3.0363312000000002</v>
      </c>
      <c r="R129" s="322">
        <f>(100%-$D129)*'INGRESO A PS DE CA'!R129</f>
        <v>3.0700768000000003</v>
      </c>
      <c r="S129" s="322">
        <f>(100%-$D129)*'INGRESO A PS DE CA'!S129</f>
        <v>3.1038223999999999</v>
      </c>
      <c r="T129" s="322">
        <f>(100%-$D129)*'INGRESO A PS DE CA'!T129</f>
        <v>3.1375679999999999</v>
      </c>
      <c r="U129" s="322">
        <f>(100%-$D129)*'INGRESO A PS DE CA'!U129</f>
        <v>3.1713136000000004</v>
      </c>
      <c r="V129" s="322">
        <f>(100%-$D129)*'INGRESO A PS DE CA'!V129</f>
        <v>3.2053168000000003</v>
      </c>
      <c r="W129" s="322">
        <f>(100%-$D129)*'INGRESO A PS DE CA'!W129</f>
        <v>3.2390623999999999</v>
      </c>
      <c r="X129" s="322">
        <f>(100%-$D129)*'INGRESO A PS DE CA'!X129</f>
        <v>3.2728079999999999</v>
      </c>
      <c r="Y129" s="322">
        <f>(100%-$D129)*'INGRESO A PS DE CA'!Y129</f>
        <v>3.3065536000000004</v>
      </c>
      <c r="Z129" s="322">
        <f>(100%-$D129)*'INGRESO A PS DE CA'!Z129</f>
        <v>3.3402992</v>
      </c>
    </row>
    <row r="130" spans="1:26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20">
        <v>0.2</v>
      </c>
      <c r="E130" s="278"/>
      <c r="F130" s="263"/>
      <c r="G130" s="322">
        <f>(100%-$D130)*'INGRESO A PS DE CA'!G130</f>
        <v>1.1801073600000003</v>
      </c>
      <c r="H130" s="322">
        <f>(100%-$D130)*'INGRESO A PS DE CA'!H130</f>
        <v>9.5671756800000018</v>
      </c>
      <c r="I130" s="322">
        <f>(100%-$D130)*'INGRESO A PS DE CA'!I130</f>
        <v>18.178480799999999</v>
      </c>
      <c r="J130" s="322">
        <f>(100%-$D130)*'INGRESO A PS DE CA'!J130</f>
        <v>30.702816000000002</v>
      </c>
      <c r="K130" s="322">
        <f>(100%-$D130)*'INGRESO A PS DE CA'!K130</f>
        <v>43.558855200000004</v>
      </c>
      <c r="L130" s="322">
        <f>(100%-$D130)*'INGRESO A PS DE CA'!L130</f>
        <v>44.141764800000004</v>
      </c>
      <c r="M130" s="322">
        <f>(100%-$D130)*'INGRESO A PS DE CA'!M130</f>
        <v>44.732385599999994</v>
      </c>
      <c r="N130" s="322">
        <f>(100%-$D130)*'INGRESO A PS DE CA'!N130</f>
        <v>45.331003199999998</v>
      </c>
      <c r="O130" s="322">
        <f>(100%-$D130)*'INGRESO A PS DE CA'!O130</f>
        <v>45.937331999999998</v>
      </c>
      <c r="P130" s="322">
        <f>(100%-$D130)*'INGRESO A PS DE CA'!P130</f>
        <v>46.551943200000004</v>
      </c>
      <c r="Q130" s="322">
        <f>(100%-$D130)*'INGRESO A PS DE CA'!Q130</f>
        <v>47.174836800000001</v>
      </c>
      <c r="R130" s="322">
        <f>(100%-$D130)*'INGRESO A PS DE CA'!R130</f>
        <v>47.806012799999998</v>
      </c>
      <c r="S130" s="322">
        <f>(100%-$D130)*'INGRESO A PS DE CA'!S130</f>
        <v>48.445756799999998</v>
      </c>
      <c r="T130" s="322">
        <f>(100%-$D130)*'INGRESO A PS DE CA'!T130</f>
        <v>49.094068800000002</v>
      </c>
      <c r="U130" s="322">
        <f>(100%-$D130)*'INGRESO A PS DE CA'!U130</f>
        <v>49.750948800000003</v>
      </c>
      <c r="V130" s="322">
        <f>(100%-$D130)*'INGRESO A PS DE CA'!V130</f>
        <v>50.416396800000001</v>
      </c>
      <c r="W130" s="322">
        <f>(100%-$D130)*'INGRESO A PS DE CA'!W130</f>
        <v>51.090983999999999</v>
      </c>
      <c r="X130" s="322">
        <f>(100%-$D130)*'INGRESO A PS DE CA'!X130</f>
        <v>51.774710399999996</v>
      </c>
      <c r="Y130" s="322">
        <f>(100%-$D130)*'INGRESO A PS DE CA'!Y130</f>
        <v>52.467290399999996</v>
      </c>
      <c r="Z130" s="322">
        <f>(100%-$D130)*'INGRESO A PS DE CA'!Z130</f>
        <v>53.169295200000001</v>
      </c>
    </row>
    <row r="131" spans="1:26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20">
        <v>0.2</v>
      </c>
      <c r="E131" s="278"/>
      <c r="F131" s="263"/>
      <c r="G131" s="322">
        <f>(100%-$D131)*'INGRESO A PS DE CA'!G131</f>
        <v>6.7763520000000008E-2</v>
      </c>
      <c r="H131" s="322">
        <f>(100%-$D131)*'INGRESO A PS DE CA'!H131</f>
        <v>0.54935040000000013</v>
      </c>
      <c r="I131" s="322">
        <f>(100%-$D131)*'INGRESO A PS DE CA'!I131</f>
        <v>1.0438320000000001</v>
      </c>
      <c r="J131" s="322">
        <f>(100%-$D131)*'INGRESO A PS DE CA'!J131</f>
        <v>1.7630880000000002</v>
      </c>
      <c r="K131" s="322">
        <f>(100%-$D131)*'INGRESO A PS DE CA'!K131</f>
        <v>2.5012960000000004</v>
      </c>
      <c r="L131" s="322">
        <f>(100%-$D131)*'INGRESO A PS DE CA'!L131</f>
        <v>2.5347840000000001</v>
      </c>
      <c r="M131" s="322">
        <f>(100%-$D131)*'INGRESO A PS DE CA'!M131</f>
        <v>2.5685296000000002</v>
      </c>
      <c r="N131" s="322">
        <f>(100%-$D131)*'INGRESO A PS DE CA'!N131</f>
        <v>2.6030479999999998</v>
      </c>
      <c r="O131" s="322">
        <f>(100%-$D131)*'INGRESO A PS DE CA'!O131</f>
        <v>2.6378240000000002</v>
      </c>
      <c r="P131" s="322">
        <f>(100%-$D131)*'INGRESO A PS DE CA'!P131</f>
        <v>2.6731151999999998</v>
      </c>
      <c r="Q131" s="322">
        <f>(100%-$D131)*'INGRESO A PS DE CA'!Q131</f>
        <v>2.7089216</v>
      </c>
      <c r="R131" s="322">
        <f>(100%-$D131)*'INGRESO A PS DE CA'!R131</f>
        <v>2.7449856000000001</v>
      </c>
      <c r="S131" s="322">
        <f>(100%-$D131)*'INGRESO A PS DE CA'!S131</f>
        <v>2.7818223999999998</v>
      </c>
      <c r="T131" s="322">
        <f>(100%-$D131)*'INGRESO A PS DE CA'!T131</f>
        <v>2.8189168000000002</v>
      </c>
      <c r="U131" s="322">
        <f>(100%-$D131)*'INGRESO A PS DE CA'!U131</f>
        <v>2.8567840000000007</v>
      </c>
      <c r="V131" s="322">
        <f>(100%-$D131)*'INGRESO A PS DE CA'!V131</f>
        <v>2.8949088000000001</v>
      </c>
      <c r="W131" s="322">
        <f>(100%-$D131)*'INGRESO A PS DE CA'!W131</f>
        <v>2.9335488000000005</v>
      </c>
      <c r="X131" s="322">
        <f>(100%-$D131)*'INGRESO A PS DE CA'!X131</f>
        <v>2.9729616000000005</v>
      </c>
      <c r="Y131" s="322">
        <f>(100%-$D131)*'INGRESO A PS DE CA'!Y131</f>
        <v>3.012632</v>
      </c>
      <c r="Z131" s="322">
        <f>(100%-$D131)*'INGRESO A PS DE CA'!Z131</f>
        <v>3.0528176</v>
      </c>
    </row>
    <row r="132" spans="1:26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20">
        <v>0.2</v>
      </c>
      <c r="E132" s="278"/>
      <c r="F132" s="263"/>
      <c r="G132" s="322">
        <f>(100%-$D132)*'INGRESO A PS DE CA'!G132</f>
        <v>1.5993280000000002E-2</v>
      </c>
      <c r="H132" s="322">
        <f>(100%-$D132)*'INGRESO A PS DE CA'!H132</f>
        <v>0.13136128</v>
      </c>
      <c r="I132" s="322">
        <f>(100%-$D132)*'INGRESO A PS DE CA'!I132</f>
        <v>0.25270560000000003</v>
      </c>
      <c r="J132" s="322">
        <f>(100%-$D132)*'INGRESO A PS DE CA'!J132</f>
        <v>0.43184800000000001</v>
      </c>
      <c r="K132" s="322">
        <f>(100%-$D132)*'INGRESO A PS DE CA'!K132</f>
        <v>0.61927040000000011</v>
      </c>
      <c r="L132" s="322">
        <f>(100%-$D132)*'INGRESO A PS DE CA'!L132</f>
        <v>0.63781759999999998</v>
      </c>
      <c r="M132" s="322">
        <f>(100%-$D132)*'INGRESO A PS DE CA'!M132</f>
        <v>0.65610720000000011</v>
      </c>
      <c r="N132" s="322">
        <f>(100%-$D132)*'INGRESO A PS DE CA'!N132</f>
        <v>0.67465439999999999</v>
      </c>
      <c r="O132" s="322">
        <f>(100%-$D132)*'INGRESO A PS DE CA'!O132</f>
        <v>0.692944</v>
      </c>
      <c r="P132" s="322">
        <f>(100%-$D132)*'INGRESO A PS DE CA'!P132</f>
        <v>0.71123359999999991</v>
      </c>
      <c r="Q132" s="322">
        <f>(100%-$D132)*'INGRESO A PS DE CA'!Q132</f>
        <v>0.72978080000000001</v>
      </c>
      <c r="R132" s="322">
        <f>(100%-$D132)*'INGRESO A PS DE CA'!R132</f>
        <v>0.74807040000000002</v>
      </c>
      <c r="S132" s="322">
        <f>(100%-$D132)*'INGRESO A PS DE CA'!S132</f>
        <v>0.76636000000000004</v>
      </c>
      <c r="T132" s="322">
        <f>(100%-$D132)*'INGRESO A PS DE CA'!T132</f>
        <v>0.78490720000000003</v>
      </c>
      <c r="U132" s="322">
        <f>(100%-$D132)*'INGRESO A PS DE CA'!U132</f>
        <v>0.80319679999999993</v>
      </c>
      <c r="V132" s="322">
        <f>(100%-$D132)*'INGRESO A PS DE CA'!V132</f>
        <v>0.82174400000000003</v>
      </c>
      <c r="W132" s="322">
        <f>(100%-$D132)*'INGRESO A PS DE CA'!W132</f>
        <v>0.84003360000000016</v>
      </c>
      <c r="X132" s="322">
        <f>(100%-$D132)*'INGRESO A PS DE CA'!X132</f>
        <v>0.85832320000000006</v>
      </c>
      <c r="Y132" s="322">
        <f>(100%-$D132)*'INGRESO A PS DE CA'!Y132</f>
        <v>0.87687040000000005</v>
      </c>
      <c r="Z132" s="322">
        <f>(100%-$D132)*'INGRESO A PS DE CA'!Z132</f>
        <v>0.89515999999999996</v>
      </c>
    </row>
    <row r="133" spans="1:26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20">
        <v>0.2</v>
      </c>
      <c r="E133" s="278"/>
      <c r="F133" s="263"/>
      <c r="G133" s="322">
        <f>(100%-$D133)*'INGRESO A PS DE CA'!G133</f>
        <v>5.648800000000001E-2</v>
      </c>
      <c r="H133" s="322">
        <f>(100%-$D133)*'INGRESO A PS DE CA'!H133</f>
        <v>0.45761536000000008</v>
      </c>
      <c r="I133" s="322">
        <f>(100%-$D133)*'INGRESO A PS DE CA'!I133</f>
        <v>0.86862720000000015</v>
      </c>
      <c r="J133" s="322">
        <f>(100%-$D133)*'INGRESO A PS DE CA'!J133</f>
        <v>1.465376</v>
      </c>
      <c r="K133" s="322">
        <f>(100%-$D133)*'INGRESO A PS DE CA'!K133</f>
        <v>2.0762560000000003</v>
      </c>
      <c r="L133" s="322">
        <f>(100%-$D133)*'INGRESO A PS DE CA'!L133</f>
        <v>2.1084559999999999</v>
      </c>
      <c r="M133" s="322">
        <f>(100%-$D133)*'INGRESO A PS DE CA'!M133</f>
        <v>2.1403984</v>
      </c>
      <c r="N133" s="322">
        <f>(100%-$D133)*'INGRESO A PS DE CA'!N133</f>
        <v>2.1725984</v>
      </c>
      <c r="O133" s="322">
        <f>(100%-$D133)*'INGRESO A PS DE CA'!O133</f>
        <v>2.2045408000000002</v>
      </c>
      <c r="P133" s="322">
        <f>(100%-$D133)*'INGRESO A PS DE CA'!P133</f>
        <v>2.2367408000000002</v>
      </c>
      <c r="Q133" s="322">
        <f>(100%-$D133)*'INGRESO A PS DE CA'!Q133</f>
        <v>2.2686831999999999</v>
      </c>
      <c r="R133" s="322">
        <f>(100%-$D133)*'INGRESO A PS DE CA'!R133</f>
        <v>2.3006256</v>
      </c>
      <c r="S133" s="322">
        <f>(100%-$D133)*'INGRESO A PS DE CA'!S133</f>
        <v>2.3328256000000005</v>
      </c>
      <c r="T133" s="322">
        <f>(100%-$D133)*'INGRESO A PS DE CA'!T133</f>
        <v>2.3647680000000002</v>
      </c>
      <c r="U133" s="322">
        <f>(100%-$D133)*'INGRESO A PS DE CA'!U133</f>
        <v>2.3969680000000002</v>
      </c>
      <c r="V133" s="322">
        <f>(100%-$D133)*'INGRESO A PS DE CA'!V133</f>
        <v>2.4289103999999999</v>
      </c>
      <c r="W133" s="322">
        <f>(100%-$D133)*'INGRESO A PS DE CA'!W133</f>
        <v>2.4611104000000004</v>
      </c>
      <c r="X133" s="322">
        <f>(100%-$D133)*'INGRESO A PS DE CA'!X133</f>
        <v>2.4930528000000001</v>
      </c>
      <c r="Y133" s="322">
        <f>(100%-$D133)*'INGRESO A PS DE CA'!Y133</f>
        <v>2.5249951999999998</v>
      </c>
      <c r="Z133" s="322">
        <f>(100%-$D133)*'INGRESO A PS DE CA'!Z133</f>
        <v>2.5571952000000002</v>
      </c>
    </row>
    <row r="134" spans="1:26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20">
        <v>0.2</v>
      </c>
      <c r="E134" s="278"/>
      <c r="F134" s="263"/>
      <c r="G134" s="322">
        <f>(100%-$D134)*'INGRESO A PS DE CA'!G134</f>
        <v>0.32894768000000002</v>
      </c>
      <c r="H134" s="322">
        <f>(100%-$D134)*'INGRESO A PS DE CA'!H134</f>
        <v>2.6561395200000004</v>
      </c>
      <c r="I134" s="322">
        <f>(100%-$D134)*'INGRESO A PS DE CA'!I134</f>
        <v>5.0266896000000001</v>
      </c>
      <c r="J134" s="322">
        <f>(100%-$D134)*'INGRESO A PS DE CA'!J134</f>
        <v>8.4558320000000009</v>
      </c>
      <c r="K134" s="322">
        <f>(100%-$D134)*'INGRESO A PS DE CA'!K134</f>
        <v>11.948277600000001</v>
      </c>
      <c r="L134" s="322">
        <f>(100%-$D134)*'INGRESO A PS DE CA'!L134</f>
        <v>12.059874400000002</v>
      </c>
      <c r="M134" s="322">
        <f>(100%-$D134)*'INGRESO A PS DE CA'!M134</f>
        <v>12.172064800000001</v>
      </c>
      <c r="N134" s="322">
        <f>(100%-$D134)*'INGRESO A PS DE CA'!N134</f>
        <v>12.285442400000001</v>
      </c>
      <c r="O134" s="322">
        <f>(100%-$D134)*'INGRESO A PS DE CA'!O134</f>
        <v>12.400007200000001</v>
      </c>
      <c r="P134" s="322">
        <f>(100%-$D134)*'INGRESO A PS DE CA'!P134</f>
        <v>12.515462400000001</v>
      </c>
      <c r="Q134" s="322">
        <f>(100%-$D134)*'INGRESO A PS DE CA'!Q134</f>
        <v>12.6321048</v>
      </c>
      <c r="R134" s="322">
        <f>(100%-$D134)*'INGRESO A PS DE CA'!R134</f>
        <v>12.749934400000001</v>
      </c>
      <c r="S134" s="322">
        <f>(100%-$D134)*'INGRESO A PS DE CA'!S134</f>
        <v>12.8686544</v>
      </c>
      <c r="T134" s="322">
        <f>(100%-$D134)*'INGRESO A PS DE CA'!T134</f>
        <v>12.988561600000001</v>
      </c>
      <c r="U134" s="322">
        <f>(100%-$D134)*'INGRESO A PS DE CA'!U134</f>
        <v>13.109656000000001</v>
      </c>
      <c r="V134" s="322">
        <f>(100%-$D134)*'INGRESO A PS DE CA'!V134</f>
        <v>13.231640800000001</v>
      </c>
      <c r="W134" s="322">
        <f>(100%-$D134)*'INGRESO A PS DE CA'!W134</f>
        <v>13.3551096</v>
      </c>
      <c r="X134" s="322">
        <f>(100%-$D134)*'INGRESO A PS DE CA'!X134</f>
        <v>13.479468799999999</v>
      </c>
      <c r="Y134" s="322">
        <f>(100%-$D134)*'INGRESO A PS DE CA'!Y134</f>
        <v>13.6050152</v>
      </c>
      <c r="Z134" s="322">
        <f>(100%-$D134)*'INGRESO A PS DE CA'!Z134</f>
        <v>13.731748799999998</v>
      </c>
    </row>
    <row r="135" spans="1:26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20">
        <v>0.2</v>
      </c>
      <c r="E135" s="278"/>
      <c r="F135" s="263"/>
      <c r="G135" s="322">
        <f>(100%-$D135)*'INGRESO A PS DE CA'!G135</f>
        <v>0.42039600000000005</v>
      </c>
      <c r="H135" s="322">
        <f>(100%-$D135)*'INGRESO A PS DE CA'!H135</f>
        <v>3.3762611200000006</v>
      </c>
      <c r="I135" s="322">
        <f>(100%-$D135)*'INGRESO A PS DE CA'!I135</f>
        <v>6.3555480000000006</v>
      </c>
      <c r="J135" s="322">
        <f>(100%-$D135)*'INGRESO A PS DE CA'!J135</f>
        <v>10.634980000000001</v>
      </c>
      <c r="K135" s="322">
        <f>(100%-$D135)*'INGRESO A PS DE CA'!K135</f>
        <v>14.949519200000001</v>
      </c>
      <c r="L135" s="322">
        <f>(100%-$D135)*'INGRESO A PS DE CA'!L135</f>
        <v>15.01066</v>
      </c>
      <c r="M135" s="322">
        <f>(100%-$D135)*'INGRESO A PS DE CA'!M135</f>
        <v>15.072988000000002</v>
      </c>
      <c r="N135" s="322">
        <f>(100%-$D135)*'INGRESO A PS DE CA'!N135</f>
        <v>15.1365032</v>
      </c>
      <c r="O135" s="322">
        <f>(100%-$D135)*'INGRESO A PS DE CA'!O135</f>
        <v>15.200612</v>
      </c>
      <c r="P135" s="322">
        <f>(100%-$D135)*'INGRESO A PS DE CA'!P135</f>
        <v>15.266204800000001</v>
      </c>
      <c r="Q135" s="322">
        <f>(100%-$D135)*'INGRESO A PS DE CA'!Q135</f>
        <v>15.332688000000003</v>
      </c>
      <c r="R135" s="322">
        <f>(100%-$D135)*'INGRESO A PS DE CA'!R135</f>
        <v>15.400061599999999</v>
      </c>
      <c r="S135" s="322">
        <f>(100%-$D135)*'INGRESO A PS DE CA'!S135</f>
        <v>15.4689192</v>
      </c>
      <c r="T135" s="322">
        <f>(100%-$D135)*'INGRESO A PS DE CA'!T135</f>
        <v>15.538667200000001</v>
      </c>
      <c r="U135" s="322">
        <f>(100%-$D135)*'INGRESO A PS DE CA'!U135</f>
        <v>15.6096024</v>
      </c>
      <c r="V135" s="322">
        <f>(100%-$D135)*'INGRESO A PS DE CA'!V135</f>
        <v>15.681724800000001</v>
      </c>
      <c r="W135" s="322">
        <f>(100%-$D135)*'INGRESO A PS DE CA'!W135</f>
        <v>15.7550344</v>
      </c>
      <c r="X135" s="322">
        <f>(100%-$D135)*'INGRESO A PS DE CA'!X135</f>
        <v>15.8295312</v>
      </c>
      <c r="Y135" s="322">
        <f>(100%-$D135)*'INGRESO A PS DE CA'!Y135</f>
        <v>15.905215200000001</v>
      </c>
      <c r="Z135" s="322">
        <f>(100%-$D135)*'INGRESO A PS DE CA'!Z135</f>
        <v>15.9820864</v>
      </c>
    </row>
    <row r="136" spans="1:26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20">
        <v>0.2</v>
      </c>
      <c r="E136" s="278"/>
      <c r="F136" s="263"/>
      <c r="G136" s="322">
        <f>(100%-$D136)*'INGRESO A PS DE CA'!G136</f>
        <v>6.7851839999999997E-2</v>
      </c>
      <c r="H136" s="322">
        <f>(100%-$D136)*'INGRESO A PS DE CA'!H136</f>
        <v>0.5478784000000001</v>
      </c>
      <c r="I136" s="322">
        <f>(100%-$D136)*'INGRESO A PS DE CA'!I136</f>
        <v>1.0366560000000002</v>
      </c>
      <c r="J136" s="322">
        <f>(100%-$D136)*'INGRESO A PS DE CA'!J136</f>
        <v>1.743584</v>
      </c>
      <c r="K136" s="322">
        <f>(100%-$D136)*'INGRESO A PS DE CA'!K136</f>
        <v>2.4629136000000003</v>
      </c>
      <c r="L136" s="322">
        <f>(100%-$D136)*'INGRESO A PS DE CA'!L136</f>
        <v>2.4850672</v>
      </c>
      <c r="M136" s="322">
        <f>(100%-$D136)*'INGRESO A PS DE CA'!M136</f>
        <v>2.5069631999999999</v>
      </c>
      <c r="N136" s="322">
        <f>(100%-$D136)*'INGRESO A PS DE CA'!N136</f>
        <v>2.5291168000000002</v>
      </c>
      <c r="O136" s="322">
        <f>(100%-$D136)*'INGRESO A PS DE CA'!O136</f>
        <v>2.5510128000000005</v>
      </c>
      <c r="P136" s="322">
        <f>(100%-$D136)*'INGRESO A PS DE CA'!P136</f>
        <v>2.5731663999999999</v>
      </c>
      <c r="Q136" s="322">
        <f>(100%-$D136)*'INGRESO A PS DE CA'!Q136</f>
        <v>2.5950623999999998</v>
      </c>
      <c r="R136" s="322">
        <f>(100%-$D136)*'INGRESO A PS DE CA'!R136</f>
        <v>2.6172160000000004</v>
      </c>
      <c r="S136" s="322">
        <f>(100%-$D136)*'INGRESO A PS DE CA'!S136</f>
        <v>2.6391119999999999</v>
      </c>
      <c r="T136" s="322">
        <f>(100%-$D136)*'INGRESO A PS DE CA'!T136</f>
        <v>2.6612656000000001</v>
      </c>
      <c r="U136" s="322">
        <f>(100%-$D136)*'INGRESO A PS DE CA'!U136</f>
        <v>2.6831616000000005</v>
      </c>
      <c r="V136" s="322">
        <f>(100%-$D136)*'INGRESO A PS DE CA'!V136</f>
        <v>2.7053151999999998</v>
      </c>
      <c r="W136" s="322">
        <f>(100%-$D136)*'INGRESO A PS DE CA'!W136</f>
        <v>2.7272112000000002</v>
      </c>
      <c r="X136" s="322">
        <f>(100%-$D136)*'INGRESO A PS DE CA'!X136</f>
        <v>2.7493648000000004</v>
      </c>
      <c r="Y136" s="322">
        <f>(100%-$D136)*'INGRESO A PS DE CA'!Y136</f>
        <v>2.7712608000000003</v>
      </c>
      <c r="Z136" s="322">
        <f>(100%-$D136)*'INGRESO A PS DE CA'!Z136</f>
        <v>2.7934143999999996</v>
      </c>
    </row>
    <row r="137" spans="1:26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20">
        <v>0.2</v>
      </c>
      <c r="E137" s="278"/>
      <c r="F137" s="263"/>
      <c r="G137" s="322">
        <f>(100%-$D137)*'INGRESO A PS DE CA'!G137</f>
        <v>0.55324800000000007</v>
      </c>
      <c r="H137" s="322">
        <f>(100%-$D137)*'INGRESO A PS DE CA'!H137</f>
        <v>4.5047769600000001</v>
      </c>
      <c r="I137" s="322">
        <f>(100%-$D137)*'INGRESO A PS DE CA'!I137</f>
        <v>8.5941936000000005</v>
      </c>
      <c r="J137" s="322">
        <f>(100%-$D137)*'INGRESO A PS DE CA'!J137</f>
        <v>14.569884</v>
      </c>
      <c r="K137" s="322">
        <f>(100%-$D137)*'INGRESO A PS DE CA'!K137</f>
        <v>20.742556799999999</v>
      </c>
      <c r="L137" s="322">
        <f>(100%-$D137)*'INGRESO A PS DE CA'!L137</f>
        <v>21.087276000000003</v>
      </c>
      <c r="M137" s="322">
        <f>(100%-$D137)*'INGRESO A PS DE CA'!M137</f>
        <v>21.431995199999999</v>
      </c>
      <c r="N137" s="322">
        <f>(100%-$D137)*'INGRESO A PS DE CA'!N137</f>
        <v>21.777000000000001</v>
      </c>
      <c r="O137" s="322">
        <f>(100%-$D137)*'INGRESO A PS DE CA'!O137</f>
        <v>22.1214336</v>
      </c>
      <c r="P137" s="322">
        <f>(100%-$D137)*'INGRESO A PS DE CA'!P137</f>
        <v>22.4661528</v>
      </c>
      <c r="Q137" s="322">
        <f>(100%-$D137)*'INGRESO A PS DE CA'!Q137</f>
        <v>22.811157599999998</v>
      </c>
      <c r="R137" s="322">
        <f>(100%-$D137)*'INGRESO A PS DE CA'!R137</f>
        <v>23.155591200000003</v>
      </c>
      <c r="S137" s="322">
        <f>(100%-$D137)*'INGRESO A PS DE CA'!S137</f>
        <v>23.500596000000002</v>
      </c>
      <c r="T137" s="322">
        <f>(100%-$D137)*'INGRESO A PS DE CA'!T137</f>
        <v>23.8450296</v>
      </c>
      <c r="U137" s="322">
        <f>(100%-$D137)*'INGRESO A PS DE CA'!U137</f>
        <v>24.190034399999998</v>
      </c>
      <c r="V137" s="322">
        <f>(100%-$D137)*'INGRESO A PS DE CA'!V137</f>
        <v>24.534753599999998</v>
      </c>
      <c r="W137" s="322">
        <f>(100%-$D137)*'INGRESO A PS DE CA'!W137</f>
        <v>24.879187200000001</v>
      </c>
      <c r="X137" s="322">
        <f>(100%-$D137)*'INGRESO A PS DE CA'!X137</f>
        <v>25.224192000000002</v>
      </c>
      <c r="Y137" s="322">
        <f>(100%-$D137)*'INGRESO A PS DE CA'!Y137</f>
        <v>25.568625600000001</v>
      </c>
      <c r="Z137" s="322">
        <f>(100%-$D137)*'INGRESO A PS DE CA'!Z137</f>
        <v>25.913630400000002</v>
      </c>
    </row>
    <row r="138" spans="1:26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20">
        <v>0.2</v>
      </c>
      <c r="E138" s="278"/>
      <c r="F138" s="263"/>
      <c r="G138" s="322">
        <f>(100%-$D138)*'INGRESO A PS DE CA'!G138</f>
        <v>4.2857279999999998E-2</v>
      </c>
      <c r="H138" s="322">
        <f>(100%-$D138)*'INGRESO A PS DE CA'!H138</f>
        <v>0.34438911999999999</v>
      </c>
      <c r="I138" s="322">
        <f>(100%-$D138)*'INGRESO A PS DE CA'!I138</f>
        <v>0.64871040000000002</v>
      </c>
      <c r="J138" s="322">
        <f>(100%-$D138)*'INGRESO A PS DE CA'!J138</f>
        <v>1.085968</v>
      </c>
      <c r="K138" s="322">
        <f>(100%-$D138)*'INGRESO A PS DE CA'!K138</f>
        <v>1.5273104000000002</v>
      </c>
      <c r="L138" s="322">
        <f>(100%-$D138)*'INGRESO A PS DE CA'!L138</f>
        <v>1.5342656000000003</v>
      </c>
      <c r="M138" s="322">
        <f>(100%-$D138)*'INGRESO A PS DE CA'!M138</f>
        <v>1.5409632000000002</v>
      </c>
      <c r="N138" s="322">
        <f>(100%-$D138)*'INGRESO A PS DE CA'!N138</f>
        <v>1.5479184000000001</v>
      </c>
      <c r="O138" s="322">
        <f>(100%-$D138)*'INGRESO A PS DE CA'!O138</f>
        <v>1.554616</v>
      </c>
      <c r="P138" s="322">
        <f>(100%-$D138)*'INGRESO A PS DE CA'!P138</f>
        <v>1.5615712000000002</v>
      </c>
      <c r="Q138" s="322">
        <f>(100%-$D138)*'INGRESO A PS DE CA'!Q138</f>
        <v>1.5685264000000001</v>
      </c>
      <c r="R138" s="322">
        <f>(100%-$D138)*'INGRESO A PS DE CA'!R138</f>
        <v>1.575224</v>
      </c>
      <c r="S138" s="322">
        <f>(100%-$D138)*'INGRESO A PS DE CA'!S138</f>
        <v>1.5821791999999999</v>
      </c>
      <c r="T138" s="322">
        <f>(100%-$D138)*'INGRESO A PS DE CA'!T138</f>
        <v>1.5888768000000002</v>
      </c>
      <c r="U138" s="322">
        <f>(100%-$D138)*'INGRESO A PS DE CA'!U138</f>
        <v>1.5958320000000001</v>
      </c>
      <c r="V138" s="322">
        <f>(100%-$D138)*'INGRESO A PS DE CA'!V138</f>
        <v>1.6025296000000002</v>
      </c>
      <c r="W138" s="322">
        <f>(100%-$D138)*'INGRESO A PS DE CA'!W138</f>
        <v>1.6094847999999999</v>
      </c>
      <c r="X138" s="322">
        <f>(100%-$D138)*'INGRESO A PS DE CA'!X138</f>
        <v>1.6164399999999999</v>
      </c>
      <c r="Y138" s="322">
        <f>(100%-$D138)*'INGRESO A PS DE CA'!Y138</f>
        <v>1.6231376000000002</v>
      </c>
      <c r="Z138" s="322">
        <f>(100%-$D138)*'INGRESO A PS DE CA'!Z138</f>
        <v>1.6300927999999999</v>
      </c>
    </row>
    <row r="139" spans="1:26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20">
        <v>0.2</v>
      </c>
      <c r="E139" s="278"/>
      <c r="F139" s="263"/>
      <c r="G139" s="322">
        <f>(100%-$D139)*'INGRESO A PS DE CA'!G139</f>
        <v>0.9700934400000002</v>
      </c>
      <c r="H139" s="322">
        <f>(100%-$D139)*'INGRESO A PS DE CA'!H139</f>
        <v>7.8524006400000008</v>
      </c>
      <c r="I139" s="322">
        <f>(100%-$D139)*'INGRESO A PS DE CA'!I139</f>
        <v>14.8971816</v>
      </c>
      <c r="J139" s="322">
        <f>(100%-$D139)*'INGRESO A PS DE CA'!J139</f>
        <v>25.121784000000002</v>
      </c>
      <c r="K139" s="322">
        <f>(100%-$D139)*'INGRESO A PS DE CA'!K139</f>
        <v>35.586045599999999</v>
      </c>
      <c r="L139" s="322">
        <f>(100%-$D139)*'INGRESO A PS DE CA'!L139</f>
        <v>36.006448800000001</v>
      </c>
      <c r="M139" s="322">
        <f>(100%-$D139)*'INGRESO A PS DE CA'!M139</f>
        <v>36.431707200000005</v>
      </c>
      <c r="N139" s="322">
        <f>(100%-$D139)*'INGRESO A PS DE CA'!N139</f>
        <v>36.861820799999997</v>
      </c>
      <c r="O139" s="322">
        <f>(100%-$D139)*'INGRESO A PS DE CA'!O139</f>
        <v>37.297360800000007</v>
      </c>
      <c r="P139" s="322">
        <f>(100%-$D139)*'INGRESO A PS DE CA'!P139</f>
        <v>37.737756000000005</v>
      </c>
      <c r="Q139" s="322">
        <f>(100%-$D139)*'INGRESO A PS DE CA'!Q139</f>
        <v>38.1835776</v>
      </c>
      <c r="R139" s="322">
        <f>(100%-$D139)*'INGRESO A PS DE CA'!R139</f>
        <v>38.634540000000001</v>
      </c>
      <c r="S139" s="322">
        <f>(100%-$D139)*'INGRESO A PS DE CA'!S139</f>
        <v>39.0909288</v>
      </c>
      <c r="T139" s="322">
        <f>(100%-$D139)*'INGRESO A PS DE CA'!T139</f>
        <v>39.552458400000006</v>
      </c>
      <c r="U139" s="322">
        <f>(100%-$D139)*'INGRESO A PS DE CA'!U139</f>
        <v>40.0197</v>
      </c>
      <c r="V139" s="322">
        <f>(100%-$D139)*'INGRESO A PS DE CA'!V139</f>
        <v>40.492367999999999</v>
      </c>
      <c r="W139" s="322">
        <f>(100%-$D139)*'INGRESO A PS DE CA'!W139</f>
        <v>40.970462400000002</v>
      </c>
      <c r="X139" s="322">
        <f>(100%-$D139)*'INGRESO A PS DE CA'!X139</f>
        <v>41.454554400000006</v>
      </c>
      <c r="Y139" s="322">
        <f>(100%-$D139)*'INGRESO A PS DE CA'!Y139</f>
        <v>41.944072800000001</v>
      </c>
      <c r="Z139" s="322">
        <f>(100%-$D139)*'INGRESO A PS DE CA'!Z139</f>
        <v>42.439588799999996</v>
      </c>
    </row>
    <row r="140" spans="1:26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20">
        <v>0.2</v>
      </c>
      <c r="E140" s="278"/>
      <c r="F140" s="263"/>
      <c r="G140" s="322">
        <f>(100%-$D140)*'INGRESO A PS DE CA'!G140</f>
        <v>63.688966799999996</v>
      </c>
      <c r="H140" s="322">
        <f>(100%-$D140)*'INGRESO A PS DE CA'!H140</f>
        <v>513.45206400000006</v>
      </c>
      <c r="I140" s="322">
        <f>(100%-$D140)*'INGRESO A PS DE CA'!I140</f>
        <v>970.23120840000001</v>
      </c>
      <c r="J140" s="322">
        <f>(100%-$D140)*'INGRESO A PS DE CA'!J140</f>
        <v>1629.7707780000001</v>
      </c>
      <c r="K140" s="322">
        <f>(100%-$D140)*'INGRESO A PS DE CA'!K140</f>
        <v>2299.7755367999994</v>
      </c>
      <c r="L140" s="322">
        <f>(100%-$D140)*'INGRESO A PS DE CA'!L140</f>
        <v>2318.1668999999997</v>
      </c>
      <c r="M140" s="322">
        <f>(100%-$D140)*'INGRESO A PS DE CA'!M140</f>
        <v>2336.8587059999995</v>
      </c>
      <c r="N140" s="322">
        <f>(100%-$D140)*'INGRESO A PS DE CA'!N140</f>
        <v>2355.8552976000001</v>
      </c>
      <c r="O140" s="322">
        <f>(100%-$D140)*'INGRESO A PS DE CA'!O140</f>
        <v>2375.1618072000001</v>
      </c>
      <c r="P140" s="322">
        <f>(100%-$D140)*'INGRESO A PS DE CA'!P140</f>
        <v>2394.7825776</v>
      </c>
      <c r="Q140" s="322">
        <f>(100%-$D140)*'INGRESO A PS DE CA'!Q140</f>
        <v>2414.7239255999993</v>
      </c>
      <c r="R140" s="322">
        <f>(100%-$D140)*'INGRESO A PS DE CA'!R140</f>
        <v>2434.9909835999997</v>
      </c>
      <c r="S140" s="322">
        <f>(100%-$D140)*'INGRESO A PS DE CA'!S140</f>
        <v>2455.5880943999996</v>
      </c>
      <c r="T140" s="322">
        <f>(100%-$D140)*'INGRESO A PS DE CA'!T140</f>
        <v>2476.5211800000002</v>
      </c>
      <c r="U140" s="322">
        <f>(100%-$D140)*'INGRESO A PS DE CA'!U140</f>
        <v>2497.7961624</v>
      </c>
      <c r="V140" s="322">
        <f>(100%-$D140)*'INGRESO A PS DE CA'!V140</f>
        <v>2519.4181739999999</v>
      </c>
      <c r="W140" s="322">
        <f>(100%-$D140)*'INGRESO A PS DE CA'!W140</f>
        <v>2541.392742</v>
      </c>
      <c r="X140" s="322">
        <f>(100%-$D140)*'INGRESO A PS DE CA'!X140</f>
        <v>2563.7253935999997</v>
      </c>
      <c r="Y140" s="322">
        <f>(100%-$D140)*'INGRESO A PS DE CA'!Y140</f>
        <v>2586.4228404</v>
      </c>
      <c r="Z140" s="322">
        <f>(100%-$D140)*'INGRESO A PS DE CA'!Z140</f>
        <v>2609.4906096</v>
      </c>
    </row>
    <row r="141" spans="1:26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20">
        <v>0.2</v>
      </c>
      <c r="E141" s="278"/>
      <c r="F141" s="263"/>
      <c r="G141" s="322">
        <f>(100%-$D141)*'INGRESO A PS DE CA'!G141</f>
        <v>2.4479360000000002E-2</v>
      </c>
      <c r="H141" s="322">
        <f>(100%-$D141)*'INGRESO A PS DE CA'!H141</f>
        <v>0.19636480000000003</v>
      </c>
      <c r="I141" s="322">
        <f>(100%-$D141)*'INGRESO A PS DE CA'!I141</f>
        <v>0.36917759999999999</v>
      </c>
      <c r="J141" s="322">
        <f>(100%-$D141)*'INGRESO A PS DE CA'!J141</f>
        <v>0.61713600000000013</v>
      </c>
      <c r="K141" s="322">
        <f>(100%-$D141)*'INGRESO A PS DE CA'!K141</f>
        <v>0.8663088000000001</v>
      </c>
      <c r="L141" s="322">
        <f>(100%-$D141)*'INGRESO A PS DE CA'!L141</f>
        <v>0.86862719999999993</v>
      </c>
      <c r="M141" s="322">
        <f>(100%-$D141)*'INGRESO A PS DE CA'!M141</f>
        <v>0.87094559999999999</v>
      </c>
      <c r="N141" s="322">
        <f>(100%-$D141)*'INGRESO A PS DE CA'!N141</f>
        <v>0.87352160000000001</v>
      </c>
      <c r="O141" s="322">
        <f>(100%-$D141)*'INGRESO A PS DE CA'!O141</f>
        <v>0.87584000000000006</v>
      </c>
      <c r="P141" s="322">
        <f>(100%-$D141)*'INGRESO A PS DE CA'!P141</f>
        <v>0.87815840000000012</v>
      </c>
      <c r="Q141" s="322">
        <f>(100%-$D141)*'INGRESO A PS DE CA'!Q141</f>
        <v>0.88073439999999992</v>
      </c>
      <c r="R141" s="322">
        <f>(100%-$D141)*'INGRESO A PS DE CA'!R141</f>
        <v>0.88305279999999997</v>
      </c>
      <c r="S141" s="322">
        <f>(100%-$D141)*'INGRESO A PS DE CA'!S141</f>
        <v>0.88537120000000002</v>
      </c>
      <c r="T141" s="322">
        <f>(100%-$D141)*'INGRESO A PS DE CA'!T141</f>
        <v>0.88794720000000005</v>
      </c>
      <c r="U141" s="322">
        <f>(100%-$D141)*'INGRESO A PS DE CA'!U141</f>
        <v>0.8902656000000001</v>
      </c>
      <c r="V141" s="322">
        <f>(100%-$D141)*'INGRESO A PS DE CA'!V141</f>
        <v>0.89258399999999993</v>
      </c>
      <c r="W141" s="322">
        <f>(100%-$D141)*'INGRESO A PS DE CA'!W141</f>
        <v>0.89515999999999996</v>
      </c>
      <c r="X141" s="322">
        <f>(100%-$D141)*'INGRESO A PS DE CA'!X141</f>
        <v>0.89747840000000001</v>
      </c>
      <c r="Y141" s="322">
        <f>(100%-$D141)*'INGRESO A PS DE CA'!Y141</f>
        <v>0.89979679999999984</v>
      </c>
      <c r="Z141" s="322">
        <f>(100%-$D141)*'INGRESO A PS DE CA'!Z141</f>
        <v>0.90237280000000009</v>
      </c>
    </row>
    <row r="142" spans="1:26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20">
        <v>0.2</v>
      </c>
      <c r="E142" s="278"/>
      <c r="F142" s="263"/>
      <c r="G142" s="322">
        <f>(100%-$D142)*'INGRESO A PS DE CA'!G142</f>
        <v>2.5848320000000004E-2</v>
      </c>
      <c r="H142" s="322">
        <f>(100%-$D142)*'INGRESO A PS DE CA'!H142</f>
        <v>0.20796416000000001</v>
      </c>
      <c r="I142" s="322">
        <f>(100%-$D142)*'INGRESO A PS DE CA'!I142</f>
        <v>0.39214080000000001</v>
      </c>
      <c r="J142" s="322">
        <f>(100%-$D142)*'INGRESO A PS DE CA'!J142</f>
        <v>0.65724800000000005</v>
      </c>
      <c r="K142" s="322">
        <f>(100%-$D142)*'INGRESO A PS DE CA'!K142</f>
        <v>0.9252992000000001</v>
      </c>
      <c r="L142" s="322">
        <f>(100%-$D142)*'INGRESO A PS DE CA'!L142</f>
        <v>0.93045119999999992</v>
      </c>
      <c r="M142" s="322">
        <f>(100%-$D142)*'INGRESO A PS DE CA'!M142</f>
        <v>0.93560319999999997</v>
      </c>
      <c r="N142" s="322">
        <f>(100%-$D142)*'INGRESO A PS DE CA'!N142</f>
        <v>0.9407551999999999</v>
      </c>
      <c r="O142" s="322">
        <f>(100%-$D142)*'INGRESO A PS DE CA'!O142</f>
        <v>0.94590720000000017</v>
      </c>
      <c r="P142" s="322">
        <f>(100%-$D142)*'INGRESO A PS DE CA'!P142</f>
        <v>0.9510592000000001</v>
      </c>
      <c r="Q142" s="322">
        <f>(100%-$D142)*'INGRESO A PS DE CA'!Q142</f>
        <v>0.95621119999999993</v>
      </c>
      <c r="R142" s="322">
        <f>(100%-$D142)*'INGRESO A PS DE CA'!R142</f>
        <v>0.96136319999999997</v>
      </c>
      <c r="S142" s="322">
        <f>(100%-$D142)*'INGRESO A PS DE CA'!S142</f>
        <v>0.96651520000000013</v>
      </c>
      <c r="T142" s="322">
        <f>(100%-$D142)*'INGRESO A PS DE CA'!T142</f>
        <v>0.97166720000000018</v>
      </c>
      <c r="U142" s="322">
        <f>(100%-$D142)*'INGRESO A PS DE CA'!U142</f>
        <v>0.9768192</v>
      </c>
      <c r="V142" s="322">
        <f>(100%-$D142)*'INGRESO A PS DE CA'!V142</f>
        <v>0.98197119999999993</v>
      </c>
      <c r="W142" s="322">
        <f>(100%-$D142)*'INGRESO A PS DE CA'!W142</f>
        <v>0.98712319999999998</v>
      </c>
      <c r="X142" s="322">
        <f>(100%-$D142)*'INGRESO A PS DE CA'!X142</f>
        <v>0.99227520000000013</v>
      </c>
      <c r="Y142" s="322">
        <f>(100%-$D142)*'INGRESO A PS DE CA'!Y142</f>
        <v>0.99742719999999996</v>
      </c>
      <c r="Z142" s="322">
        <f>(100%-$D142)*'INGRESO A PS DE CA'!Z142</f>
        <v>1.0025792000000002</v>
      </c>
    </row>
    <row r="143" spans="1:26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20">
        <v>0.2</v>
      </c>
      <c r="E143" s="278"/>
      <c r="F143" s="263"/>
      <c r="G143" s="322">
        <f>(100%-$D143)*'INGRESO A PS DE CA'!G143</f>
        <v>9.4244800000000004E-2</v>
      </c>
      <c r="H143" s="322">
        <f>(100%-$D143)*'INGRESO A PS DE CA'!H143</f>
        <v>0.77762816000000001</v>
      </c>
      <c r="I143" s="322">
        <f>(100%-$D143)*'INGRESO A PS DE CA'!I143</f>
        <v>1.5033168000000003</v>
      </c>
      <c r="J143" s="322">
        <f>(100%-$D143)*'INGRESO A PS DE CA'!J143</f>
        <v>2.5820720000000001</v>
      </c>
      <c r="K143" s="322">
        <f>(100%-$D143)*'INGRESO A PS DE CA'!K143</f>
        <v>3.7236080000000005</v>
      </c>
      <c r="L143" s="322">
        <f>(100%-$D143)*'INGRESO A PS DE CA'!L143</f>
        <v>3.8343759999999998</v>
      </c>
      <c r="M143" s="322">
        <f>(100%-$D143)*'INGRESO A PS DE CA'!M143</f>
        <v>3.9469471999999999</v>
      </c>
      <c r="N143" s="322">
        <f>(100%-$D143)*'INGRESO A PS DE CA'!N143</f>
        <v>4.0610640000000009</v>
      </c>
      <c r="O143" s="322">
        <f>(100%-$D143)*'INGRESO A PS DE CA'!O143</f>
        <v>4.1772416000000003</v>
      </c>
      <c r="P143" s="322">
        <f>(100%-$D143)*'INGRESO A PS DE CA'!P143</f>
        <v>4.2954800000000004</v>
      </c>
      <c r="Q143" s="322">
        <f>(100%-$D143)*'INGRESO A PS DE CA'!Q143</f>
        <v>4.4152639999999996</v>
      </c>
      <c r="R143" s="322">
        <f>(100%-$D143)*'INGRESO A PS DE CA'!R143</f>
        <v>4.5373663999999998</v>
      </c>
      <c r="S143" s="322">
        <f>(100%-$D143)*'INGRESO A PS DE CA'!S143</f>
        <v>4.6612720000000003</v>
      </c>
      <c r="T143" s="322">
        <f>(100%-$D143)*'INGRESO A PS DE CA'!T143</f>
        <v>4.7872384000000006</v>
      </c>
      <c r="U143" s="322">
        <f>(100%-$D143)*'INGRESO A PS DE CA'!U143</f>
        <v>4.9152656000000006</v>
      </c>
      <c r="V143" s="322">
        <f>(100%-$D143)*'INGRESO A PS DE CA'!V143</f>
        <v>5.0453535999999994</v>
      </c>
      <c r="W143" s="322">
        <f>(100%-$D143)*'INGRESO A PS DE CA'!W143</f>
        <v>5.1775023999999998</v>
      </c>
      <c r="X143" s="322">
        <f>(100%-$D143)*'INGRESO A PS DE CA'!X143</f>
        <v>5.3119695999999994</v>
      </c>
      <c r="Y143" s="322">
        <f>(100%-$D143)*'INGRESO A PS DE CA'!Y143</f>
        <v>5.4484976000000005</v>
      </c>
      <c r="Z143" s="322">
        <f>(100%-$D143)*'INGRESO A PS DE CA'!Z143</f>
        <v>5.5873439999999999</v>
      </c>
    </row>
    <row r="144" spans="1:26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20">
        <v>0.2</v>
      </c>
      <c r="E144" s="278"/>
      <c r="F144" s="263"/>
      <c r="G144" s="322">
        <f>(100%-$D144)*'INGRESO A PS DE CA'!G144</f>
        <v>0.15253824000000005</v>
      </c>
      <c r="H144" s="322">
        <f>(100%-$D144)*'INGRESO A PS DE CA'!H144</f>
        <v>1.2687436800000003</v>
      </c>
      <c r="I144" s="322">
        <f>(100%-$D144)*'INGRESO A PS DE CA'!I144</f>
        <v>2.4711144000000007</v>
      </c>
      <c r="J144" s="322">
        <f>(100%-$D144)*'INGRESO A PS DE CA'!J144</f>
        <v>4.2747680000000008</v>
      </c>
      <c r="K144" s="322">
        <f>(100%-$D144)*'INGRESO A PS DE CA'!K144</f>
        <v>6.2069784000000006</v>
      </c>
      <c r="L144" s="322">
        <f>(100%-$D144)*'INGRESO A PS DE CA'!L144</f>
        <v>6.4331400000000007</v>
      </c>
      <c r="M144" s="322">
        <f>(100%-$D144)*'INGRESO A PS DE CA'!M144</f>
        <v>6.6628632000000003</v>
      </c>
      <c r="N144" s="322">
        <f>(100%-$D144)*'INGRESO A PS DE CA'!N144</f>
        <v>6.8961480000000002</v>
      </c>
      <c r="O144" s="322">
        <f>(100%-$D144)*'INGRESO A PS DE CA'!O144</f>
        <v>7.1332911999999995</v>
      </c>
      <c r="P144" s="322">
        <f>(100%-$D144)*'INGRESO A PS DE CA'!P144</f>
        <v>7.3745896000000002</v>
      </c>
      <c r="Q144" s="322">
        <f>(100%-$D144)*'INGRESO A PS DE CA'!Q144</f>
        <v>7.6194495999999994</v>
      </c>
      <c r="R144" s="322">
        <f>(100%-$D144)*'INGRESO A PS DE CA'!R144</f>
        <v>7.8684647999999999</v>
      </c>
      <c r="S144" s="322">
        <f>(100%-$D144)*'INGRESO A PS DE CA'!S144</f>
        <v>8.1216351999999983</v>
      </c>
      <c r="T144" s="322">
        <f>(100%-$D144)*'INGRESO A PS DE CA'!T144</f>
        <v>8.3789607999999998</v>
      </c>
      <c r="U144" s="322">
        <f>(100%-$D144)*'INGRESO A PS DE CA'!U144</f>
        <v>8.6404416000000008</v>
      </c>
      <c r="V144" s="322">
        <f>(100%-$D144)*'INGRESO A PS DE CA'!V144</f>
        <v>8.9060775999999997</v>
      </c>
      <c r="W144" s="322">
        <f>(100%-$D144)*'INGRESO A PS DE CA'!W144</f>
        <v>9.1761656000000009</v>
      </c>
      <c r="X144" s="322">
        <f>(100%-$D144)*'INGRESO A PS DE CA'!X144</f>
        <v>9.4504087999999999</v>
      </c>
      <c r="Y144" s="322">
        <f>(100%-$D144)*'INGRESO A PS DE CA'!Y144</f>
        <v>9.7294008000000005</v>
      </c>
      <c r="Z144" s="322">
        <f>(100%-$D144)*'INGRESO A PS DE CA'!Z144</f>
        <v>10.012844800000002</v>
      </c>
    </row>
    <row r="145" spans="1:26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20">
        <v>0.2</v>
      </c>
      <c r="E145" s="278"/>
      <c r="F145" s="263"/>
      <c r="G145" s="322">
        <f>(100%-$D145)*'INGRESO A PS DE CA'!G145</f>
        <v>5.4515520000000012E-2</v>
      </c>
      <c r="H145" s="322">
        <f>(100%-$D145)*'INGRESO A PS DE CA'!H145</f>
        <v>0.43918592000000012</v>
      </c>
      <c r="I145" s="322">
        <f>(100%-$D145)*'INGRESO A PS DE CA'!I145</f>
        <v>0.82932480000000008</v>
      </c>
      <c r="J145" s="322">
        <f>(100%-$D145)*'INGRESO A PS DE CA'!J145</f>
        <v>1.3919600000000001</v>
      </c>
      <c r="K145" s="322">
        <f>(100%-$D145)*'INGRESO A PS DE CA'!K145</f>
        <v>1.9623967999999998</v>
      </c>
      <c r="L145" s="322">
        <f>(100%-$D145)*'INGRESO A PS DE CA'!L145</f>
        <v>1.9757920000000002</v>
      </c>
      <c r="M145" s="322">
        <f>(100%-$D145)*'INGRESO A PS DE CA'!M145</f>
        <v>1.9894447999999998</v>
      </c>
      <c r="N145" s="322">
        <f>(100%-$D145)*'INGRESO A PS DE CA'!N145</f>
        <v>2.0030975999999998</v>
      </c>
      <c r="O145" s="322">
        <f>(100%-$D145)*'INGRESO A PS DE CA'!O145</f>
        <v>2.0164928</v>
      </c>
      <c r="P145" s="322">
        <f>(100%-$D145)*'INGRESO A PS DE CA'!P145</f>
        <v>2.0301456000000004</v>
      </c>
      <c r="Q145" s="322">
        <f>(100%-$D145)*'INGRESO A PS DE CA'!Q145</f>
        <v>2.0437984</v>
      </c>
      <c r="R145" s="322">
        <f>(100%-$D145)*'INGRESO A PS DE CA'!R145</f>
        <v>2.0571936000000002</v>
      </c>
      <c r="S145" s="322">
        <f>(100%-$D145)*'INGRESO A PS DE CA'!S145</f>
        <v>2.0708464000000002</v>
      </c>
      <c r="T145" s="322">
        <f>(100%-$D145)*'INGRESO A PS DE CA'!T145</f>
        <v>2.0844992000000002</v>
      </c>
      <c r="U145" s="322">
        <f>(100%-$D145)*'INGRESO A PS DE CA'!U145</f>
        <v>2.0978943999999999</v>
      </c>
      <c r="V145" s="322">
        <f>(100%-$D145)*'INGRESO A PS DE CA'!V145</f>
        <v>2.1115472</v>
      </c>
      <c r="W145" s="322">
        <f>(100%-$D145)*'INGRESO A PS DE CA'!W145</f>
        <v>2.1252</v>
      </c>
      <c r="X145" s="322">
        <f>(100%-$D145)*'INGRESO A PS DE CA'!X145</f>
        <v>2.1385952000000001</v>
      </c>
      <c r="Y145" s="322">
        <f>(100%-$D145)*'INGRESO A PS DE CA'!Y145</f>
        <v>2.1522479999999997</v>
      </c>
      <c r="Z145" s="322">
        <f>(100%-$D145)*'INGRESO A PS DE CA'!Z145</f>
        <v>2.1659008000000002</v>
      </c>
    </row>
    <row r="146" spans="1:26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20">
        <v>0.2</v>
      </c>
      <c r="E146" s="278"/>
      <c r="F146" s="263"/>
      <c r="G146" s="322">
        <f>(100%-$D146)*'INGRESO A PS DE CA'!G146</f>
        <v>2.2043200000000002E-2</v>
      </c>
      <c r="H146" s="322">
        <f>(100%-$D146)*'INGRESO A PS DE CA'!H146</f>
        <v>0.17669888</v>
      </c>
      <c r="I146" s="322">
        <f>(100%-$D146)*'INGRESO A PS DE CA'!I146</f>
        <v>0.33208320000000002</v>
      </c>
      <c r="J146" s="322">
        <f>(100%-$D146)*'INGRESO A PS DE CA'!J146</f>
        <v>0.55457600000000007</v>
      </c>
      <c r="K146" s="322">
        <f>(100%-$D146)*'INGRESO A PS DE CA'!K146</f>
        <v>0.77820960000000006</v>
      </c>
      <c r="L146" s="322">
        <f>(100%-$D146)*'INGRESO A PS DE CA'!L146</f>
        <v>0.77975519999999998</v>
      </c>
      <c r="M146" s="322">
        <f>(100%-$D146)*'INGRESO A PS DE CA'!M146</f>
        <v>0.78155839999999999</v>
      </c>
      <c r="N146" s="322">
        <f>(100%-$D146)*'INGRESO A PS DE CA'!N146</f>
        <v>0.78310400000000002</v>
      </c>
      <c r="O146" s="322">
        <f>(100%-$D146)*'INGRESO A PS DE CA'!O146</f>
        <v>0.78490720000000003</v>
      </c>
      <c r="P146" s="322">
        <f>(100%-$D146)*'INGRESO A PS DE CA'!P146</f>
        <v>0.78645280000000017</v>
      </c>
      <c r="Q146" s="322">
        <f>(100%-$D146)*'INGRESO A PS DE CA'!Q146</f>
        <v>0.78825600000000007</v>
      </c>
      <c r="R146" s="322">
        <f>(100%-$D146)*'INGRESO A PS DE CA'!R146</f>
        <v>0.79005920000000007</v>
      </c>
      <c r="S146" s="322">
        <f>(100%-$D146)*'INGRESO A PS DE CA'!S146</f>
        <v>0.7916048</v>
      </c>
      <c r="T146" s="322">
        <f>(100%-$D146)*'INGRESO A PS DE CA'!T146</f>
        <v>0.793408</v>
      </c>
      <c r="U146" s="322">
        <f>(100%-$D146)*'INGRESO A PS DE CA'!U146</f>
        <v>0.79495360000000004</v>
      </c>
      <c r="V146" s="322">
        <f>(100%-$D146)*'INGRESO A PS DE CA'!V146</f>
        <v>0.79675679999999993</v>
      </c>
      <c r="W146" s="322">
        <f>(100%-$D146)*'INGRESO A PS DE CA'!W146</f>
        <v>0.79830239999999997</v>
      </c>
      <c r="X146" s="322">
        <f>(100%-$D146)*'INGRESO A PS DE CA'!X146</f>
        <v>0.80010560000000008</v>
      </c>
      <c r="Y146" s="322">
        <f>(100%-$D146)*'INGRESO A PS DE CA'!Y146</f>
        <v>0.8016511999999999</v>
      </c>
      <c r="Z146" s="322">
        <f>(100%-$D146)*'INGRESO A PS DE CA'!Z146</f>
        <v>0.8034543999999999</v>
      </c>
    </row>
    <row r="147" spans="1:26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20">
        <v>0.2</v>
      </c>
      <c r="E147" s="278"/>
      <c r="F147" s="263"/>
      <c r="G147" s="322">
        <f>(100%-$D147)*'INGRESO A PS DE CA'!G147</f>
        <v>3.2384000000000003E-2</v>
      </c>
      <c r="H147" s="322">
        <f>(100%-$D147)*'INGRESO A PS DE CA'!H147</f>
        <v>0.25983744000000003</v>
      </c>
      <c r="I147" s="322">
        <f>(100%-$D147)*'INGRESO A PS DE CA'!I147</f>
        <v>0.48851999999999995</v>
      </c>
      <c r="J147" s="322">
        <f>(100%-$D147)*'INGRESO A PS DE CA'!J147</f>
        <v>0.81659199999999998</v>
      </c>
      <c r="K147" s="322">
        <f>(100%-$D147)*'INGRESO A PS DE CA'!K147</f>
        <v>1.1465776000000001</v>
      </c>
      <c r="L147" s="322">
        <f>(100%-$D147)*'INGRESO A PS DE CA'!L147</f>
        <v>1.1499264</v>
      </c>
      <c r="M147" s="322">
        <f>(100%-$D147)*'INGRESO A PS DE CA'!M147</f>
        <v>1.1532752000000002</v>
      </c>
      <c r="N147" s="322">
        <f>(100%-$D147)*'INGRESO A PS DE CA'!N147</f>
        <v>1.1563664</v>
      </c>
      <c r="O147" s="322">
        <f>(100%-$D147)*'INGRESO A PS DE CA'!O147</f>
        <v>1.1597151999999999</v>
      </c>
      <c r="P147" s="322">
        <f>(100%-$D147)*'INGRESO A PS DE CA'!P147</f>
        <v>1.1630640000000001</v>
      </c>
      <c r="Q147" s="322">
        <f>(100%-$D147)*'INGRESO A PS DE CA'!Q147</f>
        <v>1.1664128000000002</v>
      </c>
      <c r="R147" s="322">
        <f>(100%-$D147)*'INGRESO A PS DE CA'!R147</f>
        <v>1.1697616</v>
      </c>
      <c r="S147" s="322">
        <f>(100%-$D147)*'INGRESO A PS DE CA'!S147</f>
        <v>1.1731104000000001</v>
      </c>
      <c r="T147" s="322">
        <f>(100%-$D147)*'INGRESO A PS DE CA'!T147</f>
        <v>1.1762016000000002</v>
      </c>
      <c r="U147" s="322">
        <f>(100%-$D147)*'INGRESO A PS DE CA'!U147</f>
        <v>1.1795504000000001</v>
      </c>
      <c r="V147" s="322">
        <f>(100%-$D147)*'INGRESO A PS DE CA'!V147</f>
        <v>1.1828992</v>
      </c>
      <c r="W147" s="322">
        <f>(100%-$D147)*'INGRESO A PS DE CA'!W147</f>
        <v>1.186248</v>
      </c>
      <c r="X147" s="322">
        <f>(100%-$D147)*'INGRESO A PS DE CA'!X147</f>
        <v>1.1895968000000001</v>
      </c>
      <c r="Y147" s="322">
        <f>(100%-$D147)*'INGRESO A PS DE CA'!Y147</f>
        <v>1.1926880000000002</v>
      </c>
      <c r="Z147" s="322">
        <f>(100%-$D147)*'INGRESO A PS DE CA'!Z147</f>
        <v>1.1960367999999999</v>
      </c>
    </row>
    <row r="148" spans="1:26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20">
        <v>0.2</v>
      </c>
      <c r="E148" s="278"/>
      <c r="F148" s="263"/>
      <c r="G148" s="322">
        <f>(100%-$D148)*'INGRESO A PS DE CA'!G148</f>
        <v>5.6304000000000007E-3</v>
      </c>
      <c r="H148" s="322">
        <f>(100%-$D148)*'INGRESO A PS DE CA'!H148</f>
        <v>4.4925440000000011E-2</v>
      </c>
      <c r="I148" s="322">
        <f>(100%-$D148)*'INGRESO A PS DE CA'!I148</f>
        <v>8.3904000000000006E-2</v>
      </c>
      <c r="J148" s="322">
        <f>(100%-$D148)*'INGRESO A PS DE CA'!J148</f>
        <v>0.13947200000000001</v>
      </c>
      <c r="K148" s="322">
        <f>(100%-$D148)*'INGRESO A PS DE CA'!K148</f>
        <v>0.19474559999999999</v>
      </c>
      <c r="L148" s="322">
        <f>(100%-$D148)*'INGRESO A PS DE CA'!L148</f>
        <v>0.19423040000000003</v>
      </c>
      <c r="M148" s="322">
        <f>(100%-$D148)*'INGRESO A PS DE CA'!M148</f>
        <v>0.1937152</v>
      </c>
      <c r="N148" s="322">
        <f>(100%-$D148)*'INGRESO A PS DE CA'!N148</f>
        <v>0.19319999999999998</v>
      </c>
      <c r="O148" s="322">
        <f>(100%-$D148)*'INGRESO A PS DE CA'!O148</f>
        <v>0.19268480000000002</v>
      </c>
      <c r="P148" s="322">
        <f>(100%-$D148)*'INGRESO A PS DE CA'!P148</f>
        <v>0.19216960000000002</v>
      </c>
      <c r="Q148" s="322">
        <f>(100%-$D148)*'INGRESO A PS DE CA'!Q148</f>
        <v>0.1916544</v>
      </c>
      <c r="R148" s="322">
        <f>(100%-$D148)*'INGRESO A PS DE CA'!R148</f>
        <v>0.19113920000000001</v>
      </c>
      <c r="S148" s="322">
        <f>(100%-$D148)*'INGRESO A PS DE CA'!S148</f>
        <v>0.19062400000000002</v>
      </c>
      <c r="T148" s="322">
        <f>(100%-$D148)*'INGRESO A PS DE CA'!T148</f>
        <v>0.19010879999999999</v>
      </c>
      <c r="U148" s="322">
        <f>(100%-$D148)*'INGRESO A PS DE CA'!U148</f>
        <v>0.18959360000000003</v>
      </c>
      <c r="V148" s="322">
        <f>(100%-$D148)*'INGRESO A PS DE CA'!V148</f>
        <v>0.18907839999999998</v>
      </c>
      <c r="W148" s="322">
        <f>(100%-$D148)*'INGRESO A PS DE CA'!W148</f>
        <v>0.18856320000000001</v>
      </c>
      <c r="X148" s="322">
        <f>(100%-$D148)*'INGRESO A PS DE CA'!X148</f>
        <v>0.18804799999999999</v>
      </c>
      <c r="Y148" s="322">
        <f>(100%-$D148)*'INGRESO A PS DE CA'!Y148</f>
        <v>0.1875328</v>
      </c>
      <c r="Z148" s="322">
        <f>(100%-$D148)*'INGRESO A PS DE CA'!Z148</f>
        <v>0.18701760000000001</v>
      </c>
    </row>
    <row r="149" spans="1:26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20">
        <v>0.2</v>
      </c>
      <c r="E149" s="278"/>
      <c r="F149" s="263"/>
      <c r="G149" s="322">
        <f>(100%-$D149)*'INGRESO A PS DE CA'!G149</f>
        <v>1.0105280000000001E-2</v>
      </c>
      <c r="H149" s="322">
        <f>(100%-$D149)*'INGRESO A PS DE CA'!H149</f>
        <v>8.2785280000000017E-2</v>
      </c>
      <c r="I149" s="322">
        <f>(100%-$D149)*'INGRESO A PS DE CA'!I149</f>
        <v>0.15897600000000001</v>
      </c>
      <c r="J149" s="322">
        <f>(100%-$D149)*'INGRESO A PS DE CA'!J149</f>
        <v>0.27121600000000007</v>
      </c>
      <c r="K149" s="322">
        <f>(100%-$D149)*'INGRESO A PS DE CA'!K149</f>
        <v>0.38871839999999996</v>
      </c>
      <c r="L149" s="322">
        <f>(100%-$D149)*'INGRESO A PS DE CA'!L149</f>
        <v>0.39799200000000001</v>
      </c>
      <c r="M149" s="322">
        <f>(100%-$D149)*'INGRESO A PS DE CA'!M149</f>
        <v>0.40752319999999997</v>
      </c>
      <c r="N149" s="322">
        <f>(100%-$D149)*'INGRESO A PS DE CA'!N149</f>
        <v>0.41731200000000002</v>
      </c>
      <c r="O149" s="322">
        <f>(100%-$D149)*'INGRESO A PS DE CA'!O149</f>
        <v>0.42710080000000006</v>
      </c>
      <c r="P149" s="322">
        <f>(100%-$D149)*'INGRESO A PS DE CA'!P149</f>
        <v>0.43740479999999993</v>
      </c>
      <c r="Q149" s="322">
        <f>(100%-$D149)*'INGRESO A PS DE CA'!Q149</f>
        <v>0.44770879999999996</v>
      </c>
      <c r="R149" s="322">
        <f>(100%-$D149)*'INGRESO A PS DE CA'!R149</f>
        <v>0.45852800000000005</v>
      </c>
      <c r="S149" s="322">
        <f>(100%-$D149)*'INGRESO A PS DE CA'!S149</f>
        <v>0.46934720000000002</v>
      </c>
      <c r="T149" s="322">
        <f>(100%-$D149)*'INGRESO A PS DE CA'!T149</f>
        <v>0.48068159999999999</v>
      </c>
      <c r="U149" s="322">
        <f>(100%-$D149)*'INGRESO A PS DE CA'!U149</f>
        <v>0.49201600000000001</v>
      </c>
      <c r="V149" s="322">
        <f>(100%-$D149)*'INGRESO A PS DE CA'!V149</f>
        <v>0.50386560000000002</v>
      </c>
      <c r="W149" s="322">
        <f>(100%-$D149)*'INGRESO A PS DE CA'!W149</f>
        <v>0.51571520000000004</v>
      </c>
      <c r="X149" s="322">
        <f>(100%-$D149)*'INGRESO A PS DE CA'!X149</f>
        <v>0.52807999999999999</v>
      </c>
      <c r="Y149" s="322">
        <f>(100%-$D149)*'INGRESO A PS DE CA'!Y149</f>
        <v>0.54070240000000003</v>
      </c>
      <c r="Z149" s="322">
        <f>(100%-$D149)*'INGRESO A PS DE CA'!Z149</f>
        <v>0.55358240000000003</v>
      </c>
    </row>
    <row r="150" spans="1:26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20">
        <v>0.2</v>
      </c>
      <c r="E150" s="278"/>
      <c r="F150" s="263"/>
      <c r="G150" s="322">
        <f>(100%-$D150)*'INGRESO A PS DE CA'!G150</f>
        <v>3.5740160000000007E-2</v>
      </c>
      <c r="H150" s="322">
        <f>(100%-$D150)*'INGRESO A PS DE CA'!H150</f>
        <v>0.28751104000000005</v>
      </c>
      <c r="I150" s="322">
        <f>(100%-$D150)*'INGRESO A PS DE CA'!I150</f>
        <v>0.54206399999999999</v>
      </c>
      <c r="J150" s="322">
        <f>(100%-$D150)*'INGRESO A PS DE CA'!J150</f>
        <v>0.90859200000000007</v>
      </c>
      <c r="K150" s="322">
        <f>(100%-$D150)*'INGRESO A PS DE CA'!K150</f>
        <v>1.2789840000000001</v>
      </c>
      <c r="L150" s="322">
        <f>(100%-$D150)*'INGRESO A PS DE CA'!L150</f>
        <v>1.2861967999999999</v>
      </c>
      <c r="M150" s="322">
        <f>(100%-$D150)*'INGRESO A PS DE CA'!M150</f>
        <v>1.2931520000000001</v>
      </c>
      <c r="N150" s="322">
        <f>(100%-$D150)*'INGRESO A PS DE CA'!N150</f>
        <v>1.3001072</v>
      </c>
      <c r="O150" s="322">
        <f>(100%-$D150)*'INGRESO A PS DE CA'!O150</f>
        <v>1.3073199999999998</v>
      </c>
      <c r="P150" s="322">
        <f>(100%-$D150)*'INGRESO A PS DE CA'!P150</f>
        <v>1.3142752</v>
      </c>
      <c r="Q150" s="322">
        <f>(100%-$D150)*'INGRESO A PS DE CA'!Q150</f>
        <v>1.3214880000000002</v>
      </c>
      <c r="R150" s="322">
        <f>(100%-$D150)*'INGRESO A PS DE CA'!R150</f>
        <v>1.3284432000000004</v>
      </c>
      <c r="S150" s="322">
        <f>(100%-$D150)*'INGRESO A PS DE CA'!S150</f>
        <v>1.3353984000000003</v>
      </c>
      <c r="T150" s="322">
        <f>(100%-$D150)*'INGRESO A PS DE CA'!T150</f>
        <v>1.3426112000000001</v>
      </c>
      <c r="U150" s="322">
        <f>(100%-$D150)*'INGRESO A PS DE CA'!U150</f>
        <v>1.3495664000000001</v>
      </c>
      <c r="V150" s="322">
        <f>(100%-$D150)*'INGRESO A PS DE CA'!V150</f>
        <v>1.3567792000000001</v>
      </c>
      <c r="W150" s="322">
        <f>(100%-$D150)*'INGRESO A PS DE CA'!W150</f>
        <v>1.3637344000000002</v>
      </c>
      <c r="X150" s="322">
        <f>(100%-$D150)*'INGRESO A PS DE CA'!X150</f>
        <v>1.3709471999999998</v>
      </c>
      <c r="Y150" s="322">
        <f>(100%-$D150)*'INGRESO A PS DE CA'!Y150</f>
        <v>1.3779024</v>
      </c>
      <c r="Z150" s="322">
        <f>(100%-$D150)*'INGRESO A PS DE CA'!Z150</f>
        <v>1.3848576000000001</v>
      </c>
    </row>
    <row r="151" spans="1:26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20">
        <v>0.2</v>
      </c>
      <c r="E151" s="278"/>
      <c r="F151" s="263"/>
      <c r="G151" s="322">
        <f>(100%-$D151)*'INGRESO A PS DE CA'!G151</f>
        <v>0.28315568000000008</v>
      </c>
      <c r="H151" s="322">
        <f>(100%-$D151)*'INGRESO A PS DE CA'!H151</f>
        <v>2.3186355199999999</v>
      </c>
      <c r="I151" s="322">
        <f>(100%-$D151)*'INGRESO A PS DE CA'!I151</f>
        <v>4.4475480000000003</v>
      </c>
      <c r="J151" s="322">
        <f>(100%-$D151)*'INGRESO A PS DE CA'!J151</f>
        <v>7.5794240000000004</v>
      </c>
      <c r="K151" s="322">
        <f>(100%-$D151)*'INGRESO A PS DE CA'!K151</f>
        <v>10.845072</v>
      </c>
      <c r="L151" s="322">
        <f>(100%-$D151)*'INGRESO A PS DE CA'!L151</f>
        <v>11.129406400000001</v>
      </c>
      <c r="M151" s="322">
        <f>(100%-$D151)*'INGRESO A PS DE CA'!M151</f>
        <v>11.414037600000002</v>
      </c>
      <c r="N151" s="322">
        <f>(100%-$D151)*'INGRESO A PS DE CA'!N151</f>
        <v>11.6986688</v>
      </c>
      <c r="O151" s="322">
        <f>(100%-$D151)*'INGRESO A PS DE CA'!O151</f>
        <v>11.983003200000001</v>
      </c>
      <c r="P151" s="322">
        <f>(100%-$D151)*'INGRESO A PS DE CA'!P151</f>
        <v>12.2676344</v>
      </c>
      <c r="Q151" s="322">
        <f>(100%-$D151)*'INGRESO A PS DE CA'!Q151</f>
        <v>12.551968799999999</v>
      </c>
      <c r="R151" s="322">
        <f>(100%-$D151)*'INGRESO A PS DE CA'!R151</f>
        <v>12.836599999999999</v>
      </c>
      <c r="S151" s="322">
        <f>(100%-$D151)*'INGRESO A PS DE CA'!S151</f>
        <v>13.120934399999999</v>
      </c>
      <c r="T151" s="322">
        <f>(100%-$D151)*'INGRESO A PS DE CA'!T151</f>
        <v>13.405862400000002</v>
      </c>
      <c r="U151" s="322">
        <f>(100%-$D151)*'INGRESO A PS DE CA'!U151</f>
        <v>13.690196800000002</v>
      </c>
      <c r="V151" s="322">
        <f>(100%-$D151)*'INGRESO A PS DE CA'!V151</f>
        <v>13.974828000000002</v>
      </c>
      <c r="W151" s="322">
        <f>(100%-$D151)*'INGRESO A PS DE CA'!W151</f>
        <v>14.259162400000001</v>
      </c>
      <c r="X151" s="322">
        <f>(100%-$D151)*'INGRESO A PS DE CA'!X151</f>
        <v>14.543793600000001</v>
      </c>
      <c r="Y151" s="322">
        <f>(100%-$D151)*'INGRESO A PS DE CA'!Y151</f>
        <v>14.828128000000001</v>
      </c>
      <c r="Z151" s="322">
        <f>(100%-$D151)*'INGRESO A PS DE CA'!Z151</f>
        <v>15.113056</v>
      </c>
    </row>
    <row r="152" spans="1:26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20">
        <v>0.2</v>
      </c>
      <c r="E152" s="278"/>
      <c r="F152" s="263"/>
      <c r="G152" s="322">
        <f>(100%-$D152)*'INGRESO A PS DE CA'!G152</f>
        <v>2.5060800000000001E-2</v>
      </c>
      <c r="H152" s="322">
        <f>(100%-$D152)*'INGRESO A PS DE CA'!H152</f>
        <v>0.20042752000000005</v>
      </c>
      <c r="I152" s="322">
        <f>(100%-$D152)*'INGRESO A PS DE CA'!I152</f>
        <v>0.37580160000000001</v>
      </c>
      <c r="J152" s="322">
        <f>(100%-$D152)*'INGRESO A PS DE CA'!J152</f>
        <v>0.62615200000000015</v>
      </c>
      <c r="K152" s="322">
        <f>(100%-$D152)*'INGRESO A PS DE CA'!K152</f>
        <v>0.87661280000000008</v>
      </c>
      <c r="L152" s="322">
        <f>(100%-$D152)*'INGRESO A PS DE CA'!L152</f>
        <v>0.87661280000000008</v>
      </c>
      <c r="M152" s="322">
        <f>(100%-$D152)*'INGRESO A PS DE CA'!M152</f>
        <v>0.87635520000000011</v>
      </c>
      <c r="N152" s="322">
        <f>(100%-$D152)*'INGRESO A PS DE CA'!N152</f>
        <v>0.87635520000000011</v>
      </c>
      <c r="O152" s="322">
        <f>(100%-$D152)*'INGRESO A PS DE CA'!O152</f>
        <v>0.87609760000000003</v>
      </c>
      <c r="P152" s="322">
        <f>(100%-$D152)*'INGRESO A PS DE CA'!P152</f>
        <v>0.87609760000000003</v>
      </c>
      <c r="Q152" s="322">
        <f>(100%-$D152)*'INGRESO A PS DE CA'!Q152</f>
        <v>0.87584000000000006</v>
      </c>
      <c r="R152" s="322">
        <f>(100%-$D152)*'INGRESO A PS DE CA'!R152</f>
        <v>0.87584000000000006</v>
      </c>
      <c r="S152" s="322">
        <f>(100%-$D152)*'INGRESO A PS DE CA'!S152</f>
        <v>0.87558239999999987</v>
      </c>
      <c r="T152" s="322">
        <f>(100%-$D152)*'INGRESO A PS DE CA'!T152</f>
        <v>0.87558239999999987</v>
      </c>
      <c r="U152" s="322">
        <f>(100%-$D152)*'INGRESO A PS DE CA'!U152</f>
        <v>0.87558239999999987</v>
      </c>
      <c r="V152" s="322">
        <f>(100%-$D152)*'INGRESO A PS DE CA'!V152</f>
        <v>0.87532480000000012</v>
      </c>
      <c r="W152" s="322">
        <f>(100%-$D152)*'INGRESO A PS DE CA'!W152</f>
        <v>0.87532480000000012</v>
      </c>
      <c r="X152" s="322">
        <f>(100%-$D152)*'INGRESO A PS DE CA'!X152</f>
        <v>0.87506720000000005</v>
      </c>
      <c r="Y152" s="322">
        <f>(100%-$D152)*'INGRESO A PS DE CA'!Y152</f>
        <v>0.87506720000000005</v>
      </c>
      <c r="Z152" s="322">
        <f>(100%-$D152)*'INGRESO A PS DE CA'!Z152</f>
        <v>0.87480959999999985</v>
      </c>
    </row>
    <row r="153" spans="1:26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20">
        <v>0.2</v>
      </c>
      <c r="E153" s="278"/>
      <c r="F153" s="263"/>
      <c r="G153" s="322">
        <f>(100%-$D153)*'INGRESO A PS DE CA'!G153</f>
        <v>0.20104384</v>
      </c>
      <c r="H153" s="322">
        <f>(100%-$D153)*'INGRESO A PS DE CA'!H153</f>
        <v>1.6801254400000003</v>
      </c>
      <c r="I153" s="322">
        <f>(100%-$D153)*'INGRESO A PS DE CA'!I153</f>
        <v>3.2910455999999999</v>
      </c>
      <c r="J153" s="322">
        <f>(100%-$D153)*'INGRESO A PS DE CA'!J153</f>
        <v>5.7301480000000007</v>
      </c>
      <c r="K153" s="322">
        <f>(100%-$D153)*'INGRESO A PS DE CA'!K153</f>
        <v>8.3807415999999986</v>
      </c>
      <c r="L153" s="322">
        <f>(100%-$D153)*'INGRESO A PS DE CA'!L153</f>
        <v>8.7555999999999994</v>
      </c>
      <c r="M153" s="322">
        <f>(100%-$D153)*'INGRESO A PS DE CA'!M153</f>
        <v>9.1467823999999993</v>
      </c>
      <c r="N153" s="322">
        <f>(100%-$D153)*'INGRESO A PS DE CA'!N153</f>
        <v>9.5554760000000023</v>
      </c>
      <c r="O153" s="322">
        <f>(100%-$D153)*'INGRESO A PS DE CA'!O153</f>
        <v>9.9822744000000014</v>
      </c>
      <c r="P153" s="322">
        <f>(100%-$D153)*'INGRESO A PS DE CA'!P153</f>
        <v>10.428364800000001</v>
      </c>
      <c r="Q153" s="322">
        <f>(100%-$D153)*'INGRESO A PS DE CA'!Q153</f>
        <v>10.8949344</v>
      </c>
      <c r="R153" s="322">
        <f>(100%-$D153)*'INGRESO A PS DE CA'!R153</f>
        <v>11.381686400000001</v>
      </c>
      <c r="S153" s="322">
        <f>(100%-$D153)*'INGRESO A PS DE CA'!S153</f>
        <v>11.890104800000001</v>
      </c>
      <c r="T153" s="322">
        <f>(100%-$D153)*'INGRESO A PS DE CA'!T153</f>
        <v>12.4216736</v>
      </c>
      <c r="U153" s="322">
        <f>(100%-$D153)*'INGRESO A PS DE CA'!U153</f>
        <v>12.9766896</v>
      </c>
      <c r="V153" s="322">
        <f>(100%-$D153)*'INGRESO A PS DE CA'!V153</f>
        <v>13.556636800000001</v>
      </c>
      <c r="W153" s="322">
        <f>(100%-$D153)*'INGRESO A PS DE CA'!W153</f>
        <v>14.162702399999999</v>
      </c>
      <c r="X153" s="322">
        <f>(100%-$D153)*'INGRESO A PS DE CA'!X153</f>
        <v>14.7951832</v>
      </c>
      <c r="Y153" s="322">
        <f>(100%-$D153)*'INGRESO A PS DE CA'!Y153</f>
        <v>15.456453600000001</v>
      </c>
      <c r="Z153" s="322">
        <f>(100%-$D153)*'INGRESO A PS DE CA'!Z153</f>
        <v>16.147404000000002</v>
      </c>
    </row>
    <row r="154" spans="1:26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20">
        <v>0.2</v>
      </c>
      <c r="E154" s="278"/>
      <c r="F154" s="263"/>
      <c r="G154" s="322">
        <f>(100%-$D154)*'INGRESO A PS DE CA'!G154</f>
        <v>4.1893120000000006E-2</v>
      </c>
      <c r="H154" s="322">
        <f>(100%-$D154)*'INGRESO A PS DE CA'!H154</f>
        <v>0.33567488000000006</v>
      </c>
      <c r="I154" s="322">
        <f>(100%-$D154)*'INGRESO A PS DE CA'!I154</f>
        <v>0.6304943999999999</v>
      </c>
      <c r="J154" s="322">
        <f>(100%-$D154)*'INGRESO A PS DE CA'!J154</f>
        <v>1.0524800000000001</v>
      </c>
      <c r="K154" s="322">
        <f>(100%-$D154)*'INGRESO A PS DE CA'!K154</f>
        <v>1.4757904000000002</v>
      </c>
      <c r="L154" s="322">
        <f>(100%-$D154)*'INGRESO A PS DE CA'!L154</f>
        <v>1.4781088</v>
      </c>
      <c r="M154" s="322">
        <f>(100%-$D154)*'INGRESO A PS DE CA'!M154</f>
        <v>1.4806847999999997</v>
      </c>
      <c r="N154" s="322">
        <f>(100%-$D154)*'INGRESO A PS DE CA'!N154</f>
        <v>1.4830032000000002</v>
      </c>
      <c r="O154" s="322">
        <f>(100%-$D154)*'INGRESO A PS DE CA'!O154</f>
        <v>1.4853216</v>
      </c>
      <c r="P154" s="322">
        <f>(100%-$D154)*'INGRESO A PS DE CA'!P154</f>
        <v>1.4878976000000002</v>
      </c>
      <c r="Q154" s="322">
        <f>(100%-$D154)*'INGRESO A PS DE CA'!Q154</f>
        <v>1.490216</v>
      </c>
      <c r="R154" s="322">
        <f>(100%-$D154)*'INGRESO A PS DE CA'!R154</f>
        <v>1.4925344000000003</v>
      </c>
      <c r="S154" s="322">
        <f>(100%-$D154)*'INGRESO A PS DE CA'!S154</f>
        <v>1.4951104000000002</v>
      </c>
      <c r="T154" s="322">
        <f>(100%-$D154)*'INGRESO A PS DE CA'!T154</f>
        <v>1.4974287999999998</v>
      </c>
      <c r="U154" s="322">
        <f>(100%-$D154)*'INGRESO A PS DE CA'!U154</f>
        <v>1.5000047999999999</v>
      </c>
      <c r="V154" s="322">
        <f>(100%-$D154)*'INGRESO A PS DE CA'!V154</f>
        <v>1.5023232000000002</v>
      </c>
      <c r="W154" s="322">
        <f>(100%-$D154)*'INGRESO A PS DE CA'!W154</f>
        <v>1.5046416000000002</v>
      </c>
      <c r="X154" s="322">
        <f>(100%-$D154)*'INGRESO A PS DE CA'!X154</f>
        <v>1.5072176000000002</v>
      </c>
      <c r="Y154" s="322">
        <f>(100%-$D154)*'INGRESO A PS DE CA'!Y154</f>
        <v>1.5095359999999998</v>
      </c>
      <c r="Z154" s="322">
        <f>(100%-$D154)*'INGRESO A PS DE CA'!Z154</f>
        <v>1.5121120000000001</v>
      </c>
    </row>
    <row r="155" spans="1:26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20">
        <v>0.2</v>
      </c>
      <c r="E155" s="278"/>
      <c r="F155" s="263"/>
      <c r="G155" s="322">
        <f>(100%-$D155)*'INGRESO A PS DE CA'!G155</f>
        <v>9.358240000000001E-2</v>
      </c>
      <c r="H155" s="322">
        <f>(100%-$D155)*'INGRESO A PS DE CA'!H155</f>
        <v>0.75425280000000017</v>
      </c>
      <c r="I155" s="322">
        <f>(100%-$D155)*'INGRESO A PS DE CA'!I155</f>
        <v>1.4249328000000001</v>
      </c>
      <c r="J155" s="322">
        <f>(100%-$D155)*'INGRESO A PS DE CA'!J155</f>
        <v>2.3925519999999998</v>
      </c>
      <c r="K155" s="322">
        <f>(100%-$D155)*'INGRESO A PS DE CA'!K155</f>
        <v>3.3748176000000001</v>
      </c>
      <c r="L155" s="322">
        <f>(100%-$D155)*'INGRESO A PS DE CA'!L155</f>
        <v>3.4003200000000002</v>
      </c>
      <c r="M155" s="322">
        <f>(100%-$D155)*'INGRESO A PS DE CA'!M155</f>
        <v>3.4258223999999999</v>
      </c>
      <c r="N155" s="322">
        <f>(100%-$D155)*'INGRESO A PS DE CA'!N155</f>
        <v>3.4515824000000004</v>
      </c>
      <c r="O155" s="322">
        <f>(100%-$D155)*'INGRESO A PS DE CA'!O155</f>
        <v>3.4773423999999999</v>
      </c>
      <c r="P155" s="322">
        <f>(100%-$D155)*'INGRESO A PS DE CA'!P155</f>
        <v>3.5036176000000001</v>
      </c>
      <c r="Q155" s="322">
        <f>(100%-$D155)*'INGRESO A PS DE CA'!Q155</f>
        <v>3.5298927999999998</v>
      </c>
      <c r="R155" s="322">
        <f>(100%-$D155)*'INGRESO A PS DE CA'!R155</f>
        <v>3.5564256000000003</v>
      </c>
      <c r="S155" s="322">
        <f>(100%-$D155)*'INGRESO A PS DE CA'!S155</f>
        <v>3.5829584000000008</v>
      </c>
      <c r="T155" s="322">
        <f>(100%-$D155)*'INGRESO A PS DE CA'!T155</f>
        <v>3.6100064000000005</v>
      </c>
      <c r="U155" s="322">
        <f>(100%-$D155)*'INGRESO A PS DE CA'!U155</f>
        <v>3.6370544000000002</v>
      </c>
      <c r="V155" s="322">
        <f>(100%-$D155)*'INGRESO A PS DE CA'!V155</f>
        <v>3.6643600000000003</v>
      </c>
      <c r="W155" s="322">
        <f>(100%-$D155)*'INGRESO A PS DE CA'!W155</f>
        <v>3.6919231999999997</v>
      </c>
      <c r="X155" s="322">
        <f>(100%-$D155)*'INGRESO A PS DE CA'!X155</f>
        <v>3.7197440000000004</v>
      </c>
      <c r="Y155" s="322">
        <f>(100%-$D155)*'INGRESO A PS DE CA'!Y155</f>
        <v>3.7475648000000001</v>
      </c>
      <c r="Z155" s="322">
        <f>(100%-$D155)*'INGRESO A PS DE CA'!Z155</f>
        <v>3.7756432000000006</v>
      </c>
    </row>
    <row r="156" spans="1:26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20">
        <v>0.2</v>
      </c>
      <c r="E156" s="278"/>
      <c r="F156" s="263"/>
      <c r="G156" s="322">
        <f>(100%-$D156)*'INGRESO A PS DE CA'!G156</f>
        <v>3.0095040000000003E-2</v>
      </c>
      <c r="H156" s="322">
        <f>(100%-$D156)*'INGRESO A PS DE CA'!H156</f>
        <v>0.25053440000000005</v>
      </c>
      <c r="I156" s="322">
        <f>(100%-$D156)*'INGRESO A PS DE CA'!I156</f>
        <v>0.48874079999999998</v>
      </c>
      <c r="J156" s="322">
        <f>(100%-$D156)*'INGRESO A PS DE CA'!J156</f>
        <v>0.84768800000000022</v>
      </c>
      <c r="K156" s="322">
        <f>(100%-$D156)*'INGRESO A PS DE CA'!K156</f>
        <v>1.2346768000000001</v>
      </c>
      <c r="L156" s="322">
        <f>(100%-$D156)*'INGRESO A PS DE CA'!L156</f>
        <v>1.2849088000000002</v>
      </c>
      <c r="M156" s="322">
        <f>(100%-$D156)*'INGRESO A PS DE CA'!M156</f>
        <v>1.3369439999999999</v>
      </c>
      <c r="N156" s="322">
        <f>(100%-$D156)*'INGRESO A PS DE CA'!N156</f>
        <v>1.3910400000000001</v>
      </c>
      <c r="O156" s="322">
        <f>(100%-$D156)*'INGRESO A PS DE CA'!O156</f>
        <v>1.4474544</v>
      </c>
      <c r="P156" s="322">
        <f>(100%-$D156)*'INGRESO A PS DE CA'!P156</f>
        <v>1.5061871999999998</v>
      </c>
      <c r="Q156" s="322">
        <f>(100%-$D156)*'INGRESO A PS DE CA'!Q156</f>
        <v>1.5672384000000001</v>
      </c>
      <c r="R156" s="322">
        <f>(100%-$D156)*'INGRESO A PS DE CA'!R156</f>
        <v>1.6308655999999999</v>
      </c>
      <c r="S156" s="322">
        <f>(100%-$D156)*'INGRESO A PS DE CA'!S156</f>
        <v>1.6968112</v>
      </c>
      <c r="T156" s="322">
        <f>(100%-$D156)*'INGRESO A PS DE CA'!T156</f>
        <v>1.7655904</v>
      </c>
      <c r="U156" s="322">
        <f>(100%-$D156)*'INGRESO A PS DE CA'!U156</f>
        <v>1.8372032000000003</v>
      </c>
      <c r="V156" s="322">
        <f>(100%-$D156)*'INGRESO A PS DE CA'!V156</f>
        <v>1.9116495999999998</v>
      </c>
      <c r="W156" s="322">
        <f>(100%-$D156)*'INGRESO A PS DE CA'!W156</f>
        <v>1.9891871999999999</v>
      </c>
      <c r="X156" s="322">
        <f>(100%-$D156)*'INGRESO A PS DE CA'!X156</f>
        <v>2.0698160000000003</v>
      </c>
      <c r="Y156" s="322">
        <f>(100%-$D156)*'INGRESO A PS DE CA'!Y156</f>
        <v>2.1537935999999998</v>
      </c>
      <c r="Z156" s="322">
        <f>(100%-$D156)*'INGRESO A PS DE CA'!Z156</f>
        <v>2.24112</v>
      </c>
    </row>
    <row r="157" spans="1:26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20">
        <v>0.2</v>
      </c>
      <c r="E157" s="278"/>
      <c r="F157" s="263"/>
      <c r="G157" s="322">
        <f>(100%-$D157)*'INGRESO A PS DE CA'!G157</f>
        <v>5.4832000000000006E-2</v>
      </c>
      <c r="H157" s="322">
        <f>(100%-$D157)*'INGRESO A PS DE CA'!H157</f>
        <v>0.44772352000000004</v>
      </c>
      <c r="I157" s="322">
        <f>(100%-$D157)*'INGRESO A PS DE CA'!I157</f>
        <v>0.85681439999999987</v>
      </c>
      <c r="J157" s="322">
        <f>(100%-$D157)*'INGRESO A PS DE CA'!J157</f>
        <v>1.4574640000000001</v>
      </c>
      <c r="K157" s="322">
        <f>(100%-$D157)*'INGRESO A PS DE CA'!K157</f>
        <v>2.0824384</v>
      </c>
      <c r="L157" s="322">
        <f>(100%-$D157)*'INGRESO A PS DE CA'!L157</f>
        <v>2.1254575999999998</v>
      </c>
      <c r="M157" s="322">
        <f>(100%-$D157)*'INGRESO A PS DE CA'!M157</f>
        <v>2.1695072</v>
      </c>
      <c r="N157" s="322">
        <f>(100%-$D157)*'INGRESO A PS DE CA'!N157</f>
        <v>2.2143296000000001</v>
      </c>
      <c r="O157" s="322">
        <f>(100%-$D157)*'INGRESO A PS DE CA'!O157</f>
        <v>2.2599247999999998</v>
      </c>
      <c r="P157" s="322">
        <f>(100%-$D157)*'INGRESO A PS DE CA'!P157</f>
        <v>2.3065504000000003</v>
      </c>
      <c r="Q157" s="322">
        <f>(100%-$D157)*'INGRESO A PS DE CA'!Q157</f>
        <v>2.3542064000000003</v>
      </c>
      <c r="R157" s="322">
        <f>(100%-$D157)*'INGRESO A PS DE CA'!R157</f>
        <v>2.4028928000000001</v>
      </c>
      <c r="S157" s="322">
        <f>(100%-$D157)*'INGRESO A PS DE CA'!S157</f>
        <v>2.4523519999999999</v>
      </c>
      <c r="T157" s="322">
        <f>(100%-$D157)*'INGRESO A PS DE CA'!T157</f>
        <v>2.5030992000000003</v>
      </c>
      <c r="U157" s="322">
        <f>(100%-$D157)*'INGRESO A PS DE CA'!U157</f>
        <v>2.5548767999999997</v>
      </c>
      <c r="V157" s="322">
        <f>(100%-$D157)*'INGRESO A PS DE CA'!V157</f>
        <v>2.6074272000000001</v>
      </c>
      <c r="W157" s="322">
        <f>(100%-$D157)*'INGRESO A PS DE CA'!W157</f>
        <v>2.6612656000000001</v>
      </c>
      <c r="X157" s="322">
        <f>(100%-$D157)*'INGRESO A PS DE CA'!X157</f>
        <v>2.7163919999999999</v>
      </c>
      <c r="Y157" s="322">
        <f>(100%-$D157)*'INGRESO A PS DE CA'!Y157</f>
        <v>2.7722911999999997</v>
      </c>
      <c r="Z157" s="322">
        <f>(100%-$D157)*'INGRESO A PS DE CA'!Z157</f>
        <v>2.8297360000000005</v>
      </c>
    </row>
    <row r="158" spans="1:26" ht="24.95" customHeight="1" thickBo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20">
        <v>0.2</v>
      </c>
      <c r="E158" s="278"/>
      <c r="F158" s="263"/>
      <c r="G158" s="322">
        <f>(100%-$D158)*'INGRESO A PS DE CA'!G158</f>
        <v>0.15258912000000002</v>
      </c>
      <c r="H158" s="322">
        <f>(100%-$D158)*'INGRESO A PS DE CA'!H158</f>
        <v>1.2705075200000002</v>
      </c>
      <c r="I158" s="322">
        <f>(100%-$D158)*'INGRESO A PS DE CA'!I158</f>
        <v>2.4792552000000008</v>
      </c>
      <c r="J158" s="322">
        <f>(100%-$D158)*'INGRESO A PS DE CA'!J158</f>
        <v>4.3006320000000002</v>
      </c>
      <c r="K158" s="322">
        <f>(100%-$D158)*'INGRESO A PS DE CA'!K158</f>
        <v>6.2663384000000013</v>
      </c>
      <c r="L158" s="322">
        <f>(100%-$D158)*'INGRESO A PS DE CA'!L158</f>
        <v>6.5218832000000013</v>
      </c>
      <c r="M158" s="322">
        <f>(100%-$D158)*'INGRESO A PS DE CA'!M158</f>
        <v>6.7878159999999994</v>
      </c>
      <c r="N158" s="322">
        <f>(100%-$D158)*'INGRESO A PS DE CA'!N158</f>
        <v>7.064433600000001</v>
      </c>
      <c r="O158" s="322">
        <f>(100%-$D158)*'INGRESO A PS DE CA'!O158</f>
        <v>7.3526264000000001</v>
      </c>
      <c r="P158" s="322">
        <f>(100%-$D158)*'INGRESO A PS DE CA'!P158</f>
        <v>7.6523943999999986</v>
      </c>
      <c r="Q158" s="322">
        <f>(100%-$D158)*'INGRESO A PS DE CA'!Q158</f>
        <v>7.9643312000000002</v>
      </c>
      <c r="R158" s="322">
        <f>(100%-$D158)*'INGRESO A PS DE CA'!R158</f>
        <v>8.2890303999999997</v>
      </c>
      <c r="S158" s="322">
        <f>(100%-$D158)*'INGRESO A PS DE CA'!S158</f>
        <v>8.6270855999999991</v>
      </c>
      <c r="T158" s="322">
        <f>(100%-$D158)*'INGRESO A PS DE CA'!T158</f>
        <v>8.9787936000000013</v>
      </c>
      <c r="U158" s="322">
        <f>(100%-$D158)*'INGRESO A PS DE CA'!U158</f>
        <v>9.3447479999999992</v>
      </c>
      <c r="V158" s="322">
        <f>(100%-$D158)*'INGRESO A PS DE CA'!V158</f>
        <v>9.7258392000000011</v>
      </c>
      <c r="W158" s="322">
        <f>(100%-$D158)*'INGRESO A PS DE CA'!W158</f>
        <v>10.122364000000003</v>
      </c>
      <c r="X158" s="322">
        <f>(100%-$D158)*'INGRESO A PS DE CA'!X158</f>
        <v>10.5352128</v>
      </c>
      <c r="Y158" s="322">
        <f>(100%-$D158)*'INGRESO A PS DE CA'!Y158</f>
        <v>10.964682400000001</v>
      </c>
      <c r="Z158" s="322">
        <f>(100%-$D158)*'INGRESO A PS DE CA'!Z158</f>
        <v>11.4116632</v>
      </c>
    </row>
    <row r="159" spans="1:26">
      <c r="E159" s="109"/>
      <c r="F159" s="109"/>
      <c r="G159" s="109"/>
      <c r="H159" s="110"/>
      <c r="I159" s="110"/>
      <c r="J159" s="110"/>
      <c r="K159" s="110"/>
      <c r="L159" s="110"/>
      <c r="M159" s="110"/>
      <c r="N159" s="110"/>
      <c r="O159" s="110"/>
      <c r="P159" s="110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6">
      <c r="E160" s="295"/>
      <c r="F160" s="295"/>
      <c r="G160" s="295"/>
      <c r="H160" s="297"/>
      <c r="I160" s="297"/>
      <c r="J160" s="297"/>
      <c r="K160" s="297"/>
      <c r="L160" s="297"/>
      <c r="M160" s="297"/>
      <c r="N160" s="297"/>
      <c r="O160" s="297"/>
      <c r="P160" s="297"/>
      <c r="Q160" s="295"/>
      <c r="R160" s="295"/>
      <c r="S160" s="295"/>
      <c r="T160" s="295"/>
      <c r="U160" s="295"/>
      <c r="V160" s="295"/>
      <c r="W160" s="295"/>
      <c r="X160" s="295"/>
      <c r="Y160" s="295"/>
      <c r="Z160" s="295"/>
    </row>
    <row r="161" spans="1:26" ht="15.75" thickBot="1">
      <c r="C161" s="108"/>
      <c r="E161" s="112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</row>
    <row r="162" spans="1:26" ht="33.75" customHeight="1" thickBot="1">
      <c r="A162" s="41"/>
      <c r="E162" s="273"/>
      <c r="F162" s="964" t="s">
        <v>293</v>
      </c>
      <c r="G162" s="965"/>
      <c r="H162" s="965"/>
      <c r="I162" s="965"/>
      <c r="J162" s="965"/>
      <c r="K162" s="965"/>
      <c r="L162" s="965"/>
      <c r="M162" s="965"/>
      <c r="N162" s="965"/>
      <c r="O162" s="965"/>
      <c r="P162" s="965"/>
      <c r="Q162" s="965"/>
      <c r="R162" s="965"/>
      <c r="S162" s="965"/>
      <c r="T162" s="965"/>
      <c r="U162" s="965"/>
      <c r="V162" s="965"/>
      <c r="W162" s="965"/>
      <c r="X162" s="965"/>
      <c r="Y162" s="965"/>
      <c r="Z162" s="966"/>
    </row>
    <row r="163" spans="1:26" ht="48" customHeight="1" thickBot="1">
      <c r="A163" s="300"/>
      <c r="B163" s="301"/>
      <c r="C163" s="302"/>
      <c r="D163" s="301"/>
      <c r="E163" s="303"/>
      <c r="F163" s="304"/>
      <c r="G163" s="305"/>
      <c r="H163" s="305"/>
      <c r="I163" s="305"/>
      <c r="J163" s="305"/>
      <c r="K163" s="305"/>
      <c r="L163" s="305"/>
      <c r="M163" s="305"/>
      <c r="N163" s="305"/>
      <c r="O163" s="305"/>
      <c r="P163" s="305"/>
      <c r="Q163" s="305"/>
      <c r="R163" s="305"/>
      <c r="S163" s="305"/>
      <c r="T163" s="305"/>
      <c r="U163" s="305"/>
      <c r="V163" s="305"/>
      <c r="W163" s="305"/>
      <c r="X163" s="305"/>
      <c r="Y163" s="305"/>
      <c r="Z163" s="305"/>
    </row>
    <row r="164" spans="1:26" ht="15.75" thickBot="1">
      <c r="A164" s="306" t="s">
        <v>28</v>
      </c>
      <c r="B164" s="971" t="s">
        <v>22</v>
      </c>
      <c r="C164" s="971"/>
      <c r="D164" s="324"/>
      <c r="E164" s="308"/>
      <c r="F164" s="309"/>
      <c r="G164" s="310">
        <v>2026</v>
      </c>
      <c r="H164" s="310">
        <v>2027</v>
      </c>
      <c r="I164" s="310">
        <f t="shared" ref="I164:Z164" si="1">+H164+1</f>
        <v>2028</v>
      </c>
      <c r="J164" s="310">
        <f t="shared" si="1"/>
        <v>2029</v>
      </c>
      <c r="K164" s="310">
        <f t="shared" si="1"/>
        <v>2030</v>
      </c>
      <c r="L164" s="310">
        <f t="shared" si="1"/>
        <v>2031</v>
      </c>
      <c r="M164" s="310">
        <f t="shared" si="1"/>
        <v>2032</v>
      </c>
      <c r="N164" s="310">
        <f t="shared" si="1"/>
        <v>2033</v>
      </c>
      <c r="O164" s="310">
        <f t="shared" si="1"/>
        <v>2034</v>
      </c>
      <c r="P164" s="310">
        <f t="shared" si="1"/>
        <v>2035</v>
      </c>
      <c r="Q164" s="310">
        <f t="shared" si="1"/>
        <v>2036</v>
      </c>
      <c r="R164" s="310">
        <f t="shared" si="1"/>
        <v>2037</v>
      </c>
      <c r="S164" s="310">
        <f t="shared" si="1"/>
        <v>2038</v>
      </c>
      <c r="T164" s="310">
        <f t="shared" si="1"/>
        <v>2039</v>
      </c>
      <c r="U164" s="310">
        <f t="shared" si="1"/>
        <v>2040</v>
      </c>
      <c r="V164" s="310">
        <f t="shared" si="1"/>
        <v>2041</v>
      </c>
      <c r="W164" s="310">
        <f t="shared" si="1"/>
        <v>2042</v>
      </c>
      <c r="X164" s="310">
        <f t="shared" si="1"/>
        <v>2043</v>
      </c>
      <c r="Y164" s="310">
        <f t="shared" si="1"/>
        <v>2044</v>
      </c>
      <c r="Z164" s="310">
        <f t="shared" si="1"/>
        <v>2045</v>
      </c>
    </row>
    <row r="165" spans="1:26" ht="24.95" customHeight="1">
      <c r="A165" s="256" t="str">
        <f>+Pobl_adoptada!A5</f>
        <v>Almirante Brown</v>
      </c>
      <c r="B165" s="63">
        <f>+Pobl_adoptada!B5</f>
        <v>1</v>
      </c>
      <c r="C165" s="64" t="str">
        <f>+Pobl_adoptada!C5</f>
        <v>Almirante Brown</v>
      </c>
      <c r="D165" s="291"/>
      <c r="E165" s="277"/>
      <c r="F165" s="259"/>
      <c r="G165" s="329">
        <f>($D5)*'INGRESO A PS DE CA'!G5</f>
        <v>1.7721021000000001</v>
      </c>
      <c r="H165" s="329">
        <f>($D5)*'INGRESO A PS DE CA'!H5</f>
        <v>14.290699680000001</v>
      </c>
      <c r="I165" s="329">
        <f>($D5)*'INGRESO A PS DE CA'!I5</f>
        <v>27.010284300000002</v>
      </c>
      <c r="J165" s="329">
        <f>($D5)*'INGRESO A PS DE CA'!J5</f>
        <v>45.378735000000006</v>
      </c>
      <c r="K165" s="329">
        <f>($D5)*'INGRESO A PS DE CA'!K5</f>
        <v>64.040507999999988</v>
      </c>
      <c r="L165" s="329">
        <f>($D5)*'INGRESO A PS DE CA'!L5</f>
        <v>64.554932399999998</v>
      </c>
      <c r="M165" s="329">
        <f>($D5)*'INGRESO A PS DE CA'!M5</f>
        <v>65.073502199999993</v>
      </c>
      <c r="N165" s="329">
        <f>($D5)*'INGRESO A PS DE CA'!N5</f>
        <v>65.596217399999986</v>
      </c>
      <c r="O165" s="329">
        <f>($D5)*'INGRESO A PS DE CA'!O5</f>
        <v>66.123077999999992</v>
      </c>
      <c r="P165" s="329">
        <f>($D5)*'INGRESO A PS DE CA'!P5</f>
        <v>66.654182699999993</v>
      </c>
      <c r="Q165" s="329">
        <f>($D5)*'INGRESO A PS DE CA'!Q5</f>
        <v>67.189630199999996</v>
      </c>
      <c r="R165" s="329">
        <f>($D5)*'INGRESO A PS DE CA'!R5</f>
        <v>67.729321799999994</v>
      </c>
      <c r="S165" s="329">
        <f>($D5)*'INGRESO A PS DE CA'!S5</f>
        <v>68.2732575</v>
      </c>
      <c r="T165" s="329">
        <f>($D5)*'INGRESO A PS DE CA'!T5</f>
        <v>68.821733399999999</v>
      </c>
      <c r="U165" s="329">
        <f>($D5)*'INGRESO A PS DE CA'!U5</f>
        <v>69.374552099999988</v>
      </c>
      <c r="V165" s="329">
        <f>($D5)*'INGRESO A PS DE CA'!V5</f>
        <v>69.931713599999995</v>
      </c>
      <c r="W165" s="329">
        <f>($D5)*'INGRESO A PS DE CA'!W5</f>
        <v>70.49351399999999</v>
      </c>
      <c r="X165" s="329">
        <f>($D5)*'INGRESO A PS DE CA'!X5</f>
        <v>71.05965719999999</v>
      </c>
      <c r="Y165" s="329">
        <f>($D5)*'INGRESO A PS DE CA'!Y5</f>
        <v>71.630439299999992</v>
      </c>
      <c r="Z165" s="329">
        <f>($D5)*'INGRESO A PS DE CA'!Z5</f>
        <v>72.205860299999983</v>
      </c>
    </row>
    <row r="166" spans="1:26" ht="24.95" customHeight="1">
      <c r="A166" s="354" t="str">
        <f>+Pobl_adoptada!A6</f>
        <v>Avellaneda</v>
      </c>
      <c r="B166" s="355">
        <f>+Pobl_adoptada!B6</f>
        <v>2</v>
      </c>
      <c r="C166" s="356" t="str">
        <f>+Pobl_adoptada!C6</f>
        <v>Avellaneda</v>
      </c>
      <c r="D166" s="291"/>
      <c r="E166" s="278"/>
      <c r="F166" s="263"/>
      <c r="G166" s="322">
        <f>($D6)*'INGRESO A PS DE CA'!G6</f>
        <v>1.0850655</v>
      </c>
      <c r="H166" s="322">
        <f>($D6)*'INGRESO A PS DE CA'!H6</f>
        <v>8.7484521600000011</v>
      </c>
      <c r="I166" s="322">
        <f>($D6)*'INGRESO A PS DE CA'!I6</f>
        <v>16.532785799999999</v>
      </c>
      <c r="J166" s="322">
        <f>($D6)*'INGRESO A PS DE CA'!J6</f>
        <v>27.773897999999999</v>
      </c>
      <c r="K166" s="322">
        <f>($D6)*'INGRESO A PS DE CA'!K6</f>
        <v>39.195349199999995</v>
      </c>
      <c r="L166" s="322">
        <f>($D6)*'INGRESO A PS DE CA'!L6</f>
        <v>39.512373600000004</v>
      </c>
      <c r="M166" s="322">
        <f>($D6)*'INGRESO A PS DE CA'!M6</f>
        <v>39.834629100000001</v>
      </c>
      <c r="N166" s="322">
        <f>($D6)*'INGRESO A PS DE CA'!N6</f>
        <v>40.162016999999999</v>
      </c>
      <c r="O166" s="322">
        <f>($D6)*'INGRESO A PS DE CA'!O6</f>
        <v>40.494833400000005</v>
      </c>
      <c r="P166" s="322">
        <f>($D6)*'INGRESO A PS DE CA'!P6</f>
        <v>40.833078299999997</v>
      </c>
      <c r="Q166" s="322">
        <f>($D6)*'INGRESO A PS DE CA'!Q6</f>
        <v>41.176850400000006</v>
      </c>
      <c r="R166" s="322">
        <f>($D6)*'INGRESO A PS DE CA'!R6</f>
        <v>41.526149699999991</v>
      </c>
      <c r="S166" s="322">
        <f>($D6)*'INGRESO A PS DE CA'!S6</f>
        <v>41.881173599999997</v>
      </c>
      <c r="T166" s="322">
        <f>($D6)*'INGRESO A PS DE CA'!T6</f>
        <v>42.242020799999992</v>
      </c>
      <c r="U166" s="322">
        <f>($D6)*'INGRESO A PS DE CA'!U6</f>
        <v>42.608789999999999</v>
      </c>
      <c r="V166" s="322">
        <f>($D6)*'INGRESO A PS DE CA'!V6</f>
        <v>42.98148119999999</v>
      </c>
      <c r="W166" s="322">
        <f>($D6)*'INGRESO A PS DE CA'!W6</f>
        <v>43.360291799999999</v>
      </c>
      <c r="X166" s="322">
        <f>($D6)*'INGRESO A PS DE CA'!X6</f>
        <v>43.745221799999996</v>
      </c>
      <c r="Y166" s="322">
        <f>($D6)*'INGRESO A PS DE CA'!Y6</f>
        <v>44.136468600000001</v>
      </c>
      <c r="Z166" s="322">
        <f>($D6)*'INGRESO A PS DE CA'!Z6</f>
        <v>44.534130900000001</v>
      </c>
    </row>
    <row r="167" spans="1:26" ht="24.95" customHeight="1">
      <c r="A167" s="260" t="str">
        <f>+Pobl_adoptada!A7</f>
        <v>Berazategui</v>
      </c>
      <c r="B167" s="70">
        <f>+Pobl_adoptada!B7</f>
        <v>3</v>
      </c>
      <c r="C167" s="71" t="str">
        <f>+Pobl_adoptada!C7</f>
        <v>Berazategui</v>
      </c>
      <c r="D167" s="291"/>
      <c r="E167" s="278"/>
      <c r="F167" s="263"/>
      <c r="G167" s="322">
        <f>($D7)*'INGRESO A PS DE CA'!G7</f>
        <v>1.10522568</v>
      </c>
      <c r="H167" s="322">
        <f>($D7)*'INGRESO A PS DE CA'!H7</f>
        <v>8.9369860800000023</v>
      </c>
      <c r="I167" s="322">
        <f>($D7)*'INGRESO A PS DE CA'!I7</f>
        <v>16.935354899999997</v>
      </c>
      <c r="J167" s="322">
        <f>($D7)*'INGRESO A PS DE CA'!J7</f>
        <v>28.523101499999996</v>
      </c>
      <c r="K167" s="322">
        <f>($D7)*'INGRESO A PS DE CA'!K7</f>
        <v>40.348856100000006</v>
      </c>
      <c r="L167" s="322">
        <f>($D7)*'INGRESO A PS DE CA'!L7</f>
        <v>40.765370099999991</v>
      </c>
      <c r="M167" s="322">
        <f>($D7)*'INGRESO A PS DE CA'!M7</f>
        <v>41.181884099999998</v>
      </c>
      <c r="N167" s="322">
        <f>($D7)*'INGRESO A PS DE CA'!N7</f>
        <v>41.598398099999997</v>
      </c>
      <c r="O167" s="322">
        <f>($D7)*'INGRESO A PS DE CA'!O7</f>
        <v>42.014813400000008</v>
      </c>
      <c r="P167" s="322">
        <f>($D7)*'INGRESO A PS DE CA'!P7</f>
        <v>42.431327399999994</v>
      </c>
      <c r="Q167" s="322">
        <f>($D7)*'INGRESO A PS DE CA'!Q7</f>
        <v>42.8478414</v>
      </c>
      <c r="R167" s="322">
        <f>($D7)*'INGRESO A PS DE CA'!R7</f>
        <v>43.264355399999999</v>
      </c>
      <c r="S167" s="322">
        <f>($D7)*'INGRESO A PS DE CA'!S7</f>
        <v>43.680869399999992</v>
      </c>
      <c r="T167" s="322">
        <f>($D7)*'INGRESO A PS DE CA'!T7</f>
        <v>44.097383400000005</v>
      </c>
      <c r="U167" s="322">
        <f>($D7)*'INGRESO A PS DE CA'!U7</f>
        <v>44.513897399999991</v>
      </c>
      <c r="V167" s="322">
        <f>($D7)*'INGRESO A PS DE CA'!V7</f>
        <v>44.930312700000002</v>
      </c>
      <c r="W167" s="322">
        <f>($D7)*'INGRESO A PS DE CA'!W7</f>
        <v>45.346826699999994</v>
      </c>
      <c r="X167" s="322">
        <f>($D7)*'INGRESO A PS DE CA'!X7</f>
        <v>45.763340700000001</v>
      </c>
      <c r="Y167" s="322">
        <f>($D7)*'INGRESO A PS DE CA'!Y7</f>
        <v>46.179854699999993</v>
      </c>
      <c r="Z167" s="322">
        <f>($D7)*'INGRESO A PS DE CA'!Z7</f>
        <v>46.596368699999992</v>
      </c>
    </row>
    <row r="168" spans="1:26" ht="24.95" customHeight="1">
      <c r="A168" s="260" t="str">
        <f>+Pobl_adoptada!A8</f>
        <v>Esteban Echeverría</v>
      </c>
      <c r="B168" s="70">
        <f>+Pobl_adoptada!B8</f>
        <v>4</v>
      </c>
      <c r="C168" s="71" t="str">
        <f>+Pobl_adoptada!C8</f>
        <v>Esteban Echeverría</v>
      </c>
      <c r="D168" s="291"/>
      <c r="E168" s="278"/>
      <c r="F168" s="263"/>
      <c r="G168" s="322">
        <f>($D8)*'INGRESO A PS DE CA'!G8</f>
        <v>1.0858071599999999</v>
      </c>
      <c r="H168" s="322">
        <f>($D8)*'INGRESO A PS DE CA'!H8</f>
        <v>8.8094318400000002</v>
      </c>
      <c r="I168" s="322">
        <f>($D8)*'INGRESO A PS DE CA'!I8</f>
        <v>16.748304299999997</v>
      </c>
      <c r="J168" s="322">
        <f>($D8)*'INGRESO A PS DE CA'!J8</f>
        <v>28.298136</v>
      </c>
      <c r="K168" s="322">
        <f>($D8)*'INGRESO A PS DE CA'!K8</f>
        <v>40.155502799999994</v>
      </c>
      <c r="L168" s="322">
        <f>($D8)*'INGRESO A PS DE CA'!L8</f>
        <v>40.693516499999994</v>
      </c>
      <c r="M168" s="322">
        <f>($D8)*'INGRESO A PS DE CA'!M8</f>
        <v>41.231628900000004</v>
      </c>
      <c r="N168" s="322">
        <f>($D8)*'INGRESO A PS DE CA'!N8</f>
        <v>41.769642599999997</v>
      </c>
      <c r="O168" s="322">
        <f>($D8)*'INGRESO A PS DE CA'!O8</f>
        <v>42.307656299999998</v>
      </c>
      <c r="P168" s="322">
        <f>($D8)*'INGRESO A PS DE CA'!P8</f>
        <v>42.845768699999994</v>
      </c>
      <c r="Q168" s="322">
        <f>($D8)*'INGRESO A PS DE CA'!Q8</f>
        <v>43.383782399999994</v>
      </c>
      <c r="R168" s="322">
        <f>($D8)*'INGRESO A PS DE CA'!R8</f>
        <v>43.921894800000004</v>
      </c>
      <c r="S168" s="322">
        <f>($D8)*'INGRESO A PS DE CA'!S8</f>
        <v>44.459908499999997</v>
      </c>
      <c r="T168" s="322">
        <f>($D8)*'INGRESO A PS DE CA'!T8</f>
        <v>44.9980209</v>
      </c>
      <c r="U168" s="322">
        <f>($D8)*'INGRESO A PS DE CA'!U8</f>
        <v>45.536034599999994</v>
      </c>
      <c r="V168" s="322">
        <f>($D8)*'INGRESO A PS DE CA'!V8</f>
        <v>46.074048299999987</v>
      </c>
      <c r="W168" s="322">
        <f>($D8)*'INGRESO A PS DE CA'!W8</f>
        <v>46.612160700000004</v>
      </c>
      <c r="X168" s="322">
        <f>($D8)*'INGRESO A PS DE CA'!X8</f>
        <v>47.150174399999997</v>
      </c>
      <c r="Y168" s="322">
        <f>($D8)*'INGRESO A PS DE CA'!Y8</f>
        <v>47.6882868</v>
      </c>
      <c r="Z168" s="322">
        <f>($D8)*'INGRESO A PS DE CA'!Z8</f>
        <v>48.226300499999986</v>
      </c>
    </row>
    <row r="169" spans="1:26" ht="24.95" customHeight="1">
      <c r="A169" s="260" t="str">
        <f>+Pobl_adoptada!A9</f>
        <v>Ezeiza</v>
      </c>
      <c r="B169" s="70">
        <f>+Pobl_adoptada!B9</f>
        <v>5</v>
      </c>
      <c r="C169" s="71" t="str">
        <f>+Pobl_adoptada!C9</f>
        <v>Ezeiza</v>
      </c>
      <c r="D169" s="291"/>
      <c r="E169" s="278"/>
      <c r="F169" s="263"/>
      <c r="G169" s="322">
        <f>($D9)*'INGRESO A PS DE CA'!G9</f>
        <v>0.48538332000000006</v>
      </c>
      <c r="H169" s="322">
        <f>($D9)*'INGRESO A PS DE CA'!H9</f>
        <v>3.9599174400000003</v>
      </c>
      <c r="I169" s="322">
        <f>($D9)*'INGRESO A PS DE CA'!I9</f>
        <v>7.5689099999999998</v>
      </c>
      <c r="J169" s="322">
        <f>($D9)*'INGRESO A PS DE CA'!J9</f>
        <v>12.855008999999999</v>
      </c>
      <c r="K169" s="322">
        <f>($D9)*'INGRESO A PS DE CA'!K9</f>
        <v>18.333235200000001</v>
      </c>
      <c r="L169" s="322">
        <f>($D9)*'INGRESO A PS DE CA'!L9</f>
        <v>18.669386400000004</v>
      </c>
      <c r="M169" s="322">
        <f>($D9)*'INGRESO A PS DE CA'!M9</f>
        <v>19.005609000000003</v>
      </c>
      <c r="N169" s="322">
        <f>($D9)*'INGRESO A PS DE CA'!N9</f>
        <v>19.341831600000003</v>
      </c>
      <c r="O169" s="322">
        <f>($D9)*'INGRESO A PS DE CA'!O9</f>
        <v>19.677982799999999</v>
      </c>
      <c r="P169" s="322">
        <f>($D9)*'INGRESO A PS DE CA'!P9</f>
        <v>20.014205400000005</v>
      </c>
      <c r="Q169" s="322">
        <f>($D9)*'INGRESO A PS DE CA'!Q9</f>
        <v>20.350428000000004</v>
      </c>
      <c r="R169" s="322">
        <f>($D9)*'INGRESO A PS DE CA'!R9</f>
        <v>20.686650600000004</v>
      </c>
      <c r="S169" s="322">
        <f>($D9)*'INGRESO A PS DE CA'!S9</f>
        <v>21.0228018</v>
      </c>
      <c r="T169" s="322">
        <f>($D9)*'INGRESO A PS DE CA'!T9</f>
        <v>21.359024399999999</v>
      </c>
      <c r="U169" s="322">
        <f>($D9)*'INGRESO A PS DE CA'!U9</f>
        <v>21.695246999999998</v>
      </c>
      <c r="V169" s="322">
        <f>($D9)*'INGRESO A PS DE CA'!V9</f>
        <v>22.031398199999998</v>
      </c>
      <c r="W169" s="322">
        <f>($D9)*'INGRESO A PS DE CA'!W9</f>
        <v>22.367620800000001</v>
      </c>
      <c r="X169" s="322">
        <f>($D9)*'INGRESO A PS DE CA'!X9</f>
        <v>22.7038434</v>
      </c>
      <c r="Y169" s="322">
        <f>($D9)*'INGRESO A PS DE CA'!Y9</f>
        <v>23.0399946</v>
      </c>
      <c r="Z169" s="322">
        <f>($D9)*'INGRESO A PS DE CA'!Z9</f>
        <v>23.376217199999999</v>
      </c>
    </row>
    <row r="170" spans="1:26" ht="24.95" customHeight="1">
      <c r="A170" s="260" t="str">
        <f>+Pobl_adoptada!A10</f>
        <v>Florencio Varela</v>
      </c>
      <c r="B170" s="70">
        <f>+Pobl_adoptada!B10</f>
        <v>6</v>
      </c>
      <c r="C170" s="71" t="str">
        <f>+Pobl_adoptada!C10</f>
        <v>Florencio Varela</v>
      </c>
      <c r="D170" s="291"/>
      <c r="E170" s="278"/>
      <c r="F170" s="263"/>
      <c r="G170" s="322">
        <f>($D10)*'INGRESO A PS DE CA'!G10</f>
        <v>1.6191735000000003</v>
      </c>
      <c r="H170" s="322">
        <f>($D10)*'INGRESO A PS DE CA'!H10</f>
        <v>13.162767360000002</v>
      </c>
      <c r="I170" s="322">
        <f>($D10)*'INGRESO A PS DE CA'!I10</f>
        <v>25.072775099999998</v>
      </c>
      <c r="J170" s="322">
        <f>($D10)*'INGRESO A PS DE CA'!J10</f>
        <v>42.442339500000003</v>
      </c>
      <c r="K170" s="322">
        <f>($D10)*'INGRESO A PS DE CA'!K10</f>
        <v>60.335309999999993</v>
      </c>
      <c r="L170" s="322">
        <f>($D10)*'INGRESO A PS DE CA'!L10</f>
        <v>61.251443399999999</v>
      </c>
      <c r="M170" s="322">
        <f>($D10)*'INGRESO A PS DE CA'!M10</f>
        <v>62.167478099999997</v>
      </c>
      <c r="N170" s="322">
        <f>($D10)*'INGRESO A PS DE CA'!N10</f>
        <v>63.083512799999987</v>
      </c>
      <c r="O170" s="322">
        <f>($D10)*'INGRESO A PS DE CA'!O10</f>
        <v>63.999646199999987</v>
      </c>
      <c r="P170" s="322">
        <f>($D10)*'INGRESO A PS DE CA'!P10</f>
        <v>64.915680899999998</v>
      </c>
      <c r="Q170" s="322">
        <f>($D10)*'INGRESO A PS DE CA'!Q10</f>
        <v>65.831814300000005</v>
      </c>
      <c r="R170" s="322">
        <f>($D10)*'INGRESO A PS DE CA'!R10</f>
        <v>66.747848999999988</v>
      </c>
      <c r="S170" s="322">
        <f>($D10)*'INGRESO A PS DE CA'!S10</f>
        <v>67.6638837</v>
      </c>
      <c r="T170" s="322">
        <f>($D10)*'INGRESO A PS DE CA'!T10</f>
        <v>68.580017100000006</v>
      </c>
      <c r="U170" s="322">
        <f>($D10)*'INGRESO A PS DE CA'!U10</f>
        <v>69.496051800000004</v>
      </c>
      <c r="V170" s="322">
        <f>($D10)*'INGRESO A PS DE CA'!V10</f>
        <v>70.412185199999996</v>
      </c>
      <c r="W170" s="322">
        <f>($D10)*'INGRESO A PS DE CA'!W10</f>
        <v>71.328219900000008</v>
      </c>
      <c r="X170" s="322">
        <f>($D10)*'INGRESO A PS DE CA'!X10</f>
        <v>72.244353299999986</v>
      </c>
      <c r="Y170" s="322">
        <f>($D10)*'INGRESO A PS DE CA'!Y10</f>
        <v>73.160387999999983</v>
      </c>
      <c r="Z170" s="322">
        <f>($D10)*'INGRESO A PS DE CA'!Z10</f>
        <v>74.076422699999995</v>
      </c>
    </row>
    <row r="171" spans="1:26" ht="24.95" customHeight="1">
      <c r="A171" s="260" t="str">
        <f>+Pobl_adoptada!A11</f>
        <v>General San Martín</v>
      </c>
      <c r="B171" s="70">
        <f>+Pobl_adoptada!B11</f>
        <v>7</v>
      </c>
      <c r="C171" s="71" t="str">
        <f>+Pobl_adoptada!C11</f>
        <v>General San Martín</v>
      </c>
      <c r="D171" s="291"/>
      <c r="E171" s="278"/>
      <c r="F171" s="263"/>
      <c r="G171" s="322">
        <f>($D11)*'INGRESO A PS DE CA'!G11</f>
        <v>1.2641467800000001</v>
      </c>
      <c r="H171" s="322">
        <f>($D11)*'INGRESO A PS DE CA'!H11</f>
        <v>10.16815296</v>
      </c>
      <c r="I171" s="322">
        <f>($D11)*'INGRESO A PS DE CA'!I11</f>
        <v>19.170063899999999</v>
      </c>
      <c r="J171" s="322">
        <f>($D11)*'INGRESO A PS DE CA'!J11</f>
        <v>32.127625500000001</v>
      </c>
      <c r="K171" s="322">
        <f>($D11)*'INGRESO A PS DE CA'!K11</f>
        <v>45.231248999999991</v>
      </c>
      <c r="L171" s="322">
        <f>($D11)*'INGRESO A PS DE CA'!L11</f>
        <v>45.487868999999996</v>
      </c>
      <c r="M171" s="322">
        <f>($D11)*'INGRESO A PS DE CA'!M11</f>
        <v>45.748733099999995</v>
      </c>
      <c r="N171" s="322">
        <f>($D11)*'INGRESO A PS DE CA'!N11</f>
        <v>46.013841299999996</v>
      </c>
      <c r="O171" s="322">
        <f>($D11)*'INGRESO A PS DE CA'!O11</f>
        <v>46.283292299999999</v>
      </c>
      <c r="P171" s="322">
        <f>($D11)*'INGRESO A PS DE CA'!P11</f>
        <v>46.557086099999999</v>
      </c>
      <c r="Q171" s="322">
        <f>($D11)*'INGRESO A PS DE CA'!Q11</f>
        <v>46.835420099999993</v>
      </c>
      <c r="R171" s="322">
        <f>($D11)*'INGRESO A PS DE CA'!R11</f>
        <v>47.1181956</v>
      </c>
      <c r="S171" s="322">
        <f>($D11)*'INGRESO A PS DE CA'!S11</f>
        <v>47.405609999999996</v>
      </c>
      <c r="T171" s="322">
        <f>($D11)*'INGRESO A PS DE CA'!T11</f>
        <v>47.69776199999999</v>
      </c>
      <c r="U171" s="322">
        <f>($D11)*'INGRESO A PS DE CA'!U11</f>
        <v>47.994651599999997</v>
      </c>
      <c r="V171" s="322">
        <f>($D11)*'INGRESO A PS DE CA'!V11</f>
        <v>48.296476199999994</v>
      </c>
      <c r="W171" s="322">
        <f>($D11)*'INGRESO A PS DE CA'!W11</f>
        <v>48.603137099999998</v>
      </c>
      <c r="X171" s="322">
        <f>($D11)*'INGRESO A PS DE CA'!X11</f>
        <v>48.914732999999998</v>
      </c>
      <c r="Y171" s="322">
        <f>($D11)*'INGRESO A PS DE CA'!Y11</f>
        <v>49.231560000000002</v>
      </c>
      <c r="Z171" s="322">
        <f>($D11)*'INGRESO A PS DE CA'!Z11</f>
        <v>49.553420700000004</v>
      </c>
    </row>
    <row r="172" spans="1:26" ht="24.95" customHeight="1">
      <c r="A172" s="260" t="str">
        <f>+Pobl_adoptada!A12</f>
        <v>Hurlingham</v>
      </c>
      <c r="B172" s="70">
        <f>+Pobl_adoptada!B12</f>
        <v>8</v>
      </c>
      <c r="C172" s="71" t="str">
        <f>+Pobl_adoptada!C12</f>
        <v>Hurlingham</v>
      </c>
      <c r="D172" s="291"/>
      <c r="E172" s="278"/>
      <c r="F172" s="263"/>
      <c r="G172" s="322">
        <f>($D12)*'INGRESO A PS DE CA'!G12</f>
        <v>0.39258780000000004</v>
      </c>
      <c r="H172" s="322">
        <f>($D12)*'INGRESO A PS DE CA'!H12</f>
        <v>3.1529097600000004</v>
      </c>
      <c r="I172" s="322">
        <f>($D12)*'INGRESO A PS DE CA'!I12</f>
        <v>5.9346252000000002</v>
      </c>
      <c r="J172" s="322">
        <f>($D12)*'INGRESO A PS DE CA'!J12</f>
        <v>9.9292410000000011</v>
      </c>
      <c r="K172" s="322">
        <f>($D12)*'INGRESO A PS DE CA'!K12</f>
        <v>13.954416000000002</v>
      </c>
      <c r="L172" s="322">
        <f>($D12)*'INGRESO A PS DE CA'!L12</f>
        <v>14.007894599999998</v>
      </c>
      <c r="M172" s="322">
        <f>($D12)*'INGRESO A PS DE CA'!M12</f>
        <v>14.0613732</v>
      </c>
      <c r="N172" s="322">
        <f>($D12)*'INGRESO A PS DE CA'!N12</f>
        <v>14.1148518</v>
      </c>
      <c r="O172" s="322">
        <f>($D12)*'INGRESO A PS DE CA'!O12</f>
        <v>14.168259000000001</v>
      </c>
      <c r="P172" s="322">
        <f>($D12)*'INGRESO A PS DE CA'!P12</f>
        <v>14.221737599999997</v>
      </c>
      <c r="Q172" s="322">
        <f>($D12)*'INGRESO A PS DE CA'!Q12</f>
        <v>14.275216200000001</v>
      </c>
      <c r="R172" s="322">
        <f>($D12)*'INGRESO A PS DE CA'!R12</f>
        <v>14.328694800000001</v>
      </c>
      <c r="S172" s="322">
        <f>($D12)*'INGRESO A PS DE CA'!S12</f>
        <v>14.382173399999999</v>
      </c>
      <c r="T172" s="322">
        <f>($D12)*'INGRESO A PS DE CA'!T12</f>
        <v>14.435651999999999</v>
      </c>
      <c r="U172" s="322">
        <f>($D12)*'INGRESO A PS DE CA'!U12</f>
        <v>14.489130599999999</v>
      </c>
      <c r="V172" s="322">
        <f>($D12)*'INGRESO A PS DE CA'!V12</f>
        <v>14.5425378</v>
      </c>
      <c r="W172" s="322">
        <f>($D12)*'INGRESO A PS DE CA'!W12</f>
        <v>14.596016399999996</v>
      </c>
      <c r="X172" s="322">
        <f>($D12)*'INGRESO A PS DE CA'!X12</f>
        <v>14.649495</v>
      </c>
      <c r="Y172" s="322">
        <f>($D12)*'INGRESO A PS DE CA'!Y12</f>
        <v>14.7029736</v>
      </c>
      <c r="Z172" s="322">
        <f>($D12)*'INGRESO A PS DE CA'!Z12</f>
        <v>14.756452199999998</v>
      </c>
    </row>
    <row r="173" spans="1:26" ht="24.95" customHeight="1">
      <c r="A173" s="260" t="str">
        <f>+Pobl_adoptada!A13</f>
        <v>Ituzaingó</v>
      </c>
      <c r="B173" s="70">
        <f>+Pobl_adoptada!B13</f>
        <v>9</v>
      </c>
      <c r="C173" s="71" t="str">
        <f>+Pobl_adoptada!C13</f>
        <v>Ituzaingó</v>
      </c>
      <c r="D173" s="291"/>
      <c r="E173" s="278"/>
      <c r="F173" s="263"/>
      <c r="G173" s="322">
        <f>($D13)*'INGRESO A PS DE CA'!G13</f>
        <v>0.38059668000000002</v>
      </c>
      <c r="H173" s="322">
        <f>($D13)*'INGRESO A PS DE CA'!H13</f>
        <v>3.06499392</v>
      </c>
      <c r="I173" s="322">
        <f>($D13)*'INGRESO A PS DE CA'!I13</f>
        <v>5.7850218</v>
      </c>
      <c r="J173" s="322">
        <f>($D13)*'INGRESO A PS DE CA'!J13</f>
        <v>9.7057080000000013</v>
      </c>
      <c r="K173" s="322">
        <f>($D13)*'INGRESO A PS DE CA'!K13</f>
        <v>13.6781694</v>
      </c>
      <c r="L173" s="322">
        <f>($D13)*'INGRESO A PS DE CA'!L13</f>
        <v>13.768990199999999</v>
      </c>
      <c r="M173" s="322">
        <f>($D13)*'INGRESO A PS DE CA'!M13</f>
        <v>13.8604536</v>
      </c>
      <c r="N173" s="322">
        <f>($D13)*'INGRESO A PS DE CA'!N13</f>
        <v>13.952416799999998</v>
      </c>
      <c r="O173" s="322">
        <f>($D13)*'INGRESO A PS DE CA'!O13</f>
        <v>14.045094000000001</v>
      </c>
      <c r="P173" s="322">
        <f>($D13)*'INGRESO A PS DE CA'!P13</f>
        <v>14.138342399999999</v>
      </c>
      <c r="Q173" s="322">
        <f>($D13)*'INGRESO A PS DE CA'!Q13</f>
        <v>14.232233399999998</v>
      </c>
      <c r="R173" s="322">
        <f>($D13)*'INGRESO A PS DE CA'!R13</f>
        <v>14.326695600000003</v>
      </c>
      <c r="S173" s="322">
        <f>($D13)*'INGRESO A PS DE CA'!S13</f>
        <v>14.421800400000002</v>
      </c>
      <c r="T173" s="322">
        <f>($D13)*'INGRESO A PS DE CA'!T13</f>
        <v>14.517547800000001</v>
      </c>
      <c r="U173" s="322">
        <f>($D13)*'INGRESO A PS DE CA'!U13</f>
        <v>14.6139378</v>
      </c>
      <c r="V173" s="322">
        <f>($D13)*'INGRESO A PS DE CA'!V13</f>
        <v>14.710970400000001</v>
      </c>
      <c r="W173" s="322">
        <f>($D13)*'INGRESO A PS DE CA'!W13</f>
        <v>14.8086456</v>
      </c>
      <c r="X173" s="322">
        <f>($D13)*'INGRESO A PS DE CA'!X13</f>
        <v>14.906963399999999</v>
      </c>
      <c r="Y173" s="322">
        <f>($D13)*'INGRESO A PS DE CA'!Y13</f>
        <v>15.0059238</v>
      </c>
      <c r="Z173" s="322">
        <f>($D13)*'INGRESO A PS DE CA'!Z13</f>
        <v>15.1055268</v>
      </c>
    </row>
    <row r="174" spans="1:26" ht="24.95" customHeight="1">
      <c r="A174" s="260" t="str">
        <f>+Pobl_adoptada!A14</f>
        <v>José C. Paz</v>
      </c>
      <c r="B174" s="70">
        <f>+Pobl_adoptada!B14</f>
        <v>10</v>
      </c>
      <c r="C174" s="71" t="str">
        <f>+Pobl_adoptada!C14</f>
        <v>José C. Paz</v>
      </c>
      <c r="D174" s="291"/>
      <c r="E174" s="278"/>
      <c r="F174" s="263"/>
      <c r="G174" s="322">
        <f>($D14)*'INGRESO A PS DE CA'!G14</f>
        <v>0.96966264000000002</v>
      </c>
      <c r="H174" s="322">
        <f>($D14)*'INGRESO A PS DE CA'!H14</f>
        <v>7.8828024000000001</v>
      </c>
      <c r="I174" s="322">
        <f>($D14)*'INGRESO A PS DE CA'!I14</f>
        <v>15.019376399999997</v>
      </c>
      <c r="J174" s="322">
        <f>($D14)*'INGRESO A PS DE CA'!J14</f>
        <v>25.437246000000002</v>
      </c>
      <c r="K174" s="322">
        <f>($D14)*'INGRESO A PS DE CA'!K14</f>
        <v>36.188256299999999</v>
      </c>
      <c r="L174" s="322">
        <f>($D14)*'INGRESO A PS DE CA'!L14</f>
        <v>36.773744700000002</v>
      </c>
      <c r="M174" s="322">
        <f>($D14)*'INGRESO A PS DE CA'!M14</f>
        <v>37.368708299999994</v>
      </c>
      <c r="N174" s="322">
        <f>($D14)*'INGRESO A PS DE CA'!N14</f>
        <v>37.973344500000003</v>
      </c>
      <c r="O174" s="322">
        <f>($D14)*'INGRESO A PS DE CA'!O14</f>
        <v>38.587653299999999</v>
      </c>
      <c r="P174" s="322">
        <f>($D14)*'INGRESO A PS DE CA'!P14</f>
        <v>39.211930800000005</v>
      </c>
      <c r="Q174" s="322">
        <f>($D14)*'INGRESO A PS DE CA'!Q14</f>
        <v>39.846374399999995</v>
      </c>
      <c r="R174" s="322">
        <f>($D14)*'INGRESO A PS DE CA'!R14</f>
        <v>40.490984099999999</v>
      </c>
      <c r="S174" s="322">
        <f>($D14)*'INGRESO A PS DE CA'!S14</f>
        <v>41.146056000000002</v>
      </c>
      <c r="T174" s="322">
        <f>($D14)*'INGRESO A PS DE CA'!T14</f>
        <v>41.811787500000001</v>
      </c>
      <c r="U174" s="322">
        <f>($D14)*'INGRESO A PS DE CA'!U14</f>
        <v>42.488178599999998</v>
      </c>
      <c r="V174" s="322">
        <f>($D14)*'INGRESO A PS DE CA'!V14</f>
        <v>43.1756241</v>
      </c>
      <c r="W174" s="322">
        <f>($D14)*'INGRESO A PS DE CA'!W14</f>
        <v>43.874123999999995</v>
      </c>
      <c r="X174" s="322">
        <f>($D14)*'INGRESO A PS DE CA'!X14</f>
        <v>44.583974399999995</v>
      </c>
      <c r="Y174" s="322">
        <f>($D14)*'INGRESO A PS DE CA'!Y14</f>
        <v>45.305273999999997</v>
      </c>
      <c r="Z174" s="322">
        <f>($D14)*'INGRESO A PS DE CA'!Z14</f>
        <v>46.038220199999998</v>
      </c>
    </row>
    <row r="175" spans="1:26" ht="24.95" customHeight="1">
      <c r="A175" s="260" t="str">
        <f>+Pobl_adoptada!A15</f>
        <v>La Matanza</v>
      </c>
      <c r="B175" s="70">
        <f>+Pobl_adoptada!B15</f>
        <v>11</v>
      </c>
      <c r="C175" s="71" t="str">
        <f>+Pobl_adoptada!C15</f>
        <v>La Matanza</v>
      </c>
      <c r="D175" s="291"/>
      <c r="E175" s="278"/>
      <c r="F175" s="263"/>
      <c r="G175" s="322">
        <f>($D15)*'INGRESO A PS DE CA'!G15</f>
        <v>6.3385224600000001</v>
      </c>
      <c r="H175" s="322">
        <f>($D15)*'INGRESO A PS DE CA'!H15</f>
        <v>51.477994559999992</v>
      </c>
      <c r="I175" s="322">
        <f>($D15)*'INGRESO A PS DE CA'!I15</f>
        <v>97.964600399999995</v>
      </c>
      <c r="J175" s="322">
        <f>($D15)*'INGRESO A PS DE CA'!J15</f>
        <v>165.679935</v>
      </c>
      <c r="K175" s="322">
        <f>($D15)*'INGRESO A PS DE CA'!K15</f>
        <v>235.31975039999998</v>
      </c>
      <c r="L175" s="322">
        <f>($D15)*'INGRESO A PS DE CA'!L15</f>
        <v>238.68759179999998</v>
      </c>
      <c r="M175" s="322">
        <f>($D15)*'INGRESO A PS DE CA'!M15</f>
        <v>242.05543319999998</v>
      </c>
      <c r="N175" s="322">
        <f>($D15)*'INGRESO A PS DE CA'!N15</f>
        <v>245.42337330000001</v>
      </c>
      <c r="O175" s="322">
        <f>($D15)*'INGRESO A PS DE CA'!O15</f>
        <v>248.79121470000001</v>
      </c>
      <c r="P175" s="322">
        <f>($D15)*'INGRESO A PS DE CA'!P15</f>
        <v>252.15905610000002</v>
      </c>
      <c r="Q175" s="322">
        <f>($D15)*'INGRESO A PS DE CA'!Q15</f>
        <v>255.52689750000002</v>
      </c>
      <c r="R175" s="322">
        <f>($D15)*'INGRESO A PS DE CA'!R15</f>
        <v>258.89473889999999</v>
      </c>
      <c r="S175" s="322">
        <f>($D15)*'INGRESO A PS DE CA'!S15</f>
        <v>262.26258029999997</v>
      </c>
      <c r="T175" s="322">
        <f>($D15)*'INGRESO A PS DE CA'!T15</f>
        <v>265.63052039999997</v>
      </c>
      <c r="U175" s="322">
        <f>($D15)*'INGRESO A PS DE CA'!U15</f>
        <v>268.9983618</v>
      </c>
      <c r="V175" s="322">
        <f>($D15)*'INGRESO A PS DE CA'!V15</f>
        <v>272.36620319999997</v>
      </c>
      <c r="W175" s="322">
        <f>($D15)*'INGRESO A PS DE CA'!W15</f>
        <v>275.7340446</v>
      </c>
      <c r="X175" s="322">
        <f>($D15)*'INGRESO A PS DE CA'!X15</f>
        <v>279.10188599999998</v>
      </c>
      <c r="Y175" s="322">
        <f>($D15)*'INGRESO A PS DE CA'!Y15</f>
        <v>282.46972739999995</v>
      </c>
      <c r="Z175" s="322">
        <f>($D15)*'INGRESO A PS DE CA'!Z15</f>
        <v>285.83766750000001</v>
      </c>
    </row>
    <row r="176" spans="1:26" ht="24.95" customHeight="1">
      <c r="A176" s="260" t="str">
        <f>+Pobl_adoptada!A16</f>
        <v>Lanús</v>
      </c>
      <c r="B176" s="70">
        <f>+Pobl_adoptada!B16</f>
        <v>12</v>
      </c>
      <c r="C176" s="71" t="str">
        <f>+Pobl_adoptada!C16</f>
        <v>Lanús</v>
      </c>
      <c r="D176" s="291"/>
      <c r="E176" s="278"/>
      <c r="F176" s="263"/>
      <c r="G176" s="322">
        <f>($D16)*'INGRESO A PS DE CA'!G16</f>
        <v>1.27611768</v>
      </c>
      <c r="H176" s="322">
        <f>($D16)*'INGRESO A PS DE CA'!H16</f>
        <v>10.199511359999999</v>
      </c>
      <c r="I176" s="322">
        <f>($D16)*'INGRESO A PS DE CA'!I16</f>
        <v>19.106402399999997</v>
      </c>
      <c r="J176" s="322">
        <f>($D16)*'INGRESO A PS DE CA'!J16</f>
        <v>31.814605499999999</v>
      </c>
      <c r="K176" s="322">
        <f>($D16)*'INGRESO A PS DE CA'!K16</f>
        <v>44.499289800000007</v>
      </c>
      <c r="L176" s="322">
        <f>($D16)*'INGRESO A PS DE CA'!L16</f>
        <v>44.4582306</v>
      </c>
      <c r="M176" s="322">
        <f>($D16)*'INGRESO A PS DE CA'!M16</f>
        <v>44.417171400000001</v>
      </c>
      <c r="N176" s="322">
        <f>($D16)*'INGRESO A PS DE CA'!N16</f>
        <v>44.376112199999994</v>
      </c>
      <c r="O176" s="322">
        <f>($D16)*'INGRESO A PS DE CA'!O16</f>
        <v>44.335151699999997</v>
      </c>
      <c r="P176" s="322">
        <f>($D16)*'INGRESO A PS DE CA'!P16</f>
        <v>44.2941912</v>
      </c>
      <c r="Q176" s="322">
        <f>($D16)*'INGRESO A PS DE CA'!Q16</f>
        <v>44.253329399999991</v>
      </c>
      <c r="R176" s="322">
        <f>($D16)*'INGRESO A PS DE CA'!R16</f>
        <v>44.212467599999997</v>
      </c>
      <c r="S176" s="322">
        <f>($D16)*'INGRESO A PS DE CA'!S16</f>
        <v>44.171605799999995</v>
      </c>
      <c r="T176" s="322">
        <f>($D16)*'INGRESO A PS DE CA'!T16</f>
        <v>44.130842700000002</v>
      </c>
      <c r="U176" s="322">
        <f>($D16)*'INGRESO A PS DE CA'!U16</f>
        <v>44.090079599999996</v>
      </c>
      <c r="V176" s="322">
        <f>($D16)*'INGRESO A PS DE CA'!V16</f>
        <v>44.049316500000003</v>
      </c>
      <c r="W176" s="322">
        <f>($D16)*'INGRESO A PS DE CA'!W16</f>
        <v>44.008652099999992</v>
      </c>
      <c r="X176" s="322">
        <f>($D16)*'INGRESO A PS DE CA'!X16</f>
        <v>43.968086400000004</v>
      </c>
      <c r="Y176" s="322">
        <f>($D16)*'INGRESO A PS DE CA'!Y16</f>
        <v>43.927422</v>
      </c>
      <c r="Z176" s="322">
        <f>($D16)*'INGRESO A PS DE CA'!Z16</f>
        <v>43.886856299999998</v>
      </c>
    </row>
    <row r="177" spans="1:26" ht="24.95" customHeight="1">
      <c r="A177" s="260" t="str">
        <f>+Pobl_adoptada!A17</f>
        <v>Lomas de Zamora</v>
      </c>
      <c r="B177" s="70">
        <f>+Pobl_adoptada!B17</f>
        <v>13</v>
      </c>
      <c r="C177" s="71" t="str">
        <f>+Pobl_adoptada!C17</f>
        <v>Lomas de Zamora</v>
      </c>
      <c r="D177" s="291"/>
      <c r="E177" s="278"/>
      <c r="F177" s="263"/>
      <c r="G177" s="322">
        <f>($D17)*'INGRESO A PS DE CA'!G17</f>
        <v>1.9540202999999998</v>
      </c>
      <c r="H177" s="322">
        <f>($D17)*'INGRESO A PS DE CA'!H17</f>
        <v>15.755813759999999</v>
      </c>
      <c r="I177" s="322">
        <f>($D17)*'INGRESO A PS DE CA'!I17</f>
        <v>29.777761799999997</v>
      </c>
      <c r="J177" s="322">
        <f>($D17)*'INGRESO A PS DE CA'!J17</f>
        <v>50.028703499999999</v>
      </c>
      <c r="K177" s="322">
        <f>($D17)*'INGRESO A PS DE CA'!K17</f>
        <v>70.608005999999989</v>
      </c>
      <c r="L177" s="322">
        <f>($D17)*'INGRESO A PS DE CA'!L17</f>
        <v>71.185104899999999</v>
      </c>
      <c r="M177" s="322">
        <f>($D17)*'INGRESO A PS DE CA'!M17</f>
        <v>71.771678999999992</v>
      </c>
      <c r="N177" s="322">
        <f>($D17)*'INGRESO A PS DE CA'!N17</f>
        <v>72.367728299999996</v>
      </c>
      <c r="O177" s="322">
        <f>($D17)*'INGRESO A PS DE CA'!O17</f>
        <v>72.973548899999983</v>
      </c>
      <c r="P177" s="322">
        <f>($D17)*'INGRESO A PS DE CA'!P17</f>
        <v>73.589239499999991</v>
      </c>
      <c r="Q177" s="322">
        <f>($D17)*'INGRESO A PS DE CA'!Q17</f>
        <v>74.214997499999996</v>
      </c>
      <c r="R177" s="322">
        <f>($D17)*'INGRESO A PS DE CA'!R17</f>
        <v>74.851020300000002</v>
      </c>
      <c r="S177" s="322">
        <f>($D17)*'INGRESO A PS DE CA'!S17</f>
        <v>75.497307899999996</v>
      </c>
      <c r="T177" s="322">
        <f>($D17)*'INGRESO A PS DE CA'!T17</f>
        <v>76.154156400000005</v>
      </c>
      <c r="U177" s="322">
        <f>($D17)*'INGRESO A PS DE CA'!U17</f>
        <v>76.821763200000007</v>
      </c>
      <c r="V177" s="322">
        <f>($D17)*'INGRESO A PS DE CA'!V17</f>
        <v>77.500226999999995</v>
      </c>
      <c r="W177" s="322">
        <f>($D17)*'INGRESO A PS DE CA'!W17</f>
        <v>78.1898439</v>
      </c>
      <c r="X177" s="322">
        <f>($D17)*'INGRESO A PS DE CA'!X17</f>
        <v>78.890613900000005</v>
      </c>
      <c r="Y177" s="322">
        <f>($D17)*'INGRESO A PS DE CA'!Y17</f>
        <v>79.602833099999998</v>
      </c>
      <c r="Z177" s="322">
        <f>($D17)*'INGRESO A PS DE CA'!Z17</f>
        <v>80.326698900000011</v>
      </c>
    </row>
    <row r="178" spans="1:26" ht="24.95" customHeight="1">
      <c r="A178" s="260" t="str">
        <f>+Pobl_adoptada!A18</f>
        <v>Malvinas Argentinas</v>
      </c>
      <c r="B178" s="70">
        <f>+Pobl_adoptada!B18</f>
        <v>14</v>
      </c>
      <c r="C178" s="71" t="str">
        <f>+Pobl_adoptada!C18</f>
        <v>Malvinas Argentinas</v>
      </c>
      <c r="D178" s="291"/>
      <c r="E178" s="278"/>
      <c r="F178" s="263"/>
      <c r="G178" s="322">
        <f>($D18)*'INGRESO A PS DE CA'!G18</f>
        <v>1.09266258</v>
      </c>
      <c r="H178" s="322">
        <f>($D18)*'INGRESO A PS DE CA'!H18</f>
        <v>8.8423468799999991</v>
      </c>
      <c r="I178" s="322">
        <f>($D18)*'INGRESO A PS DE CA'!I18</f>
        <v>16.771104000000001</v>
      </c>
      <c r="J178" s="322">
        <f>($D18)*'INGRESO A PS DE CA'!J18</f>
        <v>28.274941500000001</v>
      </c>
      <c r="K178" s="322">
        <f>($D18)*'INGRESO A PS DE CA'!K18</f>
        <v>40.042590000000004</v>
      </c>
      <c r="L178" s="322">
        <f>($D18)*'INGRESO A PS DE CA'!L18</f>
        <v>40.505591699999997</v>
      </c>
      <c r="M178" s="322">
        <f>($D18)*'INGRESO A PS DE CA'!M18</f>
        <v>40.973824499999999</v>
      </c>
      <c r="N178" s="322">
        <f>($D18)*'INGRESO A PS DE CA'!N18</f>
        <v>41.447584499999998</v>
      </c>
      <c r="O178" s="322">
        <f>($D18)*'INGRESO A PS DE CA'!O18</f>
        <v>41.926772999999997</v>
      </c>
      <c r="P178" s="322">
        <f>($D18)*'INGRESO A PS DE CA'!P18</f>
        <v>42.411488699999992</v>
      </c>
      <c r="Q178" s="322">
        <f>($D18)*'INGRESO A PS DE CA'!Q18</f>
        <v>42.901830299999993</v>
      </c>
      <c r="R178" s="322">
        <f>($D18)*'INGRESO A PS DE CA'!R18</f>
        <v>43.397797799999999</v>
      </c>
      <c r="S178" s="322">
        <f>($D18)*'INGRESO A PS DE CA'!S18</f>
        <v>43.899588600000001</v>
      </c>
      <c r="T178" s="322">
        <f>($D18)*'INGRESO A PS DE CA'!T18</f>
        <v>44.407104000000004</v>
      </c>
      <c r="U178" s="322">
        <f>($D18)*'INGRESO A PS DE CA'!U18</f>
        <v>44.920442699999995</v>
      </c>
      <c r="V178" s="322">
        <f>($D18)*'INGRESO A PS DE CA'!V18</f>
        <v>45.439802099999994</v>
      </c>
      <c r="W178" s="322">
        <f>($D18)*'INGRESO A PS DE CA'!W18</f>
        <v>45.965182199999994</v>
      </c>
      <c r="X178" s="322">
        <f>($D18)*'INGRESO A PS DE CA'!X18</f>
        <v>46.496582999999987</v>
      </c>
      <c r="Y178" s="322">
        <f>($D18)*'INGRESO A PS DE CA'!Y18</f>
        <v>47.034103199999997</v>
      </c>
      <c r="Z178" s="322">
        <f>($D18)*'INGRESO A PS DE CA'!Z18</f>
        <v>47.5779402</v>
      </c>
    </row>
    <row r="179" spans="1:26" ht="24.95" customHeight="1">
      <c r="A179" s="260" t="str">
        <f>+Pobl_adoptada!A19</f>
        <v>Merlo</v>
      </c>
      <c r="B179" s="70">
        <f>+Pobl_adoptada!B19</f>
        <v>15</v>
      </c>
      <c r="C179" s="71" t="str">
        <f>+Pobl_adoptada!C19</f>
        <v>Merlo</v>
      </c>
      <c r="D179" s="291"/>
      <c r="E179" s="278"/>
      <c r="F179" s="263"/>
      <c r="G179" s="322">
        <f>($D19)*'INGRESO A PS DE CA'!G19</f>
        <v>1.8253916399999999</v>
      </c>
      <c r="H179" s="322">
        <f>($D19)*'INGRESO A PS DE CA'!H19</f>
        <v>14.767776000000001</v>
      </c>
      <c r="I179" s="322">
        <f>($D19)*'INGRESO A PS DE CA'!I19</f>
        <v>27.9982854</v>
      </c>
      <c r="J179" s="322">
        <f>($D19)*'INGRESO A PS DE CA'!J19</f>
        <v>47.178247499999998</v>
      </c>
      <c r="K179" s="322">
        <f>($D19)*'INGRESO A PS DE CA'!K19</f>
        <v>66.769859099999991</v>
      </c>
      <c r="L179" s="322">
        <f>($D19)*'INGRESO A PS DE CA'!L19</f>
        <v>67.490171700000005</v>
      </c>
      <c r="M179" s="322">
        <f>($D19)*'INGRESO A PS DE CA'!M19</f>
        <v>68.210484300000005</v>
      </c>
      <c r="N179" s="322">
        <f>($D19)*'INGRESO A PS DE CA'!N19</f>
        <v>68.930698199999981</v>
      </c>
      <c r="O179" s="322">
        <f>($D19)*'INGRESO A PS DE CA'!O19</f>
        <v>69.651010799999995</v>
      </c>
      <c r="P179" s="322">
        <f>($D19)*'INGRESO A PS DE CA'!P19</f>
        <v>70.371323399999994</v>
      </c>
      <c r="Q179" s="322">
        <f>($D19)*'INGRESO A PS DE CA'!Q19</f>
        <v>71.091537299999999</v>
      </c>
      <c r="R179" s="322">
        <f>($D19)*'INGRESO A PS DE CA'!R19</f>
        <v>71.811849899999999</v>
      </c>
      <c r="S179" s="322">
        <f>($D19)*'INGRESO A PS DE CA'!S19</f>
        <v>72.532162499999998</v>
      </c>
      <c r="T179" s="322">
        <f>($D19)*'INGRESO A PS DE CA'!T19</f>
        <v>73.252475099999998</v>
      </c>
      <c r="U179" s="322">
        <f>($D19)*'INGRESO A PS DE CA'!U19</f>
        <v>73.972688999999988</v>
      </c>
      <c r="V179" s="322">
        <f>($D19)*'INGRESO A PS DE CA'!V19</f>
        <v>74.693001599999988</v>
      </c>
      <c r="W179" s="322">
        <f>($D19)*'INGRESO A PS DE CA'!W19</f>
        <v>75.413314199999988</v>
      </c>
      <c r="X179" s="322">
        <f>($D19)*'INGRESO A PS DE CA'!X19</f>
        <v>76.133528099999978</v>
      </c>
      <c r="Y179" s="322">
        <f>($D19)*'INGRESO A PS DE CA'!Y19</f>
        <v>76.853840700000006</v>
      </c>
      <c r="Z179" s="322">
        <f>($D19)*'INGRESO A PS DE CA'!Z19</f>
        <v>77.574153299999992</v>
      </c>
    </row>
    <row r="180" spans="1:26" ht="24.95" customHeight="1">
      <c r="A180" s="260" t="str">
        <f>+Pobl_adoptada!A20</f>
        <v>Moreno</v>
      </c>
      <c r="B180" s="70">
        <f>+Pobl_adoptada!B20</f>
        <v>16</v>
      </c>
      <c r="C180" s="71" t="str">
        <f>+Pobl_adoptada!C20</f>
        <v>Moreno</v>
      </c>
      <c r="D180" s="291"/>
      <c r="E180" s="278"/>
      <c r="F180" s="263"/>
      <c r="G180" s="322">
        <f>($D20)*'INGRESO A PS DE CA'!G20</f>
        <v>1.7463132000000003</v>
      </c>
      <c r="H180" s="322">
        <f>($D20)*'INGRESO A PS DE CA'!H20</f>
        <v>14.247158880000001</v>
      </c>
      <c r="I180" s="322">
        <f>($D20)*'INGRESO A PS DE CA'!I20</f>
        <v>27.242384399999999</v>
      </c>
      <c r="J180" s="322">
        <f>($D20)*'INGRESO A PS DE CA'!J20</f>
        <v>46.302989999999994</v>
      </c>
      <c r="K180" s="322">
        <f>($D20)*'INGRESO A PS DE CA'!K20</f>
        <v>66.107779499999992</v>
      </c>
      <c r="L180" s="322">
        <f>($D20)*'INGRESO A PS DE CA'!L20</f>
        <v>67.416837599999994</v>
      </c>
      <c r="M180" s="322">
        <f>($D20)*'INGRESO A PS DE CA'!M20</f>
        <v>68.751755099999997</v>
      </c>
      <c r="N180" s="322">
        <f>($D20)*'INGRESO A PS DE CA'!N20</f>
        <v>70.113222899999997</v>
      </c>
      <c r="O180" s="322">
        <f>($D20)*'INGRESO A PS DE CA'!O20</f>
        <v>71.501537099999993</v>
      </c>
      <c r="P180" s="322">
        <f>($D20)*'INGRESO A PS DE CA'!P20</f>
        <v>72.917388599999995</v>
      </c>
      <c r="Q180" s="322">
        <f>($D20)*'INGRESO A PS DE CA'!Q20</f>
        <v>74.361270899999994</v>
      </c>
      <c r="R180" s="322">
        <f>($D20)*'INGRESO A PS DE CA'!R20</f>
        <v>75.833677500000007</v>
      </c>
      <c r="S180" s="322">
        <f>($D20)*'INGRESO A PS DE CA'!S20</f>
        <v>77.335299300000003</v>
      </c>
      <c r="T180" s="322">
        <f>($D20)*'INGRESO A PS DE CA'!T20</f>
        <v>78.866629799999998</v>
      </c>
      <c r="U180" s="322">
        <f>($D20)*'INGRESO A PS DE CA'!U20</f>
        <v>80.42835989999999</v>
      </c>
      <c r="V180" s="322">
        <f>($D20)*'INGRESO A PS DE CA'!V20</f>
        <v>82.0208844</v>
      </c>
      <c r="W180" s="322">
        <f>($D20)*'INGRESO A PS DE CA'!W20</f>
        <v>83.645091600000001</v>
      </c>
      <c r="X180" s="322">
        <f>($D20)*'INGRESO A PS DE CA'!X20</f>
        <v>85.301376300000001</v>
      </c>
      <c r="Y180" s="322">
        <f>($D20)*'INGRESO A PS DE CA'!Y20</f>
        <v>86.990429399999982</v>
      </c>
      <c r="Z180" s="322">
        <f>($D20)*'INGRESO A PS DE CA'!Z20</f>
        <v>88.712941799999996</v>
      </c>
    </row>
    <row r="181" spans="1:26" ht="24.95" customHeight="1">
      <c r="A181" s="260" t="str">
        <f>+Pobl_adoptada!A21</f>
        <v>Morón</v>
      </c>
      <c r="B181" s="70">
        <f>+Pobl_adoptada!B21</f>
        <v>17</v>
      </c>
      <c r="C181" s="71" t="str">
        <f>+Pobl_adoptada!C21</f>
        <v>Morón</v>
      </c>
      <c r="D181" s="291"/>
      <c r="E181" s="278"/>
      <c r="F181" s="263"/>
      <c r="G181" s="322">
        <f>($D21)*'INGRESO A PS DE CA'!G21</f>
        <v>1.0071883800000001</v>
      </c>
      <c r="H181" s="322">
        <f>($D21)*'INGRESO A PS DE CA'!H21</f>
        <v>8.1156667200000001</v>
      </c>
      <c r="I181" s="322">
        <f>($D21)*'INGRESO A PS DE CA'!I21</f>
        <v>15.327701099999999</v>
      </c>
      <c r="J181" s="322">
        <f>($D21)*'INGRESO A PS DE CA'!J21</f>
        <v>25.733909999999998</v>
      </c>
      <c r="K181" s="322">
        <f>($D21)*'INGRESO A PS DE CA'!K21</f>
        <v>36.294556199999995</v>
      </c>
      <c r="L181" s="322">
        <f>($D21)*'INGRESO A PS DE CA'!L21</f>
        <v>36.566079899999998</v>
      </c>
      <c r="M181" s="322">
        <f>($D21)*'INGRESO A PS DE CA'!M21</f>
        <v>36.841946400000005</v>
      </c>
      <c r="N181" s="322">
        <f>($D21)*'INGRESO A PS DE CA'!N21</f>
        <v>37.122353099999991</v>
      </c>
      <c r="O181" s="322">
        <f>($D21)*'INGRESO A PS DE CA'!O21</f>
        <v>37.407398699999995</v>
      </c>
      <c r="P181" s="322">
        <f>($D21)*'INGRESO A PS DE CA'!P21</f>
        <v>37.696984499999992</v>
      </c>
      <c r="Q181" s="322">
        <f>($D21)*'INGRESO A PS DE CA'!Q21</f>
        <v>37.991307900000002</v>
      </c>
      <c r="R181" s="322">
        <f>($D21)*'INGRESO A PS DE CA'!R21</f>
        <v>38.290467599999992</v>
      </c>
      <c r="S181" s="322">
        <f>($D21)*'INGRESO A PS DE CA'!S21</f>
        <v>38.594562300000007</v>
      </c>
      <c r="T181" s="322">
        <f>($D21)*'INGRESO A PS DE CA'!T21</f>
        <v>38.903493300000001</v>
      </c>
      <c r="U181" s="322">
        <f>($D21)*'INGRESO A PS DE CA'!U21</f>
        <v>39.217556699999989</v>
      </c>
      <c r="V181" s="322">
        <f>($D21)*'INGRESO A PS DE CA'!V21</f>
        <v>39.536752499999999</v>
      </c>
      <c r="W181" s="322">
        <f>($D21)*'INGRESO A PS DE CA'!W21</f>
        <v>39.861080700000002</v>
      </c>
      <c r="X181" s="322">
        <f>($D21)*'INGRESO A PS DE CA'!X21</f>
        <v>40.190738699999997</v>
      </c>
      <c r="Y181" s="322">
        <f>($D21)*'INGRESO A PS DE CA'!Y21</f>
        <v>40.525726499999998</v>
      </c>
      <c r="Z181" s="322">
        <f>($D21)*'INGRESO A PS DE CA'!Z21</f>
        <v>40.866241500000001</v>
      </c>
    </row>
    <row r="182" spans="1:26" ht="24.95" customHeight="1">
      <c r="A182" s="260" t="str">
        <f>+Pobl_adoptada!A22</f>
        <v>Quilmes</v>
      </c>
      <c r="B182" s="70">
        <f>+Pobl_adoptada!B22</f>
        <v>18</v>
      </c>
      <c r="C182" s="71" t="str">
        <f>+Pobl_adoptada!C22</f>
        <v>Quilmes</v>
      </c>
      <c r="D182" s="291"/>
      <c r="E182" s="278"/>
      <c r="F182" s="263"/>
      <c r="G182" s="322">
        <f>($D22)*'INGRESO A PS DE CA'!G22</f>
        <v>1.8454220999999997</v>
      </c>
      <c r="H182" s="322">
        <f>($D22)*'INGRESO A PS DE CA'!H22</f>
        <v>14.870469120000003</v>
      </c>
      <c r="I182" s="322">
        <f>($D22)*'INGRESO A PS DE CA'!I22</f>
        <v>28.084365899999995</v>
      </c>
      <c r="J182" s="322">
        <f>($D22)*'INGRESO A PS DE CA'!J22</f>
        <v>47.146804500000002</v>
      </c>
      <c r="K182" s="322">
        <f>($D22)*'INGRESO A PS DE CA'!K22</f>
        <v>66.484319999999997</v>
      </c>
      <c r="L182" s="322">
        <f>($D22)*'INGRESO A PS DE CA'!L22</f>
        <v>66.966568199999983</v>
      </c>
      <c r="M182" s="322">
        <f>($D22)*'INGRESO A PS DE CA'!M22</f>
        <v>67.452270900000002</v>
      </c>
      <c r="N182" s="322">
        <f>($D22)*'INGRESO A PS DE CA'!N22</f>
        <v>67.941526800000005</v>
      </c>
      <c r="O182" s="322">
        <f>($D22)*'INGRESO A PS DE CA'!O22</f>
        <v>68.434335899999994</v>
      </c>
      <c r="P182" s="322">
        <f>($D22)*'INGRESO A PS DE CA'!P22</f>
        <v>68.930796900000004</v>
      </c>
      <c r="Q182" s="322">
        <f>($D22)*'INGRESO A PS DE CA'!Q22</f>
        <v>69.43071239999999</v>
      </c>
      <c r="R182" s="322">
        <f>($D22)*'INGRESO A PS DE CA'!R22</f>
        <v>69.934378499999994</v>
      </c>
      <c r="S182" s="322">
        <f>($D22)*'INGRESO A PS DE CA'!S22</f>
        <v>70.441597799999997</v>
      </c>
      <c r="T182" s="322">
        <f>($D22)*'INGRESO A PS DE CA'!T22</f>
        <v>70.952567700000003</v>
      </c>
      <c r="U182" s="322">
        <f>($D22)*'INGRESO A PS DE CA'!U22</f>
        <v>71.467288199999999</v>
      </c>
      <c r="V182" s="322">
        <f>($D22)*'INGRESO A PS DE CA'!V22</f>
        <v>71.985660599999989</v>
      </c>
      <c r="W182" s="322">
        <f>($D22)*'INGRESO A PS DE CA'!W22</f>
        <v>72.507783599999996</v>
      </c>
      <c r="X182" s="322">
        <f>($D22)*'INGRESO A PS DE CA'!X22</f>
        <v>73.033755900000003</v>
      </c>
      <c r="Y182" s="322">
        <f>($D22)*'INGRESO A PS DE CA'!Y22</f>
        <v>73.563478799999984</v>
      </c>
      <c r="Z182" s="322">
        <f>($D22)*'INGRESO A PS DE CA'!Z22</f>
        <v>74.097051000000008</v>
      </c>
    </row>
    <row r="183" spans="1:26" ht="24.95" customHeight="1">
      <c r="A183" s="260" t="str">
        <f>+Pobl_adoptada!A23</f>
        <v>San Fernando</v>
      </c>
      <c r="B183" s="70">
        <f>+Pobl_adoptada!B23</f>
        <v>19</v>
      </c>
      <c r="C183" s="71" t="str">
        <f>+Pobl_adoptada!C23</f>
        <v>San Fernando</v>
      </c>
      <c r="D183" s="291"/>
      <c r="E183" s="278"/>
      <c r="F183" s="263"/>
      <c r="G183" s="322">
        <f>($D23)*'INGRESO A PS DE CA'!G23</f>
        <v>0.35758344000000003</v>
      </c>
      <c r="H183" s="322">
        <f>($D23)*'INGRESO A PS DE CA'!H23</f>
        <v>2.8770854400000001</v>
      </c>
      <c r="I183" s="322">
        <f>($D23)*'INGRESO A PS DE CA'!I23</f>
        <v>5.4253187999999994</v>
      </c>
      <c r="J183" s="322">
        <f>($D23)*'INGRESO A PS DE CA'!J23</f>
        <v>9.0935040000000011</v>
      </c>
      <c r="K183" s="322">
        <f>($D23)*'INGRESO A PS DE CA'!K23</f>
        <v>12.802734000000001</v>
      </c>
      <c r="L183" s="322">
        <f>($D23)*'INGRESO A PS DE CA'!L23</f>
        <v>12.874491000000001</v>
      </c>
      <c r="M183" s="322">
        <f>($D23)*'INGRESO A PS DE CA'!M23</f>
        <v>12.946319400000002</v>
      </c>
      <c r="N183" s="322">
        <f>($D23)*'INGRESO A PS DE CA'!N23</f>
        <v>13.018147800000001</v>
      </c>
      <c r="O183" s="322">
        <f>($D23)*'INGRESO A PS DE CA'!O23</f>
        <v>13.089976200000002</v>
      </c>
      <c r="P183" s="322">
        <f>($D23)*'INGRESO A PS DE CA'!P23</f>
        <v>13.1618046</v>
      </c>
      <c r="Q183" s="322">
        <f>($D23)*'INGRESO A PS DE CA'!Q23</f>
        <v>13.233632999999998</v>
      </c>
      <c r="R183" s="322">
        <f>($D23)*'INGRESO A PS DE CA'!R23</f>
        <v>13.305461399999999</v>
      </c>
      <c r="S183" s="322">
        <f>($D23)*'INGRESO A PS DE CA'!S23</f>
        <v>13.3772898</v>
      </c>
      <c r="T183" s="322">
        <f>($D23)*'INGRESO A PS DE CA'!T23</f>
        <v>13.449118200000001</v>
      </c>
      <c r="U183" s="322">
        <f>($D23)*'INGRESO A PS DE CA'!U23</f>
        <v>13.520875200000001</v>
      </c>
      <c r="V183" s="322">
        <f>($D23)*'INGRESO A PS DE CA'!V23</f>
        <v>13.592703600000002</v>
      </c>
      <c r="W183" s="322">
        <f>($D23)*'INGRESO A PS DE CA'!W23</f>
        <v>13.664532000000001</v>
      </c>
      <c r="X183" s="322">
        <f>($D23)*'INGRESO A PS DE CA'!X23</f>
        <v>13.736360399999999</v>
      </c>
      <c r="Y183" s="322">
        <f>($D23)*'INGRESO A PS DE CA'!Y23</f>
        <v>13.8081888</v>
      </c>
      <c r="Z183" s="322">
        <f>($D23)*'INGRESO A PS DE CA'!Z23</f>
        <v>13.880017199999998</v>
      </c>
    </row>
    <row r="184" spans="1:26" ht="24.95" customHeight="1">
      <c r="A184" s="260" t="str">
        <f>+Pobl_adoptada!A24</f>
        <v>San Isidro</v>
      </c>
      <c r="B184" s="70">
        <f>+Pobl_adoptada!B24</f>
        <v>20</v>
      </c>
      <c r="C184" s="71" t="str">
        <f>+Pobl_adoptada!C24</f>
        <v>San Isidro</v>
      </c>
      <c r="D184" s="291"/>
      <c r="E184" s="278"/>
      <c r="F184" s="263"/>
      <c r="G184" s="322">
        <f>($D24)*'INGRESO A PS DE CA'!G24</f>
        <v>0.60607991999999999</v>
      </c>
      <c r="H184" s="322">
        <f>($D24)*'INGRESO A PS DE CA'!H24</f>
        <v>4.853568000000001</v>
      </c>
      <c r="I184" s="322">
        <f>($D24)*'INGRESO A PS DE CA'!I24</f>
        <v>9.1098035999999993</v>
      </c>
      <c r="J184" s="322">
        <f>($D24)*'INGRESO A PS DE CA'!J24</f>
        <v>15.198918000000001</v>
      </c>
      <c r="K184" s="322">
        <f>($D24)*'INGRESO A PS DE CA'!K24</f>
        <v>21.301119000000003</v>
      </c>
      <c r="L184" s="322">
        <f>($D24)*'INGRESO A PS DE CA'!L24</f>
        <v>21.324109800000002</v>
      </c>
      <c r="M184" s="322">
        <f>($D24)*'INGRESO A PS DE CA'!M24</f>
        <v>21.347457599999998</v>
      </c>
      <c r="N184" s="322">
        <f>($D24)*'INGRESO A PS DE CA'!N24</f>
        <v>21.371233800000002</v>
      </c>
      <c r="O184" s="322">
        <f>($D24)*'INGRESO A PS DE CA'!O24</f>
        <v>21.395367</v>
      </c>
      <c r="P184" s="322">
        <f>($D24)*'INGRESO A PS DE CA'!P24</f>
        <v>21.419857200000003</v>
      </c>
      <c r="Q184" s="322">
        <f>($D24)*'INGRESO A PS DE CA'!Q24</f>
        <v>21.444775800000002</v>
      </c>
      <c r="R184" s="322">
        <f>($D24)*'INGRESO A PS DE CA'!R24</f>
        <v>21.470122799999999</v>
      </c>
      <c r="S184" s="322">
        <f>($D24)*'INGRESO A PS DE CA'!S24</f>
        <v>21.495898200000003</v>
      </c>
      <c r="T184" s="322">
        <f>($D24)*'INGRESO A PS DE CA'!T24</f>
        <v>21.522030600000001</v>
      </c>
      <c r="U184" s="322">
        <f>($D24)*'INGRESO A PS DE CA'!U24</f>
        <v>21.548662799999999</v>
      </c>
      <c r="V184" s="322">
        <f>($D24)*'INGRESO A PS DE CA'!V24</f>
        <v>21.575651999999998</v>
      </c>
      <c r="W184" s="322">
        <f>($D24)*'INGRESO A PS DE CA'!W24</f>
        <v>21.603140999999997</v>
      </c>
      <c r="X184" s="322">
        <f>($D24)*'INGRESO A PS DE CA'!X24</f>
        <v>21.631058400000001</v>
      </c>
      <c r="Y184" s="322">
        <f>($D24)*'INGRESO A PS DE CA'!Y24</f>
        <v>21.659404199999997</v>
      </c>
      <c r="Z184" s="322">
        <f>($D24)*'INGRESO A PS DE CA'!Z24</f>
        <v>21.688249800000005</v>
      </c>
    </row>
    <row r="185" spans="1:26" ht="24.95" customHeight="1">
      <c r="A185" s="260" t="str">
        <f>+Pobl_adoptada!A25</f>
        <v>San Miguel</v>
      </c>
      <c r="B185" s="70">
        <f>+Pobl_adoptada!B25</f>
        <v>21</v>
      </c>
      <c r="C185" s="71" t="str">
        <f>+Pobl_adoptada!C25</f>
        <v>San Miguel</v>
      </c>
      <c r="D185" s="291"/>
      <c r="E185" s="278"/>
      <c r="F185" s="263"/>
      <c r="G185" s="322">
        <f>($D25)*'INGRESO A PS DE CA'!G25</f>
        <v>0.97910682000000004</v>
      </c>
      <c r="H185" s="322">
        <f>($D25)*'INGRESO A PS DE CA'!H25</f>
        <v>7.9474368000000002</v>
      </c>
      <c r="I185" s="322">
        <f>($D25)*'INGRESO A PS DE CA'!I25</f>
        <v>15.1197543</v>
      </c>
      <c r="J185" s="322">
        <f>($D25)*'INGRESO A PS DE CA'!J25</f>
        <v>25.569433500000002</v>
      </c>
      <c r="K185" s="322">
        <f>($D25)*'INGRESO A PS DE CA'!K25</f>
        <v>36.323376599999996</v>
      </c>
      <c r="L185" s="322">
        <f>($D25)*'INGRESO A PS DE CA'!L25</f>
        <v>36.858133199999997</v>
      </c>
      <c r="M185" s="322">
        <f>($D25)*'INGRESO A PS DE CA'!M25</f>
        <v>37.401575399999999</v>
      </c>
      <c r="N185" s="322">
        <f>($D25)*'INGRESO A PS DE CA'!N25</f>
        <v>37.953900599999997</v>
      </c>
      <c r="O185" s="322">
        <f>($D25)*'INGRESO A PS DE CA'!O25</f>
        <v>38.515306199999998</v>
      </c>
      <c r="P185" s="322">
        <f>($D25)*'INGRESO A PS DE CA'!P25</f>
        <v>39.085792199999993</v>
      </c>
      <c r="Q185" s="322">
        <f>($D25)*'INGRESO A PS DE CA'!Q25</f>
        <v>39.665654699999997</v>
      </c>
      <c r="R185" s="322">
        <f>($D25)*'INGRESO A PS DE CA'!R25</f>
        <v>40.254893699999997</v>
      </c>
      <c r="S185" s="322">
        <f>($D25)*'INGRESO A PS DE CA'!S25</f>
        <v>40.853805299999998</v>
      </c>
      <c r="T185" s="322">
        <f>($D25)*'INGRESO A PS DE CA'!T25</f>
        <v>41.462488200000003</v>
      </c>
      <c r="U185" s="322">
        <f>($D25)*'INGRESO A PS DE CA'!U25</f>
        <v>42.0810411</v>
      </c>
      <c r="V185" s="322">
        <f>($D25)*'INGRESO A PS DE CA'!V25</f>
        <v>42.709760099999997</v>
      </c>
      <c r="W185" s="322">
        <f>($D25)*'INGRESO A PS DE CA'!W25</f>
        <v>43.348645199999993</v>
      </c>
      <c r="X185" s="322">
        <f>($D25)*'INGRESO A PS DE CA'!X25</f>
        <v>43.998091199999998</v>
      </c>
      <c r="Y185" s="322">
        <f>($D25)*'INGRESO A PS DE CA'!Y25</f>
        <v>44.657999399999994</v>
      </c>
      <c r="Z185" s="322">
        <f>($D25)*'INGRESO A PS DE CA'!Z25</f>
        <v>45.3287646</v>
      </c>
    </row>
    <row r="186" spans="1:26" ht="24.95" customHeight="1">
      <c r="A186" s="260" t="str">
        <f>+Pobl_adoptada!A26</f>
        <v>Tigre</v>
      </c>
      <c r="B186" s="70">
        <f>+Pobl_adoptada!B26</f>
        <v>22</v>
      </c>
      <c r="C186" s="71" t="str">
        <f>+Pobl_adoptada!C26</f>
        <v>Tigre</v>
      </c>
      <c r="D186" s="291"/>
      <c r="E186" s="278"/>
      <c r="F186" s="263"/>
      <c r="G186" s="322">
        <f>($D26)*'INGRESO A PS DE CA'!G26</f>
        <v>1.3007955</v>
      </c>
      <c r="H186" s="322">
        <f>($D26)*'INGRESO A PS DE CA'!H26</f>
        <v>10.543506240000001</v>
      </c>
      <c r="I186" s="322">
        <f>($D26)*'INGRESO A PS DE CA'!I26</f>
        <v>20.026215899999997</v>
      </c>
      <c r="J186" s="322">
        <f>($D26)*'INGRESO A PS DE CA'!J26</f>
        <v>33.805596000000001</v>
      </c>
      <c r="K186" s="322">
        <f>($D26)*'INGRESO A PS DE CA'!K26</f>
        <v>47.927831699999992</v>
      </c>
      <c r="L186" s="322">
        <f>($D26)*'INGRESO A PS DE CA'!L26</f>
        <v>48.527828999999997</v>
      </c>
      <c r="M186" s="322">
        <f>($D26)*'INGRESO A PS DE CA'!M26</f>
        <v>49.127727599999993</v>
      </c>
      <c r="N186" s="322">
        <f>($D26)*'INGRESO A PS DE CA'!N26</f>
        <v>49.727724899999991</v>
      </c>
      <c r="O186" s="322">
        <f>($D26)*'INGRESO A PS DE CA'!O26</f>
        <v>50.327722199999997</v>
      </c>
      <c r="P186" s="322">
        <f>($D26)*'INGRESO A PS DE CA'!P26</f>
        <v>50.927719500000002</v>
      </c>
      <c r="Q186" s="322">
        <f>($D26)*'INGRESO A PS DE CA'!Q26</f>
        <v>51.5277168</v>
      </c>
      <c r="R186" s="322">
        <f>($D26)*'INGRESO A PS DE CA'!R26</f>
        <v>52.127714100000006</v>
      </c>
      <c r="S186" s="322">
        <f>($D26)*'INGRESO A PS DE CA'!S26</f>
        <v>52.72771139999999</v>
      </c>
      <c r="T186" s="322">
        <f>($D26)*'INGRESO A PS DE CA'!T26</f>
        <v>53.327708699999995</v>
      </c>
      <c r="U186" s="322">
        <f>($D26)*'INGRESO A PS DE CA'!U26</f>
        <v>53.927705999999993</v>
      </c>
      <c r="V186" s="322">
        <f>($D26)*'INGRESO A PS DE CA'!V26</f>
        <v>54.527703299999999</v>
      </c>
      <c r="W186" s="322">
        <f>($D26)*'INGRESO A PS DE CA'!W26</f>
        <v>55.127700599999997</v>
      </c>
      <c r="X186" s="322">
        <f>($D26)*'INGRESO A PS DE CA'!X26</f>
        <v>55.727697900000003</v>
      </c>
      <c r="Y186" s="322">
        <f>($D26)*'INGRESO A PS DE CA'!Y26</f>
        <v>56.327695199999994</v>
      </c>
      <c r="Z186" s="322">
        <f>($D26)*'INGRESO A PS DE CA'!Z26</f>
        <v>56.927692500000006</v>
      </c>
    </row>
    <row r="187" spans="1:26" ht="24.95" customHeight="1">
      <c r="A187" s="260" t="str">
        <f>+Pobl_adoptada!A27</f>
        <v>Tres de Febrero</v>
      </c>
      <c r="B187" s="70">
        <f>+Pobl_adoptada!B27</f>
        <v>23</v>
      </c>
      <c r="C187" s="71" t="str">
        <f>+Pobl_adoptada!C27</f>
        <v>Tres de Febrero</v>
      </c>
      <c r="D187" s="291"/>
      <c r="E187" s="278"/>
      <c r="F187" s="263"/>
      <c r="G187" s="322">
        <f>($D27)*'INGRESO A PS DE CA'!G27</f>
        <v>0.99023736000000007</v>
      </c>
      <c r="H187" s="322">
        <f>($D27)*'INGRESO A PS DE CA'!H27</f>
        <v>7.9397663999999999</v>
      </c>
      <c r="I187" s="322">
        <f>($D27)*'INGRESO A PS DE CA'!I27</f>
        <v>14.921113499999999</v>
      </c>
      <c r="J187" s="322">
        <f>($D27)*'INGRESO A PS DE CA'!J27</f>
        <v>24.926262000000001</v>
      </c>
      <c r="K187" s="322">
        <f>($D27)*'INGRESO A PS DE CA'!K27</f>
        <v>34.978786499999998</v>
      </c>
      <c r="L187" s="322">
        <f>($D27)*'INGRESO A PS DE CA'!L27</f>
        <v>35.062187999999999</v>
      </c>
      <c r="M187" s="322">
        <f>($D27)*'INGRESO A PS DE CA'!M27</f>
        <v>35.146971299999997</v>
      </c>
      <c r="N187" s="322">
        <f>($D27)*'INGRESO A PS DE CA'!N27</f>
        <v>35.233136399999999</v>
      </c>
      <c r="O187" s="322">
        <f>($D27)*'INGRESO A PS DE CA'!O27</f>
        <v>35.320683299999999</v>
      </c>
      <c r="P187" s="322">
        <f>($D27)*'INGRESO A PS DE CA'!P27</f>
        <v>35.409710699999998</v>
      </c>
      <c r="Q187" s="322">
        <f>($D27)*'INGRESO A PS DE CA'!Q27</f>
        <v>35.500218600000004</v>
      </c>
      <c r="R187" s="322">
        <f>($D27)*'INGRESO A PS DE CA'!R27</f>
        <v>35.5921083</v>
      </c>
      <c r="S187" s="322">
        <f>($D27)*'INGRESO A PS DE CA'!S27</f>
        <v>35.685478500000002</v>
      </c>
      <c r="T187" s="322">
        <f>($D27)*'INGRESO A PS DE CA'!T27</f>
        <v>35.780427899999999</v>
      </c>
      <c r="U187" s="322">
        <f>($D27)*'INGRESO A PS DE CA'!U27</f>
        <v>35.876956499999999</v>
      </c>
      <c r="V187" s="322">
        <f>($D27)*'INGRESO A PS DE CA'!V27</f>
        <v>35.9750643</v>
      </c>
      <c r="W187" s="322">
        <f>($D27)*'INGRESO A PS DE CA'!W27</f>
        <v>36.0746526</v>
      </c>
      <c r="X187" s="322">
        <f>($D27)*'INGRESO A PS DE CA'!X27</f>
        <v>36.176017499999993</v>
      </c>
      <c r="Y187" s="322">
        <f>($D27)*'INGRESO A PS DE CA'!Y27</f>
        <v>36.278961599999995</v>
      </c>
      <c r="Z187" s="322">
        <f>($D27)*'INGRESO A PS DE CA'!Z27</f>
        <v>36.383583600000001</v>
      </c>
    </row>
    <row r="188" spans="1:26" ht="24.95" customHeight="1">
      <c r="A188" s="260" t="str">
        <f>+Pobl_adoptada!A28</f>
        <v>Vicente López</v>
      </c>
      <c r="B188" s="70">
        <f>+Pobl_adoptada!B28</f>
        <v>24</v>
      </c>
      <c r="C188" s="71" t="str">
        <f>+Pobl_adoptada!C28</f>
        <v>Vicente López</v>
      </c>
      <c r="D188" s="291"/>
      <c r="E188" s="278"/>
      <c r="F188" s="263"/>
      <c r="G188" s="322">
        <f>($D28)*'INGRESO A PS DE CA'!G28</f>
        <v>0.52038563999999998</v>
      </c>
      <c r="H188" s="322">
        <f>($D28)*'INGRESO A PS DE CA'!H28</f>
        <v>4.1463571200000002</v>
      </c>
      <c r="I188" s="322">
        <f>($D28)*'INGRESO A PS DE CA'!I28</f>
        <v>7.7425650000000008</v>
      </c>
      <c r="J188" s="322">
        <f>($D28)*'INGRESO A PS DE CA'!J28</f>
        <v>12.850266</v>
      </c>
      <c r="K188" s="322">
        <f>($D28)*'INGRESO A PS DE CA'!K28</f>
        <v>17.913617400000003</v>
      </c>
      <c r="L188" s="322">
        <f>($D28)*'INGRESO A PS DE CA'!L28</f>
        <v>17.835505800000004</v>
      </c>
      <c r="M188" s="322">
        <f>($D28)*'INGRESO A PS DE CA'!M28</f>
        <v>17.756180400000002</v>
      </c>
      <c r="N188" s="322">
        <f>($D28)*'INGRESO A PS DE CA'!N28</f>
        <v>17.675569800000002</v>
      </c>
      <c r="O188" s="322">
        <f>($D28)*'INGRESO A PS DE CA'!O28</f>
        <v>17.593602599999997</v>
      </c>
      <c r="P188" s="322">
        <f>($D28)*'INGRESO A PS DE CA'!P28</f>
        <v>17.510350200000001</v>
      </c>
      <c r="Q188" s="322">
        <f>($D28)*'INGRESO A PS DE CA'!Q28</f>
        <v>17.425741200000001</v>
      </c>
      <c r="R188" s="322">
        <f>($D28)*'INGRESO A PS DE CA'!R28</f>
        <v>17.3397042</v>
      </c>
      <c r="S188" s="322">
        <f>($D28)*'INGRESO A PS DE CA'!S28</f>
        <v>17.252310600000001</v>
      </c>
      <c r="T188" s="322">
        <f>($D28)*'INGRESO A PS DE CA'!T28</f>
        <v>17.163417599999999</v>
      </c>
      <c r="U188" s="322">
        <f>($D28)*'INGRESO A PS DE CA'!U28</f>
        <v>17.073167999999999</v>
      </c>
      <c r="V188" s="322">
        <f>($D28)*'INGRESO A PS DE CA'!V28</f>
        <v>16.981347599999999</v>
      </c>
      <c r="W188" s="322">
        <f>($D28)*'INGRESO A PS DE CA'!W28</f>
        <v>16.888099199999999</v>
      </c>
      <c r="X188" s="322">
        <f>($D28)*'INGRESO A PS DE CA'!X28</f>
        <v>16.793279999999999</v>
      </c>
      <c r="Y188" s="322">
        <f>($D28)*'INGRESO A PS DE CA'!Y28</f>
        <v>16.696961400000003</v>
      </c>
      <c r="Z188" s="322">
        <f>($D28)*'INGRESO A PS DE CA'!Z28</f>
        <v>16.599072000000003</v>
      </c>
    </row>
    <row r="189" spans="1:26" ht="24.95" customHeight="1">
      <c r="A189" s="260" t="str">
        <f>+Pobl_adoptada!A29</f>
        <v>25 de Mayo</v>
      </c>
      <c r="B189" s="70">
        <f>+Pobl_adoptada!B29</f>
        <v>25</v>
      </c>
      <c r="C189" s="71" t="str">
        <f>+Pobl_adoptada!C29</f>
        <v>25 de Mayo</v>
      </c>
      <c r="D189" s="291"/>
      <c r="E189" s="278"/>
      <c r="F189" s="263"/>
      <c r="G189" s="322">
        <f>($D29)*'INGRESO A PS DE CA'!G29</f>
        <v>5.2902480000000009E-2</v>
      </c>
      <c r="H189" s="322">
        <f>($D29)*'INGRESO A PS DE CA'!H29</f>
        <v>0.42491583999999999</v>
      </c>
      <c r="I189" s="322">
        <f>($D29)*'INGRESO A PS DE CA'!I29</f>
        <v>0.79989720000000009</v>
      </c>
      <c r="J189" s="322">
        <f>($D29)*'INGRESO A PS DE CA'!J29</f>
        <v>1.3385150000000001</v>
      </c>
      <c r="K189" s="322">
        <f>($D29)*'INGRESO A PS DE CA'!K29</f>
        <v>1.8814152000000002</v>
      </c>
      <c r="L189" s="322">
        <f>($D29)*'INGRESO A PS DE CA'!L29</f>
        <v>1.8889094000000002</v>
      </c>
      <c r="M189" s="322">
        <f>($D29)*'INGRESO A PS DE CA'!M29</f>
        <v>1.8964778</v>
      </c>
      <c r="N189" s="322">
        <f>($D29)*'INGRESO A PS DE CA'!N29</f>
        <v>1.9041204</v>
      </c>
      <c r="O189" s="322">
        <f>($D29)*'INGRESO A PS DE CA'!O29</f>
        <v>1.9116888000000001</v>
      </c>
      <c r="P189" s="322">
        <f>($D29)*'INGRESO A PS DE CA'!P29</f>
        <v>1.9194056000000002</v>
      </c>
      <c r="Q189" s="322">
        <f>($D29)*'INGRESO A PS DE CA'!Q29</f>
        <v>1.9270481999999998</v>
      </c>
      <c r="R189" s="322">
        <f>($D29)*'INGRESO A PS DE CA'!R29</f>
        <v>1.9347650000000003</v>
      </c>
      <c r="S189" s="322">
        <f>($D29)*'INGRESO A PS DE CA'!S29</f>
        <v>1.9425560000000002</v>
      </c>
      <c r="T189" s="322">
        <f>($D29)*'INGRESO A PS DE CA'!T29</f>
        <v>1.9502727999999998</v>
      </c>
      <c r="U189" s="322">
        <f>($D29)*'INGRESO A PS DE CA'!U29</f>
        <v>1.9581379999999999</v>
      </c>
      <c r="V189" s="322">
        <f>($D29)*'INGRESO A PS DE CA'!V29</f>
        <v>1.965929</v>
      </c>
      <c r="W189" s="322">
        <f>($D29)*'INGRESO A PS DE CA'!W29</f>
        <v>1.9738684</v>
      </c>
      <c r="X189" s="322">
        <f>($D29)*'INGRESO A PS DE CA'!X29</f>
        <v>1.9817336000000001</v>
      </c>
      <c r="Y189" s="322">
        <f>($D29)*'INGRESO A PS DE CA'!Y29</f>
        <v>1.9896729999999998</v>
      </c>
      <c r="Z189" s="322">
        <f>($D29)*'INGRESO A PS DE CA'!Z29</f>
        <v>1.9976124</v>
      </c>
    </row>
    <row r="190" spans="1:26" ht="24.95" customHeight="1">
      <c r="A190" s="260" t="str">
        <f>+Pobl_adoptada!A30</f>
        <v>9 de Julio</v>
      </c>
      <c r="B190" s="70">
        <f>+Pobl_adoptada!B30</f>
        <v>26</v>
      </c>
      <c r="C190" s="71" t="str">
        <f>+Pobl_adoptada!C30</f>
        <v>9 de Julio</v>
      </c>
      <c r="D190" s="291"/>
      <c r="E190" s="278"/>
      <c r="F190" s="263"/>
      <c r="G190" s="322">
        <f>($D30)*'INGRESO A PS DE CA'!G30</f>
        <v>8.8940359999999996E-2</v>
      </c>
      <c r="H190" s="322">
        <f>($D30)*'INGRESO A PS DE CA'!H30</f>
        <v>0.71701791999999998</v>
      </c>
      <c r="I190" s="322">
        <f>($D30)*'INGRESO A PS DE CA'!I30</f>
        <v>1.3547436000000002</v>
      </c>
      <c r="J190" s="322">
        <f>($D30)*'INGRESO A PS DE CA'!J30</f>
        <v>2.2750780000000002</v>
      </c>
      <c r="K190" s="322">
        <f>($D30)*'INGRESO A PS DE CA'!K30</f>
        <v>3.2092242000000009</v>
      </c>
      <c r="L190" s="322">
        <f>($D30)*'INGRESO A PS DE CA'!L30</f>
        <v>3.2332650000000003</v>
      </c>
      <c r="M190" s="322">
        <f>($D30)*'INGRESO A PS DE CA'!M30</f>
        <v>3.2573799999999999</v>
      </c>
      <c r="N190" s="322">
        <f>($D30)*'INGRESO A PS DE CA'!N30</f>
        <v>3.2814208000000002</v>
      </c>
      <c r="O190" s="322">
        <f>($D30)*'INGRESO A PS DE CA'!O30</f>
        <v>3.3055357999999999</v>
      </c>
      <c r="P190" s="322">
        <f>($D30)*'INGRESO A PS DE CA'!P30</f>
        <v>3.3295766000000002</v>
      </c>
      <c r="Q190" s="322">
        <f>($D30)*'INGRESO A PS DE CA'!Q30</f>
        <v>3.3536915999999999</v>
      </c>
      <c r="R190" s="322">
        <f>($D30)*'INGRESO A PS DE CA'!R30</f>
        <v>3.3777324000000002</v>
      </c>
      <c r="S190" s="322">
        <f>($D30)*'INGRESO A PS DE CA'!S30</f>
        <v>3.4018473999999999</v>
      </c>
      <c r="T190" s="322">
        <f>($D30)*'INGRESO A PS DE CA'!T30</f>
        <v>3.4258882000000002</v>
      </c>
      <c r="U190" s="322">
        <f>($D30)*'INGRESO A PS DE CA'!U30</f>
        <v>3.4499289999999996</v>
      </c>
      <c r="V190" s="322">
        <f>($D30)*'INGRESO A PS DE CA'!V30</f>
        <v>3.4740440000000001</v>
      </c>
      <c r="W190" s="322">
        <f>($D30)*'INGRESO A PS DE CA'!W30</f>
        <v>3.4980847999999996</v>
      </c>
      <c r="X190" s="322">
        <f>($D30)*'INGRESO A PS DE CA'!X30</f>
        <v>3.5221998000000001</v>
      </c>
      <c r="Y190" s="322">
        <f>($D30)*'INGRESO A PS DE CA'!Y30</f>
        <v>3.5462406000000004</v>
      </c>
      <c r="Z190" s="322">
        <f>($D30)*'INGRESO A PS DE CA'!Z30</f>
        <v>3.5703556000000001</v>
      </c>
    </row>
    <row r="191" spans="1:26" ht="24.95" customHeight="1">
      <c r="A191" s="260" t="str">
        <f>+Pobl_adoptada!A31</f>
        <v>Adolfo Alsina</v>
      </c>
      <c r="B191" s="70">
        <f>+Pobl_adoptada!B31</f>
        <v>27</v>
      </c>
      <c r="C191" s="71" t="str">
        <f>+Pobl_adoptada!C31</f>
        <v>Carhué</v>
      </c>
      <c r="D191" s="291"/>
      <c r="E191" s="278"/>
      <c r="F191" s="263"/>
      <c r="G191" s="322">
        <f>($D31)*'INGRESO A PS DE CA'!G31</f>
        <v>1.9119440000000001E-2</v>
      </c>
      <c r="H191" s="322">
        <f>($D31)*'INGRESO A PS DE CA'!H31</f>
        <v>0.15379456000000002</v>
      </c>
      <c r="I191" s="322">
        <f>($D31)*'INGRESO A PS DE CA'!I31</f>
        <v>0.28996560000000005</v>
      </c>
      <c r="J191" s="322">
        <f>($D31)*'INGRESO A PS DE CA'!J31</f>
        <v>0.48594400000000004</v>
      </c>
      <c r="K191" s="322">
        <f>($D31)*'INGRESO A PS DE CA'!K31</f>
        <v>0.68399239999999994</v>
      </c>
      <c r="L191" s="322">
        <f>($D31)*'INGRESO A PS DE CA'!L31</f>
        <v>0.68772760000000011</v>
      </c>
      <c r="M191" s="322">
        <f>($D31)*'INGRESO A PS DE CA'!M31</f>
        <v>0.69146280000000004</v>
      </c>
      <c r="N191" s="322">
        <f>($D31)*'INGRESO A PS DE CA'!N31</f>
        <v>0.69513360000000002</v>
      </c>
      <c r="O191" s="322">
        <f>($D31)*'INGRESO A PS DE CA'!O31</f>
        <v>0.69886880000000007</v>
      </c>
      <c r="P191" s="322">
        <f>($D31)*'INGRESO A PS DE CA'!P31</f>
        <v>0.70260400000000001</v>
      </c>
      <c r="Q191" s="322">
        <f>($D31)*'INGRESO A PS DE CA'!Q31</f>
        <v>0.70627480000000009</v>
      </c>
      <c r="R191" s="322">
        <f>($D31)*'INGRESO A PS DE CA'!R31</f>
        <v>0.71001000000000003</v>
      </c>
      <c r="S191" s="322">
        <f>($D31)*'INGRESO A PS DE CA'!S31</f>
        <v>0.71374519999999997</v>
      </c>
      <c r="T191" s="322">
        <f>($D31)*'INGRESO A PS DE CA'!T31</f>
        <v>0.71741600000000005</v>
      </c>
      <c r="U191" s="322">
        <f>($D31)*'INGRESO A PS DE CA'!U31</f>
        <v>0.72115119999999999</v>
      </c>
      <c r="V191" s="322">
        <f>($D31)*'INGRESO A PS DE CA'!V31</f>
        <v>0.72488639999999993</v>
      </c>
      <c r="W191" s="322">
        <f>($D31)*'INGRESO A PS DE CA'!W31</f>
        <v>0.72862160000000009</v>
      </c>
      <c r="X191" s="322">
        <f>($D31)*'INGRESO A PS DE CA'!X31</f>
        <v>0.73229239999999995</v>
      </c>
      <c r="Y191" s="322">
        <f>($D31)*'INGRESO A PS DE CA'!Y31</f>
        <v>0.7360276</v>
      </c>
      <c r="Z191" s="322">
        <f>($D31)*'INGRESO A PS DE CA'!Z31</f>
        <v>0.73976280000000016</v>
      </c>
    </row>
    <row r="192" spans="1:26" ht="24.95" customHeight="1">
      <c r="A192" s="260" t="str">
        <f>+Pobl_adoptada!A32</f>
        <v>Adolfo Gonzáles Chaves</v>
      </c>
      <c r="B192" s="70">
        <f>+Pobl_adoptada!B32</f>
        <v>28</v>
      </c>
      <c r="C192" s="71" t="str">
        <f>+Pobl_adoptada!C32</f>
        <v>Adolfo Gonzáles Chaves</v>
      </c>
      <c r="D192" s="291"/>
      <c r="E192" s="278"/>
      <c r="F192" s="263"/>
      <c r="G192" s="322">
        <f>($D32)*'INGRESO A PS DE CA'!G32</f>
        <v>1.7816720000000001E-2</v>
      </c>
      <c r="H192" s="322">
        <f>($D32)*'INGRESO A PS DE CA'!H32</f>
        <v>0.14371136000000004</v>
      </c>
      <c r="I192" s="322">
        <f>($D32)*'INGRESO A PS DE CA'!I32</f>
        <v>0.27166679999999999</v>
      </c>
      <c r="J192" s="322">
        <f>($D32)*'INGRESO A PS DE CA'!J32</f>
        <v>0.45645800000000003</v>
      </c>
      <c r="K192" s="322">
        <f>($D32)*'INGRESO A PS DE CA'!K32</f>
        <v>0.64419320000000002</v>
      </c>
      <c r="L192" s="322">
        <f>($D32)*'INGRESO A PS DE CA'!L32</f>
        <v>0.65172799999999997</v>
      </c>
      <c r="M192" s="322">
        <f>($D32)*'INGRESO A PS DE CA'!M32</f>
        <v>0.65926280000000004</v>
      </c>
      <c r="N192" s="322">
        <f>($D32)*'INGRESO A PS DE CA'!N32</f>
        <v>0.66679759999999999</v>
      </c>
      <c r="O192" s="322">
        <f>($D32)*'INGRESO A PS DE CA'!O32</f>
        <v>0.67433239999999994</v>
      </c>
      <c r="P192" s="322">
        <f>($D32)*'INGRESO A PS DE CA'!P32</f>
        <v>0.68186720000000012</v>
      </c>
      <c r="Q192" s="322">
        <f>($D32)*'INGRESO A PS DE CA'!Q32</f>
        <v>0.68940200000000007</v>
      </c>
      <c r="R192" s="322">
        <f>($D32)*'INGRESO A PS DE CA'!R32</f>
        <v>0.69693680000000002</v>
      </c>
      <c r="S192" s="322">
        <f>($D32)*'INGRESO A PS DE CA'!S32</f>
        <v>0.70447160000000009</v>
      </c>
      <c r="T192" s="322">
        <f>($D32)*'INGRESO A PS DE CA'!T32</f>
        <v>0.71200640000000004</v>
      </c>
      <c r="U192" s="322">
        <f>($D32)*'INGRESO A PS DE CA'!U32</f>
        <v>0.71954119999999999</v>
      </c>
      <c r="V192" s="322">
        <f>($D32)*'INGRESO A PS DE CA'!V32</f>
        <v>0.72707600000000006</v>
      </c>
      <c r="W192" s="322">
        <f>($D32)*'INGRESO A PS DE CA'!W32</f>
        <v>0.73461080000000001</v>
      </c>
      <c r="X192" s="322">
        <f>($D32)*'INGRESO A PS DE CA'!X32</f>
        <v>0.74214559999999996</v>
      </c>
      <c r="Y192" s="322">
        <f>($D32)*'INGRESO A PS DE CA'!Y32</f>
        <v>0.74968040000000002</v>
      </c>
      <c r="Z192" s="322">
        <f>($D32)*'INGRESO A PS DE CA'!Z32</f>
        <v>0.75721520000000009</v>
      </c>
    </row>
    <row r="193" spans="1:26" ht="24.95" customHeight="1">
      <c r="A193" s="260" t="str">
        <f>+Pobl_adoptada!A33</f>
        <v>Alberti</v>
      </c>
      <c r="B193" s="70">
        <f>+Pobl_adoptada!B33</f>
        <v>29</v>
      </c>
      <c r="C193" s="71" t="str">
        <f>+Pobl_adoptada!C33</f>
        <v>Alberti</v>
      </c>
      <c r="D193" s="291"/>
      <c r="E193" s="278"/>
      <c r="F193" s="263"/>
      <c r="G193" s="322">
        <f>($D33)*'INGRESO A PS DE CA'!G33</f>
        <v>1.8939120000000004E-2</v>
      </c>
      <c r="H193" s="322">
        <f>($D33)*'INGRESO A PS DE CA'!H33</f>
        <v>0.15366208000000003</v>
      </c>
      <c r="I193" s="322">
        <f>($D33)*'INGRESO A PS DE CA'!I33</f>
        <v>0.29214600000000002</v>
      </c>
      <c r="J193" s="322">
        <f>($D33)*'INGRESO A PS DE CA'!J33</f>
        <v>0.49358000000000007</v>
      </c>
      <c r="K193" s="322">
        <f>($D33)*'INGRESO A PS DE CA'!K33</f>
        <v>0.70041439999999999</v>
      </c>
      <c r="L193" s="322">
        <f>($D33)*'INGRESO A PS DE CA'!L33</f>
        <v>0.71213520000000008</v>
      </c>
      <c r="M193" s="322">
        <f>($D33)*'INGRESO A PS DE CA'!M33</f>
        <v>0.72379160000000009</v>
      </c>
      <c r="N193" s="322">
        <f>($D33)*'INGRESO A PS DE CA'!N33</f>
        <v>0.73551239999999996</v>
      </c>
      <c r="O193" s="322">
        <f>($D33)*'INGRESO A PS DE CA'!O33</f>
        <v>0.74723320000000004</v>
      </c>
      <c r="P193" s="322">
        <f>($D33)*'INGRESO A PS DE CA'!P33</f>
        <v>0.75895400000000002</v>
      </c>
      <c r="Q193" s="322">
        <f>($D33)*'INGRESO A PS DE CA'!Q33</f>
        <v>0.77061040000000003</v>
      </c>
      <c r="R193" s="322">
        <f>($D33)*'INGRESO A PS DE CA'!R33</f>
        <v>0.78233119999999989</v>
      </c>
      <c r="S193" s="322">
        <f>($D33)*'INGRESO A PS DE CA'!S33</f>
        <v>0.79405199999999998</v>
      </c>
      <c r="T193" s="322">
        <f>($D33)*'INGRESO A PS DE CA'!T33</f>
        <v>0.80570839999999999</v>
      </c>
      <c r="U193" s="322">
        <f>($D33)*'INGRESO A PS DE CA'!U33</f>
        <v>0.81742920000000019</v>
      </c>
      <c r="V193" s="322">
        <f>($D33)*'INGRESO A PS DE CA'!V33</f>
        <v>0.82914999999999994</v>
      </c>
      <c r="W193" s="322">
        <f>($D33)*'INGRESO A PS DE CA'!W33</f>
        <v>0.84080639999999995</v>
      </c>
      <c r="X193" s="322">
        <f>($D33)*'INGRESO A PS DE CA'!X33</f>
        <v>0.85252720000000015</v>
      </c>
      <c r="Y193" s="322">
        <f>($D33)*'INGRESO A PS DE CA'!Y33</f>
        <v>0.86424799999999991</v>
      </c>
      <c r="Z193" s="322">
        <f>($D33)*'INGRESO A PS DE CA'!Z33</f>
        <v>0.87596879999999988</v>
      </c>
    </row>
    <row r="194" spans="1:26" ht="24.95" customHeight="1">
      <c r="A194" s="260" t="str">
        <f>+Pobl_adoptada!A34</f>
        <v>Arrecifes</v>
      </c>
      <c r="B194" s="70">
        <f>+Pobl_adoptada!B34</f>
        <v>30</v>
      </c>
      <c r="C194" s="71" t="str">
        <f>+Pobl_adoptada!C34</f>
        <v>Arrecifes</v>
      </c>
      <c r="D194" s="291"/>
      <c r="E194" s="278"/>
      <c r="F194" s="263"/>
      <c r="G194" s="322">
        <f>($D34)*'INGRESO A PS DE CA'!G34</f>
        <v>6.4683320000000002E-2</v>
      </c>
      <c r="H194" s="322">
        <f>($D34)*'INGRESO A PS DE CA'!H34</f>
        <v>0.52216448000000004</v>
      </c>
      <c r="I194" s="322">
        <f>($D34)*'INGRESO A PS DE CA'!I34</f>
        <v>0.98796240000000002</v>
      </c>
      <c r="J194" s="322">
        <f>($D34)*'INGRESO A PS DE CA'!J34</f>
        <v>1.6615500000000001</v>
      </c>
      <c r="K194" s="322">
        <f>($D34)*'INGRESO A PS DE CA'!K34</f>
        <v>2.3473169999999999</v>
      </c>
      <c r="L194" s="322">
        <f>($D34)*'INGRESO A PS DE CA'!L34</f>
        <v>2.3686866000000006</v>
      </c>
      <c r="M194" s="322">
        <f>($D34)*'INGRESO A PS DE CA'!M34</f>
        <v>2.3902046000000001</v>
      </c>
      <c r="N194" s="322">
        <f>($D34)*'INGRESO A PS DE CA'!N34</f>
        <v>2.4118710000000001</v>
      </c>
      <c r="O194" s="322">
        <f>($D34)*'INGRESO A PS DE CA'!O34</f>
        <v>2.4338342000000002</v>
      </c>
      <c r="P194" s="322">
        <f>($D34)*'INGRESO A PS DE CA'!P34</f>
        <v>2.4559458000000003</v>
      </c>
      <c r="Q194" s="322">
        <f>($D34)*'INGRESO A PS DE CA'!Q34</f>
        <v>2.4782058</v>
      </c>
      <c r="R194" s="322">
        <f>($D34)*'INGRESO A PS DE CA'!R34</f>
        <v>2.5007625999999998</v>
      </c>
      <c r="S194" s="322">
        <f>($D34)*'INGRESO A PS DE CA'!S34</f>
        <v>2.5234678000000001</v>
      </c>
      <c r="T194" s="322">
        <f>($D34)*'INGRESO A PS DE CA'!T34</f>
        <v>2.5463956000000003</v>
      </c>
      <c r="U194" s="322">
        <f>($D34)*'INGRESO A PS DE CA'!U34</f>
        <v>2.5695460000000008</v>
      </c>
      <c r="V194" s="322">
        <f>($D34)*'INGRESO A PS DE CA'!V34</f>
        <v>2.5929190000000002</v>
      </c>
      <c r="W194" s="322">
        <f>($D34)*'INGRESO A PS DE CA'!W34</f>
        <v>2.6164404000000001</v>
      </c>
      <c r="X194" s="322">
        <f>($D34)*'INGRESO A PS DE CA'!X34</f>
        <v>2.6402586000000006</v>
      </c>
      <c r="Y194" s="322">
        <f>($D34)*'INGRESO A PS DE CA'!Y34</f>
        <v>2.6642252000000002</v>
      </c>
      <c r="Z194" s="322">
        <f>($D34)*'INGRESO A PS DE CA'!Z34</f>
        <v>2.688414400000001</v>
      </c>
    </row>
    <row r="195" spans="1:26" ht="24.95" customHeight="1">
      <c r="A195" s="260" t="str">
        <f>+Pobl_adoptada!A35</f>
        <v>Ayacucho</v>
      </c>
      <c r="B195" s="70">
        <f>+Pobl_adoptada!B35</f>
        <v>31</v>
      </c>
      <c r="C195" s="71" t="str">
        <f>+Pobl_adoptada!C35</f>
        <v>Ayacucho</v>
      </c>
      <c r="D195" s="291"/>
      <c r="E195" s="278"/>
      <c r="F195" s="263"/>
      <c r="G195" s="322">
        <f>($D35)*'INGRESO A PS DE CA'!G35</f>
        <v>4.0551360000000009E-2</v>
      </c>
      <c r="H195" s="322">
        <f>($D35)*'INGRESO A PS DE CA'!H35</f>
        <v>0.3263952</v>
      </c>
      <c r="I195" s="322">
        <f>($D35)*'INGRESO A PS DE CA'!I35</f>
        <v>0.6156798</v>
      </c>
      <c r="J195" s="322">
        <f>($D35)*'INGRESO A PS DE CA'!J35</f>
        <v>1.0323870000000002</v>
      </c>
      <c r="K195" s="322">
        <f>($D35)*'INGRESO A PS DE CA'!K35</f>
        <v>1.4540974</v>
      </c>
      <c r="L195" s="322">
        <f>($D35)*'INGRESO A PS DE CA'!L35</f>
        <v>1.4629272000000002</v>
      </c>
      <c r="M195" s="322">
        <f>($D35)*'INGRESO A PS DE CA'!M35</f>
        <v>1.4717570000000002</v>
      </c>
      <c r="N195" s="322">
        <f>($D35)*'INGRESO A PS DE CA'!N35</f>
        <v>1.4807351999999998</v>
      </c>
      <c r="O195" s="322">
        <f>($D35)*'INGRESO A PS DE CA'!O35</f>
        <v>1.4897134000000003</v>
      </c>
      <c r="P195" s="322">
        <f>($D35)*'INGRESO A PS DE CA'!P35</f>
        <v>1.4987658000000001</v>
      </c>
      <c r="Q195" s="322">
        <f>($D35)*'INGRESO A PS DE CA'!Q35</f>
        <v>1.5078182000000002</v>
      </c>
      <c r="R195" s="322">
        <f>($D35)*'INGRESO A PS DE CA'!R35</f>
        <v>1.5170190000000001</v>
      </c>
      <c r="S195" s="322">
        <f>($D35)*'INGRESO A PS DE CA'!S35</f>
        <v>1.5262197999999998</v>
      </c>
      <c r="T195" s="322">
        <f>($D35)*'INGRESO A PS DE CA'!T35</f>
        <v>1.5354206000000001</v>
      </c>
      <c r="U195" s="322">
        <f>($D35)*'INGRESO A PS DE CA'!U35</f>
        <v>1.5447698000000001</v>
      </c>
      <c r="V195" s="322">
        <f>($D35)*'INGRESO A PS DE CA'!V35</f>
        <v>1.554119</v>
      </c>
      <c r="W195" s="322">
        <f>($D35)*'INGRESO A PS DE CA'!W35</f>
        <v>1.5635424</v>
      </c>
      <c r="X195" s="322">
        <f>($D35)*'INGRESO A PS DE CA'!X35</f>
        <v>1.57304</v>
      </c>
      <c r="Y195" s="322">
        <f>($D35)*'INGRESO A PS DE CA'!Y35</f>
        <v>1.5826118</v>
      </c>
      <c r="Z195" s="322">
        <f>($D35)*'INGRESO A PS DE CA'!Z35</f>
        <v>1.5921836</v>
      </c>
    </row>
    <row r="196" spans="1:26" ht="24.95" customHeight="1">
      <c r="A196" s="260" t="str">
        <f>+Pobl_adoptada!A36</f>
        <v>Azul</v>
      </c>
      <c r="B196" s="70">
        <f>+Pobl_adoptada!B36</f>
        <v>32</v>
      </c>
      <c r="C196" s="71" t="str">
        <f>+Pobl_adoptada!C36</f>
        <v>Azul</v>
      </c>
      <c r="D196" s="291"/>
      <c r="E196" s="278"/>
      <c r="F196" s="263"/>
      <c r="G196" s="322">
        <f>($D36)*'INGRESO A PS DE CA'!G36</f>
        <v>0.13238784000000001</v>
      </c>
      <c r="H196" s="322">
        <f>($D36)*'INGRESO A PS DE CA'!H36</f>
        <v>1.0718486400000002</v>
      </c>
      <c r="I196" s="322">
        <f>($D36)*'INGRESO A PS DE CA'!I36</f>
        <v>2.0335842</v>
      </c>
      <c r="J196" s="322">
        <f>($D36)*'INGRESO A PS DE CA'!J36</f>
        <v>3.4290870000000009</v>
      </c>
      <c r="K196" s="322">
        <f>($D36)*'INGRESO A PS DE CA'!K36</f>
        <v>4.8564137999999994</v>
      </c>
      <c r="L196" s="322">
        <f>($D36)*'INGRESO A PS DE CA'!L36</f>
        <v>4.9295987999999999</v>
      </c>
      <c r="M196" s="322">
        <f>($D36)*'INGRESO A PS DE CA'!M36</f>
        <v>5.0027124000000001</v>
      </c>
      <c r="N196" s="322">
        <f>($D36)*'INGRESO A PS DE CA'!N36</f>
        <v>5.0758974000000006</v>
      </c>
      <c r="O196" s="322">
        <f>($D36)*'INGRESO A PS DE CA'!O36</f>
        <v>5.1490109999999998</v>
      </c>
      <c r="P196" s="322">
        <f>($D36)*'INGRESO A PS DE CA'!P36</f>
        <v>5.2221960000000003</v>
      </c>
      <c r="Q196" s="322">
        <f>($D36)*'INGRESO A PS DE CA'!Q36</f>
        <v>5.2953095999999995</v>
      </c>
      <c r="R196" s="322">
        <f>($D36)*'INGRESO A PS DE CA'!R36</f>
        <v>5.3684946</v>
      </c>
      <c r="S196" s="322">
        <f>($D36)*'INGRESO A PS DE CA'!S36</f>
        <v>5.4416796000000005</v>
      </c>
      <c r="T196" s="322">
        <f>($D36)*'INGRESO A PS DE CA'!T36</f>
        <v>5.5147931999999997</v>
      </c>
      <c r="U196" s="322">
        <f>($D36)*'INGRESO A PS DE CA'!U36</f>
        <v>5.5879782000000002</v>
      </c>
      <c r="V196" s="322">
        <f>($D36)*'INGRESO A PS DE CA'!V36</f>
        <v>5.6610918000000003</v>
      </c>
      <c r="W196" s="322">
        <f>($D36)*'INGRESO A PS DE CA'!W36</f>
        <v>5.7342768000000008</v>
      </c>
      <c r="X196" s="322">
        <f>($D36)*'INGRESO A PS DE CA'!X36</f>
        <v>5.8073904000000001</v>
      </c>
      <c r="Y196" s="322">
        <f>($D36)*'INGRESO A PS DE CA'!Y36</f>
        <v>5.8805753999999997</v>
      </c>
      <c r="Z196" s="322">
        <f>($D36)*'INGRESO A PS DE CA'!Z36</f>
        <v>5.9537604000000002</v>
      </c>
    </row>
    <row r="197" spans="1:26" ht="24.95" customHeight="1">
      <c r="A197" s="260" t="str">
        <f>+Pobl_adoptada!A37</f>
        <v>Bahía Blanca</v>
      </c>
      <c r="B197" s="70">
        <f>+Pobl_adoptada!B37</f>
        <v>33</v>
      </c>
      <c r="C197" s="71" t="str">
        <f>+Pobl_adoptada!C37</f>
        <v>Bahía Blanca</v>
      </c>
      <c r="D197" s="291"/>
      <c r="E197" s="278"/>
      <c r="F197" s="263"/>
      <c r="G197" s="322">
        <f>($D37)*'INGRESO A PS DE CA'!G37</f>
        <v>0.94781046000000002</v>
      </c>
      <c r="H197" s="322">
        <f>($D37)*'INGRESO A PS DE CA'!H37</f>
        <v>7.6693622399999999</v>
      </c>
      <c r="I197" s="322">
        <f>($D37)*'INGRESO A PS DE CA'!I37</f>
        <v>14.542909199999997</v>
      </c>
      <c r="J197" s="322">
        <f>($D37)*'INGRESO A PS DE CA'!J37</f>
        <v>24.509606999999999</v>
      </c>
      <c r="K197" s="322">
        <f>($D37)*'INGRESO A PS DE CA'!K37</f>
        <v>34.693543499999997</v>
      </c>
      <c r="L197" s="322">
        <f>($D37)*'INGRESO A PS DE CA'!L37</f>
        <v>35.195926499999999</v>
      </c>
      <c r="M197" s="322">
        <f>($D37)*'INGRESO A PS DE CA'!M37</f>
        <v>35.698408199999996</v>
      </c>
      <c r="N197" s="322">
        <f>($D37)*'INGRESO A PS DE CA'!N37</f>
        <v>36.200791199999991</v>
      </c>
      <c r="O197" s="322">
        <f>($D37)*'INGRESO A PS DE CA'!O37</f>
        <v>36.703272899999995</v>
      </c>
      <c r="P197" s="322">
        <f>($D37)*'INGRESO A PS DE CA'!P37</f>
        <v>37.205655900000004</v>
      </c>
      <c r="Q197" s="322">
        <f>($D37)*'INGRESO A PS DE CA'!Q37</f>
        <v>37.708137599999993</v>
      </c>
      <c r="R197" s="322">
        <f>($D37)*'INGRESO A PS DE CA'!R37</f>
        <v>38.210520599999995</v>
      </c>
      <c r="S197" s="322">
        <f>($D37)*'INGRESO A PS DE CA'!S37</f>
        <v>38.712903600000004</v>
      </c>
      <c r="T197" s="322">
        <f>($D37)*'INGRESO A PS DE CA'!T37</f>
        <v>39.215385299999994</v>
      </c>
      <c r="U197" s="322">
        <f>($D37)*'INGRESO A PS DE CA'!U37</f>
        <v>39.717768299999996</v>
      </c>
      <c r="V197" s="322">
        <f>($D37)*'INGRESO A PS DE CA'!V37</f>
        <v>40.22025</v>
      </c>
      <c r="W197" s="322">
        <f>($D37)*'INGRESO A PS DE CA'!W37</f>
        <v>40.722633000000002</v>
      </c>
      <c r="X197" s="322">
        <f>($D37)*'INGRESO A PS DE CA'!X37</f>
        <v>41.225114699999999</v>
      </c>
      <c r="Y197" s="322">
        <f>($D37)*'INGRESO A PS DE CA'!Y37</f>
        <v>41.727497700000001</v>
      </c>
      <c r="Z197" s="322">
        <f>($D37)*'INGRESO A PS DE CA'!Z37</f>
        <v>42.229979399999991</v>
      </c>
    </row>
    <row r="198" spans="1:26" ht="24.95" customHeight="1">
      <c r="A198" s="260" t="str">
        <f>+Pobl_adoptada!A38</f>
        <v>Balcarce</v>
      </c>
      <c r="B198" s="70">
        <f>+Pobl_adoptada!B38</f>
        <v>34</v>
      </c>
      <c r="C198" s="71" t="str">
        <f>+Pobl_adoptada!C38</f>
        <v>Balcarce</v>
      </c>
      <c r="D198" s="291"/>
      <c r="E198" s="278"/>
      <c r="F198" s="263"/>
      <c r="G198" s="322">
        <f>($D38)*'INGRESO A PS DE CA'!G38</f>
        <v>0.10237692000000001</v>
      </c>
      <c r="H198" s="322">
        <f>($D38)*'INGRESO A PS DE CA'!H38</f>
        <v>0.83104</v>
      </c>
      <c r="I198" s="322">
        <f>($D38)*'INGRESO A PS DE CA'!I38</f>
        <v>1.5811278000000002</v>
      </c>
      <c r="J198" s="322">
        <f>($D38)*'INGRESO A PS DE CA'!J38</f>
        <v>2.6740089999999999</v>
      </c>
      <c r="K198" s="322">
        <f>($D38)*'INGRESO A PS DE CA'!K38</f>
        <v>3.7988916000000006</v>
      </c>
      <c r="L198" s="322">
        <f>($D38)*'INGRESO A PS DE CA'!L38</f>
        <v>3.8549867999999998</v>
      </c>
      <c r="M198" s="322">
        <f>($D38)*'INGRESO A PS DE CA'!M38</f>
        <v>3.9120466</v>
      </c>
      <c r="N198" s="322">
        <f>($D38)*'INGRESO A PS DE CA'!N38</f>
        <v>3.9700710000000003</v>
      </c>
      <c r="O198" s="322">
        <f>($D38)*'INGRESO A PS DE CA'!O38</f>
        <v>4.0289858000000001</v>
      </c>
      <c r="P198" s="322">
        <f>($D38)*'INGRESO A PS DE CA'!P38</f>
        <v>4.0888651999999999</v>
      </c>
      <c r="Q198" s="322">
        <f>($D38)*'INGRESO A PS DE CA'!Q38</f>
        <v>4.1497092000000002</v>
      </c>
      <c r="R198" s="322">
        <f>($D38)*'INGRESO A PS DE CA'!R38</f>
        <v>4.2115920000000004</v>
      </c>
      <c r="S198" s="322">
        <f>($D38)*'INGRESO A PS DE CA'!S38</f>
        <v>4.2744394000000003</v>
      </c>
      <c r="T198" s="322">
        <f>($D38)*'INGRESO A PS DE CA'!T38</f>
        <v>4.3383256000000001</v>
      </c>
      <c r="U198" s="322">
        <f>($D38)*'INGRESO A PS DE CA'!U38</f>
        <v>4.4032505999999998</v>
      </c>
      <c r="V198" s="322">
        <f>($D38)*'INGRESO A PS DE CA'!V38</f>
        <v>4.4692886000000005</v>
      </c>
      <c r="W198" s="322">
        <f>($D38)*'INGRESO A PS DE CA'!W38</f>
        <v>4.5363654000000002</v>
      </c>
      <c r="X198" s="322">
        <f>($D38)*'INGRESO A PS DE CA'!X38</f>
        <v>4.6044809999999998</v>
      </c>
      <c r="Y198" s="322">
        <f>($D38)*'INGRESO A PS DE CA'!Y38</f>
        <v>4.6737837999999998</v>
      </c>
      <c r="Z198" s="322">
        <f>($D38)*'INGRESO A PS DE CA'!Z38</f>
        <v>4.7441996000000008</v>
      </c>
    </row>
    <row r="199" spans="1:26" ht="24.95" customHeight="1">
      <c r="A199" s="260" t="str">
        <f>+Pobl_adoptada!A39</f>
        <v>Baradero</v>
      </c>
      <c r="B199" s="70">
        <f>+Pobl_adoptada!B39</f>
        <v>35</v>
      </c>
      <c r="C199" s="71" t="str">
        <f>+Pobl_adoptada!C39</f>
        <v>Baradero</v>
      </c>
      <c r="D199" s="291"/>
      <c r="E199" s="278"/>
      <c r="F199" s="263"/>
      <c r="G199" s="322">
        <f>($D39)*'INGRESO A PS DE CA'!G39</f>
        <v>7.1083600000000011E-2</v>
      </c>
      <c r="H199" s="322">
        <f>($D39)*'INGRESO A PS DE CA'!H39</f>
        <v>0.57443520000000015</v>
      </c>
      <c r="I199" s="322">
        <f>($D39)*'INGRESO A PS DE CA'!I39</f>
        <v>1.0879733999999999</v>
      </c>
      <c r="J199" s="322">
        <f>($D39)*'INGRESO A PS DE CA'!J39</f>
        <v>1.8316270000000001</v>
      </c>
      <c r="K199" s="322">
        <f>($D39)*'INGRESO A PS DE CA'!K39</f>
        <v>2.5902478000000002</v>
      </c>
      <c r="L199" s="322">
        <f>($D39)*'INGRESO A PS DE CA'!L39</f>
        <v>2.6165145999999999</v>
      </c>
      <c r="M199" s="322">
        <f>($D39)*'INGRESO A PS DE CA'!M39</f>
        <v>2.6430040000000004</v>
      </c>
      <c r="N199" s="322">
        <f>($D39)*'INGRESO A PS DE CA'!N39</f>
        <v>2.6697902</v>
      </c>
      <c r="O199" s="322">
        <f>($D39)*'INGRESO A PS DE CA'!O39</f>
        <v>2.6967990000000004</v>
      </c>
      <c r="P199" s="322">
        <f>($D39)*'INGRESO A PS DE CA'!P39</f>
        <v>2.7241046</v>
      </c>
      <c r="Q199" s="322">
        <f>($D39)*'INGRESO A PS DE CA'!Q39</f>
        <v>2.7517069999999997</v>
      </c>
      <c r="R199" s="322">
        <f>($D39)*'INGRESO A PS DE CA'!R39</f>
        <v>2.7796061999999999</v>
      </c>
      <c r="S199" s="322">
        <f>($D39)*'INGRESO A PS DE CA'!S39</f>
        <v>2.807728</v>
      </c>
      <c r="T199" s="322">
        <f>($D39)*'INGRESO A PS DE CA'!T39</f>
        <v>2.8361466000000002</v>
      </c>
      <c r="U199" s="322">
        <f>($D39)*'INGRESO A PS DE CA'!U39</f>
        <v>2.8649362000000003</v>
      </c>
      <c r="V199" s="322">
        <f>($D39)*'INGRESO A PS DE CA'!V39</f>
        <v>2.8939484000000002</v>
      </c>
      <c r="W199" s="322">
        <f>($D39)*'INGRESO A PS DE CA'!W39</f>
        <v>2.9232574000000002</v>
      </c>
      <c r="X199" s="322">
        <f>($D39)*'INGRESO A PS DE CA'!X39</f>
        <v>2.9528631999999999</v>
      </c>
      <c r="Y199" s="322">
        <f>($D39)*'INGRESO A PS DE CA'!Y39</f>
        <v>2.9827657999999997</v>
      </c>
      <c r="Z199" s="322">
        <f>($D39)*'INGRESO A PS DE CA'!Z39</f>
        <v>3.0129652</v>
      </c>
    </row>
    <row r="200" spans="1:26" ht="24.95" customHeight="1">
      <c r="A200" s="260" t="str">
        <f>+Pobl_adoptada!A40</f>
        <v>Benito Juárez</v>
      </c>
      <c r="B200" s="70">
        <f>+Pobl_adoptada!B40</f>
        <v>36</v>
      </c>
      <c r="C200" s="71" t="str">
        <f>+Pobl_adoptada!C40</f>
        <v>Benito Juárez</v>
      </c>
      <c r="D200" s="291"/>
      <c r="E200" s="278"/>
      <c r="F200" s="263"/>
      <c r="G200" s="322">
        <f>($D40)*'INGRESO A PS DE CA'!G40</f>
        <v>3.2949040000000006E-2</v>
      </c>
      <c r="H200" s="322">
        <f>($D40)*'INGRESO A PS DE CA'!H40</f>
        <v>0.26513567999999998</v>
      </c>
      <c r="I200" s="322">
        <f>($D40)*'INGRESO A PS DE CA'!I40</f>
        <v>0.50002320000000011</v>
      </c>
      <c r="J200" s="322">
        <f>($D40)*'INGRESO A PS DE CA'!J40</f>
        <v>0.83835400000000004</v>
      </c>
      <c r="K200" s="322">
        <f>($D40)*'INGRESO A PS DE CA'!K40</f>
        <v>1.1807446000000004</v>
      </c>
      <c r="L200" s="322">
        <f>($D40)*'INGRESO A PS DE CA'!L40</f>
        <v>1.1878678</v>
      </c>
      <c r="M200" s="322">
        <f>($D40)*'INGRESO A PS DE CA'!M40</f>
        <v>1.1951394000000002</v>
      </c>
      <c r="N200" s="322">
        <f>($D40)*'INGRESO A PS DE CA'!N40</f>
        <v>1.2024852000000001</v>
      </c>
      <c r="O200" s="322">
        <f>($D40)*'INGRESO A PS DE CA'!O40</f>
        <v>1.2100536000000002</v>
      </c>
      <c r="P200" s="322">
        <f>($D40)*'INGRESO A PS DE CA'!P40</f>
        <v>1.217622</v>
      </c>
      <c r="Q200" s="322">
        <f>($D40)*'INGRESO A PS DE CA'!Q40</f>
        <v>1.2254130000000001</v>
      </c>
      <c r="R200" s="322">
        <f>($D40)*'INGRESO A PS DE CA'!R40</f>
        <v>1.2332782000000002</v>
      </c>
      <c r="S200" s="322">
        <f>($D40)*'INGRESO A PS DE CA'!S40</f>
        <v>1.2412918000000002</v>
      </c>
      <c r="T200" s="322">
        <f>($D40)*'INGRESO A PS DE CA'!T40</f>
        <v>1.2494538000000002</v>
      </c>
      <c r="U200" s="322">
        <f>($D40)*'INGRESO A PS DE CA'!U40</f>
        <v>1.25769</v>
      </c>
      <c r="V200" s="322">
        <f>($D40)*'INGRESO A PS DE CA'!V40</f>
        <v>1.2661487999999999</v>
      </c>
      <c r="W200" s="322">
        <f>($D40)*'INGRESO A PS DE CA'!W40</f>
        <v>1.2746818</v>
      </c>
      <c r="X200" s="322">
        <f>($D40)*'INGRESO A PS DE CA'!X40</f>
        <v>1.2833632000000001</v>
      </c>
      <c r="Y200" s="322">
        <f>($D40)*'INGRESO A PS DE CA'!Y40</f>
        <v>1.2921930000000001</v>
      </c>
      <c r="Z200" s="322">
        <f>($D40)*'INGRESO A PS DE CA'!Z40</f>
        <v>1.3011711999999998</v>
      </c>
    </row>
    <row r="201" spans="1:26" ht="24.95" customHeight="1">
      <c r="A201" s="260" t="str">
        <f>+Pobl_adoptada!A41</f>
        <v>Berisso</v>
      </c>
      <c r="B201" s="70">
        <f>+Pobl_adoptada!B41</f>
        <v>37</v>
      </c>
      <c r="C201" s="71" t="str">
        <f>+Pobl_adoptada!C41</f>
        <v>Berisso</v>
      </c>
      <c r="D201" s="291"/>
      <c r="E201" s="278"/>
      <c r="F201" s="263"/>
      <c r="G201" s="322">
        <f>($D41)*'INGRESO A PS DE CA'!G41</f>
        <v>0.20904900000000001</v>
      </c>
      <c r="H201" s="322">
        <f>($D41)*'INGRESO A PS DE CA'!H41</f>
        <v>1.6887446400000004</v>
      </c>
      <c r="I201" s="322">
        <f>($D41)*'INGRESO A PS DE CA'!I41</f>
        <v>3.1973634</v>
      </c>
      <c r="J201" s="322">
        <f>($D41)*'INGRESO A PS DE CA'!J41</f>
        <v>5.3810610000000008</v>
      </c>
      <c r="K201" s="322">
        <f>($D41)*'INGRESO A PS DE CA'!K41</f>
        <v>7.6071702000000005</v>
      </c>
      <c r="L201" s="322">
        <f>($D41)*'INGRESO A PS DE CA'!L41</f>
        <v>7.6815689999999996</v>
      </c>
      <c r="M201" s="322">
        <f>($D41)*'INGRESO A PS DE CA'!M41</f>
        <v>7.7566818</v>
      </c>
      <c r="N201" s="322">
        <f>($D41)*'INGRESO A PS DE CA'!N41</f>
        <v>7.8325085999999988</v>
      </c>
      <c r="O201" s="322">
        <f>($D41)*'INGRESO A PS DE CA'!O41</f>
        <v>7.9091208000000002</v>
      </c>
      <c r="P201" s="322">
        <f>($D41)*'INGRESO A PS DE CA'!P41</f>
        <v>7.9864470000000001</v>
      </c>
      <c r="Q201" s="322">
        <f>($D41)*'INGRESO A PS DE CA'!Q41</f>
        <v>8.0645585999999998</v>
      </c>
      <c r="R201" s="322">
        <f>($D41)*'INGRESO A PS DE CA'!R41</f>
        <v>8.1434556000000011</v>
      </c>
      <c r="S201" s="322">
        <f>($D41)*'INGRESO A PS DE CA'!S41</f>
        <v>8.223066600000001</v>
      </c>
      <c r="T201" s="322">
        <f>($D41)*'INGRESO A PS DE CA'!T41</f>
        <v>8.3035344000000002</v>
      </c>
      <c r="U201" s="322">
        <f>($D41)*'INGRESO A PS DE CA'!U41</f>
        <v>8.3847161999999997</v>
      </c>
      <c r="V201" s="322">
        <f>($D41)*'INGRESO A PS DE CA'!V41</f>
        <v>8.4667548000000004</v>
      </c>
      <c r="W201" s="322">
        <f>($D41)*'INGRESO A PS DE CA'!W41</f>
        <v>8.5495074000000013</v>
      </c>
      <c r="X201" s="322">
        <f>($D41)*'INGRESO A PS DE CA'!X41</f>
        <v>8.6331167999999998</v>
      </c>
      <c r="Y201" s="322">
        <f>($D41)*'INGRESO A PS DE CA'!Y41</f>
        <v>8.7175829999999994</v>
      </c>
      <c r="Z201" s="322">
        <f>($D41)*'INGRESO A PS DE CA'!Z41</f>
        <v>8.8028346000000006</v>
      </c>
    </row>
    <row r="202" spans="1:26" ht="24.95" customHeight="1">
      <c r="A202" s="260" t="str">
        <f>+Pobl_adoptada!A42</f>
        <v>Bolívar</v>
      </c>
      <c r="B202" s="70">
        <f>+Pobl_adoptada!B42</f>
        <v>38</v>
      </c>
      <c r="C202" s="71" t="str">
        <f>+Pobl_adoptada!C42</f>
        <v>San Carlos de Bolívar</v>
      </c>
      <c r="D202" s="291"/>
      <c r="E202" s="278"/>
      <c r="F202" s="263"/>
      <c r="G202" s="322">
        <f>($D42)*'INGRESO A PS DE CA'!G42</f>
        <v>6.2054520000000002E-2</v>
      </c>
      <c r="H202" s="322">
        <f>($D42)*'INGRESO A PS DE CA'!H42</f>
        <v>0.49982816000000008</v>
      </c>
      <c r="I202" s="322">
        <f>($D42)*'INGRESO A PS DE CA'!I42</f>
        <v>0.94360140000000003</v>
      </c>
      <c r="J202" s="322">
        <f>($D42)*'INGRESO A PS DE CA'!J42</f>
        <v>1.5834280000000003</v>
      </c>
      <c r="K202" s="322">
        <f>($D42)*'INGRESO A PS DE CA'!K42</f>
        <v>2.2320101999999999</v>
      </c>
      <c r="L202" s="322">
        <f>($D42)*'INGRESO A PS DE CA'!L42</f>
        <v>2.2472954000000001</v>
      </c>
      <c r="M202" s="322">
        <f>($D42)*'INGRESO A PS DE CA'!M42</f>
        <v>2.2626548000000004</v>
      </c>
      <c r="N202" s="322">
        <f>($D42)*'INGRESO A PS DE CA'!N42</f>
        <v>2.2781625999999999</v>
      </c>
      <c r="O202" s="322">
        <f>($D42)*'INGRESO A PS DE CA'!O42</f>
        <v>2.2937446000000001</v>
      </c>
      <c r="P202" s="322">
        <f>($D42)*'INGRESO A PS DE CA'!P42</f>
        <v>2.3094749999999999</v>
      </c>
      <c r="Q202" s="322">
        <f>($D42)*'INGRESO A PS DE CA'!Q42</f>
        <v>2.3252796</v>
      </c>
      <c r="R202" s="322">
        <f>($D42)*'INGRESO A PS DE CA'!R42</f>
        <v>2.3412325999999997</v>
      </c>
      <c r="S202" s="322">
        <f>($D42)*'INGRESO A PS DE CA'!S42</f>
        <v>2.3572598</v>
      </c>
      <c r="T202" s="322">
        <f>($D42)*'INGRESO A PS DE CA'!T42</f>
        <v>2.3734354000000004</v>
      </c>
      <c r="U202" s="322">
        <f>($D42)*'INGRESO A PS DE CA'!U42</f>
        <v>2.3896852000000002</v>
      </c>
      <c r="V202" s="322">
        <f>($D42)*'INGRESO A PS DE CA'!V42</f>
        <v>2.4060834000000004</v>
      </c>
      <c r="W202" s="322">
        <f>($D42)*'INGRESO A PS DE CA'!W42</f>
        <v>2.4225558</v>
      </c>
      <c r="X202" s="322">
        <f>($D42)*'INGRESO A PS DE CA'!X42</f>
        <v>2.4391023999999994</v>
      </c>
      <c r="Y202" s="322">
        <f>($D42)*'INGRESO A PS DE CA'!Y42</f>
        <v>2.4557973999999998</v>
      </c>
      <c r="Z202" s="322">
        <f>($D42)*'INGRESO A PS DE CA'!Z42</f>
        <v>2.4726408000000006</v>
      </c>
    </row>
    <row r="203" spans="1:26" ht="24.95" customHeight="1">
      <c r="A203" s="260" t="str">
        <f>+Pobl_adoptada!A43</f>
        <v>Bragado</v>
      </c>
      <c r="B203" s="70">
        <f>+Pobl_adoptada!B43</f>
        <v>39</v>
      </c>
      <c r="C203" s="71" t="str">
        <f>+Pobl_adoptada!C43</f>
        <v>Bragado</v>
      </c>
      <c r="D203" s="291"/>
      <c r="E203" s="278"/>
      <c r="F203" s="263"/>
      <c r="G203" s="322">
        <f>($D43)*'INGRESO A PS DE CA'!G43</f>
        <v>7.4443799999999991E-2</v>
      </c>
      <c r="H203" s="322">
        <f>($D43)*'INGRESO A PS DE CA'!H43</f>
        <v>0.59734816000000002</v>
      </c>
      <c r="I203" s="322">
        <f>($D43)*'INGRESO A PS DE CA'!I43</f>
        <v>1.1234303999999999</v>
      </c>
      <c r="J203" s="322">
        <f>($D43)*'INGRESO A PS DE CA'!J43</f>
        <v>1.8780020000000002</v>
      </c>
      <c r="K203" s="322">
        <f>($D43)*'INGRESO A PS DE CA'!K43</f>
        <v>2.6370680000000002</v>
      </c>
      <c r="L203" s="322">
        <f>($D43)*'INGRESO A PS DE CA'!L43</f>
        <v>2.6449332000000001</v>
      </c>
      <c r="M203" s="322">
        <f>($D43)*'INGRESO A PS DE CA'!M43</f>
        <v>2.6527984</v>
      </c>
      <c r="N203" s="322">
        <f>($D43)*'INGRESO A PS DE CA'!N43</f>
        <v>2.6607377999999997</v>
      </c>
      <c r="O203" s="322">
        <f>($D43)*'INGRESO A PS DE CA'!O43</f>
        <v>2.6686030000000001</v>
      </c>
      <c r="P203" s="322">
        <f>($D43)*'INGRESO A PS DE CA'!P43</f>
        <v>2.6764682000000004</v>
      </c>
      <c r="Q203" s="322">
        <f>($D43)*'INGRESO A PS DE CA'!Q43</f>
        <v>2.6843333999999999</v>
      </c>
      <c r="R203" s="322">
        <f>($D43)*'INGRESO A PS DE CA'!R43</f>
        <v>2.6921986000000002</v>
      </c>
      <c r="S203" s="322">
        <f>($D43)*'INGRESO A PS DE CA'!S43</f>
        <v>2.7000638000000006</v>
      </c>
      <c r="T203" s="322">
        <f>($D43)*'INGRESO A PS DE CA'!T43</f>
        <v>2.7080032000000003</v>
      </c>
      <c r="U203" s="322">
        <f>($D43)*'INGRESO A PS DE CA'!U43</f>
        <v>2.7158684000000002</v>
      </c>
      <c r="V203" s="322">
        <f>($D43)*'INGRESO A PS DE CA'!V43</f>
        <v>2.7237336000000001</v>
      </c>
      <c r="W203" s="322">
        <f>($D43)*'INGRESO A PS DE CA'!W43</f>
        <v>2.7315988000000004</v>
      </c>
      <c r="X203" s="322">
        <f>($D43)*'INGRESO A PS DE CA'!X43</f>
        <v>2.7394640000000003</v>
      </c>
      <c r="Y203" s="322">
        <f>($D43)*'INGRESO A PS DE CA'!Y43</f>
        <v>2.7474034000000001</v>
      </c>
      <c r="Z203" s="322">
        <f>($D43)*'INGRESO A PS DE CA'!Z43</f>
        <v>2.7552686000000004</v>
      </c>
    </row>
    <row r="204" spans="1:26" ht="24.95" customHeight="1">
      <c r="A204" s="260" t="str">
        <f>+Pobl_adoptada!A44</f>
        <v>Brandsen</v>
      </c>
      <c r="B204" s="70">
        <f>+Pobl_adoptada!B44</f>
        <v>40</v>
      </c>
      <c r="C204" s="71" t="str">
        <f>+Pobl_adoptada!C44</f>
        <v>Coronel Brandsen</v>
      </c>
      <c r="D204" s="291"/>
      <c r="E204" s="278"/>
      <c r="F204" s="263"/>
      <c r="G204" s="322">
        <f>($D44)*'INGRESO A PS DE CA'!G44</f>
        <v>5.7235760000000004E-2</v>
      </c>
      <c r="H204" s="322">
        <f>($D44)*'INGRESO A PS DE CA'!H44</f>
        <v>0.46673920000000008</v>
      </c>
      <c r="I204" s="322">
        <f>($D44)*'INGRESO A PS DE CA'!I44</f>
        <v>0.89205360000000011</v>
      </c>
      <c r="J204" s="322">
        <f>($D44)*'INGRESO A PS DE CA'!J44</f>
        <v>1.5154820000000002</v>
      </c>
      <c r="K204" s="322">
        <f>($D44)*'INGRESO A PS DE CA'!K44</f>
        <v>2.1626332000000001</v>
      </c>
      <c r="L204" s="322">
        <f>($D44)*'INGRESO A PS DE CA'!L44</f>
        <v>2.2044077999999998</v>
      </c>
      <c r="M204" s="322">
        <f>($D44)*'INGRESO A PS DE CA'!M44</f>
        <v>2.2469986</v>
      </c>
      <c r="N204" s="322">
        <f>($D44)*'INGRESO A PS DE CA'!N44</f>
        <v>2.2904056000000002</v>
      </c>
      <c r="O204" s="322">
        <f>($D44)*'INGRESO A PS DE CA'!O44</f>
        <v>2.3347029999999998</v>
      </c>
      <c r="P204" s="322">
        <f>($D44)*'INGRESO A PS DE CA'!P44</f>
        <v>2.3798166000000003</v>
      </c>
      <c r="Q204" s="322">
        <f>($D44)*'INGRESO A PS DE CA'!Q44</f>
        <v>2.4258206000000002</v>
      </c>
      <c r="R204" s="322">
        <f>($D44)*'INGRESO A PS DE CA'!R44</f>
        <v>2.4726408000000006</v>
      </c>
      <c r="S204" s="322">
        <f>($D44)*'INGRESO A PS DE CA'!S44</f>
        <v>2.5204256000000003</v>
      </c>
      <c r="T204" s="322">
        <f>($D44)*'INGRESO A PS DE CA'!T44</f>
        <v>2.5691008000000006</v>
      </c>
      <c r="U204" s="322">
        <f>($D44)*'INGRESO A PS DE CA'!U44</f>
        <v>2.6187406000000002</v>
      </c>
      <c r="V204" s="322">
        <f>($D44)*'INGRESO A PS DE CA'!V44</f>
        <v>2.6693449999999999</v>
      </c>
      <c r="W204" s="322">
        <f>($D44)*'INGRESO A PS DE CA'!W44</f>
        <v>2.7209881999999999</v>
      </c>
      <c r="X204" s="322">
        <f>($D44)*'INGRESO A PS DE CA'!X44</f>
        <v>2.7735218000000001</v>
      </c>
      <c r="Y204" s="322">
        <f>($D44)*'INGRESO A PS DE CA'!Y44</f>
        <v>2.8270942000000003</v>
      </c>
      <c r="Z204" s="322">
        <f>($D44)*'INGRESO A PS DE CA'!Z44</f>
        <v>2.8817795999999998</v>
      </c>
    </row>
    <row r="205" spans="1:26" ht="24.95" customHeight="1">
      <c r="A205" s="260" t="str">
        <f>+Pobl_adoptada!A45</f>
        <v>Campana</v>
      </c>
      <c r="B205" s="70">
        <f>+Pobl_adoptada!B45</f>
        <v>41</v>
      </c>
      <c r="C205" s="71" t="str">
        <f>+Pobl_adoptada!C45</f>
        <v>Campana</v>
      </c>
      <c r="D205" s="291"/>
      <c r="E205" s="278"/>
      <c r="F205" s="263"/>
      <c r="G205" s="322">
        <f>($D45)*'INGRESO A PS DE CA'!G45</f>
        <v>0.20997720000000003</v>
      </c>
      <c r="H205" s="322">
        <f>($D45)*'INGRESO A PS DE CA'!H45</f>
        <v>1.6962028800000004</v>
      </c>
      <c r="I205" s="322">
        <f>($D45)*'INGRESO A PS DE CA'!I45</f>
        <v>3.2111334</v>
      </c>
      <c r="J205" s="322">
        <f>($D45)*'INGRESO A PS DE CA'!J45</f>
        <v>5.4030930000000001</v>
      </c>
      <c r="K205" s="322">
        <f>($D45)*'INGRESO A PS DE CA'!K45</f>
        <v>7.6360158</v>
      </c>
      <c r="L205" s="322">
        <f>($D45)*'INGRESO A PS DE CA'!L45</f>
        <v>7.7077014000000013</v>
      </c>
      <c r="M205" s="322">
        <f>($D45)*'INGRESO A PS DE CA'!M45</f>
        <v>7.7793869999999998</v>
      </c>
      <c r="N205" s="322">
        <f>($D45)*'INGRESO A PS DE CA'!N45</f>
        <v>7.8510725999999993</v>
      </c>
      <c r="O205" s="322">
        <f>($D45)*'INGRESO A PS DE CA'!O45</f>
        <v>7.9227582000000005</v>
      </c>
      <c r="P205" s="322">
        <f>($D45)*'INGRESO A PS DE CA'!P45</f>
        <v>7.9944437999999991</v>
      </c>
      <c r="Q205" s="322">
        <f>($D45)*'INGRESO A PS DE CA'!Q45</f>
        <v>8.0661293999999994</v>
      </c>
      <c r="R205" s="322">
        <f>($D45)*'INGRESO A PS DE CA'!R45</f>
        <v>8.1378149999999998</v>
      </c>
      <c r="S205" s="322">
        <f>($D45)*'INGRESO A PS DE CA'!S45</f>
        <v>8.2095006000000001</v>
      </c>
      <c r="T205" s="322">
        <f>($D45)*'INGRESO A PS DE CA'!T45</f>
        <v>8.2811861999999987</v>
      </c>
      <c r="U205" s="322">
        <f>($D45)*'INGRESO A PS DE CA'!U45</f>
        <v>8.3528718000000008</v>
      </c>
      <c r="V205" s="322">
        <f>($D45)*'INGRESO A PS DE CA'!V45</f>
        <v>8.4246287999999989</v>
      </c>
      <c r="W205" s="322">
        <f>($D45)*'INGRESO A PS DE CA'!W45</f>
        <v>8.4963143999999993</v>
      </c>
      <c r="X205" s="322">
        <f>($D45)*'INGRESO A PS DE CA'!X45</f>
        <v>8.5679999999999996</v>
      </c>
      <c r="Y205" s="322">
        <f>($D45)*'INGRESO A PS DE CA'!Y45</f>
        <v>8.6396856</v>
      </c>
      <c r="Z205" s="322">
        <f>($D45)*'INGRESO A PS DE CA'!Z45</f>
        <v>8.7113712000000003</v>
      </c>
    </row>
    <row r="206" spans="1:26" ht="24.95" customHeight="1">
      <c r="A206" s="260" t="str">
        <f>+Pobl_adoptada!A46</f>
        <v>Cañuelas</v>
      </c>
      <c r="B206" s="70">
        <f>+Pobl_adoptada!B46</f>
        <v>42</v>
      </c>
      <c r="C206" s="71" t="str">
        <f>+Pobl_adoptada!C46</f>
        <v>Cañuelas</v>
      </c>
      <c r="D206" s="291"/>
      <c r="E206" s="278"/>
      <c r="F206" s="263"/>
      <c r="G206" s="322">
        <f>($D46)*'INGRESO A PS DE CA'!G46</f>
        <v>9.999404000000002E-2</v>
      </c>
      <c r="H206" s="322">
        <f>($D46)*'INGRESO A PS DE CA'!H46</f>
        <v>0.82081312000000006</v>
      </c>
      <c r="I206" s="322">
        <f>($D46)*'INGRESO A PS DE CA'!I46</f>
        <v>1.5787746</v>
      </c>
      <c r="J206" s="322">
        <f>($D46)*'INGRESO A PS DE CA'!J46</f>
        <v>2.698601</v>
      </c>
      <c r="K206" s="322">
        <f>($D46)*'INGRESO A PS DE CA'!K46</f>
        <v>3.8738336000000007</v>
      </c>
      <c r="L206" s="322">
        <f>($D46)*'INGRESO A PS DE CA'!L46</f>
        <v>3.9711098000000002</v>
      </c>
      <c r="M206" s="322">
        <f>($D46)*'INGRESO A PS DE CA'!M46</f>
        <v>4.0700925999999997</v>
      </c>
      <c r="N206" s="322">
        <f>($D46)*'INGRESO A PS DE CA'!N46</f>
        <v>4.1706336000000004</v>
      </c>
      <c r="O206" s="322">
        <f>($D46)*'INGRESO A PS DE CA'!O46</f>
        <v>4.2728070000000002</v>
      </c>
      <c r="P206" s="322">
        <f>($D46)*'INGRESO A PS DE CA'!P46</f>
        <v>4.3766128000000002</v>
      </c>
      <c r="Q206" s="322">
        <f>($D46)*'INGRESO A PS DE CA'!Q46</f>
        <v>4.4821994000000007</v>
      </c>
      <c r="R206" s="322">
        <f>($D46)*'INGRESO A PS DE CA'!R46</f>
        <v>4.5894184000000005</v>
      </c>
      <c r="S206" s="322">
        <f>($D46)*'INGRESO A PS DE CA'!S46</f>
        <v>4.6984182000000017</v>
      </c>
      <c r="T206" s="322">
        <f>($D46)*'INGRESO A PS DE CA'!T46</f>
        <v>4.8091987999999999</v>
      </c>
      <c r="U206" s="322">
        <f>($D46)*'INGRESO A PS DE CA'!U46</f>
        <v>4.9218343999999998</v>
      </c>
      <c r="V206" s="322">
        <f>($D46)*'INGRESO A PS DE CA'!V46</f>
        <v>5.0362507999999995</v>
      </c>
      <c r="W206" s="322">
        <f>($D46)*'INGRESO A PS DE CA'!W46</f>
        <v>5.1525964000000002</v>
      </c>
      <c r="X206" s="322">
        <f>($D46)*'INGRESO A PS DE CA'!X46</f>
        <v>5.2707228000000006</v>
      </c>
      <c r="Y206" s="322">
        <f>($D46)*'INGRESO A PS DE CA'!Y46</f>
        <v>5.3908525999999997</v>
      </c>
      <c r="Z206" s="322">
        <f>($D46)*'INGRESO A PS DE CA'!Z46</f>
        <v>5.5129858</v>
      </c>
    </row>
    <row r="207" spans="1:26" ht="24.95" customHeight="1">
      <c r="A207" s="260" t="str">
        <f>+Pobl_adoptada!A47</f>
        <v>Capitán Sarmiento</v>
      </c>
      <c r="B207" s="70">
        <f>+Pobl_adoptada!B47</f>
        <v>43</v>
      </c>
      <c r="C207" s="71" t="str">
        <f>+Pobl_adoptada!C47</f>
        <v>Capitán Sarmiento</v>
      </c>
      <c r="D207" s="291"/>
      <c r="E207" s="278"/>
      <c r="F207" s="263"/>
      <c r="G207" s="322">
        <f>($D47)*'INGRESO A PS DE CA'!G47</f>
        <v>3.3786440000000001E-2</v>
      </c>
      <c r="H207" s="322">
        <f>($D47)*'INGRESO A PS DE CA'!H47</f>
        <v>0.27336128000000004</v>
      </c>
      <c r="I207" s="322">
        <f>($D47)*'INGRESO A PS DE CA'!I47</f>
        <v>0.51830820000000011</v>
      </c>
      <c r="J207" s="322">
        <f>($D47)*'INGRESO A PS DE CA'!J47</f>
        <v>0.87343999999999999</v>
      </c>
      <c r="K207" s="322">
        <f>($D47)*'INGRESO A PS DE CA'!K47</f>
        <v>1.2362462000000001</v>
      </c>
      <c r="L207" s="322">
        <f>($D47)*'INGRESO A PS DE CA'!L47</f>
        <v>1.2496764000000002</v>
      </c>
      <c r="M207" s="322">
        <f>($D47)*'INGRESO A PS DE CA'!M47</f>
        <v>1.2631066</v>
      </c>
      <c r="N207" s="322">
        <f>($D47)*'INGRESO A PS DE CA'!N47</f>
        <v>1.2766109999999999</v>
      </c>
      <c r="O207" s="322">
        <f>($D47)*'INGRESO A PS DE CA'!O47</f>
        <v>1.2900412000000001</v>
      </c>
      <c r="P207" s="322">
        <f>($D47)*'INGRESO A PS DE CA'!P47</f>
        <v>1.3034714000000003</v>
      </c>
      <c r="Q207" s="322">
        <f>($D47)*'INGRESO A PS DE CA'!Q47</f>
        <v>1.3169016</v>
      </c>
      <c r="R207" s="322">
        <f>($D47)*'INGRESO A PS DE CA'!R47</f>
        <v>1.3303318000000002</v>
      </c>
      <c r="S207" s="322">
        <f>($D47)*'INGRESO A PS DE CA'!S47</f>
        <v>1.3437620000000003</v>
      </c>
      <c r="T207" s="322">
        <f>($D47)*'INGRESO A PS DE CA'!T47</f>
        <v>1.3571922000000001</v>
      </c>
      <c r="U207" s="322">
        <f>($D47)*'INGRESO A PS DE CA'!U47</f>
        <v>1.3706224</v>
      </c>
      <c r="V207" s="322">
        <f>($D47)*'INGRESO A PS DE CA'!V47</f>
        <v>1.3840526</v>
      </c>
      <c r="W207" s="322">
        <f>($D47)*'INGRESO A PS DE CA'!W47</f>
        <v>1.3975570000000002</v>
      </c>
      <c r="X207" s="322">
        <f>($D47)*'INGRESO A PS DE CA'!X47</f>
        <v>1.4109872000000001</v>
      </c>
      <c r="Y207" s="322">
        <f>($D47)*'INGRESO A PS DE CA'!Y47</f>
        <v>1.4244174000000001</v>
      </c>
      <c r="Z207" s="322">
        <f>($D47)*'INGRESO A PS DE CA'!Z47</f>
        <v>1.4378476000000002</v>
      </c>
    </row>
    <row r="208" spans="1:26" ht="24.95" customHeight="1">
      <c r="A208" s="260" t="str">
        <f>+Pobl_adoptada!A48</f>
        <v>Carlos Casares</v>
      </c>
      <c r="B208" s="70">
        <f>+Pobl_adoptada!B48</f>
        <v>44</v>
      </c>
      <c r="C208" s="71" t="str">
        <f>+Pobl_adoptada!C48</f>
        <v>Carlos Casares</v>
      </c>
      <c r="D208" s="291"/>
      <c r="E208" s="278"/>
      <c r="F208" s="263"/>
      <c r="G208" s="322">
        <f>($D48)*'INGRESO A PS DE CA'!G48</f>
        <v>4.3828880000000008E-2</v>
      </c>
      <c r="H208" s="322">
        <f>($D48)*'INGRESO A PS DE CA'!H48</f>
        <v>0.3532598400000001</v>
      </c>
      <c r="I208" s="322">
        <f>($D48)*'INGRESO A PS DE CA'!I48</f>
        <v>0.66732300000000011</v>
      </c>
      <c r="J208" s="322">
        <f>($D48)*'INGRESO A PS DE CA'!J48</f>
        <v>1.1205260000000001</v>
      </c>
      <c r="K208" s="322">
        <f>($D48)*'INGRESO A PS DE CA'!K48</f>
        <v>1.5805342</v>
      </c>
      <c r="L208" s="322">
        <f>($D48)*'INGRESO A PS DE CA'!L48</f>
        <v>1.5923320000000001</v>
      </c>
      <c r="M208" s="322">
        <f>($D48)*'INGRESO A PS DE CA'!M48</f>
        <v>1.6042782000000004</v>
      </c>
      <c r="N208" s="322">
        <f>($D48)*'INGRESO A PS DE CA'!N48</f>
        <v>1.6162986000000001</v>
      </c>
      <c r="O208" s="322">
        <f>($D48)*'INGRESO A PS DE CA'!O48</f>
        <v>1.6283932000000001</v>
      </c>
      <c r="P208" s="322">
        <f>($D48)*'INGRESO A PS DE CA'!P48</f>
        <v>1.6406362000000003</v>
      </c>
      <c r="Q208" s="322">
        <f>($D48)*'INGRESO A PS DE CA'!Q48</f>
        <v>1.6528792000000001</v>
      </c>
      <c r="R208" s="322">
        <f>($D48)*'INGRESO A PS DE CA'!R48</f>
        <v>1.6652705999999999</v>
      </c>
      <c r="S208" s="322">
        <f>($D48)*'INGRESO A PS DE CA'!S48</f>
        <v>1.6778104</v>
      </c>
      <c r="T208" s="322">
        <f>($D48)*'INGRESO A PS DE CA'!T48</f>
        <v>1.6903502000000001</v>
      </c>
      <c r="U208" s="322">
        <f>($D48)*'INGRESO A PS DE CA'!U48</f>
        <v>1.7030384000000003</v>
      </c>
      <c r="V208" s="322">
        <f>($D48)*'INGRESO A PS DE CA'!V48</f>
        <v>1.7158008000000002</v>
      </c>
      <c r="W208" s="322">
        <f>($D48)*'INGRESO A PS DE CA'!W48</f>
        <v>1.7286374</v>
      </c>
      <c r="X208" s="322">
        <f>($D48)*'INGRESO A PS DE CA'!X48</f>
        <v>1.7415482000000002</v>
      </c>
      <c r="Y208" s="322">
        <f>($D48)*'INGRESO A PS DE CA'!Y48</f>
        <v>1.7546073999999998</v>
      </c>
      <c r="Z208" s="322">
        <f>($D48)*'INGRESO A PS DE CA'!Z48</f>
        <v>1.7677408000000001</v>
      </c>
    </row>
    <row r="209" spans="1:26" ht="24.95" customHeight="1">
      <c r="A209" s="260" t="str">
        <f>+Pobl_adoptada!A49</f>
        <v>Carlos Tejedor</v>
      </c>
      <c r="B209" s="70">
        <f>+Pobl_adoptada!B49</f>
        <v>45</v>
      </c>
      <c r="C209" s="71" t="str">
        <f>+Pobl_adoptada!C49</f>
        <v>Carlos Tejedor</v>
      </c>
      <c r="D209" s="291"/>
      <c r="E209" s="278"/>
      <c r="F209" s="263"/>
      <c r="G209" s="322">
        <f>($D49)*'INGRESO A PS DE CA'!G49</f>
        <v>1.020648E-2</v>
      </c>
      <c r="H209" s="322">
        <f>($D49)*'INGRESO A PS DE CA'!H49</f>
        <v>8.1946240000000004E-2</v>
      </c>
      <c r="I209" s="322">
        <f>($D49)*'INGRESO A PS DE CA'!I49</f>
        <v>0.1542288</v>
      </c>
      <c r="J209" s="322">
        <f>($D49)*'INGRESO A PS DE CA'!J49</f>
        <v>0.25796800000000003</v>
      </c>
      <c r="K209" s="322">
        <f>($D49)*'INGRESO A PS DE CA'!K49</f>
        <v>0.36244319999999997</v>
      </c>
      <c r="L209" s="322">
        <f>($D49)*'INGRESO A PS DE CA'!L49</f>
        <v>0.36373119999999998</v>
      </c>
      <c r="M209" s="322">
        <f>($D49)*'INGRESO A PS DE CA'!M49</f>
        <v>0.36501920000000004</v>
      </c>
      <c r="N209" s="322">
        <f>($D49)*'INGRESO A PS DE CA'!N49</f>
        <v>0.36637160000000002</v>
      </c>
      <c r="O209" s="322">
        <f>($D49)*'INGRESO A PS DE CA'!O49</f>
        <v>0.36765960000000009</v>
      </c>
      <c r="P209" s="322">
        <f>($D49)*'INGRESO A PS DE CA'!P49</f>
        <v>0.36894760000000004</v>
      </c>
      <c r="Q209" s="322">
        <f>($D49)*'INGRESO A PS DE CA'!Q49</f>
        <v>0.3702356</v>
      </c>
      <c r="R209" s="322">
        <f>($D49)*'INGRESO A PS DE CA'!R49</f>
        <v>0.37158800000000003</v>
      </c>
      <c r="S209" s="322">
        <f>($D49)*'INGRESO A PS DE CA'!S49</f>
        <v>0.37287599999999999</v>
      </c>
      <c r="T209" s="322">
        <f>($D49)*'INGRESO A PS DE CA'!T49</f>
        <v>0.374164</v>
      </c>
      <c r="U209" s="322">
        <f>($D49)*'INGRESO A PS DE CA'!U49</f>
        <v>0.37545200000000001</v>
      </c>
      <c r="V209" s="322">
        <f>($D49)*'INGRESO A PS DE CA'!V49</f>
        <v>0.37680440000000004</v>
      </c>
      <c r="W209" s="322">
        <f>($D49)*'INGRESO A PS DE CA'!W49</f>
        <v>0.37809240000000011</v>
      </c>
      <c r="X209" s="322">
        <f>($D49)*'INGRESO A PS DE CA'!X49</f>
        <v>0.37938040000000001</v>
      </c>
      <c r="Y209" s="322">
        <f>($D49)*'INGRESO A PS DE CA'!Y49</f>
        <v>0.38066839999999996</v>
      </c>
      <c r="Z209" s="322">
        <f>($D49)*'INGRESO A PS DE CA'!Z49</f>
        <v>0.38202079999999999</v>
      </c>
    </row>
    <row r="210" spans="1:26" ht="24.95" customHeight="1">
      <c r="A210" s="260" t="str">
        <f>+Pobl_adoptada!A50</f>
        <v>Carmen de Areco</v>
      </c>
      <c r="B210" s="70">
        <f>+Pobl_adoptada!B50</f>
        <v>46</v>
      </c>
      <c r="C210" s="71" t="str">
        <f>+Pobl_adoptada!C50</f>
        <v>Carmen de Areco</v>
      </c>
      <c r="D210" s="291"/>
      <c r="E210" s="278"/>
      <c r="F210" s="263"/>
      <c r="G210" s="322">
        <f>($D50)*'INGRESO A PS DE CA'!G50</f>
        <v>3.3360320000000006E-2</v>
      </c>
      <c r="H210" s="322">
        <f>($D50)*'INGRESO A PS DE CA'!H50</f>
        <v>0.26974879999999996</v>
      </c>
      <c r="I210" s="322">
        <f>($D50)*'INGRESO A PS DE CA'!I50</f>
        <v>0.51115320000000009</v>
      </c>
      <c r="J210" s="322">
        <f>($D50)*'INGRESO A PS DE CA'!J50</f>
        <v>0.86082599999999998</v>
      </c>
      <c r="K210" s="322">
        <f>($D50)*'INGRESO A PS DE CA'!K50</f>
        <v>1.2176962</v>
      </c>
      <c r="L210" s="322">
        <f>($D50)*'INGRESO A PS DE CA'!L50</f>
        <v>1.2302359999999999</v>
      </c>
      <c r="M210" s="322">
        <f>($D50)*'INGRESO A PS DE CA'!M50</f>
        <v>1.2427758000000004</v>
      </c>
      <c r="N210" s="322">
        <f>($D50)*'INGRESO A PS DE CA'!N50</f>
        <v>1.2553156000000001</v>
      </c>
      <c r="O210" s="322">
        <f>($D50)*'INGRESO A PS DE CA'!O50</f>
        <v>1.2678554000000002</v>
      </c>
      <c r="P210" s="322">
        <f>($D50)*'INGRESO A PS DE CA'!P50</f>
        <v>1.2803209999999998</v>
      </c>
      <c r="Q210" s="322">
        <f>($D50)*'INGRESO A PS DE CA'!Q50</f>
        <v>1.2928608000000001</v>
      </c>
      <c r="R210" s="322">
        <f>($D50)*'INGRESO A PS DE CA'!R50</f>
        <v>1.3054006000000002</v>
      </c>
      <c r="S210" s="322">
        <f>($D50)*'INGRESO A PS DE CA'!S50</f>
        <v>1.3179404000000003</v>
      </c>
      <c r="T210" s="322">
        <f>($D50)*'INGRESO A PS DE CA'!T50</f>
        <v>1.3304802</v>
      </c>
      <c r="U210" s="322">
        <f>($D50)*'INGRESO A PS DE CA'!U50</f>
        <v>1.3430200000000001</v>
      </c>
      <c r="V210" s="322">
        <f>($D50)*'INGRESO A PS DE CA'!V50</f>
        <v>1.3555598</v>
      </c>
      <c r="W210" s="322">
        <f>($D50)*'INGRESO A PS DE CA'!W50</f>
        <v>1.3680254000000001</v>
      </c>
      <c r="X210" s="322">
        <f>($D50)*'INGRESO A PS DE CA'!X50</f>
        <v>1.3805652000000002</v>
      </c>
      <c r="Y210" s="322">
        <f>($D50)*'INGRESO A PS DE CA'!Y50</f>
        <v>1.393105</v>
      </c>
      <c r="Z210" s="322">
        <f>($D50)*'INGRESO A PS DE CA'!Z50</f>
        <v>1.4056447999999999</v>
      </c>
    </row>
    <row r="211" spans="1:26" ht="24.95" customHeight="1">
      <c r="A211" s="260" t="str">
        <f>+Pobl_adoptada!A51</f>
        <v>Castelli</v>
      </c>
      <c r="B211" s="70">
        <f>+Pobl_adoptada!B51</f>
        <v>47</v>
      </c>
      <c r="C211" s="71" t="str">
        <f>+Pobl_adoptada!C51</f>
        <v>Castelli</v>
      </c>
      <c r="D211" s="291"/>
      <c r="E211" s="278"/>
      <c r="F211" s="263"/>
      <c r="G211" s="322">
        <f>($D51)*'INGRESO A PS DE CA'!G51</f>
        <v>1.7091760000000001E-2</v>
      </c>
      <c r="H211" s="322">
        <f>($D51)*'INGRESO A PS DE CA'!H51</f>
        <v>0.13920704000000003</v>
      </c>
      <c r="I211" s="322">
        <f>($D51)*'INGRESO A PS DE CA'!I51</f>
        <v>0.26567760000000001</v>
      </c>
      <c r="J211" s="322">
        <f>($D51)*'INGRESO A PS DE CA'!J51</f>
        <v>0.45052399999999998</v>
      </c>
      <c r="K211" s="322">
        <f>($D51)*'INGRESO A PS DE CA'!K51</f>
        <v>0.64155280000000003</v>
      </c>
      <c r="L211" s="322">
        <f>($D51)*'INGRESO A PS DE CA'!L51</f>
        <v>0.65488360000000001</v>
      </c>
      <c r="M211" s="322">
        <f>($D51)*'INGRESO A PS DE CA'!M51</f>
        <v>0.66815000000000002</v>
      </c>
      <c r="N211" s="322">
        <f>($D51)*'INGRESO A PS DE CA'!N51</f>
        <v>0.68148080000000011</v>
      </c>
      <c r="O211" s="322">
        <f>($D51)*'INGRESO A PS DE CA'!O51</f>
        <v>0.69474720000000012</v>
      </c>
      <c r="P211" s="322">
        <f>($D51)*'INGRESO A PS DE CA'!P51</f>
        <v>0.70807799999999999</v>
      </c>
      <c r="Q211" s="322">
        <f>($D51)*'INGRESO A PS DE CA'!Q51</f>
        <v>0.7213444</v>
      </c>
      <c r="R211" s="322">
        <f>($D51)*'INGRESO A PS DE CA'!R51</f>
        <v>0.73467519999999997</v>
      </c>
      <c r="S211" s="322">
        <f>($D51)*'INGRESO A PS DE CA'!S51</f>
        <v>0.7479416000000001</v>
      </c>
      <c r="T211" s="322">
        <f>($D51)*'INGRESO A PS DE CA'!T51</f>
        <v>0.76120799999999988</v>
      </c>
      <c r="U211" s="322">
        <f>($D51)*'INGRESO A PS DE CA'!U51</f>
        <v>0.77453879999999997</v>
      </c>
      <c r="V211" s="322">
        <f>($D51)*'INGRESO A PS DE CA'!V51</f>
        <v>0.78780519999999998</v>
      </c>
      <c r="W211" s="322">
        <f>($D51)*'INGRESO A PS DE CA'!W51</f>
        <v>0.80113600000000007</v>
      </c>
      <c r="X211" s="322">
        <f>($D51)*'INGRESO A PS DE CA'!X51</f>
        <v>0.81440239999999986</v>
      </c>
      <c r="Y211" s="322">
        <f>($D51)*'INGRESO A PS DE CA'!Y51</f>
        <v>0.82773319999999995</v>
      </c>
      <c r="Z211" s="322">
        <f>($D51)*'INGRESO A PS DE CA'!Z51</f>
        <v>0.84099959999999996</v>
      </c>
    </row>
    <row r="212" spans="1:26" ht="24.95" customHeight="1">
      <c r="A212" s="260" t="str">
        <f>+Pobl_adoptada!A52</f>
        <v>Chacabuco</v>
      </c>
      <c r="B212" s="70">
        <f>+Pobl_adoptada!B52</f>
        <v>48</v>
      </c>
      <c r="C212" s="71" t="str">
        <f>+Pobl_adoptada!C52</f>
        <v>Chacabuco</v>
      </c>
      <c r="D212" s="291"/>
      <c r="E212" s="278"/>
      <c r="F212" s="263"/>
      <c r="G212" s="322">
        <f>($D52)*'INGRESO A PS DE CA'!G52</f>
        <v>9.5739200000000024E-2</v>
      </c>
      <c r="H212" s="322">
        <f>($D52)*'INGRESO A PS DE CA'!H52</f>
        <v>0.77296896000000004</v>
      </c>
      <c r="I212" s="322">
        <f>($D52)*'INGRESO A PS DE CA'!I52</f>
        <v>1.4625138</v>
      </c>
      <c r="J212" s="322">
        <f>($D52)*'INGRESO A PS DE CA'!J52</f>
        <v>2.4595710000000004</v>
      </c>
      <c r="K212" s="322">
        <f>($D52)*'INGRESO A PS DE CA'!K52</f>
        <v>3.4741923999999997</v>
      </c>
      <c r="L212" s="322">
        <f>($D52)*'INGRESO A PS DE CA'!L52</f>
        <v>3.5049854000000007</v>
      </c>
      <c r="M212" s="322">
        <f>($D52)*'INGRESO A PS DE CA'!M52</f>
        <v>3.5358526000000001</v>
      </c>
      <c r="N212" s="322">
        <f>($D52)*'INGRESO A PS DE CA'!N52</f>
        <v>3.5666455999999997</v>
      </c>
      <c r="O212" s="322">
        <f>($D52)*'INGRESO A PS DE CA'!O52</f>
        <v>3.5975128000000001</v>
      </c>
      <c r="P212" s="322">
        <f>($D52)*'INGRESO A PS DE CA'!P52</f>
        <v>3.6283057999999997</v>
      </c>
      <c r="Q212" s="322">
        <f>($D52)*'INGRESO A PS DE CA'!Q52</f>
        <v>3.6590987999999998</v>
      </c>
      <c r="R212" s="322">
        <f>($D52)*'INGRESO A PS DE CA'!R52</f>
        <v>3.6899660000000005</v>
      </c>
      <c r="S212" s="322">
        <f>($D52)*'INGRESO A PS DE CA'!S52</f>
        <v>3.7207590000000006</v>
      </c>
      <c r="T212" s="322">
        <f>($D52)*'INGRESO A PS DE CA'!T52</f>
        <v>3.7516262</v>
      </c>
      <c r="U212" s="322">
        <f>($D52)*'INGRESO A PS DE CA'!U52</f>
        <v>3.7824192000000005</v>
      </c>
      <c r="V212" s="322">
        <f>($D52)*'INGRESO A PS DE CA'!V52</f>
        <v>3.8132121999999997</v>
      </c>
      <c r="W212" s="322">
        <f>($D52)*'INGRESO A PS DE CA'!W52</f>
        <v>3.8440794000000005</v>
      </c>
      <c r="X212" s="322">
        <f>($D52)*'INGRESO A PS DE CA'!X52</f>
        <v>3.8748723999999997</v>
      </c>
      <c r="Y212" s="322">
        <f>($D52)*'INGRESO A PS DE CA'!Y52</f>
        <v>3.9057396</v>
      </c>
      <c r="Z212" s="322">
        <f>($D52)*'INGRESO A PS DE CA'!Z52</f>
        <v>3.9365325999999996</v>
      </c>
    </row>
    <row r="213" spans="1:26" ht="24.95" customHeight="1">
      <c r="A213" s="260" t="str">
        <f>+Pobl_adoptada!A53</f>
        <v>Chascomús</v>
      </c>
      <c r="B213" s="70">
        <f>+Pobl_adoptada!B53</f>
        <v>49</v>
      </c>
      <c r="C213" s="71" t="str">
        <f>+Pobl_adoptada!C53</f>
        <v>Chascomús</v>
      </c>
      <c r="D213" s="291"/>
      <c r="E213" s="278"/>
      <c r="F213" s="263"/>
      <c r="G213" s="322">
        <f>($D53)*'INGRESO A PS DE CA'!G53</f>
        <v>8.3824800000000005E-2</v>
      </c>
      <c r="H213" s="322">
        <f>($D53)*'INGRESO A PS DE CA'!H53</f>
        <v>0.67745024000000009</v>
      </c>
      <c r="I213" s="322">
        <f>($D53)*'INGRESO A PS DE CA'!I53</f>
        <v>1.2831936000000002</v>
      </c>
      <c r="J213" s="322">
        <f>($D53)*'INGRESO A PS DE CA'!J53</f>
        <v>2.1604920000000005</v>
      </c>
      <c r="K213" s="322">
        <f>($D53)*'INGRESO A PS DE CA'!K53</f>
        <v>3.0555560000000002</v>
      </c>
      <c r="L213" s="322">
        <f>($D53)*'INGRESO A PS DE CA'!L53</f>
        <v>3.0867942000000004</v>
      </c>
      <c r="M213" s="322">
        <f>($D53)*'INGRESO A PS DE CA'!M53</f>
        <v>3.1183292000000002</v>
      </c>
      <c r="N213" s="322">
        <f>($D53)*'INGRESO A PS DE CA'!N53</f>
        <v>3.1501610000000007</v>
      </c>
      <c r="O213" s="322">
        <f>($D53)*'INGRESO A PS DE CA'!O53</f>
        <v>3.1822896000000003</v>
      </c>
      <c r="P213" s="322">
        <f>($D53)*'INGRESO A PS DE CA'!P53</f>
        <v>3.2147892000000002</v>
      </c>
      <c r="Q213" s="322">
        <f>($D53)*'INGRESO A PS DE CA'!Q53</f>
        <v>3.2476597999999997</v>
      </c>
      <c r="R213" s="322">
        <f>($D53)*'INGRESO A PS DE CA'!R53</f>
        <v>3.2808272000000005</v>
      </c>
      <c r="S213" s="322">
        <f>($D53)*'INGRESO A PS DE CA'!S53</f>
        <v>3.3142914000000001</v>
      </c>
      <c r="T213" s="322">
        <f>($D53)*'INGRESO A PS DE CA'!T53</f>
        <v>3.3482008000000003</v>
      </c>
      <c r="U213" s="322">
        <f>($D53)*'INGRESO A PS DE CA'!U53</f>
        <v>3.3823327999999999</v>
      </c>
      <c r="V213" s="322">
        <f>($D53)*'INGRESO A PS DE CA'!V53</f>
        <v>3.4169100000000001</v>
      </c>
      <c r="W213" s="322">
        <f>($D53)*'INGRESO A PS DE CA'!W53</f>
        <v>3.451784</v>
      </c>
      <c r="X213" s="322">
        <f>($D53)*'INGRESO A PS DE CA'!X53</f>
        <v>3.4870289999999997</v>
      </c>
      <c r="Y213" s="322">
        <f>($D53)*'INGRESO A PS DE CA'!Y53</f>
        <v>3.5226450000000002</v>
      </c>
      <c r="Z213" s="322">
        <f>($D53)*'INGRESO A PS DE CA'!Z53</f>
        <v>3.5586320000000002</v>
      </c>
    </row>
    <row r="214" spans="1:26" ht="24.95" customHeight="1">
      <c r="A214" s="260" t="str">
        <f>+Pobl_adoptada!A54</f>
        <v>Chivilcoy</v>
      </c>
      <c r="B214" s="70">
        <f>+Pobl_adoptada!B54</f>
        <v>50</v>
      </c>
      <c r="C214" s="71" t="str">
        <f>+Pobl_adoptada!C54</f>
        <v>Chivilcoy</v>
      </c>
      <c r="D214" s="291"/>
      <c r="E214" s="278"/>
      <c r="F214" s="263"/>
      <c r="G214" s="322">
        <f>($D54)*'INGRESO A PS DE CA'!G54</f>
        <v>0.13644132000000003</v>
      </c>
      <c r="H214" s="322">
        <f>($D54)*'INGRESO A PS DE CA'!H54</f>
        <v>1.1005391999999998</v>
      </c>
      <c r="I214" s="322">
        <f>($D54)*'INGRESO A PS DE CA'!I54</f>
        <v>2.0803715999999999</v>
      </c>
      <c r="J214" s="322">
        <f>($D54)*'INGRESO A PS DE CA'!J54</f>
        <v>3.4953870000000005</v>
      </c>
      <c r="K214" s="322">
        <f>($D54)*'INGRESO A PS DE CA'!K54</f>
        <v>4.9328831999999991</v>
      </c>
      <c r="L214" s="322">
        <f>($D54)*'INGRESO A PS DE CA'!L54</f>
        <v>4.9722246000000005</v>
      </c>
      <c r="M214" s="322">
        <f>($D54)*'INGRESO A PS DE CA'!M54</f>
        <v>5.0115660000000002</v>
      </c>
      <c r="N214" s="322">
        <f>($D54)*'INGRESO A PS DE CA'!N54</f>
        <v>5.0509788000000002</v>
      </c>
      <c r="O214" s="322">
        <f>($D54)*'INGRESO A PS DE CA'!O54</f>
        <v>5.0903202000000007</v>
      </c>
      <c r="P214" s="322">
        <f>($D54)*'INGRESO A PS DE CA'!P54</f>
        <v>5.1296616000000013</v>
      </c>
      <c r="Q214" s="322">
        <f>($D54)*'INGRESO A PS DE CA'!Q54</f>
        <v>5.169003</v>
      </c>
      <c r="R214" s="322">
        <f>($D54)*'INGRESO A PS DE CA'!R54</f>
        <v>5.2083444000000005</v>
      </c>
      <c r="S214" s="322">
        <f>($D54)*'INGRESO A PS DE CA'!S54</f>
        <v>5.2476858000000002</v>
      </c>
      <c r="T214" s="322">
        <f>($D54)*'INGRESO A PS DE CA'!T54</f>
        <v>5.2870986000000002</v>
      </c>
      <c r="U214" s="322">
        <f>($D54)*'INGRESO A PS DE CA'!U54</f>
        <v>5.3264399999999998</v>
      </c>
      <c r="V214" s="322">
        <f>($D54)*'INGRESO A PS DE CA'!V54</f>
        <v>5.3657814000000004</v>
      </c>
      <c r="W214" s="322">
        <f>($D54)*'INGRESO A PS DE CA'!W54</f>
        <v>5.4051228000000009</v>
      </c>
      <c r="X214" s="322">
        <f>($D54)*'INGRESO A PS DE CA'!X54</f>
        <v>5.4444641999999996</v>
      </c>
      <c r="Y214" s="322">
        <f>($D54)*'INGRESO A PS DE CA'!Y54</f>
        <v>5.4838056000000002</v>
      </c>
      <c r="Z214" s="322">
        <f>($D54)*'INGRESO A PS DE CA'!Z54</f>
        <v>5.5232184000000002</v>
      </c>
    </row>
    <row r="215" spans="1:26" ht="24.95" customHeight="1">
      <c r="A215" s="260" t="str">
        <f>+Pobl_adoptada!A55</f>
        <v>Colón</v>
      </c>
      <c r="B215" s="70">
        <f>+Pobl_adoptada!B55</f>
        <v>51</v>
      </c>
      <c r="C215" s="71" t="str">
        <f>+Pobl_adoptada!C55</f>
        <v>Colón</v>
      </c>
      <c r="D215" s="291"/>
      <c r="E215" s="278"/>
      <c r="F215" s="263"/>
      <c r="G215" s="322">
        <f>($D55)*'INGRESO A PS DE CA'!G55</f>
        <v>5.6837200000000004E-2</v>
      </c>
      <c r="H215" s="322">
        <f>($D55)*'INGRESO A PS DE CA'!H55</f>
        <v>0.45881888000000004</v>
      </c>
      <c r="I215" s="322">
        <f>($D55)*'INGRESO A PS DE CA'!I55</f>
        <v>0.86807640000000008</v>
      </c>
      <c r="J215" s="322">
        <f>($D55)*'INGRESO A PS DE CA'!J55</f>
        <v>1.4599380000000002</v>
      </c>
      <c r="K215" s="322">
        <f>($D55)*'INGRESO A PS DE CA'!K55</f>
        <v>2.062389</v>
      </c>
      <c r="L215" s="322">
        <f>($D55)*'INGRESO A PS DE CA'!L55</f>
        <v>2.0810873999999999</v>
      </c>
      <c r="M215" s="322">
        <f>($D55)*'INGRESO A PS DE CA'!M55</f>
        <v>2.1000084000000001</v>
      </c>
      <c r="N215" s="322">
        <f>($D55)*'INGRESO A PS DE CA'!N55</f>
        <v>2.1190036000000005</v>
      </c>
      <c r="O215" s="322">
        <f>($D55)*'INGRESO A PS DE CA'!O55</f>
        <v>2.1382214000000004</v>
      </c>
      <c r="P215" s="322">
        <f>($D55)*'INGRESO A PS DE CA'!P55</f>
        <v>2.1575876000000003</v>
      </c>
      <c r="Q215" s="322">
        <f>($D55)*'INGRESO A PS DE CA'!Q55</f>
        <v>2.1771764</v>
      </c>
      <c r="R215" s="322">
        <f>($D55)*'INGRESO A PS DE CA'!R55</f>
        <v>2.1969136000000002</v>
      </c>
      <c r="S215" s="322">
        <f>($D55)*'INGRESO A PS DE CA'!S55</f>
        <v>2.2167992000000001</v>
      </c>
      <c r="T215" s="322">
        <f>($D55)*'INGRESO A PS DE CA'!T55</f>
        <v>2.2369074000000002</v>
      </c>
      <c r="U215" s="322">
        <f>($D55)*'INGRESO A PS DE CA'!U55</f>
        <v>2.2571640000000004</v>
      </c>
      <c r="V215" s="322">
        <f>($D55)*'INGRESO A PS DE CA'!V55</f>
        <v>2.2776431999999995</v>
      </c>
      <c r="W215" s="322">
        <f>($D55)*'INGRESO A PS DE CA'!W55</f>
        <v>2.2982708000000005</v>
      </c>
      <c r="X215" s="322">
        <f>($D55)*'INGRESO A PS DE CA'!X55</f>
        <v>2.3191210000000004</v>
      </c>
      <c r="Y215" s="322">
        <f>($D55)*'INGRESO A PS DE CA'!Y55</f>
        <v>2.3401195999999995</v>
      </c>
      <c r="Z215" s="322">
        <f>($D55)*'INGRESO A PS DE CA'!Z55</f>
        <v>2.3613408000000002</v>
      </c>
    </row>
    <row r="216" spans="1:26" ht="24.95" customHeight="1">
      <c r="A216" s="260" t="str">
        <f>+Pobl_adoptada!A56</f>
        <v>Coronel de Marina L. Rosales</v>
      </c>
      <c r="B216" s="70">
        <f>+Pobl_adoptada!B56</f>
        <v>52</v>
      </c>
      <c r="C216" s="71" t="str">
        <f>+Pobl_adoptada!C56</f>
        <v>Punta Alta</v>
      </c>
      <c r="D216" s="291"/>
      <c r="E216" s="278"/>
      <c r="F216" s="263"/>
      <c r="G216" s="322">
        <f>($D56)*'INGRESO A PS DE CA'!G56</f>
        <v>0.12535188000000003</v>
      </c>
      <c r="H216" s="322">
        <f>($D56)*'INGRESO A PS DE CA'!H56</f>
        <v>1.00647072</v>
      </c>
      <c r="I216" s="322">
        <f>($D56)*'INGRESO A PS DE CA'!I56</f>
        <v>1.8941094000000001</v>
      </c>
      <c r="J216" s="322">
        <f>($D56)*'INGRESO A PS DE CA'!J56</f>
        <v>3.1686300000000003</v>
      </c>
      <c r="K216" s="322">
        <f>($D56)*'INGRESO A PS DE CA'!K56</f>
        <v>4.4528610000000004</v>
      </c>
      <c r="L216" s="322">
        <f>($D56)*'INGRESO A PS DE CA'!L56</f>
        <v>4.4699255999999998</v>
      </c>
      <c r="M216" s="322">
        <f>($D56)*'INGRESO A PS DE CA'!M56</f>
        <v>4.4872758000000008</v>
      </c>
      <c r="N216" s="322">
        <f>($D56)*'INGRESO A PS DE CA'!N56</f>
        <v>4.5049115999999998</v>
      </c>
      <c r="O216" s="322">
        <f>($D56)*'INGRESO A PS DE CA'!O56</f>
        <v>4.5228330000000003</v>
      </c>
      <c r="P216" s="322">
        <f>($D56)*'INGRESO A PS DE CA'!P56</f>
        <v>4.5409686000000002</v>
      </c>
      <c r="Q216" s="322">
        <f>($D56)*'INGRESO A PS DE CA'!Q56</f>
        <v>4.5595325999999998</v>
      </c>
      <c r="R216" s="322">
        <f>($D56)*'INGRESO A PS DE CA'!R56</f>
        <v>4.5783108000000006</v>
      </c>
      <c r="S216" s="322">
        <f>($D56)*'INGRESO A PS DE CA'!S56</f>
        <v>4.5974460000000006</v>
      </c>
      <c r="T216" s="322">
        <f>($D56)*'INGRESO A PS DE CA'!T56</f>
        <v>4.6168667999999995</v>
      </c>
      <c r="U216" s="322">
        <f>($D56)*'INGRESO A PS DE CA'!U56</f>
        <v>4.6365731999999991</v>
      </c>
      <c r="V216" s="322">
        <f>($D56)*'INGRESO A PS DE CA'!V56</f>
        <v>4.6566366000000006</v>
      </c>
      <c r="W216" s="322">
        <f>($D56)*'INGRESO A PS DE CA'!W56</f>
        <v>4.6769856000000001</v>
      </c>
      <c r="X216" s="322">
        <f>($D56)*'INGRESO A PS DE CA'!X56</f>
        <v>4.6977630000000001</v>
      </c>
      <c r="Y216" s="322">
        <f>($D56)*'INGRESO A PS DE CA'!Y56</f>
        <v>4.7187545999999996</v>
      </c>
      <c r="Z216" s="322">
        <f>($D56)*'INGRESO A PS DE CA'!Z56</f>
        <v>4.7401745999999996</v>
      </c>
    </row>
    <row r="217" spans="1:26" ht="24.95" customHeight="1">
      <c r="A217" s="260" t="str">
        <f>+Pobl_adoptada!A57</f>
        <v>Coronel Dorrego</v>
      </c>
      <c r="B217" s="70">
        <f>+Pobl_adoptada!B57</f>
        <v>53</v>
      </c>
      <c r="C217" s="71" t="str">
        <f>+Pobl_adoptada!C57</f>
        <v>Coronel Dorrego</v>
      </c>
      <c r="D217" s="291"/>
      <c r="E217" s="278"/>
      <c r="F217" s="263"/>
      <c r="G217" s="322">
        <f>($D57)*'INGRESO A PS DE CA'!G57</f>
        <v>2.1445200000000001E-2</v>
      </c>
      <c r="H217" s="322">
        <f>($D57)*'INGRESO A PS DE CA'!H57</f>
        <v>0.17163520000000002</v>
      </c>
      <c r="I217" s="322">
        <f>($D57)*'INGRESO A PS DE CA'!I57</f>
        <v>0.32195400000000007</v>
      </c>
      <c r="J217" s="322">
        <f>($D57)*'INGRESO A PS DE CA'!J57</f>
        <v>0.53681999999999996</v>
      </c>
      <c r="K217" s="322">
        <f>($D57)*'INGRESO A PS DE CA'!K57</f>
        <v>0.7519344</v>
      </c>
      <c r="L217" s="322">
        <f>($D57)*'INGRESO A PS DE CA'!L57</f>
        <v>0.75225640000000005</v>
      </c>
      <c r="M217" s="322">
        <f>($D57)*'INGRESO A PS DE CA'!M57</f>
        <v>0.75257839999999998</v>
      </c>
      <c r="N217" s="322">
        <f>($D57)*'INGRESO A PS DE CA'!N57</f>
        <v>0.75290040000000014</v>
      </c>
      <c r="O217" s="322">
        <f>($D57)*'INGRESO A PS DE CA'!O57</f>
        <v>0.75322239999999996</v>
      </c>
      <c r="P217" s="322">
        <f>($D57)*'INGRESO A PS DE CA'!P57</f>
        <v>0.7535444</v>
      </c>
      <c r="Q217" s="322">
        <f>($D57)*'INGRESO A PS DE CA'!Q57</f>
        <v>0.75393080000000001</v>
      </c>
      <c r="R217" s="322">
        <f>($D57)*'INGRESO A PS DE CA'!R57</f>
        <v>0.75425280000000006</v>
      </c>
      <c r="S217" s="322">
        <f>($D57)*'INGRESO A PS DE CA'!S57</f>
        <v>0.75457479999999999</v>
      </c>
      <c r="T217" s="322">
        <f>($D57)*'INGRESO A PS DE CA'!T57</f>
        <v>0.75489680000000003</v>
      </c>
      <c r="U217" s="322">
        <f>($D57)*'INGRESO A PS DE CA'!U57</f>
        <v>0.75521880000000008</v>
      </c>
      <c r="V217" s="322">
        <f>($D57)*'INGRESO A PS DE CA'!V57</f>
        <v>0.75560520000000009</v>
      </c>
      <c r="W217" s="322">
        <f>($D57)*'INGRESO A PS DE CA'!W57</f>
        <v>0.75592720000000002</v>
      </c>
      <c r="X217" s="322">
        <f>($D57)*'INGRESO A PS DE CA'!X57</f>
        <v>0.75624920000000007</v>
      </c>
      <c r="Y217" s="322">
        <f>($D57)*'INGRESO A PS DE CA'!Y57</f>
        <v>0.75657119999999989</v>
      </c>
      <c r="Z217" s="322">
        <f>($D57)*'INGRESO A PS DE CA'!Z57</f>
        <v>0.75689320000000004</v>
      </c>
    </row>
    <row r="218" spans="1:26" ht="24.95" customHeight="1">
      <c r="A218" s="260" t="str">
        <f>+Pobl_adoptada!A58</f>
        <v>Coronel Pringles</v>
      </c>
      <c r="B218" s="70">
        <f>+Pobl_adoptada!B58</f>
        <v>54</v>
      </c>
      <c r="C218" s="71" t="str">
        <f>+Pobl_adoptada!C58</f>
        <v>Coronel Pringles</v>
      </c>
      <c r="D218" s="291"/>
      <c r="E218" s="278"/>
      <c r="F218" s="263"/>
      <c r="G218" s="322">
        <f>($D58)*'INGRESO A PS DE CA'!G58</f>
        <v>4.6101520000000007E-2</v>
      </c>
      <c r="H218" s="322">
        <f>($D58)*'INGRESO A PS DE CA'!H58</f>
        <v>0.37233984000000009</v>
      </c>
      <c r="I218" s="322">
        <f>($D58)*'INGRESO A PS DE CA'!I58</f>
        <v>0.7047197999999999</v>
      </c>
      <c r="J218" s="322">
        <f>($D58)*'INGRESO A PS DE CA'!J58</f>
        <v>1.185557</v>
      </c>
      <c r="K218" s="322">
        <f>($D58)*'INGRESO A PS DE CA'!K58</f>
        <v>1.6751392000000001</v>
      </c>
      <c r="L218" s="322">
        <f>($D58)*'INGRESO A PS DE CA'!L58</f>
        <v>1.6973992</v>
      </c>
      <c r="M218" s="322">
        <f>($D58)*'INGRESO A PS DE CA'!M58</f>
        <v>1.7196591999999999</v>
      </c>
      <c r="N218" s="322">
        <f>($D58)*'INGRESO A PS DE CA'!N58</f>
        <v>1.7419191999999999</v>
      </c>
      <c r="O218" s="322">
        <f>($D58)*'INGRESO A PS DE CA'!O58</f>
        <v>1.764105</v>
      </c>
      <c r="P218" s="322">
        <f>($D58)*'INGRESO A PS DE CA'!P58</f>
        <v>1.786365</v>
      </c>
      <c r="Q218" s="322">
        <f>($D58)*'INGRESO A PS DE CA'!Q58</f>
        <v>1.8086249999999997</v>
      </c>
      <c r="R218" s="322">
        <f>($D58)*'INGRESO A PS DE CA'!R58</f>
        <v>1.8308850000000001</v>
      </c>
      <c r="S218" s="322">
        <f>($D58)*'INGRESO A PS DE CA'!S58</f>
        <v>1.853145</v>
      </c>
      <c r="T218" s="322">
        <f>($D58)*'INGRESO A PS DE CA'!T58</f>
        <v>1.8753308000000002</v>
      </c>
      <c r="U218" s="322">
        <f>($D58)*'INGRESO A PS DE CA'!U58</f>
        <v>1.8975908000000001</v>
      </c>
      <c r="V218" s="322">
        <f>($D58)*'INGRESO A PS DE CA'!V58</f>
        <v>1.9198508000000001</v>
      </c>
      <c r="W218" s="322">
        <f>($D58)*'INGRESO A PS DE CA'!W58</f>
        <v>1.9421108</v>
      </c>
      <c r="X218" s="322">
        <f>($D58)*'INGRESO A PS DE CA'!X58</f>
        <v>1.9643708000000002</v>
      </c>
      <c r="Y218" s="322">
        <f>($D58)*'INGRESO A PS DE CA'!Y58</f>
        <v>1.9865566000000001</v>
      </c>
      <c r="Z218" s="322">
        <f>($D58)*'INGRESO A PS DE CA'!Z58</f>
        <v>2.0088166000000003</v>
      </c>
    </row>
    <row r="219" spans="1:26" ht="24.95" customHeight="1">
      <c r="A219" s="260" t="str">
        <f>+Pobl_adoptada!A59</f>
        <v>Coronel Suárez</v>
      </c>
      <c r="B219" s="70">
        <f>+Pobl_adoptada!B59</f>
        <v>55</v>
      </c>
      <c r="C219" s="71" t="str">
        <f>+Pobl_adoptada!C59</f>
        <v>Coronel Suárez</v>
      </c>
      <c r="D219" s="291"/>
      <c r="E219" s="278"/>
      <c r="F219" s="263"/>
      <c r="G219" s="322">
        <f>($D59)*'INGRESO A PS DE CA'!G59</f>
        <v>5.7918400000000009E-2</v>
      </c>
      <c r="H219" s="322">
        <f>($D59)*'INGRESO A PS DE CA'!H59</f>
        <v>0.46882528000000001</v>
      </c>
      <c r="I219" s="322">
        <f>($D59)*'INGRESO A PS DE CA'!I59</f>
        <v>0.88931880000000008</v>
      </c>
      <c r="J219" s="322">
        <f>($D59)*'INGRESO A PS DE CA'!J59</f>
        <v>1.499317</v>
      </c>
      <c r="K219" s="322">
        <f>($D59)*'INGRESO A PS DE CA'!K59</f>
        <v>2.1230104000000001</v>
      </c>
      <c r="L219" s="322">
        <f>($D59)*'INGRESO A PS DE CA'!L59</f>
        <v>2.1546938</v>
      </c>
      <c r="M219" s="322">
        <f>($D59)*'INGRESO A PS DE CA'!M59</f>
        <v>2.1863772000000004</v>
      </c>
      <c r="N219" s="322">
        <f>($D59)*'INGRESO A PS DE CA'!N59</f>
        <v>2.2180606000000003</v>
      </c>
      <c r="O219" s="322">
        <f>($D59)*'INGRESO A PS DE CA'!O59</f>
        <v>2.2497440000000002</v>
      </c>
      <c r="P219" s="322">
        <f>($D59)*'INGRESO A PS DE CA'!P59</f>
        <v>2.2814274000000001</v>
      </c>
      <c r="Q219" s="322">
        <f>($D59)*'INGRESO A PS DE CA'!Q59</f>
        <v>2.3131108</v>
      </c>
      <c r="R219" s="322">
        <f>($D59)*'INGRESO A PS DE CA'!R59</f>
        <v>2.3448684000000002</v>
      </c>
      <c r="S219" s="322">
        <f>($D59)*'INGRESO A PS DE CA'!S59</f>
        <v>2.3765518000000001</v>
      </c>
      <c r="T219" s="322">
        <f>($D59)*'INGRESO A PS DE CA'!T59</f>
        <v>2.4082352</v>
      </c>
      <c r="U219" s="322">
        <f>($D59)*'INGRESO A PS DE CA'!U59</f>
        <v>2.4399186000000004</v>
      </c>
      <c r="V219" s="322">
        <f>($D59)*'INGRESO A PS DE CA'!V59</f>
        <v>2.4716019999999999</v>
      </c>
      <c r="W219" s="322">
        <f>($D59)*'INGRESO A PS DE CA'!W59</f>
        <v>2.5032854000000002</v>
      </c>
      <c r="X219" s="322">
        <f>($D59)*'INGRESO A PS DE CA'!X59</f>
        <v>2.5349688000000001</v>
      </c>
      <c r="Y219" s="322">
        <f>($D59)*'INGRESO A PS DE CA'!Y59</f>
        <v>2.5666522000000001</v>
      </c>
      <c r="Z219" s="322">
        <f>($D59)*'INGRESO A PS DE CA'!Z59</f>
        <v>2.5983356000000004</v>
      </c>
    </row>
    <row r="220" spans="1:26" ht="24.95" customHeight="1">
      <c r="A220" s="260" t="str">
        <f>+Pobl_adoptada!A60</f>
        <v>Daireaux</v>
      </c>
      <c r="B220" s="70">
        <f>+Pobl_adoptada!B60</f>
        <v>56</v>
      </c>
      <c r="C220" s="71" t="str">
        <f>+Pobl_adoptada!C60</f>
        <v>Daireaux</v>
      </c>
      <c r="D220" s="291"/>
      <c r="E220" s="278"/>
      <c r="F220" s="263"/>
      <c r="G220" s="322">
        <f>($D60)*'INGRESO A PS DE CA'!G60</f>
        <v>2.5782080000000002E-2</v>
      </c>
      <c r="H220" s="322">
        <f>($D60)*'INGRESO A PS DE CA'!H60</f>
        <v>0.20803776000000004</v>
      </c>
      <c r="I220" s="322">
        <f>($D60)*'INGRESO A PS DE CA'!I60</f>
        <v>0.39338279999999998</v>
      </c>
      <c r="J220" s="322">
        <f>($D60)*'INGRESO A PS DE CA'!J60</f>
        <v>0.66120400000000012</v>
      </c>
      <c r="K220" s="322">
        <f>($D60)*'INGRESO A PS DE CA'!K60</f>
        <v>0.93341360000000018</v>
      </c>
      <c r="L220" s="322">
        <f>($D60)*'INGRESO A PS DE CA'!L60</f>
        <v>0.9412060000000001</v>
      </c>
      <c r="M220" s="322">
        <f>($D60)*'INGRESO A PS DE CA'!M60</f>
        <v>0.94893400000000006</v>
      </c>
      <c r="N220" s="322">
        <f>($D60)*'INGRESO A PS DE CA'!N60</f>
        <v>0.95672639999999998</v>
      </c>
      <c r="O220" s="322">
        <f>($D60)*'INGRESO A PS DE CA'!O60</f>
        <v>0.96445440000000004</v>
      </c>
      <c r="P220" s="322">
        <f>($D60)*'INGRESO A PS DE CA'!P60</f>
        <v>0.9721824</v>
      </c>
      <c r="Q220" s="322">
        <f>($D60)*'INGRESO A PS DE CA'!Q60</f>
        <v>0.97997480000000015</v>
      </c>
      <c r="R220" s="322">
        <f>($D60)*'INGRESO A PS DE CA'!R60</f>
        <v>0.9877028000000001</v>
      </c>
      <c r="S220" s="322">
        <f>($D60)*'INGRESO A PS DE CA'!S60</f>
        <v>0.99549520000000014</v>
      </c>
      <c r="T220" s="322">
        <f>($D60)*'INGRESO A PS DE CA'!T60</f>
        <v>1.0032232000000001</v>
      </c>
      <c r="U220" s="322">
        <f>($D60)*'INGRESO A PS DE CA'!U60</f>
        <v>1.0110156000000001</v>
      </c>
      <c r="V220" s="322">
        <f>($D60)*'INGRESO A PS DE CA'!V60</f>
        <v>1.0187436000000003</v>
      </c>
      <c r="W220" s="322">
        <f>($D60)*'INGRESO A PS DE CA'!W60</f>
        <v>1.0264716</v>
      </c>
      <c r="X220" s="322">
        <f>($D60)*'INGRESO A PS DE CA'!X60</f>
        <v>1.0342640000000001</v>
      </c>
      <c r="Y220" s="322">
        <f>($D60)*'INGRESO A PS DE CA'!Y60</f>
        <v>1.041992</v>
      </c>
      <c r="Z220" s="322">
        <f>($D60)*'INGRESO A PS DE CA'!Z60</f>
        <v>1.0497843999999998</v>
      </c>
    </row>
    <row r="221" spans="1:26" ht="24.95" customHeight="1">
      <c r="A221" s="260" t="str">
        <f>+Pobl_adoptada!A61</f>
        <v>Dolores</v>
      </c>
      <c r="B221" s="70">
        <f>+Pobl_adoptada!B61</f>
        <v>57</v>
      </c>
      <c r="C221" s="71" t="str">
        <f>+Pobl_adoptada!C61</f>
        <v>Dolores</v>
      </c>
      <c r="D221" s="291"/>
      <c r="E221" s="278"/>
      <c r="F221" s="263"/>
      <c r="G221" s="322">
        <f>($D61)*'INGRESO A PS DE CA'!G61</f>
        <v>6.703228E-2</v>
      </c>
      <c r="H221" s="322">
        <f>($D61)*'INGRESO A PS DE CA'!H61</f>
        <v>0.5435510400000001</v>
      </c>
      <c r="I221" s="322">
        <f>($D61)*'INGRESO A PS DE CA'!I61</f>
        <v>1.0328322000000003</v>
      </c>
      <c r="J221" s="322">
        <f>($D61)*'INGRESO A PS DE CA'!J61</f>
        <v>1.7442299999999999</v>
      </c>
      <c r="K221" s="322">
        <f>($D61)*'INGRESO A PS DE CA'!K61</f>
        <v>2.4738280000000001</v>
      </c>
      <c r="L221" s="322">
        <f>($D61)*'INGRESO A PS DE CA'!L61</f>
        <v>2.5142669999999998</v>
      </c>
      <c r="M221" s="322">
        <f>($D61)*'INGRESO A PS DE CA'!M61</f>
        <v>2.5547801999999997</v>
      </c>
      <c r="N221" s="322">
        <f>($D61)*'INGRESO A PS DE CA'!N61</f>
        <v>2.5952192000000007</v>
      </c>
      <c r="O221" s="322">
        <f>($D61)*'INGRESO A PS DE CA'!O61</f>
        <v>2.6357324000000002</v>
      </c>
      <c r="P221" s="322">
        <f>($D61)*'INGRESO A PS DE CA'!P61</f>
        <v>2.6761713999999999</v>
      </c>
      <c r="Q221" s="322">
        <f>($D61)*'INGRESO A PS DE CA'!Q61</f>
        <v>2.7166845999999998</v>
      </c>
      <c r="R221" s="322">
        <f>($D61)*'INGRESO A PS DE CA'!R61</f>
        <v>2.7571236000000003</v>
      </c>
      <c r="S221" s="322">
        <f>($D61)*'INGRESO A PS DE CA'!S61</f>
        <v>2.7975626000000005</v>
      </c>
      <c r="T221" s="322">
        <f>($D61)*'INGRESO A PS DE CA'!T61</f>
        <v>2.8380757999999999</v>
      </c>
      <c r="U221" s="322">
        <f>($D61)*'INGRESO A PS DE CA'!U61</f>
        <v>2.8785147999999996</v>
      </c>
      <c r="V221" s="322">
        <f>($D61)*'INGRESO A PS DE CA'!V61</f>
        <v>2.919028</v>
      </c>
      <c r="W221" s="322">
        <f>($D61)*'INGRESO A PS DE CA'!W61</f>
        <v>2.9594670000000001</v>
      </c>
      <c r="X221" s="322">
        <f>($D61)*'INGRESO A PS DE CA'!X61</f>
        <v>2.9999801999999995</v>
      </c>
      <c r="Y221" s="322">
        <f>($D61)*'INGRESO A PS DE CA'!Y61</f>
        <v>3.0404192000000005</v>
      </c>
      <c r="Z221" s="322">
        <f>($D61)*'INGRESO A PS DE CA'!Z61</f>
        <v>3.0809324</v>
      </c>
    </row>
    <row r="222" spans="1:26" ht="24.95" customHeight="1">
      <c r="A222" s="260" t="str">
        <f>+Pobl_adoptada!A62</f>
        <v>Ensenada</v>
      </c>
      <c r="B222" s="70">
        <f>+Pobl_adoptada!B62</f>
        <v>58</v>
      </c>
      <c r="C222" s="71" t="str">
        <f>+Pobl_adoptada!C62</f>
        <v>Ensenada</v>
      </c>
      <c r="D222" s="291"/>
      <c r="E222" s="278"/>
      <c r="F222" s="263"/>
      <c r="G222" s="322">
        <f>($D62)*'INGRESO A PS DE CA'!G62</f>
        <v>0.1322634</v>
      </c>
      <c r="H222" s="322">
        <f>($D62)*'INGRESO A PS DE CA'!H62</f>
        <v>1.0672953600000001</v>
      </c>
      <c r="I222" s="322">
        <f>($D62)*'INGRESO A PS DE CA'!I62</f>
        <v>2.018529</v>
      </c>
      <c r="J222" s="322">
        <f>($D62)*'INGRESO A PS DE CA'!J62</f>
        <v>3.3934379999999997</v>
      </c>
      <c r="K222" s="322">
        <f>($D62)*'INGRESO A PS DE CA'!K62</f>
        <v>4.7920110000000005</v>
      </c>
      <c r="L222" s="322">
        <f>($D62)*'INGRESO A PS DE CA'!L62</f>
        <v>4.8335657999999997</v>
      </c>
      <c r="M222" s="322">
        <f>($D62)*'INGRESO A PS DE CA'!M62</f>
        <v>4.8755489999999995</v>
      </c>
      <c r="N222" s="322">
        <f>($D62)*'INGRESO A PS DE CA'!N62</f>
        <v>4.9178892000000003</v>
      </c>
      <c r="O222" s="322">
        <f>($D62)*'INGRESO A PS DE CA'!O62</f>
        <v>4.9605150000000009</v>
      </c>
      <c r="P222" s="322">
        <f>($D62)*'INGRESO A PS DE CA'!P62</f>
        <v>5.0035691999999994</v>
      </c>
      <c r="Q222" s="322">
        <f>($D62)*'INGRESO A PS DE CA'!Q62</f>
        <v>5.0469804000000007</v>
      </c>
      <c r="R222" s="322">
        <f>($D62)*'INGRESO A PS DE CA'!R62</f>
        <v>5.0908199999999999</v>
      </c>
      <c r="S222" s="322">
        <f>($D62)*'INGRESO A PS DE CA'!S62</f>
        <v>5.1350166000000002</v>
      </c>
      <c r="T222" s="322">
        <f>($D62)*'INGRESO A PS DE CA'!T62</f>
        <v>5.1795702000000006</v>
      </c>
      <c r="U222" s="322">
        <f>($D62)*'INGRESO A PS DE CA'!U62</f>
        <v>5.2244808000000003</v>
      </c>
      <c r="V222" s="322">
        <f>($D62)*'INGRESO A PS DE CA'!V62</f>
        <v>5.2698198000000005</v>
      </c>
      <c r="W222" s="322">
        <f>($D62)*'INGRESO A PS DE CA'!W62</f>
        <v>5.3155872000000013</v>
      </c>
      <c r="X222" s="322">
        <f>($D62)*'INGRESO A PS DE CA'!X62</f>
        <v>5.3617116000000005</v>
      </c>
      <c r="Y222" s="322">
        <f>($D62)*'INGRESO A PS DE CA'!Y62</f>
        <v>5.4082644000000002</v>
      </c>
      <c r="Z222" s="322">
        <f>($D62)*'INGRESO A PS DE CA'!Z62</f>
        <v>5.4551742000000001</v>
      </c>
    </row>
    <row r="223" spans="1:26" ht="24.95" customHeight="1">
      <c r="A223" s="260" t="str">
        <f>+Pobl_adoptada!A63</f>
        <v>Escobar</v>
      </c>
      <c r="B223" s="70">
        <f>+Pobl_adoptada!B63</f>
        <v>59</v>
      </c>
      <c r="C223" s="71" t="str">
        <f>+Pobl_adoptada!C63</f>
        <v>Escobar</v>
      </c>
      <c r="D223" s="291"/>
      <c r="E223" s="278"/>
      <c r="F223" s="263"/>
      <c r="G223" s="322">
        <f>($D63)*'INGRESO A PS DE CA'!G63</f>
        <v>0.59107164000000001</v>
      </c>
      <c r="H223" s="322">
        <f>($D63)*'INGRESO A PS DE CA'!H63</f>
        <v>4.806305280000001</v>
      </c>
      <c r="I223" s="322">
        <f>($D63)*'INGRESO A PS DE CA'!I63</f>
        <v>9.1576007999999991</v>
      </c>
      <c r="J223" s="322">
        <f>($D63)*'INGRESO A PS DE CA'!J63</f>
        <v>15.505581000000001</v>
      </c>
      <c r="K223" s="322">
        <f>($D63)*'INGRESO A PS DE CA'!K63</f>
        <v>22.047963000000003</v>
      </c>
      <c r="L223" s="322">
        <f>($D63)*'INGRESO A PS DE CA'!L63</f>
        <v>22.388041200000004</v>
      </c>
      <c r="M223" s="322">
        <f>($D63)*'INGRESO A PS DE CA'!M63</f>
        <v>22.7281908</v>
      </c>
      <c r="N223" s="322">
        <f>($D63)*'INGRESO A PS DE CA'!N63</f>
        <v>23.068269000000001</v>
      </c>
      <c r="O223" s="322">
        <f>($D63)*'INGRESO A PS DE CA'!O63</f>
        <v>23.408418600000001</v>
      </c>
      <c r="P223" s="322">
        <f>($D63)*'INGRESO A PS DE CA'!P63</f>
        <v>23.748496799999998</v>
      </c>
      <c r="Q223" s="322">
        <f>($D63)*'INGRESO A PS DE CA'!Q63</f>
        <v>24.088646400000002</v>
      </c>
      <c r="R223" s="322">
        <f>($D63)*'INGRESO A PS DE CA'!R63</f>
        <v>24.428795999999998</v>
      </c>
      <c r="S223" s="322">
        <f>($D63)*'INGRESO A PS DE CA'!S63</f>
        <v>24.768874199999999</v>
      </c>
      <c r="T223" s="322">
        <f>($D63)*'INGRESO A PS DE CA'!T63</f>
        <v>25.109023800000003</v>
      </c>
      <c r="U223" s="322">
        <f>($D63)*'INGRESO A PS DE CA'!U63</f>
        <v>25.449102</v>
      </c>
      <c r="V223" s="322">
        <f>($D63)*'INGRESO A PS DE CA'!V63</f>
        <v>25.7892516</v>
      </c>
      <c r="W223" s="322">
        <f>($D63)*'INGRESO A PS DE CA'!W63</f>
        <v>26.129329800000001</v>
      </c>
      <c r="X223" s="322">
        <f>($D63)*'INGRESO A PS DE CA'!X63</f>
        <v>26.469479400000001</v>
      </c>
      <c r="Y223" s="322">
        <f>($D63)*'INGRESO A PS DE CA'!Y63</f>
        <v>26.809557600000002</v>
      </c>
      <c r="Z223" s="322">
        <f>($D63)*'INGRESO A PS DE CA'!Z63</f>
        <v>27.149707200000002</v>
      </c>
    </row>
    <row r="224" spans="1:26" ht="24.95" customHeight="1">
      <c r="A224" s="260" t="str">
        <f>+Pobl_adoptada!A64</f>
        <v>Exaltación de la Cruz</v>
      </c>
      <c r="B224" s="70">
        <f>+Pobl_adoptada!B64</f>
        <v>60</v>
      </c>
      <c r="C224" s="71" t="str">
        <f>+Pobl_adoptada!C64</f>
        <v>Capilla del Señor</v>
      </c>
      <c r="D224" s="291"/>
      <c r="E224" s="278"/>
      <c r="F224" s="263"/>
      <c r="G224" s="322">
        <f>($D64)*'INGRESO A PS DE CA'!G64</f>
        <v>2.3794880000000004E-2</v>
      </c>
      <c r="H224" s="322">
        <f>($D64)*'INGRESO A PS DE CA'!H64</f>
        <v>0.19424511999999999</v>
      </c>
      <c r="I224" s="322">
        <f>($D64)*'INGRESO A PS DE CA'!I64</f>
        <v>0.37160640000000006</v>
      </c>
      <c r="J224" s="322">
        <f>($D64)*'INGRESO A PS DE CA'!J64</f>
        <v>0.63190200000000007</v>
      </c>
      <c r="K224" s="322">
        <f>($D64)*'INGRESO A PS DE CA'!K64</f>
        <v>0.90243720000000005</v>
      </c>
      <c r="L224" s="322">
        <f>($D64)*'INGRESO A PS DE CA'!L64</f>
        <v>0.92059800000000003</v>
      </c>
      <c r="M224" s="322">
        <f>($D64)*'INGRESO A PS DE CA'!M64</f>
        <v>0.93901639999999986</v>
      </c>
      <c r="N224" s="322">
        <f>($D64)*'INGRESO A PS DE CA'!N64</f>
        <v>0.95775679999999996</v>
      </c>
      <c r="O224" s="322">
        <f>($D64)*'INGRESO A PS DE CA'!O64</f>
        <v>0.97675480000000015</v>
      </c>
      <c r="P224" s="322">
        <f>($D64)*'INGRESO A PS DE CA'!P64</f>
        <v>0.99607480000000015</v>
      </c>
      <c r="Q224" s="322">
        <f>($D64)*'INGRESO A PS DE CA'!Q64</f>
        <v>1.0157167999999999</v>
      </c>
      <c r="R224" s="322">
        <f>($D64)*'INGRESO A PS DE CA'!R64</f>
        <v>1.0356808000000002</v>
      </c>
      <c r="S224" s="322">
        <f>($D64)*'INGRESO A PS DE CA'!S64</f>
        <v>1.0560312000000001</v>
      </c>
      <c r="T224" s="322">
        <f>($D64)*'INGRESO A PS DE CA'!T64</f>
        <v>1.0766392</v>
      </c>
      <c r="U224" s="322">
        <f>($D64)*'INGRESO A PS DE CA'!U64</f>
        <v>1.0975692000000001</v>
      </c>
      <c r="V224" s="322">
        <f>($D64)*'INGRESO A PS DE CA'!V64</f>
        <v>1.1188856</v>
      </c>
      <c r="W224" s="322">
        <f>($D64)*'INGRESO A PS DE CA'!W64</f>
        <v>1.1405240000000001</v>
      </c>
      <c r="X224" s="322">
        <f>($D64)*'INGRESO A PS DE CA'!X64</f>
        <v>1.1625487999999999</v>
      </c>
      <c r="Y224" s="322">
        <f>($D64)*'INGRESO A PS DE CA'!Y64</f>
        <v>1.1848955999999999</v>
      </c>
      <c r="Z224" s="322">
        <f>($D64)*'INGRESO A PS DE CA'!Z64</f>
        <v>1.2076288000000002</v>
      </c>
    </row>
    <row r="225" spans="1:26" ht="24.95" customHeight="1">
      <c r="A225" s="260" t="str">
        <f>+Pobl_adoptada!A65</f>
        <v>Florentino Ameghino</v>
      </c>
      <c r="B225" s="70">
        <f>+Pobl_adoptada!B65</f>
        <v>61</v>
      </c>
      <c r="C225" s="71" t="str">
        <f>+Pobl_adoptada!C65</f>
        <v>Florentino Ameghino</v>
      </c>
      <c r="D225" s="291"/>
      <c r="E225" s="278"/>
      <c r="F225" s="263"/>
      <c r="G225" s="322">
        <f>($D65)*'INGRESO A PS DE CA'!G65</f>
        <v>1.6403600000000001E-2</v>
      </c>
      <c r="H225" s="322">
        <f>($D65)*'INGRESO A PS DE CA'!H65</f>
        <v>0.13278912000000001</v>
      </c>
      <c r="I225" s="322">
        <f>($D65)*'INGRESO A PS DE CA'!I65</f>
        <v>0.25193280000000001</v>
      </c>
      <c r="J225" s="322">
        <f>($D65)*'INGRESO A PS DE CA'!J65</f>
        <v>0.42481000000000002</v>
      </c>
      <c r="K225" s="322">
        <f>($D65)*'INGRESO A PS DE CA'!K65</f>
        <v>0.60156040000000011</v>
      </c>
      <c r="L225" s="322">
        <f>($D65)*'INGRESO A PS DE CA'!L65</f>
        <v>0.60845119999999997</v>
      </c>
      <c r="M225" s="322">
        <f>($D65)*'INGRESO A PS DE CA'!M65</f>
        <v>0.61534200000000006</v>
      </c>
      <c r="N225" s="322">
        <f>($D65)*'INGRESO A PS DE CA'!N65</f>
        <v>0.62216840000000007</v>
      </c>
      <c r="O225" s="322">
        <f>($D65)*'INGRESO A PS DE CA'!O65</f>
        <v>0.62905919999999993</v>
      </c>
      <c r="P225" s="322">
        <f>($D65)*'INGRESO A PS DE CA'!P65</f>
        <v>0.63595000000000013</v>
      </c>
      <c r="Q225" s="322">
        <f>($D65)*'INGRESO A PS DE CA'!Q65</f>
        <v>0.64277640000000003</v>
      </c>
      <c r="R225" s="322">
        <f>($D65)*'INGRESO A PS DE CA'!R65</f>
        <v>0.64966720000000011</v>
      </c>
      <c r="S225" s="322">
        <f>($D65)*'INGRESO A PS DE CA'!S65</f>
        <v>0.65655799999999997</v>
      </c>
      <c r="T225" s="322">
        <f>($D65)*'INGRESO A PS DE CA'!T65</f>
        <v>0.66338439999999999</v>
      </c>
      <c r="U225" s="322">
        <f>($D65)*'INGRESO A PS DE CA'!U65</f>
        <v>0.67027519999999996</v>
      </c>
      <c r="V225" s="322">
        <f>($D65)*'INGRESO A PS DE CA'!V65</f>
        <v>0.67716600000000016</v>
      </c>
      <c r="W225" s="322">
        <f>($D65)*'INGRESO A PS DE CA'!W65</f>
        <v>0.68399239999999994</v>
      </c>
      <c r="X225" s="322">
        <f>($D65)*'INGRESO A PS DE CA'!X65</f>
        <v>0.69088320000000003</v>
      </c>
      <c r="Y225" s="322">
        <f>($D65)*'INGRESO A PS DE CA'!Y65</f>
        <v>0.69770960000000004</v>
      </c>
      <c r="Z225" s="322">
        <f>($D65)*'INGRESO A PS DE CA'!Z65</f>
        <v>0.70460040000000002</v>
      </c>
    </row>
    <row r="226" spans="1:26" ht="24.95" customHeight="1">
      <c r="A226" s="260" t="str">
        <f>+Pobl_adoptada!A66</f>
        <v>General Alvarado</v>
      </c>
      <c r="B226" s="70">
        <f>+Pobl_adoptada!B66</f>
        <v>62</v>
      </c>
      <c r="C226" s="71" t="str">
        <f>+Pobl_adoptada!C66</f>
        <v>Miramar</v>
      </c>
      <c r="D226" s="291"/>
      <c r="E226" s="278"/>
      <c r="F226" s="263"/>
      <c r="G226" s="322">
        <f>($D66)*'INGRESO A PS DE CA'!G66</f>
        <v>0.10949164</v>
      </c>
      <c r="H226" s="322">
        <f>($D66)*'INGRESO A PS DE CA'!H66</f>
        <v>0.88800864000000002</v>
      </c>
      <c r="I226" s="322">
        <f>($D66)*'INGRESO A PS DE CA'!I66</f>
        <v>1.6877214000000003</v>
      </c>
      <c r="J226" s="322">
        <f>($D66)*'INGRESO A PS DE CA'!J66</f>
        <v>2.8506050000000003</v>
      </c>
      <c r="K226" s="322">
        <f>($D66)*'INGRESO A PS DE CA'!K66</f>
        <v>4.0436774</v>
      </c>
      <c r="L226" s="322">
        <f>($D66)*'INGRESO A PS DE CA'!L66</f>
        <v>4.0965820000000006</v>
      </c>
      <c r="M226" s="322">
        <f>($D66)*'INGRESO A PS DE CA'!M66</f>
        <v>4.1494124000000001</v>
      </c>
      <c r="N226" s="322">
        <f>($D66)*'INGRESO A PS DE CA'!N66</f>
        <v>4.2023169999999999</v>
      </c>
      <c r="O226" s="322">
        <f>($D66)*'INGRESO A PS DE CA'!O66</f>
        <v>4.2552216000000005</v>
      </c>
      <c r="P226" s="322">
        <f>($D66)*'INGRESO A PS DE CA'!P66</f>
        <v>4.308052</v>
      </c>
      <c r="Q226" s="322">
        <f>($D66)*'INGRESO A PS DE CA'!Q66</f>
        <v>4.3608824000000004</v>
      </c>
      <c r="R226" s="322">
        <f>($D66)*'INGRESO A PS DE CA'!R66</f>
        <v>4.4137870000000001</v>
      </c>
      <c r="S226" s="322">
        <f>($D66)*'INGRESO A PS DE CA'!S66</f>
        <v>4.4666173999999996</v>
      </c>
      <c r="T226" s="322">
        <f>($D66)*'INGRESO A PS DE CA'!T66</f>
        <v>4.5195220000000011</v>
      </c>
      <c r="U226" s="322">
        <f>($D66)*'INGRESO A PS DE CA'!U66</f>
        <v>4.5724266</v>
      </c>
      <c r="V226" s="322">
        <f>($D66)*'INGRESO A PS DE CA'!V66</f>
        <v>4.6252570000000004</v>
      </c>
      <c r="W226" s="322">
        <f>($D66)*'INGRESO A PS DE CA'!W66</f>
        <v>4.6780874000000008</v>
      </c>
      <c r="X226" s="322">
        <f>($D66)*'INGRESO A PS DE CA'!X66</f>
        <v>4.7309919999999996</v>
      </c>
      <c r="Y226" s="322">
        <f>($D66)*'INGRESO A PS DE CA'!Y66</f>
        <v>4.7838966000000003</v>
      </c>
      <c r="Z226" s="322">
        <f>($D66)*'INGRESO A PS DE CA'!Z66</f>
        <v>4.8367270000000007</v>
      </c>
    </row>
    <row r="227" spans="1:26" ht="24.95" customHeight="1">
      <c r="A227" s="260" t="str">
        <f>+Pobl_adoptada!A67</f>
        <v>General Alvear</v>
      </c>
      <c r="B227" s="70">
        <f>+Pobl_adoptada!B67</f>
        <v>63</v>
      </c>
      <c r="C227" s="71" t="str">
        <f>+Pobl_adoptada!C67</f>
        <v>General Alvear</v>
      </c>
      <c r="D227" s="291"/>
      <c r="E227" s="278"/>
      <c r="F227" s="263"/>
      <c r="G227" s="322">
        <f>($D67)*'INGRESO A PS DE CA'!G67</f>
        <v>1.8950160000000004E-2</v>
      </c>
      <c r="H227" s="322">
        <f>($D67)*'INGRESO A PS DE CA'!H67</f>
        <v>0.15207232000000004</v>
      </c>
      <c r="I227" s="322">
        <f>($D67)*'INGRESO A PS DE CA'!I67</f>
        <v>0.28599120000000006</v>
      </c>
      <c r="J227" s="322">
        <f>($D67)*'INGRESO A PS DE CA'!J67</f>
        <v>0.47812399999999999</v>
      </c>
      <c r="K227" s="322">
        <f>($D67)*'INGRESO A PS DE CA'!K67</f>
        <v>0.67137000000000002</v>
      </c>
      <c r="L227" s="322">
        <f>($D67)*'INGRESO A PS DE CA'!L67</f>
        <v>0.6734308</v>
      </c>
      <c r="M227" s="322">
        <f>($D67)*'INGRESO A PS DE CA'!M67</f>
        <v>0.67542720000000012</v>
      </c>
      <c r="N227" s="322">
        <f>($D67)*'INGRESO A PS DE CA'!N67</f>
        <v>0.67748799999999998</v>
      </c>
      <c r="O227" s="322">
        <f>($D67)*'INGRESO A PS DE CA'!O67</f>
        <v>0.67954880000000006</v>
      </c>
      <c r="P227" s="322">
        <f>($D67)*'INGRESO A PS DE CA'!P67</f>
        <v>0.68160960000000004</v>
      </c>
      <c r="Q227" s="322">
        <f>($D67)*'INGRESO A PS DE CA'!Q67</f>
        <v>0.68367040000000001</v>
      </c>
      <c r="R227" s="322">
        <f>($D67)*'INGRESO A PS DE CA'!R67</f>
        <v>0.68579559999999995</v>
      </c>
      <c r="S227" s="322">
        <f>($D67)*'INGRESO A PS DE CA'!S67</f>
        <v>0.68785640000000003</v>
      </c>
      <c r="T227" s="322">
        <f>($D67)*'INGRESO A PS DE CA'!T67</f>
        <v>0.68991720000000012</v>
      </c>
      <c r="U227" s="322">
        <f>($D67)*'INGRESO A PS DE CA'!U67</f>
        <v>0.69204240000000006</v>
      </c>
      <c r="V227" s="322">
        <f>($D67)*'INGRESO A PS DE CA'!V67</f>
        <v>0.69410320000000003</v>
      </c>
      <c r="W227" s="322">
        <f>($D67)*'INGRESO A PS DE CA'!W67</f>
        <v>0.69622840000000008</v>
      </c>
      <c r="X227" s="322">
        <f>($D67)*'INGRESO A PS DE CA'!X67</f>
        <v>0.69835359999999991</v>
      </c>
      <c r="Y227" s="322">
        <f>($D67)*'INGRESO A PS DE CA'!Y67</f>
        <v>0.70047879999999996</v>
      </c>
      <c r="Z227" s="322">
        <f>($D67)*'INGRESO A PS DE CA'!Z67</f>
        <v>0.70260400000000001</v>
      </c>
    </row>
    <row r="228" spans="1:26" ht="24.95" customHeight="1">
      <c r="A228" s="260" t="str">
        <f>+Pobl_adoptada!A68</f>
        <v>General Arenales</v>
      </c>
      <c r="B228" s="70">
        <f>+Pobl_adoptada!B68</f>
        <v>64</v>
      </c>
      <c r="C228" s="71" t="str">
        <f>+Pobl_adoptada!C68</f>
        <v>General Arenales</v>
      </c>
      <c r="D228" s="291"/>
      <c r="E228" s="278"/>
      <c r="F228" s="263"/>
      <c r="G228" s="322">
        <f>($D68)*'INGRESO A PS DE CA'!G68</f>
        <v>9.1779200000000009E-3</v>
      </c>
      <c r="H228" s="322">
        <f>($D68)*'INGRESO A PS DE CA'!H68</f>
        <v>7.4026880000000003E-2</v>
      </c>
      <c r="I228" s="322">
        <f>($D68)*'INGRESO A PS DE CA'!I68</f>
        <v>0.13993200000000003</v>
      </c>
      <c r="J228" s="322">
        <f>($D68)*'INGRESO A PS DE CA'!J68</f>
        <v>0.235152</v>
      </c>
      <c r="K228" s="322">
        <f>($D68)*'INGRESO A PS DE CA'!K68</f>
        <v>0.33185320000000001</v>
      </c>
      <c r="L228" s="322">
        <f>($D68)*'INGRESO A PS DE CA'!L68</f>
        <v>0.3344936</v>
      </c>
      <c r="M228" s="322">
        <f>($D68)*'INGRESO A PS DE CA'!M68</f>
        <v>0.33713400000000004</v>
      </c>
      <c r="N228" s="322">
        <f>($D68)*'INGRESO A PS DE CA'!N68</f>
        <v>0.33977440000000003</v>
      </c>
      <c r="O228" s="322">
        <f>($D68)*'INGRESO A PS DE CA'!O68</f>
        <v>0.34247920000000004</v>
      </c>
      <c r="P228" s="322">
        <f>($D68)*'INGRESO A PS DE CA'!P68</f>
        <v>0.34511960000000008</v>
      </c>
      <c r="Q228" s="322">
        <f>($D68)*'INGRESO A PS DE CA'!Q68</f>
        <v>0.34776000000000001</v>
      </c>
      <c r="R228" s="322">
        <f>($D68)*'INGRESO A PS DE CA'!R68</f>
        <v>0.3504004</v>
      </c>
      <c r="S228" s="322">
        <f>($D68)*'INGRESO A PS DE CA'!S68</f>
        <v>0.35304080000000004</v>
      </c>
      <c r="T228" s="322">
        <f>($D68)*'INGRESO A PS DE CA'!T68</f>
        <v>0.35574559999999994</v>
      </c>
      <c r="U228" s="322">
        <f>($D68)*'INGRESO A PS DE CA'!U68</f>
        <v>0.35838600000000004</v>
      </c>
      <c r="V228" s="322">
        <f>($D68)*'INGRESO A PS DE CA'!V68</f>
        <v>0.36102640000000008</v>
      </c>
      <c r="W228" s="322">
        <f>($D68)*'INGRESO A PS DE CA'!W68</f>
        <v>0.36366680000000001</v>
      </c>
      <c r="X228" s="322">
        <f>($D68)*'INGRESO A PS DE CA'!X68</f>
        <v>0.36630720000000005</v>
      </c>
      <c r="Y228" s="322">
        <f>($D68)*'INGRESO A PS DE CA'!Y68</f>
        <v>0.36901200000000001</v>
      </c>
      <c r="Z228" s="322">
        <f>($D68)*'INGRESO A PS DE CA'!Z68</f>
        <v>0.37165240000000005</v>
      </c>
    </row>
    <row r="229" spans="1:26" ht="24.95" customHeight="1">
      <c r="A229" s="260" t="str">
        <f>+Pobl_adoptada!A69</f>
        <v>General Belgrano</v>
      </c>
      <c r="B229" s="70">
        <f>+Pobl_adoptada!B69</f>
        <v>65</v>
      </c>
      <c r="C229" s="71" t="str">
        <f>+Pobl_adoptada!C69</f>
        <v>General Belgrano</v>
      </c>
      <c r="D229" s="291"/>
      <c r="E229" s="278"/>
      <c r="F229" s="263"/>
      <c r="G229" s="322">
        <f>($D69)*'INGRESO A PS DE CA'!G69</f>
        <v>4.1128000000000005E-2</v>
      </c>
      <c r="H229" s="322">
        <f>($D69)*'INGRESO A PS DE CA'!H69</f>
        <v>0.33380672000000011</v>
      </c>
      <c r="I229" s="322">
        <f>($D69)*'INGRESO A PS DE CA'!I69</f>
        <v>0.63501420000000008</v>
      </c>
      <c r="J229" s="322">
        <f>($D69)*'INGRESO A PS DE CA'!J69</f>
        <v>1.0737800000000002</v>
      </c>
      <c r="K229" s="322">
        <f>($D69)*'INGRESO A PS DE CA'!K69</f>
        <v>1.5251810000000001</v>
      </c>
      <c r="L229" s="322">
        <f>($D69)*'INGRESO A PS DE CA'!L69</f>
        <v>1.5473668</v>
      </c>
      <c r="M229" s="322">
        <f>($D69)*'INGRESO A PS DE CA'!M69</f>
        <v>1.5699236000000001</v>
      </c>
      <c r="N229" s="322">
        <f>($D69)*'INGRESO A PS DE CA'!N69</f>
        <v>1.5927772000000002</v>
      </c>
      <c r="O229" s="322">
        <f>($D69)*'INGRESO A PS DE CA'!O69</f>
        <v>1.6159276</v>
      </c>
      <c r="P229" s="322">
        <f>($D69)*'INGRESO A PS DE CA'!P69</f>
        <v>1.6395232000000002</v>
      </c>
      <c r="Q229" s="322">
        <f>($D69)*'INGRESO A PS DE CA'!Q69</f>
        <v>1.6633414</v>
      </c>
      <c r="R229" s="322">
        <f>($D69)*'INGRESO A PS DE CA'!R69</f>
        <v>1.6876048000000001</v>
      </c>
      <c r="S229" s="322">
        <f>($D69)*'INGRESO A PS DE CA'!S69</f>
        <v>1.7121649999999999</v>
      </c>
      <c r="T229" s="322">
        <f>($D69)*'INGRESO A PS DE CA'!T69</f>
        <v>1.7370961999999999</v>
      </c>
      <c r="U229" s="322">
        <f>($D69)*'INGRESO A PS DE CA'!U69</f>
        <v>1.7623984000000001</v>
      </c>
      <c r="V229" s="322">
        <f>($D69)*'INGRESO A PS DE CA'!V69</f>
        <v>1.7880716000000001</v>
      </c>
      <c r="W229" s="322">
        <f>($D69)*'INGRESO A PS DE CA'!W69</f>
        <v>1.8140415999999999</v>
      </c>
      <c r="X229" s="322">
        <f>($D69)*'INGRESO A PS DE CA'!X69</f>
        <v>1.8404568000000001</v>
      </c>
      <c r="Y229" s="322">
        <f>($D69)*'INGRESO A PS DE CA'!Y69</f>
        <v>1.8673172000000002</v>
      </c>
      <c r="Z229" s="322">
        <f>($D69)*'INGRESO A PS DE CA'!Z69</f>
        <v>1.8944744</v>
      </c>
    </row>
    <row r="230" spans="1:26" ht="24.95" customHeight="1">
      <c r="A230" s="260" t="str">
        <f>+Pobl_adoptada!A70</f>
        <v>General Guido</v>
      </c>
      <c r="B230" s="70">
        <f>+Pobl_adoptada!B70</f>
        <v>66</v>
      </c>
      <c r="C230" s="71" t="str">
        <f>+Pobl_adoptada!C70</f>
        <v>General Guido</v>
      </c>
      <c r="D230" s="291"/>
      <c r="E230" s="278"/>
      <c r="F230" s="263"/>
      <c r="G230" s="322">
        <f>($D70)*'INGRESO A PS DE CA'!G70</f>
        <v>2.8446400000000007E-3</v>
      </c>
      <c r="H230" s="322">
        <f>($D70)*'INGRESO A PS DE CA'!H70</f>
        <v>2.3022080000000004E-2</v>
      </c>
      <c r="I230" s="322">
        <f>($D70)*'INGRESO A PS DE CA'!I70</f>
        <v>4.3635600000000004E-2</v>
      </c>
      <c r="J230" s="322">
        <f>($D70)*'INGRESO A PS DE CA'!J70</f>
        <v>7.3554000000000008E-2</v>
      </c>
      <c r="K230" s="322">
        <f>($D70)*'INGRESO A PS DE CA'!K70</f>
        <v>0.1041348</v>
      </c>
      <c r="L230" s="322">
        <f>($D70)*'INGRESO A PS DE CA'!L70</f>
        <v>0.10535839999999999</v>
      </c>
      <c r="M230" s="322">
        <f>($D70)*'INGRESO A PS DE CA'!M70</f>
        <v>0.10651760000000002</v>
      </c>
      <c r="N230" s="322">
        <f>($D70)*'INGRESO A PS DE CA'!N70</f>
        <v>0.10774120000000001</v>
      </c>
      <c r="O230" s="322">
        <f>($D70)*'INGRESO A PS DE CA'!O70</f>
        <v>0.1089648</v>
      </c>
      <c r="P230" s="322">
        <f>($D70)*'INGRESO A PS DE CA'!P70</f>
        <v>0.11018840000000002</v>
      </c>
      <c r="Q230" s="322">
        <f>($D70)*'INGRESO A PS DE CA'!Q70</f>
        <v>0.11141200000000001</v>
      </c>
      <c r="R230" s="322">
        <f>($D70)*'INGRESO A PS DE CA'!R70</f>
        <v>0.11270000000000001</v>
      </c>
      <c r="S230" s="322">
        <f>($D70)*'INGRESO A PS DE CA'!S70</f>
        <v>0.11398800000000001</v>
      </c>
      <c r="T230" s="322">
        <f>($D70)*'INGRESO A PS DE CA'!T70</f>
        <v>0.115276</v>
      </c>
      <c r="U230" s="322">
        <f>($D70)*'INGRESO A PS DE CA'!U70</f>
        <v>0.116564</v>
      </c>
      <c r="V230" s="322">
        <f>($D70)*'INGRESO A PS DE CA'!V70</f>
        <v>0.11791639999999999</v>
      </c>
      <c r="W230" s="322">
        <f>($D70)*'INGRESO A PS DE CA'!W70</f>
        <v>0.11920439999999999</v>
      </c>
      <c r="X230" s="322">
        <f>($D70)*'INGRESO A PS DE CA'!X70</f>
        <v>0.12055680000000001</v>
      </c>
      <c r="Y230" s="322">
        <f>($D70)*'INGRESO A PS DE CA'!Y70</f>
        <v>0.1219736</v>
      </c>
      <c r="Z230" s="322">
        <f>($D70)*'INGRESO A PS DE CA'!Z70</f>
        <v>0.12332600000000001</v>
      </c>
    </row>
    <row r="231" spans="1:26" ht="24.95" customHeight="1">
      <c r="A231" s="260" t="str">
        <f>+Pobl_adoptada!A71</f>
        <v>General Juan Madariaga</v>
      </c>
      <c r="B231" s="70">
        <f>+Pobl_adoptada!B71</f>
        <v>67</v>
      </c>
      <c r="C231" s="71" t="str">
        <f>+Pobl_adoptada!C71</f>
        <v>General Juan Madariaga</v>
      </c>
      <c r="D231" s="291"/>
      <c r="E231" s="278"/>
      <c r="F231" s="263"/>
      <c r="G231" s="322">
        <f>($D71)*'INGRESO A PS DE CA'!G71</f>
        <v>4.6989800000000005E-2</v>
      </c>
      <c r="H231" s="322">
        <f>($D71)*'INGRESO A PS DE CA'!H71</f>
        <v>0.38085376000000004</v>
      </c>
      <c r="I231" s="322">
        <f>($D71)*'INGRESO A PS DE CA'!I71</f>
        <v>0.72351360000000009</v>
      </c>
      <c r="J231" s="322">
        <f>($D71)*'INGRESO A PS DE CA'!J71</f>
        <v>1.2218090000000001</v>
      </c>
      <c r="K231" s="322">
        <f>($D71)*'INGRESO A PS DE CA'!K71</f>
        <v>1.7332378000000004</v>
      </c>
      <c r="L231" s="322">
        <f>($D71)*'INGRESO A PS DE CA'!L71</f>
        <v>1.7563139999999997</v>
      </c>
      <c r="M231" s="322">
        <f>($D71)*'INGRESO A PS DE CA'!M71</f>
        <v>1.7797611999999998</v>
      </c>
      <c r="N231" s="322">
        <f>($D71)*'INGRESO A PS DE CA'!N71</f>
        <v>1.8035794000000001</v>
      </c>
      <c r="O231" s="322">
        <f>($D71)*'INGRESO A PS DE CA'!O71</f>
        <v>1.8278428</v>
      </c>
      <c r="P231" s="322">
        <f>($D71)*'INGRESO A PS DE CA'!P71</f>
        <v>1.8524772000000003</v>
      </c>
      <c r="Q231" s="322">
        <f>($D71)*'INGRESO A PS DE CA'!Q71</f>
        <v>1.8774826000000002</v>
      </c>
      <c r="R231" s="322">
        <f>($D71)*'INGRESO A PS DE CA'!R71</f>
        <v>1.9028590000000003</v>
      </c>
      <c r="S231" s="322">
        <f>($D71)*'INGRESO A PS DE CA'!S71</f>
        <v>1.9287548000000001</v>
      </c>
      <c r="T231" s="322">
        <f>($D71)*'INGRESO A PS DE CA'!T71</f>
        <v>1.9550216</v>
      </c>
      <c r="U231" s="322">
        <f>($D71)*'INGRESO A PS DE CA'!U71</f>
        <v>1.9816594000000003</v>
      </c>
      <c r="V231" s="322">
        <f>($D71)*'INGRESO A PS DE CA'!V71</f>
        <v>2.0088166000000003</v>
      </c>
      <c r="W231" s="322">
        <f>($D71)*'INGRESO A PS DE CA'!W71</f>
        <v>2.0363448000000002</v>
      </c>
      <c r="X231" s="322">
        <f>($D71)*'INGRESO A PS DE CA'!X71</f>
        <v>2.0643924</v>
      </c>
      <c r="Y231" s="322">
        <f>($D71)*'INGRESO A PS DE CA'!Y71</f>
        <v>2.0928852</v>
      </c>
      <c r="Z231" s="322">
        <f>($D71)*'INGRESO A PS DE CA'!Z71</f>
        <v>2.1218232000000001</v>
      </c>
    </row>
    <row r="232" spans="1:26" ht="24.95" customHeight="1">
      <c r="A232" s="260" t="str">
        <f>+Pobl_adoptada!A72</f>
        <v>General La Madrid</v>
      </c>
      <c r="B232" s="70">
        <f>+Pobl_adoptada!B72</f>
        <v>68</v>
      </c>
      <c r="C232" s="71" t="str">
        <f>+Pobl_adoptada!C72</f>
        <v>General La Madrid</v>
      </c>
      <c r="D232" s="291"/>
      <c r="E232" s="278"/>
      <c r="F232" s="263"/>
      <c r="G232" s="322">
        <f>($D72)*'INGRESO A PS DE CA'!G72</f>
        <v>1.7152480000000001E-2</v>
      </c>
      <c r="H232" s="322">
        <f>($D72)*'INGRESO A PS DE CA'!H72</f>
        <v>0.13888320000000004</v>
      </c>
      <c r="I232" s="322">
        <f>($D72)*'INGRESO A PS DE CA'!I72</f>
        <v>0.2635248</v>
      </c>
      <c r="J232" s="322">
        <f>($D72)*'INGRESO A PS DE CA'!J72</f>
        <v>0.44440600000000008</v>
      </c>
      <c r="K232" s="322">
        <f>($D72)*'INGRESO A PS DE CA'!K72</f>
        <v>0.62944559999999994</v>
      </c>
      <c r="L232" s="322">
        <f>($D72)*'INGRESO A PS DE CA'!L72</f>
        <v>0.63910559999999994</v>
      </c>
      <c r="M232" s="322">
        <f>($D72)*'INGRESO A PS DE CA'!M72</f>
        <v>0.64883000000000002</v>
      </c>
      <c r="N232" s="322">
        <f>($D72)*'INGRESO A PS DE CA'!N72</f>
        <v>0.65849000000000002</v>
      </c>
      <c r="O232" s="322">
        <f>($D72)*'INGRESO A PS DE CA'!O72</f>
        <v>0.66815000000000002</v>
      </c>
      <c r="P232" s="322">
        <f>($D72)*'INGRESO A PS DE CA'!P72</f>
        <v>0.67787439999999999</v>
      </c>
      <c r="Q232" s="322">
        <f>($D72)*'INGRESO A PS DE CA'!Q72</f>
        <v>0.6875344000000001</v>
      </c>
      <c r="R232" s="322">
        <f>($D72)*'INGRESO A PS DE CA'!R72</f>
        <v>0.69719439999999999</v>
      </c>
      <c r="S232" s="322">
        <f>($D72)*'INGRESO A PS DE CA'!S72</f>
        <v>0.70685439999999999</v>
      </c>
      <c r="T232" s="322">
        <f>($D72)*'INGRESO A PS DE CA'!T72</f>
        <v>0.71657880000000007</v>
      </c>
      <c r="U232" s="322">
        <f>($D72)*'INGRESO A PS DE CA'!U72</f>
        <v>0.72623879999999996</v>
      </c>
      <c r="V232" s="322">
        <f>($D72)*'INGRESO A PS DE CA'!V72</f>
        <v>0.73589880000000008</v>
      </c>
      <c r="W232" s="322">
        <f>($D72)*'INGRESO A PS DE CA'!W72</f>
        <v>0.74562319999999993</v>
      </c>
      <c r="X232" s="322">
        <f>($D72)*'INGRESO A PS DE CA'!X72</f>
        <v>0.75528319999999993</v>
      </c>
      <c r="Y232" s="322">
        <f>($D72)*'INGRESO A PS DE CA'!Y72</f>
        <v>0.76494320000000005</v>
      </c>
      <c r="Z232" s="322">
        <f>($D72)*'INGRESO A PS DE CA'!Z72</f>
        <v>0.7746675999999999</v>
      </c>
    </row>
    <row r="233" spans="1:26" ht="24.95" customHeight="1">
      <c r="A233" s="260" t="str">
        <f>+Pobl_adoptada!A73</f>
        <v>General Las Heras</v>
      </c>
      <c r="B233" s="70">
        <f>+Pobl_adoptada!B73</f>
        <v>69</v>
      </c>
      <c r="C233" s="71" t="str">
        <f>+Pobl_adoptada!C73</f>
        <v>General Las Heras</v>
      </c>
      <c r="D233" s="291"/>
      <c r="E233" s="278"/>
      <c r="F233" s="263"/>
      <c r="G233" s="322">
        <f>($D73)*'INGRESO A PS DE CA'!G73</f>
        <v>2.6343280000000004E-2</v>
      </c>
      <c r="H233" s="322">
        <f>($D73)*'INGRESO A PS DE CA'!H73</f>
        <v>0.21346944000000001</v>
      </c>
      <c r="I233" s="322">
        <f>($D73)*'INGRESO A PS DE CA'!I73</f>
        <v>0.40536120000000003</v>
      </c>
      <c r="J233" s="322">
        <f>($D73)*'INGRESO A PS DE CA'!J73</f>
        <v>0.68415800000000004</v>
      </c>
      <c r="K233" s="322">
        <f>($D73)*'INGRESO A PS DE CA'!K73</f>
        <v>0.96973520000000013</v>
      </c>
      <c r="L233" s="322">
        <f>($D73)*'INGRESO A PS DE CA'!L73</f>
        <v>0.98164920000000011</v>
      </c>
      <c r="M233" s="322">
        <f>($D73)*'INGRESO A PS DE CA'!M73</f>
        <v>0.99356320000000009</v>
      </c>
      <c r="N233" s="322">
        <f>($D73)*'INGRESO A PS DE CA'!N73</f>
        <v>1.0054772000000001</v>
      </c>
      <c r="O233" s="322">
        <f>($D73)*'INGRESO A PS DE CA'!O73</f>
        <v>1.0173912000000001</v>
      </c>
      <c r="P233" s="322">
        <f>($D73)*'INGRESO A PS DE CA'!P73</f>
        <v>1.0293052</v>
      </c>
      <c r="Q233" s="322">
        <f>($D73)*'INGRESO A PS DE CA'!Q73</f>
        <v>1.0412192</v>
      </c>
      <c r="R233" s="322">
        <f>($D73)*'INGRESO A PS DE CA'!R73</f>
        <v>1.0531976000000001</v>
      </c>
      <c r="S233" s="322">
        <f>($D73)*'INGRESO A PS DE CA'!S73</f>
        <v>1.0651116</v>
      </c>
      <c r="T233" s="322">
        <f>($D73)*'INGRESO A PS DE CA'!T73</f>
        <v>1.0770256</v>
      </c>
      <c r="U233" s="322">
        <f>($D73)*'INGRESO A PS DE CA'!U73</f>
        <v>1.0889396</v>
      </c>
      <c r="V233" s="322">
        <f>($D73)*'INGRESO A PS DE CA'!V73</f>
        <v>1.1008536000000002</v>
      </c>
      <c r="W233" s="322">
        <f>($D73)*'INGRESO A PS DE CA'!W73</f>
        <v>1.1127676</v>
      </c>
      <c r="X233" s="322">
        <f>($D73)*'INGRESO A PS DE CA'!X73</f>
        <v>1.1246816000000002</v>
      </c>
      <c r="Y233" s="322">
        <f>($D73)*'INGRESO A PS DE CA'!Y73</f>
        <v>1.1366599999999998</v>
      </c>
      <c r="Z233" s="322">
        <f>($D73)*'INGRESO A PS DE CA'!Z73</f>
        <v>1.148574</v>
      </c>
    </row>
    <row r="234" spans="1:26" ht="24.95" customHeight="1">
      <c r="A234" s="260" t="str">
        <f>+Pobl_adoptada!A74</f>
        <v>General Lavalle</v>
      </c>
      <c r="B234" s="70">
        <f>+Pobl_adoptada!B74</f>
        <v>70</v>
      </c>
      <c r="C234" s="71" t="str">
        <f>+Pobl_adoptada!C74</f>
        <v>General Lavalle</v>
      </c>
      <c r="D234" s="291"/>
      <c r="E234" s="278"/>
      <c r="F234" s="263"/>
      <c r="G234" s="322">
        <f>($D74)*'INGRESO A PS DE CA'!G74</f>
        <v>4.9367200000000003E-3</v>
      </c>
      <c r="H234" s="322">
        <f>($D74)*'INGRESO A PS DE CA'!H74</f>
        <v>4.0450560000000003E-2</v>
      </c>
      <c r="I234" s="322">
        <f>($D74)*'INGRESO A PS DE CA'!I74</f>
        <v>7.766640000000001E-2</v>
      </c>
      <c r="J234" s="322">
        <f>($D74)*'INGRESO A PS DE CA'!J74</f>
        <v>0.13261800000000001</v>
      </c>
      <c r="K234" s="322">
        <f>($D74)*'INGRESO A PS DE CA'!K74</f>
        <v>0.19017320000000001</v>
      </c>
      <c r="L234" s="322">
        <f>($D74)*'INGRESO A PS DE CA'!L74</f>
        <v>0.19480999999999998</v>
      </c>
      <c r="M234" s="322">
        <f>($D74)*'INGRESO A PS DE CA'!M74</f>
        <v>0.1995112</v>
      </c>
      <c r="N234" s="322">
        <f>($D74)*'INGRESO A PS DE CA'!N74</f>
        <v>0.2043412</v>
      </c>
      <c r="O234" s="322">
        <f>($D74)*'INGRESO A PS DE CA'!O74</f>
        <v>0.20936440000000001</v>
      </c>
      <c r="P234" s="322">
        <f>($D74)*'INGRESO A PS DE CA'!P74</f>
        <v>0.214452</v>
      </c>
      <c r="Q234" s="322">
        <f>($D74)*'INGRESO A PS DE CA'!Q74</f>
        <v>0.21960400000000002</v>
      </c>
      <c r="R234" s="322">
        <f>($D74)*'INGRESO A PS DE CA'!R74</f>
        <v>0.22494919999999996</v>
      </c>
      <c r="S234" s="322">
        <f>($D74)*'INGRESO A PS DE CA'!S74</f>
        <v>0.23042319999999999</v>
      </c>
      <c r="T234" s="322">
        <f>($D74)*'INGRESO A PS DE CA'!T74</f>
        <v>0.23602600000000004</v>
      </c>
      <c r="U234" s="322">
        <f>($D74)*'INGRESO A PS DE CA'!U74</f>
        <v>0.24175760000000002</v>
      </c>
      <c r="V234" s="322">
        <f>($D74)*'INGRESO A PS DE CA'!V74</f>
        <v>0.247618</v>
      </c>
      <c r="W234" s="322">
        <f>($D74)*'INGRESO A PS DE CA'!W74</f>
        <v>0.25367160000000005</v>
      </c>
      <c r="X234" s="322">
        <f>($D74)*'INGRESO A PS DE CA'!X74</f>
        <v>0.25978960000000001</v>
      </c>
      <c r="Y234" s="322">
        <f>($D74)*'INGRESO A PS DE CA'!Y74</f>
        <v>0.26610079999999997</v>
      </c>
      <c r="Z234" s="322">
        <f>($D74)*'INGRESO A PS DE CA'!Z74</f>
        <v>0.27260520000000005</v>
      </c>
    </row>
    <row r="235" spans="1:26" ht="24.95" customHeight="1">
      <c r="A235" s="260" t="str">
        <f>+Pobl_adoptada!A75</f>
        <v>General Paz</v>
      </c>
      <c r="B235" s="70">
        <f>+Pobl_adoptada!B75</f>
        <v>71</v>
      </c>
      <c r="C235" s="71" t="str">
        <f>+Pobl_adoptada!C75</f>
        <v>Ranchos</v>
      </c>
      <c r="D235" s="291"/>
      <c r="E235" s="278"/>
      <c r="F235" s="263"/>
      <c r="G235" s="322">
        <f>($D75)*'INGRESO A PS DE CA'!G75</f>
        <v>1.9224320000000003E-2</v>
      </c>
      <c r="H235" s="322">
        <f>($D75)*'INGRESO A PS DE CA'!H75</f>
        <v>0.15640000000000001</v>
      </c>
      <c r="I235" s="322">
        <f>($D75)*'INGRESO A PS DE CA'!I75</f>
        <v>0.29813519999999999</v>
      </c>
      <c r="J235" s="322">
        <f>($D75)*'INGRESO A PS DE CA'!J75</f>
        <v>0.50503400000000009</v>
      </c>
      <c r="K235" s="322">
        <f>($D75)*'INGRESO A PS DE CA'!K75</f>
        <v>0.71844639999999993</v>
      </c>
      <c r="L235" s="322">
        <f>($D75)*'INGRESO A PS DE CA'!L75</f>
        <v>0.73248559999999996</v>
      </c>
      <c r="M235" s="322">
        <f>($D75)*'INGRESO A PS DE CA'!M75</f>
        <v>0.74646040000000013</v>
      </c>
      <c r="N235" s="322">
        <f>($D75)*'INGRESO A PS DE CA'!N75</f>
        <v>0.76043519999999998</v>
      </c>
      <c r="O235" s="322">
        <f>($D75)*'INGRESO A PS DE CA'!O75</f>
        <v>0.7744743999999999</v>
      </c>
      <c r="P235" s="322">
        <f>($D75)*'INGRESO A PS DE CA'!P75</f>
        <v>0.78844920000000007</v>
      </c>
      <c r="Q235" s="322">
        <f>($D75)*'INGRESO A PS DE CA'!Q75</f>
        <v>0.8024884000000001</v>
      </c>
      <c r="R235" s="322">
        <f>($D75)*'INGRESO A PS DE CA'!R75</f>
        <v>0.81646319999999994</v>
      </c>
      <c r="S235" s="322">
        <f>($D75)*'INGRESO A PS DE CA'!S75</f>
        <v>0.83050239999999997</v>
      </c>
      <c r="T235" s="322">
        <f>($D75)*'INGRESO A PS DE CA'!T75</f>
        <v>0.84447720000000004</v>
      </c>
      <c r="U235" s="322">
        <f>($D75)*'INGRESO A PS DE CA'!U75</f>
        <v>0.85851640000000007</v>
      </c>
      <c r="V235" s="322">
        <f>($D75)*'INGRESO A PS DE CA'!V75</f>
        <v>0.87249120000000002</v>
      </c>
      <c r="W235" s="322">
        <f>($D75)*'INGRESO A PS DE CA'!W75</f>
        <v>0.88653040000000005</v>
      </c>
      <c r="X235" s="322">
        <f>($D75)*'INGRESO A PS DE CA'!X75</f>
        <v>0.90050520000000012</v>
      </c>
      <c r="Y235" s="322">
        <f>($D75)*'INGRESO A PS DE CA'!Y75</f>
        <v>0.91448000000000007</v>
      </c>
      <c r="Z235" s="322">
        <f>($D75)*'INGRESO A PS DE CA'!Z75</f>
        <v>0.9285192000000001</v>
      </c>
    </row>
    <row r="236" spans="1:26" ht="24.95" customHeight="1">
      <c r="A236" s="260" t="str">
        <f>+Pobl_adoptada!A76</f>
        <v>General Pinto</v>
      </c>
      <c r="B236" s="70">
        <f>+Pobl_adoptada!B76</f>
        <v>72</v>
      </c>
      <c r="C236" s="71" t="str">
        <f>+Pobl_adoptada!C76</f>
        <v>General Pinto</v>
      </c>
      <c r="D236" s="291"/>
      <c r="E236" s="278"/>
      <c r="F236" s="263"/>
      <c r="G236" s="322">
        <f>($D76)*'INGRESO A PS DE CA'!G76</f>
        <v>1.3371280000000003E-2</v>
      </c>
      <c r="H236" s="322">
        <f>($D76)*'INGRESO A PS DE CA'!H76</f>
        <v>0.10761792000000002</v>
      </c>
      <c r="I236" s="322">
        <f>($D76)*'INGRESO A PS DE CA'!I76</f>
        <v>0.20299800000000001</v>
      </c>
      <c r="J236" s="322">
        <f>($D76)*'INGRESO A PS DE CA'!J76</f>
        <v>0.34040000000000004</v>
      </c>
      <c r="K236" s="322">
        <f>($D76)*'INGRESO A PS DE CA'!K76</f>
        <v>0.47939359999999998</v>
      </c>
      <c r="L236" s="322">
        <f>($D76)*'INGRESO A PS DE CA'!L76</f>
        <v>0.48229159999999993</v>
      </c>
      <c r="M236" s="322">
        <f>($D76)*'INGRESO A PS DE CA'!M76</f>
        <v>0.48512519999999998</v>
      </c>
      <c r="N236" s="322">
        <f>($D76)*'INGRESO A PS DE CA'!N76</f>
        <v>0.48795880000000003</v>
      </c>
      <c r="O236" s="322">
        <f>($D76)*'INGRESO A PS DE CA'!O76</f>
        <v>0.49085679999999998</v>
      </c>
      <c r="P236" s="322">
        <f>($D76)*'INGRESO A PS DE CA'!P76</f>
        <v>0.49369039999999997</v>
      </c>
      <c r="Q236" s="322">
        <f>($D76)*'INGRESO A PS DE CA'!Q76</f>
        <v>0.49658840000000004</v>
      </c>
      <c r="R236" s="322">
        <f>($D76)*'INGRESO A PS DE CA'!R76</f>
        <v>0.49942200000000003</v>
      </c>
      <c r="S236" s="322">
        <f>($D76)*'INGRESO A PS DE CA'!S76</f>
        <v>0.50225560000000002</v>
      </c>
      <c r="T236" s="322">
        <f>($D76)*'INGRESO A PS DE CA'!T76</f>
        <v>0.50515360000000009</v>
      </c>
      <c r="U236" s="322">
        <f>($D76)*'INGRESO A PS DE CA'!U76</f>
        <v>0.50798719999999997</v>
      </c>
      <c r="V236" s="322">
        <f>($D76)*'INGRESO A PS DE CA'!V76</f>
        <v>0.51088520000000004</v>
      </c>
      <c r="W236" s="322">
        <f>($D76)*'INGRESO A PS DE CA'!W76</f>
        <v>0.51371880000000003</v>
      </c>
      <c r="X236" s="322">
        <f>($D76)*'INGRESO A PS DE CA'!X76</f>
        <v>0.51661679999999999</v>
      </c>
      <c r="Y236" s="322">
        <f>($D76)*'INGRESO A PS DE CA'!Y76</f>
        <v>0.51945040000000009</v>
      </c>
      <c r="Z236" s="322">
        <f>($D76)*'INGRESO A PS DE CA'!Z76</f>
        <v>0.52228400000000008</v>
      </c>
    </row>
    <row r="237" spans="1:26" ht="24.95" customHeight="1">
      <c r="A237" s="260" t="str">
        <f>+Pobl_adoptada!A77</f>
        <v>General Pueyrredón</v>
      </c>
      <c r="B237" s="70">
        <f>+Pobl_adoptada!B77</f>
        <v>73</v>
      </c>
      <c r="C237" s="71" t="str">
        <f>+Pobl_adoptada!C77</f>
        <v>Mar del Plata</v>
      </c>
      <c r="D237" s="291"/>
      <c r="E237" s="278"/>
      <c r="F237" s="263"/>
      <c r="G237" s="322">
        <f>($D77)*'INGRESO A PS DE CA'!G77</f>
        <v>2.1462935400000003</v>
      </c>
      <c r="H237" s="322">
        <f>($D77)*'INGRESO A PS DE CA'!H77</f>
        <v>17.304783359999998</v>
      </c>
      <c r="I237" s="322">
        <f>($D77)*'INGRESO A PS DE CA'!I77</f>
        <v>32.7006072</v>
      </c>
      <c r="J237" s="322">
        <f>($D77)*'INGRESO A PS DE CA'!J77</f>
        <v>54.927819</v>
      </c>
      <c r="K237" s="322">
        <f>($D77)*'INGRESO A PS DE CA'!K77</f>
        <v>77.501214000000004</v>
      </c>
      <c r="L237" s="322">
        <f>($D77)*'INGRESO A PS DE CA'!L77</f>
        <v>78.108219000000005</v>
      </c>
      <c r="M237" s="322">
        <f>($D77)*'INGRESO A PS DE CA'!M77</f>
        <v>78.719862899999995</v>
      </c>
      <c r="N237" s="322">
        <f>($D77)*'INGRESO A PS DE CA'!N77</f>
        <v>79.336441799999989</v>
      </c>
      <c r="O237" s="322">
        <f>($D77)*'INGRESO A PS DE CA'!O77</f>
        <v>79.957758300000009</v>
      </c>
      <c r="P237" s="322">
        <f>($D77)*'INGRESO A PS DE CA'!P77</f>
        <v>80.583911100000009</v>
      </c>
      <c r="Q237" s="322">
        <f>($D77)*'INGRESO A PS DE CA'!Q77</f>
        <v>81.214998899999998</v>
      </c>
      <c r="R237" s="322">
        <f>($D77)*'INGRESO A PS DE CA'!R77</f>
        <v>81.85102169999999</v>
      </c>
      <c r="S237" s="322">
        <f>($D77)*'INGRESO A PS DE CA'!S77</f>
        <v>82.492078200000009</v>
      </c>
      <c r="T237" s="322">
        <f>($D77)*'INGRESO A PS DE CA'!T77</f>
        <v>83.138069700000003</v>
      </c>
      <c r="U237" s="322">
        <f>($D77)*'INGRESO A PS DE CA'!U77</f>
        <v>83.789193600000004</v>
      </c>
      <c r="V237" s="322">
        <f>($D77)*'INGRESO A PS DE CA'!V77</f>
        <v>84.445351200000005</v>
      </c>
      <c r="W237" s="322">
        <f>($D77)*'INGRESO A PS DE CA'!W77</f>
        <v>85.106739899999994</v>
      </c>
      <c r="X237" s="322">
        <f>($D77)*'INGRESO A PS DE CA'!X77</f>
        <v>85.7733597</v>
      </c>
      <c r="Y237" s="322">
        <f>($D77)*'INGRESO A PS DE CA'!Y77</f>
        <v>86.445013200000005</v>
      </c>
      <c r="Z237" s="322">
        <f>($D77)*'INGRESO A PS DE CA'!Z77</f>
        <v>87.121996500000009</v>
      </c>
    </row>
    <row r="238" spans="1:26" ht="24.95" customHeight="1">
      <c r="A238" s="260" t="str">
        <f>+Pobl_adoptada!A78</f>
        <v>General Rodríguez</v>
      </c>
      <c r="B238" s="70">
        <f>+Pobl_adoptada!B78</f>
        <v>74</v>
      </c>
      <c r="C238" s="71" t="str">
        <f>+Pobl_adoptada!C78</f>
        <v>General Rodríguez</v>
      </c>
      <c r="D238" s="291"/>
      <c r="E238" s="278"/>
      <c r="F238" s="263"/>
      <c r="G238" s="322">
        <f>($D78)*'INGRESO A PS DE CA'!G78</f>
        <v>0.31197108000000007</v>
      </c>
      <c r="H238" s="322">
        <f>($D78)*'INGRESO A PS DE CA'!H78</f>
        <v>2.5746758400000003</v>
      </c>
      <c r="I238" s="322">
        <f>($D78)*'INGRESO A PS DE CA'!I78</f>
        <v>4.9778856000000005</v>
      </c>
      <c r="J238" s="322">
        <f>($D78)*'INGRESO A PS DE CA'!J78</f>
        <v>8.5512210000000017</v>
      </c>
      <c r="K238" s="322">
        <f>($D78)*'INGRESO A PS DE CA'!K78</f>
        <v>12.3341358</v>
      </c>
      <c r="L238" s="322">
        <f>($D78)*'INGRESO A PS DE CA'!L78</f>
        <v>12.702416999999999</v>
      </c>
      <c r="M238" s="322">
        <f>($D78)*'INGRESO A PS DE CA'!M78</f>
        <v>13.076767199999999</v>
      </c>
      <c r="N238" s="322">
        <f>($D78)*'INGRESO A PS DE CA'!N78</f>
        <v>13.457257800000001</v>
      </c>
      <c r="O238" s="322">
        <f>($D78)*'INGRESO A PS DE CA'!O78</f>
        <v>13.8438888</v>
      </c>
      <c r="P238" s="322">
        <f>($D78)*'INGRESO A PS DE CA'!P78</f>
        <v>14.236803000000002</v>
      </c>
      <c r="Q238" s="322">
        <f>($D78)*'INGRESO A PS DE CA'!Q78</f>
        <v>14.636214599999997</v>
      </c>
      <c r="R238" s="322">
        <f>($D78)*'INGRESO A PS DE CA'!R78</f>
        <v>15.042052199999999</v>
      </c>
      <c r="S238" s="322">
        <f>($D78)*'INGRESO A PS DE CA'!S78</f>
        <v>15.4546014</v>
      </c>
      <c r="T238" s="322">
        <f>($D78)*'INGRESO A PS DE CA'!T78</f>
        <v>15.873790799999998</v>
      </c>
      <c r="U238" s="322">
        <f>($D78)*'INGRESO A PS DE CA'!U78</f>
        <v>16.299906000000004</v>
      </c>
      <c r="V238" s="322">
        <f>($D78)*'INGRESO A PS DE CA'!V78</f>
        <v>16.732946999999999</v>
      </c>
      <c r="W238" s="322">
        <f>($D78)*'INGRESO A PS DE CA'!W78</f>
        <v>17.172985199999999</v>
      </c>
      <c r="X238" s="322">
        <f>($D78)*'INGRESO A PS DE CA'!X78</f>
        <v>17.620234800000002</v>
      </c>
      <c r="Y238" s="322">
        <f>($D78)*'INGRESO A PS DE CA'!Y78</f>
        <v>18.0748386</v>
      </c>
      <c r="Z238" s="322">
        <f>($D78)*'INGRESO A PS DE CA'!Z78</f>
        <v>18.536796599999999</v>
      </c>
    </row>
    <row r="239" spans="1:26" ht="24.95" customHeight="1">
      <c r="A239" s="260" t="str">
        <f>+Pobl_adoptada!A79</f>
        <v>General Viamonte</v>
      </c>
      <c r="B239" s="70">
        <f>+Pobl_adoptada!B79</f>
        <v>75</v>
      </c>
      <c r="C239" s="71" t="str">
        <f>+Pobl_adoptada!C79</f>
        <v>Los Toldos</v>
      </c>
      <c r="D239" s="291"/>
      <c r="E239" s="278"/>
      <c r="F239" s="263"/>
      <c r="G239" s="322">
        <f>($D79)*'INGRESO A PS DE CA'!G79</f>
        <v>3.4893080000000007E-2</v>
      </c>
      <c r="H239" s="322">
        <f>($D79)*'INGRESO A PS DE CA'!H79</f>
        <v>0.28119679999999997</v>
      </c>
      <c r="I239" s="322">
        <f>($D79)*'INGRESO A PS DE CA'!I79</f>
        <v>0.53112360000000014</v>
      </c>
      <c r="J239" s="322">
        <f>($D79)*'INGRESO A PS DE CA'!J79</f>
        <v>0.89161900000000005</v>
      </c>
      <c r="K239" s="322">
        <f>($D79)*'INGRESO A PS DE CA'!K79</f>
        <v>1.2573190000000001</v>
      </c>
      <c r="L239" s="322">
        <f>($D79)*'INGRESO A PS DE CA'!L79</f>
        <v>1.2662971999999999</v>
      </c>
      <c r="M239" s="322">
        <f>($D79)*'INGRESO A PS DE CA'!M79</f>
        <v>1.2753496000000002</v>
      </c>
      <c r="N239" s="322">
        <f>($D79)*'INGRESO A PS DE CA'!N79</f>
        <v>1.2843278000000002</v>
      </c>
      <c r="O239" s="322">
        <f>($D79)*'INGRESO A PS DE CA'!O79</f>
        <v>1.2933060000000001</v>
      </c>
      <c r="P239" s="322">
        <f>($D79)*'INGRESO A PS DE CA'!P79</f>
        <v>1.3023584000000001</v>
      </c>
      <c r="Q239" s="322">
        <f>($D79)*'INGRESO A PS DE CA'!Q79</f>
        <v>1.3113366</v>
      </c>
      <c r="R239" s="322">
        <f>($D79)*'INGRESO A PS DE CA'!R79</f>
        <v>1.320389</v>
      </c>
      <c r="S239" s="322">
        <f>($D79)*'INGRESO A PS DE CA'!S79</f>
        <v>1.3293672000000001</v>
      </c>
      <c r="T239" s="322">
        <f>($D79)*'INGRESO A PS DE CA'!T79</f>
        <v>1.3384195999999999</v>
      </c>
      <c r="U239" s="322">
        <f>($D79)*'INGRESO A PS DE CA'!U79</f>
        <v>1.3473978000000002</v>
      </c>
      <c r="V239" s="322">
        <f>($D79)*'INGRESO A PS DE CA'!V79</f>
        <v>1.356376</v>
      </c>
      <c r="W239" s="322">
        <f>($D79)*'INGRESO A PS DE CA'!W79</f>
        <v>1.3654284000000001</v>
      </c>
      <c r="X239" s="322">
        <f>($D79)*'INGRESO A PS DE CA'!X79</f>
        <v>1.3744066000000001</v>
      </c>
      <c r="Y239" s="322">
        <f>($D79)*'INGRESO A PS DE CA'!Y79</f>
        <v>1.383459</v>
      </c>
      <c r="Z239" s="322">
        <f>($D79)*'INGRESO A PS DE CA'!Z79</f>
        <v>1.3924372000000003</v>
      </c>
    </row>
    <row r="240" spans="1:26" ht="24.95" customHeight="1">
      <c r="A240" s="260" t="str">
        <f>+Pobl_adoptada!A80</f>
        <v>General Villegas</v>
      </c>
      <c r="B240" s="70">
        <f>+Pobl_adoptada!B80</f>
        <v>76</v>
      </c>
      <c r="C240" s="71" t="str">
        <f>+Pobl_adoptada!C80</f>
        <v>General Villegas</v>
      </c>
      <c r="D240" s="291"/>
      <c r="E240" s="278"/>
      <c r="F240" s="263"/>
      <c r="G240" s="322">
        <f>($D80)*'INGRESO A PS DE CA'!G80</f>
        <v>4.7634280000000001E-2</v>
      </c>
      <c r="H240" s="322">
        <f>($D80)*'INGRESO A PS DE CA'!H80</f>
        <v>0.38602656000000007</v>
      </c>
      <c r="I240" s="322">
        <f>($D80)*'INGRESO A PS DE CA'!I80</f>
        <v>0.7332126000000001</v>
      </c>
      <c r="J240" s="322">
        <f>($D80)*'INGRESO A PS DE CA'!J80</f>
        <v>1.2378680000000002</v>
      </c>
      <c r="K240" s="322">
        <f>($D80)*'INGRESO A PS DE CA'!K80</f>
        <v>1.7555720000000001</v>
      </c>
      <c r="L240" s="322">
        <f>($D80)*'INGRESO A PS DE CA'!L80</f>
        <v>1.7783514</v>
      </c>
      <c r="M240" s="322">
        <f>($D80)*'INGRESO A PS DE CA'!M80</f>
        <v>1.8015017999999998</v>
      </c>
      <c r="N240" s="322">
        <f>($D80)*'INGRESO A PS DE CA'!N80</f>
        <v>1.8248748000000004</v>
      </c>
      <c r="O240" s="322">
        <f>($D80)*'INGRESO A PS DE CA'!O80</f>
        <v>1.8486187999999999</v>
      </c>
      <c r="P240" s="322">
        <f>($D80)*'INGRESO A PS DE CA'!P80</f>
        <v>1.8726596000000002</v>
      </c>
      <c r="Q240" s="322">
        <f>($D80)*'INGRESO A PS DE CA'!Q80</f>
        <v>1.8969972000000004</v>
      </c>
      <c r="R240" s="322">
        <f>($D80)*'INGRESO A PS DE CA'!R80</f>
        <v>1.9216316</v>
      </c>
      <c r="S240" s="322">
        <f>($D80)*'INGRESO A PS DE CA'!S80</f>
        <v>1.946637</v>
      </c>
      <c r="T240" s="322">
        <f>($D80)*'INGRESO A PS DE CA'!T80</f>
        <v>1.9719392</v>
      </c>
      <c r="U240" s="322">
        <f>($D80)*'INGRESO A PS DE CA'!U80</f>
        <v>1.9975382000000002</v>
      </c>
      <c r="V240" s="322">
        <f>($D80)*'INGRESO A PS DE CA'!V80</f>
        <v>2.0235081999999998</v>
      </c>
      <c r="W240" s="322">
        <f>($D80)*'INGRESO A PS DE CA'!W80</f>
        <v>2.0497749999999999</v>
      </c>
      <c r="X240" s="322">
        <f>($D80)*'INGRESO A PS DE CA'!X80</f>
        <v>2.0764127999999999</v>
      </c>
      <c r="Y240" s="322">
        <f>($D80)*'INGRESO A PS DE CA'!Y80</f>
        <v>2.1034216000000003</v>
      </c>
      <c r="Z240" s="322">
        <f>($D80)*'INGRESO A PS DE CA'!Z80</f>
        <v>2.1307272000000004</v>
      </c>
    </row>
    <row r="241" spans="1:26" ht="24.95" customHeight="1">
      <c r="A241" s="260" t="str">
        <f>+Pobl_adoptada!A81</f>
        <v>Guaminí</v>
      </c>
      <c r="B241" s="70">
        <f>+Pobl_adoptada!B81</f>
        <v>77</v>
      </c>
      <c r="C241" s="71" t="str">
        <f>+Pobl_adoptada!C81</f>
        <v>Guaminí</v>
      </c>
      <c r="D241" s="291"/>
      <c r="E241" s="278"/>
      <c r="F241" s="263"/>
      <c r="G241" s="322">
        <f>($D81)*'INGRESO A PS DE CA'!G81</f>
        <v>5.3470400000000008E-3</v>
      </c>
      <c r="H241" s="322">
        <f>($D81)*'INGRESO A PS DE CA'!H81</f>
        <v>4.2864640000000009E-2</v>
      </c>
      <c r="I241" s="322">
        <f>($D81)*'INGRESO A PS DE CA'!I81</f>
        <v>8.0509200000000017E-2</v>
      </c>
      <c r="J241" s="322">
        <f>($D81)*'INGRESO A PS DE CA'!J81</f>
        <v>0.13445800000000002</v>
      </c>
      <c r="K241" s="322">
        <f>($D81)*'INGRESO A PS DE CA'!K81</f>
        <v>0.18862760000000001</v>
      </c>
      <c r="L241" s="322">
        <f>($D81)*'INGRESO A PS DE CA'!L81</f>
        <v>0.18901400000000002</v>
      </c>
      <c r="M241" s="322">
        <f>($D81)*'INGRESO A PS DE CA'!M81</f>
        <v>0.189336</v>
      </c>
      <c r="N241" s="322">
        <f>($D81)*'INGRESO A PS DE CA'!N81</f>
        <v>0.18972240000000001</v>
      </c>
      <c r="O241" s="322">
        <f>($D81)*'INGRESO A PS DE CA'!O81</f>
        <v>0.19010879999999999</v>
      </c>
      <c r="P241" s="322">
        <f>($D81)*'INGRESO A PS DE CA'!P81</f>
        <v>0.19043080000000001</v>
      </c>
      <c r="Q241" s="322">
        <f>($D81)*'INGRESO A PS DE CA'!Q81</f>
        <v>0.19081720000000002</v>
      </c>
      <c r="R241" s="322">
        <f>($D81)*'INGRESO A PS DE CA'!R81</f>
        <v>0.1912036</v>
      </c>
      <c r="S241" s="322">
        <f>($D81)*'INGRESO A PS DE CA'!S81</f>
        <v>0.19159000000000001</v>
      </c>
      <c r="T241" s="322">
        <f>($D81)*'INGRESO A PS DE CA'!T81</f>
        <v>0.191912</v>
      </c>
      <c r="U241" s="322">
        <f>($D81)*'INGRESO A PS DE CA'!U81</f>
        <v>0.19229840000000001</v>
      </c>
      <c r="V241" s="322">
        <f>($D81)*'INGRESO A PS DE CA'!V81</f>
        <v>0.19268480000000002</v>
      </c>
      <c r="W241" s="322">
        <f>($D81)*'INGRESO A PS DE CA'!W81</f>
        <v>0.1930712</v>
      </c>
      <c r="X241" s="322">
        <f>($D81)*'INGRESO A PS DE CA'!X81</f>
        <v>0.19339320000000002</v>
      </c>
      <c r="Y241" s="322">
        <f>($D81)*'INGRESO A PS DE CA'!Y81</f>
        <v>0.19377960000000002</v>
      </c>
      <c r="Z241" s="322">
        <f>($D81)*'INGRESO A PS DE CA'!Z81</f>
        <v>0.19416600000000001</v>
      </c>
    </row>
    <row r="242" spans="1:26" ht="24.95" customHeight="1">
      <c r="A242" s="260" t="str">
        <f>+Pobl_adoptada!A82</f>
        <v>Hipólito Yrigoyen</v>
      </c>
      <c r="B242" s="70">
        <f>+Pobl_adoptada!B82</f>
        <v>78</v>
      </c>
      <c r="C242" s="71" t="str">
        <f>+Pobl_adoptada!C82</f>
        <v>Henderson</v>
      </c>
      <c r="D242" s="291"/>
      <c r="E242" s="278"/>
      <c r="F242" s="263"/>
      <c r="G242" s="322">
        <f>($D82)*'INGRESO A PS DE CA'!G82</f>
        <v>1.744136E-2</v>
      </c>
      <c r="H242" s="322">
        <f>($D82)*'INGRESO A PS DE CA'!H82</f>
        <v>0.14034048000000002</v>
      </c>
      <c r="I242" s="322">
        <f>($D82)*'INGRESO A PS DE CA'!I82</f>
        <v>0.26465640000000001</v>
      </c>
      <c r="J242" s="322">
        <f>($D82)*'INGRESO A PS DE CA'!J82</f>
        <v>0.44362400000000002</v>
      </c>
      <c r="K242" s="322">
        <f>($D82)*'INGRESO A PS DE CA'!K82</f>
        <v>0.62468000000000001</v>
      </c>
      <c r="L242" s="322">
        <f>($D82)*'INGRESO A PS DE CA'!L82</f>
        <v>0.62828640000000013</v>
      </c>
      <c r="M242" s="322">
        <f>($D82)*'INGRESO A PS DE CA'!M82</f>
        <v>0.63189280000000014</v>
      </c>
      <c r="N242" s="322">
        <f>($D82)*'INGRESO A PS DE CA'!N82</f>
        <v>0.63556360000000001</v>
      </c>
      <c r="O242" s="322">
        <f>($D82)*'INGRESO A PS DE CA'!O82</f>
        <v>0.63923440000000009</v>
      </c>
      <c r="P242" s="322">
        <f>($D82)*'INGRESO A PS DE CA'!P82</f>
        <v>0.64290519999999995</v>
      </c>
      <c r="Q242" s="322">
        <f>($D82)*'INGRESO A PS DE CA'!Q82</f>
        <v>0.64664040000000012</v>
      </c>
      <c r="R242" s="322">
        <f>($D82)*'INGRESO A PS DE CA'!R82</f>
        <v>0.65037559999999994</v>
      </c>
      <c r="S242" s="322">
        <f>($D82)*'INGRESO A PS DE CA'!S82</f>
        <v>0.6541108000000001</v>
      </c>
      <c r="T242" s="322">
        <f>($D82)*'INGRESO A PS DE CA'!T82</f>
        <v>0.65791040000000001</v>
      </c>
      <c r="U242" s="322">
        <f>($D82)*'INGRESO A PS DE CA'!U82</f>
        <v>0.66170999999999991</v>
      </c>
      <c r="V242" s="322">
        <f>($D82)*'INGRESO A PS DE CA'!V82</f>
        <v>0.66550960000000003</v>
      </c>
      <c r="W242" s="322">
        <f>($D82)*'INGRESO A PS DE CA'!W82</f>
        <v>0.6693735999999999</v>
      </c>
      <c r="X242" s="322">
        <f>($D82)*'INGRESO A PS DE CA'!X82</f>
        <v>0.67323759999999999</v>
      </c>
      <c r="Y242" s="322">
        <f>($D82)*'INGRESO A PS DE CA'!Y82</f>
        <v>0.67710160000000008</v>
      </c>
      <c r="Z242" s="322">
        <f>($D82)*'INGRESO A PS DE CA'!Z82</f>
        <v>0.68102999999999991</v>
      </c>
    </row>
    <row r="243" spans="1:26" ht="24.95" customHeight="1">
      <c r="A243" s="260" t="str">
        <f>+Pobl_adoptada!A83</f>
        <v>Junín</v>
      </c>
      <c r="B243" s="70">
        <f>+Pobl_adoptada!B83</f>
        <v>79</v>
      </c>
      <c r="C243" s="71" t="str">
        <f>+Pobl_adoptada!C83</f>
        <v>Junín</v>
      </c>
      <c r="D243" s="291"/>
      <c r="E243" s="278"/>
      <c r="F243" s="263"/>
      <c r="G243" s="322">
        <f>($D83)*'INGRESO A PS DE CA'!G83</f>
        <v>0.20066664000000001</v>
      </c>
      <c r="H243" s="322">
        <f>($D83)*'INGRESO A PS DE CA'!H83</f>
        <v>1.6161206400000001</v>
      </c>
      <c r="I243" s="322">
        <f>($D83)*'INGRESO A PS DE CA'!I83</f>
        <v>3.0504221999999999</v>
      </c>
      <c r="J243" s="322">
        <f>($D83)*'INGRESO A PS DE CA'!J83</f>
        <v>5.1176970000000006</v>
      </c>
      <c r="K243" s="322">
        <f>($D83)*'INGRESO A PS DE CA'!K83</f>
        <v>7.2118997999999994</v>
      </c>
      <c r="L243" s="322">
        <f>($D83)*'INGRESO A PS DE CA'!L83</f>
        <v>7.2590238000000005</v>
      </c>
      <c r="M243" s="322">
        <f>($D83)*'INGRESO A PS DE CA'!M83</f>
        <v>7.3061477999999997</v>
      </c>
      <c r="N243" s="322">
        <f>($D83)*'INGRESO A PS DE CA'!N83</f>
        <v>7.353271799999999</v>
      </c>
      <c r="O243" s="322">
        <f>($D83)*'INGRESO A PS DE CA'!O83</f>
        <v>7.4003958000000001</v>
      </c>
      <c r="P243" s="322">
        <f>($D83)*'INGRESO A PS DE CA'!P83</f>
        <v>7.4475197999999994</v>
      </c>
      <c r="Q243" s="322">
        <f>($D83)*'INGRESO A PS DE CA'!Q83</f>
        <v>7.4946437999999986</v>
      </c>
      <c r="R243" s="322">
        <f>($D83)*'INGRESO A PS DE CA'!R83</f>
        <v>7.5417677999999997</v>
      </c>
      <c r="S243" s="322">
        <f>($D83)*'INGRESO A PS DE CA'!S83</f>
        <v>7.5889631999999994</v>
      </c>
      <c r="T243" s="322">
        <f>($D83)*'INGRESO A PS DE CA'!T83</f>
        <v>7.6360872000000004</v>
      </c>
      <c r="U243" s="322">
        <f>($D83)*'INGRESO A PS DE CA'!U83</f>
        <v>7.6832111999999997</v>
      </c>
      <c r="V243" s="322">
        <f>($D83)*'INGRESO A PS DE CA'!V83</f>
        <v>7.7303352000000007</v>
      </c>
      <c r="W243" s="322">
        <f>($D83)*'INGRESO A PS DE CA'!W83</f>
        <v>7.7774592</v>
      </c>
      <c r="X243" s="322">
        <f>($D83)*'INGRESO A PS DE CA'!X83</f>
        <v>7.8245831999999993</v>
      </c>
      <c r="Y243" s="322">
        <f>($D83)*'INGRESO A PS DE CA'!Y83</f>
        <v>7.8717072000000003</v>
      </c>
      <c r="Z243" s="322">
        <f>($D83)*'INGRESO A PS DE CA'!Z83</f>
        <v>7.9188311999999996</v>
      </c>
    </row>
    <row r="244" spans="1:26" ht="24.95" customHeight="1">
      <c r="A244" s="260" t="str">
        <f>+Pobl_adoptada!A84</f>
        <v>La Costa</v>
      </c>
      <c r="B244" s="70">
        <f>+Pobl_adoptada!B84</f>
        <v>80</v>
      </c>
      <c r="C244" s="71" t="str">
        <f>+Pobl_adoptada!C84</f>
        <v>Mar de Ajó - San Bernardo</v>
      </c>
      <c r="D244" s="291"/>
      <c r="E244" s="278"/>
      <c r="F244" s="263"/>
      <c r="G244" s="322">
        <f>($D84)*'INGRESO A PS DE CA'!G84</f>
        <v>0.20342064000000004</v>
      </c>
      <c r="H244" s="322">
        <f>($D84)*'INGRESO A PS DE CA'!H84</f>
        <v>1.6725388800000003</v>
      </c>
      <c r="I244" s="322">
        <f>($D84)*'INGRESO A PS DE CA'!I84</f>
        <v>3.22065</v>
      </c>
      <c r="J244" s="322">
        <f>($D84)*'INGRESO A PS DE CA'!J84</f>
        <v>5.5089180000000004</v>
      </c>
      <c r="K244" s="322">
        <f>($D84)*'INGRESO A PS DE CA'!K84</f>
        <v>7.9100489999999999</v>
      </c>
      <c r="L244" s="322">
        <f>($D84)*'INGRESO A PS DE CA'!L84</f>
        <v>8.1521663999999987</v>
      </c>
      <c r="M244" s="322">
        <f>($D84)*'INGRESO A PS DE CA'!M84</f>
        <v>8.3943551999999997</v>
      </c>
      <c r="N244" s="322">
        <f>($D84)*'INGRESO A PS DE CA'!N84</f>
        <v>8.6364726000000012</v>
      </c>
      <c r="O244" s="322">
        <f>($D84)*'INGRESO A PS DE CA'!O84</f>
        <v>8.8785900000000009</v>
      </c>
      <c r="P244" s="322">
        <f>($D84)*'INGRESO A PS DE CA'!P84</f>
        <v>9.1207788000000001</v>
      </c>
      <c r="Q244" s="322">
        <f>($D84)*'INGRESO A PS DE CA'!Q84</f>
        <v>9.3628961999999998</v>
      </c>
      <c r="R244" s="322">
        <f>($D84)*'INGRESO A PS DE CA'!R84</f>
        <v>9.605084999999999</v>
      </c>
      <c r="S244" s="322">
        <f>($D84)*'INGRESO A PS DE CA'!S84</f>
        <v>9.8472024000000005</v>
      </c>
      <c r="T244" s="322">
        <f>($D84)*'INGRESO A PS DE CA'!T84</f>
        <v>10.089319800000002</v>
      </c>
      <c r="U244" s="322">
        <f>($D84)*'INGRESO A PS DE CA'!U84</f>
        <v>10.331508600000001</v>
      </c>
      <c r="V244" s="322">
        <f>($D84)*'INGRESO A PS DE CA'!V84</f>
        <v>10.573625999999999</v>
      </c>
      <c r="W244" s="322">
        <f>($D84)*'INGRESO A PS DE CA'!W84</f>
        <v>10.8158148</v>
      </c>
      <c r="X244" s="322">
        <f>($D84)*'INGRESO A PS DE CA'!X84</f>
        <v>11.0579322</v>
      </c>
      <c r="Y244" s="322">
        <f>($D84)*'INGRESO A PS DE CA'!Y84</f>
        <v>11.300120999999999</v>
      </c>
      <c r="Z244" s="322">
        <f>($D84)*'INGRESO A PS DE CA'!Z84</f>
        <v>11.542238399999999</v>
      </c>
    </row>
    <row r="245" spans="1:26" ht="24.95" customHeight="1">
      <c r="A245" s="260" t="str">
        <f>+Pobl_adoptada!A85</f>
        <v>La Costa</v>
      </c>
      <c r="B245" s="70">
        <f>+Pobl_adoptada!B85</f>
        <v>81</v>
      </c>
      <c r="C245" s="71" t="str">
        <f>+Pobl_adoptada!C85</f>
        <v>Santa Teresita - Mar del Tuyú</v>
      </c>
      <c r="D245" s="291"/>
      <c r="E245" s="278"/>
      <c r="F245" s="263"/>
      <c r="G245" s="322">
        <f>($D85)*'INGRESO A PS DE CA'!G85</f>
        <v>0.12950532000000001</v>
      </c>
      <c r="H245" s="322">
        <f>($D85)*'INGRESO A PS DE CA'!H85</f>
        <v>1.0548595199999999</v>
      </c>
      <c r="I245" s="322">
        <f>($D85)*'INGRESO A PS DE CA'!I85</f>
        <v>2.0130822000000004</v>
      </c>
      <c r="J245" s="322">
        <f>($D85)*'INGRESO A PS DE CA'!J85</f>
        <v>3.4138889999999997</v>
      </c>
      <c r="K245" s="322">
        <f>($D85)*'INGRESO A PS DE CA'!K85</f>
        <v>4.8617688000000001</v>
      </c>
      <c r="L245" s="322">
        <f>($D85)*'INGRESO A PS DE CA'!L85</f>
        <v>4.944021600000001</v>
      </c>
      <c r="M245" s="322">
        <f>($D85)*'INGRESO A PS DE CA'!M85</f>
        <v>5.0262029999999998</v>
      </c>
      <c r="N245" s="322">
        <f>($D85)*'INGRESO A PS DE CA'!N85</f>
        <v>5.1085272000000002</v>
      </c>
      <c r="O245" s="322">
        <f>($D85)*'INGRESO A PS DE CA'!O85</f>
        <v>5.1907800000000002</v>
      </c>
      <c r="P245" s="322">
        <f>($D85)*'INGRESO A PS DE CA'!P85</f>
        <v>5.2730328000000002</v>
      </c>
      <c r="Q245" s="322">
        <f>($D85)*'INGRESO A PS DE CA'!Q85</f>
        <v>5.3553569999999997</v>
      </c>
      <c r="R245" s="322">
        <f>($D85)*'INGRESO A PS DE CA'!R85</f>
        <v>5.4375384000000002</v>
      </c>
      <c r="S245" s="322">
        <f>($D85)*'INGRESO A PS DE CA'!S85</f>
        <v>5.5197912000000002</v>
      </c>
      <c r="T245" s="322">
        <f>($D85)*'INGRESO A PS DE CA'!T85</f>
        <v>5.6021153999999997</v>
      </c>
      <c r="U245" s="322">
        <f>($D85)*'INGRESO A PS DE CA'!U85</f>
        <v>5.6843681999999998</v>
      </c>
      <c r="V245" s="322">
        <f>($D85)*'INGRESO A PS DE CA'!V85</f>
        <v>5.7666210000000007</v>
      </c>
      <c r="W245" s="322">
        <f>($D85)*'INGRESO A PS DE CA'!W85</f>
        <v>5.8488737999999998</v>
      </c>
      <c r="X245" s="322">
        <f>($D85)*'INGRESO A PS DE CA'!X85</f>
        <v>5.9311266000000007</v>
      </c>
      <c r="Y245" s="322">
        <f>($D85)*'INGRESO A PS DE CA'!Y85</f>
        <v>6.0133793999999989</v>
      </c>
      <c r="Z245" s="322">
        <f>($D85)*'INGRESO A PS DE CA'!Z85</f>
        <v>6.0957036000000002</v>
      </c>
    </row>
    <row r="246" spans="1:26" ht="24.95" customHeight="1">
      <c r="A246" s="260" t="str">
        <f>+Pobl_adoptada!A86</f>
        <v>La Plata</v>
      </c>
      <c r="B246" s="70">
        <f>+Pobl_adoptada!B86</f>
        <v>82</v>
      </c>
      <c r="C246" s="71" t="str">
        <f>+Pobl_adoptada!C86</f>
        <v>La Plata</v>
      </c>
      <c r="D246" s="291"/>
      <c r="E246" s="278"/>
      <c r="F246" s="263"/>
      <c r="G246" s="322">
        <f>($D86)*'INGRESO A PS DE CA'!G86</f>
        <v>2.1683403000000001</v>
      </c>
      <c r="H246" s="322">
        <f>($D86)*'INGRESO A PS DE CA'!H86</f>
        <v>17.54148288</v>
      </c>
      <c r="I246" s="322">
        <f>($D86)*'INGRESO A PS DE CA'!I86</f>
        <v>33.259517099999997</v>
      </c>
      <c r="J246" s="322">
        <f>($D86)*'INGRESO A PS DE CA'!J86</f>
        <v>56.054902500000004</v>
      </c>
      <c r="K246" s="322">
        <f>($D86)*'INGRESO A PS DE CA'!K86</f>
        <v>79.357859700000006</v>
      </c>
      <c r="L246" s="322">
        <f>($D86)*'INGRESO A PS DE CA'!L86</f>
        <v>80.248824600000006</v>
      </c>
      <c r="M246" s="322">
        <f>($D86)*'INGRESO A PS DE CA'!M86</f>
        <v>81.149758200000008</v>
      </c>
      <c r="N246" s="322">
        <f>($D86)*'INGRESO A PS DE CA'!N86</f>
        <v>82.060857900000002</v>
      </c>
      <c r="O246" s="322">
        <f>($D86)*'INGRESO A PS DE CA'!O86</f>
        <v>82.982123699999988</v>
      </c>
      <c r="P246" s="322">
        <f>($D86)*'INGRESO A PS DE CA'!P86</f>
        <v>83.913752999999986</v>
      </c>
      <c r="Q246" s="322">
        <f>($D86)*'INGRESO A PS DE CA'!Q86</f>
        <v>84.855844499999989</v>
      </c>
      <c r="R246" s="322">
        <f>($D86)*'INGRESO A PS DE CA'!R86</f>
        <v>85.808496899999994</v>
      </c>
      <c r="S246" s="322">
        <f>($D86)*'INGRESO A PS DE CA'!S86</f>
        <v>86.771808899999996</v>
      </c>
      <c r="T246" s="322">
        <f>($D86)*'INGRESO A PS DE CA'!T86</f>
        <v>87.7459779</v>
      </c>
      <c r="U246" s="322">
        <f>($D86)*'INGRESO A PS DE CA'!U86</f>
        <v>88.7311026</v>
      </c>
      <c r="V246" s="322">
        <f>($D86)*'INGRESO A PS DE CA'!V86</f>
        <v>89.727281699999992</v>
      </c>
      <c r="W246" s="322">
        <f>($D86)*'INGRESO A PS DE CA'!W86</f>
        <v>90.734712600000009</v>
      </c>
      <c r="X246" s="322">
        <f>($D86)*'INGRESO A PS DE CA'!X86</f>
        <v>91.753296599999999</v>
      </c>
      <c r="Y246" s="322">
        <f>($D86)*'INGRESO A PS DE CA'!Y86</f>
        <v>92.783428499999985</v>
      </c>
      <c r="Z246" s="322">
        <f>($D86)*'INGRESO A PS DE CA'!Z86</f>
        <v>93.825108300000011</v>
      </c>
    </row>
    <row r="247" spans="1:26" ht="24.95" customHeight="1">
      <c r="A247" s="260" t="str">
        <f>+Pobl_adoptada!A87</f>
        <v>Laprida</v>
      </c>
      <c r="B247" s="70">
        <f>+Pobl_adoptada!B87</f>
        <v>83</v>
      </c>
      <c r="C247" s="71" t="str">
        <f>+Pobl_adoptada!C87</f>
        <v>Laprida</v>
      </c>
      <c r="D247" s="291"/>
      <c r="E247" s="278"/>
      <c r="F247" s="263"/>
      <c r="G247" s="322">
        <f>($D87)*'INGRESO A PS DE CA'!G87</f>
        <v>1.8679680000000001E-2</v>
      </c>
      <c r="H247" s="322">
        <f>($D87)*'INGRESO A PS DE CA'!H87</f>
        <v>0.15073280000000003</v>
      </c>
      <c r="I247" s="322">
        <f>($D87)*'INGRESO A PS DE CA'!I87</f>
        <v>0.28508039999999996</v>
      </c>
      <c r="J247" s="322">
        <f>($D87)*'INGRESO A PS DE CA'!J87</f>
        <v>0.47927400000000003</v>
      </c>
      <c r="K247" s="322">
        <f>($D87)*'INGRESO A PS DE CA'!K87</f>
        <v>0.67677960000000015</v>
      </c>
      <c r="L247" s="322">
        <f>($D87)*'INGRESO A PS DE CA'!L87</f>
        <v>0.68270439999999999</v>
      </c>
      <c r="M247" s="322">
        <f>($D87)*'INGRESO A PS DE CA'!M87</f>
        <v>0.68862920000000016</v>
      </c>
      <c r="N247" s="322">
        <f>($D87)*'INGRESO A PS DE CA'!N87</f>
        <v>0.69461840000000008</v>
      </c>
      <c r="O247" s="322">
        <f>($D87)*'INGRESO A PS DE CA'!O87</f>
        <v>0.7006076</v>
      </c>
      <c r="P247" s="322">
        <f>($D87)*'INGRESO A PS DE CA'!P87</f>
        <v>0.70672559999999995</v>
      </c>
      <c r="Q247" s="322">
        <f>($D87)*'INGRESO A PS DE CA'!Q87</f>
        <v>0.71284359999999991</v>
      </c>
      <c r="R247" s="322">
        <f>($D87)*'INGRESO A PS DE CA'!R87</f>
        <v>0.71902600000000005</v>
      </c>
      <c r="S247" s="322">
        <f>($D87)*'INGRESO A PS DE CA'!S87</f>
        <v>0.72527280000000005</v>
      </c>
      <c r="T247" s="322">
        <f>($D87)*'INGRESO A PS DE CA'!T87</f>
        <v>0.73158400000000001</v>
      </c>
      <c r="U247" s="322">
        <f>($D87)*'INGRESO A PS DE CA'!U87</f>
        <v>0.73795959999999994</v>
      </c>
      <c r="V247" s="322">
        <f>($D87)*'INGRESO A PS DE CA'!V87</f>
        <v>0.74433519999999997</v>
      </c>
      <c r="W247" s="322">
        <f>($D87)*'INGRESO A PS DE CA'!W87</f>
        <v>0.75083960000000005</v>
      </c>
      <c r="X247" s="322">
        <f>($D87)*'INGRESO A PS DE CA'!X87</f>
        <v>0.75734400000000002</v>
      </c>
      <c r="Y247" s="322">
        <f>($D87)*'INGRESO A PS DE CA'!Y87</f>
        <v>0.76391279999999995</v>
      </c>
      <c r="Z247" s="322">
        <f>($D87)*'INGRESO A PS DE CA'!Z87</f>
        <v>0.77054600000000006</v>
      </c>
    </row>
    <row r="248" spans="1:26" ht="24.95" customHeight="1">
      <c r="A248" s="260" t="str">
        <f>+Pobl_adoptada!A88</f>
        <v>Las Flores</v>
      </c>
      <c r="B248" s="70">
        <f>+Pobl_adoptada!B88</f>
        <v>84</v>
      </c>
      <c r="C248" s="71" t="str">
        <f>+Pobl_adoptada!C88</f>
        <v>Las Flores</v>
      </c>
      <c r="D248" s="291"/>
      <c r="E248" s="278"/>
      <c r="F248" s="263"/>
      <c r="G248" s="322">
        <f>($D88)*'INGRESO A PS DE CA'!G88</f>
        <v>5.2529360000000004E-2</v>
      </c>
      <c r="H248" s="322">
        <f>($D88)*'INGRESO A PS DE CA'!H88</f>
        <v>0.42523808000000002</v>
      </c>
      <c r="I248" s="322">
        <f>($D88)*'INGRESO A PS DE CA'!I88</f>
        <v>0.80670240000000004</v>
      </c>
      <c r="J248" s="322">
        <f>($D88)*'INGRESO A PS DE CA'!J88</f>
        <v>1.3600860000000001</v>
      </c>
      <c r="K248" s="322">
        <f>($D88)*'INGRESO A PS DE CA'!K88</f>
        <v>1.9260093999999999</v>
      </c>
      <c r="L248" s="322">
        <f>($D88)*'INGRESO A PS DE CA'!L88</f>
        <v>1.9549474</v>
      </c>
      <c r="M248" s="322">
        <f>($D88)*'INGRESO A PS DE CA'!M88</f>
        <v>1.9839596000000002</v>
      </c>
      <c r="N248" s="322">
        <f>($D88)*'INGRESO A PS DE CA'!N88</f>
        <v>2.0128976000000001</v>
      </c>
      <c r="O248" s="322">
        <f>($D88)*'INGRESO A PS DE CA'!O88</f>
        <v>2.0419098000000004</v>
      </c>
      <c r="P248" s="322">
        <f>($D88)*'INGRESO A PS DE CA'!P88</f>
        <v>2.0708478000000001</v>
      </c>
      <c r="Q248" s="322">
        <f>($D88)*'INGRESO A PS DE CA'!Q88</f>
        <v>2.0998600000000001</v>
      </c>
      <c r="R248" s="322">
        <f>($D88)*'INGRESO A PS DE CA'!R88</f>
        <v>2.1287979999999997</v>
      </c>
      <c r="S248" s="322">
        <f>($D88)*'INGRESO A PS DE CA'!S88</f>
        <v>2.1578102000000001</v>
      </c>
      <c r="T248" s="322">
        <f>($D88)*'INGRESO A PS DE CA'!T88</f>
        <v>2.1867481999999998</v>
      </c>
      <c r="U248" s="322">
        <f>($D88)*'INGRESO A PS DE CA'!U88</f>
        <v>2.2157604000000002</v>
      </c>
      <c r="V248" s="322">
        <f>($D88)*'INGRESO A PS DE CA'!V88</f>
        <v>2.2446984000000003</v>
      </c>
      <c r="W248" s="322">
        <f>($D88)*'INGRESO A PS DE CA'!W88</f>
        <v>2.2737106000000002</v>
      </c>
      <c r="X248" s="322">
        <f>($D88)*'INGRESO A PS DE CA'!X88</f>
        <v>2.3026486000000004</v>
      </c>
      <c r="Y248" s="322">
        <f>($D88)*'INGRESO A PS DE CA'!Y88</f>
        <v>2.3316607999999999</v>
      </c>
      <c r="Z248" s="322">
        <f>($D88)*'INGRESO A PS DE CA'!Z88</f>
        <v>2.3605988000000004</v>
      </c>
    </row>
    <row r="249" spans="1:26" ht="24.95" customHeight="1">
      <c r="A249" s="260" t="str">
        <f>+Pobl_adoptada!A89</f>
        <v>Leandro N. Alem</v>
      </c>
      <c r="B249" s="70">
        <f>+Pobl_adoptada!B89</f>
        <v>85</v>
      </c>
      <c r="C249" s="71" t="str">
        <f>+Pobl_adoptada!C89</f>
        <v>Vedia</v>
      </c>
      <c r="D249" s="291"/>
      <c r="E249" s="278"/>
      <c r="F249" s="263"/>
      <c r="G249" s="322">
        <f>($D89)*'INGRESO A PS DE CA'!G89</f>
        <v>1.8707280000000003E-2</v>
      </c>
      <c r="H249" s="322">
        <f>($D89)*'INGRESO A PS DE CA'!H89</f>
        <v>0.15088000000000001</v>
      </c>
      <c r="I249" s="322">
        <f>($D89)*'INGRESO A PS DE CA'!I89</f>
        <v>0.28519080000000002</v>
      </c>
      <c r="J249" s="322">
        <f>($D89)*'INGRESO A PS DE CA'!J89</f>
        <v>0.47918200000000005</v>
      </c>
      <c r="K249" s="322">
        <f>($D89)*'INGRESO A PS DE CA'!K89</f>
        <v>0.67620000000000002</v>
      </c>
      <c r="L249" s="322">
        <f>($D89)*'INGRESO A PS DE CA'!L89</f>
        <v>0.68160960000000004</v>
      </c>
      <c r="M249" s="322">
        <f>($D89)*'INGRESO A PS DE CA'!M89</f>
        <v>0.68695480000000009</v>
      </c>
      <c r="N249" s="322">
        <f>($D89)*'INGRESO A PS DE CA'!N89</f>
        <v>0.69236439999999999</v>
      </c>
      <c r="O249" s="322">
        <f>($D89)*'INGRESO A PS DE CA'!O89</f>
        <v>0.69770960000000004</v>
      </c>
      <c r="P249" s="322">
        <f>($D89)*'INGRESO A PS DE CA'!P89</f>
        <v>0.70311920000000006</v>
      </c>
      <c r="Q249" s="322">
        <f>($D89)*'INGRESO A PS DE CA'!Q89</f>
        <v>0.70846439999999999</v>
      </c>
      <c r="R249" s="322">
        <f>($D89)*'INGRESO A PS DE CA'!R89</f>
        <v>0.71380960000000004</v>
      </c>
      <c r="S249" s="322">
        <f>($D89)*'INGRESO A PS DE CA'!S89</f>
        <v>0.71921920000000006</v>
      </c>
      <c r="T249" s="322">
        <f>($D89)*'INGRESO A PS DE CA'!T89</f>
        <v>0.7245644</v>
      </c>
      <c r="U249" s="322">
        <f>($D89)*'INGRESO A PS DE CA'!U89</f>
        <v>0.72997400000000001</v>
      </c>
      <c r="V249" s="322">
        <f>($D89)*'INGRESO A PS DE CA'!V89</f>
        <v>0.73531920000000017</v>
      </c>
      <c r="W249" s="322">
        <f>($D89)*'INGRESO A PS DE CA'!W89</f>
        <v>0.74072879999999997</v>
      </c>
      <c r="X249" s="322">
        <f>($D89)*'INGRESO A PS DE CA'!X89</f>
        <v>0.74607400000000013</v>
      </c>
      <c r="Y249" s="322">
        <f>($D89)*'INGRESO A PS DE CA'!Y89</f>
        <v>0.75148359999999992</v>
      </c>
      <c r="Z249" s="322">
        <f>($D89)*'INGRESO A PS DE CA'!Z89</f>
        <v>0.75682880000000008</v>
      </c>
    </row>
    <row r="250" spans="1:26" ht="24.95" customHeight="1">
      <c r="A250" s="260" t="str">
        <f>+Pobl_adoptada!A90</f>
        <v>Lincoln</v>
      </c>
      <c r="B250" s="70">
        <f>+Pobl_adoptada!B90</f>
        <v>86</v>
      </c>
      <c r="C250" s="71" t="str">
        <f>+Pobl_adoptada!C90</f>
        <v>Lincoln</v>
      </c>
      <c r="D250" s="291"/>
      <c r="E250" s="278"/>
      <c r="F250" s="263"/>
      <c r="G250" s="322">
        <f>($D90)*'INGRESO A PS DE CA'!G90</f>
        <v>6.3985840000000002E-2</v>
      </c>
      <c r="H250" s="322">
        <f>($D90)*'INGRESO A PS DE CA'!H90</f>
        <v>0.51424416000000006</v>
      </c>
      <c r="I250" s="322">
        <f>($D90)*'INGRESO A PS DE CA'!I90</f>
        <v>0.96862800000000027</v>
      </c>
      <c r="J250" s="322">
        <f>($D90)*'INGRESO A PS DE CA'!J90</f>
        <v>1.6218000000000001</v>
      </c>
      <c r="K250" s="322">
        <f>($D90)*'INGRESO A PS DE CA'!K90</f>
        <v>2.2809080000000002</v>
      </c>
      <c r="L250" s="322">
        <f>($D90)*'INGRESO A PS DE CA'!L90</f>
        <v>2.2913701999999998</v>
      </c>
      <c r="M250" s="322">
        <f>($D90)*'INGRESO A PS DE CA'!M90</f>
        <v>2.3019066000000001</v>
      </c>
      <c r="N250" s="322">
        <f>($D90)*'INGRESO A PS DE CA'!N90</f>
        <v>2.312443</v>
      </c>
      <c r="O250" s="322">
        <f>($D90)*'INGRESO A PS DE CA'!O90</f>
        <v>2.3230536000000002</v>
      </c>
      <c r="P250" s="322">
        <f>($D90)*'INGRESO A PS DE CA'!P90</f>
        <v>2.3336642000000003</v>
      </c>
      <c r="Q250" s="322">
        <f>($D90)*'INGRESO A PS DE CA'!Q90</f>
        <v>2.3444232</v>
      </c>
      <c r="R250" s="322">
        <f>($D90)*'INGRESO A PS DE CA'!R90</f>
        <v>2.3551821999999998</v>
      </c>
      <c r="S250" s="322">
        <f>($D90)*'INGRESO A PS DE CA'!S90</f>
        <v>2.3659412</v>
      </c>
      <c r="T250" s="322">
        <f>($D90)*'INGRESO A PS DE CA'!T90</f>
        <v>2.3768486000000002</v>
      </c>
      <c r="U250" s="322">
        <f>($D90)*'INGRESO A PS DE CA'!U90</f>
        <v>2.3877560000000004</v>
      </c>
      <c r="V250" s="322">
        <f>($D90)*'INGRESO A PS DE CA'!V90</f>
        <v>2.3986634000000002</v>
      </c>
      <c r="W250" s="322">
        <f>($D90)*'INGRESO A PS DE CA'!W90</f>
        <v>2.4096449999999998</v>
      </c>
      <c r="X250" s="322">
        <f>($D90)*'INGRESO A PS DE CA'!X90</f>
        <v>2.4207008000000001</v>
      </c>
      <c r="Y250" s="322">
        <f>($D90)*'INGRESO A PS DE CA'!Y90</f>
        <v>2.4318308000000002</v>
      </c>
      <c r="Z250" s="322">
        <f>($D90)*'INGRESO A PS DE CA'!Z90</f>
        <v>2.4429608000000003</v>
      </c>
    </row>
    <row r="251" spans="1:26" ht="24.95" customHeight="1">
      <c r="A251" s="260" t="str">
        <f>+Pobl_adoptada!A91</f>
        <v>Lobería</v>
      </c>
      <c r="B251" s="70">
        <f>+Pobl_adoptada!B91</f>
        <v>87</v>
      </c>
      <c r="C251" s="71" t="str">
        <f>+Pobl_adoptada!C91</f>
        <v>Lobería</v>
      </c>
      <c r="D251" s="291"/>
      <c r="E251" s="278"/>
      <c r="F251" s="263"/>
      <c r="G251" s="322">
        <f>($D91)*'INGRESO A PS DE CA'!G91</f>
        <v>2.681248E-2</v>
      </c>
      <c r="H251" s="322">
        <f>($D91)*'INGRESO A PS DE CA'!H91</f>
        <v>0.21603072000000001</v>
      </c>
      <c r="I251" s="322">
        <f>($D91)*'INGRESO A PS DE CA'!I91</f>
        <v>0.40792800000000001</v>
      </c>
      <c r="J251" s="322">
        <f>($D91)*'INGRESO A PS DE CA'!J91</f>
        <v>0.68475600000000014</v>
      </c>
      <c r="K251" s="322">
        <f>($D91)*'INGRESO A PS DE CA'!K91</f>
        <v>0.96548480000000003</v>
      </c>
      <c r="L251" s="322">
        <f>($D91)*'INGRESO A PS DE CA'!L91</f>
        <v>0.97237560000000001</v>
      </c>
      <c r="M251" s="322">
        <f>($D91)*'INGRESO A PS DE CA'!M91</f>
        <v>0.97933080000000006</v>
      </c>
      <c r="N251" s="322">
        <f>($D91)*'INGRESO A PS DE CA'!N91</f>
        <v>0.986286</v>
      </c>
      <c r="O251" s="322">
        <f>($D91)*'INGRESO A PS DE CA'!O91</f>
        <v>0.9933055999999999</v>
      </c>
      <c r="P251" s="322">
        <f>($D91)*'INGRESO A PS DE CA'!P91</f>
        <v>1.0003895999999999</v>
      </c>
      <c r="Q251" s="322">
        <f>($D91)*'INGRESO A PS DE CA'!Q91</f>
        <v>1.007538</v>
      </c>
      <c r="R251" s="322">
        <f>($D91)*'INGRESO A PS DE CA'!R91</f>
        <v>1.0147507999999998</v>
      </c>
      <c r="S251" s="322">
        <f>($D91)*'INGRESO A PS DE CA'!S91</f>
        <v>1.0219636000000001</v>
      </c>
      <c r="T251" s="322">
        <f>($D91)*'INGRESO A PS DE CA'!T91</f>
        <v>1.0292408</v>
      </c>
      <c r="U251" s="322">
        <f>($D91)*'INGRESO A PS DE CA'!U91</f>
        <v>1.0365824000000001</v>
      </c>
      <c r="V251" s="322">
        <f>($D91)*'INGRESO A PS DE CA'!V91</f>
        <v>1.0439883999999999</v>
      </c>
      <c r="W251" s="322">
        <f>($D91)*'INGRESO A PS DE CA'!W91</f>
        <v>1.0514588</v>
      </c>
      <c r="X251" s="322">
        <f>($D91)*'INGRESO A PS DE CA'!X91</f>
        <v>1.0589292000000001</v>
      </c>
      <c r="Y251" s="322">
        <f>($D91)*'INGRESO A PS DE CA'!Y91</f>
        <v>1.0665283999999999</v>
      </c>
      <c r="Z251" s="322">
        <f>($D91)*'INGRESO A PS DE CA'!Z91</f>
        <v>1.0741276</v>
      </c>
    </row>
    <row r="252" spans="1:26" ht="24.95" customHeight="1">
      <c r="A252" s="260" t="str">
        <f>+Pobl_adoptada!A92</f>
        <v>Lobos</v>
      </c>
      <c r="B252" s="70">
        <f>+Pobl_adoptada!B92</f>
        <v>88</v>
      </c>
      <c r="C252" s="71" t="str">
        <f>+Pobl_adoptada!C92</f>
        <v>Lobos</v>
      </c>
      <c r="D252" s="291"/>
      <c r="E252" s="278"/>
      <c r="F252" s="263"/>
      <c r="G252" s="322">
        <f>($D92)*'INGRESO A PS DE CA'!G92</f>
        <v>7.6082560000000007E-2</v>
      </c>
      <c r="H252" s="322">
        <f>($D92)*'INGRESO A PS DE CA'!H92</f>
        <v>0.6156819200000001</v>
      </c>
      <c r="I252" s="322">
        <f>($D92)*'INGRESO A PS DE CA'!I92</f>
        <v>1.1677278000000002</v>
      </c>
      <c r="J252" s="322">
        <f>($D92)*'INGRESO A PS DE CA'!J92</f>
        <v>1.9686850000000005</v>
      </c>
      <c r="K252" s="322">
        <f>($D92)*'INGRESO A PS DE CA'!K92</f>
        <v>2.7879908000000002</v>
      </c>
      <c r="L252" s="322">
        <f>($D92)*'INGRESO A PS DE CA'!L92</f>
        <v>2.8201935999999996</v>
      </c>
      <c r="M252" s="322">
        <f>($D92)*'INGRESO A PS DE CA'!M92</f>
        <v>2.8526932</v>
      </c>
      <c r="N252" s="322">
        <f>($D92)*'INGRESO A PS DE CA'!N92</f>
        <v>2.8856380000000001</v>
      </c>
      <c r="O252" s="322">
        <f>($D92)*'INGRESO A PS DE CA'!O92</f>
        <v>2.9189538000000006</v>
      </c>
      <c r="P252" s="322">
        <f>($D92)*'INGRESO A PS DE CA'!P92</f>
        <v>2.9526406000000001</v>
      </c>
      <c r="Q252" s="322">
        <f>($D92)*'INGRESO A PS DE CA'!Q92</f>
        <v>2.9866984000000003</v>
      </c>
      <c r="R252" s="322">
        <f>($D92)*'INGRESO A PS DE CA'!R92</f>
        <v>3.0212014000000003</v>
      </c>
      <c r="S252" s="322">
        <f>($D92)*'INGRESO A PS DE CA'!S92</f>
        <v>3.0560754000000001</v>
      </c>
      <c r="T252" s="322">
        <f>($D92)*'INGRESO A PS DE CA'!T92</f>
        <v>3.0913204000000003</v>
      </c>
      <c r="U252" s="322">
        <f>($D92)*'INGRESO A PS DE CA'!U92</f>
        <v>3.1270106000000002</v>
      </c>
      <c r="V252" s="322">
        <f>($D92)*'INGRESO A PS DE CA'!V92</f>
        <v>3.1631460000000002</v>
      </c>
      <c r="W252" s="322">
        <f>($D92)*'INGRESO A PS DE CA'!W92</f>
        <v>3.1996523999999997</v>
      </c>
      <c r="X252" s="322">
        <f>($D92)*'INGRESO A PS DE CA'!X92</f>
        <v>3.2366039999999998</v>
      </c>
      <c r="Y252" s="322">
        <f>($D92)*'INGRESO A PS DE CA'!Y92</f>
        <v>3.2739266000000002</v>
      </c>
      <c r="Z252" s="322">
        <f>($D92)*'INGRESO A PS DE CA'!Z92</f>
        <v>3.3116944000000004</v>
      </c>
    </row>
    <row r="253" spans="1:26" ht="24.95" customHeight="1">
      <c r="A253" s="260" t="str">
        <f>+Pobl_adoptada!A93</f>
        <v>Luján</v>
      </c>
      <c r="B253" s="70">
        <f>+Pobl_adoptada!B93</f>
        <v>89</v>
      </c>
      <c r="C253" s="71" t="str">
        <f>+Pobl_adoptada!C93</f>
        <v>Luján</v>
      </c>
      <c r="D253" s="291"/>
      <c r="E253" s="278"/>
      <c r="F253" s="263"/>
      <c r="G253" s="322">
        <f>($D93)*'INGRESO A PS DE CA'!G93</f>
        <v>0.25674012000000002</v>
      </c>
      <c r="H253" s="322">
        <f>($D93)*'INGRESO A PS DE CA'!H93</f>
        <v>2.0871158400000001</v>
      </c>
      <c r="I253" s="322">
        <f>($D93)*'INGRESO A PS DE CA'!I93</f>
        <v>3.9756132000000002</v>
      </c>
      <c r="J253" s="322">
        <f>($D93)*'INGRESO A PS DE CA'!J93</f>
        <v>6.729807000000001</v>
      </c>
      <c r="K253" s="322">
        <f>($D93)*'INGRESO A PS DE CA'!K93</f>
        <v>9.5669574000000015</v>
      </c>
      <c r="L253" s="322">
        <f>($D93)*'INGRESO A PS DE CA'!L93</f>
        <v>9.7122563999999993</v>
      </c>
      <c r="M253" s="322">
        <f>($D93)*'INGRESO A PS DE CA'!M93</f>
        <v>9.8574839999999995</v>
      </c>
      <c r="N253" s="322">
        <f>($D93)*'INGRESO A PS DE CA'!N93</f>
        <v>10.002782999999999</v>
      </c>
      <c r="O253" s="322">
        <f>($D93)*'INGRESO A PS DE CA'!O93</f>
        <v>10.148082</v>
      </c>
      <c r="P253" s="322">
        <f>($D93)*'INGRESO A PS DE CA'!P93</f>
        <v>10.293309600000001</v>
      </c>
      <c r="Q253" s="322">
        <f>($D93)*'INGRESO A PS DE CA'!Q93</f>
        <v>10.438608600000002</v>
      </c>
      <c r="R253" s="322">
        <f>($D93)*'INGRESO A PS DE CA'!R93</f>
        <v>10.5839076</v>
      </c>
      <c r="S253" s="322">
        <f>($D93)*'INGRESO A PS DE CA'!S93</f>
        <v>10.729135200000002</v>
      </c>
      <c r="T253" s="322">
        <f>($D93)*'INGRESO A PS DE CA'!T93</f>
        <v>10.874434200000001</v>
      </c>
      <c r="U253" s="322">
        <f>($D93)*'INGRESO A PS DE CA'!U93</f>
        <v>11.0196618</v>
      </c>
      <c r="V253" s="322">
        <f>($D93)*'INGRESO A PS DE CA'!V93</f>
        <v>11.164960799999999</v>
      </c>
      <c r="W253" s="322">
        <f>($D93)*'INGRESO A PS DE CA'!W93</f>
        <v>11.310259800000001</v>
      </c>
      <c r="X253" s="322">
        <f>($D93)*'INGRESO A PS DE CA'!X93</f>
        <v>11.455487400000001</v>
      </c>
      <c r="Y253" s="322">
        <f>($D93)*'INGRESO A PS DE CA'!Y93</f>
        <v>11.600786399999999</v>
      </c>
      <c r="Z253" s="322">
        <f>($D93)*'INGRESO A PS DE CA'!Z93</f>
        <v>11.746014000000002</v>
      </c>
    </row>
    <row r="254" spans="1:26" ht="24.95" customHeight="1">
      <c r="A254" s="260" t="str">
        <f>+Pobl_adoptada!A94</f>
        <v>Magdalena</v>
      </c>
      <c r="B254" s="70">
        <f>+Pobl_adoptada!B94</f>
        <v>90</v>
      </c>
      <c r="C254" s="71" t="str">
        <f>+Pobl_adoptada!C94</f>
        <v>Magdalena</v>
      </c>
      <c r="D254" s="291"/>
      <c r="E254" s="278"/>
      <c r="F254" s="263"/>
      <c r="G254" s="322">
        <f>($D94)*'INGRESO A PS DE CA'!G94</f>
        <v>2.5629360000000004E-2</v>
      </c>
      <c r="H254" s="322">
        <f>($D94)*'INGRESO A PS DE CA'!H94</f>
        <v>0.20769920000000003</v>
      </c>
      <c r="I254" s="322">
        <f>($D94)*'INGRESO A PS DE CA'!I94</f>
        <v>0.39443160000000005</v>
      </c>
      <c r="J254" s="322">
        <f>($D94)*'INGRESO A PS DE CA'!J94</f>
        <v>0.66571200000000008</v>
      </c>
      <c r="K254" s="322">
        <f>($D94)*'INGRESO A PS DE CA'!K94</f>
        <v>0.94365319999999997</v>
      </c>
      <c r="L254" s="322">
        <f>($D94)*'INGRESO A PS DE CA'!L94</f>
        <v>0.95530960000000009</v>
      </c>
      <c r="M254" s="322">
        <f>($D94)*'INGRESO A PS DE CA'!M94</f>
        <v>0.9669660000000001</v>
      </c>
      <c r="N254" s="322">
        <f>($D94)*'INGRESO A PS DE CA'!N94</f>
        <v>0.97862239999999989</v>
      </c>
      <c r="O254" s="322">
        <f>($D94)*'INGRESO A PS DE CA'!O94</f>
        <v>0.99027880000000001</v>
      </c>
      <c r="P254" s="322">
        <f>($D94)*'INGRESO A PS DE CA'!P94</f>
        <v>1.0019351999999999</v>
      </c>
      <c r="Q254" s="322">
        <f>($D94)*'INGRESO A PS DE CA'!Q94</f>
        <v>1.0135916</v>
      </c>
      <c r="R254" s="322">
        <f>($D94)*'INGRESO A PS DE CA'!R94</f>
        <v>1.0252480000000002</v>
      </c>
      <c r="S254" s="322">
        <f>($D94)*'INGRESO A PS DE CA'!S94</f>
        <v>1.0369043999999998</v>
      </c>
      <c r="T254" s="322">
        <f>($D94)*'INGRESO A PS DE CA'!T94</f>
        <v>1.0485608</v>
      </c>
      <c r="U254" s="322">
        <f>($D94)*'INGRESO A PS DE CA'!U94</f>
        <v>1.0602172000000001</v>
      </c>
      <c r="V254" s="322">
        <f>($D94)*'INGRESO A PS DE CA'!V94</f>
        <v>1.0718736</v>
      </c>
      <c r="W254" s="322">
        <f>($D94)*'INGRESO A PS DE CA'!W94</f>
        <v>1.0835299999999999</v>
      </c>
      <c r="X254" s="322">
        <f>($D94)*'INGRESO A PS DE CA'!X94</f>
        <v>1.0951864</v>
      </c>
      <c r="Y254" s="322">
        <f>($D94)*'INGRESO A PS DE CA'!Y94</f>
        <v>1.1068428000000001</v>
      </c>
      <c r="Z254" s="322">
        <f>($D94)*'INGRESO A PS DE CA'!Z94</f>
        <v>1.1184992000000002</v>
      </c>
    </row>
    <row r="255" spans="1:26" ht="24.95" customHeight="1">
      <c r="A255" s="260" t="str">
        <f>+Pobl_adoptada!A95</f>
        <v>Maipú</v>
      </c>
      <c r="B255" s="70">
        <f>+Pobl_adoptada!B95</f>
        <v>91</v>
      </c>
      <c r="C255" s="71" t="str">
        <f>+Pobl_adoptada!C95</f>
        <v>Maipú</v>
      </c>
      <c r="D255" s="291"/>
      <c r="E255" s="278"/>
      <c r="F255" s="263"/>
      <c r="G255" s="322">
        <f>($D95)*'INGRESO A PS DE CA'!G95</f>
        <v>1.7925280000000002E-2</v>
      </c>
      <c r="H255" s="322">
        <f>($D95)*'INGRESO A PS DE CA'!H95</f>
        <v>0.14406464000000005</v>
      </c>
      <c r="I255" s="322">
        <f>($D95)*'INGRESO A PS DE CA'!I95</f>
        <v>0.27136320000000003</v>
      </c>
      <c r="J255" s="322">
        <f>($D95)*'INGRESO A PS DE CA'!J95</f>
        <v>0.45438800000000001</v>
      </c>
      <c r="K255" s="322">
        <f>($D95)*'INGRESO A PS DE CA'!K95</f>
        <v>0.63904120000000009</v>
      </c>
      <c r="L255" s="322">
        <f>($D95)*'INGRESO A PS DE CA'!L95</f>
        <v>0.64193919999999993</v>
      </c>
      <c r="M255" s="322">
        <f>($D95)*'INGRESO A PS DE CA'!M95</f>
        <v>0.64490159999999996</v>
      </c>
      <c r="N255" s="322">
        <f>($D95)*'INGRESO A PS DE CA'!N95</f>
        <v>0.64779960000000014</v>
      </c>
      <c r="O255" s="322">
        <f>($D95)*'INGRESO A PS DE CA'!O95</f>
        <v>0.65069759999999999</v>
      </c>
      <c r="P255" s="322">
        <f>($D95)*'INGRESO A PS DE CA'!P95</f>
        <v>0.65359560000000005</v>
      </c>
      <c r="Q255" s="322">
        <f>($D95)*'INGRESO A PS DE CA'!Q95</f>
        <v>0.65655799999999997</v>
      </c>
      <c r="R255" s="322">
        <f>($D95)*'INGRESO A PS DE CA'!R95</f>
        <v>0.65945600000000004</v>
      </c>
      <c r="S255" s="322">
        <f>($D95)*'INGRESO A PS DE CA'!S95</f>
        <v>0.66235400000000011</v>
      </c>
      <c r="T255" s="322">
        <f>($D95)*'INGRESO A PS DE CA'!T95</f>
        <v>0.66531640000000003</v>
      </c>
      <c r="U255" s="322">
        <f>($D95)*'INGRESO A PS DE CA'!U95</f>
        <v>0.6682144000000001</v>
      </c>
      <c r="V255" s="322">
        <f>($D95)*'INGRESO A PS DE CA'!V95</f>
        <v>0.67111240000000005</v>
      </c>
      <c r="W255" s="322">
        <f>($D95)*'INGRESO A PS DE CA'!W95</f>
        <v>0.67401040000000012</v>
      </c>
      <c r="X255" s="322">
        <f>($D95)*'INGRESO A PS DE CA'!X95</f>
        <v>0.67697280000000015</v>
      </c>
      <c r="Y255" s="322">
        <f>($D95)*'INGRESO A PS DE CA'!Y95</f>
        <v>0.67987080000000011</v>
      </c>
      <c r="Z255" s="322">
        <f>($D95)*'INGRESO A PS DE CA'!Z95</f>
        <v>0.68276880000000006</v>
      </c>
    </row>
    <row r="256" spans="1:26" ht="24.95" customHeight="1">
      <c r="A256" s="260" t="str">
        <f>+Pobl_adoptada!A96</f>
        <v>Mar Chiquita</v>
      </c>
      <c r="B256" s="70">
        <f>+Pobl_adoptada!B96</f>
        <v>92</v>
      </c>
      <c r="C256" s="71" t="str">
        <f>+Pobl_adoptada!C96</f>
        <v>Coronel Vidal</v>
      </c>
      <c r="D256" s="291"/>
      <c r="E256" s="278"/>
      <c r="F256" s="263"/>
      <c r="G256" s="322">
        <f>($D96)*'INGRESO A PS DE CA'!G96</f>
        <v>1.4180880000000002E-2</v>
      </c>
      <c r="H256" s="322">
        <f>($D96)*'INGRESO A PS DE CA'!H96</f>
        <v>0.11483072000000001</v>
      </c>
      <c r="I256" s="322">
        <f>($D96)*'INGRESO A PS DE CA'!I96</f>
        <v>0.21787440000000002</v>
      </c>
      <c r="J256" s="322">
        <f>($D96)*'INGRESO A PS DE CA'!J96</f>
        <v>0.367448</v>
      </c>
      <c r="K256" s="322">
        <f>($D96)*'INGRESO A PS DE CA'!K96</f>
        <v>0.5204164</v>
      </c>
      <c r="L256" s="322">
        <f>($D96)*'INGRESO A PS DE CA'!L96</f>
        <v>0.52833760000000007</v>
      </c>
      <c r="M256" s="322">
        <f>($D96)*'INGRESO A PS DE CA'!M96</f>
        <v>0.53625880000000004</v>
      </c>
      <c r="N256" s="322">
        <f>($D96)*'INGRESO A PS DE CA'!N96</f>
        <v>0.54418</v>
      </c>
      <c r="O256" s="322">
        <f>($D96)*'INGRESO A PS DE CA'!O96</f>
        <v>0.55210119999999996</v>
      </c>
      <c r="P256" s="322">
        <f>($D96)*'INGRESO A PS DE CA'!P96</f>
        <v>0.55995799999999996</v>
      </c>
      <c r="Q256" s="322">
        <f>($D96)*'INGRESO A PS DE CA'!Q96</f>
        <v>0.56787920000000003</v>
      </c>
      <c r="R256" s="322">
        <f>($D96)*'INGRESO A PS DE CA'!R96</f>
        <v>0.5758004000000001</v>
      </c>
      <c r="S256" s="322">
        <f>($D96)*'INGRESO A PS DE CA'!S96</f>
        <v>0.58372160000000006</v>
      </c>
      <c r="T256" s="322">
        <f>($D96)*'INGRESO A PS DE CA'!T96</f>
        <v>0.59164280000000002</v>
      </c>
      <c r="U256" s="322">
        <f>($D96)*'INGRESO A PS DE CA'!U96</f>
        <v>0.59949960000000002</v>
      </c>
      <c r="V256" s="322">
        <f>($D96)*'INGRESO A PS DE CA'!V96</f>
        <v>0.60742080000000009</v>
      </c>
      <c r="W256" s="322">
        <f>($D96)*'INGRESO A PS DE CA'!W96</f>
        <v>0.61534200000000006</v>
      </c>
      <c r="X256" s="322">
        <f>($D96)*'INGRESO A PS DE CA'!X96</f>
        <v>0.62326320000000002</v>
      </c>
      <c r="Y256" s="322">
        <f>($D96)*'INGRESO A PS DE CA'!Y96</f>
        <v>0.63118439999999998</v>
      </c>
      <c r="Z256" s="322">
        <f>($D96)*'INGRESO A PS DE CA'!Z96</f>
        <v>0.63904120000000009</v>
      </c>
    </row>
    <row r="257" spans="1:26" ht="24.95" customHeight="1">
      <c r="A257" s="260" t="str">
        <f>+Pobl_adoptada!A97</f>
        <v>Marcos Paz</v>
      </c>
      <c r="B257" s="70">
        <f>+Pobl_adoptada!B97</f>
        <v>93</v>
      </c>
      <c r="C257" s="71" t="str">
        <f>+Pobl_adoptada!C97</f>
        <v>Marcos Paz</v>
      </c>
      <c r="D257" s="291"/>
      <c r="E257" s="278"/>
      <c r="F257" s="263"/>
      <c r="G257" s="322">
        <f>($D97)*'INGRESO A PS DE CA'!G97</f>
        <v>0.14695344000000002</v>
      </c>
      <c r="H257" s="322">
        <f>($D97)*'INGRESO A PS DE CA'!H97</f>
        <v>1.1973983999999998</v>
      </c>
      <c r="I257" s="322">
        <f>($D97)*'INGRESO A PS DE CA'!I97</f>
        <v>2.2859118</v>
      </c>
      <c r="J257" s="322">
        <f>($D97)*'INGRESO A PS DE CA'!J97</f>
        <v>3.8778870000000008</v>
      </c>
      <c r="K257" s="322">
        <f>($D97)*'INGRESO A PS DE CA'!K97</f>
        <v>5.5242180000000003</v>
      </c>
      <c r="L257" s="322">
        <f>($D97)*'INGRESO A PS DE CA'!L97</f>
        <v>5.6194655999999998</v>
      </c>
      <c r="M257" s="322">
        <f>($D97)*'INGRESO A PS DE CA'!M97</f>
        <v>5.7147131999999994</v>
      </c>
      <c r="N257" s="322">
        <f>($D97)*'INGRESO A PS DE CA'!N97</f>
        <v>5.8098893999999994</v>
      </c>
      <c r="O257" s="322">
        <f>($D97)*'INGRESO A PS DE CA'!O97</f>
        <v>5.9051370000000007</v>
      </c>
      <c r="P257" s="322">
        <f>($D97)*'INGRESO A PS DE CA'!P97</f>
        <v>6.000313199999999</v>
      </c>
      <c r="Q257" s="322">
        <f>($D97)*'INGRESO A PS DE CA'!Q97</f>
        <v>6.0955608000000003</v>
      </c>
      <c r="R257" s="322">
        <f>($D97)*'INGRESO A PS DE CA'!R97</f>
        <v>6.190808399999999</v>
      </c>
      <c r="S257" s="322">
        <f>($D97)*'INGRESO A PS DE CA'!S97</f>
        <v>6.2859845999999999</v>
      </c>
      <c r="T257" s="322">
        <f>($D97)*'INGRESO A PS DE CA'!T97</f>
        <v>6.3812321999999995</v>
      </c>
      <c r="U257" s="322">
        <f>($D97)*'INGRESO A PS DE CA'!U97</f>
        <v>6.4764084000000004</v>
      </c>
      <c r="V257" s="322">
        <f>($D97)*'INGRESO A PS DE CA'!V97</f>
        <v>6.5716560000000008</v>
      </c>
      <c r="W257" s="322">
        <f>($D97)*'INGRESO A PS DE CA'!W97</f>
        <v>6.6668322000000009</v>
      </c>
      <c r="X257" s="322">
        <f>($D97)*'INGRESO A PS DE CA'!X97</f>
        <v>6.7620797999999995</v>
      </c>
      <c r="Y257" s="322">
        <f>($D97)*'INGRESO A PS DE CA'!Y97</f>
        <v>6.8573274</v>
      </c>
      <c r="Z257" s="322">
        <f>($D97)*'INGRESO A PS DE CA'!Z97</f>
        <v>6.9525035999999991</v>
      </c>
    </row>
    <row r="258" spans="1:26" ht="24.95" customHeight="1">
      <c r="A258" s="260" t="str">
        <f>+Pobl_adoptada!A98</f>
        <v>Mercedes</v>
      </c>
      <c r="B258" s="70">
        <f>+Pobl_adoptada!B98</f>
        <v>94</v>
      </c>
      <c r="C258" s="71" t="str">
        <f>+Pobl_adoptada!C98</f>
        <v>Mercedes</v>
      </c>
      <c r="D258" s="291"/>
      <c r="E258" s="278"/>
      <c r="F258" s="263"/>
      <c r="G258" s="322">
        <f>($D98)*'INGRESO A PS DE CA'!G98</f>
        <v>0.13104756000000001</v>
      </c>
      <c r="H258" s="322">
        <f>($D98)*'INGRESO A PS DE CA'!H98</f>
        <v>1.0572748800000003</v>
      </c>
      <c r="I258" s="322">
        <f>($D98)*'INGRESO A PS DE CA'!I98</f>
        <v>1.9992204000000002</v>
      </c>
      <c r="J258" s="322">
        <f>($D98)*'INGRESO A PS DE CA'!J98</f>
        <v>3.3603389999999997</v>
      </c>
      <c r="K258" s="322">
        <f>($D98)*'INGRESO A PS DE CA'!K98</f>
        <v>4.7443872000000002</v>
      </c>
      <c r="L258" s="322">
        <f>($D98)*'INGRESO A PS DE CA'!L98</f>
        <v>4.7845854000000001</v>
      </c>
      <c r="M258" s="322">
        <f>($D98)*'INGRESO A PS DE CA'!M98</f>
        <v>4.8252120000000005</v>
      </c>
      <c r="N258" s="322">
        <f>($D98)*'INGRESO A PS DE CA'!N98</f>
        <v>4.8661956000000011</v>
      </c>
      <c r="O258" s="322">
        <f>($D98)*'INGRESO A PS DE CA'!O98</f>
        <v>4.9074647999999996</v>
      </c>
      <c r="P258" s="322">
        <f>($D98)*'INGRESO A PS DE CA'!P98</f>
        <v>4.9490910000000001</v>
      </c>
      <c r="Q258" s="322">
        <f>($D98)*'INGRESO A PS DE CA'!Q98</f>
        <v>4.9910741999999999</v>
      </c>
      <c r="R258" s="322">
        <f>($D98)*'INGRESO A PS DE CA'!R98</f>
        <v>5.0334143999999998</v>
      </c>
      <c r="S258" s="322">
        <f>($D98)*'INGRESO A PS DE CA'!S98</f>
        <v>5.0761829999999994</v>
      </c>
      <c r="T258" s="322">
        <f>($D98)*'INGRESO A PS DE CA'!T98</f>
        <v>5.1192372000000006</v>
      </c>
      <c r="U258" s="322">
        <f>($D98)*'INGRESO A PS DE CA'!U98</f>
        <v>5.1626483999999992</v>
      </c>
      <c r="V258" s="322">
        <f>($D98)*'INGRESO A PS DE CA'!V98</f>
        <v>5.2064880000000002</v>
      </c>
      <c r="W258" s="322">
        <f>($D98)*'INGRESO A PS DE CA'!W98</f>
        <v>5.2506845999999996</v>
      </c>
      <c r="X258" s="322">
        <f>($D98)*'INGRESO A PS DE CA'!X98</f>
        <v>5.2952382</v>
      </c>
      <c r="Y258" s="322">
        <f>($D98)*'INGRESO A PS DE CA'!Y98</f>
        <v>5.3401488000000006</v>
      </c>
      <c r="Z258" s="322">
        <f>($D98)*'INGRESO A PS DE CA'!Z98</f>
        <v>5.3854164000000004</v>
      </c>
    </row>
    <row r="259" spans="1:26" ht="24.95" customHeight="1">
      <c r="A259" s="260" t="str">
        <f>+Pobl_adoptada!A99</f>
        <v>Monte</v>
      </c>
      <c r="B259" s="70">
        <f>+Pobl_adoptada!B99</f>
        <v>95</v>
      </c>
      <c r="C259" s="71" t="str">
        <f>+Pobl_adoptada!C99</f>
        <v>San Miguel del Monte</v>
      </c>
      <c r="D259" s="291"/>
      <c r="E259" s="278"/>
      <c r="F259" s="263"/>
      <c r="G259" s="322">
        <f>($D99)*'INGRESO A PS DE CA'!G99</f>
        <v>4.6629400000000008E-2</v>
      </c>
      <c r="H259" s="322">
        <f>($D99)*'INGRESO A PS DE CA'!H99</f>
        <v>0.37856416000000004</v>
      </c>
      <c r="I259" s="322">
        <f>($D99)*'INGRESO A PS DE CA'!I99</f>
        <v>0.72020640000000002</v>
      </c>
      <c r="J259" s="322">
        <f>($D99)*'INGRESO A PS DE CA'!J99</f>
        <v>1.2176220000000002</v>
      </c>
      <c r="K259" s="322">
        <f>($D99)*'INGRESO A PS DE CA'!K99</f>
        <v>1.7289342000000003</v>
      </c>
      <c r="L259" s="322">
        <f>($D99)*'INGRESO A PS DE CA'!L99</f>
        <v>1.7531234000000002</v>
      </c>
      <c r="M259" s="322">
        <f>($D99)*'INGRESO A PS DE CA'!M99</f>
        <v>1.7773868000000002</v>
      </c>
      <c r="N259" s="322">
        <f>($D99)*'INGRESO A PS DE CA'!N99</f>
        <v>1.8016502000000001</v>
      </c>
      <c r="O259" s="322">
        <f>($D99)*'INGRESO A PS DE CA'!O99</f>
        <v>1.8258394</v>
      </c>
      <c r="P259" s="322">
        <f>($D99)*'INGRESO A PS DE CA'!P99</f>
        <v>1.8501028000000002</v>
      </c>
      <c r="Q259" s="322">
        <f>($D99)*'INGRESO A PS DE CA'!Q99</f>
        <v>1.8742919999999998</v>
      </c>
      <c r="R259" s="322">
        <f>($D99)*'INGRESO A PS DE CA'!R99</f>
        <v>1.8985554000000002</v>
      </c>
      <c r="S259" s="322">
        <f>($D99)*'INGRESO A PS DE CA'!S99</f>
        <v>1.9227446000000001</v>
      </c>
      <c r="T259" s="322">
        <f>($D99)*'INGRESO A PS DE CA'!T99</f>
        <v>1.9470080000000001</v>
      </c>
      <c r="U259" s="322">
        <f>($D99)*'INGRESO A PS DE CA'!U99</f>
        <v>1.9711972</v>
      </c>
      <c r="V259" s="322">
        <f>($D99)*'INGRESO A PS DE CA'!V99</f>
        <v>1.9954606000000004</v>
      </c>
      <c r="W259" s="322">
        <f>($D99)*'INGRESO A PS DE CA'!W99</f>
        <v>2.0196498000000003</v>
      </c>
      <c r="X259" s="322">
        <f>($D99)*'INGRESO A PS DE CA'!X99</f>
        <v>2.0439132</v>
      </c>
      <c r="Y259" s="322">
        <f>($D99)*'INGRESO A PS DE CA'!Y99</f>
        <v>2.0681766000000001</v>
      </c>
      <c r="Z259" s="322">
        <f>($D99)*'INGRESO A PS DE CA'!Z99</f>
        <v>2.0923658000000005</v>
      </c>
    </row>
    <row r="260" spans="1:26" ht="24.95" customHeight="1">
      <c r="A260" s="260" t="str">
        <f>+Pobl_adoptada!A100</f>
        <v>Monte Hermoso</v>
      </c>
      <c r="B260" s="70">
        <f>+Pobl_adoptada!B100</f>
        <v>96</v>
      </c>
      <c r="C260" s="71" t="str">
        <f>+Pobl_adoptada!C100</f>
        <v>Monte Hermoso</v>
      </c>
      <c r="D260" s="291"/>
      <c r="E260" s="278"/>
      <c r="F260" s="263"/>
      <c r="G260" s="322">
        <f>($D100)*'INGRESO A PS DE CA'!G100</f>
        <v>4.5047880000000012E-2</v>
      </c>
      <c r="H260" s="322">
        <f>($D100)*'INGRESO A PS DE CA'!H100</f>
        <v>0.36855776000000007</v>
      </c>
      <c r="I260" s="322">
        <f>($D100)*'INGRESO A PS DE CA'!I100</f>
        <v>0.706596</v>
      </c>
      <c r="J260" s="322">
        <f>($D100)*'INGRESO A PS DE CA'!J100</f>
        <v>1.2039480000000002</v>
      </c>
      <c r="K260" s="322">
        <f>($D100)*'INGRESO A PS DE CA'!K100</f>
        <v>1.7229982000000001</v>
      </c>
      <c r="L260" s="322">
        <f>($D100)*'INGRESO A PS DE CA'!L100</f>
        <v>1.7610627999999999</v>
      </c>
      <c r="M260" s="322">
        <f>($D100)*'INGRESO A PS DE CA'!M100</f>
        <v>1.7997951999999999</v>
      </c>
      <c r="N260" s="322">
        <f>($D100)*'INGRESO A PS DE CA'!N100</f>
        <v>1.8391212000000001</v>
      </c>
      <c r="O260" s="322">
        <f>($D100)*'INGRESO A PS DE CA'!O100</f>
        <v>1.8791149999999999</v>
      </c>
      <c r="P260" s="322">
        <f>($D100)*'INGRESO A PS DE CA'!P100</f>
        <v>1.9197024</v>
      </c>
      <c r="Q260" s="322">
        <f>($D100)*'INGRESO A PS DE CA'!Q100</f>
        <v>1.9609576000000002</v>
      </c>
      <c r="R260" s="322">
        <f>($D100)*'INGRESO A PS DE CA'!R100</f>
        <v>2.0030289999999997</v>
      </c>
      <c r="S260" s="322">
        <f>($D100)*'INGRESO A PS DE CA'!S100</f>
        <v>2.0456198000000003</v>
      </c>
      <c r="T260" s="322">
        <f>($D100)*'INGRESO A PS DE CA'!T100</f>
        <v>2.0889525999999998</v>
      </c>
      <c r="U260" s="322">
        <f>($D100)*'INGRESO A PS DE CA'!U100</f>
        <v>2.1330274000000005</v>
      </c>
      <c r="V260" s="322">
        <f>($D100)*'INGRESO A PS DE CA'!V100</f>
        <v>2.1777700000000002</v>
      </c>
      <c r="W260" s="322">
        <f>($D100)*'INGRESO A PS DE CA'!W100</f>
        <v>2.2232546000000002</v>
      </c>
      <c r="X260" s="322">
        <f>($D100)*'INGRESO A PS DE CA'!X100</f>
        <v>2.2694812</v>
      </c>
      <c r="Y260" s="322">
        <f>($D100)*'INGRESO A PS DE CA'!Y100</f>
        <v>2.3164498</v>
      </c>
      <c r="Z260" s="322">
        <f>($D100)*'INGRESO A PS DE CA'!Z100</f>
        <v>2.3642346000000001</v>
      </c>
    </row>
    <row r="261" spans="1:26" ht="24.95" customHeight="1">
      <c r="A261" s="260" t="str">
        <f>+Pobl_adoptada!A101</f>
        <v>Navarro</v>
      </c>
      <c r="B261" s="70">
        <f>+Pobl_adoptada!B101</f>
        <v>97</v>
      </c>
      <c r="C261" s="71" t="str">
        <f>+Pobl_adoptada!C101</f>
        <v>Navarro</v>
      </c>
      <c r="D261" s="291"/>
      <c r="E261" s="278"/>
      <c r="F261" s="263"/>
      <c r="G261" s="322">
        <f>($D101)*'INGRESO A PS DE CA'!G101</f>
        <v>3.559480000000001E-2</v>
      </c>
      <c r="H261" s="322">
        <f>($D101)*'INGRESO A PS DE CA'!H101</f>
        <v>0.28904928000000002</v>
      </c>
      <c r="I261" s="322">
        <f>($D101)*'INGRESO A PS DE CA'!I101</f>
        <v>0.55010820000000005</v>
      </c>
      <c r="J261" s="322">
        <f>($D101)*'INGRESO A PS DE CA'!J101</f>
        <v>0.93062699999999998</v>
      </c>
      <c r="K261" s="322">
        <f>($D101)*'INGRESO A PS DE CA'!K101</f>
        <v>1.3224666</v>
      </c>
      <c r="L261" s="322">
        <f>($D101)*'INGRESO A PS DE CA'!L101</f>
        <v>1.3423522000000001</v>
      </c>
      <c r="M261" s="322">
        <f>($D101)*'INGRESO A PS DE CA'!M101</f>
        <v>1.3625346</v>
      </c>
      <c r="N261" s="322">
        <f>($D101)*'INGRESO A PS DE CA'!N101</f>
        <v>1.3830137999999998</v>
      </c>
      <c r="O261" s="322">
        <f>($D101)*'INGRESO A PS DE CA'!O101</f>
        <v>1.4037898</v>
      </c>
      <c r="P261" s="322">
        <f>($D101)*'INGRESO A PS DE CA'!P101</f>
        <v>1.4249368000000002</v>
      </c>
      <c r="Q261" s="322">
        <f>($D101)*'INGRESO A PS DE CA'!Q101</f>
        <v>1.4463806000000001</v>
      </c>
      <c r="R261" s="322">
        <f>($D101)*'INGRESO A PS DE CA'!R101</f>
        <v>1.4681211999999999</v>
      </c>
      <c r="S261" s="322">
        <f>($D101)*'INGRESO A PS DE CA'!S101</f>
        <v>1.4901586</v>
      </c>
      <c r="T261" s="322">
        <f>($D101)*'INGRESO A PS DE CA'!T101</f>
        <v>1.5125670000000002</v>
      </c>
      <c r="U261" s="322">
        <f>($D101)*'INGRESO A PS DE CA'!U101</f>
        <v>1.5353464000000001</v>
      </c>
      <c r="V261" s="322">
        <f>($D101)*'INGRESO A PS DE CA'!V101</f>
        <v>1.5584226000000001</v>
      </c>
      <c r="W261" s="322">
        <f>($D101)*'INGRESO A PS DE CA'!W101</f>
        <v>1.5818698</v>
      </c>
      <c r="X261" s="322">
        <f>($D101)*'INGRESO A PS DE CA'!X101</f>
        <v>1.6056137999999998</v>
      </c>
      <c r="Y261" s="322">
        <f>($D101)*'INGRESO A PS DE CA'!Y101</f>
        <v>1.6297287999999999</v>
      </c>
      <c r="Z261" s="322">
        <f>($D101)*'INGRESO A PS DE CA'!Z101</f>
        <v>1.6542890000000001</v>
      </c>
    </row>
    <row r="262" spans="1:26" ht="24.95" customHeight="1">
      <c r="A262" s="260" t="str">
        <f>+Pobl_adoptada!A102</f>
        <v>Necochea</v>
      </c>
      <c r="B262" s="70">
        <f>+Pobl_adoptada!B102</f>
        <v>98</v>
      </c>
      <c r="C262" s="71" t="str">
        <f>+Pobl_adoptada!C102</f>
        <v>Necochea - Quequén</v>
      </c>
      <c r="D262" s="291"/>
      <c r="E262" s="278"/>
      <c r="F262" s="263"/>
      <c r="G262" s="322">
        <f>($D102)*'INGRESO A PS DE CA'!G102</f>
        <v>0.22154196000000004</v>
      </c>
      <c r="H262" s="322">
        <f>($D102)*'INGRESO A PS DE CA'!H102</f>
        <v>1.7911200000000003</v>
      </c>
      <c r="I262" s="322">
        <f>($D102)*'INGRESO A PS DE CA'!I102</f>
        <v>3.3941826000000002</v>
      </c>
      <c r="J262" s="322">
        <f>($D102)*'INGRESO A PS DE CA'!J102</f>
        <v>5.7176100000000005</v>
      </c>
      <c r="K262" s="322">
        <f>($D102)*'INGRESO A PS DE CA'!K102</f>
        <v>8.0909765999999994</v>
      </c>
      <c r="L262" s="322">
        <f>($D102)*'INGRESO A PS DE CA'!L102</f>
        <v>8.1787272000000009</v>
      </c>
      <c r="M262" s="322">
        <f>($D102)*'INGRESO A PS DE CA'!M102</f>
        <v>8.2678343999999999</v>
      </c>
      <c r="N262" s="322">
        <f>($D102)*'INGRESO A PS DE CA'!N102</f>
        <v>8.3584409999999991</v>
      </c>
      <c r="O262" s="322">
        <f>($D102)*'INGRESO A PS DE CA'!O102</f>
        <v>8.4505470000000003</v>
      </c>
      <c r="P262" s="322">
        <f>($D102)*'INGRESO A PS DE CA'!P102</f>
        <v>8.5440810000000003</v>
      </c>
      <c r="Q262" s="322">
        <f>($D102)*'INGRESO A PS DE CA'!Q102</f>
        <v>8.6391144000000004</v>
      </c>
      <c r="R262" s="322">
        <f>($D102)*'INGRESO A PS DE CA'!R102</f>
        <v>8.7357899999999997</v>
      </c>
      <c r="S262" s="322">
        <f>($D102)*'INGRESO A PS DE CA'!S102</f>
        <v>8.8340364000000005</v>
      </c>
      <c r="T262" s="322">
        <f>($D102)*'INGRESO A PS DE CA'!T102</f>
        <v>8.9337822000000013</v>
      </c>
      <c r="U262" s="322">
        <f>($D102)*'INGRESO A PS DE CA'!U102</f>
        <v>9.0353130000000004</v>
      </c>
      <c r="V262" s="322">
        <f>($D102)*'INGRESO A PS DE CA'!V102</f>
        <v>9.1383431999999996</v>
      </c>
      <c r="W262" s="322">
        <f>($D102)*'INGRESO A PS DE CA'!W102</f>
        <v>9.2432297999999999</v>
      </c>
      <c r="X262" s="322">
        <f>($D102)*'INGRESO A PS DE CA'!X102</f>
        <v>9.3496872</v>
      </c>
      <c r="Y262" s="322">
        <f>($D102)*'INGRESO A PS DE CA'!Y102</f>
        <v>9.4578582000000022</v>
      </c>
      <c r="Z262" s="322">
        <f>($D102)*'INGRESO A PS DE CA'!Z102</f>
        <v>9.5678856000000021</v>
      </c>
    </row>
    <row r="263" spans="1:26" ht="24.95" customHeight="1">
      <c r="A263" s="260" t="str">
        <f>+Pobl_adoptada!A103</f>
        <v>Olavarría</v>
      </c>
      <c r="B263" s="70">
        <f>+Pobl_adoptada!B103</f>
        <v>99</v>
      </c>
      <c r="C263" s="71" t="str">
        <f>+Pobl_adoptada!C103</f>
        <v>Olavarría</v>
      </c>
      <c r="D263" s="291"/>
      <c r="E263" s="278"/>
      <c r="F263" s="263"/>
      <c r="G263" s="322">
        <f>($D103)*'INGRESO A PS DE CA'!G103</f>
        <v>0.20692127999999999</v>
      </c>
      <c r="H263" s="322">
        <f>($D103)*'INGRESO A PS DE CA'!H103</f>
        <v>1.6681161600000001</v>
      </c>
      <c r="I263" s="322">
        <f>($D103)*'INGRESO A PS DE CA'!I103</f>
        <v>3.1518000000000002</v>
      </c>
      <c r="J263" s="322">
        <f>($D103)*'INGRESO A PS DE CA'!J103</f>
        <v>5.2934429999999999</v>
      </c>
      <c r="K263" s="322">
        <f>($D103)*'INGRESO A PS DE CA'!K103</f>
        <v>7.4678687999999998</v>
      </c>
      <c r="L263" s="322">
        <f>($D103)*'INGRESO A PS DE CA'!L103</f>
        <v>7.5253458000000002</v>
      </c>
      <c r="M263" s="322">
        <f>($D103)*'INGRESO A PS DE CA'!M103</f>
        <v>7.5832511999999994</v>
      </c>
      <c r="N263" s="322">
        <f>($D103)*'INGRESO A PS DE CA'!N103</f>
        <v>7.6416563999999996</v>
      </c>
      <c r="O263" s="322">
        <f>($D103)*'INGRESO A PS DE CA'!O103</f>
        <v>7.7004899999999994</v>
      </c>
      <c r="P263" s="322">
        <f>($D103)*'INGRESO A PS DE CA'!P103</f>
        <v>7.7597519999999989</v>
      </c>
      <c r="Q263" s="322">
        <f>($D103)*'INGRESO A PS DE CA'!Q103</f>
        <v>7.8194423999999998</v>
      </c>
      <c r="R263" s="322">
        <f>($D103)*'INGRESO A PS DE CA'!R103</f>
        <v>7.8796325999999999</v>
      </c>
      <c r="S263" s="322">
        <f>($D103)*'INGRESO A PS DE CA'!S103</f>
        <v>7.9403226000000009</v>
      </c>
      <c r="T263" s="322">
        <f>($D103)*'INGRESO A PS DE CA'!T103</f>
        <v>8.0014409999999998</v>
      </c>
      <c r="U263" s="322">
        <f>($D103)*'INGRESO A PS DE CA'!U103</f>
        <v>8.0629878000000001</v>
      </c>
      <c r="V263" s="322">
        <f>($D103)*'INGRESO A PS DE CA'!V103</f>
        <v>8.1251058</v>
      </c>
      <c r="W263" s="322">
        <f>($D103)*'INGRESO A PS DE CA'!W103</f>
        <v>8.1876522000000005</v>
      </c>
      <c r="X263" s="322">
        <f>($D103)*'INGRESO A PS DE CA'!X103</f>
        <v>8.2506269999999997</v>
      </c>
      <c r="Y263" s="322">
        <f>($D103)*'INGRESO A PS DE CA'!Y103</f>
        <v>8.314173000000002</v>
      </c>
      <c r="Z263" s="322">
        <f>($D103)*'INGRESO A PS DE CA'!Z103</f>
        <v>8.3781474000000014</v>
      </c>
    </row>
    <row r="264" spans="1:26" ht="24.95" customHeight="1">
      <c r="A264" s="260" t="str">
        <f>+Pobl_adoptada!A104</f>
        <v>Patagones</v>
      </c>
      <c r="B264" s="70">
        <f>+Pobl_adoptada!B104</f>
        <v>100</v>
      </c>
      <c r="C264" s="71" t="str">
        <f>+Pobl_adoptada!C104</f>
        <v>Carmen de Patagones</v>
      </c>
      <c r="D264" s="291"/>
      <c r="E264" s="278"/>
      <c r="F264" s="263"/>
      <c r="G264" s="322">
        <f>($D104)*'INGRESO A PS DE CA'!G104</f>
        <v>5.8802440000000004E-2</v>
      </c>
      <c r="H264" s="322">
        <f>($D104)*'INGRESO A PS DE CA'!H104</f>
        <v>0.47917088000000008</v>
      </c>
      <c r="I264" s="322">
        <f>($D104)*'INGRESO A PS DE CA'!I104</f>
        <v>0.91507680000000013</v>
      </c>
      <c r="J264" s="322">
        <f>($D104)*'INGRESO A PS DE CA'!J104</f>
        <v>1.5533240000000001</v>
      </c>
      <c r="K264" s="322">
        <f>($D104)*'INGRESO A PS DE CA'!K104</f>
        <v>2.2147958000000001</v>
      </c>
      <c r="L264" s="322">
        <f>($D104)*'INGRESO A PS DE CA'!L104</f>
        <v>2.2556058000000001</v>
      </c>
      <c r="M264" s="322">
        <f>($D104)*'INGRESO A PS DE CA'!M104</f>
        <v>2.2970836000000001</v>
      </c>
      <c r="N264" s="322">
        <f>($D104)*'INGRESO A PS DE CA'!N104</f>
        <v>2.3391549999999999</v>
      </c>
      <c r="O264" s="322">
        <f>($D104)*'INGRESO A PS DE CA'!O104</f>
        <v>2.3819683999999999</v>
      </c>
      <c r="P264" s="322">
        <f>($D104)*'INGRESO A PS DE CA'!P104</f>
        <v>2.4255238000000006</v>
      </c>
      <c r="Q264" s="322">
        <f>($D104)*'INGRESO A PS DE CA'!Q104</f>
        <v>2.4697469999999999</v>
      </c>
      <c r="R264" s="322">
        <f>($D104)*'INGRESO A PS DE CA'!R104</f>
        <v>2.5147122</v>
      </c>
      <c r="S264" s="322">
        <f>($D104)*'INGRESO A PS DE CA'!S104</f>
        <v>2.5603452000000004</v>
      </c>
      <c r="T264" s="322">
        <f>($D104)*'INGRESO A PS DE CA'!T104</f>
        <v>2.6067944000000001</v>
      </c>
      <c r="U264" s="322">
        <f>($D104)*'INGRESO A PS DE CA'!U104</f>
        <v>2.6539855999999999</v>
      </c>
      <c r="V264" s="322">
        <f>($D104)*'INGRESO A PS DE CA'!V104</f>
        <v>2.7019188000000001</v>
      </c>
      <c r="W264" s="322">
        <f>($D104)*'INGRESO A PS DE CA'!W104</f>
        <v>2.7506681999999998</v>
      </c>
      <c r="X264" s="322">
        <f>($D104)*'INGRESO A PS DE CA'!X104</f>
        <v>2.8001596000000002</v>
      </c>
      <c r="Y264" s="322">
        <f>($D104)*'INGRESO A PS DE CA'!Y104</f>
        <v>2.8505414</v>
      </c>
      <c r="Z264" s="322">
        <f>($D104)*'INGRESO A PS DE CA'!Z104</f>
        <v>2.9016652000000001</v>
      </c>
    </row>
    <row r="265" spans="1:26" ht="24.95" customHeight="1">
      <c r="A265" s="260" t="str">
        <f>+Pobl_adoptada!A105</f>
        <v>Pehuajó</v>
      </c>
      <c r="B265" s="70">
        <f>+Pobl_adoptada!B105</f>
        <v>101</v>
      </c>
      <c r="C265" s="71" t="str">
        <f>+Pobl_adoptada!C105</f>
        <v>Pehuajó</v>
      </c>
      <c r="D265" s="291"/>
      <c r="E265" s="278"/>
      <c r="F265" s="263"/>
      <c r="G265" s="322">
        <f>($D105)*'INGRESO A PS DE CA'!G105</f>
        <v>7.3661520000000022E-2</v>
      </c>
      <c r="H265" s="322">
        <f>($D105)*'INGRESO A PS DE CA'!H105</f>
        <v>0.5927350400000001</v>
      </c>
      <c r="I265" s="322">
        <f>($D105)*'INGRESO A PS DE CA'!I105</f>
        <v>1.1178018000000001</v>
      </c>
      <c r="J265" s="322">
        <f>($D105)*'INGRESO A PS DE CA'!J105</f>
        <v>1.8737620000000004</v>
      </c>
      <c r="K265" s="322">
        <f>($D105)*'INGRESO A PS DE CA'!K105</f>
        <v>2.6382552000000001</v>
      </c>
      <c r="L265" s="322">
        <f>($D105)*'INGRESO A PS DE CA'!L105</f>
        <v>2.6532436000000001</v>
      </c>
      <c r="M265" s="322">
        <f>($D105)*'INGRESO A PS DE CA'!M105</f>
        <v>2.6683062000000004</v>
      </c>
      <c r="N265" s="322">
        <f>($D105)*'INGRESO A PS DE CA'!N105</f>
        <v>2.6832946</v>
      </c>
      <c r="O265" s="322">
        <f>($D105)*'INGRESO A PS DE CA'!O105</f>
        <v>2.698283</v>
      </c>
      <c r="P265" s="322">
        <f>($D105)*'INGRESO A PS DE CA'!P105</f>
        <v>2.7133456000000002</v>
      </c>
      <c r="Q265" s="322">
        <f>($D105)*'INGRESO A PS DE CA'!Q105</f>
        <v>2.7283340000000003</v>
      </c>
      <c r="R265" s="322">
        <f>($D105)*'INGRESO A PS DE CA'!R105</f>
        <v>2.7433966000000005</v>
      </c>
      <c r="S265" s="322">
        <f>($D105)*'INGRESO A PS DE CA'!S105</f>
        <v>2.7583850000000005</v>
      </c>
      <c r="T265" s="322">
        <f>($D105)*'INGRESO A PS DE CA'!T105</f>
        <v>2.7733734000000005</v>
      </c>
      <c r="U265" s="322">
        <f>($D105)*'INGRESO A PS DE CA'!U105</f>
        <v>2.7884360000000004</v>
      </c>
      <c r="V265" s="322">
        <f>($D105)*'INGRESO A PS DE CA'!V105</f>
        <v>2.8034244000000004</v>
      </c>
      <c r="W265" s="322">
        <f>($D105)*'INGRESO A PS DE CA'!W105</f>
        <v>2.8184869999999997</v>
      </c>
      <c r="X265" s="322">
        <f>($D105)*'INGRESO A PS DE CA'!X105</f>
        <v>2.8334753999999998</v>
      </c>
      <c r="Y265" s="322">
        <f>($D105)*'INGRESO A PS DE CA'!Y105</f>
        <v>2.8484638000000002</v>
      </c>
      <c r="Z265" s="322">
        <f>($D105)*'INGRESO A PS DE CA'!Z105</f>
        <v>2.8635264000000005</v>
      </c>
    </row>
    <row r="266" spans="1:26" ht="24.95" customHeight="1">
      <c r="A266" s="260" t="str">
        <f>+Pobl_adoptada!A106</f>
        <v>Pellegrini</v>
      </c>
      <c r="B266" s="70">
        <f>+Pobl_adoptada!B106</f>
        <v>102</v>
      </c>
      <c r="C266" s="71" t="str">
        <f>+Pobl_adoptada!C106</f>
        <v>Pellegrini</v>
      </c>
      <c r="D266" s="291"/>
      <c r="E266" s="278"/>
      <c r="F266" s="263"/>
      <c r="G266" s="322">
        <f>($D106)*'INGRESO A PS DE CA'!G106</f>
        <v>1.0373920000000002E-2</v>
      </c>
      <c r="H266" s="322">
        <f>($D106)*'INGRESO A PS DE CA'!H106</f>
        <v>8.3418240000000018E-2</v>
      </c>
      <c r="I266" s="322">
        <f>($D106)*'INGRESO A PS DE CA'!I106</f>
        <v>0.15720960000000003</v>
      </c>
      <c r="J266" s="322">
        <f>($D106)*'INGRESO A PS DE CA'!J106</f>
        <v>0.26335000000000003</v>
      </c>
      <c r="K266" s="322">
        <f>($D106)*'INGRESO A PS DE CA'!K106</f>
        <v>0.37055759999999999</v>
      </c>
      <c r="L266" s="322">
        <f>($D106)*'INGRESO A PS DE CA'!L106</f>
        <v>0.37242520000000007</v>
      </c>
      <c r="M266" s="322">
        <f>($D106)*'INGRESO A PS DE CA'!M106</f>
        <v>0.37422840000000002</v>
      </c>
      <c r="N266" s="322">
        <f>($D106)*'INGRESO A PS DE CA'!N106</f>
        <v>0.37609599999999999</v>
      </c>
      <c r="O266" s="322">
        <f>($D106)*'INGRESO A PS DE CA'!O106</f>
        <v>0.37796360000000001</v>
      </c>
      <c r="P266" s="322">
        <f>($D106)*'INGRESO A PS DE CA'!P106</f>
        <v>0.37983119999999992</v>
      </c>
      <c r="Q266" s="322">
        <f>($D106)*'INGRESO A PS DE CA'!Q106</f>
        <v>0.3816988</v>
      </c>
      <c r="R266" s="322">
        <f>($D106)*'INGRESO A PS DE CA'!R106</f>
        <v>0.38356640000000009</v>
      </c>
      <c r="S266" s="322">
        <f>($D106)*'INGRESO A PS DE CA'!S106</f>
        <v>0.385434</v>
      </c>
      <c r="T266" s="322">
        <f>($D106)*'INGRESO A PS DE CA'!T106</f>
        <v>0.38730160000000002</v>
      </c>
      <c r="U266" s="322">
        <f>($D106)*'INGRESO A PS DE CA'!U106</f>
        <v>0.38916919999999999</v>
      </c>
      <c r="V266" s="322">
        <f>($D106)*'INGRESO A PS DE CA'!V106</f>
        <v>0.39103680000000007</v>
      </c>
      <c r="W266" s="322">
        <f>($D106)*'INGRESO A PS DE CA'!W106</f>
        <v>0.39284000000000002</v>
      </c>
      <c r="X266" s="322">
        <f>($D106)*'INGRESO A PS DE CA'!X106</f>
        <v>0.39470759999999999</v>
      </c>
      <c r="Y266" s="322">
        <f>($D106)*'INGRESO A PS DE CA'!Y106</f>
        <v>0.39657520000000002</v>
      </c>
      <c r="Z266" s="322">
        <f>($D106)*'INGRESO A PS DE CA'!Z106</f>
        <v>0.39844279999999999</v>
      </c>
    </row>
    <row r="267" spans="1:26" ht="24.95" customHeight="1">
      <c r="A267" s="260" t="str">
        <f>+Pobl_adoptada!A107</f>
        <v>Pergamino</v>
      </c>
      <c r="B267" s="70">
        <f>+Pobl_adoptada!B107</f>
        <v>103</v>
      </c>
      <c r="C267" s="71" t="str">
        <f>+Pobl_adoptada!C107</f>
        <v>Pergamino</v>
      </c>
      <c r="D267" s="291"/>
      <c r="E267" s="278"/>
      <c r="F267" s="263"/>
      <c r="G267" s="322">
        <f>($D107)*'INGRESO A PS DE CA'!G107</f>
        <v>0.20722320000000002</v>
      </c>
      <c r="H267" s="322">
        <f>($D107)*'INGRESO A PS DE CA'!H107</f>
        <v>1.6682304000000003</v>
      </c>
      <c r="I267" s="322">
        <f>($D107)*'INGRESO A PS DE CA'!I107</f>
        <v>3.1475159999999995</v>
      </c>
      <c r="J267" s="322">
        <f>($D107)*'INGRESO A PS DE CA'!J107</f>
        <v>5.2784490000000002</v>
      </c>
      <c r="K267" s="322">
        <f>($D107)*'INGRESO A PS DE CA'!K107</f>
        <v>7.4355245999999999</v>
      </c>
      <c r="L267" s="322">
        <f>($D107)*'INGRESO A PS DE CA'!L107</f>
        <v>7.4812206000000003</v>
      </c>
      <c r="M267" s="322">
        <f>($D107)*'INGRESO A PS DE CA'!M107</f>
        <v>7.5268452000000003</v>
      </c>
      <c r="N267" s="322">
        <f>($D107)*'INGRESO A PS DE CA'!N107</f>
        <v>7.5725412000000007</v>
      </c>
      <c r="O267" s="322">
        <f>($D107)*'INGRESO A PS DE CA'!O107</f>
        <v>7.6182372000000003</v>
      </c>
      <c r="P267" s="322">
        <f>($D107)*'INGRESO A PS DE CA'!P107</f>
        <v>7.6638618000000012</v>
      </c>
      <c r="Q267" s="322">
        <f>($D107)*'INGRESO A PS DE CA'!Q107</f>
        <v>7.7095578000000007</v>
      </c>
      <c r="R267" s="322">
        <f>($D107)*'INGRESO A PS DE CA'!R107</f>
        <v>7.7552538000000002</v>
      </c>
      <c r="S267" s="322">
        <f>($D107)*'INGRESO A PS DE CA'!S107</f>
        <v>7.8008783999999993</v>
      </c>
      <c r="T267" s="322">
        <f>($D107)*'INGRESO A PS DE CA'!T107</f>
        <v>7.8465743999999988</v>
      </c>
      <c r="U267" s="322">
        <f>($D107)*'INGRESO A PS DE CA'!U107</f>
        <v>7.8922704000000001</v>
      </c>
      <c r="V267" s="322">
        <f>($D107)*'INGRESO A PS DE CA'!V107</f>
        <v>7.9378949999999993</v>
      </c>
      <c r="W267" s="322">
        <f>($D107)*'INGRESO A PS DE CA'!W107</f>
        <v>7.9835910000000005</v>
      </c>
      <c r="X267" s="322">
        <f>($D107)*'INGRESO A PS DE CA'!X107</f>
        <v>8.0292870000000018</v>
      </c>
      <c r="Y267" s="322">
        <f>($D107)*'INGRESO A PS DE CA'!Y107</f>
        <v>8.0749116000000001</v>
      </c>
      <c r="Z267" s="322">
        <f>($D107)*'INGRESO A PS DE CA'!Z107</f>
        <v>8.1206076000000014</v>
      </c>
    </row>
    <row r="268" spans="1:26" ht="24.95" customHeight="1">
      <c r="A268" s="260" t="str">
        <f>+Pobl_adoptada!A108</f>
        <v>Pila</v>
      </c>
      <c r="B268" s="70">
        <f>+Pobl_adoptada!B108</f>
        <v>104</v>
      </c>
      <c r="C268" s="71" t="str">
        <f>+Pobl_adoptada!C108</f>
        <v>Pila</v>
      </c>
      <c r="D268" s="291"/>
      <c r="E268" s="278"/>
      <c r="F268" s="263"/>
      <c r="G268" s="322">
        <f>($D108)*'INGRESO A PS DE CA'!G108</f>
        <v>6.3664000000000012E-3</v>
      </c>
      <c r="H268" s="322">
        <f>($D108)*'INGRESO A PS DE CA'!H108</f>
        <v>5.1976319999999999E-2</v>
      </c>
      <c r="I268" s="322">
        <f>($D108)*'INGRESO A PS DE CA'!I108</f>
        <v>9.9442799999999998E-2</v>
      </c>
      <c r="J268" s="322">
        <f>($D108)*'INGRESO A PS DE CA'!J108</f>
        <v>0.16914200000000001</v>
      </c>
      <c r="K268" s="322">
        <f>($D108)*'INGRESO A PS DE CA'!K108</f>
        <v>0.24162880000000003</v>
      </c>
      <c r="L268" s="322">
        <f>($D108)*'INGRESO A PS DE CA'!L108</f>
        <v>0.24658760000000002</v>
      </c>
      <c r="M268" s="322">
        <f>($D108)*'INGRESO A PS DE CA'!M108</f>
        <v>0.25161080000000002</v>
      </c>
      <c r="N268" s="322">
        <f>($D108)*'INGRESO A PS DE CA'!N108</f>
        <v>0.25676280000000001</v>
      </c>
      <c r="O268" s="322">
        <f>($D108)*'INGRESO A PS DE CA'!O108</f>
        <v>0.26204359999999999</v>
      </c>
      <c r="P268" s="322">
        <f>($D108)*'INGRESO A PS DE CA'!P108</f>
        <v>0.26738879999999998</v>
      </c>
      <c r="Q268" s="322">
        <f>($D108)*'INGRESO A PS DE CA'!Q108</f>
        <v>0.27286279999999996</v>
      </c>
      <c r="R268" s="322">
        <f>($D108)*'INGRESO A PS DE CA'!R108</f>
        <v>0.27840120000000002</v>
      </c>
      <c r="S268" s="322">
        <f>($D108)*'INGRESO A PS DE CA'!S108</f>
        <v>0.28413279999999996</v>
      </c>
      <c r="T268" s="322">
        <f>($D108)*'INGRESO A PS DE CA'!T108</f>
        <v>0.28992879999999999</v>
      </c>
      <c r="U268" s="322">
        <f>($D108)*'INGRESO A PS DE CA'!U108</f>
        <v>0.29585359999999999</v>
      </c>
      <c r="V268" s="322">
        <f>($D108)*'INGRESO A PS DE CA'!V108</f>
        <v>0.30190720000000004</v>
      </c>
      <c r="W268" s="322">
        <f>($D108)*'INGRESO A PS DE CA'!W108</f>
        <v>0.30808959999999996</v>
      </c>
      <c r="X268" s="322">
        <f>($D108)*'INGRESO A PS DE CA'!X108</f>
        <v>0.31440080000000004</v>
      </c>
      <c r="Y268" s="322">
        <f>($D108)*'INGRESO A PS DE CA'!Y108</f>
        <v>0.32084080000000004</v>
      </c>
      <c r="Z268" s="322">
        <f>($D108)*'INGRESO A PS DE CA'!Z108</f>
        <v>0.32740960000000002</v>
      </c>
    </row>
    <row r="269" spans="1:26" ht="24.95" customHeight="1">
      <c r="A269" s="260" t="str">
        <f>+Pobl_adoptada!A109</f>
        <v>Pilar</v>
      </c>
      <c r="B269" s="70">
        <f>+Pobl_adoptada!B109</f>
        <v>105</v>
      </c>
      <c r="C269" s="71" t="str">
        <f>+Pobl_adoptada!C109</f>
        <v>Pilar</v>
      </c>
      <c r="D269" s="291"/>
      <c r="E269" s="278"/>
      <c r="F269" s="263"/>
      <c r="G269" s="322">
        <f>($D109)*'INGRESO A PS DE CA'!G109</f>
        <v>1.2236233800000003</v>
      </c>
      <c r="H269" s="322">
        <f>($D109)*'INGRESO A PS DE CA'!H109</f>
        <v>9.9794836800000013</v>
      </c>
      <c r="I269" s="322">
        <f>($D109)*'INGRESO A PS DE CA'!I109</f>
        <v>19.068755399999997</v>
      </c>
      <c r="J269" s="322">
        <f>($D109)*'INGRESO A PS DE CA'!J109</f>
        <v>32.376631500000002</v>
      </c>
      <c r="K269" s="322">
        <f>($D109)*'INGRESO A PS DE CA'!K109</f>
        <v>46.160805599999996</v>
      </c>
      <c r="L269" s="322">
        <f>($D109)*'INGRESO A PS DE CA'!L109</f>
        <v>46.994327099999992</v>
      </c>
      <c r="M269" s="322">
        <f>($D109)*'INGRESO A PS DE CA'!M109</f>
        <v>47.827848599999996</v>
      </c>
      <c r="N269" s="322">
        <f>($D109)*'INGRESO A PS DE CA'!N109</f>
        <v>48.661370099999999</v>
      </c>
      <c r="O269" s="322">
        <f>($D109)*'INGRESO A PS DE CA'!O109</f>
        <v>49.494891600000003</v>
      </c>
      <c r="P269" s="322">
        <f>($D109)*'INGRESO A PS DE CA'!P109</f>
        <v>50.328413099999999</v>
      </c>
      <c r="Q269" s="322">
        <f>($D109)*'INGRESO A PS DE CA'!Q109</f>
        <v>51.161934599999995</v>
      </c>
      <c r="R269" s="322">
        <f>($D109)*'INGRESO A PS DE CA'!R109</f>
        <v>51.995456100000006</v>
      </c>
      <c r="S269" s="322">
        <f>($D109)*'INGRESO A PS DE CA'!S109</f>
        <v>52.828878899999985</v>
      </c>
      <c r="T269" s="322">
        <f>($D109)*'INGRESO A PS DE CA'!T109</f>
        <v>53.662400400000003</v>
      </c>
      <c r="U269" s="322">
        <f>($D109)*'INGRESO A PS DE CA'!U109</f>
        <v>54.495921899999999</v>
      </c>
      <c r="V269" s="322">
        <f>($D109)*'INGRESO A PS DE CA'!V109</f>
        <v>55.329443399999995</v>
      </c>
      <c r="W269" s="322">
        <f>($D109)*'INGRESO A PS DE CA'!W109</f>
        <v>56.162964899999992</v>
      </c>
      <c r="X269" s="322">
        <f>($D109)*'INGRESO A PS DE CA'!X109</f>
        <v>56.996486399999995</v>
      </c>
      <c r="Y269" s="322">
        <f>($D109)*'INGRESO A PS DE CA'!Y109</f>
        <v>57.830007899999998</v>
      </c>
      <c r="Z269" s="322">
        <f>($D109)*'INGRESO A PS DE CA'!Z109</f>
        <v>58.663529399999994</v>
      </c>
    </row>
    <row r="270" spans="1:26" ht="24.95" customHeight="1">
      <c r="A270" s="260" t="str">
        <f>+Pobl_adoptada!A110</f>
        <v>Pinamar</v>
      </c>
      <c r="B270" s="70">
        <f>+Pobl_adoptada!B110</f>
        <v>106</v>
      </c>
      <c r="C270" s="71" t="str">
        <f>+Pobl_adoptada!C110</f>
        <v>Pinamar</v>
      </c>
      <c r="D270" s="291"/>
      <c r="E270" s="278"/>
      <c r="F270" s="263"/>
      <c r="G270" s="322">
        <f>($D110)*'INGRESO A PS DE CA'!G110</f>
        <v>0.13232460000000001</v>
      </c>
      <c r="H270" s="322">
        <f>($D110)*'INGRESO A PS DE CA'!H110</f>
        <v>1.0864550400000001</v>
      </c>
      <c r="I270" s="322">
        <f>($D110)*'INGRESO A PS DE CA'!I110</f>
        <v>2.0901330000000002</v>
      </c>
      <c r="J270" s="322">
        <f>($D110)*'INGRESO A PS DE CA'!J110</f>
        <v>3.5734170000000001</v>
      </c>
      <c r="K270" s="322">
        <f>($D110)*'INGRESO A PS DE CA'!K110</f>
        <v>5.1306612000000005</v>
      </c>
      <c r="L270" s="322">
        <f>($D110)*'INGRESO A PS DE CA'!L110</f>
        <v>5.2605378000000007</v>
      </c>
      <c r="M270" s="322">
        <f>($D110)*'INGRESO A PS DE CA'!M110</f>
        <v>5.3926278000000005</v>
      </c>
      <c r="N270" s="322">
        <f>($D110)*'INGRESO A PS DE CA'!N110</f>
        <v>5.5267883999999992</v>
      </c>
      <c r="O270" s="322">
        <f>($D110)*'INGRESO A PS DE CA'!O110</f>
        <v>5.6631624</v>
      </c>
      <c r="P270" s="322">
        <f>($D110)*'INGRESO A PS DE CA'!P110</f>
        <v>5.8017497999999996</v>
      </c>
      <c r="Q270" s="322">
        <f>($D110)*'INGRESO A PS DE CA'!Q110</f>
        <v>5.9426933999999996</v>
      </c>
      <c r="R270" s="322">
        <f>($D110)*'INGRESO A PS DE CA'!R110</f>
        <v>6.0858504</v>
      </c>
      <c r="S270" s="322">
        <f>($D110)*'INGRESO A PS DE CA'!S110</f>
        <v>6.2313635999999999</v>
      </c>
      <c r="T270" s="322">
        <f>($D110)*'INGRESO A PS DE CA'!T110</f>
        <v>6.3792330000000002</v>
      </c>
      <c r="U270" s="322">
        <f>($D110)*'INGRESO A PS DE CA'!U110</f>
        <v>6.5296014000000007</v>
      </c>
      <c r="V270" s="322">
        <f>($D110)*'INGRESO A PS DE CA'!V110</f>
        <v>6.6823259999999998</v>
      </c>
      <c r="W270" s="322">
        <f>($D110)*'INGRESO A PS DE CA'!W110</f>
        <v>6.8375496</v>
      </c>
      <c r="X270" s="322">
        <f>($D110)*'INGRESO A PS DE CA'!X110</f>
        <v>6.9953436</v>
      </c>
      <c r="Y270" s="322">
        <f>($D110)*'INGRESO A PS DE CA'!Y110</f>
        <v>7.1557080000000006</v>
      </c>
      <c r="Z270" s="322">
        <f>($D110)*'INGRESO A PS DE CA'!Z110</f>
        <v>7.3186427999999992</v>
      </c>
    </row>
    <row r="271" spans="1:26" ht="24.95" customHeight="1">
      <c r="A271" s="260" t="str">
        <f>+Pobl_adoptada!A111</f>
        <v>Presidente Perón</v>
      </c>
      <c r="B271" s="70">
        <f>+Pobl_adoptada!B111</f>
        <v>107</v>
      </c>
      <c r="C271" s="71" t="str">
        <f>+Pobl_adoptada!C111</f>
        <v>Presidente Perón</v>
      </c>
      <c r="D271" s="291"/>
      <c r="E271" s="278"/>
      <c r="F271" s="263"/>
      <c r="G271" s="322">
        <f>($D111)*'INGRESO A PS DE CA'!G111</f>
        <v>0.23247636000000005</v>
      </c>
      <c r="H271" s="322">
        <f>($D111)*'INGRESO A PS DE CA'!H111</f>
        <v>1.89432768</v>
      </c>
      <c r="I271" s="322">
        <f>($D111)*'INGRESO A PS DE CA'!I111</f>
        <v>3.6165833999999997</v>
      </c>
      <c r="J271" s="322">
        <f>($D111)*'INGRESO A PS DE CA'!J111</f>
        <v>6.135504000000001</v>
      </c>
      <c r="K271" s="322">
        <f>($D111)*'INGRESO A PS DE CA'!K111</f>
        <v>8.7407880000000002</v>
      </c>
      <c r="L271" s="322">
        <f>($D111)*'INGRESO A PS DE CA'!L111</f>
        <v>8.8917989999999989</v>
      </c>
      <c r="M271" s="322">
        <f>($D111)*'INGRESO A PS DE CA'!M111</f>
        <v>9.0428099999999993</v>
      </c>
      <c r="N271" s="322">
        <f>($D111)*'INGRESO A PS DE CA'!N111</f>
        <v>9.193820999999998</v>
      </c>
      <c r="O271" s="322">
        <f>($D111)*'INGRESO A PS DE CA'!O111</f>
        <v>9.3448320000000002</v>
      </c>
      <c r="P271" s="322">
        <f>($D111)*'INGRESO A PS DE CA'!P111</f>
        <v>9.4958429999999989</v>
      </c>
      <c r="Q271" s="322">
        <f>($D111)*'INGRESO A PS DE CA'!Q111</f>
        <v>9.6468540000000012</v>
      </c>
      <c r="R271" s="322">
        <f>($D111)*'INGRESO A PS DE CA'!R111</f>
        <v>9.7978650000000016</v>
      </c>
      <c r="S271" s="322">
        <f>($D111)*'INGRESO A PS DE CA'!S111</f>
        <v>9.9489474000000016</v>
      </c>
      <c r="T271" s="322">
        <f>($D111)*'INGRESO A PS DE CA'!T111</f>
        <v>10.0999584</v>
      </c>
      <c r="U271" s="322">
        <f>($D111)*'INGRESO A PS DE CA'!U111</f>
        <v>10.250969400000002</v>
      </c>
      <c r="V271" s="322">
        <f>($D111)*'INGRESO A PS DE CA'!V111</f>
        <v>10.401980399999999</v>
      </c>
      <c r="W271" s="322">
        <f>($D111)*'INGRESO A PS DE CA'!W111</f>
        <v>10.552991399999998</v>
      </c>
      <c r="X271" s="322">
        <f>($D111)*'INGRESO A PS DE CA'!X111</f>
        <v>10.7040024</v>
      </c>
      <c r="Y271" s="322">
        <f>($D111)*'INGRESO A PS DE CA'!Y111</f>
        <v>10.855013399999999</v>
      </c>
      <c r="Z271" s="322">
        <f>($D111)*'INGRESO A PS DE CA'!Z111</f>
        <v>11.006024400000001</v>
      </c>
    </row>
    <row r="272" spans="1:26" ht="24.95" customHeight="1">
      <c r="A272" s="260" t="str">
        <f>+Pobl_adoptada!A112</f>
        <v>Puán</v>
      </c>
      <c r="B272" s="70">
        <f>+Pobl_adoptada!B112</f>
        <v>108</v>
      </c>
      <c r="C272" s="71" t="str">
        <f>+Pobl_adoptada!C112</f>
        <v>Puán</v>
      </c>
      <c r="D272" s="291"/>
      <c r="E272" s="278"/>
      <c r="F272" s="263"/>
      <c r="G272" s="322">
        <f>($D112)*'INGRESO A PS DE CA'!G112</f>
        <v>9.3177599999999996E-3</v>
      </c>
      <c r="H272" s="322">
        <f>($D112)*'INGRESO A PS DE CA'!H112</f>
        <v>7.52192E-2</v>
      </c>
      <c r="I272" s="322">
        <f>($D112)*'INGRESO A PS DE CA'!I112</f>
        <v>0.1423056</v>
      </c>
      <c r="J272" s="322">
        <f>($D112)*'INGRESO A PS DE CA'!J112</f>
        <v>0.23924600000000004</v>
      </c>
      <c r="K272" s="322">
        <f>($D112)*'INGRESO A PS DE CA'!K112</f>
        <v>0.33790680000000001</v>
      </c>
      <c r="L272" s="322">
        <f>($D112)*'INGRESO A PS DE CA'!L112</f>
        <v>0.34222160000000001</v>
      </c>
      <c r="M272" s="322">
        <f>($D112)*'INGRESO A PS DE CA'!M112</f>
        <v>0.346472</v>
      </c>
      <c r="N272" s="322">
        <f>($D112)*'INGRESO A PS DE CA'!N112</f>
        <v>0.35078680000000001</v>
      </c>
      <c r="O272" s="322">
        <f>($D112)*'INGRESO A PS DE CA'!O112</f>
        <v>0.35510160000000002</v>
      </c>
      <c r="P272" s="322">
        <f>($D112)*'INGRESO A PS DE CA'!P112</f>
        <v>0.359352</v>
      </c>
      <c r="Q272" s="322">
        <f>($D112)*'INGRESO A PS DE CA'!Q112</f>
        <v>0.36366680000000001</v>
      </c>
      <c r="R272" s="322">
        <f>($D112)*'INGRESO A PS DE CA'!R112</f>
        <v>0.36798160000000002</v>
      </c>
      <c r="S272" s="322">
        <f>($D112)*'INGRESO A PS DE CA'!S112</f>
        <v>0.37223200000000006</v>
      </c>
      <c r="T272" s="322">
        <f>($D112)*'INGRESO A PS DE CA'!T112</f>
        <v>0.37654679999999996</v>
      </c>
      <c r="U272" s="322">
        <f>($D112)*'INGRESO A PS DE CA'!U112</f>
        <v>0.3807972</v>
      </c>
      <c r="V272" s="322">
        <f>($D112)*'INGRESO A PS DE CA'!V112</f>
        <v>0.38511200000000007</v>
      </c>
      <c r="W272" s="322">
        <f>($D112)*'INGRESO A PS DE CA'!W112</f>
        <v>0.38942680000000002</v>
      </c>
      <c r="X272" s="322">
        <f>($D112)*'INGRESO A PS DE CA'!X112</f>
        <v>0.3936772</v>
      </c>
      <c r="Y272" s="322">
        <f>($D112)*'INGRESO A PS DE CA'!Y112</f>
        <v>0.39799200000000001</v>
      </c>
      <c r="Z272" s="322">
        <f>($D112)*'INGRESO A PS DE CA'!Z112</f>
        <v>0.40230680000000008</v>
      </c>
    </row>
    <row r="273" spans="1:26" ht="24.95" customHeight="1">
      <c r="A273" s="260" t="str">
        <f>+Pobl_adoptada!A113</f>
        <v>Punta Indio</v>
      </c>
      <c r="B273" s="70">
        <f>+Pobl_adoptada!B113</f>
        <v>109</v>
      </c>
      <c r="C273" s="71" t="str">
        <f>+Pobl_adoptada!C113</f>
        <v>Verónica</v>
      </c>
      <c r="D273" s="291"/>
      <c r="E273" s="278"/>
      <c r="F273" s="263"/>
      <c r="G273" s="322">
        <f>($D113)*'INGRESO A PS DE CA'!G113</f>
        <v>1.6422000000000003E-2</v>
      </c>
      <c r="H273" s="322">
        <f>($D113)*'INGRESO A PS DE CA'!H113</f>
        <v>0.13387840000000001</v>
      </c>
      <c r="I273" s="322">
        <f>($D113)*'INGRESO A PS DE CA'!I113</f>
        <v>0.25579679999999999</v>
      </c>
      <c r="J273" s="322">
        <f>($D113)*'INGRESO A PS DE CA'!J113</f>
        <v>0.43442400000000003</v>
      </c>
      <c r="K273" s="322">
        <f>($D113)*'INGRESO A PS DE CA'!K113</f>
        <v>0.61965680000000001</v>
      </c>
      <c r="L273" s="322">
        <f>($D113)*'INGRESO A PS DE CA'!L113</f>
        <v>0.63137760000000009</v>
      </c>
      <c r="M273" s="322">
        <f>($D113)*'INGRESO A PS DE CA'!M113</f>
        <v>0.64322720000000011</v>
      </c>
      <c r="N273" s="322">
        <f>($D113)*'INGRESO A PS DE CA'!N113</f>
        <v>0.65533439999999998</v>
      </c>
      <c r="O273" s="322">
        <f>($D113)*'INGRESO A PS DE CA'!O113</f>
        <v>0.66757040000000012</v>
      </c>
      <c r="P273" s="322">
        <f>($D113)*'INGRESO A PS DE CA'!P113</f>
        <v>0.68006400000000011</v>
      </c>
      <c r="Q273" s="322">
        <f>($D113)*'INGRESO A PS DE CA'!Q113</f>
        <v>0.6927508</v>
      </c>
      <c r="R273" s="322">
        <f>($D113)*'INGRESO A PS DE CA'!R113</f>
        <v>0.70563080000000011</v>
      </c>
      <c r="S273" s="322">
        <f>($D113)*'INGRESO A PS DE CA'!S113</f>
        <v>0.71870400000000001</v>
      </c>
      <c r="T273" s="322">
        <f>($D113)*'INGRESO A PS DE CA'!T113</f>
        <v>0.7320348000000001</v>
      </c>
      <c r="U273" s="322">
        <f>($D113)*'INGRESO A PS DE CA'!U113</f>
        <v>0.74555879999999997</v>
      </c>
      <c r="V273" s="322">
        <f>($D113)*'INGRESO A PS DE CA'!V113</f>
        <v>0.75927600000000017</v>
      </c>
      <c r="W273" s="322">
        <f>($D113)*'INGRESO A PS DE CA'!W113</f>
        <v>0.77325080000000002</v>
      </c>
      <c r="X273" s="322">
        <f>($D113)*'INGRESO A PS DE CA'!X113</f>
        <v>0.78741879999999997</v>
      </c>
      <c r="Y273" s="322">
        <f>($D113)*'INGRESO A PS DE CA'!Y113</f>
        <v>0.8018443999999999</v>
      </c>
      <c r="Z273" s="322">
        <f>($D113)*'INGRESO A PS DE CA'!Z113</f>
        <v>0.81652760000000013</v>
      </c>
    </row>
    <row r="274" spans="1:26" ht="24.95" customHeight="1">
      <c r="A274" s="260" t="str">
        <f>+Pobl_adoptada!A114</f>
        <v>Ramallo</v>
      </c>
      <c r="B274" s="70">
        <f>+Pobl_adoptada!B114</f>
        <v>110</v>
      </c>
      <c r="C274" s="71" t="str">
        <f>+Pobl_adoptada!C114</f>
        <v>Ramallo</v>
      </c>
      <c r="D274" s="291"/>
      <c r="E274" s="278"/>
      <c r="F274" s="263"/>
      <c r="G274" s="322">
        <f>($D114)*'INGRESO A PS DE CA'!G114</f>
        <v>3.5285280000000002E-2</v>
      </c>
      <c r="H274" s="322">
        <f>($D114)*'INGRESO A PS DE CA'!H114</f>
        <v>0.28623392000000009</v>
      </c>
      <c r="I274" s="322">
        <f>($D114)*'INGRESO A PS DE CA'!I114</f>
        <v>0.54422519999999996</v>
      </c>
      <c r="J274" s="322">
        <f>($D114)*'INGRESO A PS DE CA'!J114</f>
        <v>0.91976200000000008</v>
      </c>
      <c r="K274" s="322">
        <f>($D114)*'INGRESO A PS DE CA'!K114</f>
        <v>1.3056973999999999</v>
      </c>
      <c r="L274" s="322">
        <f>($D114)*'INGRESO A PS DE CA'!L114</f>
        <v>1.3240247999999999</v>
      </c>
      <c r="M274" s="322">
        <f>($D114)*'INGRESO A PS DE CA'!M114</f>
        <v>1.3425748</v>
      </c>
      <c r="N274" s="322">
        <f>($D114)*'INGRESO A PS DE CA'!N114</f>
        <v>1.3614216000000001</v>
      </c>
      <c r="O274" s="322">
        <f>($D114)*'INGRESO A PS DE CA'!O114</f>
        <v>1.3804910000000001</v>
      </c>
      <c r="P274" s="322">
        <f>($D114)*'INGRESO A PS DE CA'!P114</f>
        <v>1.3998572000000002</v>
      </c>
      <c r="Q274" s="322">
        <f>($D114)*'INGRESO A PS DE CA'!Q114</f>
        <v>1.4195202</v>
      </c>
      <c r="R274" s="322">
        <f>($D114)*'INGRESO A PS DE CA'!R114</f>
        <v>1.4394058000000001</v>
      </c>
      <c r="S274" s="322">
        <f>($D114)*'INGRESO A PS DE CA'!S114</f>
        <v>1.4595882000000002</v>
      </c>
      <c r="T274" s="322">
        <f>($D114)*'INGRESO A PS DE CA'!T114</f>
        <v>1.4800673999999998</v>
      </c>
      <c r="U274" s="322">
        <f>($D114)*'INGRESO A PS DE CA'!U114</f>
        <v>1.5008434000000002</v>
      </c>
      <c r="V274" s="322">
        <f>($D114)*'INGRESO A PS DE CA'!V114</f>
        <v>1.5218420000000001</v>
      </c>
      <c r="W274" s="322">
        <f>($D114)*'INGRESO A PS DE CA'!W114</f>
        <v>1.5432116</v>
      </c>
      <c r="X274" s="322">
        <f>($D114)*'INGRESO A PS DE CA'!X114</f>
        <v>1.5648780000000002</v>
      </c>
      <c r="Y274" s="322">
        <f>($D114)*'INGRESO A PS DE CA'!Y114</f>
        <v>1.586767</v>
      </c>
      <c r="Z274" s="322">
        <f>($D114)*'INGRESO A PS DE CA'!Z114</f>
        <v>1.6090270000000002</v>
      </c>
    </row>
    <row r="275" spans="1:26" ht="24.95" customHeight="1">
      <c r="A275" s="260" t="str">
        <f>+Pobl_adoptada!A115</f>
        <v>Rauch</v>
      </c>
      <c r="B275" s="70">
        <f>+Pobl_adoptada!B115</f>
        <v>111</v>
      </c>
      <c r="C275" s="71" t="str">
        <f>+Pobl_adoptada!C115</f>
        <v>Rauch</v>
      </c>
      <c r="D275" s="291"/>
      <c r="E275" s="278"/>
      <c r="F275" s="263"/>
      <c r="G275" s="322">
        <f>($D115)*'INGRESO A PS DE CA'!G115</f>
        <v>2.7084800000000006E-2</v>
      </c>
      <c r="H275" s="322">
        <f>($D115)*'INGRESO A PS DE CA'!H115</f>
        <v>0.21856255999999999</v>
      </c>
      <c r="I275" s="322">
        <f>($D115)*'INGRESO A PS DE CA'!I115</f>
        <v>0.41331000000000001</v>
      </c>
      <c r="J275" s="322">
        <f>($D115)*'INGRESO A PS DE CA'!J115</f>
        <v>0.69473800000000008</v>
      </c>
      <c r="K275" s="322">
        <f>($D115)*'INGRESO A PS DE CA'!K115</f>
        <v>0.98081199999999991</v>
      </c>
      <c r="L275" s="322">
        <f>($D115)*'INGRESO A PS DE CA'!L115</f>
        <v>0.98905520000000002</v>
      </c>
      <c r="M275" s="322">
        <f>($D115)*'INGRESO A PS DE CA'!M115</f>
        <v>0.99729840000000003</v>
      </c>
      <c r="N275" s="322">
        <f>($D115)*'INGRESO A PS DE CA'!N115</f>
        <v>1.0054772000000001</v>
      </c>
      <c r="O275" s="322">
        <f>($D115)*'INGRESO A PS DE CA'!O115</f>
        <v>1.0137204000000002</v>
      </c>
      <c r="P275" s="322">
        <f>($D115)*'INGRESO A PS DE CA'!P115</f>
        <v>1.0218992</v>
      </c>
      <c r="Q275" s="322">
        <f>($D115)*'INGRESO A PS DE CA'!Q115</f>
        <v>1.0301424000000001</v>
      </c>
      <c r="R275" s="322">
        <f>($D115)*'INGRESO A PS DE CA'!R115</f>
        <v>1.0383211999999999</v>
      </c>
      <c r="S275" s="322">
        <f>($D115)*'INGRESO A PS DE CA'!S115</f>
        <v>1.0465644000000001</v>
      </c>
      <c r="T275" s="322">
        <f>($D115)*'INGRESO A PS DE CA'!T115</f>
        <v>1.0547431999999999</v>
      </c>
      <c r="U275" s="322">
        <f>($D115)*'INGRESO A PS DE CA'!U115</f>
        <v>1.0629864</v>
      </c>
      <c r="V275" s="322">
        <f>($D115)*'INGRESO A PS DE CA'!V115</f>
        <v>1.0712296000000001</v>
      </c>
      <c r="W275" s="322">
        <f>($D115)*'INGRESO A PS DE CA'!W115</f>
        <v>1.0794083999999999</v>
      </c>
      <c r="X275" s="322">
        <f>($D115)*'INGRESO A PS DE CA'!X115</f>
        <v>1.0876516000000001</v>
      </c>
      <c r="Y275" s="322">
        <f>($D115)*'INGRESO A PS DE CA'!Y115</f>
        <v>1.0958304000000001</v>
      </c>
      <c r="Z275" s="322">
        <f>($D115)*'INGRESO A PS DE CA'!Z115</f>
        <v>1.1040736000000002</v>
      </c>
    </row>
    <row r="276" spans="1:26" ht="24.95" customHeight="1">
      <c r="A276" s="260" t="str">
        <f>+Pobl_adoptada!A116</f>
        <v>Rivadavia</v>
      </c>
      <c r="B276" s="70">
        <f>+Pobl_adoptada!B116</f>
        <v>112</v>
      </c>
      <c r="C276" s="71" t="str">
        <f>+Pobl_adoptada!C116</f>
        <v>América</v>
      </c>
      <c r="D276" s="291"/>
      <c r="E276" s="278"/>
      <c r="F276" s="263"/>
      <c r="G276" s="322">
        <f>($D116)*'INGRESO A PS DE CA'!G116</f>
        <v>2.5577840000000004E-2</v>
      </c>
      <c r="H276" s="322">
        <f>($D116)*'INGRESO A PS DE CA'!H116</f>
        <v>0.20668352000000004</v>
      </c>
      <c r="I276" s="322">
        <f>($D116)*'INGRESO A PS DE CA'!I116</f>
        <v>0.39136799999999999</v>
      </c>
      <c r="J276" s="322">
        <f>($D116)*'INGRESO A PS DE CA'!J116</f>
        <v>0.65872000000000019</v>
      </c>
      <c r="K276" s="322">
        <f>($D116)*'INGRESO A PS DE CA'!K116</f>
        <v>0.93122399999999994</v>
      </c>
      <c r="L276" s="322">
        <f>($D116)*'INGRESO A PS DE CA'!L116</f>
        <v>0.94024000000000008</v>
      </c>
      <c r="M276" s="322">
        <f>($D116)*'INGRESO A PS DE CA'!M116</f>
        <v>0.94925599999999999</v>
      </c>
      <c r="N276" s="322">
        <f>($D116)*'INGRESO A PS DE CA'!N116</f>
        <v>0.95827200000000001</v>
      </c>
      <c r="O276" s="322">
        <f>($D116)*'INGRESO A PS DE CA'!O116</f>
        <v>0.96728800000000015</v>
      </c>
      <c r="P276" s="322">
        <f>($D116)*'INGRESO A PS DE CA'!P116</f>
        <v>0.97630400000000006</v>
      </c>
      <c r="Q276" s="322">
        <f>($D116)*'INGRESO A PS DE CA'!Q116</f>
        <v>0.98525560000000001</v>
      </c>
      <c r="R276" s="322">
        <f>($D116)*'INGRESO A PS DE CA'!R116</f>
        <v>0.99427160000000014</v>
      </c>
      <c r="S276" s="322">
        <f>($D116)*'INGRESO A PS DE CA'!S116</f>
        <v>1.0032875999999999</v>
      </c>
      <c r="T276" s="322">
        <f>($D116)*'INGRESO A PS DE CA'!T116</f>
        <v>1.0123036000000001</v>
      </c>
      <c r="U276" s="322">
        <f>($D116)*'INGRESO A PS DE CA'!U116</f>
        <v>1.0213196</v>
      </c>
      <c r="V276" s="322">
        <f>($D116)*'INGRESO A PS DE CA'!V116</f>
        <v>1.0303355999999999</v>
      </c>
      <c r="W276" s="322">
        <f>($D116)*'INGRESO A PS DE CA'!W116</f>
        <v>1.0393516</v>
      </c>
      <c r="X276" s="322">
        <f>($D116)*'INGRESO A PS DE CA'!X116</f>
        <v>1.0483676</v>
      </c>
      <c r="Y276" s="322">
        <f>($D116)*'INGRESO A PS DE CA'!Y116</f>
        <v>1.0573836000000001</v>
      </c>
      <c r="Z276" s="322">
        <f>($D116)*'INGRESO A PS DE CA'!Z116</f>
        <v>1.0663351999999999</v>
      </c>
    </row>
    <row r="277" spans="1:26" ht="24.95" customHeight="1">
      <c r="A277" s="260" t="str">
        <f>+Pobl_adoptada!A117</f>
        <v>Rojas</v>
      </c>
      <c r="B277" s="70">
        <f>+Pobl_adoptada!B117</f>
        <v>113</v>
      </c>
      <c r="C277" s="71" t="str">
        <f>+Pobl_adoptada!C117</f>
        <v>Rojas</v>
      </c>
      <c r="D277" s="291"/>
      <c r="E277" s="278"/>
      <c r="F277" s="263"/>
      <c r="G277" s="322">
        <f>($D117)*'INGRESO A PS DE CA'!G117</f>
        <v>4.6209640000000003E-2</v>
      </c>
      <c r="H277" s="322">
        <f>($D117)*'INGRESO A PS DE CA'!H117</f>
        <v>0.37193280000000006</v>
      </c>
      <c r="I277" s="322">
        <f>($D117)*'INGRESO A PS DE CA'!I117</f>
        <v>0.70166700000000004</v>
      </c>
      <c r="J277" s="322">
        <f>($D117)*'INGRESO A PS DE CA'!J117</f>
        <v>1.1766000000000001</v>
      </c>
      <c r="K277" s="322">
        <f>($D117)*'INGRESO A PS DE CA'!K117</f>
        <v>1.6573311999999998</v>
      </c>
      <c r="L277" s="322">
        <f>($D117)*'INGRESO A PS DE CA'!L117</f>
        <v>1.6674966000000002</v>
      </c>
      <c r="M277" s="322">
        <f>($D117)*'INGRESO A PS DE CA'!M117</f>
        <v>1.6777361999999998</v>
      </c>
      <c r="N277" s="322">
        <f>($D117)*'INGRESO A PS DE CA'!N117</f>
        <v>1.6880499999999998</v>
      </c>
      <c r="O277" s="322">
        <f>($D117)*'INGRESO A PS DE CA'!O117</f>
        <v>1.6983638000000001</v>
      </c>
      <c r="P277" s="322">
        <f>($D117)*'INGRESO A PS DE CA'!P117</f>
        <v>1.7087517999999999</v>
      </c>
      <c r="Q277" s="322">
        <f>($D117)*'INGRESO A PS DE CA'!Q117</f>
        <v>1.7192882000000003</v>
      </c>
      <c r="R277" s="322">
        <f>($D117)*'INGRESO A PS DE CA'!R117</f>
        <v>1.7298245999999999</v>
      </c>
      <c r="S277" s="322">
        <f>($D117)*'INGRESO A PS DE CA'!S117</f>
        <v>1.7404352000000001</v>
      </c>
      <c r="T277" s="322">
        <f>($D117)*'INGRESO A PS DE CA'!T117</f>
        <v>1.7510458</v>
      </c>
      <c r="U277" s="322">
        <f>($D117)*'INGRESO A PS DE CA'!U117</f>
        <v>1.7618048000000002</v>
      </c>
      <c r="V277" s="322">
        <f>($D117)*'INGRESO A PS DE CA'!V117</f>
        <v>1.7726380000000004</v>
      </c>
      <c r="W277" s="322">
        <f>($D117)*'INGRESO A PS DE CA'!W117</f>
        <v>1.7834712000000001</v>
      </c>
      <c r="X277" s="322">
        <f>($D117)*'INGRESO A PS DE CA'!X117</f>
        <v>1.7944528</v>
      </c>
      <c r="Y277" s="322">
        <f>($D117)*'INGRESO A PS DE CA'!Y117</f>
        <v>1.8054344000000002</v>
      </c>
      <c r="Z277" s="322">
        <f>($D117)*'INGRESO A PS DE CA'!Z117</f>
        <v>1.8164901999999998</v>
      </c>
    </row>
    <row r="278" spans="1:26" ht="24.95" customHeight="1">
      <c r="A278" s="260" t="str">
        <f>+Pobl_adoptada!A118</f>
        <v>Roque Pérez</v>
      </c>
      <c r="B278" s="70">
        <f>+Pobl_adoptada!B118</f>
        <v>114</v>
      </c>
      <c r="C278" s="71" t="str">
        <f>+Pobl_adoptada!C118</f>
        <v>Roque Pérez</v>
      </c>
      <c r="D278" s="291"/>
      <c r="E278" s="278"/>
      <c r="F278" s="263"/>
      <c r="G278" s="322">
        <f>($D118)*'INGRESO A PS DE CA'!G118</f>
        <v>2.5796800000000005E-2</v>
      </c>
      <c r="H278" s="322">
        <f>($D118)*'INGRESO A PS DE CA'!H118</f>
        <v>0.20973056000000001</v>
      </c>
      <c r="I278" s="322">
        <f>($D118)*'INGRESO A PS DE CA'!I118</f>
        <v>0.39953760000000005</v>
      </c>
      <c r="J278" s="322">
        <f>($D118)*'INGRESO A PS DE CA'!J118</f>
        <v>0.6763840000000001</v>
      </c>
      <c r="K278" s="322">
        <f>($D118)*'INGRESO A PS DE CA'!K118</f>
        <v>0.96162080000000005</v>
      </c>
      <c r="L278" s="322">
        <f>($D118)*'INGRESO A PS DE CA'!L118</f>
        <v>0.97630400000000006</v>
      </c>
      <c r="M278" s="322">
        <f>($D118)*'INGRESO A PS DE CA'!M118</f>
        <v>0.9909228000000001</v>
      </c>
      <c r="N278" s="322">
        <f>($D118)*'INGRESO A PS DE CA'!N118</f>
        <v>1.005606</v>
      </c>
      <c r="O278" s="322">
        <f>($D118)*'INGRESO A PS DE CA'!O118</f>
        <v>1.0202892000000001</v>
      </c>
      <c r="P278" s="322">
        <f>($D118)*'INGRESO A PS DE CA'!P118</f>
        <v>1.0349724</v>
      </c>
      <c r="Q278" s="322">
        <f>($D118)*'INGRESO A PS DE CA'!Q118</f>
        <v>1.0496556000000001</v>
      </c>
      <c r="R278" s="322">
        <f>($D118)*'INGRESO A PS DE CA'!R118</f>
        <v>1.0643388</v>
      </c>
      <c r="S278" s="322">
        <f>($D118)*'INGRESO A PS DE CA'!S118</f>
        <v>1.0790219999999999</v>
      </c>
      <c r="T278" s="322">
        <f>($D118)*'INGRESO A PS DE CA'!T118</f>
        <v>1.0937052</v>
      </c>
      <c r="U278" s="322">
        <f>($D118)*'INGRESO A PS DE CA'!U118</f>
        <v>1.1083240000000001</v>
      </c>
      <c r="V278" s="322">
        <f>($D118)*'INGRESO A PS DE CA'!V118</f>
        <v>1.1230072</v>
      </c>
      <c r="W278" s="322">
        <f>($D118)*'INGRESO A PS DE CA'!W118</f>
        <v>1.1376904000000001</v>
      </c>
      <c r="X278" s="322">
        <f>($D118)*'INGRESO A PS DE CA'!X118</f>
        <v>1.1523736</v>
      </c>
      <c r="Y278" s="322">
        <f>($D118)*'INGRESO A PS DE CA'!Y118</f>
        <v>1.1670568000000001</v>
      </c>
      <c r="Z278" s="322">
        <f>($D118)*'INGRESO A PS DE CA'!Z118</f>
        <v>1.1817400000000002</v>
      </c>
    </row>
    <row r="279" spans="1:26" ht="24.95" customHeight="1">
      <c r="A279" s="260" t="str">
        <f>+Pobl_adoptada!A119</f>
        <v>Saavedra</v>
      </c>
      <c r="B279" s="70">
        <f>+Pobl_adoptada!B119</f>
        <v>115</v>
      </c>
      <c r="C279" s="71" t="str">
        <f>+Pobl_adoptada!C119</f>
        <v>Pigüé</v>
      </c>
      <c r="D279" s="291"/>
      <c r="E279" s="278"/>
      <c r="F279" s="263"/>
      <c r="G279" s="322">
        <f>($D119)*'INGRESO A PS DE CA'!G119</f>
        <v>3.2726440000000009E-2</v>
      </c>
      <c r="H279" s="322">
        <f>($D119)*'INGRESO A PS DE CA'!H119</f>
        <v>0.26298176000000001</v>
      </c>
      <c r="I279" s="322">
        <f>($D119)*'INGRESO A PS DE CA'!I119</f>
        <v>0.49525320000000006</v>
      </c>
      <c r="J279" s="322">
        <f>($D119)*'INGRESO A PS DE CA'!J119</f>
        <v>0.82907900000000012</v>
      </c>
      <c r="K279" s="322">
        <f>($D119)*'INGRESO A PS DE CA'!K119</f>
        <v>1.1659046000000002</v>
      </c>
      <c r="L279" s="322">
        <f>($D119)*'INGRESO A PS DE CA'!L119</f>
        <v>1.1710244000000001</v>
      </c>
      <c r="M279" s="322">
        <f>($D119)*'INGRESO A PS DE CA'!M119</f>
        <v>1.1762184000000002</v>
      </c>
      <c r="N279" s="322">
        <f>($D119)*'INGRESO A PS DE CA'!N119</f>
        <v>1.1814123999999999</v>
      </c>
      <c r="O279" s="322">
        <f>($D119)*'INGRESO A PS DE CA'!O119</f>
        <v>1.1866806000000001</v>
      </c>
      <c r="P279" s="322">
        <f>($D119)*'INGRESO A PS DE CA'!P119</f>
        <v>1.1919488</v>
      </c>
      <c r="Q279" s="322">
        <f>($D119)*'INGRESO A PS DE CA'!Q119</f>
        <v>1.197217</v>
      </c>
      <c r="R279" s="322">
        <f>($D119)*'INGRESO A PS DE CA'!R119</f>
        <v>1.2024852000000001</v>
      </c>
      <c r="S279" s="322">
        <f>($D119)*'INGRESO A PS DE CA'!S119</f>
        <v>1.2078275999999999</v>
      </c>
      <c r="T279" s="322">
        <f>($D119)*'INGRESO A PS DE CA'!T119</f>
        <v>1.2131699999999999</v>
      </c>
      <c r="U279" s="322">
        <f>($D119)*'INGRESO A PS DE CA'!U119</f>
        <v>1.2185866000000001</v>
      </c>
      <c r="V279" s="322">
        <f>($D119)*'INGRESO A PS DE CA'!V119</f>
        <v>1.223929</v>
      </c>
      <c r="W279" s="322">
        <f>($D119)*'INGRESO A PS DE CA'!W119</f>
        <v>1.2294198000000001</v>
      </c>
      <c r="X279" s="322">
        <f>($D119)*'INGRESO A PS DE CA'!X119</f>
        <v>1.2348364000000001</v>
      </c>
      <c r="Y279" s="322">
        <f>($D119)*'INGRESO A PS DE CA'!Y119</f>
        <v>1.2403272000000001</v>
      </c>
      <c r="Z279" s="322">
        <f>($D119)*'INGRESO A PS DE CA'!Z119</f>
        <v>1.2458180000000003</v>
      </c>
    </row>
    <row r="280" spans="1:26" ht="24.95" customHeight="1">
      <c r="A280" s="260" t="str">
        <f>+Pobl_adoptada!A120</f>
        <v>Saladillo</v>
      </c>
      <c r="B280" s="70">
        <f>+Pobl_adoptada!B120</f>
        <v>116</v>
      </c>
      <c r="C280" s="71" t="str">
        <f>+Pobl_adoptada!C120</f>
        <v>Saladillo</v>
      </c>
      <c r="D280" s="291"/>
      <c r="E280" s="278"/>
      <c r="F280" s="263"/>
      <c r="G280" s="322">
        <f>($D120)*'INGRESO A PS DE CA'!G120</f>
        <v>7.0576920000000001E-2</v>
      </c>
      <c r="H280" s="322">
        <f>($D120)*'INGRESO A PS DE CA'!H120</f>
        <v>0.57146720000000006</v>
      </c>
      <c r="I280" s="322">
        <f>($D120)*'INGRESO A PS DE CA'!I120</f>
        <v>1.0843164000000001</v>
      </c>
      <c r="J280" s="322">
        <f>($D120)*'INGRESO A PS DE CA'!J120</f>
        <v>1.8286060000000004</v>
      </c>
      <c r="K280" s="322">
        <f>($D120)*'INGRESO A PS DE CA'!K120</f>
        <v>2.5900251999999999</v>
      </c>
      <c r="L280" s="322">
        <f>($D120)*'INGRESO A PS DE CA'!L120</f>
        <v>2.6200019999999995</v>
      </c>
      <c r="M280" s="322">
        <f>($D120)*'INGRESO A PS DE CA'!M120</f>
        <v>2.6499788000000004</v>
      </c>
      <c r="N280" s="322">
        <f>($D120)*'INGRESO A PS DE CA'!N120</f>
        <v>2.6799556</v>
      </c>
      <c r="O280" s="322">
        <f>($D120)*'INGRESO A PS DE CA'!O120</f>
        <v>2.7099324</v>
      </c>
      <c r="P280" s="322">
        <f>($D120)*'INGRESO A PS DE CA'!P120</f>
        <v>2.7399092000000005</v>
      </c>
      <c r="Q280" s="322">
        <f>($D120)*'INGRESO A PS DE CA'!Q120</f>
        <v>2.7698860000000001</v>
      </c>
      <c r="R280" s="322">
        <f>($D120)*'INGRESO A PS DE CA'!R120</f>
        <v>2.7998628000000001</v>
      </c>
      <c r="S280" s="322">
        <f>($D120)*'INGRESO A PS DE CA'!S120</f>
        <v>2.8298395999999997</v>
      </c>
      <c r="T280" s="322">
        <f>($D120)*'INGRESO A PS DE CA'!T120</f>
        <v>2.8598163999999997</v>
      </c>
      <c r="U280" s="322">
        <f>($D120)*'INGRESO A PS DE CA'!U120</f>
        <v>2.8897932000000002</v>
      </c>
      <c r="V280" s="322">
        <f>($D120)*'INGRESO A PS DE CA'!V120</f>
        <v>2.9197699999999998</v>
      </c>
      <c r="W280" s="322">
        <f>($D120)*'INGRESO A PS DE CA'!W120</f>
        <v>2.9497468000000007</v>
      </c>
      <c r="X280" s="322">
        <f>($D120)*'INGRESO A PS DE CA'!X120</f>
        <v>2.9797236000000002</v>
      </c>
      <c r="Y280" s="322">
        <f>($D120)*'INGRESO A PS DE CA'!Y120</f>
        <v>3.0097003999999998</v>
      </c>
      <c r="Z280" s="322">
        <f>($D120)*'INGRESO A PS DE CA'!Z120</f>
        <v>3.0396771999999999</v>
      </c>
    </row>
    <row r="281" spans="1:26" ht="24.95" customHeight="1">
      <c r="A281" s="260" t="str">
        <f>+Pobl_adoptada!A121</f>
        <v>Salliqueló</v>
      </c>
      <c r="B281" s="70">
        <f>+Pobl_adoptada!B121</f>
        <v>117</v>
      </c>
      <c r="C281" s="71" t="str">
        <f>+Pobl_adoptada!C121</f>
        <v>Salliqueló</v>
      </c>
      <c r="D281" s="291"/>
      <c r="E281" s="278"/>
      <c r="F281" s="263"/>
      <c r="G281" s="322">
        <f>($D121)*'INGRESO A PS DE CA'!G121</f>
        <v>1.5097200000000003E-2</v>
      </c>
      <c r="H281" s="322">
        <f>($D121)*'INGRESO A PS DE CA'!H121</f>
        <v>0.12126336</v>
      </c>
      <c r="I281" s="322">
        <f>($D121)*'INGRESO A PS DE CA'!I121</f>
        <v>0.22825200000000001</v>
      </c>
      <c r="J281" s="322">
        <f>($D121)*'INGRESO A PS DE CA'!J121</f>
        <v>0.38193800000000006</v>
      </c>
      <c r="K281" s="322">
        <f>($D121)*'INGRESO A PS DE CA'!K121</f>
        <v>0.53677400000000008</v>
      </c>
      <c r="L281" s="322">
        <f>($D121)*'INGRESO A PS DE CA'!L121</f>
        <v>0.53889920000000002</v>
      </c>
      <c r="M281" s="322">
        <f>($D121)*'INGRESO A PS DE CA'!M121</f>
        <v>0.54102439999999996</v>
      </c>
      <c r="N281" s="322">
        <f>($D121)*'INGRESO A PS DE CA'!N121</f>
        <v>0.54308520000000005</v>
      </c>
      <c r="O281" s="322">
        <f>($D121)*'INGRESO A PS DE CA'!O121</f>
        <v>0.54521040000000009</v>
      </c>
      <c r="P281" s="322">
        <f>($D121)*'INGRESO A PS DE CA'!P121</f>
        <v>0.54727120000000007</v>
      </c>
      <c r="Q281" s="322">
        <f>($D121)*'INGRESO A PS DE CA'!Q121</f>
        <v>0.54939640000000001</v>
      </c>
      <c r="R281" s="322">
        <f>($D121)*'INGRESO A PS DE CA'!R121</f>
        <v>0.55145719999999998</v>
      </c>
      <c r="S281" s="322">
        <f>($D121)*'INGRESO A PS DE CA'!S121</f>
        <v>0.55358240000000003</v>
      </c>
      <c r="T281" s="322">
        <f>($D121)*'INGRESO A PS DE CA'!T121</f>
        <v>0.5556432</v>
      </c>
      <c r="U281" s="322">
        <f>($D121)*'INGRESO A PS DE CA'!U121</f>
        <v>0.55776840000000005</v>
      </c>
      <c r="V281" s="322">
        <f>($D121)*'INGRESO A PS DE CA'!V121</f>
        <v>0.55982920000000003</v>
      </c>
      <c r="W281" s="322">
        <f>($D121)*'INGRESO A PS DE CA'!W121</f>
        <v>0.56195439999999997</v>
      </c>
      <c r="X281" s="322">
        <f>($D121)*'INGRESO A PS DE CA'!X121</f>
        <v>0.56401520000000005</v>
      </c>
      <c r="Y281" s="322">
        <f>($D121)*'INGRESO A PS DE CA'!Y121</f>
        <v>0.56614039999999999</v>
      </c>
      <c r="Z281" s="322">
        <f>($D121)*'INGRESO A PS DE CA'!Z121</f>
        <v>0.56820119999999996</v>
      </c>
    </row>
    <row r="282" spans="1:26" ht="24.95" customHeight="1">
      <c r="A282" s="260" t="str">
        <f>+Pobl_adoptada!A122</f>
        <v>Salto</v>
      </c>
      <c r="B282" s="70">
        <f>+Pobl_adoptada!B122</f>
        <v>118</v>
      </c>
      <c r="C282" s="71" t="str">
        <f>+Pobl_adoptada!C122</f>
        <v>Salto</v>
      </c>
      <c r="D282" s="291"/>
      <c r="E282" s="278"/>
      <c r="F282" s="263"/>
      <c r="G282" s="322">
        <f>($D122)*'INGRESO A PS DE CA'!G122</f>
        <v>7.3239639999999995E-2</v>
      </c>
      <c r="H282" s="322">
        <f>($D122)*'INGRESO A PS DE CA'!H122</f>
        <v>0.59438016000000005</v>
      </c>
      <c r="I282" s="322">
        <f>($D122)*'INGRESO A PS DE CA'!I122</f>
        <v>1.1305536000000003</v>
      </c>
      <c r="J282" s="322">
        <f>($D122)*'INGRESO A PS DE CA'!J122</f>
        <v>1.9114979999999999</v>
      </c>
      <c r="K282" s="322">
        <f>($D122)*'INGRESO A PS DE CA'!K122</f>
        <v>2.7146812000000007</v>
      </c>
      <c r="L282" s="322">
        <f>($D122)*'INGRESO A PS DE CA'!L122</f>
        <v>2.753933</v>
      </c>
      <c r="M282" s="322">
        <f>($D122)*'INGRESO A PS DE CA'!M122</f>
        <v>2.7936300000000003</v>
      </c>
      <c r="N282" s="322">
        <f>($D122)*'INGRESO A PS DE CA'!N122</f>
        <v>2.8339947999999997</v>
      </c>
      <c r="O282" s="322">
        <f>($D122)*'INGRESO A PS DE CA'!O122</f>
        <v>2.8749532000000002</v>
      </c>
      <c r="P282" s="322">
        <f>($D122)*'INGRESO A PS DE CA'!P122</f>
        <v>2.9164309999999998</v>
      </c>
      <c r="Q282" s="322">
        <f>($D122)*'INGRESO A PS DE CA'!Q122</f>
        <v>2.9585766000000007</v>
      </c>
      <c r="R282" s="322">
        <f>($D122)*'INGRESO A PS DE CA'!R122</f>
        <v>3.0012416000000002</v>
      </c>
      <c r="S282" s="322">
        <f>($D122)*'INGRESO A PS DE CA'!S122</f>
        <v>3.0445744000000001</v>
      </c>
      <c r="T282" s="322">
        <f>($D122)*'INGRESO A PS DE CA'!T122</f>
        <v>3.0885750000000001</v>
      </c>
      <c r="U282" s="322">
        <f>($D122)*'INGRESO A PS DE CA'!U122</f>
        <v>3.1331692000000007</v>
      </c>
      <c r="V282" s="322">
        <f>($D122)*'INGRESO A PS DE CA'!V122</f>
        <v>3.1784312000000003</v>
      </c>
      <c r="W282" s="322">
        <f>($D122)*'INGRESO A PS DE CA'!W122</f>
        <v>3.2242868000000002</v>
      </c>
      <c r="X282" s="322">
        <f>($D122)*'INGRESO A PS DE CA'!X122</f>
        <v>3.2708844000000008</v>
      </c>
      <c r="Y282" s="322">
        <f>($D122)*'INGRESO A PS DE CA'!Y122</f>
        <v>3.3180755999999998</v>
      </c>
      <c r="Z282" s="322">
        <f>($D122)*'INGRESO A PS DE CA'!Z122</f>
        <v>3.3660088000000004</v>
      </c>
    </row>
    <row r="283" spans="1:26" ht="24.95" customHeight="1">
      <c r="A283" s="260" t="str">
        <f>+Pobl_adoptada!A123</f>
        <v>San Andrés de Giles</v>
      </c>
      <c r="B283" s="70">
        <f>+Pobl_adoptada!B123</f>
        <v>119</v>
      </c>
      <c r="C283" s="71" t="str">
        <f>+Pobl_adoptada!C123</f>
        <v>San Andrés de Giles</v>
      </c>
      <c r="D283" s="291"/>
      <c r="E283" s="278"/>
      <c r="F283" s="263"/>
      <c r="G283" s="322">
        <f>($D123)*'INGRESO A PS DE CA'!G123</f>
        <v>4.3195000000000004E-2</v>
      </c>
      <c r="H283" s="322">
        <f>($D123)*'INGRESO A PS DE CA'!H123</f>
        <v>0.34991872000000002</v>
      </c>
      <c r="I283" s="322">
        <f>($D123)*'INGRESO A PS DE CA'!I123</f>
        <v>0.66430200000000006</v>
      </c>
      <c r="J283" s="322">
        <f>($D123)*'INGRESO A PS DE CA'!J123</f>
        <v>1.1208440000000002</v>
      </c>
      <c r="K283" s="322">
        <f>($D123)*'INGRESO A PS DE CA'!K123</f>
        <v>1.5883252000000001</v>
      </c>
      <c r="L283" s="322">
        <f>($D123)*'INGRESO A PS DE CA'!L123</f>
        <v>1.6074687999999999</v>
      </c>
      <c r="M283" s="322">
        <f>($D123)*'INGRESO A PS DE CA'!M123</f>
        <v>1.6265381999999999</v>
      </c>
      <c r="N283" s="322">
        <f>($D123)*'INGRESO A PS DE CA'!N123</f>
        <v>1.6456818</v>
      </c>
      <c r="O283" s="322">
        <f>($D123)*'INGRESO A PS DE CA'!O123</f>
        <v>1.6648253999999998</v>
      </c>
      <c r="P283" s="322">
        <f>($D123)*'INGRESO A PS DE CA'!P123</f>
        <v>1.6839689999999998</v>
      </c>
      <c r="Q283" s="322">
        <f>($D123)*'INGRESO A PS DE CA'!Q123</f>
        <v>1.7031125999999999</v>
      </c>
      <c r="R283" s="322">
        <f>($D123)*'INGRESO A PS DE CA'!R123</f>
        <v>1.7222562000000001</v>
      </c>
      <c r="S283" s="322">
        <f>($D123)*'INGRESO A PS DE CA'!S123</f>
        <v>1.7413256000000001</v>
      </c>
      <c r="T283" s="322">
        <f>($D123)*'INGRESO A PS DE CA'!T123</f>
        <v>1.7604692000000002</v>
      </c>
      <c r="U283" s="322">
        <f>($D123)*'INGRESO A PS DE CA'!U123</f>
        <v>1.7796128</v>
      </c>
      <c r="V283" s="322">
        <f>($D123)*'INGRESO A PS DE CA'!V123</f>
        <v>1.7987564</v>
      </c>
      <c r="W283" s="322">
        <f>($D123)*'INGRESO A PS DE CA'!W123</f>
        <v>1.8178999999999998</v>
      </c>
      <c r="X283" s="322">
        <f>($D123)*'INGRESO A PS DE CA'!X123</f>
        <v>1.8370435999999999</v>
      </c>
      <c r="Y283" s="322">
        <f>($D123)*'INGRESO A PS DE CA'!Y123</f>
        <v>1.8561129999999999</v>
      </c>
      <c r="Z283" s="322">
        <f>($D123)*'INGRESO A PS DE CA'!Z123</f>
        <v>1.8752565999999999</v>
      </c>
    </row>
    <row r="284" spans="1:26" ht="24.95" customHeight="1">
      <c r="A284" s="260" t="str">
        <f>+Pobl_adoptada!A124</f>
        <v>San Antonio de Areco</v>
      </c>
      <c r="B284" s="70">
        <f>+Pobl_adoptada!B124</f>
        <v>120</v>
      </c>
      <c r="C284" s="71" t="str">
        <f>+Pobl_adoptada!C124</f>
        <v>San Antonio de Areco</v>
      </c>
      <c r="D284" s="291"/>
      <c r="E284" s="278"/>
      <c r="F284" s="263"/>
      <c r="G284" s="322">
        <f>($D124)*'INGRESO A PS DE CA'!G124</f>
        <v>4.9767000000000006E-2</v>
      </c>
      <c r="H284" s="322">
        <f>($D124)*'INGRESO A PS DE CA'!H124</f>
        <v>0.40203680000000008</v>
      </c>
      <c r="I284" s="322">
        <f>($D124)*'INGRESO A PS DE CA'!I124</f>
        <v>0.76116479999999997</v>
      </c>
      <c r="J284" s="322">
        <f>($D124)*'INGRESO A PS DE CA'!J124</f>
        <v>1.2807980000000001</v>
      </c>
      <c r="K284" s="322">
        <f>($D124)*'INGRESO A PS DE CA'!K124</f>
        <v>1.8101832</v>
      </c>
      <c r="L284" s="322">
        <f>($D124)*'INGRESO A PS DE CA'!L124</f>
        <v>1.8272492</v>
      </c>
      <c r="M284" s="322">
        <f>($D124)*'INGRESO A PS DE CA'!M124</f>
        <v>1.8443894000000001</v>
      </c>
      <c r="N284" s="322">
        <f>($D124)*'INGRESO A PS DE CA'!N124</f>
        <v>1.8614553999999999</v>
      </c>
      <c r="O284" s="322">
        <f>($D124)*'INGRESO A PS DE CA'!O124</f>
        <v>1.8785214000000001</v>
      </c>
      <c r="P284" s="322">
        <f>($D124)*'INGRESO A PS DE CA'!P124</f>
        <v>1.8955873999999999</v>
      </c>
      <c r="Q284" s="322">
        <f>($D124)*'INGRESO A PS DE CA'!Q124</f>
        <v>1.9126533999999999</v>
      </c>
      <c r="R284" s="322">
        <f>($D124)*'INGRESO A PS DE CA'!R124</f>
        <v>1.9297936000000004</v>
      </c>
      <c r="S284" s="322">
        <f>($D124)*'INGRESO A PS DE CA'!S124</f>
        <v>1.9468595999999998</v>
      </c>
      <c r="T284" s="322">
        <f>($D124)*'INGRESO A PS DE CA'!T124</f>
        <v>1.9639256</v>
      </c>
      <c r="U284" s="322">
        <f>($D124)*'INGRESO A PS DE CA'!U124</f>
        <v>1.9809916000000003</v>
      </c>
      <c r="V284" s="322">
        <f>($D124)*'INGRESO A PS DE CA'!V124</f>
        <v>1.9981317999999999</v>
      </c>
      <c r="W284" s="322">
        <f>($D124)*'INGRESO A PS DE CA'!W124</f>
        <v>2.0151978000000002</v>
      </c>
      <c r="X284" s="322">
        <f>($D124)*'INGRESO A PS DE CA'!X124</f>
        <v>2.0322638000000004</v>
      </c>
      <c r="Y284" s="322">
        <f>($D124)*'INGRESO A PS DE CA'!Y124</f>
        <v>2.0493298000000002</v>
      </c>
      <c r="Z284" s="322">
        <f>($D124)*'INGRESO A PS DE CA'!Z124</f>
        <v>2.0663958</v>
      </c>
    </row>
    <row r="285" spans="1:26" ht="24.95" customHeight="1">
      <c r="A285" s="260" t="str">
        <f>+Pobl_adoptada!A125</f>
        <v>San Cayetano</v>
      </c>
      <c r="B285" s="70">
        <f>+Pobl_adoptada!B125</f>
        <v>121</v>
      </c>
      <c r="C285" s="71" t="str">
        <f>+Pobl_adoptada!C125</f>
        <v>San Cayetano</v>
      </c>
      <c r="D285" s="291"/>
      <c r="E285" s="278"/>
      <c r="F285" s="263"/>
      <c r="G285" s="322">
        <f>($D125)*'INGRESO A PS DE CA'!G125</f>
        <v>1.5730160000000003E-2</v>
      </c>
      <c r="H285" s="322">
        <f>($D125)*'INGRESO A PS DE CA'!H125</f>
        <v>0.12701888000000003</v>
      </c>
      <c r="I285" s="322">
        <f>($D125)*'INGRESO A PS DE CA'!I125</f>
        <v>0.24042360000000002</v>
      </c>
      <c r="J285" s="322">
        <f>($D125)*'INGRESO A PS DE CA'!J125</f>
        <v>0.40447800000000006</v>
      </c>
      <c r="K285" s="322">
        <f>($D125)*'INGRESO A PS DE CA'!K125</f>
        <v>0.57161439999999997</v>
      </c>
      <c r="L285" s="322">
        <f>($D125)*'INGRESO A PS DE CA'!L125</f>
        <v>0.57702399999999998</v>
      </c>
      <c r="M285" s="322">
        <f>($D125)*'INGRESO A PS DE CA'!M125</f>
        <v>0.58249799999999996</v>
      </c>
      <c r="N285" s="322">
        <f>($D125)*'INGRESO A PS DE CA'!N125</f>
        <v>0.58797199999999994</v>
      </c>
      <c r="O285" s="322">
        <f>($D125)*'INGRESO A PS DE CA'!O125</f>
        <v>0.59357480000000018</v>
      </c>
      <c r="P285" s="322">
        <f>($D125)*'INGRESO A PS DE CA'!P125</f>
        <v>0.59917759999999998</v>
      </c>
      <c r="Q285" s="322">
        <f>($D125)*'INGRESO A PS DE CA'!Q125</f>
        <v>0.60484480000000007</v>
      </c>
      <c r="R285" s="322">
        <f>($D125)*'INGRESO A PS DE CA'!R125</f>
        <v>0.61057640000000013</v>
      </c>
      <c r="S285" s="322">
        <f>($D125)*'INGRESO A PS DE CA'!S125</f>
        <v>0.61630799999999997</v>
      </c>
      <c r="T285" s="322">
        <f>($D125)*'INGRESO A PS DE CA'!T125</f>
        <v>0.62216840000000007</v>
      </c>
      <c r="U285" s="322">
        <f>($D125)*'INGRESO A PS DE CA'!U125</f>
        <v>0.62802880000000005</v>
      </c>
      <c r="V285" s="322">
        <f>($D125)*'INGRESO A PS DE CA'!V125</f>
        <v>0.63395359999999989</v>
      </c>
      <c r="W285" s="322">
        <f>($D125)*'INGRESO A PS DE CA'!W125</f>
        <v>0.63994280000000003</v>
      </c>
      <c r="X285" s="322">
        <f>($D125)*'INGRESO A PS DE CA'!X125</f>
        <v>0.64599640000000003</v>
      </c>
      <c r="Y285" s="322">
        <f>($D125)*'INGRESO A PS DE CA'!Y125</f>
        <v>0.65211439999999998</v>
      </c>
      <c r="Z285" s="322">
        <f>($D125)*'INGRESO A PS DE CA'!Z125</f>
        <v>0.65829680000000002</v>
      </c>
    </row>
    <row r="286" spans="1:26" ht="24.95" customHeight="1">
      <c r="A286" s="260" t="str">
        <f>+Pobl_adoptada!A126</f>
        <v>San Nicolás</v>
      </c>
      <c r="B286" s="70">
        <f>+Pobl_adoptada!B126</f>
        <v>122</v>
      </c>
      <c r="C286" s="71" t="str">
        <f>+Pobl_adoptada!C126</f>
        <v>San Nicolás de los Arroyos</v>
      </c>
      <c r="D286" s="291"/>
      <c r="E286" s="278"/>
      <c r="F286" s="263"/>
      <c r="G286" s="322">
        <f>($D126)*'INGRESO A PS DE CA'!G126</f>
        <v>0.32392547999999999</v>
      </c>
      <c r="H286" s="322">
        <f>($D126)*'INGRESO A PS DE CA'!H126</f>
        <v>2.6207961600000007</v>
      </c>
      <c r="I286" s="322">
        <f>($D126)*'INGRESO A PS DE CA'!I126</f>
        <v>4.9699908000000015</v>
      </c>
      <c r="J286" s="322">
        <f>($D126)*'INGRESO A PS DE CA'!J126</f>
        <v>8.378229000000001</v>
      </c>
      <c r="K286" s="322">
        <f>($D126)*'INGRESO A PS DE CA'!K126</f>
        <v>11.8644666</v>
      </c>
      <c r="L286" s="322">
        <f>($D126)*'INGRESO A PS DE CA'!L126</f>
        <v>12.001697399999999</v>
      </c>
      <c r="M286" s="322">
        <f>($D126)*'INGRESO A PS DE CA'!M126</f>
        <v>12.141141600000001</v>
      </c>
      <c r="N286" s="322">
        <f>($D126)*'INGRESO A PS DE CA'!N126</f>
        <v>12.282870600000001</v>
      </c>
      <c r="O286" s="322">
        <f>($D126)*'INGRESO A PS DE CA'!O126</f>
        <v>12.4268844</v>
      </c>
      <c r="P286" s="322">
        <f>($D126)*'INGRESO A PS DE CA'!P126</f>
        <v>12.573254400000001</v>
      </c>
      <c r="Q286" s="322">
        <f>($D126)*'INGRESO A PS DE CA'!Q126</f>
        <v>12.7219806</v>
      </c>
      <c r="R286" s="322">
        <f>($D126)*'INGRESO A PS DE CA'!R126</f>
        <v>12.873205800000001</v>
      </c>
      <c r="S286" s="322">
        <f>($D126)*'INGRESO A PS DE CA'!S126</f>
        <v>13.026858600000001</v>
      </c>
      <c r="T286" s="322">
        <f>($D126)*'INGRESO A PS DE CA'!T126</f>
        <v>13.183010400000001</v>
      </c>
      <c r="U286" s="322">
        <f>($D126)*'INGRESO A PS DE CA'!U126</f>
        <v>13.341661199999999</v>
      </c>
      <c r="V286" s="322">
        <f>($D126)*'INGRESO A PS DE CA'!V126</f>
        <v>13.5030252</v>
      </c>
      <c r="W286" s="322">
        <f>($D126)*'INGRESO A PS DE CA'!W126</f>
        <v>13.666888200000001</v>
      </c>
      <c r="X286" s="322">
        <f>($D126)*'INGRESO A PS DE CA'!X126</f>
        <v>13.8335358</v>
      </c>
      <c r="Y286" s="322">
        <f>($D126)*'INGRESO A PS DE CA'!Y126</f>
        <v>14.002825200000002</v>
      </c>
      <c r="Z286" s="322">
        <f>($D126)*'INGRESO A PS DE CA'!Z126</f>
        <v>14.174899199999999</v>
      </c>
    </row>
    <row r="287" spans="1:26" ht="24.95" customHeight="1">
      <c r="A287" s="260" t="str">
        <f>+Pobl_adoptada!A127</f>
        <v>San Pedro</v>
      </c>
      <c r="B287" s="70">
        <f>+Pobl_adoptada!B127</f>
        <v>123</v>
      </c>
      <c r="C287" s="71" t="str">
        <f>+Pobl_adoptada!C127</f>
        <v>San Pedro</v>
      </c>
      <c r="D287" s="291"/>
      <c r="E287" s="278"/>
      <c r="F287" s="263"/>
      <c r="G287" s="322">
        <f>($D127)*'INGRESO A PS DE CA'!G127</f>
        <v>0.11949300000000002</v>
      </c>
      <c r="H287" s="322">
        <f>($D127)*'INGRESO A PS DE CA'!H127</f>
        <v>0.96860832000000008</v>
      </c>
      <c r="I287" s="322">
        <f>($D127)*'INGRESO A PS DE CA'!I127</f>
        <v>1.8402228000000003</v>
      </c>
      <c r="J287" s="322">
        <f>($D127)*'INGRESO A PS DE CA'!J127</f>
        <v>3.1076850000000005</v>
      </c>
      <c r="K287" s="322">
        <f>($D127)*'INGRESO A PS DE CA'!K127</f>
        <v>4.4083788000000004</v>
      </c>
      <c r="L287" s="322">
        <f>($D127)*'INGRESO A PS DE CA'!L127</f>
        <v>4.4667840000000005</v>
      </c>
      <c r="M287" s="322">
        <f>($D127)*'INGRESO A PS DE CA'!M127</f>
        <v>4.5259745999999996</v>
      </c>
      <c r="N287" s="322">
        <f>($D127)*'INGRESO A PS DE CA'!N127</f>
        <v>4.5859506000000003</v>
      </c>
      <c r="O287" s="322">
        <f>($D127)*'INGRESO A PS DE CA'!O127</f>
        <v>4.646712</v>
      </c>
      <c r="P287" s="322">
        <f>($D127)*'INGRESO A PS DE CA'!P127</f>
        <v>4.7082588000000003</v>
      </c>
      <c r="Q287" s="322">
        <f>($D127)*'INGRESO A PS DE CA'!Q127</f>
        <v>4.7706624</v>
      </c>
      <c r="R287" s="322">
        <f>($D127)*'INGRESO A PS DE CA'!R127</f>
        <v>4.8338514000000004</v>
      </c>
      <c r="S287" s="322">
        <f>($D127)*'INGRESO A PS DE CA'!S127</f>
        <v>4.8978972000000001</v>
      </c>
      <c r="T287" s="322">
        <f>($D127)*'INGRESO A PS DE CA'!T127</f>
        <v>4.9627997999999991</v>
      </c>
      <c r="U287" s="322">
        <f>($D127)*'INGRESO A PS DE CA'!U127</f>
        <v>5.0285592000000001</v>
      </c>
      <c r="V287" s="322">
        <f>($D127)*'INGRESO A PS DE CA'!V127</f>
        <v>5.0951753999999996</v>
      </c>
      <c r="W287" s="322">
        <f>($D127)*'INGRESO A PS DE CA'!W127</f>
        <v>5.1626483999999992</v>
      </c>
      <c r="X287" s="322">
        <f>($D127)*'INGRESO A PS DE CA'!X127</f>
        <v>5.2310496000000004</v>
      </c>
      <c r="Y287" s="322">
        <f>($D127)*'INGRESO A PS DE CA'!Y127</f>
        <v>5.3003790000000004</v>
      </c>
      <c r="Z287" s="322">
        <f>($D127)*'INGRESO A PS DE CA'!Z127</f>
        <v>5.370636600000001</v>
      </c>
    </row>
    <row r="288" spans="1:26" ht="24.95" customHeight="1">
      <c r="A288" s="260" t="str">
        <f>+Pobl_adoptada!A128</f>
        <v>San Vicente</v>
      </c>
      <c r="B288" s="70">
        <f>+Pobl_adoptada!B128</f>
        <v>124</v>
      </c>
      <c r="C288" s="71" t="str">
        <f>+Pobl_adoptada!C128</f>
        <v>San Vicente</v>
      </c>
      <c r="D288" s="291"/>
      <c r="E288" s="278"/>
      <c r="F288" s="263"/>
      <c r="G288" s="322">
        <f>($D128)*'INGRESO A PS DE CA'!G128</f>
        <v>0.22630740000000002</v>
      </c>
      <c r="H288" s="322">
        <f>($D128)*'INGRESO A PS DE CA'!H128</f>
        <v>1.8720508800000002</v>
      </c>
      <c r="I288" s="322">
        <f>($D128)*'INGRESO A PS DE CA'!I128</f>
        <v>3.6274464000000002</v>
      </c>
      <c r="J288" s="322">
        <f>($D128)*'INGRESO A PS DE CA'!J128</f>
        <v>6.244542</v>
      </c>
      <c r="K288" s="322">
        <f>($D128)*'INGRESO A PS DE CA'!K128</f>
        <v>9.0252456000000016</v>
      </c>
      <c r="L288" s="322">
        <f>($D128)*'INGRESO A PS DE CA'!L128</f>
        <v>9.3127019999999998</v>
      </c>
      <c r="M288" s="322">
        <f>($D128)*'INGRESO A PS DE CA'!M128</f>
        <v>9.6048708000000005</v>
      </c>
      <c r="N288" s="322">
        <f>($D128)*'INGRESO A PS DE CA'!N128</f>
        <v>9.9018233999999996</v>
      </c>
      <c r="O288" s="322">
        <f>($D128)*'INGRESO A PS DE CA'!O128</f>
        <v>10.203559800000001</v>
      </c>
      <c r="P288" s="322">
        <f>($D128)*'INGRESO A PS DE CA'!P128</f>
        <v>10.510294200000001</v>
      </c>
      <c r="Q288" s="322">
        <f>($D128)*'INGRESO A PS DE CA'!Q128</f>
        <v>10.821955200000001</v>
      </c>
      <c r="R288" s="322">
        <f>($D128)*'INGRESO A PS DE CA'!R128</f>
        <v>11.138757</v>
      </c>
      <c r="S288" s="322">
        <f>($D128)*'INGRESO A PS DE CA'!S128</f>
        <v>11.460699599999998</v>
      </c>
      <c r="T288" s="322">
        <f>($D128)*'INGRESO A PS DE CA'!T128</f>
        <v>11.7879258</v>
      </c>
      <c r="U288" s="322">
        <f>($D128)*'INGRESO A PS DE CA'!U128</f>
        <v>12.1204356</v>
      </c>
      <c r="V288" s="322">
        <f>($D128)*'INGRESO A PS DE CA'!V128</f>
        <v>12.458371799999998</v>
      </c>
      <c r="W288" s="322">
        <f>($D128)*'INGRESO A PS DE CA'!W128</f>
        <v>12.8018772</v>
      </c>
      <c r="X288" s="322">
        <f>($D128)*'INGRESO A PS DE CA'!X128</f>
        <v>13.1509518</v>
      </c>
      <c r="Y288" s="322">
        <f>($D128)*'INGRESO A PS DE CA'!Y128</f>
        <v>13.505738399999998</v>
      </c>
      <c r="Z288" s="322">
        <f>($D128)*'INGRESO A PS DE CA'!Z128</f>
        <v>13.866308399999998</v>
      </c>
    </row>
    <row r="289" spans="1:26" ht="24.95" customHeight="1">
      <c r="A289" s="260" t="str">
        <f>+Pobl_adoptada!A129</f>
        <v>Suipacha</v>
      </c>
      <c r="B289" s="70">
        <f>+Pobl_adoptada!B129</f>
        <v>125</v>
      </c>
      <c r="C289" s="71" t="str">
        <f>+Pobl_adoptada!C129</f>
        <v>Suipacha</v>
      </c>
      <c r="D289" s="291"/>
      <c r="E289" s="278"/>
      <c r="F289" s="263"/>
      <c r="G289" s="322">
        <f>($D129)*'INGRESO A PS DE CA'!G129</f>
        <v>1.9275840000000002E-2</v>
      </c>
      <c r="H289" s="322">
        <f>($D129)*'INGRESO A PS DE CA'!H129</f>
        <v>0.15613504</v>
      </c>
      <c r="I289" s="322">
        <f>($D129)*'INGRESO A PS DE CA'!I129</f>
        <v>0.29636880000000004</v>
      </c>
      <c r="J289" s="322">
        <f>($D129)*'INGRESO A PS DE CA'!J129</f>
        <v>0.49997400000000003</v>
      </c>
      <c r="K289" s="322">
        <f>($D129)*'INGRESO A PS DE CA'!K129</f>
        <v>0.70839999999999992</v>
      </c>
      <c r="L289" s="322">
        <f>($D129)*'INGRESO A PS DE CA'!L129</f>
        <v>0.71683640000000004</v>
      </c>
      <c r="M289" s="322">
        <f>($D129)*'INGRESO A PS DE CA'!M129</f>
        <v>0.72527280000000005</v>
      </c>
      <c r="N289" s="322">
        <f>($D129)*'INGRESO A PS DE CA'!N129</f>
        <v>0.73377359999999991</v>
      </c>
      <c r="O289" s="322">
        <f>($D129)*'INGRESO A PS DE CA'!O129</f>
        <v>0.74221000000000004</v>
      </c>
      <c r="P289" s="322">
        <f>($D129)*'INGRESO A PS DE CA'!P129</f>
        <v>0.75064640000000005</v>
      </c>
      <c r="Q289" s="322">
        <f>($D129)*'INGRESO A PS DE CA'!Q129</f>
        <v>0.75908280000000006</v>
      </c>
      <c r="R289" s="322">
        <f>($D129)*'INGRESO A PS DE CA'!R129</f>
        <v>0.76751920000000007</v>
      </c>
      <c r="S289" s="322">
        <f>($D129)*'INGRESO A PS DE CA'!S129</f>
        <v>0.77595559999999997</v>
      </c>
      <c r="T289" s="322">
        <f>($D129)*'INGRESO A PS DE CA'!T129</f>
        <v>0.78439199999999998</v>
      </c>
      <c r="U289" s="322">
        <f>($D129)*'INGRESO A PS DE CA'!U129</f>
        <v>0.7928284000000001</v>
      </c>
      <c r="V289" s="322">
        <f>($D129)*'INGRESO A PS DE CA'!V129</f>
        <v>0.80132920000000007</v>
      </c>
      <c r="W289" s="322">
        <f>($D129)*'INGRESO A PS DE CA'!W129</f>
        <v>0.80976559999999997</v>
      </c>
      <c r="X289" s="322">
        <f>($D129)*'INGRESO A PS DE CA'!X129</f>
        <v>0.81820199999999998</v>
      </c>
      <c r="Y289" s="322">
        <f>($D129)*'INGRESO A PS DE CA'!Y129</f>
        <v>0.82663840000000011</v>
      </c>
      <c r="Z289" s="322">
        <f>($D129)*'INGRESO A PS DE CA'!Z129</f>
        <v>0.83507480000000001</v>
      </c>
    </row>
    <row r="290" spans="1:26" ht="24.95" customHeight="1">
      <c r="A290" s="260" t="str">
        <f>+Pobl_adoptada!A130</f>
        <v>Tandil</v>
      </c>
      <c r="B290" s="70">
        <f>+Pobl_adoptada!B130</f>
        <v>126</v>
      </c>
      <c r="C290" s="71" t="str">
        <f>+Pobl_adoptada!C130</f>
        <v>Tandil</v>
      </c>
      <c r="D290" s="291"/>
      <c r="E290" s="278"/>
      <c r="F290" s="263"/>
      <c r="G290" s="322">
        <f>($D130)*'INGRESO A PS DE CA'!G130</f>
        <v>0.29502684000000007</v>
      </c>
      <c r="H290" s="322">
        <f>($D130)*'INGRESO A PS DE CA'!H130</f>
        <v>2.3917939200000005</v>
      </c>
      <c r="I290" s="322">
        <f>($D130)*'INGRESO A PS DE CA'!I130</f>
        <v>4.5446201999999998</v>
      </c>
      <c r="J290" s="322">
        <f>($D130)*'INGRESO A PS DE CA'!J130</f>
        <v>7.6757040000000005</v>
      </c>
      <c r="K290" s="322">
        <f>($D130)*'INGRESO A PS DE CA'!K130</f>
        <v>10.889713800000001</v>
      </c>
      <c r="L290" s="322">
        <f>($D130)*'INGRESO A PS DE CA'!L130</f>
        <v>11.035441200000001</v>
      </c>
      <c r="M290" s="322">
        <f>($D130)*'INGRESO A PS DE CA'!M130</f>
        <v>11.183096399999998</v>
      </c>
      <c r="N290" s="322">
        <f>($D130)*'INGRESO A PS DE CA'!N130</f>
        <v>11.332750799999999</v>
      </c>
      <c r="O290" s="322">
        <f>($D130)*'INGRESO A PS DE CA'!O130</f>
        <v>11.484332999999999</v>
      </c>
      <c r="P290" s="322">
        <f>($D130)*'INGRESO A PS DE CA'!P130</f>
        <v>11.637985800000001</v>
      </c>
      <c r="Q290" s="322">
        <f>($D130)*'INGRESO A PS DE CA'!Q130</f>
        <v>11.7937092</v>
      </c>
      <c r="R290" s="322">
        <f>($D130)*'INGRESO A PS DE CA'!R130</f>
        <v>11.951503199999999</v>
      </c>
      <c r="S290" s="322">
        <f>($D130)*'INGRESO A PS DE CA'!S130</f>
        <v>12.1114392</v>
      </c>
      <c r="T290" s="322">
        <f>($D130)*'INGRESO A PS DE CA'!T130</f>
        <v>12.273517200000001</v>
      </c>
      <c r="U290" s="322">
        <f>($D130)*'INGRESO A PS DE CA'!U130</f>
        <v>12.437737200000001</v>
      </c>
      <c r="V290" s="322">
        <f>($D130)*'INGRESO A PS DE CA'!V130</f>
        <v>12.6040992</v>
      </c>
      <c r="W290" s="322">
        <f>($D130)*'INGRESO A PS DE CA'!W130</f>
        <v>12.772746</v>
      </c>
      <c r="X290" s="322">
        <f>($D130)*'INGRESO A PS DE CA'!X130</f>
        <v>12.943677599999999</v>
      </c>
      <c r="Y290" s="322">
        <f>($D130)*'INGRESO A PS DE CA'!Y130</f>
        <v>13.116822599999999</v>
      </c>
      <c r="Z290" s="322">
        <f>($D130)*'INGRESO A PS DE CA'!Z130</f>
        <v>13.2923238</v>
      </c>
    </row>
    <row r="291" spans="1:26" ht="24.95" customHeight="1">
      <c r="A291" s="260" t="str">
        <f>+Pobl_adoptada!A131</f>
        <v>Tapalqué</v>
      </c>
      <c r="B291" s="70">
        <f>+Pobl_adoptada!B131</f>
        <v>127</v>
      </c>
      <c r="C291" s="71" t="str">
        <f>+Pobl_adoptada!C131</f>
        <v>Tapalqué</v>
      </c>
      <c r="D291" s="291"/>
      <c r="E291" s="278"/>
      <c r="F291" s="263"/>
      <c r="G291" s="322">
        <f>($D131)*'INGRESO A PS DE CA'!G131</f>
        <v>1.6940880000000002E-2</v>
      </c>
      <c r="H291" s="322">
        <f>($D131)*'INGRESO A PS DE CA'!H131</f>
        <v>0.13733760000000003</v>
      </c>
      <c r="I291" s="322">
        <f>($D131)*'INGRESO A PS DE CA'!I131</f>
        <v>0.26095800000000002</v>
      </c>
      <c r="J291" s="322">
        <f>($D131)*'INGRESO A PS DE CA'!J131</f>
        <v>0.44077200000000005</v>
      </c>
      <c r="K291" s="322">
        <f>($D131)*'INGRESO A PS DE CA'!K131</f>
        <v>0.6253240000000001</v>
      </c>
      <c r="L291" s="322">
        <f>($D131)*'INGRESO A PS DE CA'!L131</f>
        <v>0.63369600000000004</v>
      </c>
      <c r="M291" s="322">
        <f>($D131)*'INGRESO A PS DE CA'!M131</f>
        <v>0.64213240000000005</v>
      </c>
      <c r="N291" s="322">
        <f>($D131)*'INGRESO A PS DE CA'!N131</f>
        <v>0.65076199999999995</v>
      </c>
      <c r="O291" s="322">
        <f>($D131)*'INGRESO A PS DE CA'!O131</f>
        <v>0.65945600000000004</v>
      </c>
      <c r="P291" s="322">
        <f>($D131)*'INGRESO A PS DE CA'!P131</f>
        <v>0.66827879999999995</v>
      </c>
      <c r="Q291" s="322">
        <f>($D131)*'INGRESO A PS DE CA'!Q131</f>
        <v>0.67723040000000001</v>
      </c>
      <c r="R291" s="322">
        <f>($D131)*'INGRESO A PS DE CA'!R131</f>
        <v>0.68624640000000003</v>
      </c>
      <c r="S291" s="322">
        <f>($D131)*'INGRESO A PS DE CA'!S131</f>
        <v>0.69545559999999995</v>
      </c>
      <c r="T291" s="322">
        <f>($D131)*'INGRESO A PS DE CA'!T131</f>
        <v>0.70472920000000006</v>
      </c>
      <c r="U291" s="322">
        <f>($D131)*'INGRESO A PS DE CA'!U131</f>
        <v>0.71419600000000016</v>
      </c>
      <c r="V291" s="322">
        <f>($D131)*'INGRESO A PS DE CA'!V131</f>
        <v>0.72372720000000001</v>
      </c>
      <c r="W291" s="322">
        <f>($D131)*'INGRESO A PS DE CA'!W131</f>
        <v>0.73338720000000013</v>
      </c>
      <c r="X291" s="322">
        <f>($D131)*'INGRESO A PS DE CA'!X131</f>
        <v>0.74324040000000013</v>
      </c>
      <c r="Y291" s="322">
        <f>($D131)*'INGRESO A PS DE CA'!Y131</f>
        <v>0.75315799999999999</v>
      </c>
      <c r="Z291" s="322">
        <f>($D131)*'INGRESO A PS DE CA'!Z131</f>
        <v>0.76320440000000001</v>
      </c>
    </row>
    <row r="292" spans="1:26" ht="24.95" customHeight="1">
      <c r="A292" s="260" t="str">
        <f>+Pobl_adoptada!A132</f>
        <v>Tordillo</v>
      </c>
      <c r="B292" s="70">
        <f>+Pobl_adoptada!B132</f>
        <v>128</v>
      </c>
      <c r="C292" s="71" t="str">
        <f>+Pobl_adoptada!C132</f>
        <v>General Conesa</v>
      </c>
      <c r="D292" s="291"/>
      <c r="E292" s="278"/>
      <c r="F292" s="263"/>
      <c r="G292" s="322">
        <f>($D132)*'INGRESO A PS DE CA'!G132</f>
        <v>3.9983200000000005E-3</v>
      </c>
      <c r="H292" s="322">
        <f>($D132)*'INGRESO A PS DE CA'!H132</f>
        <v>3.2840319999999999E-2</v>
      </c>
      <c r="I292" s="322">
        <f>($D132)*'INGRESO A PS DE CA'!I132</f>
        <v>6.3176400000000008E-2</v>
      </c>
      <c r="J292" s="322">
        <f>($D132)*'INGRESO A PS DE CA'!J132</f>
        <v>0.107962</v>
      </c>
      <c r="K292" s="322">
        <f>($D132)*'INGRESO A PS DE CA'!K132</f>
        <v>0.15481760000000003</v>
      </c>
      <c r="L292" s="322">
        <f>($D132)*'INGRESO A PS DE CA'!L132</f>
        <v>0.1594544</v>
      </c>
      <c r="M292" s="322">
        <f>($D132)*'INGRESO A PS DE CA'!M132</f>
        <v>0.16402680000000003</v>
      </c>
      <c r="N292" s="322">
        <f>($D132)*'INGRESO A PS DE CA'!N132</f>
        <v>0.1686636</v>
      </c>
      <c r="O292" s="322">
        <f>($D132)*'INGRESO A PS DE CA'!O132</f>
        <v>0.173236</v>
      </c>
      <c r="P292" s="322">
        <f>($D132)*'INGRESO A PS DE CA'!P132</f>
        <v>0.17780839999999998</v>
      </c>
      <c r="Q292" s="322">
        <f>($D132)*'INGRESO A PS DE CA'!Q132</f>
        <v>0.1824452</v>
      </c>
      <c r="R292" s="322">
        <f>($D132)*'INGRESO A PS DE CA'!R132</f>
        <v>0.18701760000000001</v>
      </c>
      <c r="S292" s="322">
        <f>($D132)*'INGRESO A PS DE CA'!S132</f>
        <v>0.19159000000000001</v>
      </c>
      <c r="T292" s="322">
        <f>($D132)*'INGRESO A PS DE CA'!T132</f>
        <v>0.19622680000000001</v>
      </c>
      <c r="U292" s="322">
        <f>($D132)*'INGRESO A PS DE CA'!U132</f>
        <v>0.20079919999999998</v>
      </c>
      <c r="V292" s="322">
        <f>($D132)*'INGRESO A PS DE CA'!V132</f>
        <v>0.20543600000000001</v>
      </c>
      <c r="W292" s="322">
        <f>($D132)*'INGRESO A PS DE CA'!W132</f>
        <v>0.21000840000000004</v>
      </c>
      <c r="X292" s="322">
        <f>($D132)*'INGRESO A PS DE CA'!X132</f>
        <v>0.21458080000000002</v>
      </c>
      <c r="Y292" s="322">
        <f>($D132)*'INGRESO A PS DE CA'!Y132</f>
        <v>0.21921760000000001</v>
      </c>
      <c r="Z292" s="322">
        <f>($D132)*'INGRESO A PS DE CA'!Z132</f>
        <v>0.22378999999999999</v>
      </c>
    </row>
    <row r="293" spans="1:26" ht="24.95" customHeight="1">
      <c r="A293" s="260" t="str">
        <f>+Pobl_adoptada!A133</f>
        <v>Tornquist</v>
      </c>
      <c r="B293" s="70">
        <f>+Pobl_adoptada!B133</f>
        <v>129</v>
      </c>
      <c r="C293" s="71" t="str">
        <f>+Pobl_adoptada!C133</f>
        <v>Tornquist</v>
      </c>
      <c r="D293" s="291"/>
      <c r="E293" s="278"/>
      <c r="F293" s="263"/>
      <c r="G293" s="322">
        <f>($D133)*'INGRESO A PS DE CA'!G133</f>
        <v>1.4122000000000003E-2</v>
      </c>
      <c r="H293" s="322">
        <f>($D133)*'INGRESO A PS DE CA'!H133</f>
        <v>0.11440384000000002</v>
      </c>
      <c r="I293" s="322">
        <f>($D133)*'INGRESO A PS DE CA'!I133</f>
        <v>0.21715680000000004</v>
      </c>
      <c r="J293" s="322">
        <f>($D133)*'INGRESO A PS DE CA'!J133</f>
        <v>0.366344</v>
      </c>
      <c r="K293" s="322">
        <f>($D133)*'INGRESO A PS DE CA'!K133</f>
        <v>0.51906400000000008</v>
      </c>
      <c r="L293" s="322">
        <f>($D133)*'INGRESO A PS DE CA'!L133</f>
        <v>0.52711399999999997</v>
      </c>
      <c r="M293" s="322">
        <f>($D133)*'INGRESO A PS DE CA'!M133</f>
        <v>0.53509960000000001</v>
      </c>
      <c r="N293" s="322">
        <f>($D133)*'INGRESO A PS DE CA'!N133</f>
        <v>0.54314960000000001</v>
      </c>
      <c r="O293" s="322">
        <f>($D133)*'INGRESO A PS DE CA'!O133</f>
        <v>0.55113520000000005</v>
      </c>
      <c r="P293" s="322">
        <f>($D133)*'INGRESO A PS DE CA'!P133</f>
        <v>0.55918520000000005</v>
      </c>
      <c r="Q293" s="322">
        <f>($D133)*'INGRESO A PS DE CA'!Q133</f>
        <v>0.56717079999999997</v>
      </c>
      <c r="R293" s="322">
        <f>($D133)*'INGRESO A PS DE CA'!R133</f>
        <v>0.57515640000000001</v>
      </c>
      <c r="S293" s="322">
        <f>($D133)*'INGRESO A PS DE CA'!S133</f>
        <v>0.58320640000000012</v>
      </c>
      <c r="T293" s="322">
        <f>($D133)*'INGRESO A PS DE CA'!T133</f>
        <v>0.59119200000000005</v>
      </c>
      <c r="U293" s="322">
        <f>($D133)*'INGRESO A PS DE CA'!U133</f>
        <v>0.59924200000000005</v>
      </c>
      <c r="V293" s="322">
        <f>($D133)*'INGRESO A PS DE CA'!V133</f>
        <v>0.60722759999999998</v>
      </c>
      <c r="W293" s="322">
        <f>($D133)*'INGRESO A PS DE CA'!W133</f>
        <v>0.61527760000000009</v>
      </c>
      <c r="X293" s="322">
        <f>($D133)*'INGRESO A PS DE CA'!X133</f>
        <v>0.62326320000000002</v>
      </c>
      <c r="Y293" s="322">
        <f>($D133)*'INGRESO A PS DE CA'!Y133</f>
        <v>0.63124879999999994</v>
      </c>
      <c r="Z293" s="322">
        <f>($D133)*'INGRESO A PS DE CA'!Z133</f>
        <v>0.63929880000000006</v>
      </c>
    </row>
    <row r="294" spans="1:26" ht="24.95" customHeight="1">
      <c r="A294" s="260" t="str">
        <f>+Pobl_adoptada!A134</f>
        <v>Trenque Lauquen</v>
      </c>
      <c r="B294" s="70">
        <f>+Pobl_adoptada!B134</f>
        <v>130</v>
      </c>
      <c r="C294" s="71" t="str">
        <f>+Pobl_adoptada!C134</f>
        <v>Trenque Lauquen</v>
      </c>
      <c r="D294" s="291"/>
      <c r="E294" s="278"/>
      <c r="F294" s="263"/>
      <c r="G294" s="322">
        <f>($D134)*'INGRESO A PS DE CA'!G134</f>
        <v>8.2236920000000005E-2</v>
      </c>
      <c r="H294" s="322">
        <f>($D134)*'INGRESO A PS DE CA'!H134</f>
        <v>0.66403488000000011</v>
      </c>
      <c r="I294" s="322">
        <f>($D134)*'INGRESO A PS DE CA'!I134</f>
        <v>1.2566724</v>
      </c>
      <c r="J294" s="322">
        <f>($D134)*'INGRESO A PS DE CA'!J134</f>
        <v>2.1139580000000002</v>
      </c>
      <c r="K294" s="322">
        <f>($D134)*'INGRESO A PS DE CA'!K134</f>
        <v>2.9870694000000002</v>
      </c>
      <c r="L294" s="322">
        <f>($D134)*'INGRESO A PS DE CA'!L134</f>
        <v>3.0149686000000004</v>
      </c>
      <c r="M294" s="322">
        <f>($D134)*'INGRESO A PS DE CA'!M134</f>
        <v>3.0430162000000003</v>
      </c>
      <c r="N294" s="322">
        <f>($D134)*'INGRESO A PS DE CA'!N134</f>
        <v>3.0713606000000002</v>
      </c>
      <c r="O294" s="322">
        <f>($D134)*'INGRESO A PS DE CA'!O134</f>
        <v>3.1000018000000003</v>
      </c>
      <c r="P294" s="322">
        <f>($D134)*'INGRESO A PS DE CA'!P134</f>
        <v>3.1288656000000001</v>
      </c>
      <c r="Q294" s="322">
        <f>($D134)*'INGRESO A PS DE CA'!Q134</f>
        <v>3.1580262000000001</v>
      </c>
      <c r="R294" s="322">
        <f>($D134)*'INGRESO A PS DE CA'!R134</f>
        <v>3.1874836000000002</v>
      </c>
      <c r="S294" s="322">
        <f>($D134)*'INGRESO A PS DE CA'!S134</f>
        <v>3.2171636000000001</v>
      </c>
      <c r="T294" s="322">
        <f>($D134)*'INGRESO A PS DE CA'!T134</f>
        <v>3.2471404000000001</v>
      </c>
      <c r="U294" s="322">
        <f>($D134)*'INGRESO A PS DE CA'!U134</f>
        <v>3.2774140000000003</v>
      </c>
      <c r="V294" s="322">
        <f>($D134)*'INGRESO A PS DE CA'!V134</f>
        <v>3.3079102000000002</v>
      </c>
      <c r="W294" s="322">
        <f>($D134)*'INGRESO A PS DE CA'!W134</f>
        <v>3.3387774000000001</v>
      </c>
      <c r="X294" s="322">
        <f>($D134)*'INGRESO A PS DE CA'!X134</f>
        <v>3.3698671999999998</v>
      </c>
      <c r="Y294" s="322">
        <f>($D134)*'INGRESO A PS DE CA'!Y134</f>
        <v>3.4012538000000001</v>
      </c>
      <c r="Z294" s="322">
        <f>($D134)*'INGRESO A PS DE CA'!Z134</f>
        <v>3.4329371999999996</v>
      </c>
    </row>
    <row r="295" spans="1:26" ht="24.95" customHeight="1">
      <c r="A295" s="260" t="str">
        <f>+Pobl_adoptada!A135</f>
        <v>Tres Arroyos</v>
      </c>
      <c r="B295" s="70">
        <f>+Pobl_adoptada!B135</f>
        <v>131</v>
      </c>
      <c r="C295" s="71" t="str">
        <f>+Pobl_adoptada!C135</f>
        <v>Tres Arroyos</v>
      </c>
      <c r="D295" s="291"/>
      <c r="E295" s="278"/>
      <c r="F295" s="263"/>
      <c r="G295" s="322">
        <f>($D135)*'INGRESO A PS DE CA'!G135</f>
        <v>0.10509900000000001</v>
      </c>
      <c r="H295" s="322">
        <f>($D135)*'INGRESO A PS DE CA'!H135</f>
        <v>0.84406528000000014</v>
      </c>
      <c r="I295" s="322">
        <f>($D135)*'INGRESO A PS DE CA'!I135</f>
        <v>1.5888870000000002</v>
      </c>
      <c r="J295" s="322">
        <f>($D135)*'INGRESO A PS DE CA'!J135</f>
        <v>2.6587450000000001</v>
      </c>
      <c r="K295" s="322">
        <f>($D135)*'INGRESO A PS DE CA'!K135</f>
        <v>3.7373798000000003</v>
      </c>
      <c r="L295" s="322">
        <f>($D135)*'INGRESO A PS DE CA'!L135</f>
        <v>3.7526649999999999</v>
      </c>
      <c r="M295" s="322">
        <f>($D135)*'INGRESO A PS DE CA'!M135</f>
        <v>3.7682470000000006</v>
      </c>
      <c r="N295" s="322">
        <f>($D135)*'INGRESO A PS DE CA'!N135</f>
        <v>3.7841258</v>
      </c>
      <c r="O295" s="322">
        <f>($D135)*'INGRESO A PS DE CA'!O135</f>
        <v>3.8001529999999999</v>
      </c>
      <c r="P295" s="322">
        <f>($D135)*'INGRESO A PS DE CA'!P135</f>
        <v>3.8165512000000001</v>
      </c>
      <c r="Q295" s="322">
        <f>($D135)*'INGRESO A PS DE CA'!Q135</f>
        <v>3.8331720000000007</v>
      </c>
      <c r="R295" s="322">
        <f>($D135)*'INGRESO A PS DE CA'!R135</f>
        <v>3.8500153999999998</v>
      </c>
      <c r="S295" s="322">
        <f>($D135)*'INGRESO A PS DE CA'!S135</f>
        <v>3.8672298000000001</v>
      </c>
      <c r="T295" s="322">
        <f>($D135)*'INGRESO A PS DE CA'!T135</f>
        <v>3.8846668000000002</v>
      </c>
      <c r="U295" s="322">
        <f>($D135)*'INGRESO A PS DE CA'!U135</f>
        <v>3.9024006</v>
      </c>
      <c r="V295" s="322">
        <f>($D135)*'INGRESO A PS DE CA'!V135</f>
        <v>3.9204312000000003</v>
      </c>
      <c r="W295" s="322">
        <f>($D135)*'INGRESO A PS DE CA'!W135</f>
        <v>3.9387585999999999</v>
      </c>
      <c r="X295" s="322">
        <f>($D135)*'INGRESO A PS DE CA'!X135</f>
        <v>3.9573828</v>
      </c>
      <c r="Y295" s="322">
        <f>($D135)*'INGRESO A PS DE CA'!Y135</f>
        <v>3.9763038000000002</v>
      </c>
      <c r="Z295" s="322">
        <f>($D135)*'INGRESO A PS DE CA'!Z135</f>
        <v>3.9955216</v>
      </c>
    </row>
    <row r="296" spans="1:26" ht="24.95" customHeight="1">
      <c r="A296" s="260" t="str">
        <f>+Pobl_adoptada!A136</f>
        <v>Tres Lomas</v>
      </c>
      <c r="B296" s="70">
        <f>+Pobl_adoptada!B136</f>
        <v>132</v>
      </c>
      <c r="C296" s="71" t="str">
        <f>+Pobl_adoptada!C136</f>
        <v>Tres Lomas</v>
      </c>
      <c r="D296" s="291"/>
      <c r="E296" s="278"/>
      <c r="F296" s="263"/>
      <c r="G296" s="322">
        <f>($D136)*'INGRESO A PS DE CA'!G136</f>
        <v>1.6962959999999999E-2</v>
      </c>
      <c r="H296" s="322">
        <f>($D136)*'INGRESO A PS DE CA'!H136</f>
        <v>0.13696960000000002</v>
      </c>
      <c r="I296" s="322">
        <f>($D136)*'INGRESO A PS DE CA'!I136</f>
        <v>0.25916400000000006</v>
      </c>
      <c r="J296" s="322">
        <f>($D136)*'INGRESO A PS DE CA'!J136</f>
        <v>0.43589600000000001</v>
      </c>
      <c r="K296" s="322">
        <f>($D136)*'INGRESO A PS DE CA'!K136</f>
        <v>0.61572840000000006</v>
      </c>
      <c r="L296" s="322">
        <f>($D136)*'INGRESO A PS DE CA'!L136</f>
        <v>0.62126680000000001</v>
      </c>
      <c r="M296" s="322">
        <f>($D136)*'INGRESO A PS DE CA'!M136</f>
        <v>0.62674079999999999</v>
      </c>
      <c r="N296" s="322">
        <f>($D136)*'INGRESO A PS DE CA'!N136</f>
        <v>0.63227920000000004</v>
      </c>
      <c r="O296" s="322">
        <f>($D136)*'INGRESO A PS DE CA'!O136</f>
        <v>0.63775320000000013</v>
      </c>
      <c r="P296" s="322">
        <f>($D136)*'INGRESO A PS DE CA'!P136</f>
        <v>0.64329159999999996</v>
      </c>
      <c r="Q296" s="322">
        <f>($D136)*'INGRESO A PS DE CA'!Q136</f>
        <v>0.64876559999999994</v>
      </c>
      <c r="R296" s="322">
        <f>($D136)*'INGRESO A PS DE CA'!R136</f>
        <v>0.65430400000000011</v>
      </c>
      <c r="S296" s="322">
        <f>($D136)*'INGRESO A PS DE CA'!S136</f>
        <v>0.65977799999999998</v>
      </c>
      <c r="T296" s="322">
        <f>($D136)*'INGRESO A PS DE CA'!T136</f>
        <v>0.66531640000000003</v>
      </c>
      <c r="U296" s="322">
        <f>($D136)*'INGRESO A PS DE CA'!U136</f>
        <v>0.67079040000000012</v>
      </c>
      <c r="V296" s="322">
        <f>($D136)*'INGRESO A PS DE CA'!V136</f>
        <v>0.67632879999999995</v>
      </c>
      <c r="W296" s="322">
        <f>($D136)*'INGRESO A PS DE CA'!W136</f>
        <v>0.68180280000000004</v>
      </c>
      <c r="X296" s="322">
        <f>($D136)*'INGRESO A PS DE CA'!X136</f>
        <v>0.6873412000000001</v>
      </c>
      <c r="Y296" s="322">
        <f>($D136)*'INGRESO A PS DE CA'!Y136</f>
        <v>0.69281520000000008</v>
      </c>
      <c r="Z296" s="322">
        <f>($D136)*'INGRESO A PS DE CA'!Z136</f>
        <v>0.69835359999999991</v>
      </c>
    </row>
    <row r="297" spans="1:26" ht="24.95" customHeight="1">
      <c r="A297" s="260" t="str">
        <f>+Pobl_adoptada!A137</f>
        <v>Villa Gesell</v>
      </c>
      <c r="B297" s="70">
        <f>+Pobl_adoptada!B137</f>
        <v>133</v>
      </c>
      <c r="C297" s="71" t="str">
        <f>+Pobl_adoptada!C137</f>
        <v>Villa Gesell</v>
      </c>
      <c r="D297" s="291"/>
      <c r="E297" s="278"/>
      <c r="F297" s="263"/>
      <c r="G297" s="322">
        <f>($D137)*'INGRESO A PS DE CA'!G137</f>
        <v>0.13831200000000002</v>
      </c>
      <c r="H297" s="322">
        <f>($D137)*'INGRESO A PS DE CA'!H137</f>
        <v>1.12619424</v>
      </c>
      <c r="I297" s="322">
        <f>($D137)*'INGRESO A PS DE CA'!I137</f>
        <v>2.1485484000000001</v>
      </c>
      <c r="J297" s="322">
        <f>($D137)*'INGRESO A PS DE CA'!J137</f>
        <v>3.642471</v>
      </c>
      <c r="K297" s="322">
        <f>($D137)*'INGRESO A PS DE CA'!K137</f>
        <v>5.1856391999999998</v>
      </c>
      <c r="L297" s="322">
        <f>($D137)*'INGRESO A PS DE CA'!L137</f>
        <v>5.2718190000000007</v>
      </c>
      <c r="M297" s="322">
        <f>($D137)*'INGRESO A PS DE CA'!M137</f>
        <v>5.3579987999999998</v>
      </c>
      <c r="N297" s="322">
        <f>($D137)*'INGRESO A PS DE CA'!N137</f>
        <v>5.4442500000000003</v>
      </c>
      <c r="O297" s="322">
        <f>($D137)*'INGRESO A PS DE CA'!O137</f>
        <v>5.5303583999999999</v>
      </c>
      <c r="P297" s="322">
        <f>($D137)*'INGRESO A PS DE CA'!P137</f>
        <v>5.6165381999999999</v>
      </c>
      <c r="Q297" s="322">
        <f>($D137)*'INGRESO A PS DE CA'!Q137</f>
        <v>5.7027893999999995</v>
      </c>
      <c r="R297" s="322">
        <f>($D137)*'INGRESO A PS DE CA'!R137</f>
        <v>5.7888978000000009</v>
      </c>
      <c r="S297" s="322">
        <f>($D137)*'INGRESO A PS DE CA'!S137</f>
        <v>5.8751490000000004</v>
      </c>
      <c r="T297" s="322">
        <f>($D137)*'INGRESO A PS DE CA'!T137</f>
        <v>5.9612574</v>
      </c>
      <c r="U297" s="322">
        <f>($D137)*'INGRESO A PS DE CA'!U137</f>
        <v>6.0475085999999996</v>
      </c>
      <c r="V297" s="322">
        <f>($D137)*'INGRESO A PS DE CA'!V137</f>
        <v>6.1336883999999996</v>
      </c>
      <c r="W297" s="322">
        <f>($D137)*'INGRESO A PS DE CA'!W137</f>
        <v>6.2197968000000001</v>
      </c>
      <c r="X297" s="322">
        <f>($D137)*'INGRESO A PS DE CA'!X137</f>
        <v>6.3060480000000005</v>
      </c>
      <c r="Y297" s="322">
        <f>($D137)*'INGRESO A PS DE CA'!Y137</f>
        <v>6.3921564000000002</v>
      </c>
      <c r="Z297" s="322">
        <f>($D137)*'INGRESO A PS DE CA'!Z137</f>
        <v>6.4784076000000006</v>
      </c>
    </row>
    <row r="298" spans="1:26" ht="24.95" customHeight="1">
      <c r="A298" s="260" t="str">
        <f>+Pobl_adoptada!A138</f>
        <v>Villarino</v>
      </c>
      <c r="B298" s="70">
        <f>+Pobl_adoptada!B138</f>
        <v>134</v>
      </c>
      <c r="C298" s="71" t="str">
        <f>+Pobl_adoptada!C138</f>
        <v>Médanos</v>
      </c>
      <c r="D298" s="291"/>
      <c r="E298" s="278"/>
      <c r="F298" s="263"/>
      <c r="G298" s="322">
        <f>($D138)*'INGRESO A PS DE CA'!G138</f>
        <v>1.0714319999999999E-2</v>
      </c>
      <c r="H298" s="322">
        <f>($D138)*'INGRESO A PS DE CA'!H138</f>
        <v>8.6097279999999998E-2</v>
      </c>
      <c r="I298" s="322">
        <f>($D138)*'INGRESO A PS DE CA'!I138</f>
        <v>0.16217760000000001</v>
      </c>
      <c r="J298" s="322">
        <f>($D138)*'INGRESO A PS DE CA'!J138</f>
        <v>0.27149200000000001</v>
      </c>
      <c r="K298" s="322">
        <f>($D138)*'INGRESO A PS DE CA'!K138</f>
        <v>0.38182760000000004</v>
      </c>
      <c r="L298" s="322">
        <f>($D138)*'INGRESO A PS DE CA'!L138</f>
        <v>0.38356640000000009</v>
      </c>
      <c r="M298" s="322">
        <f>($D138)*'INGRESO A PS DE CA'!M138</f>
        <v>0.38524080000000005</v>
      </c>
      <c r="N298" s="322">
        <f>($D138)*'INGRESO A PS DE CA'!N138</f>
        <v>0.38697960000000003</v>
      </c>
      <c r="O298" s="322">
        <f>($D138)*'INGRESO A PS DE CA'!O138</f>
        <v>0.388654</v>
      </c>
      <c r="P298" s="322">
        <f>($D138)*'INGRESO A PS DE CA'!P138</f>
        <v>0.39039280000000004</v>
      </c>
      <c r="Q298" s="322">
        <f>($D138)*'INGRESO A PS DE CA'!Q138</f>
        <v>0.39213160000000002</v>
      </c>
      <c r="R298" s="322">
        <f>($D138)*'INGRESO A PS DE CA'!R138</f>
        <v>0.39380599999999999</v>
      </c>
      <c r="S298" s="322">
        <f>($D138)*'INGRESO A PS DE CA'!S138</f>
        <v>0.39554479999999997</v>
      </c>
      <c r="T298" s="322">
        <f>($D138)*'INGRESO A PS DE CA'!T138</f>
        <v>0.39721920000000005</v>
      </c>
      <c r="U298" s="322">
        <f>($D138)*'INGRESO A PS DE CA'!U138</f>
        <v>0.39895800000000003</v>
      </c>
      <c r="V298" s="322">
        <f>($D138)*'INGRESO A PS DE CA'!V138</f>
        <v>0.40063240000000006</v>
      </c>
      <c r="W298" s="322">
        <f>($D138)*'INGRESO A PS DE CA'!W138</f>
        <v>0.40237119999999998</v>
      </c>
      <c r="X298" s="322">
        <f>($D138)*'INGRESO A PS DE CA'!X138</f>
        <v>0.40410999999999997</v>
      </c>
      <c r="Y298" s="322">
        <f>($D138)*'INGRESO A PS DE CA'!Y138</f>
        <v>0.40578440000000005</v>
      </c>
      <c r="Z298" s="322">
        <f>($D138)*'INGRESO A PS DE CA'!Z138</f>
        <v>0.40752319999999997</v>
      </c>
    </row>
    <row r="299" spans="1:26" ht="24.95" customHeight="1">
      <c r="A299" s="260" t="str">
        <f>+Pobl_adoptada!A139</f>
        <v>Zárate</v>
      </c>
      <c r="B299" s="70">
        <f>+Pobl_adoptada!B139</f>
        <v>135</v>
      </c>
      <c r="C299" s="71" t="str">
        <f>+Pobl_adoptada!C139</f>
        <v>Zárate</v>
      </c>
      <c r="D299" s="291"/>
      <c r="E299" s="278"/>
      <c r="F299" s="263"/>
      <c r="G299" s="322">
        <f>($D139)*'INGRESO A PS DE CA'!G139</f>
        <v>0.24252336000000005</v>
      </c>
      <c r="H299" s="322">
        <f>($D139)*'INGRESO A PS DE CA'!H139</f>
        <v>1.9631001600000002</v>
      </c>
      <c r="I299" s="322">
        <f>($D139)*'INGRESO A PS DE CA'!I139</f>
        <v>3.7242953999999999</v>
      </c>
      <c r="J299" s="322">
        <f>($D139)*'INGRESO A PS DE CA'!J139</f>
        <v>6.2804460000000004</v>
      </c>
      <c r="K299" s="322">
        <f>($D139)*'INGRESO A PS DE CA'!K139</f>
        <v>8.8965113999999996</v>
      </c>
      <c r="L299" s="322">
        <f>($D139)*'INGRESO A PS DE CA'!L139</f>
        <v>9.0016122000000003</v>
      </c>
      <c r="M299" s="322">
        <f>($D139)*'INGRESO A PS DE CA'!M139</f>
        <v>9.1079268000000013</v>
      </c>
      <c r="N299" s="322">
        <f>($D139)*'INGRESO A PS DE CA'!N139</f>
        <v>9.2154551999999992</v>
      </c>
      <c r="O299" s="322">
        <f>($D139)*'INGRESO A PS DE CA'!O139</f>
        <v>9.3243402000000017</v>
      </c>
      <c r="P299" s="322">
        <f>($D139)*'INGRESO A PS DE CA'!P139</f>
        <v>9.4344390000000011</v>
      </c>
      <c r="Q299" s="322">
        <f>($D139)*'INGRESO A PS DE CA'!Q139</f>
        <v>9.5458943999999999</v>
      </c>
      <c r="R299" s="322">
        <f>($D139)*'INGRESO A PS DE CA'!R139</f>
        <v>9.6586350000000003</v>
      </c>
      <c r="S299" s="322">
        <f>($D139)*'INGRESO A PS DE CA'!S139</f>
        <v>9.7727322000000001</v>
      </c>
      <c r="T299" s="322">
        <f>($D139)*'INGRESO A PS DE CA'!T139</f>
        <v>9.8881146000000015</v>
      </c>
      <c r="U299" s="322">
        <f>($D139)*'INGRESO A PS DE CA'!U139</f>
        <v>10.004925</v>
      </c>
      <c r="V299" s="322">
        <f>($D139)*'INGRESO A PS DE CA'!V139</f>
        <v>10.123092</v>
      </c>
      <c r="W299" s="322">
        <f>($D139)*'INGRESO A PS DE CA'!W139</f>
        <v>10.242615600000001</v>
      </c>
      <c r="X299" s="322">
        <f>($D139)*'INGRESO A PS DE CA'!X139</f>
        <v>10.363638600000002</v>
      </c>
      <c r="Y299" s="322">
        <f>($D139)*'INGRESO A PS DE CA'!Y139</f>
        <v>10.4860182</v>
      </c>
      <c r="Z299" s="322">
        <f>($D139)*'INGRESO A PS DE CA'!Z139</f>
        <v>10.609897199999999</v>
      </c>
    </row>
    <row r="300" spans="1:26" ht="24.95" customHeight="1">
      <c r="A300" s="260" t="str">
        <f>+Pobl_adoptada!A140</f>
        <v>CABA</v>
      </c>
      <c r="B300" s="70">
        <f>+Pobl_adoptada!B140</f>
        <v>136</v>
      </c>
      <c r="C300" s="71" t="str">
        <f>+Pobl_adoptada!C140</f>
        <v>CABA</v>
      </c>
      <c r="D300" s="291"/>
      <c r="E300" s="278"/>
      <c r="F300" s="263"/>
      <c r="G300" s="322">
        <f>($D140)*'INGRESO A PS DE CA'!G140</f>
        <v>15.922241699999999</v>
      </c>
      <c r="H300" s="322">
        <f>($D140)*'INGRESO A PS DE CA'!H140</f>
        <v>128.36301600000002</v>
      </c>
      <c r="I300" s="322">
        <f>($D140)*'INGRESO A PS DE CA'!I140</f>
        <v>242.5578021</v>
      </c>
      <c r="J300" s="322">
        <f>($D140)*'INGRESO A PS DE CA'!J140</f>
        <v>407.44269450000002</v>
      </c>
      <c r="K300" s="322">
        <f>($D140)*'INGRESO A PS DE CA'!K140</f>
        <v>574.94388419999984</v>
      </c>
      <c r="L300" s="322">
        <f>($D140)*'INGRESO A PS DE CA'!L140</f>
        <v>579.54172499999993</v>
      </c>
      <c r="M300" s="322">
        <f>($D140)*'INGRESO A PS DE CA'!M140</f>
        <v>584.21467649999988</v>
      </c>
      <c r="N300" s="322">
        <f>($D140)*'INGRESO A PS DE CA'!N140</f>
        <v>588.96382440000002</v>
      </c>
      <c r="O300" s="322">
        <f>($D140)*'INGRESO A PS DE CA'!O140</f>
        <v>593.79045180000003</v>
      </c>
      <c r="P300" s="322">
        <f>($D140)*'INGRESO A PS DE CA'!P140</f>
        <v>598.69564439999999</v>
      </c>
      <c r="Q300" s="322">
        <f>($D140)*'INGRESO A PS DE CA'!Q140</f>
        <v>603.68098139999984</v>
      </c>
      <c r="R300" s="322">
        <f>($D140)*'INGRESO A PS DE CA'!R140</f>
        <v>608.74774589999993</v>
      </c>
      <c r="S300" s="322">
        <f>($D140)*'INGRESO A PS DE CA'!S140</f>
        <v>613.8970235999999</v>
      </c>
      <c r="T300" s="322">
        <f>($D140)*'INGRESO A PS DE CA'!T140</f>
        <v>619.13029500000005</v>
      </c>
      <c r="U300" s="322">
        <f>($D140)*'INGRESO A PS DE CA'!U140</f>
        <v>624.44904059999999</v>
      </c>
      <c r="V300" s="322">
        <f>($D140)*'INGRESO A PS DE CA'!V140</f>
        <v>629.85454349999998</v>
      </c>
      <c r="W300" s="322">
        <f>($D140)*'INGRESO A PS DE CA'!W140</f>
        <v>635.3481855</v>
      </c>
      <c r="X300" s="322">
        <f>($D140)*'INGRESO A PS DE CA'!X140</f>
        <v>640.93134839999993</v>
      </c>
      <c r="Y300" s="322">
        <f>($D140)*'INGRESO A PS DE CA'!Y140</f>
        <v>646.60571010000001</v>
      </c>
      <c r="Z300" s="322">
        <f>($D140)*'INGRESO A PS DE CA'!Z140</f>
        <v>652.37265239999999</v>
      </c>
    </row>
    <row r="301" spans="1:26" ht="24.95" customHeight="1">
      <c r="A301" s="260" t="str">
        <f>+Pobl_adoptada!A141</f>
        <v>Adolfo Alsina</v>
      </c>
      <c r="B301" s="70">
        <f>+Pobl_adoptada!B141</f>
        <v>137</v>
      </c>
      <c r="C301" s="71" t="str">
        <f>+Pobl_adoptada!C141</f>
        <v>Rivera</v>
      </c>
      <c r="D301" s="291"/>
      <c r="E301" s="278"/>
      <c r="F301" s="263"/>
      <c r="G301" s="322">
        <f>($D141)*'INGRESO A PS DE CA'!G141</f>
        <v>6.1198400000000005E-3</v>
      </c>
      <c r="H301" s="322">
        <f>($D141)*'INGRESO A PS DE CA'!H141</f>
        <v>4.9091200000000008E-2</v>
      </c>
      <c r="I301" s="322">
        <f>($D141)*'INGRESO A PS DE CA'!I141</f>
        <v>9.2294399999999999E-2</v>
      </c>
      <c r="J301" s="322">
        <f>($D141)*'INGRESO A PS DE CA'!J141</f>
        <v>0.15428400000000003</v>
      </c>
      <c r="K301" s="322">
        <f>($D141)*'INGRESO A PS DE CA'!K141</f>
        <v>0.21657720000000003</v>
      </c>
      <c r="L301" s="322">
        <f>($D141)*'INGRESO A PS DE CA'!L141</f>
        <v>0.21715679999999998</v>
      </c>
      <c r="M301" s="322">
        <f>($D141)*'INGRESO A PS DE CA'!M141</f>
        <v>0.2177364</v>
      </c>
      <c r="N301" s="322">
        <f>($D141)*'INGRESO A PS DE CA'!N141</f>
        <v>0.2183804</v>
      </c>
      <c r="O301" s="322">
        <f>($D141)*'INGRESO A PS DE CA'!O141</f>
        <v>0.21896000000000002</v>
      </c>
      <c r="P301" s="322">
        <f>($D141)*'INGRESO A PS DE CA'!P141</f>
        <v>0.21953960000000003</v>
      </c>
      <c r="Q301" s="322">
        <f>($D141)*'INGRESO A PS DE CA'!Q141</f>
        <v>0.22018359999999998</v>
      </c>
      <c r="R301" s="322">
        <f>($D141)*'INGRESO A PS DE CA'!R141</f>
        <v>0.22076319999999999</v>
      </c>
      <c r="S301" s="322">
        <f>($D141)*'INGRESO A PS DE CA'!S141</f>
        <v>0.22134280000000001</v>
      </c>
      <c r="T301" s="322">
        <f>($D141)*'INGRESO A PS DE CA'!T141</f>
        <v>0.22198680000000001</v>
      </c>
      <c r="U301" s="322">
        <f>($D141)*'INGRESO A PS DE CA'!U141</f>
        <v>0.22256640000000003</v>
      </c>
      <c r="V301" s="322">
        <f>($D141)*'INGRESO A PS DE CA'!V141</f>
        <v>0.22314599999999998</v>
      </c>
      <c r="W301" s="322">
        <f>($D141)*'INGRESO A PS DE CA'!W141</f>
        <v>0.22378999999999999</v>
      </c>
      <c r="X301" s="322">
        <f>($D141)*'INGRESO A PS DE CA'!X141</f>
        <v>0.2243696</v>
      </c>
      <c r="Y301" s="322">
        <f>($D141)*'INGRESO A PS DE CA'!Y141</f>
        <v>0.22494919999999996</v>
      </c>
      <c r="Z301" s="322">
        <f>($D141)*'INGRESO A PS DE CA'!Z141</f>
        <v>0.22559320000000002</v>
      </c>
    </row>
    <row r="302" spans="1:26" ht="24.95" customHeight="1">
      <c r="A302" s="260" t="str">
        <f>+Pobl_adoptada!A142</f>
        <v>Carlos Tejedor</v>
      </c>
      <c r="B302" s="70">
        <f>+Pobl_adoptada!B142</f>
        <v>138</v>
      </c>
      <c r="C302" s="71" t="str">
        <f>+Pobl_adoptada!C142</f>
        <v>Tres Algarrobos</v>
      </c>
      <c r="D302" s="291"/>
      <c r="E302" s="278"/>
      <c r="F302" s="263"/>
      <c r="G302" s="322">
        <f>($D142)*'INGRESO A PS DE CA'!G142</f>
        <v>6.4620800000000011E-3</v>
      </c>
      <c r="H302" s="322">
        <f>($D142)*'INGRESO A PS DE CA'!H142</f>
        <v>5.1991040000000002E-2</v>
      </c>
      <c r="I302" s="322">
        <f>($D142)*'INGRESO A PS DE CA'!I142</f>
        <v>9.8035200000000003E-2</v>
      </c>
      <c r="J302" s="322">
        <f>($D142)*'INGRESO A PS DE CA'!J142</f>
        <v>0.16431200000000001</v>
      </c>
      <c r="K302" s="322">
        <f>($D142)*'INGRESO A PS DE CA'!K142</f>
        <v>0.23132480000000002</v>
      </c>
      <c r="L302" s="322">
        <f>($D142)*'INGRESO A PS DE CA'!L142</f>
        <v>0.23261279999999998</v>
      </c>
      <c r="M302" s="322">
        <f>($D142)*'INGRESO A PS DE CA'!M142</f>
        <v>0.23390079999999999</v>
      </c>
      <c r="N302" s="322">
        <f>($D142)*'INGRESO A PS DE CA'!N142</f>
        <v>0.23518879999999998</v>
      </c>
      <c r="O302" s="322">
        <f>($D142)*'INGRESO A PS DE CA'!O142</f>
        <v>0.23647680000000004</v>
      </c>
      <c r="P302" s="322">
        <f>($D142)*'INGRESO A PS DE CA'!P142</f>
        <v>0.23776480000000003</v>
      </c>
      <c r="Q302" s="322">
        <f>($D142)*'INGRESO A PS DE CA'!Q142</f>
        <v>0.23905279999999998</v>
      </c>
      <c r="R302" s="322">
        <f>($D142)*'INGRESO A PS DE CA'!R142</f>
        <v>0.24034079999999999</v>
      </c>
      <c r="S302" s="322">
        <f>($D142)*'INGRESO A PS DE CA'!S142</f>
        <v>0.24162880000000003</v>
      </c>
      <c r="T302" s="322">
        <f>($D142)*'INGRESO A PS DE CA'!T142</f>
        <v>0.24291680000000004</v>
      </c>
      <c r="U302" s="322">
        <f>($D142)*'INGRESO A PS DE CA'!U142</f>
        <v>0.2442048</v>
      </c>
      <c r="V302" s="322">
        <f>($D142)*'INGRESO A PS DE CA'!V142</f>
        <v>0.24549279999999998</v>
      </c>
      <c r="W302" s="322">
        <f>($D142)*'INGRESO A PS DE CA'!W142</f>
        <v>0.24678079999999999</v>
      </c>
      <c r="X302" s="322">
        <f>($D142)*'INGRESO A PS DE CA'!X142</f>
        <v>0.24806880000000003</v>
      </c>
      <c r="Y302" s="322">
        <f>($D142)*'INGRESO A PS DE CA'!Y142</f>
        <v>0.24935679999999999</v>
      </c>
      <c r="Z302" s="322">
        <f>($D142)*'INGRESO A PS DE CA'!Z142</f>
        <v>0.25064480000000006</v>
      </c>
    </row>
    <row r="303" spans="1:26" ht="24.95" customHeight="1">
      <c r="A303" s="260" t="str">
        <f>+Pobl_adoptada!A143</f>
        <v>Exaltación de la Cruz</v>
      </c>
      <c r="B303" s="70">
        <f>+Pobl_adoptada!B143</f>
        <v>139</v>
      </c>
      <c r="C303" s="71" t="str">
        <f>+Pobl_adoptada!C143</f>
        <v>Los Cardales</v>
      </c>
      <c r="D303" s="291"/>
      <c r="E303" s="278"/>
      <c r="F303" s="263"/>
      <c r="G303" s="322">
        <f>($D143)*'INGRESO A PS DE CA'!G143</f>
        <v>2.3561200000000001E-2</v>
      </c>
      <c r="H303" s="322">
        <f>($D143)*'INGRESO A PS DE CA'!H143</f>
        <v>0.19440704</v>
      </c>
      <c r="I303" s="322">
        <f>($D143)*'INGRESO A PS DE CA'!I143</f>
        <v>0.37582920000000009</v>
      </c>
      <c r="J303" s="322">
        <f>($D143)*'INGRESO A PS DE CA'!J143</f>
        <v>0.64551800000000004</v>
      </c>
      <c r="K303" s="322">
        <f>($D143)*'INGRESO A PS DE CA'!K143</f>
        <v>0.93090200000000012</v>
      </c>
      <c r="L303" s="322">
        <f>($D143)*'INGRESO A PS DE CA'!L143</f>
        <v>0.95859399999999995</v>
      </c>
      <c r="M303" s="322">
        <f>($D143)*'INGRESO A PS DE CA'!M143</f>
        <v>0.98673679999999997</v>
      </c>
      <c r="N303" s="322">
        <f>($D143)*'INGRESO A PS DE CA'!N143</f>
        <v>1.0152660000000002</v>
      </c>
      <c r="O303" s="322">
        <f>($D143)*'INGRESO A PS DE CA'!O143</f>
        <v>1.0443104000000001</v>
      </c>
      <c r="P303" s="322">
        <f>($D143)*'INGRESO A PS DE CA'!P143</f>
        <v>1.0738700000000001</v>
      </c>
      <c r="Q303" s="322">
        <f>($D143)*'INGRESO A PS DE CA'!Q143</f>
        <v>1.1038159999999999</v>
      </c>
      <c r="R303" s="322">
        <f>($D143)*'INGRESO A PS DE CA'!R143</f>
        <v>1.1343415999999999</v>
      </c>
      <c r="S303" s="322">
        <f>($D143)*'INGRESO A PS DE CA'!S143</f>
        <v>1.1653180000000001</v>
      </c>
      <c r="T303" s="322">
        <f>($D143)*'INGRESO A PS DE CA'!T143</f>
        <v>1.1968096000000001</v>
      </c>
      <c r="U303" s="322">
        <f>($D143)*'INGRESO A PS DE CA'!U143</f>
        <v>1.2288164000000001</v>
      </c>
      <c r="V303" s="322">
        <f>($D143)*'INGRESO A PS DE CA'!V143</f>
        <v>1.2613383999999999</v>
      </c>
      <c r="W303" s="322">
        <f>($D143)*'INGRESO A PS DE CA'!W143</f>
        <v>1.2943756</v>
      </c>
      <c r="X303" s="322">
        <f>($D143)*'INGRESO A PS DE CA'!X143</f>
        <v>1.3279923999999999</v>
      </c>
      <c r="Y303" s="322">
        <f>($D143)*'INGRESO A PS DE CA'!Y143</f>
        <v>1.3621244000000001</v>
      </c>
      <c r="Z303" s="322">
        <f>($D143)*'INGRESO A PS DE CA'!Z143</f>
        <v>1.396836</v>
      </c>
    </row>
    <row r="304" spans="1:26" ht="24.95" customHeight="1">
      <c r="A304" s="260" t="str">
        <f>+Pobl_adoptada!A144</f>
        <v>Exaltación de la Cruz</v>
      </c>
      <c r="B304" s="70">
        <f>+Pobl_adoptada!B144</f>
        <v>140</v>
      </c>
      <c r="C304" s="71" t="str">
        <f>+Pobl_adoptada!C144</f>
        <v>Parada Robles - Pavón</v>
      </c>
      <c r="D304" s="291"/>
      <c r="E304" s="278"/>
      <c r="F304" s="263"/>
      <c r="G304" s="322">
        <f>($D144)*'INGRESO A PS DE CA'!G144</f>
        <v>3.8134560000000012E-2</v>
      </c>
      <c r="H304" s="322">
        <f>($D144)*'INGRESO A PS DE CA'!H144</f>
        <v>0.31718592000000007</v>
      </c>
      <c r="I304" s="322">
        <f>($D144)*'INGRESO A PS DE CA'!I144</f>
        <v>0.61777860000000018</v>
      </c>
      <c r="J304" s="322">
        <f>($D144)*'INGRESO A PS DE CA'!J144</f>
        <v>1.0686920000000002</v>
      </c>
      <c r="K304" s="322">
        <f>($D144)*'INGRESO A PS DE CA'!K144</f>
        <v>1.5517446000000001</v>
      </c>
      <c r="L304" s="322">
        <f>($D144)*'INGRESO A PS DE CA'!L144</f>
        <v>1.6082850000000002</v>
      </c>
      <c r="M304" s="322">
        <f>($D144)*'INGRESO A PS DE CA'!M144</f>
        <v>1.6657158000000001</v>
      </c>
      <c r="N304" s="322">
        <f>($D144)*'INGRESO A PS DE CA'!N144</f>
        <v>1.724037</v>
      </c>
      <c r="O304" s="322">
        <f>($D144)*'INGRESO A PS DE CA'!O144</f>
        <v>1.7833227999999999</v>
      </c>
      <c r="P304" s="322">
        <f>($D144)*'INGRESO A PS DE CA'!P144</f>
        <v>1.8436474</v>
      </c>
      <c r="Q304" s="322">
        <f>($D144)*'INGRESO A PS DE CA'!Q144</f>
        <v>1.9048623999999998</v>
      </c>
      <c r="R304" s="322">
        <f>($D144)*'INGRESO A PS DE CA'!R144</f>
        <v>1.9671162</v>
      </c>
      <c r="S304" s="322">
        <f>($D144)*'INGRESO A PS DE CA'!S144</f>
        <v>2.0304087999999996</v>
      </c>
      <c r="T304" s="322">
        <f>($D144)*'INGRESO A PS DE CA'!T144</f>
        <v>2.0947401999999999</v>
      </c>
      <c r="U304" s="322">
        <f>($D144)*'INGRESO A PS DE CA'!U144</f>
        <v>2.1601104000000002</v>
      </c>
      <c r="V304" s="322">
        <f>($D144)*'INGRESO A PS DE CA'!V144</f>
        <v>2.2265193999999999</v>
      </c>
      <c r="W304" s="322">
        <f>($D144)*'INGRESO A PS DE CA'!W144</f>
        <v>2.2940414000000002</v>
      </c>
      <c r="X304" s="322">
        <f>($D144)*'INGRESO A PS DE CA'!X144</f>
        <v>2.3626022</v>
      </c>
      <c r="Y304" s="322">
        <f>($D144)*'INGRESO A PS DE CA'!Y144</f>
        <v>2.4323502000000001</v>
      </c>
      <c r="Z304" s="322">
        <f>($D144)*'INGRESO A PS DE CA'!Z144</f>
        <v>2.5032112000000004</v>
      </c>
    </row>
    <row r="305" spans="1:26" ht="24.95" customHeight="1">
      <c r="A305" s="260" t="str">
        <f>+Pobl_adoptada!A145</f>
        <v>General Alvarado</v>
      </c>
      <c r="B305" s="70">
        <f>+Pobl_adoptada!B145</f>
        <v>141</v>
      </c>
      <c r="C305" s="71" t="str">
        <f>+Pobl_adoptada!C145</f>
        <v>Comandante Nicanor Otamendi</v>
      </c>
      <c r="D305" s="291"/>
      <c r="E305" s="278"/>
      <c r="F305" s="263"/>
      <c r="G305" s="322">
        <f>($D145)*'INGRESO A PS DE CA'!G145</f>
        <v>1.3628880000000003E-2</v>
      </c>
      <c r="H305" s="322">
        <f>($D145)*'INGRESO A PS DE CA'!H145</f>
        <v>0.10979648000000003</v>
      </c>
      <c r="I305" s="322">
        <f>($D145)*'INGRESO A PS DE CA'!I145</f>
        <v>0.20733120000000002</v>
      </c>
      <c r="J305" s="322">
        <f>($D145)*'INGRESO A PS DE CA'!J145</f>
        <v>0.34799000000000002</v>
      </c>
      <c r="K305" s="322">
        <f>($D145)*'INGRESO A PS DE CA'!K145</f>
        <v>0.49059919999999996</v>
      </c>
      <c r="L305" s="322">
        <f>($D145)*'INGRESO A PS DE CA'!L145</f>
        <v>0.49394800000000005</v>
      </c>
      <c r="M305" s="322">
        <f>($D145)*'INGRESO A PS DE CA'!M145</f>
        <v>0.49736119999999995</v>
      </c>
      <c r="N305" s="322">
        <f>($D145)*'INGRESO A PS DE CA'!N145</f>
        <v>0.50077439999999995</v>
      </c>
      <c r="O305" s="322">
        <f>($D145)*'INGRESO A PS DE CA'!O145</f>
        <v>0.50412319999999999</v>
      </c>
      <c r="P305" s="322">
        <f>($D145)*'INGRESO A PS DE CA'!P145</f>
        <v>0.50753640000000011</v>
      </c>
      <c r="Q305" s="322">
        <f>($D145)*'INGRESO A PS DE CA'!Q145</f>
        <v>0.5109496</v>
      </c>
      <c r="R305" s="322">
        <f>($D145)*'INGRESO A PS DE CA'!R145</f>
        <v>0.51429840000000004</v>
      </c>
      <c r="S305" s="322">
        <f>($D145)*'INGRESO A PS DE CA'!S145</f>
        <v>0.51771160000000005</v>
      </c>
      <c r="T305" s="322">
        <f>($D145)*'INGRESO A PS DE CA'!T145</f>
        <v>0.52112480000000005</v>
      </c>
      <c r="U305" s="322">
        <f>($D145)*'INGRESO A PS DE CA'!U145</f>
        <v>0.52447359999999998</v>
      </c>
      <c r="V305" s="322">
        <f>($D145)*'INGRESO A PS DE CA'!V145</f>
        <v>0.52788679999999999</v>
      </c>
      <c r="W305" s="322">
        <f>($D145)*'INGRESO A PS DE CA'!W145</f>
        <v>0.53129999999999999</v>
      </c>
      <c r="X305" s="322">
        <f>($D145)*'INGRESO A PS DE CA'!X145</f>
        <v>0.53464880000000004</v>
      </c>
      <c r="Y305" s="322">
        <f>($D145)*'INGRESO A PS DE CA'!Y145</f>
        <v>0.53806199999999993</v>
      </c>
      <c r="Z305" s="322">
        <f>($D145)*'INGRESO A PS DE CA'!Z145</f>
        <v>0.54147520000000005</v>
      </c>
    </row>
    <row r="306" spans="1:26" ht="24.95" customHeight="1">
      <c r="A306" s="260" t="str">
        <f>+Pobl_adoptada!A146</f>
        <v>General Arenales</v>
      </c>
      <c r="B306" s="70">
        <f>+Pobl_adoptada!B146</f>
        <v>142</v>
      </c>
      <c r="C306" s="71" t="str">
        <f>+Pobl_adoptada!C146</f>
        <v>Arribeños</v>
      </c>
      <c r="D306" s="291"/>
      <c r="E306" s="278"/>
      <c r="F306" s="263"/>
      <c r="G306" s="322">
        <f>($D146)*'INGRESO A PS DE CA'!G146</f>
        <v>5.5108000000000006E-3</v>
      </c>
      <c r="H306" s="322">
        <f>($D146)*'INGRESO A PS DE CA'!H146</f>
        <v>4.4174720000000001E-2</v>
      </c>
      <c r="I306" s="322">
        <f>($D146)*'INGRESO A PS DE CA'!I146</f>
        <v>8.3020800000000006E-2</v>
      </c>
      <c r="J306" s="322">
        <f>($D146)*'INGRESO A PS DE CA'!J146</f>
        <v>0.13864400000000002</v>
      </c>
      <c r="K306" s="322">
        <f>($D146)*'INGRESO A PS DE CA'!K146</f>
        <v>0.19455240000000001</v>
      </c>
      <c r="L306" s="322">
        <f>($D146)*'INGRESO A PS DE CA'!L146</f>
        <v>0.1949388</v>
      </c>
      <c r="M306" s="322">
        <f>($D146)*'INGRESO A PS DE CA'!M146</f>
        <v>0.1953896</v>
      </c>
      <c r="N306" s="322">
        <f>($D146)*'INGRESO A PS DE CA'!N146</f>
        <v>0.19577600000000001</v>
      </c>
      <c r="O306" s="322">
        <f>($D146)*'INGRESO A PS DE CA'!O146</f>
        <v>0.19622680000000001</v>
      </c>
      <c r="P306" s="322">
        <f>($D146)*'INGRESO A PS DE CA'!P146</f>
        <v>0.19661320000000004</v>
      </c>
      <c r="Q306" s="322">
        <f>($D146)*'INGRESO A PS DE CA'!Q146</f>
        <v>0.19706400000000002</v>
      </c>
      <c r="R306" s="322">
        <f>($D146)*'INGRESO A PS DE CA'!R146</f>
        <v>0.19751480000000002</v>
      </c>
      <c r="S306" s="322">
        <f>($D146)*'INGRESO A PS DE CA'!S146</f>
        <v>0.1979012</v>
      </c>
      <c r="T306" s="322">
        <f>($D146)*'INGRESO A PS DE CA'!T146</f>
        <v>0.198352</v>
      </c>
      <c r="U306" s="322">
        <f>($D146)*'INGRESO A PS DE CA'!U146</f>
        <v>0.19873840000000001</v>
      </c>
      <c r="V306" s="322">
        <f>($D146)*'INGRESO A PS DE CA'!V146</f>
        <v>0.19918919999999998</v>
      </c>
      <c r="W306" s="322">
        <f>($D146)*'INGRESO A PS DE CA'!W146</f>
        <v>0.19957559999999999</v>
      </c>
      <c r="X306" s="322">
        <f>($D146)*'INGRESO A PS DE CA'!X146</f>
        <v>0.20002640000000002</v>
      </c>
      <c r="Y306" s="322">
        <f>($D146)*'INGRESO A PS DE CA'!Y146</f>
        <v>0.20041279999999997</v>
      </c>
      <c r="Z306" s="322">
        <f>($D146)*'INGRESO A PS DE CA'!Z146</f>
        <v>0.20086359999999998</v>
      </c>
    </row>
    <row r="307" spans="1:26" ht="24.95" customHeight="1">
      <c r="A307" s="260" t="str">
        <f>+Pobl_adoptada!A147</f>
        <v>General Arenales</v>
      </c>
      <c r="B307" s="70">
        <f>+Pobl_adoptada!B147</f>
        <v>143</v>
      </c>
      <c r="C307" s="71" t="str">
        <f>+Pobl_adoptada!C147</f>
        <v>Ascensión</v>
      </c>
      <c r="D307" s="291"/>
      <c r="E307" s="278"/>
      <c r="F307" s="263"/>
      <c r="G307" s="322">
        <f>($D147)*'INGRESO A PS DE CA'!G147</f>
        <v>8.0960000000000008E-3</v>
      </c>
      <c r="H307" s="322">
        <f>($D147)*'INGRESO A PS DE CA'!H147</f>
        <v>6.4959360000000008E-2</v>
      </c>
      <c r="I307" s="322">
        <f>($D147)*'INGRESO A PS DE CA'!I147</f>
        <v>0.12212999999999999</v>
      </c>
      <c r="J307" s="322">
        <f>($D147)*'INGRESO A PS DE CA'!J147</f>
        <v>0.204148</v>
      </c>
      <c r="K307" s="322">
        <f>($D147)*'INGRESO A PS DE CA'!K147</f>
        <v>0.28664440000000002</v>
      </c>
      <c r="L307" s="322">
        <f>($D147)*'INGRESO A PS DE CA'!L147</f>
        <v>0.2874816</v>
      </c>
      <c r="M307" s="322">
        <f>($D147)*'INGRESO A PS DE CA'!M147</f>
        <v>0.28831880000000004</v>
      </c>
      <c r="N307" s="322">
        <f>($D147)*'INGRESO A PS DE CA'!N147</f>
        <v>0.2890916</v>
      </c>
      <c r="O307" s="322">
        <f>($D147)*'INGRESO A PS DE CA'!O147</f>
        <v>0.28992879999999999</v>
      </c>
      <c r="P307" s="322">
        <f>($D147)*'INGRESO A PS DE CA'!P147</f>
        <v>0.29076600000000002</v>
      </c>
      <c r="Q307" s="322">
        <f>($D147)*'INGRESO A PS DE CA'!Q147</f>
        <v>0.29160320000000006</v>
      </c>
      <c r="R307" s="322">
        <f>($D147)*'INGRESO A PS DE CA'!R147</f>
        <v>0.29244039999999999</v>
      </c>
      <c r="S307" s="322">
        <f>($D147)*'INGRESO A PS DE CA'!S147</f>
        <v>0.29327760000000003</v>
      </c>
      <c r="T307" s="322">
        <f>($D147)*'INGRESO A PS DE CA'!T147</f>
        <v>0.29405040000000005</v>
      </c>
      <c r="U307" s="322">
        <f>($D147)*'INGRESO A PS DE CA'!U147</f>
        <v>0.29488760000000003</v>
      </c>
      <c r="V307" s="322">
        <f>($D147)*'INGRESO A PS DE CA'!V147</f>
        <v>0.29572480000000001</v>
      </c>
      <c r="W307" s="322">
        <f>($D147)*'INGRESO A PS DE CA'!W147</f>
        <v>0.29656199999999999</v>
      </c>
      <c r="X307" s="322">
        <f>($D147)*'INGRESO A PS DE CA'!X147</f>
        <v>0.29739920000000003</v>
      </c>
      <c r="Y307" s="322">
        <f>($D147)*'INGRESO A PS DE CA'!Y147</f>
        <v>0.29817200000000005</v>
      </c>
      <c r="Z307" s="322">
        <f>($D147)*'INGRESO A PS DE CA'!Z147</f>
        <v>0.29900919999999998</v>
      </c>
    </row>
    <row r="308" spans="1:26" ht="24.95" customHeight="1">
      <c r="A308" s="260" t="str">
        <f>+Pobl_adoptada!A148</f>
        <v>General Guido</v>
      </c>
      <c r="B308" s="70">
        <f>+Pobl_adoptada!B148</f>
        <v>144</v>
      </c>
      <c r="C308" s="71" t="str">
        <f>+Pobl_adoptada!C148</f>
        <v>Labarden</v>
      </c>
      <c r="D308" s="291"/>
      <c r="E308" s="278"/>
      <c r="F308" s="263"/>
      <c r="G308" s="322">
        <f>($D148)*'INGRESO A PS DE CA'!G148</f>
        <v>1.4076000000000002E-3</v>
      </c>
      <c r="H308" s="322">
        <f>($D148)*'INGRESO A PS DE CA'!H148</f>
        <v>1.1231360000000003E-2</v>
      </c>
      <c r="I308" s="322">
        <f>($D148)*'INGRESO A PS DE CA'!I148</f>
        <v>2.0976000000000002E-2</v>
      </c>
      <c r="J308" s="322">
        <f>($D148)*'INGRESO A PS DE CA'!J148</f>
        <v>3.4868000000000003E-2</v>
      </c>
      <c r="K308" s="322">
        <f>($D148)*'INGRESO A PS DE CA'!K148</f>
        <v>4.8686399999999998E-2</v>
      </c>
      <c r="L308" s="322">
        <f>($D148)*'INGRESO A PS DE CA'!L148</f>
        <v>4.8557600000000006E-2</v>
      </c>
      <c r="M308" s="322">
        <f>($D148)*'INGRESO A PS DE CA'!M148</f>
        <v>4.8428800000000001E-2</v>
      </c>
      <c r="N308" s="322">
        <f>($D148)*'INGRESO A PS DE CA'!N148</f>
        <v>4.8299999999999996E-2</v>
      </c>
      <c r="O308" s="322">
        <f>($D148)*'INGRESO A PS DE CA'!O148</f>
        <v>4.8171200000000004E-2</v>
      </c>
      <c r="P308" s="322">
        <f>($D148)*'INGRESO A PS DE CA'!P148</f>
        <v>4.8042400000000006E-2</v>
      </c>
      <c r="Q308" s="322">
        <f>($D148)*'INGRESO A PS DE CA'!Q148</f>
        <v>4.7913600000000001E-2</v>
      </c>
      <c r="R308" s="322">
        <f>($D148)*'INGRESO A PS DE CA'!R148</f>
        <v>4.7784800000000002E-2</v>
      </c>
      <c r="S308" s="322">
        <f>($D148)*'INGRESO A PS DE CA'!S148</f>
        <v>4.7656000000000004E-2</v>
      </c>
      <c r="T308" s="322">
        <f>($D148)*'INGRESO A PS DE CA'!T148</f>
        <v>4.7527199999999999E-2</v>
      </c>
      <c r="U308" s="322">
        <f>($D148)*'INGRESO A PS DE CA'!U148</f>
        <v>4.7398400000000007E-2</v>
      </c>
      <c r="V308" s="322">
        <f>($D148)*'INGRESO A PS DE CA'!V148</f>
        <v>4.7269599999999995E-2</v>
      </c>
      <c r="W308" s="322">
        <f>($D148)*'INGRESO A PS DE CA'!W148</f>
        <v>4.7140800000000004E-2</v>
      </c>
      <c r="X308" s="322">
        <f>($D148)*'INGRESO A PS DE CA'!X148</f>
        <v>4.7011999999999998E-2</v>
      </c>
      <c r="Y308" s="322">
        <f>($D148)*'INGRESO A PS DE CA'!Y148</f>
        <v>4.68832E-2</v>
      </c>
      <c r="Z308" s="322">
        <f>($D148)*'INGRESO A PS DE CA'!Z148</f>
        <v>4.6754400000000002E-2</v>
      </c>
    </row>
    <row r="309" spans="1:26" ht="24.95" customHeight="1">
      <c r="A309" s="260" t="str">
        <f>+Pobl_adoptada!A149</f>
        <v>General Lavalle</v>
      </c>
      <c r="B309" s="70">
        <f>+Pobl_adoptada!B149</f>
        <v>145</v>
      </c>
      <c r="C309" s="71" t="str">
        <f>+Pobl_adoptada!C149</f>
        <v>Pavón</v>
      </c>
      <c r="D309" s="291"/>
      <c r="E309" s="278"/>
      <c r="F309" s="263"/>
      <c r="G309" s="322">
        <f>($D149)*'INGRESO A PS DE CA'!G149</f>
        <v>2.5263200000000003E-3</v>
      </c>
      <c r="H309" s="322">
        <f>($D149)*'INGRESO A PS DE CA'!H149</f>
        <v>2.0696320000000004E-2</v>
      </c>
      <c r="I309" s="322">
        <f>($D149)*'INGRESO A PS DE CA'!I149</f>
        <v>3.9744000000000002E-2</v>
      </c>
      <c r="J309" s="322">
        <f>($D149)*'INGRESO A PS DE CA'!J149</f>
        <v>6.7804000000000017E-2</v>
      </c>
      <c r="K309" s="322">
        <f>($D149)*'INGRESO A PS DE CA'!K149</f>
        <v>9.7179599999999991E-2</v>
      </c>
      <c r="L309" s="322">
        <f>($D149)*'INGRESO A PS DE CA'!L149</f>
        <v>9.9498000000000003E-2</v>
      </c>
      <c r="M309" s="322">
        <f>($D149)*'INGRESO A PS DE CA'!M149</f>
        <v>0.10188079999999999</v>
      </c>
      <c r="N309" s="322">
        <f>($D149)*'INGRESO A PS DE CA'!N149</f>
        <v>0.104328</v>
      </c>
      <c r="O309" s="322">
        <f>($D149)*'INGRESO A PS DE CA'!O149</f>
        <v>0.10677520000000001</v>
      </c>
      <c r="P309" s="322">
        <f>($D149)*'INGRESO A PS DE CA'!P149</f>
        <v>0.10935119999999998</v>
      </c>
      <c r="Q309" s="322">
        <f>($D149)*'INGRESO A PS DE CA'!Q149</f>
        <v>0.11192719999999999</v>
      </c>
      <c r="R309" s="322">
        <f>($D149)*'INGRESO A PS DE CA'!R149</f>
        <v>0.11463200000000001</v>
      </c>
      <c r="S309" s="322">
        <f>($D149)*'INGRESO A PS DE CA'!S149</f>
        <v>0.1173368</v>
      </c>
      <c r="T309" s="322">
        <f>($D149)*'INGRESO A PS DE CA'!T149</f>
        <v>0.1201704</v>
      </c>
      <c r="U309" s="322">
        <f>($D149)*'INGRESO A PS DE CA'!U149</f>
        <v>0.123004</v>
      </c>
      <c r="V309" s="322">
        <f>($D149)*'INGRESO A PS DE CA'!V149</f>
        <v>0.12596640000000001</v>
      </c>
      <c r="W309" s="322">
        <f>($D149)*'INGRESO A PS DE CA'!W149</f>
        <v>0.12892880000000001</v>
      </c>
      <c r="X309" s="322">
        <f>($D149)*'INGRESO A PS DE CA'!X149</f>
        <v>0.13202</v>
      </c>
      <c r="Y309" s="322">
        <f>($D149)*'INGRESO A PS DE CA'!Y149</f>
        <v>0.13517560000000001</v>
      </c>
      <c r="Z309" s="322">
        <f>($D149)*'INGRESO A PS DE CA'!Z149</f>
        <v>0.13839560000000001</v>
      </c>
    </row>
    <row r="310" spans="1:26" ht="24.95" customHeight="1">
      <c r="A310" s="260" t="str">
        <f>+Pobl_adoptada!A150</f>
        <v>Guaminí</v>
      </c>
      <c r="B310" s="70">
        <f>+Pobl_adoptada!B150</f>
        <v>146</v>
      </c>
      <c r="C310" s="71" t="str">
        <f>+Pobl_adoptada!C150</f>
        <v>Casbas</v>
      </c>
      <c r="D310" s="291"/>
      <c r="E310" s="278"/>
      <c r="F310" s="263"/>
      <c r="G310" s="322">
        <f>($D150)*'INGRESO A PS DE CA'!G150</f>
        <v>8.9350400000000017E-3</v>
      </c>
      <c r="H310" s="322">
        <f>($D150)*'INGRESO A PS DE CA'!H150</f>
        <v>7.1877760000000013E-2</v>
      </c>
      <c r="I310" s="322">
        <f>($D150)*'INGRESO A PS DE CA'!I150</f>
        <v>0.135516</v>
      </c>
      <c r="J310" s="322">
        <f>($D150)*'INGRESO A PS DE CA'!J150</f>
        <v>0.22714800000000002</v>
      </c>
      <c r="K310" s="322">
        <f>($D150)*'INGRESO A PS DE CA'!K150</f>
        <v>0.31974600000000003</v>
      </c>
      <c r="L310" s="322">
        <f>($D150)*'INGRESO A PS DE CA'!L150</f>
        <v>0.32154919999999998</v>
      </c>
      <c r="M310" s="322">
        <f>($D150)*'INGRESO A PS DE CA'!M150</f>
        <v>0.32328800000000002</v>
      </c>
      <c r="N310" s="322">
        <f>($D150)*'INGRESO A PS DE CA'!N150</f>
        <v>0.3250268</v>
      </c>
      <c r="O310" s="322">
        <f>($D150)*'INGRESO A PS DE CA'!O150</f>
        <v>0.32682999999999995</v>
      </c>
      <c r="P310" s="322">
        <f>($D150)*'INGRESO A PS DE CA'!P150</f>
        <v>0.32856879999999999</v>
      </c>
      <c r="Q310" s="322">
        <f>($D150)*'INGRESO A PS DE CA'!Q150</f>
        <v>0.33037200000000005</v>
      </c>
      <c r="R310" s="322">
        <f>($D150)*'INGRESO A PS DE CA'!R150</f>
        <v>0.33211080000000009</v>
      </c>
      <c r="S310" s="322">
        <f>($D150)*'INGRESO A PS DE CA'!S150</f>
        <v>0.33384960000000008</v>
      </c>
      <c r="T310" s="322">
        <f>($D150)*'INGRESO A PS DE CA'!T150</f>
        <v>0.33565280000000003</v>
      </c>
      <c r="U310" s="322">
        <f>($D150)*'INGRESO A PS DE CA'!U150</f>
        <v>0.33739160000000001</v>
      </c>
      <c r="V310" s="322">
        <f>($D150)*'INGRESO A PS DE CA'!V150</f>
        <v>0.33919480000000002</v>
      </c>
      <c r="W310" s="322">
        <f>($D150)*'INGRESO A PS DE CA'!W150</f>
        <v>0.34093360000000006</v>
      </c>
      <c r="X310" s="322">
        <f>($D150)*'INGRESO A PS DE CA'!X150</f>
        <v>0.34273679999999995</v>
      </c>
      <c r="Y310" s="322">
        <f>($D150)*'INGRESO A PS DE CA'!Y150</f>
        <v>0.34447559999999999</v>
      </c>
      <c r="Z310" s="322">
        <f>($D150)*'INGRESO A PS DE CA'!Z150</f>
        <v>0.34621440000000003</v>
      </c>
    </row>
    <row r="311" spans="1:26" ht="24.95" customHeight="1">
      <c r="A311" s="260" t="str">
        <f>+Pobl_adoptada!A151</f>
        <v>La Costa</v>
      </c>
      <c r="B311" s="70">
        <f>+Pobl_adoptada!B151</f>
        <v>147</v>
      </c>
      <c r="C311" s="71" t="str">
        <f>+Pobl_adoptada!C151</f>
        <v>San Clemente del Tuyú</v>
      </c>
      <c r="D311" s="291"/>
      <c r="E311" s="278"/>
      <c r="F311" s="263"/>
      <c r="G311" s="322">
        <f>($D151)*'INGRESO A PS DE CA'!G151</f>
        <v>7.0788920000000019E-2</v>
      </c>
      <c r="H311" s="322">
        <f>($D151)*'INGRESO A PS DE CA'!H151</f>
        <v>0.57965887999999999</v>
      </c>
      <c r="I311" s="322">
        <f>($D151)*'INGRESO A PS DE CA'!I151</f>
        <v>1.1118870000000001</v>
      </c>
      <c r="J311" s="322">
        <f>($D151)*'INGRESO A PS DE CA'!J151</f>
        <v>1.8948560000000001</v>
      </c>
      <c r="K311" s="322">
        <f>($D151)*'INGRESO A PS DE CA'!K151</f>
        <v>2.711268</v>
      </c>
      <c r="L311" s="322">
        <f>($D151)*'INGRESO A PS DE CA'!L151</f>
        <v>2.7823516000000001</v>
      </c>
      <c r="M311" s="322">
        <f>($D151)*'INGRESO A PS DE CA'!M151</f>
        <v>2.8535094000000005</v>
      </c>
      <c r="N311" s="322">
        <f>($D151)*'INGRESO A PS DE CA'!N151</f>
        <v>2.9246672</v>
      </c>
      <c r="O311" s="322">
        <f>($D151)*'INGRESO A PS DE CA'!O151</f>
        <v>2.9957508000000002</v>
      </c>
      <c r="P311" s="322">
        <f>($D151)*'INGRESO A PS DE CA'!P151</f>
        <v>3.0669086000000001</v>
      </c>
      <c r="Q311" s="322">
        <f>($D151)*'INGRESO A PS DE CA'!Q151</f>
        <v>3.1379921999999998</v>
      </c>
      <c r="R311" s="322">
        <f>($D151)*'INGRESO A PS DE CA'!R151</f>
        <v>3.2091499999999997</v>
      </c>
      <c r="S311" s="322">
        <f>($D151)*'INGRESO A PS DE CA'!S151</f>
        <v>3.2802335999999999</v>
      </c>
      <c r="T311" s="322">
        <f>($D151)*'INGRESO A PS DE CA'!T151</f>
        <v>3.3514656000000005</v>
      </c>
      <c r="U311" s="322">
        <f>($D151)*'INGRESO A PS DE CA'!U151</f>
        <v>3.4225492000000006</v>
      </c>
      <c r="V311" s="322">
        <f>($D151)*'INGRESO A PS DE CA'!V151</f>
        <v>3.4937070000000006</v>
      </c>
      <c r="W311" s="322">
        <f>($D151)*'INGRESO A PS DE CA'!W151</f>
        <v>3.5647906000000003</v>
      </c>
      <c r="X311" s="322">
        <f>($D151)*'INGRESO A PS DE CA'!X151</f>
        <v>3.6359484000000002</v>
      </c>
      <c r="Y311" s="322">
        <f>($D151)*'INGRESO A PS DE CA'!Y151</f>
        <v>3.7070320000000003</v>
      </c>
      <c r="Z311" s="322">
        <f>($D151)*'INGRESO A PS DE CA'!Z151</f>
        <v>3.7782640000000001</v>
      </c>
    </row>
    <row r="312" spans="1:26" ht="24.95" customHeight="1">
      <c r="A312" s="260" t="str">
        <f>+Pobl_adoptada!A152</f>
        <v>Leandro N. Alem</v>
      </c>
      <c r="B312" s="70">
        <f>+Pobl_adoptada!B152</f>
        <v>148</v>
      </c>
      <c r="C312" s="71" t="str">
        <f>+Pobl_adoptada!C152</f>
        <v>Juan Bautista Alberdi</v>
      </c>
      <c r="D312" s="291"/>
      <c r="E312" s="278"/>
      <c r="F312" s="263"/>
      <c r="G312" s="322">
        <f>($D152)*'INGRESO A PS DE CA'!G152</f>
        <v>6.2652000000000003E-3</v>
      </c>
      <c r="H312" s="322">
        <f>($D152)*'INGRESO A PS DE CA'!H152</f>
        <v>5.0106880000000013E-2</v>
      </c>
      <c r="I312" s="322">
        <f>($D152)*'INGRESO A PS DE CA'!I152</f>
        <v>9.3950400000000003E-2</v>
      </c>
      <c r="J312" s="322">
        <f>($D152)*'INGRESO A PS DE CA'!J152</f>
        <v>0.15653800000000004</v>
      </c>
      <c r="K312" s="322">
        <f>($D152)*'INGRESO A PS DE CA'!K152</f>
        <v>0.21915320000000002</v>
      </c>
      <c r="L312" s="322">
        <f>($D152)*'INGRESO A PS DE CA'!L152</f>
        <v>0.21915320000000002</v>
      </c>
      <c r="M312" s="322">
        <f>($D152)*'INGRESO A PS DE CA'!M152</f>
        <v>0.21908880000000003</v>
      </c>
      <c r="N312" s="322">
        <f>($D152)*'INGRESO A PS DE CA'!N152</f>
        <v>0.21908880000000003</v>
      </c>
      <c r="O312" s="322">
        <f>($D152)*'INGRESO A PS DE CA'!O152</f>
        <v>0.21902440000000001</v>
      </c>
      <c r="P312" s="322">
        <f>($D152)*'INGRESO A PS DE CA'!P152</f>
        <v>0.21902440000000001</v>
      </c>
      <c r="Q312" s="322">
        <f>($D152)*'INGRESO A PS DE CA'!Q152</f>
        <v>0.21896000000000002</v>
      </c>
      <c r="R312" s="322">
        <f>($D152)*'INGRESO A PS DE CA'!R152</f>
        <v>0.21896000000000002</v>
      </c>
      <c r="S312" s="322">
        <f>($D152)*'INGRESO A PS DE CA'!S152</f>
        <v>0.21889559999999997</v>
      </c>
      <c r="T312" s="322">
        <f>($D152)*'INGRESO A PS DE CA'!T152</f>
        <v>0.21889559999999997</v>
      </c>
      <c r="U312" s="322">
        <f>($D152)*'INGRESO A PS DE CA'!U152</f>
        <v>0.21889559999999997</v>
      </c>
      <c r="V312" s="322">
        <f>($D152)*'INGRESO A PS DE CA'!V152</f>
        <v>0.21883120000000003</v>
      </c>
      <c r="W312" s="322">
        <f>($D152)*'INGRESO A PS DE CA'!W152</f>
        <v>0.21883120000000003</v>
      </c>
      <c r="X312" s="322">
        <f>($D152)*'INGRESO A PS DE CA'!X152</f>
        <v>0.21876680000000001</v>
      </c>
      <c r="Y312" s="322">
        <f>($D152)*'INGRESO A PS DE CA'!Y152</f>
        <v>0.21876680000000001</v>
      </c>
      <c r="Z312" s="322">
        <f>($D152)*'INGRESO A PS DE CA'!Z152</f>
        <v>0.21870239999999996</v>
      </c>
    </row>
    <row r="313" spans="1:26" ht="24.95" customHeight="1">
      <c r="A313" s="260" t="str">
        <f>+Pobl_adoptada!A153</f>
        <v>Mar Chiquita</v>
      </c>
      <c r="B313" s="70">
        <f>+Pobl_adoptada!B153</f>
        <v>149</v>
      </c>
      <c r="C313" s="71" t="str">
        <f>+Pobl_adoptada!C153</f>
        <v>Santa Clara del Mar</v>
      </c>
      <c r="D313" s="291"/>
      <c r="E313" s="278"/>
      <c r="F313" s="263"/>
      <c r="G313" s="322">
        <f>($D153)*'INGRESO A PS DE CA'!G153</f>
        <v>5.026096E-2</v>
      </c>
      <c r="H313" s="322">
        <f>($D153)*'INGRESO A PS DE CA'!H153</f>
        <v>0.42003136000000008</v>
      </c>
      <c r="I313" s="322">
        <f>($D153)*'INGRESO A PS DE CA'!I153</f>
        <v>0.82276139999999998</v>
      </c>
      <c r="J313" s="322">
        <f>($D153)*'INGRESO A PS DE CA'!J153</f>
        <v>1.4325370000000002</v>
      </c>
      <c r="K313" s="322">
        <f>($D153)*'INGRESO A PS DE CA'!K153</f>
        <v>2.0951853999999996</v>
      </c>
      <c r="L313" s="322">
        <f>($D153)*'INGRESO A PS DE CA'!L153</f>
        <v>2.1888999999999998</v>
      </c>
      <c r="M313" s="322">
        <f>($D153)*'INGRESO A PS DE CA'!M153</f>
        <v>2.2866955999999998</v>
      </c>
      <c r="N313" s="322">
        <f>($D153)*'INGRESO A PS DE CA'!N153</f>
        <v>2.3888690000000006</v>
      </c>
      <c r="O313" s="322">
        <f>($D153)*'INGRESO A PS DE CA'!O153</f>
        <v>2.4955686000000004</v>
      </c>
      <c r="P313" s="322">
        <f>($D153)*'INGRESO A PS DE CA'!P153</f>
        <v>2.6070912000000002</v>
      </c>
      <c r="Q313" s="322">
        <f>($D153)*'INGRESO A PS DE CA'!Q153</f>
        <v>2.7237336000000001</v>
      </c>
      <c r="R313" s="322">
        <f>($D153)*'INGRESO A PS DE CA'!R153</f>
        <v>2.8454216000000003</v>
      </c>
      <c r="S313" s="322">
        <f>($D153)*'INGRESO A PS DE CA'!S153</f>
        <v>2.9725262000000003</v>
      </c>
      <c r="T313" s="322">
        <f>($D153)*'INGRESO A PS DE CA'!T153</f>
        <v>3.1054184</v>
      </c>
      <c r="U313" s="322">
        <f>($D153)*'INGRESO A PS DE CA'!U153</f>
        <v>3.2441724000000001</v>
      </c>
      <c r="V313" s="322">
        <f>($D153)*'INGRESO A PS DE CA'!V153</f>
        <v>3.3891592000000004</v>
      </c>
      <c r="W313" s="322">
        <f>($D153)*'INGRESO A PS DE CA'!W153</f>
        <v>3.5406755999999997</v>
      </c>
      <c r="X313" s="322">
        <f>($D153)*'INGRESO A PS DE CA'!X153</f>
        <v>3.6987958000000001</v>
      </c>
      <c r="Y313" s="322">
        <f>($D153)*'INGRESO A PS DE CA'!Y153</f>
        <v>3.8641134000000004</v>
      </c>
      <c r="Z313" s="322">
        <f>($D153)*'INGRESO A PS DE CA'!Z153</f>
        <v>4.0368510000000004</v>
      </c>
    </row>
    <row r="314" spans="1:26" ht="24.95" customHeight="1">
      <c r="A314" s="260" t="str">
        <f>+Pobl_adoptada!A154</f>
        <v>Puán</v>
      </c>
      <c r="B314" s="70">
        <f>+Pobl_adoptada!B154</f>
        <v>150</v>
      </c>
      <c r="C314" s="71" t="str">
        <f>+Pobl_adoptada!C154</f>
        <v>Darregueira</v>
      </c>
      <c r="D314" s="291"/>
      <c r="E314" s="278"/>
      <c r="F314" s="263"/>
      <c r="G314" s="322">
        <f>($D154)*'INGRESO A PS DE CA'!G154</f>
        <v>1.0473280000000001E-2</v>
      </c>
      <c r="H314" s="322">
        <f>($D154)*'INGRESO A PS DE CA'!H154</f>
        <v>8.3918720000000016E-2</v>
      </c>
      <c r="I314" s="322">
        <f>($D154)*'INGRESO A PS DE CA'!I154</f>
        <v>0.15762359999999997</v>
      </c>
      <c r="J314" s="322">
        <f>($D154)*'INGRESO A PS DE CA'!J154</f>
        <v>0.26312000000000002</v>
      </c>
      <c r="K314" s="322">
        <f>($D154)*'INGRESO A PS DE CA'!K154</f>
        <v>0.36894760000000004</v>
      </c>
      <c r="L314" s="322">
        <f>($D154)*'INGRESO A PS DE CA'!L154</f>
        <v>0.3695272</v>
      </c>
      <c r="M314" s="322">
        <f>($D154)*'INGRESO A PS DE CA'!M154</f>
        <v>0.37017119999999992</v>
      </c>
      <c r="N314" s="322">
        <f>($D154)*'INGRESO A PS DE CA'!N154</f>
        <v>0.37075080000000005</v>
      </c>
      <c r="O314" s="322">
        <f>($D154)*'INGRESO A PS DE CA'!O154</f>
        <v>0.3713304</v>
      </c>
      <c r="P314" s="322">
        <f>($D154)*'INGRESO A PS DE CA'!P154</f>
        <v>0.37197440000000004</v>
      </c>
      <c r="Q314" s="322">
        <f>($D154)*'INGRESO A PS DE CA'!Q154</f>
        <v>0.372554</v>
      </c>
      <c r="R314" s="322">
        <f>($D154)*'INGRESO A PS DE CA'!R154</f>
        <v>0.37313360000000007</v>
      </c>
      <c r="S314" s="322">
        <f>($D154)*'INGRESO A PS DE CA'!S154</f>
        <v>0.37377760000000004</v>
      </c>
      <c r="T314" s="322">
        <f>($D154)*'INGRESO A PS DE CA'!T154</f>
        <v>0.37435719999999995</v>
      </c>
      <c r="U314" s="322">
        <f>($D154)*'INGRESO A PS DE CA'!U154</f>
        <v>0.37500119999999998</v>
      </c>
      <c r="V314" s="322">
        <f>($D154)*'INGRESO A PS DE CA'!V154</f>
        <v>0.37558080000000005</v>
      </c>
      <c r="W314" s="322">
        <f>($D154)*'INGRESO A PS DE CA'!W154</f>
        <v>0.37616040000000006</v>
      </c>
      <c r="X314" s="322">
        <f>($D154)*'INGRESO A PS DE CA'!X154</f>
        <v>0.37680440000000004</v>
      </c>
      <c r="Y314" s="322">
        <f>($D154)*'INGRESO A PS DE CA'!Y154</f>
        <v>0.37738399999999994</v>
      </c>
      <c r="Z314" s="322">
        <f>($D154)*'INGRESO A PS DE CA'!Z154</f>
        <v>0.37802800000000003</v>
      </c>
    </row>
    <row r="315" spans="1:26" ht="24.95" customHeight="1">
      <c r="A315" s="260" t="str">
        <f>+Pobl_adoptada!A155</f>
        <v>Ramallo</v>
      </c>
      <c r="B315" s="70">
        <f>+Pobl_adoptada!B155</f>
        <v>151</v>
      </c>
      <c r="C315" s="71" t="str">
        <f>+Pobl_adoptada!C155</f>
        <v>Villa Ramallo</v>
      </c>
      <c r="D315" s="291"/>
      <c r="E315" s="278"/>
      <c r="F315" s="263"/>
      <c r="G315" s="322">
        <f>($D155)*'INGRESO A PS DE CA'!G155</f>
        <v>2.3395600000000003E-2</v>
      </c>
      <c r="H315" s="322">
        <f>($D155)*'INGRESO A PS DE CA'!H155</f>
        <v>0.18856320000000004</v>
      </c>
      <c r="I315" s="322">
        <f>($D155)*'INGRESO A PS DE CA'!I155</f>
        <v>0.35623320000000003</v>
      </c>
      <c r="J315" s="322">
        <f>($D155)*'INGRESO A PS DE CA'!J155</f>
        <v>0.59813799999999995</v>
      </c>
      <c r="K315" s="322">
        <f>($D155)*'INGRESO A PS DE CA'!K155</f>
        <v>0.84370440000000002</v>
      </c>
      <c r="L315" s="322">
        <f>($D155)*'INGRESO A PS DE CA'!L155</f>
        <v>0.85008000000000006</v>
      </c>
      <c r="M315" s="322">
        <f>($D155)*'INGRESO A PS DE CA'!M155</f>
        <v>0.85645559999999998</v>
      </c>
      <c r="N315" s="322">
        <f>($D155)*'INGRESO A PS DE CA'!N155</f>
        <v>0.8628956000000001</v>
      </c>
      <c r="O315" s="322">
        <f>($D155)*'INGRESO A PS DE CA'!O155</f>
        <v>0.86933559999999999</v>
      </c>
      <c r="P315" s="322">
        <f>($D155)*'INGRESO A PS DE CA'!P155</f>
        <v>0.87590440000000003</v>
      </c>
      <c r="Q315" s="322">
        <f>($D155)*'INGRESO A PS DE CA'!Q155</f>
        <v>0.88247319999999996</v>
      </c>
      <c r="R315" s="322">
        <f>($D155)*'INGRESO A PS DE CA'!R155</f>
        <v>0.88910640000000007</v>
      </c>
      <c r="S315" s="322">
        <f>($D155)*'INGRESO A PS DE CA'!S155</f>
        <v>0.89573960000000019</v>
      </c>
      <c r="T315" s="322">
        <f>($D155)*'INGRESO A PS DE CA'!T155</f>
        <v>0.90250160000000013</v>
      </c>
      <c r="U315" s="322">
        <f>($D155)*'INGRESO A PS DE CA'!U155</f>
        <v>0.90926360000000006</v>
      </c>
      <c r="V315" s="322">
        <f>($D155)*'INGRESO A PS DE CA'!V155</f>
        <v>0.91609000000000007</v>
      </c>
      <c r="W315" s="322">
        <f>($D155)*'INGRESO A PS DE CA'!W155</f>
        <v>0.92298079999999993</v>
      </c>
      <c r="X315" s="322">
        <f>($D155)*'INGRESO A PS DE CA'!X155</f>
        <v>0.9299360000000001</v>
      </c>
      <c r="Y315" s="322">
        <f>($D155)*'INGRESO A PS DE CA'!Y155</f>
        <v>0.93689120000000004</v>
      </c>
      <c r="Z315" s="322">
        <f>($D155)*'INGRESO A PS DE CA'!Z155</f>
        <v>0.94391080000000016</v>
      </c>
    </row>
    <row r="316" spans="1:26" ht="24.95" customHeight="1">
      <c r="A316" s="260" t="str">
        <f>+Pobl_adoptada!A156</f>
        <v>Tornquist</v>
      </c>
      <c r="B316" s="70">
        <f>+Pobl_adoptada!B156</f>
        <v>152</v>
      </c>
      <c r="C316" s="71" t="str">
        <f>+Pobl_adoptada!C156</f>
        <v>Sierra de la Ventana</v>
      </c>
      <c r="D316" s="291"/>
      <c r="E316" s="278"/>
      <c r="F316" s="263"/>
      <c r="G316" s="322">
        <f>($D156)*'INGRESO A PS DE CA'!G156</f>
        <v>7.5237600000000009E-3</v>
      </c>
      <c r="H316" s="322">
        <f>($D156)*'INGRESO A PS DE CA'!H156</f>
        <v>6.2633600000000011E-2</v>
      </c>
      <c r="I316" s="322">
        <f>($D156)*'INGRESO A PS DE CA'!I156</f>
        <v>0.12218519999999999</v>
      </c>
      <c r="J316" s="322">
        <f>($D156)*'INGRESO A PS DE CA'!J156</f>
        <v>0.21192200000000005</v>
      </c>
      <c r="K316" s="322">
        <f>($D156)*'INGRESO A PS DE CA'!K156</f>
        <v>0.30866920000000003</v>
      </c>
      <c r="L316" s="322">
        <f>($D156)*'INGRESO A PS DE CA'!L156</f>
        <v>0.32122720000000005</v>
      </c>
      <c r="M316" s="322">
        <f>($D156)*'INGRESO A PS DE CA'!M156</f>
        <v>0.33423599999999998</v>
      </c>
      <c r="N316" s="322">
        <f>($D156)*'INGRESO A PS DE CA'!N156</f>
        <v>0.34776000000000001</v>
      </c>
      <c r="O316" s="322">
        <f>($D156)*'INGRESO A PS DE CA'!O156</f>
        <v>0.36186360000000001</v>
      </c>
      <c r="P316" s="322">
        <f>($D156)*'INGRESO A PS DE CA'!P156</f>
        <v>0.37654679999999996</v>
      </c>
      <c r="Q316" s="322">
        <f>($D156)*'INGRESO A PS DE CA'!Q156</f>
        <v>0.39180960000000004</v>
      </c>
      <c r="R316" s="322">
        <f>($D156)*'INGRESO A PS DE CA'!R156</f>
        <v>0.40771639999999998</v>
      </c>
      <c r="S316" s="322">
        <f>($D156)*'INGRESO A PS DE CA'!S156</f>
        <v>0.42420279999999999</v>
      </c>
      <c r="T316" s="322">
        <f>($D156)*'INGRESO A PS DE CA'!T156</f>
        <v>0.4413976</v>
      </c>
      <c r="U316" s="322">
        <f>($D156)*'INGRESO A PS DE CA'!U156</f>
        <v>0.45930080000000006</v>
      </c>
      <c r="V316" s="322">
        <f>($D156)*'INGRESO A PS DE CA'!V156</f>
        <v>0.47791239999999996</v>
      </c>
      <c r="W316" s="322">
        <f>($D156)*'INGRESO A PS DE CA'!W156</f>
        <v>0.49729679999999998</v>
      </c>
      <c r="X316" s="322">
        <f>($D156)*'INGRESO A PS DE CA'!X156</f>
        <v>0.51745400000000008</v>
      </c>
      <c r="Y316" s="322">
        <f>($D156)*'INGRESO A PS DE CA'!Y156</f>
        <v>0.53844839999999994</v>
      </c>
      <c r="Z316" s="322">
        <f>($D156)*'INGRESO A PS DE CA'!Z156</f>
        <v>0.56028</v>
      </c>
    </row>
    <row r="317" spans="1:26" ht="24.95" customHeight="1">
      <c r="A317" s="260" t="str">
        <f>+Pobl_adoptada!A157</f>
        <v>Villarino</v>
      </c>
      <c r="B317" s="70">
        <f>+Pobl_adoptada!B157</f>
        <v>153</v>
      </c>
      <c r="C317" s="71" t="str">
        <f>+Pobl_adoptada!C157</f>
        <v>Mayor Buratovich</v>
      </c>
      <c r="D317" s="291"/>
      <c r="E317" s="278"/>
      <c r="F317" s="263"/>
      <c r="G317" s="322">
        <f>($D157)*'INGRESO A PS DE CA'!G157</f>
        <v>1.3708000000000001E-2</v>
      </c>
      <c r="H317" s="322">
        <f>($D157)*'INGRESO A PS DE CA'!H157</f>
        <v>0.11193088000000001</v>
      </c>
      <c r="I317" s="322">
        <f>($D157)*'INGRESO A PS DE CA'!I157</f>
        <v>0.21420359999999997</v>
      </c>
      <c r="J317" s="322">
        <f>($D157)*'INGRESO A PS DE CA'!J157</f>
        <v>0.36436600000000002</v>
      </c>
      <c r="K317" s="322">
        <f>($D157)*'INGRESO A PS DE CA'!K157</f>
        <v>0.52060960000000001</v>
      </c>
      <c r="L317" s="322">
        <f>($D157)*'INGRESO A PS DE CA'!L157</f>
        <v>0.53136439999999996</v>
      </c>
      <c r="M317" s="322">
        <f>($D157)*'INGRESO A PS DE CA'!M157</f>
        <v>0.54237679999999999</v>
      </c>
      <c r="N317" s="322">
        <f>($D157)*'INGRESO A PS DE CA'!N157</f>
        <v>0.55358240000000003</v>
      </c>
      <c r="O317" s="322">
        <f>($D157)*'INGRESO A PS DE CA'!O157</f>
        <v>0.56498119999999996</v>
      </c>
      <c r="P317" s="322">
        <f>($D157)*'INGRESO A PS DE CA'!P157</f>
        <v>0.57663760000000008</v>
      </c>
      <c r="Q317" s="322">
        <f>($D157)*'INGRESO A PS DE CA'!Q157</f>
        <v>0.58855160000000006</v>
      </c>
      <c r="R317" s="322">
        <f>($D157)*'INGRESO A PS DE CA'!R157</f>
        <v>0.60072320000000001</v>
      </c>
      <c r="S317" s="322">
        <f>($D157)*'INGRESO A PS DE CA'!S157</f>
        <v>0.61308799999999997</v>
      </c>
      <c r="T317" s="322">
        <f>($D157)*'INGRESO A PS DE CA'!T157</f>
        <v>0.62577480000000008</v>
      </c>
      <c r="U317" s="322">
        <f>($D157)*'INGRESO A PS DE CA'!U157</f>
        <v>0.63871919999999993</v>
      </c>
      <c r="V317" s="322">
        <f>($D157)*'INGRESO A PS DE CA'!V157</f>
        <v>0.65185680000000001</v>
      </c>
      <c r="W317" s="322">
        <f>($D157)*'INGRESO A PS DE CA'!W157</f>
        <v>0.66531640000000003</v>
      </c>
      <c r="X317" s="322">
        <f>($D157)*'INGRESO A PS DE CA'!X157</f>
        <v>0.67909799999999998</v>
      </c>
      <c r="Y317" s="322">
        <f>($D157)*'INGRESO A PS DE CA'!Y157</f>
        <v>0.69307279999999993</v>
      </c>
      <c r="Z317" s="322">
        <f>($D157)*'INGRESO A PS DE CA'!Z157</f>
        <v>0.70743400000000012</v>
      </c>
    </row>
    <row r="318" spans="1:26" ht="24.95" customHeight="1">
      <c r="A318" s="260" t="str">
        <f>+Pobl_adoptada!A158</f>
        <v>Villarino</v>
      </c>
      <c r="B318" s="70">
        <f>+Pobl_adoptada!B158</f>
        <v>154</v>
      </c>
      <c r="C318" s="71" t="str">
        <f>+Pobl_adoptada!C158</f>
        <v>Pedro Luro</v>
      </c>
      <c r="D318" s="291"/>
      <c r="E318" s="278"/>
      <c r="F318" s="263"/>
      <c r="G318" s="322">
        <f>($D158)*'INGRESO A PS DE CA'!G158</f>
        <v>3.8147280000000006E-2</v>
      </c>
      <c r="H318" s="322">
        <f>($D158)*'INGRESO A PS DE CA'!H158</f>
        <v>0.31762688000000006</v>
      </c>
      <c r="I318" s="322">
        <f>($D158)*'INGRESO A PS DE CA'!I158</f>
        <v>0.61981380000000019</v>
      </c>
      <c r="J318" s="322">
        <f>($D158)*'INGRESO A PS DE CA'!J158</f>
        <v>1.0751580000000001</v>
      </c>
      <c r="K318" s="322">
        <f>($D158)*'INGRESO A PS DE CA'!K158</f>
        <v>1.5665846000000003</v>
      </c>
      <c r="L318" s="322">
        <f>($D158)*'INGRESO A PS DE CA'!L158</f>
        <v>1.6304708000000003</v>
      </c>
      <c r="M318" s="322">
        <f>($D158)*'INGRESO A PS DE CA'!M158</f>
        <v>1.6969539999999999</v>
      </c>
      <c r="N318" s="322">
        <f>($D158)*'INGRESO A PS DE CA'!N158</f>
        <v>1.7661084000000002</v>
      </c>
      <c r="O318" s="322">
        <f>($D158)*'INGRESO A PS DE CA'!O158</f>
        <v>1.8381566</v>
      </c>
      <c r="P318" s="322">
        <f>($D158)*'INGRESO A PS DE CA'!P158</f>
        <v>1.9130985999999996</v>
      </c>
      <c r="Q318" s="322">
        <f>($D158)*'INGRESO A PS DE CA'!Q158</f>
        <v>1.9910828</v>
      </c>
      <c r="R318" s="322">
        <f>($D158)*'INGRESO A PS DE CA'!R158</f>
        <v>2.0722575999999999</v>
      </c>
      <c r="S318" s="322">
        <f>($D158)*'INGRESO A PS DE CA'!S158</f>
        <v>2.1567713999999998</v>
      </c>
      <c r="T318" s="322">
        <f>($D158)*'INGRESO A PS DE CA'!T158</f>
        <v>2.2446984000000003</v>
      </c>
      <c r="U318" s="322">
        <f>($D158)*'INGRESO A PS DE CA'!U158</f>
        <v>2.3361869999999998</v>
      </c>
      <c r="V318" s="322">
        <f>($D158)*'INGRESO A PS DE CA'!V158</f>
        <v>2.4314598000000003</v>
      </c>
      <c r="W318" s="322">
        <f>($D158)*'INGRESO A PS DE CA'!W158</f>
        <v>2.5305910000000007</v>
      </c>
      <c r="X318" s="322">
        <f>($D158)*'INGRESO A PS DE CA'!X158</f>
        <v>2.6338032</v>
      </c>
      <c r="Y318" s="322">
        <f>($D158)*'INGRESO A PS DE CA'!Y158</f>
        <v>2.7411706000000002</v>
      </c>
      <c r="Z318" s="322">
        <f>($D158)*'INGRESO A PS DE CA'!Z158</f>
        <v>2.8529157999999999</v>
      </c>
    </row>
    <row r="319" spans="1:26" ht="24.95" customHeight="1">
      <c r="D319" s="325"/>
      <c r="G319" s="326"/>
      <c r="H319" s="326"/>
      <c r="I319" s="326"/>
      <c r="J319" s="326"/>
      <c r="K319" s="326"/>
      <c r="L319" s="326"/>
      <c r="M319" s="326"/>
      <c r="N319" s="326"/>
      <c r="O319" s="326"/>
      <c r="P319" s="326"/>
      <c r="Q319" s="326"/>
      <c r="R319" s="326"/>
      <c r="S319" s="326"/>
      <c r="T319" s="326"/>
      <c r="U319" s="326"/>
      <c r="V319" s="326"/>
      <c r="W319" s="326"/>
      <c r="X319" s="326"/>
      <c r="Y319" s="326"/>
      <c r="Z319" s="326"/>
    </row>
  </sheetData>
  <autoFilter ref="A4:Z140" xr:uid="{00000000-0009-0000-0000-000019000000}">
    <filterColumn colId="1" showButton="0"/>
  </autoFilter>
  <mergeCells count="4">
    <mergeCell ref="F2:Z2"/>
    <mergeCell ref="B4:C4"/>
    <mergeCell ref="F162:Z162"/>
    <mergeCell ref="B164:C16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>
    <tabColor theme="9" tint="-0.499984740745262"/>
  </sheetPr>
  <dimension ref="A1:AA330"/>
  <sheetViews>
    <sheetView view="pageBreakPreview" zoomScale="80" zoomScaleSheetLayoutView="80" workbookViewId="0">
      <pane xSplit="3" ySplit="4" topLeftCell="D5" activePane="bottomRight" state="frozen"/>
      <selection activeCell="F10" sqref="F10"/>
      <selection pane="topRight" activeCell="F10" sqref="F10"/>
      <selection pane="bottomLeft" activeCell="F10" sqref="F10"/>
      <selection pane="bottomRight" activeCell="G5" sqref="G5"/>
    </sheetView>
  </sheetViews>
  <sheetFormatPr baseColWidth="10" defaultColWidth="11.42578125" defaultRowHeight="15"/>
  <cols>
    <col min="1" max="1" width="25.7109375" style="42" customWidth="1"/>
    <col min="2" max="2" width="8.7109375" style="42" customWidth="1"/>
    <col min="3" max="3" width="43.7109375" style="42" bestFit="1" customWidth="1"/>
    <col min="4" max="4" width="16.42578125" style="42" customWidth="1"/>
    <col min="5" max="5" width="13.28515625" style="42" customWidth="1"/>
    <col min="6" max="6" width="17.28515625" style="42" customWidth="1"/>
    <col min="7" max="27" width="12.7109375" style="42" customWidth="1"/>
    <col min="28" max="16384" width="11.42578125" style="42"/>
  </cols>
  <sheetData>
    <row r="1" spans="1:27" ht="27" thickBot="1">
      <c r="A1" s="251" t="s">
        <v>294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43"/>
    </row>
    <row r="2" spans="1:27" ht="24" customHeight="1" thickBot="1">
      <c r="A2" s="316"/>
      <c r="B2" s="317"/>
      <c r="C2" s="317"/>
      <c r="E2" s="273"/>
      <c r="F2" s="964" t="s">
        <v>295</v>
      </c>
      <c r="G2" s="965"/>
      <c r="H2" s="965"/>
      <c r="I2" s="965"/>
      <c r="J2" s="965"/>
      <c r="K2" s="965"/>
      <c r="L2" s="965"/>
      <c r="M2" s="965"/>
      <c r="N2" s="965"/>
      <c r="O2" s="965"/>
      <c r="P2" s="965"/>
      <c r="Q2" s="965"/>
      <c r="R2" s="965"/>
      <c r="S2" s="965"/>
      <c r="T2" s="965"/>
      <c r="U2" s="965"/>
      <c r="V2" s="965"/>
      <c r="W2" s="965"/>
      <c r="X2" s="965"/>
      <c r="Y2" s="965"/>
      <c r="Z2" s="965"/>
      <c r="AA2" s="966"/>
    </row>
    <row r="3" spans="1:27" ht="62.25" customHeight="1" thickBot="1">
      <c r="A3" s="318"/>
      <c r="B3" s="358">
        <v>1</v>
      </c>
      <c r="C3" s="358">
        <v>2</v>
      </c>
      <c r="D3" s="358">
        <v>3</v>
      </c>
      <c r="E3" s="358">
        <v>4</v>
      </c>
      <c r="F3" s="358">
        <v>5</v>
      </c>
      <c r="G3" s="358">
        <v>6</v>
      </c>
      <c r="H3" s="358">
        <v>7</v>
      </c>
      <c r="I3" s="358">
        <v>8</v>
      </c>
      <c r="J3" s="358">
        <v>9</v>
      </c>
      <c r="K3" s="358">
        <v>10</v>
      </c>
      <c r="L3" s="358">
        <v>11</v>
      </c>
      <c r="M3" s="358">
        <v>12</v>
      </c>
      <c r="N3" s="358">
        <v>13</v>
      </c>
      <c r="O3" s="358">
        <v>14</v>
      </c>
      <c r="P3" s="358">
        <v>15</v>
      </c>
      <c r="Q3" s="358">
        <v>16</v>
      </c>
      <c r="R3" s="358">
        <v>17</v>
      </c>
      <c r="S3" s="358">
        <v>18</v>
      </c>
      <c r="T3" s="358">
        <v>19</v>
      </c>
      <c r="U3" s="358">
        <v>20</v>
      </c>
      <c r="V3" s="358">
        <v>21</v>
      </c>
      <c r="W3" s="358">
        <v>22</v>
      </c>
      <c r="X3" s="358">
        <v>23</v>
      </c>
      <c r="Y3" s="358">
        <v>24</v>
      </c>
      <c r="Z3" s="358">
        <v>25</v>
      </c>
      <c r="AA3" s="358">
        <v>26</v>
      </c>
    </row>
    <row r="4" spans="1:27" ht="54.75" customHeight="1" thickBot="1">
      <c r="A4" s="253" t="s">
        <v>28</v>
      </c>
      <c r="B4" s="967" t="s">
        <v>22</v>
      </c>
      <c r="C4" s="967"/>
      <c r="D4" s="339"/>
      <c r="E4" s="276"/>
      <c r="F4" s="57"/>
      <c r="G4" s="58">
        <v>2026</v>
      </c>
      <c r="H4" s="58">
        <v>2027</v>
      </c>
      <c r="I4" s="58">
        <f t="shared" ref="I4:Z4" si="0">+H4+1</f>
        <v>2028</v>
      </c>
      <c r="J4" s="58">
        <f t="shared" si="0"/>
        <v>2029</v>
      </c>
      <c r="K4" s="58">
        <f t="shared" si="0"/>
        <v>2030</v>
      </c>
      <c r="L4" s="58">
        <f t="shared" si="0"/>
        <v>2031</v>
      </c>
      <c r="M4" s="58">
        <f t="shared" si="0"/>
        <v>2032</v>
      </c>
      <c r="N4" s="58">
        <f t="shared" si="0"/>
        <v>2033</v>
      </c>
      <c r="O4" s="58">
        <f t="shared" si="0"/>
        <v>2034</v>
      </c>
      <c r="P4" s="58">
        <f t="shared" si="0"/>
        <v>2035</v>
      </c>
      <c r="Q4" s="58">
        <f t="shared" si="0"/>
        <v>2036</v>
      </c>
      <c r="R4" s="58">
        <f t="shared" si="0"/>
        <v>2037</v>
      </c>
      <c r="S4" s="58">
        <f t="shared" si="0"/>
        <v>2038</v>
      </c>
      <c r="T4" s="58">
        <f t="shared" si="0"/>
        <v>2039</v>
      </c>
      <c r="U4" s="58">
        <f t="shared" si="0"/>
        <v>2040</v>
      </c>
      <c r="V4" s="58">
        <f t="shared" si="0"/>
        <v>2041</v>
      </c>
      <c r="W4" s="58">
        <f t="shared" si="0"/>
        <v>2042</v>
      </c>
      <c r="X4" s="58">
        <f t="shared" si="0"/>
        <v>2043</v>
      </c>
      <c r="Y4" s="58">
        <f t="shared" si="0"/>
        <v>2044</v>
      </c>
      <c r="Z4" s="58">
        <f t="shared" si="0"/>
        <v>2045</v>
      </c>
      <c r="AA4" s="340" t="s">
        <v>296</v>
      </c>
    </row>
    <row r="5" spans="1:27" ht="24.95" customHeight="1">
      <c r="A5" s="256" t="str">
        <f>+Pobl_adoptada!A5</f>
        <v>Almirante Brown</v>
      </c>
      <c r="B5" s="63">
        <f>+Pobl_adoptada!B5</f>
        <v>1</v>
      </c>
      <c r="C5" s="64" t="str">
        <f>+Pobl_adoptada!C5</f>
        <v>Almirante Brown</v>
      </c>
      <c r="D5" s="341"/>
      <c r="E5" s="277"/>
      <c r="F5" s="259"/>
      <c r="G5" s="329">
        <f>+'RECHAZADOS A CA'!G5+'RECH-RECUP_PS CA'!G165</f>
        <v>878.96264159999987</v>
      </c>
      <c r="H5" s="329">
        <f>+'RECHAZADOS A CA'!H5+'RECH-RECUP_PS CA'!H165</f>
        <v>836.00593127999991</v>
      </c>
      <c r="I5" s="329">
        <f>+'RECHAZADOS A CA'!I5+'RECH-RECUP_PS CA'!I165</f>
        <v>792.30167280000001</v>
      </c>
      <c r="J5" s="329">
        <f>+'RECHAZADOS A CA'!J5+'RECH-RECUP_PS CA'!J165</f>
        <v>726.05975999999998</v>
      </c>
      <c r="K5" s="329">
        <f>+'RECHAZADOS A CA'!K5+'RECH-RECUP_PS CA'!K165</f>
        <v>658.70236799999998</v>
      </c>
      <c r="L5" s="329">
        <f>+'RECHAZADOS A CA'!L5+'RECH-RECUP_PS CA'!L165</f>
        <v>663.99359040000002</v>
      </c>
      <c r="M5" s="329">
        <f>+'RECHAZADOS A CA'!M5+'RECH-RECUP_PS CA'!M165</f>
        <v>669.32745119999993</v>
      </c>
      <c r="N5" s="329">
        <f>+'RECHAZADOS A CA'!N5+'RECH-RECUP_PS CA'!N165</f>
        <v>674.70395040000005</v>
      </c>
      <c r="O5" s="329">
        <f>+'RECHAZADOS A CA'!O5+'RECH-RECUP_PS CA'!O165</f>
        <v>680.12308799999994</v>
      </c>
      <c r="P5" s="329">
        <f>+'RECHAZADOS A CA'!P5+'RECH-RECUP_PS CA'!P165</f>
        <v>685.58587920000002</v>
      </c>
      <c r="Q5" s="329">
        <f>+'RECHAZADOS A CA'!Q5+'RECH-RECUP_PS CA'!Q165</f>
        <v>691.09333919999995</v>
      </c>
      <c r="R5" s="329">
        <f>+'RECHAZADOS A CA'!R5+'RECH-RECUP_PS CA'!R165</f>
        <v>696.64445279999995</v>
      </c>
      <c r="S5" s="329">
        <f>+'RECHAZADOS A CA'!S5+'RECH-RECUP_PS CA'!S165</f>
        <v>702.23922000000005</v>
      </c>
      <c r="T5" s="329">
        <f>+'RECHAZADOS A CA'!T5+'RECH-RECUP_PS CA'!T165</f>
        <v>707.88068639999995</v>
      </c>
      <c r="U5" s="329">
        <f>+'RECHAZADOS A CA'!U5+'RECH-RECUP_PS CA'!U165</f>
        <v>713.56682159999991</v>
      </c>
      <c r="V5" s="329">
        <f>+'RECHAZADOS A CA'!V5+'RECH-RECUP_PS CA'!V165</f>
        <v>719.29762559999995</v>
      </c>
      <c r="W5" s="329">
        <f>+'RECHAZADOS A CA'!W5+'RECH-RECUP_PS CA'!W165</f>
        <v>725.07614399999989</v>
      </c>
      <c r="X5" s="329">
        <f>+'RECHAZADOS A CA'!X5+'RECH-RECUP_PS CA'!X165</f>
        <v>730.89933119999989</v>
      </c>
      <c r="Y5" s="329">
        <f>+'RECHAZADOS A CA'!Y5+'RECH-RECUP_PS CA'!Y165</f>
        <v>736.77023280000003</v>
      </c>
      <c r="Z5" s="329">
        <f>+'RECHAZADOS A CA'!Z5+'RECH-RECUP_PS CA'!Z165</f>
        <v>742.68884879999996</v>
      </c>
      <c r="AA5" s="342">
        <f>AVERAGE(G5:Z5)</f>
        <v>721.59615176400007</v>
      </c>
    </row>
    <row r="6" spans="1:27" ht="24.95" customHeight="1">
      <c r="A6" s="260" t="str">
        <f>+Pobl_adoptada!A6</f>
        <v>Avellaneda</v>
      </c>
      <c r="B6" s="70">
        <f>+Pobl_adoptada!B6</f>
        <v>2</v>
      </c>
      <c r="C6" s="71" t="str">
        <f>+Pobl_adoptada!C6</f>
        <v>Avellaneda</v>
      </c>
      <c r="D6" s="341"/>
      <c r="E6" s="278"/>
      <c r="F6" s="263"/>
      <c r="G6" s="322">
        <f>+'RECHAZADOS A CA'!G6+'RECH-RECUP_PS CA'!G166</f>
        <v>538.19248800000003</v>
      </c>
      <c r="H6" s="322">
        <f>+'RECHAZADOS A CA'!H6+'RECH-RECUP_PS CA'!H166</f>
        <v>511.78445136000005</v>
      </c>
      <c r="I6" s="322">
        <f>+'RECHAZADOS A CA'!I6+'RECH-RECUP_PS CA'!I166</f>
        <v>484.96171679999998</v>
      </c>
      <c r="J6" s="322">
        <f>+'RECHAZADOS A CA'!J6+'RECH-RECUP_PS CA'!J166</f>
        <v>444.38236799999993</v>
      </c>
      <c r="K6" s="322">
        <f>+'RECHAZADOS A CA'!K6+'RECH-RECUP_PS CA'!K166</f>
        <v>403.15216320000002</v>
      </c>
      <c r="L6" s="322">
        <f>+'RECHAZADOS A CA'!L6+'RECH-RECUP_PS CA'!L166</f>
        <v>406.41298560000001</v>
      </c>
      <c r="M6" s="322">
        <f>+'RECHAZADOS A CA'!M6+'RECH-RECUP_PS CA'!M166</f>
        <v>409.72761360000004</v>
      </c>
      <c r="N6" s="322">
        <f>+'RECHAZADOS A CA'!N6+'RECH-RECUP_PS CA'!N166</f>
        <v>413.09503200000006</v>
      </c>
      <c r="O6" s="322">
        <f>+'RECHAZADOS A CA'!O6+'RECH-RECUP_PS CA'!O166</f>
        <v>416.51828640000002</v>
      </c>
      <c r="P6" s="322">
        <f>+'RECHAZADOS A CA'!P6+'RECH-RECUP_PS CA'!P166</f>
        <v>419.99737679999998</v>
      </c>
      <c r="Q6" s="322">
        <f>+'RECHAZADOS A CA'!Q6+'RECH-RECUP_PS CA'!Q166</f>
        <v>423.53331839999998</v>
      </c>
      <c r="R6" s="322">
        <f>+'RECHAZADOS A CA'!R6+'RECH-RECUP_PS CA'!R166</f>
        <v>427.12611119999997</v>
      </c>
      <c r="S6" s="322">
        <f>+'RECHAZADOS A CA'!S6+'RECH-RECUP_PS CA'!S166</f>
        <v>430.77778560000002</v>
      </c>
      <c r="T6" s="322">
        <f>+'RECHAZADOS A CA'!T6+'RECH-RECUP_PS CA'!T166</f>
        <v>434.48935679999994</v>
      </c>
      <c r="U6" s="322">
        <f>+'RECHAZADOS A CA'!U6+'RECH-RECUP_PS CA'!U166</f>
        <v>438.26184000000001</v>
      </c>
      <c r="V6" s="322">
        <f>+'RECHAZADOS A CA'!V6+'RECH-RECUP_PS CA'!V166</f>
        <v>442.09523519999993</v>
      </c>
      <c r="W6" s="322">
        <f>+'RECHAZADOS A CA'!W6+'RECH-RECUP_PS CA'!W166</f>
        <v>445.99157279999997</v>
      </c>
      <c r="X6" s="322">
        <f>+'RECHAZADOS A CA'!X6+'RECH-RECUP_PS CA'!X166</f>
        <v>449.95085280000001</v>
      </c>
      <c r="Y6" s="322">
        <f>+'RECHAZADOS A CA'!Y6+'RECH-RECUP_PS CA'!Y166</f>
        <v>453.97510560000001</v>
      </c>
      <c r="Z6" s="322">
        <f>+'RECHAZADOS A CA'!Z6+'RECH-RECUP_PS CA'!Z166</f>
        <v>458.06534640000001</v>
      </c>
      <c r="AA6" s="343">
        <f t="shared" ref="AA6:AA68" si="1">AVERAGE(G6:Z6)</f>
        <v>442.624550328</v>
      </c>
    </row>
    <row r="7" spans="1:27" ht="24.95" customHeight="1">
      <c r="A7" s="260" t="str">
        <f>+Pobl_adoptada!A7</f>
        <v>Berazategui</v>
      </c>
      <c r="B7" s="70">
        <f>+Pobl_adoptada!B7</f>
        <v>3</v>
      </c>
      <c r="C7" s="71" t="str">
        <f>+Pobl_adoptada!C7</f>
        <v>Berazategui</v>
      </c>
      <c r="D7" s="341"/>
      <c r="E7" s="278"/>
      <c r="F7" s="263"/>
      <c r="G7" s="322">
        <f>+'RECHAZADOS A CA'!G7+'RECH-RECUP_PS CA'!G167</f>
        <v>548.19193728000005</v>
      </c>
      <c r="H7" s="322">
        <f>+'RECHAZADOS A CA'!H7+'RECH-RECUP_PS CA'!H167</f>
        <v>522.81368568000005</v>
      </c>
      <c r="I7" s="322">
        <f>+'RECHAZADOS A CA'!I7+'RECH-RECUP_PS CA'!I167</f>
        <v>496.77041039999995</v>
      </c>
      <c r="J7" s="322">
        <f>+'RECHAZADOS A CA'!J7+'RECH-RECUP_PS CA'!J167</f>
        <v>456.36962399999993</v>
      </c>
      <c r="K7" s="322">
        <f>+'RECHAZADOS A CA'!K7+'RECH-RECUP_PS CA'!K167</f>
        <v>415.0168056</v>
      </c>
      <c r="L7" s="322">
        <f>+'RECHAZADOS A CA'!L7+'RECH-RECUP_PS CA'!L167</f>
        <v>419.30094959999991</v>
      </c>
      <c r="M7" s="322">
        <f>+'RECHAZADOS A CA'!M7+'RECH-RECUP_PS CA'!M167</f>
        <v>423.58509359999999</v>
      </c>
      <c r="N7" s="322">
        <f>+'RECHAZADOS A CA'!N7+'RECH-RECUP_PS CA'!N167</f>
        <v>427.86923760000002</v>
      </c>
      <c r="O7" s="322">
        <f>+'RECHAZADOS A CA'!O7+'RECH-RECUP_PS CA'!O167</f>
        <v>432.15236640000001</v>
      </c>
      <c r="P7" s="322">
        <f>+'RECHAZADOS A CA'!P7+'RECH-RECUP_PS CA'!P167</f>
        <v>436.43651039999997</v>
      </c>
      <c r="Q7" s="322">
        <f>+'RECHAZADOS A CA'!Q7+'RECH-RECUP_PS CA'!Q167</f>
        <v>440.72065440000006</v>
      </c>
      <c r="R7" s="322">
        <f>+'RECHAZADOS A CA'!R7+'RECH-RECUP_PS CA'!R167</f>
        <v>445.00479840000003</v>
      </c>
      <c r="S7" s="322">
        <f>+'RECHAZADOS A CA'!S7+'RECH-RECUP_PS CA'!S167</f>
        <v>449.2889424</v>
      </c>
      <c r="T7" s="322">
        <f>+'RECHAZADOS A CA'!T7+'RECH-RECUP_PS CA'!T167</f>
        <v>453.57308640000002</v>
      </c>
      <c r="U7" s="322">
        <f>+'RECHAZADOS A CA'!U7+'RECH-RECUP_PS CA'!U167</f>
        <v>457.85723039999993</v>
      </c>
      <c r="V7" s="322">
        <f>+'RECHAZADOS A CA'!V7+'RECH-RECUP_PS CA'!V167</f>
        <v>462.14035920000003</v>
      </c>
      <c r="W7" s="322">
        <f>+'RECHAZADOS A CA'!W7+'RECH-RECUP_PS CA'!W167</f>
        <v>466.42450319999995</v>
      </c>
      <c r="X7" s="322">
        <f>+'RECHAZADOS A CA'!X7+'RECH-RECUP_PS CA'!X167</f>
        <v>470.70864720000003</v>
      </c>
      <c r="Y7" s="322">
        <f>+'RECHAZADOS A CA'!Y7+'RECH-RECUP_PS CA'!Y167</f>
        <v>474.99279119999994</v>
      </c>
      <c r="Z7" s="322">
        <f>+'RECHAZADOS A CA'!Z7+'RECH-RECUP_PS CA'!Z167</f>
        <v>479.27693519999991</v>
      </c>
      <c r="AA7" s="343">
        <f t="shared" si="1"/>
        <v>458.92472842799987</v>
      </c>
    </row>
    <row r="8" spans="1:27" ht="24.95" customHeight="1">
      <c r="A8" s="260" t="str">
        <f>+Pobl_adoptada!A8</f>
        <v>Esteban Echeverría</v>
      </c>
      <c r="B8" s="70">
        <f>+Pobl_adoptada!B8</f>
        <v>4</v>
      </c>
      <c r="C8" s="71" t="str">
        <f>+Pobl_adoptada!C8</f>
        <v>Esteban Echeverría</v>
      </c>
      <c r="D8" s="341"/>
      <c r="E8" s="278"/>
      <c r="F8" s="263"/>
      <c r="G8" s="322">
        <f>+'RECHAZADOS A CA'!G8+'RECH-RECUP_PS CA'!G168</f>
        <v>538.56035135999991</v>
      </c>
      <c r="H8" s="322">
        <f>+'RECHAZADOS A CA'!H8+'RECH-RECUP_PS CA'!H168</f>
        <v>515.35176263999995</v>
      </c>
      <c r="I8" s="322">
        <f>+'RECHAZADOS A CA'!I8+'RECH-RECUP_PS CA'!I168</f>
        <v>491.28359279999995</v>
      </c>
      <c r="J8" s="322">
        <f>+'RECHAZADOS A CA'!J8+'RECH-RECUP_PS CA'!J168</f>
        <v>452.77017599999999</v>
      </c>
      <c r="K8" s="322">
        <f>+'RECHAZADOS A CA'!K8+'RECH-RECUP_PS CA'!K168</f>
        <v>413.0280287999999</v>
      </c>
      <c r="L8" s="322">
        <f>+'RECHAZADOS A CA'!L8+'RECH-RECUP_PS CA'!L168</f>
        <v>418.56188399999996</v>
      </c>
      <c r="M8" s="322">
        <f>+'RECHAZADOS A CA'!M8+'RECH-RECUP_PS CA'!M168</f>
        <v>424.09675440000001</v>
      </c>
      <c r="N8" s="322">
        <f>+'RECHAZADOS A CA'!N8+'RECH-RECUP_PS CA'!N168</f>
        <v>429.63060959999996</v>
      </c>
      <c r="O8" s="322">
        <f>+'RECHAZADOS A CA'!O8+'RECH-RECUP_PS CA'!O168</f>
        <v>435.16446480000002</v>
      </c>
      <c r="P8" s="322">
        <f>+'RECHAZADOS A CA'!P8+'RECH-RECUP_PS CA'!P168</f>
        <v>440.69933519999995</v>
      </c>
      <c r="Q8" s="322">
        <f>+'RECHAZADOS A CA'!Q8+'RECH-RECUP_PS CA'!Q168</f>
        <v>446.2331903999999</v>
      </c>
      <c r="R8" s="322">
        <f>+'RECHAZADOS A CA'!R8+'RECH-RECUP_PS CA'!R168</f>
        <v>451.76806080000006</v>
      </c>
      <c r="S8" s="322">
        <f>+'RECHAZADOS A CA'!S8+'RECH-RECUP_PS CA'!S168</f>
        <v>457.30191599999995</v>
      </c>
      <c r="T8" s="322">
        <f>+'RECHAZADOS A CA'!T8+'RECH-RECUP_PS CA'!T168</f>
        <v>462.83678640000005</v>
      </c>
      <c r="U8" s="322">
        <f>+'RECHAZADOS A CA'!U8+'RECH-RECUP_PS CA'!U168</f>
        <v>468.37064159999989</v>
      </c>
      <c r="V8" s="322">
        <f>+'RECHAZADOS A CA'!V8+'RECH-RECUP_PS CA'!V168</f>
        <v>473.90449679999995</v>
      </c>
      <c r="W8" s="322">
        <f>+'RECHAZADOS A CA'!W8+'RECH-RECUP_PS CA'!W168</f>
        <v>479.43936719999999</v>
      </c>
      <c r="X8" s="322">
        <f>+'RECHAZADOS A CA'!X8+'RECH-RECUP_PS CA'!X168</f>
        <v>484.97322239999994</v>
      </c>
      <c r="Y8" s="322">
        <f>+'RECHAZADOS A CA'!Y8+'RECH-RECUP_PS CA'!Y168</f>
        <v>490.5080928000001</v>
      </c>
      <c r="Z8" s="322">
        <f>+'RECHAZADOS A CA'!Z8+'RECH-RECUP_PS CA'!Z168</f>
        <v>496.04194799999993</v>
      </c>
      <c r="AA8" s="343">
        <f t="shared" si="1"/>
        <v>463.52623409999995</v>
      </c>
    </row>
    <row r="9" spans="1:27" ht="24.95" customHeight="1">
      <c r="A9" s="260" t="str">
        <f>+Pobl_adoptada!A9</f>
        <v>Ezeiza</v>
      </c>
      <c r="B9" s="70">
        <f>+Pobl_adoptada!B9</f>
        <v>5</v>
      </c>
      <c r="C9" s="71" t="str">
        <f>+Pobl_adoptada!C9</f>
        <v>Ezeiza</v>
      </c>
      <c r="D9" s="341"/>
      <c r="E9" s="278"/>
      <c r="F9" s="263"/>
      <c r="G9" s="322">
        <f>+'RECHAZADOS A CA'!G9+'RECH-RECUP_PS CA'!G169</f>
        <v>240.75012672000003</v>
      </c>
      <c r="H9" s="322">
        <f>+'RECHAZADOS A CA'!H9+'RECH-RECUP_PS CA'!H169</f>
        <v>231.65517024000002</v>
      </c>
      <c r="I9" s="322">
        <f>+'RECHAZADOS A CA'!I9+'RECH-RECUP_PS CA'!I169</f>
        <v>222.02135999999999</v>
      </c>
      <c r="J9" s="322">
        <f>+'RECHAZADOS A CA'!J9+'RECH-RECUP_PS CA'!J169</f>
        <v>205.68014399999998</v>
      </c>
      <c r="K9" s="322">
        <f>+'RECHAZADOS A CA'!K9+'RECH-RECUP_PS CA'!K169</f>
        <v>188.5704192</v>
      </c>
      <c r="L9" s="322">
        <f>+'RECHAZADOS A CA'!L9+'RECH-RECUP_PS CA'!L169</f>
        <v>192.02797440000003</v>
      </c>
      <c r="M9" s="322">
        <f>+'RECHAZADOS A CA'!M9+'RECH-RECUP_PS CA'!M169</f>
        <v>195.48626400000001</v>
      </c>
      <c r="N9" s="322">
        <f>+'RECHAZADOS A CA'!N9+'RECH-RECUP_PS CA'!N169</f>
        <v>198.94455360000003</v>
      </c>
      <c r="O9" s="322">
        <f>+'RECHAZADOS A CA'!O9+'RECH-RECUP_PS CA'!O169</f>
        <v>202.40210880000001</v>
      </c>
      <c r="P9" s="322">
        <f>+'RECHAZADOS A CA'!P9+'RECH-RECUP_PS CA'!P169</f>
        <v>205.86039840000004</v>
      </c>
      <c r="Q9" s="322">
        <f>+'RECHAZADOS A CA'!Q9+'RECH-RECUP_PS CA'!Q169</f>
        <v>209.31868800000004</v>
      </c>
      <c r="R9" s="322">
        <f>+'RECHAZADOS A CA'!R9+'RECH-RECUP_PS CA'!R169</f>
        <v>212.77697760000004</v>
      </c>
      <c r="S9" s="322">
        <f>+'RECHAZADOS A CA'!S9+'RECH-RECUP_PS CA'!S169</f>
        <v>216.23453279999998</v>
      </c>
      <c r="T9" s="322">
        <f>+'RECHAZADOS A CA'!T9+'RECH-RECUP_PS CA'!T169</f>
        <v>219.69282240000001</v>
      </c>
      <c r="U9" s="322">
        <f>+'RECHAZADOS A CA'!U9+'RECH-RECUP_PS CA'!U169</f>
        <v>223.15111200000001</v>
      </c>
      <c r="V9" s="322">
        <f>+'RECHAZADOS A CA'!V9+'RECH-RECUP_PS CA'!V169</f>
        <v>226.60866720000001</v>
      </c>
      <c r="W9" s="322">
        <f>+'RECHAZADOS A CA'!W9+'RECH-RECUP_PS CA'!W169</f>
        <v>230.06695680000001</v>
      </c>
      <c r="X9" s="322">
        <f>+'RECHAZADOS A CA'!X9+'RECH-RECUP_PS CA'!X169</f>
        <v>233.52524640000001</v>
      </c>
      <c r="Y9" s="322">
        <f>+'RECHAZADOS A CA'!Y9+'RECH-RECUP_PS CA'!Y169</f>
        <v>236.98280160000002</v>
      </c>
      <c r="Z9" s="322">
        <f>+'RECHAZADOS A CA'!Z9+'RECH-RECUP_PS CA'!Z169</f>
        <v>240.44109120000002</v>
      </c>
      <c r="AA9" s="343">
        <f t="shared" si="1"/>
        <v>216.60987076800001</v>
      </c>
    </row>
    <row r="10" spans="1:27" ht="24.95" customHeight="1">
      <c r="A10" s="260" t="str">
        <f>+Pobl_adoptada!A10</f>
        <v>Florencio Varela</v>
      </c>
      <c r="B10" s="70">
        <f>+Pobl_adoptada!B10</f>
        <v>6</v>
      </c>
      <c r="C10" s="71" t="str">
        <f>+Pobl_adoptada!C10</f>
        <v>Florencio Varela</v>
      </c>
      <c r="D10" s="341"/>
      <c r="E10" s="278"/>
      <c r="F10" s="263"/>
      <c r="G10" s="322">
        <f>+'RECHAZADOS A CA'!G10+'RECH-RECUP_PS CA'!G170</f>
        <v>803.11005599999999</v>
      </c>
      <c r="H10" s="322">
        <f>+'RECHAZADOS A CA'!H10+'RECH-RECUP_PS CA'!H170</f>
        <v>770.02189055999997</v>
      </c>
      <c r="I10" s="322">
        <f>+'RECHAZADOS A CA'!I10+'RECH-RECUP_PS CA'!I170</f>
        <v>735.46806959999992</v>
      </c>
      <c r="J10" s="322">
        <f>+'RECHAZADOS A CA'!J10+'RECH-RECUP_PS CA'!J170</f>
        <v>679.07743199999993</v>
      </c>
      <c r="K10" s="322">
        <f>+'RECHAZADOS A CA'!K10+'RECH-RECUP_PS CA'!K170</f>
        <v>620.59176000000002</v>
      </c>
      <c r="L10" s="322">
        <f>+'RECHAZADOS A CA'!L10+'RECH-RECUP_PS CA'!L170</f>
        <v>630.01484640000001</v>
      </c>
      <c r="M10" s="322">
        <f>+'RECHAZADOS A CA'!M10+'RECH-RECUP_PS CA'!M170</f>
        <v>639.43691760000002</v>
      </c>
      <c r="N10" s="322">
        <f>+'RECHAZADOS A CA'!N10+'RECH-RECUP_PS CA'!N170</f>
        <v>648.85898880000002</v>
      </c>
      <c r="O10" s="322">
        <f>+'RECHAZADOS A CA'!O10+'RECH-RECUP_PS CA'!O170</f>
        <v>658.28207520000001</v>
      </c>
      <c r="P10" s="322">
        <f>+'RECHAZADOS A CA'!P10+'RECH-RECUP_PS CA'!P170</f>
        <v>667.70414640000001</v>
      </c>
      <c r="Q10" s="322">
        <f>+'RECHAZADOS A CA'!Q10+'RECH-RECUP_PS CA'!Q170</f>
        <v>677.1272328</v>
      </c>
      <c r="R10" s="322">
        <f>+'RECHAZADOS A CA'!R10+'RECH-RECUP_PS CA'!R170</f>
        <v>686.54930400000001</v>
      </c>
      <c r="S10" s="322">
        <f>+'RECHAZADOS A CA'!S10+'RECH-RECUP_PS CA'!S170</f>
        <v>695.97137520000001</v>
      </c>
      <c r="T10" s="322">
        <f>+'RECHAZADOS A CA'!T10+'RECH-RECUP_PS CA'!T170</f>
        <v>705.3944616</v>
      </c>
      <c r="U10" s="322">
        <f>+'RECHAZADOS A CA'!U10+'RECH-RECUP_PS CA'!U170</f>
        <v>714.8165328</v>
      </c>
      <c r="V10" s="322">
        <f>+'RECHAZADOS A CA'!V10+'RECH-RECUP_PS CA'!V170</f>
        <v>724.23961919999999</v>
      </c>
      <c r="W10" s="322">
        <f>+'RECHAZADOS A CA'!W10+'RECH-RECUP_PS CA'!W170</f>
        <v>733.6616904</v>
      </c>
      <c r="X10" s="322">
        <f>+'RECHAZADOS A CA'!X10+'RECH-RECUP_PS CA'!X170</f>
        <v>743.08477679999987</v>
      </c>
      <c r="Y10" s="322">
        <f>+'RECHAZADOS A CA'!Y10+'RECH-RECUP_PS CA'!Y170</f>
        <v>752.50684799999999</v>
      </c>
      <c r="Z10" s="322">
        <f>+'RECHAZADOS A CA'!Z10+'RECH-RECUP_PS CA'!Z170</f>
        <v>761.9289192</v>
      </c>
      <c r="AA10" s="343">
        <f t="shared" si="1"/>
        <v>702.3923471280001</v>
      </c>
    </row>
    <row r="11" spans="1:27" ht="24.95" customHeight="1">
      <c r="A11" s="260" t="str">
        <f>+Pobl_adoptada!A11</f>
        <v>General San Martín</v>
      </c>
      <c r="B11" s="70">
        <f>+Pobl_adoptada!B11</f>
        <v>7</v>
      </c>
      <c r="C11" s="71" t="str">
        <f>+Pobl_adoptada!C11</f>
        <v>General San Martín</v>
      </c>
      <c r="D11" s="341"/>
      <c r="E11" s="278"/>
      <c r="F11" s="263"/>
      <c r="G11" s="322">
        <f>+'RECHAZADOS A CA'!G11+'RECH-RECUP_PS CA'!G171</f>
        <v>627.01680288</v>
      </c>
      <c r="H11" s="322">
        <f>+'RECHAZADOS A CA'!H11+'RECH-RECUP_PS CA'!H171</f>
        <v>594.83694816000002</v>
      </c>
      <c r="I11" s="322">
        <f>+'RECHAZADOS A CA'!I11+'RECH-RECUP_PS CA'!I171</f>
        <v>562.32187439999996</v>
      </c>
      <c r="J11" s="322">
        <f>+'RECHAZADOS A CA'!J11+'RECH-RECUP_PS CA'!J171</f>
        <v>514.04200800000001</v>
      </c>
      <c r="K11" s="322">
        <f>+'RECHAZADOS A CA'!K11+'RECH-RECUP_PS CA'!K171</f>
        <v>465.23570399999994</v>
      </c>
      <c r="L11" s="322">
        <f>+'RECHAZADOS A CA'!L11+'RECH-RECUP_PS CA'!L171</f>
        <v>467.87522399999995</v>
      </c>
      <c r="M11" s="322">
        <f>+'RECHAZADOS A CA'!M11+'RECH-RECUP_PS CA'!M171</f>
        <v>470.55839759999998</v>
      </c>
      <c r="N11" s="322">
        <f>+'RECHAZADOS A CA'!N11+'RECH-RECUP_PS CA'!N171</f>
        <v>473.28522480000004</v>
      </c>
      <c r="O11" s="322">
        <f>+'RECHAZADOS A CA'!O11+'RECH-RECUP_PS CA'!O171</f>
        <v>476.05672079999999</v>
      </c>
      <c r="P11" s="322">
        <f>+'RECHAZADOS A CA'!P11+'RECH-RECUP_PS CA'!P171</f>
        <v>478.87288560000002</v>
      </c>
      <c r="Q11" s="322">
        <f>+'RECHAZADOS A CA'!Q11+'RECH-RECUP_PS CA'!Q171</f>
        <v>481.73574959999996</v>
      </c>
      <c r="R11" s="322">
        <f>+'RECHAZADOS A CA'!R11+'RECH-RECUP_PS CA'!R171</f>
        <v>484.64429760000002</v>
      </c>
      <c r="S11" s="322">
        <f>+'RECHAZADOS A CA'!S11+'RECH-RECUP_PS CA'!S171</f>
        <v>487.60055999999997</v>
      </c>
      <c r="T11" s="322">
        <f>+'RECHAZADOS A CA'!T11+'RECH-RECUP_PS CA'!T171</f>
        <v>490.60555199999999</v>
      </c>
      <c r="U11" s="322">
        <f>+'RECHAZADOS A CA'!U11+'RECH-RECUP_PS CA'!U171</f>
        <v>493.65927360000001</v>
      </c>
      <c r="V11" s="322">
        <f>+'RECHAZADOS A CA'!V11+'RECH-RECUP_PS CA'!V171</f>
        <v>496.76375519999993</v>
      </c>
      <c r="W11" s="322">
        <f>+'RECHAZADOS A CA'!W11+'RECH-RECUP_PS CA'!W171</f>
        <v>499.91798159999996</v>
      </c>
      <c r="X11" s="322">
        <f>+'RECHAZADOS A CA'!X11+'RECH-RECUP_PS CA'!X171</f>
        <v>503.12296799999996</v>
      </c>
      <c r="Y11" s="322">
        <f>+'RECHAZADOS A CA'!Y11+'RECH-RECUP_PS CA'!Y171</f>
        <v>506.38176000000004</v>
      </c>
      <c r="Z11" s="322">
        <f>+'RECHAZADOS A CA'!Z11+'RECH-RECUP_PS CA'!Z171</f>
        <v>509.69232720000008</v>
      </c>
      <c r="AA11" s="343">
        <f t="shared" si="1"/>
        <v>504.211300752</v>
      </c>
    </row>
    <row r="12" spans="1:27" ht="24.95" customHeight="1">
      <c r="A12" s="260" t="str">
        <f>+Pobl_adoptada!A12</f>
        <v>Hurlingham</v>
      </c>
      <c r="B12" s="70">
        <f>+Pobl_adoptada!B12</f>
        <v>8</v>
      </c>
      <c r="C12" s="71" t="str">
        <f>+Pobl_adoptada!C12</f>
        <v>Hurlingham</v>
      </c>
      <c r="D12" s="341"/>
      <c r="E12" s="278"/>
      <c r="F12" s="263"/>
      <c r="G12" s="322">
        <f>+'RECHAZADOS A CA'!G12+'RECH-RECUP_PS CA'!G172</f>
        <v>194.7235488</v>
      </c>
      <c r="H12" s="322">
        <f>+'RECHAZADOS A CA'!H12+'RECH-RECUP_PS CA'!H172</f>
        <v>184.44522096000003</v>
      </c>
      <c r="I12" s="322">
        <f>+'RECHAZADOS A CA'!I12+'RECH-RECUP_PS CA'!I172</f>
        <v>174.08233920000001</v>
      </c>
      <c r="J12" s="322">
        <f>+'RECHAZADOS A CA'!J12+'RECH-RECUP_PS CA'!J172</f>
        <v>158.86785599999999</v>
      </c>
      <c r="K12" s="322">
        <f>+'RECHAZADOS A CA'!K12+'RECH-RECUP_PS CA'!K172</f>
        <v>143.53113600000003</v>
      </c>
      <c r="L12" s="322">
        <f>+'RECHAZADOS A CA'!L12+'RECH-RECUP_PS CA'!L172</f>
        <v>144.08120159999999</v>
      </c>
      <c r="M12" s="322">
        <f>+'RECHAZADOS A CA'!M12+'RECH-RECUP_PS CA'!M172</f>
        <v>144.63126720000002</v>
      </c>
      <c r="N12" s="322">
        <f>+'RECHAZADOS A CA'!N12+'RECH-RECUP_PS CA'!N172</f>
        <v>145.18133280000001</v>
      </c>
      <c r="O12" s="322">
        <f>+'RECHAZADOS A CA'!O12+'RECH-RECUP_PS CA'!O172</f>
        <v>145.73066400000002</v>
      </c>
      <c r="P12" s="322">
        <f>+'RECHAZADOS A CA'!P12+'RECH-RECUP_PS CA'!P172</f>
        <v>146.28072959999997</v>
      </c>
      <c r="Q12" s="322">
        <f>+'RECHAZADOS A CA'!Q12+'RECH-RECUP_PS CA'!Q172</f>
        <v>146.83079519999998</v>
      </c>
      <c r="R12" s="322">
        <f>+'RECHAZADOS A CA'!R12+'RECH-RECUP_PS CA'!R172</f>
        <v>147.38086080000002</v>
      </c>
      <c r="S12" s="322">
        <f>+'RECHAZADOS A CA'!S12+'RECH-RECUP_PS CA'!S172</f>
        <v>147.9309264</v>
      </c>
      <c r="T12" s="322">
        <f>+'RECHAZADOS A CA'!T12+'RECH-RECUP_PS CA'!T172</f>
        <v>148.48099200000001</v>
      </c>
      <c r="U12" s="322">
        <f>+'RECHAZADOS A CA'!U12+'RECH-RECUP_PS CA'!U172</f>
        <v>149.03105760000003</v>
      </c>
      <c r="V12" s="322">
        <f>+'RECHAZADOS A CA'!V12+'RECH-RECUP_PS CA'!V172</f>
        <v>149.58038879999998</v>
      </c>
      <c r="W12" s="322">
        <f>+'RECHAZADOS A CA'!W12+'RECH-RECUP_PS CA'!W172</f>
        <v>150.13045439999999</v>
      </c>
      <c r="X12" s="322">
        <f>+'RECHAZADOS A CA'!X12+'RECH-RECUP_PS CA'!X172</f>
        <v>150.68052</v>
      </c>
      <c r="Y12" s="322">
        <f>+'RECHAZADOS A CA'!Y12+'RECH-RECUP_PS CA'!Y172</f>
        <v>151.23058560000004</v>
      </c>
      <c r="Z12" s="322">
        <f>+'RECHAZADOS A CA'!Z12+'RECH-RECUP_PS CA'!Z172</f>
        <v>151.78065120000002</v>
      </c>
      <c r="AA12" s="343">
        <f t="shared" si="1"/>
        <v>153.73062640800001</v>
      </c>
    </row>
    <row r="13" spans="1:27" ht="24.95" customHeight="1">
      <c r="A13" s="260" t="str">
        <f>+Pobl_adoptada!A13</f>
        <v>Ituzaingó</v>
      </c>
      <c r="B13" s="70">
        <f>+Pobl_adoptada!B13</f>
        <v>9</v>
      </c>
      <c r="C13" s="71" t="str">
        <f>+Pobl_adoptada!C13</f>
        <v>Ituzaingó</v>
      </c>
      <c r="D13" s="341"/>
      <c r="E13" s="278"/>
      <c r="F13" s="263"/>
      <c r="G13" s="322">
        <f>+'RECHAZADOS A CA'!G13+'RECH-RECUP_PS CA'!G173</f>
        <v>188.77595327999998</v>
      </c>
      <c r="H13" s="322">
        <f>+'RECHAZADOS A CA'!H13+'RECH-RECUP_PS CA'!H173</f>
        <v>179.30214432</v>
      </c>
      <c r="I13" s="322">
        <f>+'RECHAZADOS A CA'!I13+'RECH-RECUP_PS CA'!I173</f>
        <v>169.69397280000001</v>
      </c>
      <c r="J13" s="322">
        <f>+'RECHAZADOS A CA'!J13+'RECH-RECUP_PS CA'!J173</f>
        <v>155.29132800000002</v>
      </c>
      <c r="K13" s="322">
        <f>+'RECHAZADOS A CA'!K13+'RECH-RECUP_PS CA'!K173</f>
        <v>140.6897424</v>
      </c>
      <c r="L13" s="322">
        <f>+'RECHAZADOS A CA'!L13+'RECH-RECUP_PS CA'!L173</f>
        <v>141.62389920000001</v>
      </c>
      <c r="M13" s="322">
        <f>+'RECHAZADOS A CA'!M13+'RECH-RECUP_PS CA'!M173</f>
        <v>142.56466560000001</v>
      </c>
      <c r="N13" s="322">
        <f>+'RECHAZADOS A CA'!N13+'RECH-RECUP_PS CA'!N173</f>
        <v>143.51057280000001</v>
      </c>
      <c r="O13" s="322">
        <f>+'RECHAZADOS A CA'!O13+'RECH-RECUP_PS CA'!O173</f>
        <v>144.46382400000002</v>
      </c>
      <c r="P13" s="322">
        <f>+'RECHAZADOS A CA'!P13+'RECH-RECUP_PS CA'!P173</f>
        <v>145.42295040000002</v>
      </c>
      <c r="Q13" s="322">
        <f>+'RECHAZADOS A CA'!Q13+'RECH-RECUP_PS CA'!Q173</f>
        <v>146.38868639999998</v>
      </c>
      <c r="R13" s="322">
        <f>+'RECHAZADOS A CA'!R13+'RECH-RECUP_PS CA'!R173</f>
        <v>147.36029760000002</v>
      </c>
      <c r="S13" s="322">
        <f>+'RECHAZADOS A CA'!S13+'RECH-RECUP_PS CA'!S173</f>
        <v>148.3385184</v>
      </c>
      <c r="T13" s="322">
        <f>+'RECHAZADOS A CA'!T13+'RECH-RECUP_PS CA'!T173</f>
        <v>149.32334879999999</v>
      </c>
      <c r="U13" s="322">
        <f>+'RECHAZADOS A CA'!U13+'RECH-RECUP_PS CA'!U173</f>
        <v>150.3147888</v>
      </c>
      <c r="V13" s="322">
        <f>+'RECHAZADOS A CA'!V13+'RECH-RECUP_PS CA'!V173</f>
        <v>151.31283840000003</v>
      </c>
      <c r="W13" s="322">
        <f>+'RECHAZADOS A CA'!W13+'RECH-RECUP_PS CA'!W173</f>
        <v>152.31749760000002</v>
      </c>
      <c r="X13" s="322">
        <f>+'RECHAZADOS A CA'!X13+'RECH-RECUP_PS CA'!X173</f>
        <v>153.32876640000001</v>
      </c>
      <c r="Y13" s="322">
        <f>+'RECHAZADOS A CA'!Y13+'RECH-RECUP_PS CA'!Y173</f>
        <v>154.34664480000001</v>
      </c>
      <c r="Z13" s="322">
        <f>+'RECHAZADOS A CA'!Z13+'RECH-RECUP_PS CA'!Z173</f>
        <v>155.3711328</v>
      </c>
      <c r="AA13" s="343">
        <f t="shared" si="1"/>
        <v>152.98707863999999</v>
      </c>
    </row>
    <row r="14" spans="1:27" ht="24.95" customHeight="1">
      <c r="A14" s="260" t="str">
        <f>+Pobl_adoptada!A14</f>
        <v>José C. Paz</v>
      </c>
      <c r="B14" s="70">
        <f>+Pobl_adoptada!B14</f>
        <v>10</v>
      </c>
      <c r="C14" s="71" t="str">
        <f>+Pobl_adoptada!C14</f>
        <v>José C. Paz</v>
      </c>
      <c r="D14" s="341"/>
      <c r="E14" s="278"/>
      <c r="F14" s="263"/>
      <c r="G14" s="322">
        <f>+'RECHAZADOS A CA'!G14+'RECH-RECUP_PS CA'!G174</f>
        <v>480.95266943999997</v>
      </c>
      <c r="H14" s="322">
        <f>+'RECHAZADOS A CA'!H14+'RECH-RECUP_PS CA'!H174</f>
        <v>461.14394039999996</v>
      </c>
      <c r="I14" s="322">
        <f>+'RECHAZADOS A CA'!I14+'RECH-RECUP_PS CA'!I174</f>
        <v>440.56837439999993</v>
      </c>
      <c r="J14" s="322">
        <f>+'RECHAZADOS A CA'!J14+'RECH-RECUP_PS CA'!J174</f>
        <v>406.99593599999997</v>
      </c>
      <c r="K14" s="322">
        <f>+'RECHAZADOS A CA'!K14+'RECH-RECUP_PS CA'!K174</f>
        <v>372.2220648</v>
      </c>
      <c r="L14" s="322">
        <f>+'RECHAZADOS A CA'!L14+'RECH-RECUP_PS CA'!L174</f>
        <v>378.2442312</v>
      </c>
      <c r="M14" s="322">
        <f>+'RECHAZADOS A CA'!M14+'RECH-RECUP_PS CA'!M174</f>
        <v>384.36385679999995</v>
      </c>
      <c r="N14" s="322">
        <f>+'RECHAZADOS A CA'!N14+'RECH-RECUP_PS CA'!N174</f>
        <v>390.58297199999998</v>
      </c>
      <c r="O14" s="322">
        <f>+'RECHAZADOS A CA'!O14+'RECH-RECUP_PS CA'!O174</f>
        <v>396.90157679999999</v>
      </c>
      <c r="P14" s="322">
        <f>+'RECHAZADOS A CA'!P14+'RECH-RECUP_PS CA'!P174</f>
        <v>403.32271679999997</v>
      </c>
      <c r="Q14" s="322">
        <f>+'RECHAZADOS A CA'!Q14+'RECH-RECUP_PS CA'!Q174</f>
        <v>409.84842239999995</v>
      </c>
      <c r="R14" s="322">
        <f>+'RECHAZADOS A CA'!R14+'RECH-RECUP_PS CA'!R174</f>
        <v>416.47869360000004</v>
      </c>
      <c r="S14" s="322">
        <f>+'RECHAZADOS A CA'!S14+'RECH-RECUP_PS CA'!S174</f>
        <v>423.21657599999998</v>
      </c>
      <c r="T14" s="322">
        <f>+'RECHAZADOS A CA'!T14+'RECH-RECUP_PS CA'!T174</f>
        <v>430.0641</v>
      </c>
      <c r="U14" s="322">
        <f>+'RECHAZADOS A CA'!U14+'RECH-RECUP_PS CA'!U174</f>
        <v>437.02126559999999</v>
      </c>
      <c r="V14" s="322">
        <f>+'RECHAZADOS A CA'!V14+'RECH-RECUP_PS CA'!V174</f>
        <v>444.09213359999995</v>
      </c>
      <c r="W14" s="322">
        <f>+'RECHAZADOS A CA'!W14+'RECH-RECUP_PS CA'!W174</f>
        <v>451.276704</v>
      </c>
      <c r="X14" s="322">
        <f>+'RECHAZADOS A CA'!X14+'RECH-RECUP_PS CA'!X174</f>
        <v>458.57802240000001</v>
      </c>
      <c r="Y14" s="322">
        <f>+'RECHAZADOS A CA'!Y14+'RECH-RECUP_PS CA'!Y174</f>
        <v>465.99710399999998</v>
      </c>
      <c r="Z14" s="322">
        <f>+'RECHAZADOS A CA'!Z14+'RECH-RECUP_PS CA'!Z174</f>
        <v>473.53597919999999</v>
      </c>
      <c r="AA14" s="343">
        <f t="shared" si="1"/>
        <v>426.27036697200003</v>
      </c>
    </row>
    <row r="15" spans="1:27" ht="24.95" customHeight="1">
      <c r="A15" s="260" t="str">
        <f>+Pobl_adoptada!A15</f>
        <v>La Matanza</v>
      </c>
      <c r="B15" s="70">
        <f>+Pobl_adoptada!B15</f>
        <v>11</v>
      </c>
      <c r="C15" s="71" t="str">
        <f>+Pobl_adoptada!C15</f>
        <v>La Matanza</v>
      </c>
      <c r="D15" s="341"/>
      <c r="E15" s="278"/>
      <c r="F15" s="263"/>
      <c r="G15" s="322">
        <f>+'RECHAZADOS A CA'!G15+'RECH-RECUP_PS CA'!G175</f>
        <v>3143.9071401600004</v>
      </c>
      <c r="H15" s="322">
        <f>+'RECHAZADOS A CA'!H15+'RECH-RECUP_PS CA'!H175</f>
        <v>3011.4626817599992</v>
      </c>
      <c r="I15" s="322">
        <f>+'RECHAZADOS A CA'!I15+'RECH-RECUP_PS CA'!I175</f>
        <v>2873.6282783999995</v>
      </c>
      <c r="J15" s="322">
        <f>+'RECHAZADOS A CA'!J15+'RECH-RECUP_PS CA'!J175</f>
        <v>2650.87896</v>
      </c>
      <c r="K15" s="322">
        <f>+'RECHAZADOS A CA'!K15+'RECH-RECUP_PS CA'!K175</f>
        <v>2420.4317183999997</v>
      </c>
      <c r="L15" s="322">
        <f>+'RECHAZADOS A CA'!L15+'RECH-RECUP_PS CA'!L175</f>
        <v>2455.0723727999998</v>
      </c>
      <c r="M15" s="322">
        <f>+'RECHAZADOS A CA'!M15+'RECH-RECUP_PS CA'!M175</f>
        <v>2489.7130271999999</v>
      </c>
      <c r="N15" s="322">
        <f>+'RECHAZADOS A CA'!N15+'RECH-RECUP_PS CA'!N175</f>
        <v>2524.3546968000001</v>
      </c>
      <c r="O15" s="322">
        <f>+'RECHAZADOS A CA'!O15+'RECH-RECUP_PS CA'!O175</f>
        <v>2558.9953512000002</v>
      </c>
      <c r="P15" s="322">
        <f>+'RECHAZADOS A CA'!P15+'RECH-RECUP_PS CA'!P175</f>
        <v>2593.6360055999999</v>
      </c>
      <c r="Q15" s="322">
        <f>+'RECHAZADOS A CA'!Q15+'RECH-RECUP_PS CA'!Q175</f>
        <v>2628.27666</v>
      </c>
      <c r="R15" s="322">
        <f>+'RECHAZADOS A CA'!R15+'RECH-RECUP_PS CA'!R175</f>
        <v>2662.9173144000001</v>
      </c>
      <c r="S15" s="322">
        <f>+'RECHAZADOS A CA'!S15+'RECH-RECUP_PS CA'!S175</f>
        <v>2697.5579687999998</v>
      </c>
      <c r="T15" s="322">
        <f>+'RECHAZADOS A CA'!T15+'RECH-RECUP_PS CA'!T175</f>
        <v>2732.1996383999999</v>
      </c>
      <c r="U15" s="322">
        <f>+'RECHAZADOS A CA'!U15+'RECH-RECUP_PS CA'!U175</f>
        <v>2766.8402928</v>
      </c>
      <c r="V15" s="322">
        <f>+'RECHAZADOS A CA'!V15+'RECH-RECUP_PS CA'!V175</f>
        <v>2801.4809471999997</v>
      </c>
      <c r="W15" s="322">
        <f>+'RECHAZADOS A CA'!W15+'RECH-RECUP_PS CA'!W175</f>
        <v>2836.1216015999998</v>
      </c>
      <c r="X15" s="322">
        <f>+'RECHAZADOS A CA'!X15+'RECH-RECUP_PS CA'!X175</f>
        <v>2870.7622559999995</v>
      </c>
      <c r="Y15" s="322">
        <f>+'RECHAZADOS A CA'!Y15+'RECH-RECUP_PS CA'!Y175</f>
        <v>2905.4029104000001</v>
      </c>
      <c r="Z15" s="322">
        <f>+'RECHAZADOS A CA'!Z15+'RECH-RECUP_PS CA'!Z175</f>
        <v>2940.0445799999998</v>
      </c>
      <c r="AA15" s="343">
        <f t="shared" si="1"/>
        <v>2728.184220096</v>
      </c>
    </row>
    <row r="16" spans="1:27" ht="24.95" customHeight="1">
      <c r="A16" s="260" t="str">
        <f>+Pobl_adoptada!A16</f>
        <v>Lanús</v>
      </c>
      <c r="B16" s="70">
        <f>+Pobl_adoptada!B16</f>
        <v>12</v>
      </c>
      <c r="C16" s="71" t="str">
        <f>+Pobl_adoptada!C16</f>
        <v>Lanús</v>
      </c>
      <c r="D16" s="341"/>
      <c r="E16" s="278"/>
      <c r="F16" s="263"/>
      <c r="G16" s="322">
        <f>+'RECHAZADOS A CA'!G16+'RECH-RECUP_PS CA'!G176</f>
        <v>632.95436927999992</v>
      </c>
      <c r="H16" s="322">
        <f>+'RECHAZADOS A CA'!H16+'RECH-RECUP_PS CA'!H176</f>
        <v>596.6714145599999</v>
      </c>
      <c r="I16" s="322">
        <f>+'RECHAZADOS A CA'!I16+'RECH-RECUP_PS CA'!I176</f>
        <v>560.45447039999988</v>
      </c>
      <c r="J16" s="322">
        <f>+'RECHAZADOS A CA'!J16+'RECH-RECUP_PS CA'!J176</f>
        <v>509.03368799999998</v>
      </c>
      <c r="K16" s="322">
        <f>+'RECHAZADOS A CA'!K16+'RECH-RECUP_PS CA'!K176</f>
        <v>457.70698080000005</v>
      </c>
      <c r="L16" s="322">
        <f>+'RECHAZADOS A CA'!L16+'RECH-RECUP_PS CA'!L176</f>
        <v>457.28465759999995</v>
      </c>
      <c r="M16" s="322">
        <f>+'RECHAZADOS A CA'!M16+'RECH-RECUP_PS CA'!M176</f>
        <v>456.86233440000001</v>
      </c>
      <c r="N16" s="322">
        <f>+'RECHAZADOS A CA'!N16+'RECH-RECUP_PS CA'!N176</f>
        <v>456.44001119999996</v>
      </c>
      <c r="O16" s="322">
        <f>+'RECHAZADOS A CA'!O16+'RECH-RECUP_PS CA'!O176</f>
        <v>456.01870319999995</v>
      </c>
      <c r="P16" s="322">
        <f>+'RECHAZADOS A CA'!P16+'RECH-RECUP_PS CA'!P176</f>
        <v>455.59739519999994</v>
      </c>
      <c r="Q16" s="322">
        <f>+'RECHAZADOS A CA'!Q16+'RECH-RECUP_PS CA'!Q176</f>
        <v>455.17710239999997</v>
      </c>
      <c r="R16" s="322">
        <f>+'RECHAZADOS A CA'!R16+'RECH-RECUP_PS CA'!R176</f>
        <v>454.7568096</v>
      </c>
      <c r="S16" s="322">
        <f>+'RECHAZADOS A CA'!S16+'RECH-RECUP_PS CA'!S176</f>
        <v>454.33651679999997</v>
      </c>
      <c r="T16" s="322">
        <f>+'RECHAZADOS A CA'!T16+'RECH-RECUP_PS CA'!T176</f>
        <v>453.91723920000004</v>
      </c>
      <c r="U16" s="322">
        <f>+'RECHAZADOS A CA'!U16+'RECH-RECUP_PS CA'!U176</f>
        <v>453.49796159999994</v>
      </c>
      <c r="V16" s="322">
        <f>+'RECHAZADOS A CA'!V16+'RECH-RECUP_PS CA'!V176</f>
        <v>453.07868399999995</v>
      </c>
      <c r="W16" s="322">
        <f>+'RECHAZADOS A CA'!W16+'RECH-RECUP_PS CA'!W176</f>
        <v>452.66042159999989</v>
      </c>
      <c r="X16" s="322">
        <f>+'RECHAZADOS A CA'!X16+'RECH-RECUP_PS CA'!X176</f>
        <v>452.24317440000004</v>
      </c>
      <c r="Y16" s="322">
        <f>+'RECHAZADOS A CA'!Y16+'RECH-RECUP_PS CA'!Y176</f>
        <v>451.82491199999993</v>
      </c>
      <c r="Z16" s="322">
        <f>+'RECHAZADOS A CA'!Z16+'RECH-RECUP_PS CA'!Z176</f>
        <v>451.40766479999991</v>
      </c>
      <c r="AA16" s="343">
        <f t="shared" si="1"/>
        <v>478.59622555200002</v>
      </c>
    </row>
    <row r="17" spans="1:27" ht="24.95" customHeight="1">
      <c r="A17" s="260" t="str">
        <f>+Pobl_adoptada!A17</f>
        <v>Lomas de Zamora</v>
      </c>
      <c r="B17" s="70">
        <f>+Pobl_adoptada!B17</f>
        <v>13</v>
      </c>
      <c r="C17" s="71" t="str">
        <f>+Pobl_adoptada!C17</f>
        <v>Lomas de Zamora</v>
      </c>
      <c r="D17" s="341"/>
      <c r="E17" s="278"/>
      <c r="F17" s="263"/>
      <c r="G17" s="322">
        <f>+'RECHAZADOS A CA'!G17+'RECH-RECUP_PS CA'!G177</f>
        <v>969.19406879999997</v>
      </c>
      <c r="H17" s="322">
        <f>+'RECHAZADOS A CA'!H17+'RECH-RECUP_PS CA'!H177</f>
        <v>921.71510495999996</v>
      </c>
      <c r="I17" s="322">
        <f>+'RECHAZADOS A CA'!I17+'RECH-RECUP_PS CA'!I177</f>
        <v>873.48101279999992</v>
      </c>
      <c r="J17" s="322">
        <f>+'RECHAZADOS A CA'!J17+'RECH-RECUP_PS CA'!J177</f>
        <v>800.45925599999998</v>
      </c>
      <c r="K17" s="322">
        <f>+'RECHAZADOS A CA'!K17+'RECH-RECUP_PS CA'!K177</f>
        <v>726.25377600000002</v>
      </c>
      <c r="L17" s="322">
        <f>+'RECHAZADOS A CA'!L17+'RECH-RECUP_PS CA'!L177</f>
        <v>732.18965039999989</v>
      </c>
      <c r="M17" s="322">
        <f>+'RECHAZADOS A CA'!M17+'RECH-RECUP_PS CA'!M177</f>
        <v>738.222984</v>
      </c>
      <c r="N17" s="322">
        <f>+'RECHAZADOS A CA'!N17+'RECH-RECUP_PS CA'!N177</f>
        <v>744.35377679999988</v>
      </c>
      <c r="O17" s="322">
        <f>+'RECHAZADOS A CA'!O17+'RECH-RECUP_PS CA'!O177</f>
        <v>750.58507439999994</v>
      </c>
      <c r="P17" s="322">
        <f>+'RECHAZADOS A CA'!P17+'RECH-RECUP_PS CA'!P177</f>
        <v>756.91789199999982</v>
      </c>
      <c r="Q17" s="322">
        <f>+'RECHAZADOS A CA'!Q17+'RECH-RECUP_PS CA'!Q177</f>
        <v>763.35426000000007</v>
      </c>
      <c r="R17" s="322">
        <f>+'RECHAZADOS A CA'!R17+'RECH-RECUP_PS CA'!R177</f>
        <v>769.89620880000007</v>
      </c>
      <c r="S17" s="322">
        <f>+'RECHAZADOS A CA'!S17+'RECH-RECUP_PS CA'!S177</f>
        <v>776.54373840000005</v>
      </c>
      <c r="T17" s="322">
        <f>+'RECHAZADOS A CA'!T17+'RECH-RECUP_PS CA'!T177</f>
        <v>783.29989439999997</v>
      </c>
      <c r="U17" s="322">
        <f>+'RECHAZADOS A CA'!U17+'RECH-RECUP_PS CA'!U177</f>
        <v>790.16670720000013</v>
      </c>
      <c r="V17" s="322">
        <f>+'RECHAZADOS A CA'!V17+'RECH-RECUP_PS CA'!V177</f>
        <v>797.14519199999995</v>
      </c>
      <c r="W17" s="322">
        <f>+'RECHAZADOS A CA'!W17+'RECH-RECUP_PS CA'!W177</f>
        <v>804.23839439999995</v>
      </c>
      <c r="X17" s="322">
        <f>+'RECHAZADOS A CA'!X17+'RECH-RECUP_PS CA'!X177</f>
        <v>811.44631439999989</v>
      </c>
      <c r="Y17" s="322">
        <f>+'RECHAZADOS A CA'!Y17+'RECH-RECUP_PS CA'!Y177</f>
        <v>818.77199759999985</v>
      </c>
      <c r="Z17" s="322">
        <f>+'RECHAZADOS A CA'!Z17+'RECH-RECUP_PS CA'!Z177</f>
        <v>826.21747440000001</v>
      </c>
      <c r="AA17" s="343">
        <f t="shared" si="1"/>
        <v>797.72263888799989</v>
      </c>
    </row>
    <row r="18" spans="1:27" ht="24.95" customHeight="1">
      <c r="A18" s="260" t="str">
        <f>+Pobl_adoptada!A18</f>
        <v>Malvinas Argentinas</v>
      </c>
      <c r="B18" s="70">
        <f>+Pobl_adoptada!B18</f>
        <v>14</v>
      </c>
      <c r="C18" s="71" t="str">
        <f>+Pobl_adoptada!C18</f>
        <v>Malvinas Argentinas</v>
      </c>
      <c r="D18" s="341"/>
      <c r="E18" s="278"/>
      <c r="F18" s="263"/>
      <c r="G18" s="322">
        <f>+'RECHAZADOS A CA'!G18+'RECH-RECUP_PS CA'!G178</f>
        <v>541.96063967999999</v>
      </c>
      <c r="H18" s="322">
        <f>+'RECHAZADOS A CA'!H18+'RECH-RECUP_PS CA'!H178</f>
        <v>517.27729247999991</v>
      </c>
      <c r="I18" s="322">
        <f>+'RECHAZADOS A CA'!I18+'RECH-RECUP_PS CA'!I178</f>
        <v>491.95238399999994</v>
      </c>
      <c r="J18" s="322">
        <f>+'RECHAZADOS A CA'!J18+'RECH-RECUP_PS CA'!J178</f>
        <v>452.39906400000001</v>
      </c>
      <c r="K18" s="322">
        <f>+'RECHAZADOS A CA'!K18+'RECH-RECUP_PS CA'!K178</f>
        <v>411.86664000000007</v>
      </c>
      <c r="L18" s="322">
        <f>+'RECHAZADOS A CA'!L18+'RECH-RECUP_PS CA'!L178</f>
        <v>416.62894319999998</v>
      </c>
      <c r="M18" s="322">
        <f>+'RECHAZADOS A CA'!M18+'RECH-RECUP_PS CA'!M178</f>
        <v>421.44505199999992</v>
      </c>
      <c r="N18" s="322">
        <f>+'RECHAZADOS A CA'!N18+'RECH-RECUP_PS CA'!N178</f>
        <v>426.31801200000001</v>
      </c>
      <c r="O18" s="322">
        <f>+'RECHAZADOS A CA'!O18+'RECH-RECUP_PS CA'!O178</f>
        <v>431.24680799999999</v>
      </c>
      <c r="P18" s="322">
        <f>+'RECHAZADOS A CA'!P18+'RECH-RECUP_PS CA'!P178</f>
        <v>436.23245519999995</v>
      </c>
      <c r="Q18" s="322">
        <f>+'RECHAZADOS A CA'!Q18+'RECH-RECUP_PS CA'!Q178</f>
        <v>441.27596879999993</v>
      </c>
      <c r="R18" s="322">
        <f>+'RECHAZADOS A CA'!R18+'RECH-RECUP_PS CA'!R178</f>
        <v>446.37734879999999</v>
      </c>
      <c r="S18" s="322">
        <f>+'RECHAZADOS A CA'!S18+'RECH-RECUP_PS CA'!S178</f>
        <v>451.53862560000005</v>
      </c>
      <c r="T18" s="322">
        <f>+'RECHAZADOS A CA'!T18+'RECH-RECUP_PS CA'!T178</f>
        <v>456.75878399999999</v>
      </c>
      <c r="U18" s="322">
        <f>+'RECHAZADOS A CA'!U18+'RECH-RECUP_PS CA'!U178</f>
        <v>462.03883919999998</v>
      </c>
      <c r="V18" s="322">
        <f>+'RECHAZADOS A CA'!V18+'RECH-RECUP_PS CA'!V178</f>
        <v>467.38082159999993</v>
      </c>
      <c r="W18" s="322">
        <f>+'RECHAZADOS A CA'!W18+'RECH-RECUP_PS CA'!W178</f>
        <v>472.78473120000001</v>
      </c>
      <c r="X18" s="322">
        <f>+'RECHAZADOS A CA'!X18+'RECH-RECUP_PS CA'!X178</f>
        <v>478.25056799999993</v>
      </c>
      <c r="Y18" s="322">
        <f>+'RECHAZADOS A CA'!Y18+'RECH-RECUP_PS CA'!Y178</f>
        <v>483.77934720000002</v>
      </c>
      <c r="Z18" s="322">
        <f>+'RECHAZADOS A CA'!Z18+'RECH-RECUP_PS CA'!Z178</f>
        <v>489.37309920000001</v>
      </c>
      <c r="AA18" s="343">
        <f t="shared" si="1"/>
        <v>459.8442712079999</v>
      </c>
    </row>
    <row r="19" spans="1:27" ht="24.95" customHeight="1">
      <c r="A19" s="260" t="str">
        <f>+Pobl_adoptada!A19</f>
        <v>Merlo</v>
      </c>
      <c r="B19" s="70">
        <f>+Pobl_adoptada!B19</f>
        <v>15</v>
      </c>
      <c r="C19" s="71" t="str">
        <f>+Pobl_adoptada!C19</f>
        <v>Merlo</v>
      </c>
      <c r="D19" s="341"/>
      <c r="E19" s="278"/>
      <c r="F19" s="263"/>
      <c r="G19" s="322">
        <f>+'RECHAZADOS A CA'!G19+'RECH-RECUP_PS CA'!G179</f>
        <v>905.39425343999994</v>
      </c>
      <c r="H19" s="322">
        <f>+'RECHAZADOS A CA'!H19+'RECH-RECUP_PS CA'!H179</f>
        <v>863.914896</v>
      </c>
      <c r="I19" s="322">
        <f>+'RECHAZADOS A CA'!I19+'RECH-RECUP_PS CA'!I179</f>
        <v>821.2830383999999</v>
      </c>
      <c r="J19" s="322">
        <f>+'RECHAZADOS A CA'!J19+'RECH-RECUP_PS CA'!J179</f>
        <v>754.85195999999996</v>
      </c>
      <c r="K19" s="322">
        <f>+'RECHAZADOS A CA'!K19+'RECH-RECUP_PS CA'!K179</f>
        <v>686.77569359999995</v>
      </c>
      <c r="L19" s="322">
        <f>+'RECHAZADOS A CA'!L19+'RECH-RECUP_PS CA'!L179</f>
        <v>694.18462320000003</v>
      </c>
      <c r="M19" s="322">
        <f>+'RECHAZADOS A CA'!M19+'RECH-RECUP_PS CA'!M179</f>
        <v>701.5935528</v>
      </c>
      <c r="N19" s="322">
        <f>+'RECHAZADOS A CA'!N19+'RECH-RECUP_PS CA'!N179</f>
        <v>709.00146719999987</v>
      </c>
      <c r="O19" s="322">
        <f>+'RECHAZADOS A CA'!O19+'RECH-RECUP_PS CA'!O179</f>
        <v>716.41039679999994</v>
      </c>
      <c r="P19" s="322">
        <f>+'RECHAZADOS A CA'!P19+'RECH-RECUP_PS CA'!P179</f>
        <v>723.81932639999991</v>
      </c>
      <c r="Q19" s="322">
        <f>+'RECHAZADOS A CA'!Q19+'RECH-RECUP_PS CA'!Q179</f>
        <v>731.22724079999989</v>
      </c>
      <c r="R19" s="322">
        <f>+'RECHAZADOS A CA'!R19+'RECH-RECUP_PS CA'!R179</f>
        <v>738.63617039999997</v>
      </c>
      <c r="S19" s="322">
        <f>+'RECHAZADOS A CA'!S19+'RECH-RECUP_PS CA'!S179</f>
        <v>746.04509999999993</v>
      </c>
      <c r="T19" s="322">
        <f>+'RECHAZADOS A CA'!T19+'RECH-RECUP_PS CA'!T179</f>
        <v>753.4540295999999</v>
      </c>
      <c r="U19" s="322">
        <f>+'RECHAZADOS A CA'!U19+'RECH-RECUP_PS CA'!U179</f>
        <v>760.86194399999999</v>
      </c>
      <c r="V19" s="322">
        <f>+'RECHAZADOS A CA'!V19+'RECH-RECUP_PS CA'!V179</f>
        <v>768.27087360000007</v>
      </c>
      <c r="W19" s="322">
        <f>+'RECHAZADOS A CA'!W19+'RECH-RECUP_PS CA'!W179</f>
        <v>775.67980319999992</v>
      </c>
      <c r="X19" s="322">
        <f>+'RECHAZADOS A CA'!X19+'RECH-RECUP_PS CA'!X179</f>
        <v>783.08771759999991</v>
      </c>
      <c r="Y19" s="322">
        <f>+'RECHAZADOS A CA'!Y19+'RECH-RECUP_PS CA'!Y179</f>
        <v>790.49664719999998</v>
      </c>
      <c r="Z19" s="322">
        <f>+'RECHAZADOS A CA'!Z19+'RECH-RECUP_PS CA'!Z179</f>
        <v>797.90557680000006</v>
      </c>
      <c r="AA19" s="343">
        <f t="shared" si="1"/>
        <v>761.14471555199987</v>
      </c>
    </row>
    <row r="20" spans="1:27" ht="24.95" customHeight="1">
      <c r="A20" s="260" t="str">
        <f>+Pobl_adoptada!A20</f>
        <v>Moreno</v>
      </c>
      <c r="B20" s="70">
        <f>+Pobl_adoptada!B20</f>
        <v>16</v>
      </c>
      <c r="C20" s="71" t="str">
        <f>+Pobl_adoptada!C20</f>
        <v>Moreno</v>
      </c>
      <c r="D20" s="341"/>
      <c r="E20" s="278"/>
      <c r="F20" s="263"/>
      <c r="G20" s="322">
        <f>+'RECHAZADOS A CA'!G20+'RECH-RECUP_PS CA'!G180</f>
        <v>866.17134720000001</v>
      </c>
      <c r="H20" s="322">
        <f>+'RECHAZADOS A CA'!H20+'RECH-RECUP_PS CA'!H180</f>
        <v>833.45879447999994</v>
      </c>
      <c r="I20" s="322">
        <f>+'RECHAZADOS A CA'!I20+'RECH-RECUP_PS CA'!I180</f>
        <v>799.10994240000002</v>
      </c>
      <c r="J20" s="322">
        <f>+'RECHAZADOS A CA'!J20+'RECH-RECUP_PS CA'!J180</f>
        <v>740.84783999999991</v>
      </c>
      <c r="K20" s="322">
        <f>+'RECHAZADOS A CA'!K20+'RECH-RECUP_PS CA'!K180</f>
        <v>679.965732</v>
      </c>
      <c r="L20" s="322">
        <f>+'RECHAZADOS A CA'!L20+'RECH-RECUP_PS CA'!L180</f>
        <v>693.43032960000005</v>
      </c>
      <c r="M20" s="322">
        <f>+'RECHAZADOS A CA'!M20+'RECH-RECUP_PS CA'!M180</f>
        <v>707.16090959999997</v>
      </c>
      <c r="N20" s="322">
        <f>+'RECHAZADOS A CA'!N20+'RECH-RECUP_PS CA'!N180</f>
        <v>721.16457839999998</v>
      </c>
      <c r="O20" s="322">
        <f>+'RECHAZADOS A CA'!O20+'RECH-RECUP_PS CA'!O180</f>
        <v>735.44438159999993</v>
      </c>
      <c r="P20" s="322">
        <f>+'RECHAZADOS A CA'!P20+'RECH-RECUP_PS CA'!P180</f>
        <v>750.00742559999992</v>
      </c>
      <c r="Q20" s="322">
        <f>+'RECHAZADOS A CA'!Q20+'RECH-RECUP_PS CA'!Q180</f>
        <v>764.85878639999999</v>
      </c>
      <c r="R20" s="322">
        <f>+'RECHAZADOS A CA'!R20+'RECH-RECUP_PS CA'!R180</f>
        <v>780.00354000000004</v>
      </c>
      <c r="S20" s="322">
        <f>+'RECHAZADOS A CA'!S20+'RECH-RECUP_PS CA'!S180</f>
        <v>795.44879279999998</v>
      </c>
      <c r="T20" s="322">
        <f>+'RECHAZADOS A CA'!T20+'RECH-RECUP_PS CA'!T180</f>
        <v>811.19962079999982</v>
      </c>
      <c r="U20" s="322">
        <f>+'RECHAZADOS A CA'!U20+'RECH-RECUP_PS CA'!U180</f>
        <v>827.26313039999991</v>
      </c>
      <c r="V20" s="322">
        <f>+'RECHAZADOS A CA'!V20+'RECH-RECUP_PS CA'!V180</f>
        <v>843.64338239999995</v>
      </c>
      <c r="W20" s="322">
        <f>+'RECHAZADOS A CA'!W20+'RECH-RECUP_PS CA'!W180</f>
        <v>860.34951360000002</v>
      </c>
      <c r="X20" s="322">
        <f>+'RECHAZADOS A CA'!X20+'RECH-RECUP_PS CA'!X180</f>
        <v>877.38558479999995</v>
      </c>
      <c r="Y20" s="322">
        <f>+'RECHAZADOS A CA'!Y20+'RECH-RECUP_PS CA'!Y180</f>
        <v>894.75870239999995</v>
      </c>
      <c r="Z20" s="322">
        <f>+'RECHAZADOS A CA'!Z20+'RECH-RECUP_PS CA'!Z180</f>
        <v>912.47597279999991</v>
      </c>
      <c r="AA20" s="343">
        <f t="shared" si="1"/>
        <v>794.70741536399998</v>
      </c>
    </row>
    <row r="21" spans="1:27" ht="24.95" customHeight="1">
      <c r="A21" s="260" t="str">
        <f>+Pobl_adoptada!A21</f>
        <v>Morón</v>
      </c>
      <c r="B21" s="70">
        <f>+Pobl_adoptada!B21</f>
        <v>17</v>
      </c>
      <c r="C21" s="71" t="str">
        <f>+Pobl_adoptada!C21</f>
        <v>Morón</v>
      </c>
      <c r="D21" s="341"/>
      <c r="E21" s="278"/>
      <c r="F21" s="263"/>
      <c r="G21" s="322">
        <f>+'RECHAZADOS A CA'!G21+'RECH-RECUP_PS CA'!G181</f>
        <v>499.56543647999996</v>
      </c>
      <c r="H21" s="322">
        <f>+'RECHAZADOS A CA'!H21+'RECH-RECUP_PS CA'!H181</f>
        <v>474.76650311999998</v>
      </c>
      <c r="I21" s="322">
        <f>+'RECHAZADOS A CA'!I21+'RECH-RECUP_PS CA'!I181</f>
        <v>449.61256559999998</v>
      </c>
      <c r="J21" s="322">
        <f>+'RECHAZADOS A CA'!J21+'RECH-RECUP_PS CA'!J181</f>
        <v>411.74255999999997</v>
      </c>
      <c r="K21" s="322">
        <f>+'RECHAZADOS A CA'!K21+'RECH-RECUP_PS CA'!K181</f>
        <v>373.31543520000002</v>
      </c>
      <c r="L21" s="322">
        <f>+'RECHAZADOS A CA'!L21+'RECH-RECUP_PS CA'!L181</f>
        <v>376.10825039999997</v>
      </c>
      <c r="M21" s="322">
        <f>+'RECHAZADOS A CA'!M21+'RECH-RECUP_PS CA'!M181</f>
        <v>378.94573439999999</v>
      </c>
      <c r="N21" s="322">
        <f>+'RECHAZADOS A CA'!N21+'RECH-RECUP_PS CA'!N181</f>
        <v>381.82991759999999</v>
      </c>
      <c r="O21" s="322">
        <f>+'RECHAZADOS A CA'!O21+'RECH-RECUP_PS CA'!O181</f>
        <v>384.76181519999994</v>
      </c>
      <c r="P21" s="322">
        <f>+'RECHAZADOS A CA'!P21+'RECH-RECUP_PS CA'!P181</f>
        <v>387.74041199999999</v>
      </c>
      <c r="Q21" s="322">
        <f>+'RECHAZADOS A CA'!Q21+'RECH-RECUP_PS CA'!Q181</f>
        <v>390.76773840000004</v>
      </c>
      <c r="R21" s="322">
        <f>+'RECHAZADOS A CA'!R21+'RECH-RECUP_PS CA'!R181</f>
        <v>393.84480960000002</v>
      </c>
      <c r="S21" s="322">
        <f>+'RECHAZADOS A CA'!S21+'RECH-RECUP_PS CA'!S181</f>
        <v>396.97264080000002</v>
      </c>
      <c r="T21" s="322">
        <f>+'RECHAZADOS A CA'!T21+'RECH-RECUP_PS CA'!T181</f>
        <v>400.15021680000001</v>
      </c>
      <c r="U21" s="322">
        <f>+'RECHAZADOS A CA'!U21+'RECH-RECUP_PS CA'!U181</f>
        <v>403.38058319999993</v>
      </c>
      <c r="V21" s="322">
        <f>+'RECHAZADOS A CA'!V21+'RECH-RECUP_PS CA'!V181</f>
        <v>406.66374000000002</v>
      </c>
      <c r="W21" s="322">
        <f>+'RECHAZADOS A CA'!W21+'RECH-RECUP_PS CA'!W181</f>
        <v>409.99968720000004</v>
      </c>
      <c r="X21" s="322">
        <f>+'RECHAZADOS A CA'!X21+'RECH-RECUP_PS CA'!X181</f>
        <v>413.39045519999991</v>
      </c>
      <c r="Y21" s="322">
        <f>+'RECHAZADOS A CA'!Y21+'RECH-RECUP_PS CA'!Y181</f>
        <v>416.83604400000002</v>
      </c>
      <c r="Z21" s="322">
        <f>+'RECHAZADOS A CA'!Z21+'RECH-RECUP_PS CA'!Z181</f>
        <v>420.33848399999999</v>
      </c>
      <c r="AA21" s="343">
        <f t="shared" si="1"/>
        <v>408.53665145999992</v>
      </c>
    </row>
    <row r="22" spans="1:27" ht="24.95" customHeight="1">
      <c r="A22" s="260" t="str">
        <f>+Pobl_adoptada!A22</f>
        <v>Quilmes</v>
      </c>
      <c r="B22" s="70">
        <f>+Pobl_adoptada!B22</f>
        <v>18</v>
      </c>
      <c r="C22" s="71" t="str">
        <f>+Pobl_adoptada!C22</f>
        <v>Quilmes</v>
      </c>
      <c r="D22" s="341"/>
      <c r="E22" s="278"/>
      <c r="F22" s="263"/>
      <c r="G22" s="322">
        <f>+'RECHAZADOS A CA'!G22+'RECH-RECUP_PS CA'!G182</f>
        <v>915.32936159999986</v>
      </c>
      <c r="H22" s="322">
        <f>+'RECHAZADOS A CA'!H22+'RECH-RECUP_PS CA'!H182</f>
        <v>869.92244352</v>
      </c>
      <c r="I22" s="322">
        <f>+'RECHAZADOS A CA'!I22+'RECH-RECUP_PS CA'!I182</f>
        <v>823.80806639999992</v>
      </c>
      <c r="J22" s="322">
        <f>+'RECHAZADOS A CA'!J22+'RECH-RECUP_PS CA'!J182</f>
        <v>754.34887199999991</v>
      </c>
      <c r="K22" s="322">
        <f>+'RECHAZADOS A CA'!K22+'RECH-RECUP_PS CA'!K182</f>
        <v>683.83871999999997</v>
      </c>
      <c r="L22" s="322">
        <f>+'RECHAZADOS A CA'!L22+'RECH-RECUP_PS CA'!L182</f>
        <v>688.79898719999994</v>
      </c>
      <c r="M22" s="322">
        <f>+'RECHAZADOS A CA'!M22+'RECH-RECUP_PS CA'!M182</f>
        <v>693.79478640000002</v>
      </c>
      <c r="N22" s="322">
        <f>+'RECHAZADOS A CA'!N22+'RECH-RECUP_PS CA'!N182</f>
        <v>698.82713280000007</v>
      </c>
      <c r="O22" s="322">
        <f>+'RECHAZADOS A CA'!O22+'RECH-RECUP_PS CA'!O182</f>
        <v>703.89602639999998</v>
      </c>
      <c r="P22" s="322">
        <f>+'RECHAZADOS A CA'!P22+'RECH-RECUP_PS CA'!P182</f>
        <v>709.00248239999996</v>
      </c>
      <c r="Q22" s="322">
        <f>+'RECHAZADOS A CA'!Q22+'RECH-RECUP_PS CA'!Q182</f>
        <v>714.14447039999993</v>
      </c>
      <c r="R22" s="322">
        <f>+'RECHAZADOS A CA'!R22+'RECH-RECUP_PS CA'!R182</f>
        <v>719.32503599999984</v>
      </c>
      <c r="S22" s="322">
        <f>+'RECHAZADOS A CA'!S22+'RECH-RECUP_PS CA'!S182</f>
        <v>724.54214879999995</v>
      </c>
      <c r="T22" s="322">
        <f>+'RECHAZADOS A CA'!T22+'RECH-RECUP_PS CA'!T182</f>
        <v>729.79783920000011</v>
      </c>
      <c r="U22" s="322">
        <f>+'RECHAZADOS A CA'!U22+'RECH-RECUP_PS CA'!U182</f>
        <v>735.09210719999987</v>
      </c>
      <c r="V22" s="322">
        <f>+'RECHAZADOS A CA'!V22+'RECH-RECUP_PS CA'!V182</f>
        <v>740.42393759999993</v>
      </c>
      <c r="W22" s="322">
        <f>+'RECHAZADOS A CA'!W22+'RECH-RECUP_PS CA'!W182</f>
        <v>745.79434560000004</v>
      </c>
      <c r="X22" s="322">
        <f>+'RECHAZADOS A CA'!X22+'RECH-RECUP_PS CA'!X182</f>
        <v>751.20434639999985</v>
      </c>
      <c r="Y22" s="322">
        <f>+'RECHAZADOS A CA'!Y22+'RECH-RECUP_PS CA'!Y182</f>
        <v>756.65292479999994</v>
      </c>
      <c r="Z22" s="322">
        <f>+'RECHAZADOS A CA'!Z22+'RECH-RECUP_PS CA'!Z182</f>
        <v>762.14109600000006</v>
      </c>
      <c r="AA22" s="343">
        <f t="shared" si="1"/>
        <v>746.03425653599993</v>
      </c>
    </row>
    <row r="23" spans="1:27" ht="24.95" customHeight="1">
      <c r="A23" s="260" t="str">
        <f>+Pobl_adoptada!A23</f>
        <v>San Fernando</v>
      </c>
      <c r="B23" s="70">
        <f>+Pobl_adoptada!B23</f>
        <v>19</v>
      </c>
      <c r="C23" s="71" t="str">
        <f>+Pobl_adoptada!C23</f>
        <v>San Fernando</v>
      </c>
      <c r="D23" s="341"/>
      <c r="E23" s="278"/>
      <c r="F23" s="263"/>
      <c r="G23" s="322">
        <f>+'RECHAZADOS A CA'!G23+'RECH-RECUP_PS CA'!G183</f>
        <v>177.36138624</v>
      </c>
      <c r="H23" s="322">
        <f>+'RECHAZADOS A CA'!H23+'RECH-RECUP_PS CA'!H183</f>
        <v>168.30949823999998</v>
      </c>
      <c r="I23" s="322">
        <f>+'RECHAZADOS A CA'!I23+'RECH-RECUP_PS CA'!I183</f>
        <v>159.14268479999998</v>
      </c>
      <c r="J23" s="322">
        <f>+'RECHAZADOS A CA'!J23+'RECH-RECUP_PS CA'!J183</f>
        <v>145.49606400000002</v>
      </c>
      <c r="K23" s="322">
        <f>+'RECHAZADOS A CA'!K23+'RECH-RECUP_PS CA'!K183</f>
        <v>131.68526400000002</v>
      </c>
      <c r="L23" s="322">
        <f>+'RECHAZADOS A CA'!L23+'RECH-RECUP_PS CA'!L183</f>
        <v>132.42333600000003</v>
      </c>
      <c r="M23" s="322">
        <f>+'RECHAZADOS A CA'!M23+'RECH-RECUP_PS CA'!M183</f>
        <v>133.16214240000002</v>
      </c>
      <c r="N23" s="322">
        <f>+'RECHAZADOS A CA'!N23+'RECH-RECUP_PS CA'!N183</f>
        <v>133.90094880000001</v>
      </c>
      <c r="O23" s="322">
        <f>+'RECHAZADOS A CA'!O23+'RECH-RECUP_PS CA'!O183</f>
        <v>134.6397552</v>
      </c>
      <c r="P23" s="322">
        <f>+'RECHAZADOS A CA'!P23+'RECH-RECUP_PS CA'!P183</f>
        <v>135.37856160000001</v>
      </c>
      <c r="Q23" s="322">
        <f>+'RECHAZADOS A CA'!Q23+'RECH-RECUP_PS CA'!Q183</f>
        <v>136.117368</v>
      </c>
      <c r="R23" s="322">
        <f>+'RECHAZADOS A CA'!R23+'RECH-RECUP_PS CA'!R183</f>
        <v>136.85617439999999</v>
      </c>
      <c r="S23" s="322">
        <f>+'RECHAZADOS A CA'!S23+'RECH-RECUP_PS CA'!S183</f>
        <v>137.5949808</v>
      </c>
      <c r="T23" s="322">
        <f>+'RECHAZADOS A CA'!T23+'RECH-RECUP_PS CA'!T183</f>
        <v>138.33378720000002</v>
      </c>
      <c r="U23" s="322">
        <f>+'RECHAZADOS A CA'!U23+'RECH-RECUP_PS CA'!U183</f>
        <v>139.07185920000001</v>
      </c>
      <c r="V23" s="322">
        <f>+'RECHAZADOS A CA'!V23+'RECH-RECUP_PS CA'!V183</f>
        <v>139.81066560000002</v>
      </c>
      <c r="W23" s="322">
        <f>+'RECHAZADOS A CA'!W23+'RECH-RECUP_PS CA'!W183</f>
        <v>140.54947200000001</v>
      </c>
      <c r="X23" s="322">
        <f>+'RECHAZADOS A CA'!X23+'RECH-RECUP_PS CA'!X183</f>
        <v>141.28827840000002</v>
      </c>
      <c r="Y23" s="322">
        <f>+'RECHAZADOS A CA'!Y23+'RECH-RECUP_PS CA'!Y183</f>
        <v>142.02708480000001</v>
      </c>
      <c r="Z23" s="322">
        <f>+'RECHAZADOS A CA'!Z23+'RECH-RECUP_PS CA'!Z183</f>
        <v>142.7658912</v>
      </c>
      <c r="AA23" s="343">
        <f t="shared" si="1"/>
        <v>142.29576014400001</v>
      </c>
    </row>
    <row r="24" spans="1:27" ht="24.95" customHeight="1">
      <c r="A24" s="260" t="str">
        <f>+Pobl_adoptada!A24</f>
        <v>San Isidro</v>
      </c>
      <c r="B24" s="70">
        <f>+Pobl_adoptada!B24</f>
        <v>20</v>
      </c>
      <c r="C24" s="71" t="str">
        <f>+Pobl_adoptada!C24</f>
        <v>San Isidro</v>
      </c>
      <c r="D24" s="341"/>
      <c r="E24" s="278"/>
      <c r="F24" s="263"/>
      <c r="G24" s="322">
        <f>+'RECHAZADOS A CA'!G24+'RECH-RECUP_PS CA'!G184</f>
        <v>300.61564032000001</v>
      </c>
      <c r="H24" s="322">
        <f>+'RECHAZADOS A CA'!H24+'RECH-RECUP_PS CA'!H184</f>
        <v>283.93372800000003</v>
      </c>
      <c r="I24" s="322">
        <f>+'RECHAZADOS A CA'!I24+'RECH-RECUP_PS CA'!I184</f>
        <v>267.22090560000004</v>
      </c>
      <c r="J24" s="322">
        <f>+'RECHAZADOS A CA'!J24+'RECH-RECUP_PS CA'!J184</f>
        <v>243.18268799999998</v>
      </c>
      <c r="K24" s="322">
        <f>+'RECHAZADOS A CA'!K24+'RECH-RECUP_PS CA'!K184</f>
        <v>219.09722400000001</v>
      </c>
      <c r="L24" s="322">
        <f>+'RECHAZADOS A CA'!L24+'RECH-RECUP_PS CA'!L184</f>
        <v>219.33370080000003</v>
      </c>
      <c r="M24" s="322">
        <f>+'RECHAZADOS A CA'!M24+'RECH-RECUP_PS CA'!M184</f>
        <v>219.57384960000002</v>
      </c>
      <c r="N24" s="322">
        <f>+'RECHAZADOS A CA'!N24+'RECH-RECUP_PS CA'!N184</f>
        <v>219.81840480000002</v>
      </c>
      <c r="O24" s="322">
        <f>+'RECHAZADOS A CA'!O24+'RECH-RECUP_PS CA'!O184</f>
        <v>220.066632</v>
      </c>
      <c r="P24" s="322">
        <f>+'RECHAZADOS A CA'!P24+'RECH-RECUP_PS CA'!P184</f>
        <v>220.31853120000002</v>
      </c>
      <c r="Q24" s="322">
        <f>+'RECHAZADOS A CA'!Q24+'RECH-RECUP_PS CA'!Q184</f>
        <v>220.57483680000001</v>
      </c>
      <c r="R24" s="322">
        <f>+'RECHAZADOS A CA'!R24+'RECH-RECUP_PS CA'!R184</f>
        <v>220.83554879999997</v>
      </c>
      <c r="S24" s="322">
        <f>+'RECHAZADOS A CA'!S24+'RECH-RECUP_PS CA'!S184</f>
        <v>221.10066720000003</v>
      </c>
      <c r="T24" s="322">
        <f>+'RECHAZADOS A CA'!T24+'RECH-RECUP_PS CA'!T184</f>
        <v>221.3694576</v>
      </c>
      <c r="U24" s="322">
        <f>+'RECHAZADOS A CA'!U24+'RECH-RECUP_PS CA'!U184</f>
        <v>221.64338879999997</v>
      </c>
      <c r="V24" s="322">
        <f>+'RECHAZADOS A CA'!V24+'RECH-RECUP_PS CA'!V184</f>
        <v>221.92099199999998</v>
      </c>
      <c r="W24" s="322">
        <f>+'RECHAZADOS A CA'!W24+'RECH-RECUP_PS CA'!W184</f>
        <v>222.20373599999999</v>
      </c>
      <c r="X24" s="322">
        <f>+'RECHAZADOS A CA'!X24+'RECH-RECUP_PS CA'!X184</f>
        <v>222.49088639999999</v>
      </c>
      <c r="Y24" s="322">
        <f>+'RECHAZADOS A CA'!Y24+'RECH-RECUP_PS CA'!Y184</f>
        <v>222.78244319999999</v>
      </c>
      <c r="Z24" s="322">
        <f>+'RECHAZADOS A CA'!Z24+'RECH-RECUP_PS CA'!Z184</f>
        <v>223.0791408</v>
      </c>
      <c r="AA24" s="343">
        <f t="shared" si="1"/>
        <v>231.55812009599995</v>
      </c>
    </row>
    <row r="25" spans="1:27" ht="24.95" customHeight="1">
      <c r="A25" s="260" t="str">
        <f>+Pobl_adoptada!A25</f>
        <v>San Miguel</v>
      </c>
      <c r="B25" s="70">
        <f>+Pobl_adoptada!B25</f>
        <v>21</v>
      </c>
      <c r="C25" s="71" t="str">
        <f>+Pobl_adoptada!C25</f>
        <v>San Miguel</v>
      </c>
      <c r="D25" s="341"/>
      <c r="E25" s="278"/>
      <c r="F25" s="263"/>
      <c r="G25" s="322">
        <f>+'RECHAZADOS A CA'!G25+'RECH-RECUP_PS CA'!G185</f>
        <v>485.63698271999999</v>
      </c>
      <c r="H25" s="322">
        <f>+'RECHAZADOS A CA'!H25+'RECH-RECUP_PS CA'!H185</f>
        <v>464.92505279999995</v>
      </c>
      <c r="I25" s="322">
        <f>+'RECHAZADOS A CA'!I25+'RECH-RECUP_PS CA'!I185</f>
        <v>443.5127928</v>
      </c>
      <c r="J25" s="322">
        <f>+'RECHAZADOS A CA'!J25+'RECH-RECUP_PS CA'!J185</f>
        <v>409.11093599999998</v>
      </c>
      <c r="K25" s="322">
        <f>+'RECHAZADOS A CA'!K25+'RECH-RECUP_PS CA'!K185</f>
        <v>373.61187359999997</v>
      </c>
      <c r="L25" s="322">
        <f>+'RECHAZADOS A CA'!L25+'RECH-RECUP_PS CA'!L185</f>
        <v>379.11222720000001</v>
      </c>
      <c r="M25" s="322">
        <f>+'RECHAZADOS A CA'!M25+'RECH-RECUP_PS CA'!M185</f>
        <v>384.70191840000001</v>
      </c>
      <c r="N25" s="322">
        <f>+'RECHAZADOS A CA'!N25+'RECH-RECUP_PS CA'!N185</f>
        <v>390.3829776</v>
      </c>
      <c r="O25" s="322">
        <f>+'RECHAZADOS A CA'!O25+'RECH-RECUP_PS CA'!O185</f>
        <v>396.15743519999995</v>
      </c>
      <c r="P25" s="322">
        <f>+'RECHAZADOS A CA'!P25+'RECH-RECUP_PS CA'!P185</f>
        <v>402.02529119999997</v>
      </c>
      <c r="Q25" s="322">
        <f>+'RECHAZADOS A CA'!Q25+'RECH-RECUP_PS CA'!Q185</f>
        <v>407.98959120000001</v>
      </c>
      <c r="R25" s="322">
        <f>+'RECHAZADOS A CA'!R25+'RECH-RECUP_PS CA'!R185</f>
        <v>414.05033519999995</v>
      </c>
      <c r="S25" s="322">
        <f>+'RECHAZADOS A CA'!S25+'RECH-RECUP_PS CA'!S185</f>
        <v>420.21056879999992</v>
      </c>
      <c r="T25" s="322">
        <f>+'RECHAZADOS A CA'!T25+'RECH-RECUP_PS CA'!T185</f>
        <v>426.47130720000001</v>
      </c>
      <c r="U25" s="322">
        <f>+'RECHAZADOS A CA'!U25+'RECH-RECUP_PS CA'!U185</f>
        <v>432.83356560000004</v>
      </c>
      <c r="V25" s="322">
        <f>+'RECHAZADOS A CA'!V25+'RECH-RECUP_PS CA'!V185</f>
        <v>439.30038959999996</v>
      </c>
      <c r="W25" s="322">
        <f>+'RECHAZADOS A CA'!W25+'RECH-RECUP_PS CA'!W185</f>
        <v>445.87177919999999</v>
      </c>
      <c r="X25" s="322">
        <f>+'RECHAZADOS A CA'!X25+'RECH-RECUP_PS CA'!X185</f>
        <v>452.5517951999999</v>
      </c>
      <c r="Y25" s="322">
        <f>+'RECHAZADOS A CA'!Y25+'RECH-RECUP_PS CA'!Y185</f>
        <v>459.33942239999999</v>
      </c>
      <c r="Z25" s="322">
        <f>+'RECHAZADOS A CA'!Z25+'RECH-RECUP_PS CA'!Z185</f>
        <v>466.23872159999996</v>
      </c>
      <c r="AA25" s="343">
        <f t="shared" si="1"/>
        <v>424.70174817600002</v>
      </c>
    </row>
    <row r="26" spans="1:27" ht="24.95" customHeight="1">
      <c r="A26" s="260" t="str">
        <f>+Pobl_adoptada!A26</f>
        <v>Tigre</v>
      </c>
      <c r="B26" s="70">
        <f>+Pobl_adoptada!B26</f>
        <v>22</v>
      </c>
      <c r="C26" s="71" t="str">
        <f>+Pobl_adoptada!C26</f>
        <v>Tigre</v>
      </c>
      <c r="D26" s="341"/>
      <c r="E26" s="278"/>
      <c r="F26" s="263"/>
      <c r="G26" s="322">
        <f>+'RECHAZADOS A CA'!G26+'RECH-RECUP_PS CA'!G186</f>
        <v>645.194568</v>
      </c>
      <c r="H26" s="322">
        <f>+'RECHAZADOS A CA'!H26+'RECH-RECUP_PS CA'!H186</f>
        <v>616.79511504000004</v>
      </c>
      <c r="I26" s="322">
        <f>+'RECHAZADOS A CA'!I26+'RECH-RECUP_PS CA'!I186</f>
        <v>587.43566639999995</v>
      </c>
      <c r="J26" s="322">
        <f>+'RECHAZADOS A CA'!J26+'RECH-RECUP_PS CA'!J186</f>
        <v>540.88953600000002</v>
      </c>
      <c r="K26" s="322">
        <f>+'RECHAZADOS A CA'!K26+'RECH-RECUP_PS CA'!K186</f>
        <v>492.97198319999995</v>
      </c>
      <c r="L26" s="322">
        <f>+'RECHAZADOS A CA'!L26+'RECH-RECUP_PS CA'!L186</f>
        <v>499.14338399999997</v>
      </c>
      <c r="M26" s="322">
        <f>+'RECHAZADOS A CA'!M26+'RECH-RECUP_PS CA'!M186</f>
        <v>505.3137696</v>
      </c>
      <c r="N26" s="322">
        <f>+'RECHAZADOS A CA'!N26+'RECH-RECUP_PS CA'!N186</f>
        <v>511.48517039999996</v>
      </c>
      <c r="O26" s="322">
        <f>+'RECHAZADOS A CA'!O26+'RECH-RECUP_PS CA'!O186</f>
        <v>517.65657120000003</v>
      </c>
      <c r="P26" s="322">
        <f>+'RECHAZADOS A CA'!P26+'RECH-RECUP_PS CA'!P186</f>
        <v>523.82797200000005</v>
      </c>
      <c r="Q26" s="322">
        <f>+'RECHAZADOS A CA'!Q26+'RECH-RECUP_PS CA'!Q186</f>
        <v>529.99937279999995</v>
      </c>
      <c r="R26" s="322">
        <f>+'RECHAZADOS A CA'!R26+'RECH-RECUP_PS CA'!R186</f>
        <v>536.17077360000008</v>
      </c>
      <c r="S26" s="322">
        <f>+'RECHAZADOS A CA'!S26+'RECH-RECUP_PS CA'!S186</f>
        <v>542.34217439999998</v>
      </c>
      <c r="T26" s="322">
        <f>+'RECHAZADOS A CA'!T26+'RECH-RECUP_PS CA'!T186</f>
        <v>548.51357519999999</v>
      </c>
      <c r="U26" s="322">
        <f>+'RECHAZADOS A CA'!U26+'RECH-RECUP_PS CA'!U186</f>
        <v>554.68497599999989</v>
      </c>
      <c r="V26" s="322">
        <f>+'RECHAZADOS A CA'!V26+'RECH-RECUP_PS CA'!V186</f>
        <v>560.85637680000002</v>
      </c>
      <c r="W26" s="322">
        <f>+'RECHAZADOS A CA'!W26+'RECH-RECUP_PS CA'!W186</f>
        <v>567.02777759999992</v>
      </c>
      <c r="X26" s="322">
        <f>+'RECHAZADOS A CA'!X26+'RECH-RECUP_PS CA'!X186</f>
        <v>573.19917839999994</v>
      </c>
      <c r="Y26" s="322">
        <f>+'RECHAZADOS A CA'!Y26+'RECH-RECUP_PS CA'!Y186</f>
        <v>579.37057920000007</v>
      </c>
      <c r="Z26" s="322">
        <f>+'RECHAZADOS A CA'!Z26+'RECH-RECUP_PS CA'!Z186</f>
        <v>585.54198000000008</v>
      </c>
      <c r="AA26" s="343">
        <f t="shared" si="1"/>
        <v>550.92102499199996</v>
      </c>
    </row>
    <row r="27" spans="1:27" ht="24.95" customHeight="1">
      <c r="A27" s="260" t="str">
        <f>+Pobl_adoptada!A27</f>
        <v>Tres de Febrero</v>
      </c>
      <c r="B27" s="70">
        <f>+Pobl_adoptada!B27</f>
        <v>23</v>
      </c>
      <c r="C27" s="71" t="str">
        <f>+Pobl_adoptada!C27</f>
        <v>Tres de Febrero</v>
      </c>
      <c r="D27" s="341"/>
      <c r="E27" s="278"/>
      <c r="F27" s="263"/>
      <c r="G27" s="322">
        <f>+'RECHAZADOS A CA'!G27+'RECH-RECUP_PS CA'!G187</f>
        <v>491.15773055999995</v>
      </c>
      <c r="H27" s="322">
        <f>+'RECHAZADOS A CA'!H27+'RECH-RECUP_PS CA'!H187</f>
        <v>464.47633439999998</v>
      </c>
      <c r="I27" s="322">
        <f>+'RECHAZADOS A CA'!I27+'RECH-RECUP_PS CA'!I187</f>
        <v>437.68599599999993</v>
      </c>
      <c r="J27" s="322">
        <f>+'RECHAZADOS A CA'!J27+'RECH-RECUP_PS CA'!J187</f>
        <v>398.82019200000002</v>
      </c>
      <c r="K27" s="322">
        <f>+'RECHAZADOS A CA'!K27+'RECH-RECUP_PS CA'!K187</f>
        <v>359.78180400000002</v>
      </c>
      <c r="L27" s="322">
        <f>+'RECHAZADOS A CA'!L27+'RECH-RECUP_PS CA'!L187</f>
        <v>360.63964799999997</v>
      </c>
      <c r="M27" s="322">
        <f>+'RECHAZADOS A CA'!M27+'RECH-RECUP_PS CA'!M187</f>
        <v>361.51170480000002</v>
      </c>
      <c r="N27" s="322">
        <f>+'RECHAZADOS A CA'!N27+'RECH-RECUP_PS CA'!N187</f>
        <v>362.39797440000001</v>
      </c>
      <c r="O27" s="322">
        <f>+'RECHAZADOS A CA'!O27+'RECH-RECUP_PS CA'!O187</f>
        <v>363.29845679999994</v>
      </c>
      <c r="P27" s="322">
        <f>+'RECHAZADOS A CA'!P27+'RECH-RECUP_PS CA'!P187</f>
        <v>364.21416719999996</v>
      </c>
      <c r="Q27" s="322">
        <f>+'RECHAZADOS A CA'!Q27+'RECH-RECUP_PS CA'!Q187</f>
        <v>365.14510560000002</v>
      </c>
      <c r="R27" s="322">
        <f>+'RECHAZADOS A CA'!R27+'RECH-RECUP_PS CA'!R187</f>
        <v>366.09025679999996</v>
      </c>
      <c r="S27" s="322">
        <f>+'RECHAZADOS A CA'!S27+'RECH-RECUP_PS CA'!S187</f>
        <v>367.050636</v>
      </c>
      <c r="T27" s="322">
        <f>+'RECHAZADOS A CA'!T27+'RECH-RECUP_PS CA'!T187</f>
        <v>368.02725839999999</v>
      </c>
      <c r="U27" s="322">
        <f>+'RECHAZADOS A CA'!U27+'RECH-RECUP_PS CA'!U187</f>
        <v>369.02012399999995</v>
      </c>
      <c r="V27" s="322">
        <f>+'RECHAZADOS A CA'!V27+'RECH-RECUP_PS CA'!V187</f>
        <v>370.02923279999999</v>
      </c>
      <c r="W27" s="322">
        <f>+'RECHAZADOS A CA'!W27+'RECH-RECUP_PS CA'!W187</f>
        <v>371.0535696</v>
      </c>
      <c r="X27" s="322">
        <f>+'RECHAZADOS A CA'!X27+'RECH-RECUP_PS CA'!X187</f>
        <v>372.09617999999995</v>
      </c>
      <c r="Y27" s="322">
        <f>+'RECHAZADOS A CA'!Y27+'RECH-RECUP_PS CA'!Y187</f>
        <v>373.15503359999997</v>
      </c>
      <c r="Z27" s="322">
        <f>+'RECHAZADOS A CA'!Z27+'RECH-RECUP_PS CA'!Z187</f>
        <v>374.23114560000005</v>
      </c>
      <c r="AA27" s="343">
        <f t="shared" si="1"/>
        <v>382.99412752799992</v>
      </c>
    </row>
    <row r="28" spans="1:27" ht="24.95" customHeight="1">
      <c r="A28" s="260" t="str">
        <f>+Pobl_adoptada!A28</f>
        <v>Vicente López</v>
      </c>
      <c r="B28" s="70">
        <f>+Pobl_adoptada!B28</f>
        <v>24</v>
      </c>
      <c r="C28" s="71" t="str">
        <f>+Pobl_adoptada!C28</f>
        <v>Vicente López</v>
      </c>
      <c r="D28" s="341"/>
      <c r="E28" s="278"/>
      <c r="F28" s="263"/>
      <c r="G28" s="322">
        <f>+'RECHAZADOS A CA'!G28+'RECH-RECUP_PS CA'!G188</f>
        <v>258.11127743999998</v>
      </c>
      <c r="H28" s="322">
        <f>+'RECHAZADOS A CA'!H28+'RECH-RECUP_PS CA'!H188</f>
        <v>242.56189151999999</v>
      </c>
      <c r="I28" s="322">
        <f>+'RECHAZADOS A CA'!I28+'RECH-RECUP_PS CA'!I188</f>
        <v>227.11524000000003</v>
      </c>
      <c r="J28" s="322">
        <f>+'RECHAZADOS A CA'!J28+'RECH-RECUP_PS CA'!J188</f>
        <v>205.60425599999999</v>
      </c>
      <c r="K28" s="322">
        <f>+'RECHAZADOS A CA'!K28+'RECH-RECUP_PS CA'!K188</f>
        <v>184.25435039999999</v>
      </c>
      <c r="L28" s="322">
        <f>+'RECHAZADOS A CA'!L28+'RECH-RECUP_PS CA'!L188</f>
        <v>183.45091679999999</v>
      </c>
      <c r="M28" s="322">
        <f>+'RECHAZADOS A CA'!M28+'RECH-RECUP_PS CA'!M188</f>
        <v>182.6349984</v>
      </c>
      <c r="N28" s="322">
        <f>+'RECHAZADOS A CA'!N28+'RECH-RECUP_PS CA'!N188</f>
        <v>181.80586080000003</v>
      </c>
      <c r="O28" s="322">
        <f>+'RECHAZADOS A CA'!O28+'RECH-RECUP_PS CA'!O188</f>
        <v>180.9627696</v>
      </c>
      <c r="P28" s="322">
        <f>+'RECHAZADOS A CA'!P28+'RECH-RECUP_PS CA'!P188</f>
        <v>180.10645920000002</v>
      </c>
      <c r="Q28" s="322">
        <f>+'RECHAZADOS A CA'!Q28+'RECH-RECUP_PS CA'!Q188</f>
        <v>179.23619520000003</v>
      </c>
      <c r="R28" s="322">
        <f>+'RECHAZADOS A CA'!R28+'RECH-RECUP_PS CA'!R188</f>
        <v>178.3512432</v>
      </c>
      <c r="S28" s="322">
        <f>+'RECHAZADOS A CA'!S28+'RECH-RECUP_PS CA'!S188</f>
        <v>177.45233760000002</v>
      </c>
      <c r="T28" s="322">
        <f>+'RECHAZADOS A CA'!T28+'RECH-RECUP_PS CA'!T188</f>
        <v>176.53800960000001</v>
      </c>
      <c r="U28" s="322">
        <f>+'RECHAZADOS A CA'!U28+'RECH-RECUP_PS CA'!U188</f>
        <v>175.60972800000002</v>
      </c>
      <c r="V28" s="322">
        <f>+'RECHAZADOS A CA'!V28+'RECH-RECUP_PS CA'!V188</f>
        <v>174.66528959999999</v>
      </c>
      <c r="W28" s="322">
        <f>+'RECHAZADOS A CA'!W28+'RECH-RECUP_PS CA'!W188</f>
        <v>173.70616319999999</v>
      </c>
      <c r="X28" s="322">
        <f>+'RECHAZADOS A CA'!X28+'RECH-RECUP_PS CA'!X188</f>
        <v>172.73088000000001</v>
      </c>
      <c r="Y28" s="322">
        <f>+'RECHAZADOS A CA'!Y28+'RECH-RECUP_PS CA'!Y188</f>
        <v>171.74017440000003</v>
      </c>
      <c r="Z28" s="322">
        <f>+'RECHAZADOS A CA'!Z28+'RECH-RECUP_PS CA'!Z188</f>
        <v>170.73331200000001</v>
      </c>
      <c r="AA28" s="343">
        <f t="shared" si="1"/>
        <v>188.86856764799998</v>
      </c>
    </row>
    <row r="29" spans="1:27" ht="24.95" customHeight="1">
      <c r="A29" s="260" t="str">
        <f>+Pobl_adoptada!A29</f>
        <v>25 de Mayo</v>
      </c>
      <c r="B29" s="70">
        <f>+Pobl_adoptada!B29</f>
        <v>25</v>
      </c>
      <c r="C29" s="71" t="str">
        <f>+Pobl_adoptada!C29</f>
        <v>25 de Mayo</v>
      </c>
      <c r="D29" s="341"/>
      <c r="E29" s="278"/>
      <c r="F29" s="263"/>
      <c r="G29" s="322">
        <f>+'RECHAZADOS A CA'!G29+'RECH-RECUP_PS CA'!G189</f>
        <v>26.239630080000001</v>
      </c>
      <c r="H29" s="322">
        <f>+'RECHAZADOS A CA'!H29+'RECH-RECUP_PS CA'!H189</f>
        <v>24.857576640000001</v>
      </c>
      <c r="I29" s="322">
        <f>+'RECHAZADOS A CA'!I29+'RECH-RECUP_PS CA'!I189</f>
        <v>23.463651200000001</v>
      </c>
      <c r="J29" s="322">
        <f>+'RECHAZADOS A CA'!J29+'RECH-RECUP_PS CA'!J189</f>
        <v>21.416240000000002</v>
      </c>
      <c r="K29" s="322">
        <f>+'RECHAZADOS A CA'!K29+'RECH-RECUP_PS CA'!K189</f>
        <v>19.351699199999999</v>
      </c>
      <c r="L29" s="322">
        <f>+'RECHAZADOS A CA'!L29+'RECH-RECUP_PS CA'!L189</f>
        <v>19.428782400000003</v>
      </c>
      <c r="M29" s="322">
        <f>+'RECHAZADOS A CA'!M29+'RECH-RECUP_PS CA'!M189</f>
        <v>19.506628800000001</v>
      </c>
      <c r="N29" s="322">
        <f>+'RECHAZADOS A CA'!N29+'RECH-RECUP_PS CA'!N189</f>
        <v>19.585238400000001</v>
      </c>
      <c r="O29" s="322">
        <f>+'RECHAZADOS A CA'!O29+'RECH-RECUP_PS CA'!O189</f>
        <v>19.6630848</v>
      </c>
      <c r="P29" s="322">
        <f>+'RECHAZADOS A CA'!P29+'RECH-RECUP_PS CA'!P189</f>
        <v>19.742457600000005</v>
      </c>
      <c r="Q29" s="322">
        <f>+'RECHAZADOS A CA'!Q29+'RECH-RECUP_PS CA'!Q189</f>
        <v>19.821067200000002</v>
      </c>
      <c r="R29" s="322">
        <f>+'RECHAZADOS A CA'!R29+'RECH-RECUP_PS CA'!R189</f>
        <v>19.90044</v>
      </c>
      <c r="S29" s="322">
        <f>+'RECHAZADOS A CA'!S29+'RECH-RECUP_PS CA'!S189</f>
        <v>19.980576000000003</v>
      </c>
      <c r="T29" s="322">
        <f>+'RECHAZADOS A CA'!T29+'RECH-RECUP_PS CA'!T189</f>
        <v>20.059948800000001</v>
      </c>
      <c r="U29" s="322">
        <f>+'RECHAZADOS A CA'!U29+'RECH-RECUP_PS CA'!U189</f>
        <v>20.140847999999998</v>
      </c>
      <c r="V29" s="322">
        <f>+'RECHAZADOS A CA'!V29+'RECH-RECUP_PS CA'!V189</f>
        <v>20.220984000000001</v>
      </c>
      <c r="W29" s="322">
        <f>+'RECHAZADOS A CA'!W29+'RECH-RECUP_PS CA'!W189</f>
        <v>20.302646400000004</v>
      </c>
      <c r="X29" s="322">
        <f>+'RECHAZADOS A CA'!X29+'RECH-RECUP_PS CA'!X189</f>
        <v>20.383545599999998</v>
      </c>
      <c r="Y29" s="322">
        <f>+'RECHAZADOS A CA'!Y29+'RECH-RECUP_PS CA'!Y189</f>
        <v>20.465208000000001</v>
      </c>
      <c r="Z29" s="322">
        <f>+'RECHAZADOS A CA'!Z29+'RECH-RECUP_PS CA'!Z189</f>
        <v>20.546870400000003</v>
      </c>
      <c r="AA29" s="343">
        <f t="shared" si="1"/>
        <v>20.753856175999999</v>
      </c>
    </row>
    <row r="30" spans="1:27" ht="24.95" customHeight="1">
      <c r="A30" s="260" t="str">
        <f>+Pobl_adoptada!A30</f>
        <v>9 de Julio</v>
      </c>
      <c r="B30" s="70">
        <f>+Pobl_adoptada!B30</f>
        <v>26</v>
      </c>
      <c r="C30" s="71" t="str">
        <f>+Pobl_adoptada!C30</f>
        <v>9 de Julio</v>
      </c>
      <c r="D30" s="341"/>
      <c r="E30" s="278"/>
      <c r="F30" s="263"/>
      <c r="G30" s="322">
        <f>+'RECHAZADOS A CA'!G30+'RECH-RECUP_PS CA'!G190</f>
        <v>44.114418560000004</v>
      </c>
      <c r="H30" s="322">
        <f>+'RECHAZADOS A CA'!H30+'RECH-RECUP_PS CA'!H190</f>
        <v>41.94554832</v>
      </c>
      <c r="I30" s="322">
        <f>+'RECHAZADOS A CA'!I30+'RECH-RECUP_PS CA'!I190</f>
        <v>39.739145600000001</v>
      </c>
      <c r="J30" s="322">
        <f>+'RECHAZADOS A CA'!J30+'RECH-RECUP_PS CA'!J190</f>
        <v>36.401248000000002</v>
      </c>
      <c r="K30" s="322">
        <f>+'RECHAZADOS A CA'!K30+'RECH-RECUP_PS CA'!K190</f>
        <v>33.009163200000003</v>
      </c>
      <c r="L30" s="322">
        <f>+'RECHAZADOS A CA'!L30+'RECH-RECUP_PS CA'!L190</f>
        <v>33.256440000000005</v>
      </c>
      <c r="M30" s="322">
        <f>+'RECHAZADOS A CA'!M30+'RECH-RECUP_PS CA'!M190</f>
        <v>33.504480000000001</v>
      </c>
      <c r="N30" s="322">
        <f>+'RECHAZADOS A CA'!N30+'RECH-RECUP_PS CA'!N190</f>
        <v>33.751756800000003</v>
      </c>
      <c r="O30" s="322">
        <f>+'RECHAZADOS A CA'!O30+'RECH-RECUP_PS CA'!O190</f>
        <v>33.999796800000006</v>
      </c>
      <c r="P30" s="322">
        <f>+'RECHAZADOS A CA'!P30+'RECH-RECUP_PS CA'!P190</f>
        <v>34.247073600000007</v>
      </c>
      <c r="Q30" s="322">
        <f>+'RECHAZADOS A CA'!Q30+'RECH-RECUP_PS CA'!Q190</f>
        <v>34.495113600000003</v>
      </c>
      <c r="R30" s="322">
        <f>+'RECHAZADOS A CA'!R30+'RECH-RECUP_PS CA'!R190</f>
        <v>34.742390400000005</v>
      </c>
      <c r="S30" s="322">
        <f>+'RECHAZADOS A CA'!S30+'RECH-RECUP_PS CA'!S190</f>
        <v>34.990430400000001</v>
      </c>
      <c r="T30" s="322">
        <f>+'RECHAZADOS A CA'!T30+'RECH-RECUP_PS CA'!T190</f>
        <v>35.237707200000003</v>
      </c>
      <c r="U30" s="322">
        <f>+'RECHAZADOS A CA'!U30+'RECH-RECUP_PS CA'!U190</f>
        <v>35.484983999999997</v>
      </c>
      <c r="V30" s="322">
        <f>+'RECHAZADOS A CA'!V30+'RECH-RECUP_PS CA'!V190</f>
        <v>35.733024000000007</v>
      </c>
      <c r="W30" s="322">
        <f>+'RECHAZADOS A CA'!W30+'RECH-RECUP_PS CA'!W190</f>
        <v>35.980300800000002</v>
      </c>
      <c r="X30" s="322">
        <f>+'RECHAZADOS A CA'!X30+'RECH-RECUP_PS CA'!X190</f>
        <v>36.228340800000005</v>
      </c>
      <c r="Y30" s="322">
        <f>+'RECHAZADOS A CA'!Y30+'RECH-RECUP_PS CA'!Y190</f>
        <v>36.4756176</v>
      </c>
      <c r="Z30" s="322">
        <f>+'RECHAZADOS A CA'!Z30+'RECH-RECUP_PS CA'!Z190</f>
        <v>36.723657599999996</v>
      </c>
      <c r="AA30" s="343">
        <f t="shared" si="1"/>
        <v>36.003031864</v>
      </c>
    </row>
    <row r="31" spans="1:27" ht="24.95" customHeight="1">
      <c r="A31" s="260" t="str">
        <f>+Pobl_adoptada!A31</f>
        <v>Adolfo Alsina</v>
      </c>
      <c r="B31" s="70">
        <f>+Pobl_adoptada!B31</f>
        <v>27</v>
      </c>
      <c r="C31" s="71" t="str">
        <f>+Pobl_adoptada!C31</f>
        <v>Carhué</v>
      </c>
      <c r="D31" s="341"/>
      <c r="E31" s="278"/>
      <c r="F31" s="263"/>
      <c r="G31" s="322">
        <f>+'RECHAZADOS A CA'!G31+'RECH-RECUP_PS CA'!G191</f>
        <v>9.4832422400000009</v>
      </c>
      <c r="H31" s="322">
        <f>+'RECHAZADOS A CA'!H31+'RECH-RECUP_PS CA'!H191</f>
        <v>8.9969817599999988</v>
      </c>
      <c r="I31" s="322">
        <f>+'RECHAZADOS A CA'!I31+'RECH-RECUP_PS CA'!I191</f>
        <v>8.505657600000001</v>
      </c>
      <c r="J31" s="322">
        <f>+'RECHAZADOS A CA'!J31+'RECH-RECUP_PS CA'!J191</f>
        <v>7.7751040000000007</v>
      </c>
      <c r="K31" s="322">
        <f>+'RECHAZADOS A CA'!K31+'RECH-RECUP_PS CA'!K191</f>
        <v>7.0353503999999996</v>
      </c>
      <c r="L31" s="322">
        <f>+'RECHAZADOS A CA'!L31+'RECH-RECUP_PS CA'!L191</f>
        <v>7.0737696000000003</v>
      </c>
      <c r="M31" s="322">
        <f>+'RECHAZADOS A CA'!M31+'RECH-RECUP_PS CA'!M191</f>
        <v>7.1121888000000002</v>
      </c>
      <c r="N31" s="322">
        <f>+'RECHAZADOS A CA'!N31+'RECH-RECUP_PS CA'!N191</f>
        <v>7.1499455999999997</v>
      </c>
      <c r="O31" s="322">
        <f>+'RECHAZADOS A CA'!O31+'RECH-RECUP_PS CA'!O191</f>
        <v>7.1883648000000004</v>
      </c>
      <c r="P31" s="322">
        <f>+'RECHAZADOS A CA'!P31+'RECH-RECUP_PS CA'!P191</f>
        <v>7.2267840000000003</v>
      </c>
      <c r="Q31" s="322">
        <f>+'RECHAZADOS A CA'!Q31+'RECH-RECUP_PS CA'!Q191</f>
        <v>7.2645408000000016</v>
      </c>
      <c r="R31" s="322">
        <f>+'RECHAZADOS A CA'!R31+'RECH-RECUP_PS CA'!R191</f>
        <v>7.3029600000000006</v>
      </c>
      <c r="S31" s="322">
        <f>+'RECHAZADOS A CA'!S31+'RECH-RECUP_PS CA'!S191</f>
        <v>7.3413792000000004</v>
      </c>
      <c r="T31" s="322">
        <f>+'RECHAZADOS A CA'!T31+'RECH-RECUP_PS CA'!T191</f>
        <v>7.3791360000000008</v>
      </c>
      <c r="U31" s="322">
        <f>+'RECHAZADOS A CA'!U31+'RECH-RECUP_PS CA'!U191</f>
        <v>7.4175552000000007</v>
      </c>
      <c r="V31" s="322">
        <f>+'RECHAZADOS A CA'!V31+'RECH-RECUP_PS CA'!V191</f>
        <v>7.4559744000000006</v>
      </c>
      <c r="W31" s="322">
        <f>+'RECHAZADOS A CA'!W31+'RECH-RECUP_PS CA'!W191</f>
        <v>7.4943936000000022</v>
      </c>
      <c r="X31" s="322">
        <f>+'RECHAZADOS A CA'!X31+'RECH-RECUP_PS CA'!X191</f>
        <v>7.532150399999999</v>
      </c>
      <c r="Y31" s="322">
        <f>+'RECHAZADOS A CA'!Y31+'RECH-RECUP_PS CA'!Y191</f>
        <v>7.5705696000000007</v>
      </c>
      <c r="Z31" s="322">
        <f>+'RECHAZADOS A CA'!Z31+'RECH-RECUP_PS CA'!Z191</f>
        <v>7.6089888000000014</v>
      </c>
      <c r="AA31" s="343">
        <f t="shared" si="1"/>
        <v>7.5957518400000001</v>
      </c>
    </row>
    <row r="32" spans="1:27" ht="24.95" customHeight="1">
      <c r="A32" s="260" t="str">
        <f>+Pobl_adoptada!A32</f>
        <v>Adolfo Gonzáles Chaves</v>
      </c>
      <c r="B32" s="70">
        <f>+Pobl_adoptada!B32</f>
        <v>28</v>
      </c>
      <c r="C32" s="71" t="str">
        <f>+Pobl_adoptada!C32</f>
        <v>Adolfo Gonzáles Chaves</v>
      </c>
      <c r="D32" s="341"/>
      <c r="E32" s="278"/>
      <c r="F32" s="263"/>
      <c r="G32" s="322">
        <f>+'RECHAZADOS A CA'!G32+'RECH-RECUP_PS CA'!G192</f>
        <v>8.8370931200000005</v>
      </c>
      <c r="H32" s="322">
        <f>+'RECHAZADOS A CA'!H32+'RECH-RECUP_PS CA'!H192</f>
        <v>8.4071145600000001</v>
      </c>
      <c r="I32" s="322">
        <f>+'RECHAZADOS A CA'!I32+'RECH-RECUP_PS CA'!I192</f>
        <v>7.9688927999999999</v>
      </c>
      <c r="J32" s="322">
        <f>+'RECHAZADOS A CA'!J32+'RECH-RECUP_PS CA'!J192</f>
        <v>7.3033280000000005</v>
      </c>
      <c r="K32" s="322">
        <f>+'RECHAZADOS A CA'!K32+'RECH-RECUP_PS CA'!K192</f>
        <v>6.6259872</v>
      </c>
      <c r="L32" s="322">
        <f>+'RECHAZADOS A CA'!L32+'RECH-RECUP_PS CA'!L192</f>
        <v>6.7034880000000001</v>
      </c>
      <c r="M32" s="322">
        <f>+'RECHAZADOS A CA'!M32+'RECH-RECUP_PS CA'!M192</f>
        <v>6.7809888000000011</v>
      </c>
      <c r="N32" s="322">
        <f>+'RECHAZADOS A CA'!N32+'RECH-RECUP_PS CA'!N192</f>
        <v>6.8584895999999995</v>
      </c>
      <c r="O32" s="322">
        <f>+'RECHAZADOS A CA'!O32+'RECH-RECUP_PS CA'!O192</f>
        <v>6.9359903999999997</v>
      </c>
      <c r="P32" s="322">
        <f>+'RECHAZADOS A CA'!P32+'RECH-RECUP_PS CA'!P192</f>
        <v>7.0134912000000016</v>
      </c>
      <c r="Q32" s="322">
        <f>+'RECHAZADOS A CA'!Q32+'RECH-RECUP_PS CA'!Q192</f>
        <v>7.0909920000000008</v>
      </c>
      <c r="R32" s="322">
        <f>+'RECHAZADOS A CA'!R32+'RECH-RECUP_PS CA'!R192</f>
        <v>7.1684927999999992</v>
      </c>
      <c r="S32" s="322">
        <f>+'RECHAZADOS A CA'!S32+'RECH-RECUP_PS CA'!S192</f>
        <v>7.2459936000000003</v>
      </c>
      <c r="T32" s="322">
        <f>+'RECHAZADOS A CA'!T32+'RECH-RECUP_PS CA'!T192</f>
        <v>7.3234944000000013</v>
      </c>
      <c r="U32" s="322">
        <f>+'RECHAZADOS A CA'!U32+'RECH-RECUP_PS CA'!U192</f>
        <v>7.4009951999999997</v>
      </c>
      <c r="V32" s="322">
        <f>+'RECHAZADOS A CA'!V32+'RECH-RECUP_PS CA'!V192</f>
        <v>7.4784960000000016</v>
      </c>
      <c r="W32" s="322">
        <f>+'RECHAZADOS A CA'!W32+'RECH-RECUP_PS CA'!W192</f>
        <v>7.5559968000000008</v>
      </c>
      <c r="X32" s="322">
        <f>+'RECHAZADOS A CA'!X32+'RECH-RECUP_PS CA'!X192</f>
        <v>7.6334975999999992</v>
      </c>
      <c r="Y32" s="322">
        <f>+'RECHAZADOS A CA'!Y32+'RECH-RECUP_PS CA'!Y192</f>
        <v>7.7109984000000003</v>
      </c>
      <c r="Z32" s="322">
        <f>+'RECHAZADOS A CA'!Z32+'RECH-RECUP_PS CA'!Z192</f>
        <v>7.7884992000000013</v>
      </c>
      <c r="AA32" s="343">
        <f t="shared" si="1"/>
        <v>7.3916159840000004</v>
      </c>
    </row>
    <row r="33" spans="1:27" ht="24.95" customHeight="1">
      <c r="A33" s="260" t="str">
        <f>+Pobl_adoptada!A33</f>
        <v>Alberti</v>
      </c>
      <c r="B33" s="70">
        <f>+Pobl_adoptada!B33</f>
        <v>29</v>
      </c>
      <c r="C33" s="71" t="str">
        <f>+Pobl_adoptada!C33</f>
        <v>Alberti</v>
      </c>
      <c r="D33" s="341"/>
      <c r="E33" s="278"/>
      <c r="F33" s="263"/>
      <c r="G33" s="322">
        <f>+'RECHAZADOS A CA'!G33+'RECH-RECUP_PS CA'!G193</f>
        <v>9.3938035200000023</v>
      </c>
      <c r="H33" s="322">
        <f>+'RECHAZADOS A CA'!H33+'RECH-RECUP_PS CA'!H193</f>
        <v>8.9892316799999996</v>
      </c>
      <c r="I33" s="322">
        <f>+'RECHAZADOS A CA'!I33+'RECH-RECUP_PS CA'!I193</f>
        <v>8.5696160000000017</v>
      </c>
      <c r="J33" s="322">
        <f>+'RECHAZADOS A CA'!J33+'RECH-RECUP_PS CA'!J193</f>
        <v>7.8972800000000003</v>
      </c>
      <c r="K33" s="322">
        <f>+'RECHAZADOS A CA'!K33+'RECH-RECUP_PS CA'!K193</f>
        <v>7.2042623999999993</v>
      </c>
      <c r="L33" s="322">
        <f>+'RECHAZADOS A CA'!L33+'RECH-RECUP_PS CA'!L193</f>
        <v>7.3248192000000003</v>
      </c>
      <c r="M33" s="322">
        <f>+'RECHAZADOS A CA'!M33+'RECH-RECUP_PS CA'!M193</f>
        <v>7.4447136000000009</v>
      </c>
      <c r="N33" s="322">
        <f>+'RECHAZADOS A CA'!N33+'RECH-RECUP_PS CA'!N193</f>
        <v>7.5652704000000002</v>
      </c>
      <c r="O33" s="322">
        <f>+'RECHAZADOS A CA'!O33+'RECH-RECUP_PS CA'!O193</f>
        <v>7.6858272000000012</v>
      </c>
      <c r="P33" s="322">
        <f>+'RECHAZADOS A CA'!P33+'RECH-RECUP_PS CA'!P193</f>
        <v>7.8063840000000004</v>
      </c>
      <c r="Q33" s="322">
        <f>+'RECHAZADOS A CA'!Q33+'RECH-RECUP_PS CA'!Q193</f>
        <v>7.9262784000000002</v>
      </c>
      <c r="R33" s="322">
        <f>+'RECHAZADOS A CA'!R33+'RECH-RECUP_PS CA'!R193</f>
        <v>8.0468352000000003</v>
      </c>
      <c r="S33" s="322">
        <f>+'RECHAZADOS A CA'!S33+'RECH-RECUP_PS CA'!S193</f>
        <v>8.1673920000000013</v>
      </c>
      <c r="T33" s="322">
        <f>+'RECHAZADOS A CA'!T33+'RECH-RECUP_PS CA'!T193</f>
        <v>8.2872864000000011</v>
      </c>
      <c r="U33" s="322">
        <f>+'RECHAZADOS A CA'!U33+'RECH-RECUP_PS CA'!U193</f>
        <v>8.4078432000000003</v>
      </c>
      <c r="V33" s="322">
        <f>+'RECHAZADOS A CA'!V33+'RECH-RECUP_PS CA'!V193</f>
        <v>8.5284000000000013</v>
      </c>
      <c r="W33" s="322">
        <f>+'RECHAZADOS A CA'!W33+'RECH-RECUP_PS CA'!W193</f>
        <v>8.648294400000001</v>
      </c>
      <c r="X33" s="322">
        <f>+'RECHAZADOS A CA'!X33+'RECH-RECUP_PS CA'!X193</f>
        <v>8.7688512000000021</v>
      </c>
      <c r="Y33" s="322">
        <f>+'RECHAZADOS A CA'!Y33+'RECH-RECUP_PS CA'!Y193</f>
        <v>8.8894079999999995</v>
      </c>
      <c r="Z33" s="322">
        <f>+'RECHAZADOS A CA'!Z33+'RECH-RECUP_PS CA'!Z193</f>
        <v>9.0099647999999988</v>
      </c>
      <c r="AA33" s="343">
        <f t="shared" si="1"/>
        <v>8.2280880800000009</v>
      </c>
    </row>
    <row r="34" spans="1:27" ht="24.95" customHeight="1">
      <c r="A34" s="260" t="str">
        <f>+Pobl_adoptada!A34</f>
        <v>Arrecifes</v>
      </c>
      <c r="B34" s="70">
        <f>+Pobl_adoptada!B34</f>
        <v>30</v>
      </c>
      <c r="C34" s="71" t="str">
        <f>+Pobl_adoptada!C34</f>
        <v>Arrecifes</v>
      </c>
      <c r="D34" s="341"/>
      <c r="E34" s="278"/>
      <c r="F34" s="263"/>
      <c r="G34" s="322">
        <f>+'RECHAZADOS A CA'!G34+'RECH-RECUP_PS CA'!G194</f>
        <v>32.082926719999996</v>
      </c>
      <c r="H34" s="322">
        <f>+'RECHAZADOS A CA'!H34+'RECH-RECUP_PS CA'!H194</f>
        <v>30.546622080000002</v>
      </c>
      <c r="I34" s="322">
        <f>+'RECHAZADOS A CA'!I34+'RECH-RECUP_PS CA'!I194</f>
        <v>28.9802304</v>
      </c>
      <c r="J34" s="322">
        <f>+'RECHAZADOS A CA'!J34+'RECH-RECUP_PS CA'!J194</f>
        <v>26.584800000000001</v>
      </c>
      <c r="K34" s="322">
        <f>+'RECHAZADOS A CA'!K34+'RECH-RECUP_PS CA'!K194</f>
        <v>24.143832</v>
      </c>
      <c r="L34" s="322">
        <f>+'RECHAZADOS A CA'!L34+'RECH-RECUP_PS CA'!L194</f>
        <v>24.363633600000004</v>
      </c>
      <c r="M34" s="322">
        <f>+'RECHAZADOS A CA'!M34+'RECH-RECUP_PS CA'!M194</f>
        <v>24.584961600000003</v>
      </c>
      <c r="N34" s="322">
        <f>+'RECHAZADOS A CA'!N34+'RECH-RECUP_PS CA'!N194</f>
        <v>24.807816000000003</v>
      </c>
      <c r="O34" s="322">
        <f>+'RECHAZADOS A CA'!O34+'RECH-RECUP_PS CA'!O194</f>
        <v>25.033723200000004</v>
      </c>
      <c r="P34" s="322">
        <f>+'RECHAZADOS A CA'!P34+'RECH-RECUP_PS CA'!P194</f>
        <v>25.261156800000002</v>
      </c>
      <c r="Q34" s="322">
        <f>+'RECHAZADOS A CA'!Q34+'RECH-RECUP_PS CA'!Q194</f>
        <v>25.490116800000003</v>
      </c>
      <c r="R34" s="322">
        <f>+'RECHAZADOS A CA'!R34+'RECH-RECUP_PS CA'!R194</f>
        <v>25.722129600000002</v>
      </c>
      <c r="S34" s="322">
        <f>+'RECHAZADOS A CA'!S34+'RECH-RECUP_PS CA'!S194</f>
        <v>25.955668799999998</v>
      </c>
      <c r="T34" s="322">
        <f>+'RECHAZADOS A CA'!T34+'RECH-RECUP_PS CA'!T194</f>
        <v>26.191497600000002</v>
      </c>
      <c r="U34" s="322">
        <f>+'RECHAZADOS A CA'!U34+'RECH-RECUP_PS CA'!U194</f>
        <v>26.429616000000003</v>
      </c>
      <c r="V34" s="322">
        <f>+'RECHAZADOS A CA'!V34+'RECH-RECUP_PS CA'!V194</f>
        <v>26.670024000000005</v>
      </c>
      <c r="W34" s="322">
        <f>+'RECHAZADOS A CA'!W34+'RECH-RECUP_PS CA'!W194</f>
        <v>26.911958400000003</v>
      </c>
      <c r="X34" s="322">
        <f>+'RECHAZADOS A CA'!X34+'RECH-RECUP_PS CA'!X194</f>
        <v>27.156945600000004</v>
      </c>
      <c r="Y34" s="322">
        <f>+'RECHAZADOS A CA'!Y34+'RECH-RECUP_PS CA'!Y194</f>
        <v>27.403459200000004</v>
      </c>
      <c r="Z34" s="322">
        <f>+'RECHAZADOS A CA'!Z34+'RECH-RECUP_PS CA'!Z194</f>
        <v>27.652262400000005</v>
      </c>
      <c r="AA34" s="343">
        <f t="shared" si="1"/>
        <v>26.598669040000004</v>
      </c>
    </row>
    <row r="35" spans="1:27" ht="24.95" customHeight="1">
      <c r="A35" s="260" t="str">
        <f>+Pobl_adoptada!A35</f>
        <v>Ayacucho</v>
      </c>
      <c r="B35" s="70">
        <f>+Pobl_adoptada!B35</f>
        <v>31</v>
      </c>
      <c r="C35" s="71" t="str">
        <f>+Pobl_adoptada!C35</f>
        <v>Ayacucho</v>
      </c>
      <c r="D35" s="341"/>
      <c r="E35" s="278"/>
      <c r="F35" s="263"/>
      <c r="G35" s="322">
        <f>+'RECHAZADOS A CA'!G35+'RECH-RECUP_PS CA'!G195</f>
        <v>20.11347456</v>
      </c>
      <c r="H35" s="322">
        <f>+'RECHAZADOS A CA'!H35+'RECH-RECUP_PS CA'!H195</f>
        <v>19.094119200000002</v>
      </c>
      <c r="I35" s="322">
        <f>+'RECHAZADOS A CA'!I35+'RECH-RECUP_PS CA'!I195</f>
        <v>18.059940799999996</v>
      </c>
      <c r="J35" s="322">
        <f>+'RECHAZADOS A CA'!J35+'RECH-RECUP_PS CA'!J195</f>
        <v>16.518192000000003</v>
      </c>
      <c r="K35" s="322">
        <f>+'RECHAZADOS A CA'!K35+'RECH-RECUP_PS CA'!K195</f>
        <v>14.9564304</v>
      </c>
      <c r="L35" s="322">
        <f>+'RECHAZADOS A CA'!L35+'RECH-RECUP_PS CA'!L195</f>
        <v>15.047251200000002</v>
      </c>
      <c r="M35" s="322">
        <f>+'RECHAZADOS A CA'!M35+'RECH-RECUP_PS CA'!M195</f>
        <v>15.138072000000001</v>
      </c>
      <c r="N35" s="322">
        <f>+'RECHAZADOS A CA'!N35+'RECH-RECUP_PS CA'!N195</f>
        <v>15.2304192</v>
      </c>
      <c r="O35" s="322">
        <f>+'RECHAZADOS A CA'!O35+'RECH-RECUP_PS CA'!O195</f>
        <v>15.322766400000003</v>
      </c>
      <c r="P35" s="322">
        <f>+'RECHAZADOS A CA'!P35+'RECH-RECUP_PS CA'!P195</f>
        <v>15.415876800000003</v>
      </c>
      <c r="Q35" s="322">
        <f>+'RECHAZADOS A CA'!Q35+'RECH-RECUP_PS CA'!Q195</f>
        <v>15.508987200000004</v>
      </c>
      <c r="R35" s="322">
        <f>+'RECHAZADOS A CA'!R35+'RECH-RECUP_PS CA'!R195</f>
        <v>15.603624000000002</v>
      </c>
      <c r="S35" s="322">
        <f>+'RECHAZADOS A CA'!S35+'RECH-RECUP_PS CA'!S195</f>
        <v>15.6982608</v>
      </c>
      <c r="T35" s="322">
        <f>+'RECHAZADOS A CA'!T35+'RECH-RECUP_PS CA'!T195</f>
        <v>15.792897600000002</v>
      </c>
      <c r="U35" s="322">
        <f>+'RECHAZADOS A CA'!U35+'RECH-RECUP_PS CA'!U195</f>
        <v>15.889060799999999</v>
      </c>
      <c r="V35" s="322">
        <f>+'RECHAZADOS A CA'!V35+'RECH-RECUP_PS CA'!V195</f>
        <v>15.985224000000002</v>
      </c>
      <c r="W35" s="322">
        <f>+'RECHAZADOS A CA'!W35+'RECH-RECUP_PS CA'!W195</f>
        <v>16.0821504</v>
      </c>
      <c r="X35" s="322">
        <f>+'RECHAZADOS A CA'!X35+'RECH-RECUP_PS CA'!X195</f>
        <v>16.179840000000002</v>
      </c>
      <c r="Y35" s="322">
        <f>+'RECHAZADOS A CA'!Y35+'RECH-RECUP_PS CA'!Y195</f>
        <v>16.278292799999999</v>
      </c>
      <c r="Z35" s="322">
        <f>+'RECHAZADOS A CA'!Z35+'RECH-RECUP_PS CA'!Z195</f>
        <v>16.3767456</v>
      </c>
      <c r="AA35" s="343">
        <f t="shared" si="1"/>
        <v>16.214581287999998</v>
      </c>
    </row>
    <row r="36" spans="1:27" ht="24.95" customHeight="1">
      <c r="A36" s="260" t="str">
        <f>+Pobl_adoptada!A36</f>
        <v>Azul</v>
      </c>
      <c r="B36" s="70">
        <f>+Pobl_adoptada!B36</f>
        <v>32</v>
      </c>
      <c r="C36" s="71" t="str">
        <f>+Pobl_adoptada!C36</f>
        <v>Azul</v>
      </c>
      <c r="D36" s="341"/>
      <c r="E36" s="278"/>
      <c r="F36" s="263"/>
      <c r="G36" s="322">
        <f>+'RECHAZADOS A CA'!G36+'RECH-RECUP_PS CA'!G196</f>
        <v>65.664368639999992</v>
      </c>
      <c r="H36" s="322">
        <f>+'RECHAZADOS A CA'!H36+'RECH-RECUP_PS CA'!H196</f>
        <v>62.703145440000007</v>
      </c>
      <c r="I36" s="322">
        <f>+'RECHAZADOS A CA'!I36+'RECH-RECUP_PS CA'!I196</f>
        <v>59.651803200000003</v>
      </c>
      <c r="J36" s="322">
        <f>+'RECHAZADOS A CA'!J36+'RECH-RECUP_PS CA'!J196</f>
        <v>54.865392000000007</v>
      </c>
      <c r="K36" s="322">
        <f>+'RECHAZADOS A CA'!K36+'RECH-RECUP_PS CA'!K196</f>
        <v>49.951684799999995</v>
      </c>
      <c r="L36" s="322">
        <f>+'RECHAZADOS A CA'!L36+'RECH-RECUP_PS CA'!L196</f>
        <v>50.704444799999997</v>
      </c>
      <c r="M36" s="322">
        <f>+'RECHAZADOS A CA'!M36+'RECH-RECUP_PS CA'!M196</f>
        <v>51.456470400000001</v>
      </c>
      <c r="N36" s="322">
        <f>+'RECHAZADOS A CA'!N36+'RECH-RECUP_PS CA'!N196</f>
        <v>52.20923040000001</v>
      </c>
      <c r="O36" s="322">
        <f>+'RECHAZADOS A CA'!O36+'RECH-RECUP_PS CA'!O196</f>
        <v>52.961256000000006</v>
      </c>
      <c r="P36" s="322">
        <f>+'RECHAZADOS A CA'!P36+'RECH-RECUP_PS CA'!P196</f>
        <v>53.714016000000001</v>
      </c>
      <c r="Q36" s="322">
        <f>+'RECHAZADOS A CA'!Q36+'RECH-RECUP_PS CA'!Q196</f>
        <v>54.466041599999997</v>
      </c>
      <c r="R36" s="322">
        <f>+'RECHAZADOS A CA'!R36+'RECH-RECUP_PS CA'!R196</f>
        <v>55.218801599999999</v>
      </c>
      <c r="S36" s="322">
        <f>+'RECHAZADOS A CA'!S36+'RECH-RECUP_PS CA'!S196</f>
        <v>55.971561600000001</v>
      </c>
      <c r="T36" s="322">
        <f>+'RECHAZADOS A CA'!T36+'RECH-RECUP_PS CA'!T196</f>
        <v>56.723587199999997</v>
      </c>
      <c r="U36" s="322">
        <f>+'RECHAZADOS A CA'!U36+'RECH-RECUP_PS CA'!U196</f>
        <v>57.476347199999999</v>
      </c>
      <c r="V36" s="322">
        <f>+'RECHAZADOS A CA'!V36+'RECH-RECUP_PS CA'!V196</f>
        <v>58.22837280000001</v>
      </c>
      <c r="W36" s="322">
        <f>+'RECHAZADOS A CA'!W36+'RECH-RECUP_PS CA'!W196</f>
        <v>58.981132800000012</v>
      </c>
      <c r="X36" s="322">
        <f>+'RECHAZADOS A CA'!X36+'RECH-RECUP_PS CA'!X196</f>
        <v>59.733158400000008</v>
      </c>
      <c r="Y36" s="322">
        <f>+'RECHAZADOS A CA'!Y36+'RECH-RECUP_PS CA'!Y196</f>
        <v>60.485918399999996</v>
      </c>
      <c r="Z36" s="322">
        <f>+'RECHAZADOS A CA'!Z36+'RECH-RECUP_PS CA'!Z196</f>
        <v>61.238678400000005</v>
      </c>
      <c r="AA36" s="343">
        <f t="shared" si="1"/>
        <v>56.620270584000004</v>
      </c>
    </row>
    <row r="37" spans="1:27" ht="24.95" customHeight="1">
      <c r="A37" s="260" t="str">
        <f>+Pobl_adoptada!A37</f>
        <v>Bahía Blanca</v>
      </c>
      <c r="B37" s="70">
        <f>+Pobl_adoptada!B37</f>
        <v>33</v>
      </c>
      <c r="C37" s="71" t="str">
        <f>+Pobl_adoptada!C37</f>
        <v>Bahía Blanca</v>
      </c>
      <c r="D37" s="341"/>
      <c r="E37" s="278"/>
      <c r="F37" s="263"/>
      <c r="G37" s="322">
        <f>+'RECHAZADOS A CA'!G37+'RECH-RECUP_PS CA'!G197</f>
        <v>470.11398815999996</v>
      </c>
      <c r="H37" s="322">
        <f>+'RECHAZADOS A CA'!H37+'RECH-RECUP_PS CA'!H197</f>
        <v>448.65769103999997</v>
      </c>
      <c r="I37" s="322">
        <f>+'RECHAZADOS A CA'!I37+'RECH-RECUP_PS CA'!I197</f>
        <v>426.59200319999997</v>
      </c>
      <c r="J37" s="322">
        <f>+'RECHAZADOS A CA'!J37+'RECH-RECUP_PS CA'!J197</f>
        <v>392.15371199999998</v>
      </c>
      <c r="K37" s="322">
        <f>+'RECHAZADOS A CA'!K37+'RECH-RECUP_PS CA'!K197</f>
        <v>356.84787599999999</v>
      </c>
      <c r="L37" s="322">
        <f>+'RECHAZADOS A CA'!L37+'RECH-RECUP_PS CA'!L197</f>
        <v>362.01524399999994</v>
      </c>
      <c r="M37" s="322">
        <f>+'RECHAZADOS A CA'!M37+'RECH-RECUP_PS CA'!M197</f>
        <v>367.18362719999999</v>
      </c>
      <c r="N37" s="322">
        <f>+'RECHAZADOS A CA'!N37+'RECH-RECUP_PS CA'!N197</f>
        <v>372.35099519999994</v>
      </c>
      <c r="O37" s="322">
        <f>+'RECHAZADOS A CA'!O37+'RECH-RECUP_PS CA'!O197</f>
        <v>377.51937839999994</v>
      </c>
      <c r="P37" s="322">
        <f>+'RECHAZADOS A CA'!P37+'RECH-RECUP_PS CA'!P197</f>
        <v>382.6867464</v>
      </c>
      <c r="Q37" s="322">
        <f>+'RECHAZADOS A CA'!Q37+'RECH-RECUP_PS CA'!Q197</f>
        <v>387.85512959999994</v>
      </c>
      <c r="R37" s="322">
        <f>+'RECHAZADOS A CA'!R37+'RECH-RECUP_PS CA'!R197</f>
        <v>393.02249759999995</v>
      </c>
      <c r="S37" s="322">
        <f>+'RECHAZADOS A CA'!S37+'RECH-RECUP_PS CA'!S197</f>
        <v>398.18986559999996</v>
      </c>
      <c r="T37" s="322">
        <f>+'RECHAZADOS A CA'!T37+'RECH-RECUP_PS CA'!T197</f>
        <v>403.3582487999999</v>
      </c>
      <c r="U37" s="322">
        <f>+'RECHAZADOS A CA'!U37+'RECH-RECUP_PS CA'!U197</f>
        <v>408.52561679999997</v>
      </c>
      <c r="V37" s="322">
        <f>+'RECHAZADOS A CA'!V37+'RECH-RECUP_PS CA'!V197</f>
        <v>413.69400000000007</v>
      </c>
      <c r="W37" s="322">
        <f>+'RECHAZADOS A CA'!W37+'RECH-RECUP_PS CA'!W197</f>
        <v>418.86136799999997</v>
      </c>
      <c r="X37" s="322">
        <f>+'RECHAZADOS A CA'!X37+'RECH-RECUP_PS CA'!X197</f>
        <v>424.02975120000002</v>
      </c>
      <c r="Y37" s="322">
        <f>+'RECHAZADOS A CA'!Y37+'RECH-RECUP_PS CA'!Y197</f>
        <v>429.19711920000003</v>
      </c>
      <c r="Z37" s="322">
        <f>+'RECHAZADOS A CA'!Z37+'RECH-RECUP_PS CA'!Z197</f>
        <v>434.36550239999997</v>
      </c>
      <c r="AA37" s="343">
        <f t="shared" si="1"/>
        <v>403.36101803999998</v>
      </c>
    </row>
    <row r="38" spans="1:27" ht="24.95" customHeight="1">
      <c r="A38" s="260" t="str">
        <f>+Pobl_adoptada!A38</f>
        <v>Balcarce</v>
      </c>
      <c r="B38" s="70">
        <f>+Pobl_adoptada!B38</f>
        <v>34</v>
      </c>
      <c r="C38" s="71" t="str">
        <f>+Pobl_adoptada!C38</f>
        <v>Balcarce</v>
      </c>
      <c r="D38" s="341"/>
      <c r="E38" s="278"/>
      <c r="F38" s="263"/>
      <c r="G38" s="322">
        <f>+'RECHAZADOS A CA'!G38+'RECH-RECUP_PS CA'!G198</f>
        <v>50.778952319999995</v>
      </c>
      <c r="H38" s="322">
        <f>+'RECHAZADOS A CA'!H38+'RECH-RECUP_PS CA'!H198</f>
        <v>48.615839999999999</v>
      </c>
      <c r="I38" s="322">
        <f>+'RECHAZADOS A CA'!I38+'RECH-RECUP_PS CA'!I198</f>
        <v>46.379748800000002</v>
      </c>
      <c r="J38" s="322">
        <f>+'RECHAZADOS A CA'!J38+'RECH-RECUP_PS CA'!J198</f>
        <v>42.784143999999998</v>
      </c>
      <c r="K38" s="322">
        <f>+'RECHAZADOS A CA'!K38+'RECH-RECUP_PS CA'!K198</f>
        <v>39.074313600000004</v>
      </c>
      <c r="L38" s="322">
        <f>+'RECHAZADOS A CA'!L38+'RECH-RECUP_PS CA'!L198</f>
        <v>39.6512928</v>
      </c>
      <c r="M38" s="322">
        <f>+'RECHAZADOS A CA'!M38+'RECH-RECUP_PS CA'!M198</f>
        <v>40.238193600000002</v>
      </c>
      <c r="N38" s="322">
        <f>+'RECHAZADOS A CA'!N38+'RECH-RECUP_PS CA'!N198</f>
        <v>40.835016000000003</v>
      </c>
      <c r="O38" s="322">
        <f>+'RECHAZADOS A CA'!O38+'RECH-RECUP_PS CA'!O198</f>
        <v>41.440996800000008</v>
      </c>
      <c r="P38" s="322">
        <f>+'RECHAZADOS A CA'!P38+'RECH-RECUP_PS CA'!P198</f>
        <v>42.056899200000004</v>
      </c>
      <c r="Q38" s="322">
        <f>+'RECHAZADOS A CA'!Q38+'RECH-RECUP_PS CA'!Q198</f>
        <v>42.682723200000012</v>
      </c>
      <c r="R38" s="322">
        <f>+'RECHAZADOS A CA'!R38+'RECH-RECUP_PS CA'!R198</f>
        <v>43.319232000000007</v>
      </c>
      <c r="S38" s="322">
        <f>+'RECHAZADOS A CA'!S38+'RECH-RECUP_PS CA'!S198</f>
        <v>43.965662400000006</v>
      </c>
      <c r="T38" s="322">
        <f>+'RECHAZADOS A CA'!T38+'RECH-RECUP_PS CA'!T198</f>
        <v>44.622777599999999</v>
      </c>
      <c r="U38" s="322">
        <f>+'RECHAZADOS A CA'!U38+'RECH-RECUP_PS CA'!U198</f>
        <v>45.290577600000006</v>
      </c>
      <c r="V38" s="322">
        <f>+'RECHAZADOS A CA'!V38+'RECH-RECUP_PS CA'!V198</f>
        <v>45.9698256</v>
      </c>
      <c r="W38" s="322">
        <f>+'RECHAZADOS A CA'!W38+'RECH-RECUP_PS CA'!W198</f>
        <v>46.659758400000008</v>
      </c>
      <c r="X38" s="322">
        <f>+'RECHAZADOS A CA'!X38+'RECH-RECUP_PS CA'!X198</f>
        <v>47.360376000000002</v>
      </c>
      <c r="Y38" s="322">
        <f>+'RECHAZADOS A CA'!Y38+'RECH-RECUP_PS CA'!Y198</f>
        <v>48.073204799999999</v>
      </c>
      <c r="Z38" s="322">
        <f>+'RECHAZADOS A CA'!Z38+'RECH-RECUP_PS CA'!Z198</f>
        <v>48.797481600000005</v>
      </c>
      <c r="AA38" s="343">
        <f t="shared" si="1"/>
        <v>44.429850815999998</v>
      </c>
    </row>
    <row r="39" spans="1:27" ht="24.95" customHeight="1">
      <c r="A39" s="260" t="str">
        <f>+Pobl_adoptada!A39</f>
        <v>Baradero</v>
      </c>
      <c r="B39" s="70">
        <f>+Pobl_adoptada!B39</f>
        <v>35</v>
      </c>
      <c r="C39" s="71" t="str">
        <f>+Pobl_adoptada!C39</f>
        <v>Baradero</v>
      </c>
      <c r="D39" s="341"/>
      <c r="E39" s="278"/>
      <c r="F39" s="263"/>
      <c r="G39" s="322">
        <f>+'RECHAZADOS A CA'!G39+'RECH-RECUP_PS CA'!G199</f>
        <v>35.257465600000003</v>
      </c>
      <c r="H39" s="322">
        <f>+'RECHAZADOS A CA'!H39+'RECH-RECUP_PS CA'!H199</f>
        <v>33.604459200000008</v>
      </c>
      <c r="I39" s="322">
        <f>+'RECHAZADOS A CA'!I39+'RECH-RECUP_PS CA'!I199</f>
        <v>31.913886399999999</v>
      </c>
      <c r="J39" s="322">
        <f>+'RECHAZADOS A CA'!J39+'RECH-RECUP_PS CA'!J199</f>
        <v>29.306031999999998</v>
      </c>
      <c r="K39" s="322">
        <f>+'RECHAZADOS A CA'!K39+'RECH-RECUP_PS CA'!K199</f>
        <v>26.6425488</v>
      </c>
      <c r="L39" s="322">
        <f>+'RECHAZADOS A CA'!L39+'RECH-RECUP_PS CA'!L199</f>
        <v>26.912721600000001</v>
      </c>
      <c r="M39" s="322">
        <f>+'RECHAZADOS A CA'!M39+'RECH-RECUP_PS CA'!M199</f>
        <v>27.185184000000003</v>
      </c>
      <c r="N39" s="322">
        <f>+'RECHAZADOS A CA'!N39+'RECH-RECUP_PS CA'!N199</f>
        <v>27.460699200000001</v>
      </c>
      <c r="O39" s="322">
        <f>+'RECHAZADOS A CA'!O39+'RECH-RECUP_PS CA'!O199</f>
        <v>27.738504000000006</v>
      </c>
      <c r="P39" s="322">
        <f>+'RECHAZADOS A CA'!P39+'RECH-RECUP_PS CA'!P199</f>
        <v>28.0193616</v>
      </c>
      <c r="Q39" s="322">
        <f>+'RECHAZADOS A CA'!Q39+'RECH-RECUP_PS CA'!Q199</f>
        <v>28.303272</v>
      </c>
      <c r="R39" s="322">
        <f>+'RECHAZADOS A CA'!R39+'RECH-RECUP_PS CA'!R199</f>
        <v>28.590235200000002</v>
      </c>
      <c r="S39" s="322">
        <f>+'RECHAZADOS A CA'!S39+'RECH-RECUP_PS CA'!S199</f>
        <v>28.879487999999998</v>
      </c>
      <c r="T39" s="322">
        <f>+'RECHAZADOS A CA'!T39+'RECH-RECUP_PS CA'!T199</f>
        <v>29.171793600000004</v>
      </c>
      <c r="U39" s="322">
        <f>+'RECHAZADOS A CA'!U39+'RECH-RECUP_PS CA'!U199</f>
        <v>29.467915200000004</v>
      </c>
      <c r="V39" s="322">
        <f>+'RECHAZADOS A CA'!V39+'RECH-RECUP_PS CA'!V199</f>
        <v>29.766326400000001</v>
      </c>
      <c r="W39" s="322">
        <f>+'RECHAZADOS A CA'!W39+'RECH-RECUP_PS CA'!W199</f>
        <v>30.067790400000003</v>
      </c>
      <c r="X39" s="322">
        <f>+'RECHAZADOS A CA'!X39+'RECH-RECUP_PS CA'!X199</f>
        <v>30.372307199999998</v>
      </c>
      <c r="Y39" s="322">
        <f>+'RECHAZADOS A CA'!Y39+'RECH-RECUP_PS CA'!Y199</f>
        <v>30.679876799999999</v>
      </c>
      <c r="Z39" s="322">
        <f>+'RECHAZADOS A CA'!Z39+'RECH-RECUP_PS CA'!Z199</f>
        <v>30.990499200000002</v>
      </c>
      <c r="AA39" s="343">
        <f t="shared" si="1"/>
        <v>29.516518319999999</v>
      </c>
    </row>
    <row r="40" spans="1:27" ht="24.95" customHeight="1">
      <c r="A40" s="260" t="str">
        <f>+Pobl_adoptada!A40</f>
        <v>Benito Juárez</v>
      </c>
      <c r="B40" s="70">
        <f>+Pobl_adoptada!B40</f>
        <v>36</v>
      </c>
      <c r="C40" s="71" t="str">
        <f>+Pobl_adoptada!C40</f>
        <v>Benito Juárez</v>
      </c>
      <c r="D40" s="341"/>
      <c r="E40" s="278"/>
      <c r="F40" s="263"/>
      <c r="G40" s="322">
        <f>+'RECHAZADOS A CA'!G40+'RECH-RECUP_PS CA'!G200</f>
        <v>16.342723840000001</v>
      </c>
      <c r="H40" s="322">
        <f>+'RECHAZADOS A CA'!H40+'RECH-RECUP_PS CA'!H200</f>
        <v>15.51043728</v>
      </c>
      <c r="I40" s="322">
        <f>+'RECHAZADOS A CA'!I40+'RECH-RECUP_PS CA'!I200</f>
        <v>14.667347200000002</v>
      </c>
      <c r="J40" s="322">
        <f>+'RECHAZADOS A CA'!J40+'RECH-RECUP_PS CA'!J200</f>
        <v>13.413664000000001</v>
      </c>
      <c r="K40" s="322">
        <f>+'RECHAZADOS A CA'!K40+'RECH-RECUP_PS CA'!K200</f>
        <v>12.144801600000003</v>
      </c>
      <c r="L40" s="322">
        <f>+'RECHAZADOS A CA'!L40+'RECH-RECUP_PS CA'!L200</f>
        <v>12.218068800000001</v>
      </c>
      <c r="M40" s="322">
        <f>+'RECHAZADOS A CA'!M40+'RECH-RECUP_PS CA'!M200</f>
        <v>12.292862400000002</v>
      </c>
      <c r="N40" s="322">
        <f>+'RECHAZADOS A CA'!N40+'RECH-RECUP_PS CA'!N200</f>
        <v>12.3684192</v>
      </c>
      <c r="O40" s="322">
        <f>+'RECHAZADOS A CA'!O40+'RECH-RECUP_PS CA'!O200</f>
        <v>12.446265600000002</v>
      </c>
      <c r="P40" s="322">
        <f>+'RECHAZADOS A CA'!P40+'RECH-RECUP_PS CA'!P200</f>
        <v>12.524112000000001</v>
      </c>
      <c r="Q40" s="322">
        <f>+'RECHAZADOS A CA'!Q40+'RECH-RECUP_PS CA'!Q200</f>
        <v>12.604248</v>
      </c>
      <c r="R40" s="322">
        <f>+'RECHAZADOS A CA'!R40+'RECH-RECUP_PS CA'!R200</f>
        <v>12.685147200000003</v>
      </c>
      <c r="S40" s="322">
        <f>+'RECHAZADOS A CA'!S40+'RECH-RECUP_PS CA'!S200</f>
        <v>12.767572800000003</v>
      </c>
      <c r="T40" s="322">
        <f>+'RECHAZADOS A CA'!T40+'RECH-RECUP_PS CA'!T200</f>
        <v>12.851524800000002</v>
      </c>
      <c r="U40" s="322">
        <f>+'RECHAZADOS A CA'!U40+'RECH-RECUP_PS CA'!U200</f>
        <v>12.93624</v>
      </c>
      <c r="V40" s="322">
        <f>+'RECHAZADOS A CA'!V40+'RECH-RECUP_PS CA'!V200</f>
        <v>13.023244800000001</v>
      </c>
      <c r="W40" s="322">
        <f>+'RECHAZADOS A CA'!W40+'RECH-RECUP_PS CA'!W200</f>
        <v>13.111012800000001</v>
      </c>
      <c r="X40" s="322">
        <f>+'RECHAZADOS A CA'!X40+'RECH-RECUP_PS CA'!X200</f>
        <v>13.200307200000001</v>
      </c>
      <c r="Y40" s="322">
        <f>+'RECHAZADOS A CA'!Y40+'RECH-RECUP_PS CA'!Y200</f>
        <v>13.291128</v>
      </c>
      <c r="Z40" s="322">
        <f>+'RECHAZADOS A CA'!Z40+'RECH-RECUP_PS CA'!Z200</f>
        <v>13.383475199999999</v>
      </c>
      <c r="AA40" s="343">
        <f t="shared" si="1"/>
        <v>13.189130136000003</v>
      </c>
    </row>
    <row r="41" spans="1:27" ht="24.95" customHeight="1">
      <c r="A41" s="260" t="str">
        <f>+Pobl_adoptada!A41</f>
        <v>Berisso</v>
      </c>
      <c r="B41" s="70">
        <f>+Pobl_adoptada!B41</f>
        <v>37</v>
      </c>
      <c r="C41" s="71" t="str">
        <f>+Pobl_adoptada!C41</f>
        <v>Berisso</v>
      </c>
      <c r="D41" s="341"/>
      <c r="E41" s="278"/>
      <c r="F41" s="263"/>
      <c r="G41" s="322">
        <f>+'RECHAZADOS A CA'!G41+'RECH-RECUP_PS CA'!G201</f>
        <v>103.688304</v>
      </c>
      <c r="H41" s="322">
        <f>+'RECHAZADOS A CA'!H41+'RECH-RECUP_PS CA'!H201</f>
        <v>98.791561439999995</v>
      </c>
      <c r="I41" s="322">
        <f>+'RECHAZADOS A CA'!I41+'RECH-RECUP_PS CA'!I201</f>
        <v>93.789326399999993</v>
      </c>
      <c r="J41" s="322">
        <f>+'RECHAZADOS A CA'!J41+'RECH-RECUP_PS CA'!J201</f>
        <v>86.096976000000012</v>
      </c>
      <c r="K41" s="322">
        <f>+'RECHAZADOS A CA'!K41+'RECH-RECUP_PS CA'!K201</f>
        <v>78.24517920000001</v>
      </c>
      <c r="L41" s="322">
        <f>+'RECHAZADOS A CA'!L41+'RECH-RECUP_PS CA'!L201</f>
        <v>79.010424</v>
      </c>
      <c r="M41" s="322">
        <f>+'RECHAZADOS A CA'!M41+'RECH-RECUP_PS CA'!M201</f>
        <v>79.783012799999995</v>
      </c>
      <c r="N41" s="322">
        <f>+'RECHAZADOS A CA'!N41+'RECH-RECUP_PS CA'!N201</f>
        <v>80.562945599999992</v>
      </c>
      <c r="O41" s="322">
        <f>+'RECHAZADOS A CA'!O41+'RECH-RECUP_PS CA'!O201</f>
        <v>81.350956800000006</v>
      </c>
      <c r="P41" s="322">
        <f>+'RECHAZADOS A CA'!P41+'RECH-RECUP_PS CA'!P201</f>
        <v>82.146311999999995</v>
      </c>
      <c r="Q41" s="322">
        <f>+'RECHAZADOS A CA'!Q41+'RECH-RECUP_PS CA'!Q201</f>
        <v>82.9497456</v>
      </c>
      <c r="R41" s="322">
        <f>+'RECHAZADOS A CA'!R41+'RECH-RECUP_PS CA'!R201</f>
        <v>83.761257600000008</v>
      </c>
      <c r="S41" s="322">
        <f>+'RECHAZADOS A CA'!S41+'RECH-RECUP_PS CA'!S201</f>
        <v>84.58011359999999</v>
      </c>
      <c r="T41" s="322">
        <f>+'RECHAZADOS A CA'!T41+'RECH-RECUP_PS CA'!T201</f>
        <v>85.407782400000016</v>
      </c>
      <c r="U41" s="322">
        <f>+'RECHAZADOS A CA'!U41+'RECH-RECUP_PS CA'!U201</f>
        <v>86.242795200000003</v>
      </c>
      <c r="V41" s="322">
        <f>+'RECHAZADOS A CA'!V41+'RECH-RECUP_PS CA'!V201</f>
        <v>87.086620800000006</v>
      </c>
      <c r="W41" s="322">
        <f>+'RECHAZADOS A CA'!W41+'RECH-RECUP_PS CA'!W201</f>
        <v>87.937790399999997</v>
      </c>
      <c r="X41" s="322">
        <f>+'RECHAZADOS A CA'!X41+'RECH-RECUP_PS CA'!X201</f>
        <v>88.797772800000004</v>
      </c>
      <c r="Y41" s="322">
        <f>+'RECHAZADOS A CA'!Y41+'RECH-RECUP_PS CA'!Y201</f>
        <v>89.666568000000012</v>
      </c>
      <c r="Z41" s="322">
        <f>+'RECHAZADOS A CA'!Z41+'RECH-RECUP_PS CA'!Z201</f>
        <v>90.543441599999994</v>
      </c>
      <c r="AA41" s="343">
        <f t="shared" si="1"/>
        <v>86.521944312000016</v>
      </c>
    </row>
    <row r="42" spans="1:27" ht="24.95" customHeight="1">
      <c r="A42" s="260" t="str">
        <f>+Pobl_adoptada!A42</f>
        <v>Bolívar</v>
      </c>
      <c r="B42" s="70">
        <f>+Pobl_adoptada!B42</f>
        <v>38</v>
      </c>
      <c r="C42" s="71" t="str">
        <f>+Pobl_adoptada!C42</f>
        <v>San Carlos de Bolívar</v>
      </c>
      <c r="D42" s="341"/>
      <c r="E42" s="278"/>
      <c r="F42" s="263"/>
      <c r="G42" s="322">
        <f>+'RECHAZADOS A CA'!G42+'RECH-RECUP_PS CA'!G202</f>
        <v>30.779041920000001</v>
      </c>
      <c r="H42" s="322">
        <f>+'RECHAZADOS A CA'!H42+'RECH-RECUP_PS CA'!H202</f>
        <v>29.239947360000002</v>
      </c>
      <c r="I42" s="322">
        <f>+'RECHAZADOS A CA'!I42+'RECH-RECUP_PS CA'!I202</f>
        <v>27.678974400000001</v>
      </c>
      <c r="J42" s="322">
        <f>+'RECHAZADOS A CA'!J42+'RECH-RECUP_PS CA'!J202</f>
        <v>25.334848000000004</v>
      </c>
      <c r="K42" s="322">
        <f>+'RECHAZADOS A CA'!K42+'RECH-RECUP_PS CA'!K202</f>
        <v>22.957819200000003</v>
      </c>
      <c r="L42" s="322">
        <f>+'RECHAZADOS A CA'!L42+'RECH-RECUP_PS CA'!L202</f>
        <v>23.115038399999996</v>
      </c>
      <c r="M42" s="322">
        <f>+'RECHAZADOS A CA'!M42+'RECH-RECUP_PS CA'!M202</f>
        <v>23.273020800000005</v>
      </c>
      <c r="N42" s="322">
        <f>+'RECHAZADOS A CA'!N42+'RECH-RECUP_PS CA'!N202</f>
        <v>23.432529600000002</v>
      </c>
      <c r="O42" s="322">
        <f>+'RECHAZADOS A CA'!O42+'RECH-RECUP_PS CA'!O202</f>
        <v>23.592801600000001</v>
      </c>
      <c r="P42" s="322">
        <f>+'RECHAZADOS A CA'!P42+'RECH-RECUP_PS CA'!P202</f>
        <v>23.7546</v>
      </c>
      <c r="Q42" s="322">
        <f>+'RECHAZADOS A CA'!Q42+'RECH-RECUP_PS CA'!Q202</f>
        <v>23.9171616</v>
      </c>
      <c r="R42" s="322">
        <f>+'RECHAZADOS A CA'!R42+'RECH-RECUP_PS CA'!R202</f>
        <v>24.0812496</v>
      </c>
      <c r="S42" s="322">
        <f>+'RECHAZADOS A CA'!S42+'RECH-RECUP_PS CA'!S202</f>
        <v>24.246100800000001</v>
      </c>
      <c r="T42" s="322">
        <f>+'RECHAZADOS A CA'!T42+'RECH-RECUP_PS CA'!T202</f>
        <v>24.412478400000005</v>
      </c>
      <c r="U42" s="322">
        <f>+'RECHAZADOS A CA'!U42+'RECH-RECUP_PS CA'!U202</f>
        <v>24.5796192</v>
      </c>
      <c r="V42" s="322">
        <f>+'RECHAZADOS A CA'!V42+'RECH-RECUP_PS CA'!V202</f>
        <v>24.748286400000005</v>
      </c>
      <c r="W42" s="322">
        <f>+'RECHAZADOS A CA'!W42+'RECH-RECUP_PS CA'!W202</f>
        <v>24.917716800000001</v>
      </c>
      <c r="X42" s="322">
        <f>+'RECHAZADOS A CA'!X42+'RECH-RECUP_PS CA'!X202</f>
        <v>25.087910399999998</v>
      </c>
      <c r="Y42" s="322">
        <f>+'RECHAZADOS A CA'!Y42+'RECH-RECUP_PS CA'!Y202</f>
        <v>25.259630399999999</v>
      </c>
      <c r="Z42" s="322">
        <f>+'RECHAZADOS A CA'!Z42+'RECH-RECUP_PS CA'!Z202</f>
        <v>25.432876800000003</v>
      </c>
      <c r="AA42" s="343">
        <f t="shared" si="1"/>
        <v>24.992082584000002</v>
      </c>
    </row>
    <row r="43" spans="1:27" ht="24.95" customHeight="1">
      <c r="A43" s="260" t="str">
        <f>+Pobl_adoptada!A43</f>
        <v>Bragado</v>
      </c>
      <c r="B43" s="70">
        <f>+Pobl_adoptada!B43</f>
        <v>39</v>
      </c>
      <c r="C43" s="71" t="str">
        <f>+Pobl_adoptada!C43</f>
        <v>Bragado</v>
      </c>
      <c r="D43" s="341"/>
      <c r="E43" s="278"/>
      <c r="F43" s="263"/>
      <c r="G43" s="322">
        <f>+'RECHAZADOS A CA'!G43+'RECH-RECUP_PS CA'!G203</f>
        <v>36.924124799999994</v>
      </c>
      <c r="H43" s="322">
        <f>+'RECHAZADOS A CA'!H43+'RECH-RECUP_PS CA'!H203</f>
        <v>34.944867360000003</v>
      </c>
      <c r="I43" s="322">
        <f>+'RECHAZADOS A CA'!I43+'RECH-RECUP_PS CA'!I203</f>
        <v>32.953958399999998</v>
      </c>
      <c r="J43" s="322">
        <f>+'RECHAZADOS A CA'!J43+'RECH-RECUP_PS CA'!J203</f>
        <v>30.048031999999999</v>
      </c>
      <c r="K43" s="322">
        <f>+'RECHAZADOS A CA'!K43+'RECH-RECUP_PS CA'!K203</f>
        <v>27.124128000000002</v>
      </c>
      <c r="L43" s="322">
        <f>+'RECHAZADOS A CA'!L43+'RECH-RECUP_PS CA'!L203</f>
        <v>27.2050272</v>
      </c>
      <c r="M43" s="322">
        <f>+'RECHAZADOS A CA'!M43+'RECH-RECUP_PS CA'!M203</f>
        <v>27.285926400000001</v>
      </c>
      <c r="N43" s="322">
        <f>+'RECHAZADOS A CA'!N43+'RECH-RECUP_PS CA'!N203</f>
        <v>27.3675888</v>
      </c>
      <c r="O43" s="322">
        <f>+'RECHAZADOS A CA'!O43+'RECH-RECUP_PS CA'!O203</f>
        <v>27.448488000000001</v>
      </c>
      <c r="P43" s="322">
        <f>+'RECHAZADOS A CA'!P43+'RECH-RECUP_PS CA'!P203</f>
        <v>27.529387200000002</v>
      </c>
      <c r="Q43" s="322">
        <f>+'RECHAZADOS A CA'!Q43+'RECH-RECUP_PS CA'!Q203</f>
        <v>27.6102864</v>
      </c>
      <c r="R43" s="322">
        <f>+'RECHAZADOS A CA'!R43+'RECH-RECUP_PS CA'!R203</f>
        <v>27.691185600000001</v>
      </c>
      <c r="S43" s="322">
        <f>+'RECHAZADOS A CA'!S43+'RECH-RECUP_PS CA'!S203</f>
        <v>27.772084800000002</v>
      </c>
      <c r="T43" s="322">
        <f>+'RECHAZADOS A CA'!T43+'RECH-RECUP_PS CA'!T203</f>
        <v>27.853747200000001</v>
      </c>
      <c r="U43" s="322">
        <f>+'RECHAZADOS A CA'!U43+'RECH-RECUP_PS CA'!U203</f>
        <v>27.934646400000005</v>
      </c>
      <c r="V43" s="322">
        <f>+'RECHAZADOS A CA'!V43+'RECH-RECUP_PS CA'!V203</f>
        <v>28.015545599999999</v>
      </c>
      <c r="W43" s="322">
        <f>+'RECHAZADOS A CA'!W43+'RECH-RECUP_PS CA'!W203</f>
        <v>28.0964448</v>
      </c>
      <c r="X43" s="322">
        <f>+'RECHAZADOS A CA'!X43+'RECH-RECUP_PS CA'!X203</f>
        <v>28.177344000000005</v>
      </c>
      <c r="Y43" s="322">
        <f>+'RECHAZADOS A CA'!Y43+'RECH-RECUP_PS CA'!Y203</f>
        <v>28.259006400000001</v>
      </c>
      <c r="Z43" s="322">
        <f>+'RECHAZADOS A CA'!Z43+'RECH-RECUP_PS CA'!Z203</f>
        <v>28.339905600000005</v>
      </c>
      <c r="AA43" s="343">
        <f t="shared" si="1"/>
        <v>28.929086247999997</v>
      </c>
    </row>
    <row r="44" spans="1:27" ht="24.95" customHeight="1">
      <c r="A44" s="260" t="str">
        <f>+Pobl_adoptada!A44</f>
        <v>Brandsen</v>
      </c>
      <c r="B44" s="70">
        <f>+Pobl_adoptada!B44</f>
        <v>40</v>
      </c>
      <c r="C44" s="71" t="str">
        <f>+Pobl_adoptada!C44</f>
        <v>Coronel Brandsen</v>
      </c>
      <c r="D44" s="341"/>
      <c r="E44" s="278"/>
      <c r="F44" s="263"/>
      <c r="G44" s="322">
        <f>+'RECHAZADOS A CA'!G44+'RECH-RECUP_PS CA'!G204</f>
        <v>28.388936960000002</v>
      </c>
      <c r="H44" s="322">
        <f>+'RECHAZADOS A CA'!H44+'RECH-RECUP_PS CA'!H204</f>
        <v>27.304243200000002</v>
      </c>
      <c r="I44" s="322">
        <f>+'RECHAZADOS A CA'!I44+'RECH-RECUP_PS CA'!I204</f>
        <v>26.166905600000003</v>
      </c>
      <c r="J44" s="322">
        <f>+'RECHAZADOS A CA'!J44+'RECH-RECUP_PS CA'!J204</f>
        <v>24.247712</v>
      </c>
      <c r="K44" s="322">
        <f>+'RECHAZADOS A CA'!K44+'RECH-RECUP_PS CA'!K204</f>
        <v>22.244227200000005</v>
      </c>
      <c r="L44" s="322">
        <f>+'RECHAZADOS A CA'!L44+'RECH-RECUP_PS CA'!L204</f>
        <v>22.6739088</v>
      </c>
      <c r="M44" s="322">
        <f>+'RECHAZADOS A CA'!M44+'RECH-RECUP_PS CA'!M204</f>
        <v>23.111985600000004</v>
      </c>
      <c r="N44" s="322">
        <f>+'RECHAZADOS A CA'!N44+'RECH-RECUP_PS CA'!N204</f>
        <v>23.558457600000004</v>
      </c>
      <c r="O44" s="322">
        <f>+'RECHAZADOS A CA'!O44+'RECH-RECUP_PS CA'!O204</f>
        <v>24.014088000000001</v>
      </c>
      <c r="P44" s="322">
        <f>+'RECHAZADOS A CA'!P44+'RECH-RECUP_PS CA'!P204</f>
        <v>24.478113600000007</v>
      </c>
      <c r="Q44" s="322">
        <f>+'RECHAZADOS A CA'!Q44+'RECH-RECUP_PS CA'!Q204</f>
        <v>24.951297600000004</v>
      </c>
      <c r="R44" s="322">
        <f>+'RECHAZADOS A CA'!R44+'RECH-RECUP_PS CA'!R204</f>
        <v>25.432876800000003</v>
      </c>
      <c r="S44" s="322">
        <f>+'RECHAZADOS A CA'!S44+'RECH-RECUP_PS CA'!S204</f>
        <v>25.924377600000003</v>
      </c>
      <c r="T44" s="322">
        <f>+'RECHAZADOS A CA'!T44+'RECH-RECUP_PS CA'!T204</f>
        <v>26.425036800000004</v>
      </c>
      <c r="U44" s="322">
        <f>+'RECHAZADOS A CA'!U44+'RECH-RECUP_PS CA'!U204</f>
        <v>26.935617600000004</v>
      </c>
      <c r="V44" s="322">
        <f>+'RECHAZADOS A CA'!V44+'RECH-RECUP_PS CA'!V204</f>
        <v>27.456119999999999</v>
      </c>
      <c r="W44" s="322">
        <f>+'RECHAZADOS A CA'!W44+'RECH-RECUP_PS CA'!W204</f>
        <v>27.987307200000004</v>
      </c>
      <c r="X44" s="322">
        <f>+'RECHAZADOS A CA'!X44+'RECH-RECUP_PS CA'!X204</f>
        <v>28.527652800000002</v>
      </c>
      <c r="Y44" s="322">
        <f>+'RECHAZADOS A CA'!Y44+'RECH-RECUP_PS CA'!Y204</f>
        <v>29.078683200000004</v>
      </c>
      <c r="Z44" s="322">
        <f>+'RECHAZADOS A CA'!Z44+'RECH-RECUP_PS CA'!Z204</f>
        <v>29.641161599999997</v>
      </c>
      <c r="AA44" s="343">
        <f t="shared" si="1"/>
        <v>25.927435487999997</v>
      </c>
    </row>
    <row r="45" spans="1:27" ht="24.95" customHeight="1">
      <c r="A45" s="260" t="str">
        <f>+Pobl_adoptada!A45</f>
        <v>Campana</v>
      </c>
      <c r="B45" s="70">
        <f>+Pobl_adoptada!B45</f>
        <v>41</v>
      </c>
      <c r="C45" s="71" t="str">
        <f>+Pobl_adoptada!C45</f>
        <v>Campana</v>
      </c>
      <c r="D45" s="341"/>
      <c r="E45" s="278"/>
      <c r="F45" s="263"/>
      <c r="G45" s="322">
        <f>+'RECHAZADOS A CA'!G45+'RECH-RECUP_PS CA'!G205</f>
        <v>104.1486912</v>
      </c>
      <c r="H45" s="322">
        <f>+'RECHAZADOS A CA'!H45+'RECH-RECUP_PS CA'!H205</f>
        <v>99.227868479999998</v>
      </c>
      <c r="I45" s="322">
        <f>+'RECHAZADOS A CA'!I45+'RECH-RECUP_PS CA'!I205</f>
        <v>94.193246399999992</v>
      </c>
      <c r="J45" s="322">
        <f>+'RECHAZADOS A CA'!J45+'RECH-RECUP_PS CA'!J205</f>
        <v>86.449487999999988</v>
      </c>
      <c r="K45" s="322">
        <f>+'RECHAZADOS A CA'!K45+'RECH-RECUP_PS CA'!K205</f>
        <v>78.541876800000011</v>
      </c>
      <c r="L45" s="322">
        <f>+'RECHAZADOS A CA'!L45+'RECH-RECUP_PS CA'!L205</f>
        <v>79.279214400000015</v>
      </c>
      <c r="M45" s="322">
        <f>+'RECHAZADOS A CA'!M45+'RECH-RECUP_PS CA'!M205</f>
        <v>80.016552000000004</v>
      </c>
      <c r="N45" s="322">
        <f>+'RECHAZADOS A CA'!N45+'RECH-RECUP_PS CA'!N205</f>
        <v>80.753889599999994</v>
      </c>
      <c r="O45" s="322">
        <f>+'RECHAZADOS A CA'!O45+'RECH-RECUP_PS CA'!O205</f>
        <v>81.491227199999997</v>
      </c>
      <c r="P45" s="322">
        <f>+'RECHAZADOS A CA'!P45+'RECH-RECUP_PS CA'!P205</f>
        <v>82.228564800000001</v>
      </c>
      <c r="Q45" s="322">
        <f>+'RECHAZADOS A CA'!Q45+'RECH-RECUP_PS CA'!Q205</f>
        <v>82.96590239999999</v>
      </c>
      <c r="R45" s="322">
        <f>+'RECHAZADOS A CA'!R45+'RECH-RECUP_PS CA'!R205</f>
        <v>83.703240000000008</v>
      </c>
      <c r="S45" s="322">
        <f>+'RECHAZADOS A CA'!S45+'RECH-RECUP_PS CA'!S205</f>
        <v>84.440577599999997</v>
      </c>
      <c r="T45" s="322">
        <f>+'RECHAZADOS A CA'!T45+'RECH-RECUP_PS CA'!T205</f>
        <v>85.177915200000001</v>
      </c>
      <c r="U45" s="322">
        <f>+'RECHAZADOS A CA'!U45+'RECH-RECUP_PS CA'!U205</f>
        <v>85.915252800000005</v>
      </c>
      <c r="V45" s="322">
        <f>+'RECHAZADOS A CA'!V45+'RECH-RECUP_PS CA'!V205</f>
        <v>86.653324799999993</v>
      </c>
      <c r="W45" s="322">
        <f>+'RECHAZADOS A CA'!W45+'RECH-RECUP_PS CA'!W205</f>
        <v>87.390662400000011</v>
      </c>
      <c r="X45" s="322">
        <f>+'RECHAZADOS A CA'!X45+'RECH-RECUP_PS CA'!X205</f>
        <v>88.128</v>
      </c>
      <c r="Y45" s="322">
        <f>+'RECHAZADOS A CA'!Y45+'RECH-RECUP_PS CA'!Y205</f>
        <v>88.865337600000004</v>
      </c>
      <c r="Z45" s="322">
        <f>+'RECHAZADOS A CA'!Z45+'RECH-RECUP_PS CA'!Z205</f>
        <v>89.602675200000007</v>
      </c>
      <c r="AA45" s="343">
        <f t="shared" si="1"/>
        <v>86.458675344</v>
      </c>
    </row>
    <row r="46" spans="1:27" ht="24.95" customHeight="1">
      <c r="A46" s="260" t="str">
        <f>+Pobl_adoptada!A46</f>
        <v>Cañuelas</v>
      </c>
      <c r="B46" s="70">
        <f>+Pobl_adoptada!B46</f>
        <v>42</v>
      </c>
      <c r="C46" s="71" t="str">
        <f>+Pobl_adoptada!C46</f>
        <v>Cañuelas</v>
      </c>
      <c r="D46" s="341"/>
      <c r="E46" s="278"/>
      <c r="F46" s="263"/>
      <c r="G46" s="322">
        <f>+'RECHAZADOS A CA'!G46+'RECH-RECUP_PS CA'!G206</f>
        <v>49.597043840000005</v>
      </c>
      <c r="H46" s="322">
        <f>+'RECHAZADOS A CA'!H46+'RECH-RECUP_PS CA'!H206</f>
        <v>48.01756752</v>
      </c>
      <c r="I46" s="322">
        <f>+'RECHAZADOS A CA'!I46+'RECH-RECUP_PS CA'!I206</f>
        <v>46.310721600000001</v>
      </c>
      <c r="J46" s="322">
        <f>+'RECHAZADOS A CA'!J46+'RECH-RECUP_PS CA'!J206</f>
        <v>43.177616</v>
      </c>
      <c r="K46" s="322">
        <f>+'RECHAZADOS A CA'!K46+'RECH-RECUP_PS CA'!K206</f>
        <v>39.845145600000002</v>
      </c>
      <c r="L46" s="322">
        <f>+'RECHAZADOS A CA'!L46+'RECH-RECUP_PS CA'!L206</f>
        <v>40.845700799999996</v>
      </c>
      <c r="M46" s="322">
        <f>+'RECHAZADOS A CA'!M46+'RECH-RECUP_PS CA'!M206</f>
        <v>41.863809600000003</v>
      </c>
      <c r="N46" s="322">
        <f>+'RECHAZADOS A CA'!N46+'RECH-RECUP_PS CA'!N206</f>
        <v>42.8979456</v>
      </c>
      <c r="O46" s="322">
        <f>+'RECHAZADOS A CA'!O46+'RECH-RECUP_PS CA'!O206</f>
        <v>43.948872000000001</v>
      </c>
      <c r="P46" s="322">
        <f>+'RECHAZADOS A CA'!P46+'RECH-RECUP_PS CA'!P206</f>
        <v>45.016588800000008</v>
      </c>
      <c r="Q46" s="322">
        <f>+'RECHAZADOS A CA'!Q46+'RECH-RECUP_PS CA'!Q206</f>
        <v>46.102622400000008</v>
      </c>
      <c r="R46" s="322">
        <f>+'RECHAZADOS A CA'!R46+'RECH-RECUP_PS CA'!R206</f>
        <v>47.205446400000014</v>
      </c>
      <c r="S46" s="322">
        <f>+'RECHAZADOS A CA'!S46+'RECH-RECUP_PS CA'!S206</f>
        <v>48.326587200000013</v>
      </c>
      <c r="T46" s="322">
        <f>+'RECHAZADOS A CA'!T46+'RECH-RECUP_PS CA'!T206</f>
        <v>49.466044799999999</v>
      </c>
      <c r="U46" s="322">
        <f>+'RECHAZADOS A CA'!U46+'RECH-RECUP_PS CA'!U206</f>
        <v>50.624582400000001</v>
      </c>
      <c r="V46" s="322">
        <f>+'RECHAZADOS A CA'!V46+'RECH-RECUP_PS CA'!V206</f>
        <v>51.801436799999998</v>
      </c>
      <c r="W46" s="322">
        <f>+'RECHAZADOS A CA'!W46+'RECH-RECUP_PS CA'!W206</f>
        <v>52.998134400000005</v>
      </c>
      <c r="X46" s="322">
        <f>+'RECHAZADOS A CA'!X46+'RECH-RECUP_PS CA'!X206</f>
        <v>54.213148800000006</v>
      </c>
      <c r="Y46" s="322">
        <f>+'RECHAZADOS A CA'!Y46+'RECH-RECUP_PS CA'!Y206</f>
        <v>55.448769600000006</v>
      </c>
      <c r="Z46" s="322">
        <f>+'RECHAZADOS A CA'!Z46+'RECH-RECUP_PS CA'!Z206</f>
        <v>56.704996800000004</v>
      </c>
      <c r="AA46" s="343">
        <f t="shared" si="1"/>
        <v>47.72063904800001</v>
      </c>
    </row>
    <row r="47" spans="1:27" ht="24.95" customHeight="1">
      <c r="A47" s="260" t="str">
        <f>+Pobl_adoptada!A47</f>
        <v>Capitán Sarmiento</v>
      </c>
      <c r="B47" s="70">
        <f>+Pobl_adoptada!B47</f>
        <v>43</v>
      </c>
      <c r="C47" s="71" t="str">
        <f>+Pobl_adoptada!C47</f>
        <v>Capitán Sarmiento</v>
      </c>
      <c r="D47" s="341"/>
      <c r="E47" s="278"/>
      <c r="F47" s="263"/>
      <c r="G47" s="322">
        <f>+'RECHAZADOS A CA'!G47+'RECH-RECUP_PS CA'!G207</f>
        <v>16.758074239999999</v>
      </c>
      <c r="H47" s="322">
        <f>+'RECHAZADOS A CA'!H47+'RECH-RECUP_PS CA'!H207</f>
        <v>15.991634880000001</v>
      </c>
      <c r="I47" s="322">
        <f>+'RECHAZADOS A CA'!I47+'RECH-RECUP_PS CA'!I207</f>
        <v>15.203707200000004</v>
      </c>
      <c r="J47" s="322">
        <f>+'RECHAZADOS A CA'!J47+'RECH-RECUP_PS CA'!J207</f>
        <v>13.975039999999998</v>
      </c>
      <c r="K47" s="322">
        <f>+'RECHAZADOS A CA'!K47+'RECH-RECUP_PS CA'!K207</f>
        <v>12.7156752</v>
      </c>
      <c r="L47" s="322">
        <f>+'RECHAZADOS A CA'!L47+'RECH-RECUP_PS CA'!L207</f>
        <v>12.853814400000003</v>
      </c>
      <c r="M47" s="322">
        <f>+'RECHAZADOS A CA'!M47+'RECH-RECUP_PS CA'!M207</f>
        <v>12.991953600000002</v>
      </c>
      <c r="N47" s="322">
        <f>+'RECHAZADOS A CA'!N47+'RECH-RECUP_PS CA'!N207</f>
        <v>13.130855999999998</v>
      </c>
      <c r="O47" s="322">
        <f>+'RECHAZADOS A CA'!O47+'RECH-RECUP_PS CA'!O207</f>
        <v>13.268995199999999</v>
      </c>
      <c r="P47" s="322">
        <f>+'RECHAZADOS A CA'!P47+'RECH-RECUP_PS CA'!P207</f>
        <v>13.4071344</v>
      </c>
      <c r="Q47" s="322">
        <f>+'RECHAZADOS A CA'!Q47+'RECH-RECUP_PS CA'!Q207</f>
        <v>13.5452736</v>
      </c>
      <c r="R47" s="322">
        <f>+'RECHAZADOS A CA'!R47+'RECH-RECUP_PS CA'!R207</f>
        <v>13.683412800000001</v>
      </c>
      <c r="S47" s="322">
        <f>+'RECHAZADOS A CA'!S47+'RECH-RECUP_PS CA'!S207</f>
        <v>13.821552000000002</v>
      </c>
      <c r="T47" s="322">
        <f>+'RECHAZADOS A CA'!T47+'RECH-RECUP_PS CA'!T207</f>
        <v>13.959691200000002</v>
      </c>
      <c r="U47" s="322">
        <f>+'RECHAZADOS A CA'!U47+'RECH-RECUP_PS CA'!U207</f>
        <v>14.097830400000001</v>
      </c>
      <c r="V47" s="322">
        <f>+'RECHAZADOS A CA'!V47+'RECH-RECUP_PS CA'!V207</f>
        <v>14.235969600000001</v>
      </c>
      <c r="W47" s="322">
        <f>+'RECHAZADOS A CA'!W47+'RECH-RECUP_PS CA'!W207</f>
        <v>14.374872000000003</v>
      </c>
      <c r="X47" s="322">
        <f>+'RECHAZADOS A CA'!X47+'RECH-RECUP_PS CA'!X207</f>
        <v>14.513011200000001</v>
      </c>
      <c r="Y47" s="322">
        <f>+'RECHAZADOS A CA'!Y47+'RECH-RECUP_PS CA'!Y207</f>
        <v>14.651150399999999</v>
      </c>
      <c r="Z47" s="322">
        <f>+'RECHAZADOS A CA'!Z47+'RECH-RECUP_PS CA'!Z207</f>
        <v>14.789289600000002</v>
      </c>
      <c r="AA47" s="343">
        <f t="shared" si="1"/>
        <v>14.098446896000002</v>
      </c>
    </row>
    <row r="48" spans="1:27" ht="24.95" customHeight="1">
      <c r="A48" s="260" t="str">
        <f>+Pobl_adoptada!A48</f>
        <v>Carlos Casares</v>
      </c>
      <c r="B48" s="70">
        <f>+Pobl_adoptada!B48</f>
        <v>44</v>
      </c>
      <c r="C48" s="71" t="str">
        <f>+Pobl_adoptada!C48</f>
        <v>Carlos Casares</v>
      </c>
      <c r="D48" s="341"/>
      <c r="E48" s="278"/>
      <c r="F48" s="263"/>
      <c r="G48" s="322">
        <f>+'RECHAZADOS A CA'!G48+'RECH-RECUP_PS CA'!G208</f>
        <v>21.739124480000001</v>
      </c>
      <c r="H48" s="322">
        <f>+'RECHAZADOS A CA'!H48+'RECH-RECUP_PS CA'!H208</f>
        <v>20.665700640000004</v>
      </c>
      <c r="I48" s="322">
        <f>+'RECHAZADOS A CA'!I48+'RECH-RECUP_PS CA'!I208</f>
        <v>19.574808000000001</v>
      </c>
      <c r="J48" s="322">
        <f>+'RECHAZADOS A CA'!J48+'RECH-RECUP_PS CA'!J208</f>
        <v>17.928416000000002</v>
      </c>
      <c r="K48" s="322">
        <f>+'RECHAZADOS A CA'!K48+'RECH-RECUP_PS CA'!K208</f>
        <v>16.256923200000003</v>
      </c>
      <c r="L48" s="322">
        <f>+'RECHAZADOS A CA'!L48+'RECH-RECUP_PS CA'!L208</f>
        <v>16.378272000000003</v>
      </c>
      <c r="M48" s="322">
        <f>+'RECHAZADOS A CA'!M48+'RECH-RECUP_PS CA'!M208</f>
        <v>16.501147200000002</v>
      </c>
      <c r="N48" s="322">
        <f>+'RECHAZADOS A CA'!N48+'RECH-RECUP_PS CA'!N208</f>
        <v>16.624785599999999</v>
      </c>
      <c r="O48" s="322">
        <f>+'RECHAZADOS A CA'!O48+'RECH-RECUP_PS CA'!O208</f>
        <v>16.749187200000005</v>
      </c>
      <c r="P48" s="322">
        <f>+'RECHAZADOS A CA'!P48+'RECH-RECUP_PS CA'!P208</f>
        <v>16.8751152</v>
      </c>
      <c r="Q48" s="322">
        <f>+'RECHAZADOS A CA'!Q48+'RECH-RECUP_PS CA'!Q208</f>
        <v>17.001043200000002</v>
      </c>
      <c r="R48" s="322">
        <f>+'RECHAZADOS A CA'!R48+'RECH-RECUP_PS CA'!R208</f>
        <v>17.128497600000003</v>
      </c>
      <c r="S48" s="322">
        <f>+'RECHAZADOS A CA'!S48+'RECH-RECUP_PS CA'!S208</f>
        <v>17.2574784</v>
      </c>
      <c r="T48" s="322">
        <f>+'RECHAZADOS A CA'!T48+'RECH-RECUP_PS CA'!T208</f>
        <v>17.386459200000001</v>
      </c>
      <c r="U48" s="322">
        <f>+'RECHAZADOS A CA'!U48+'RECH-RECUP_PS CA'!U208</f>
        <v>17.516966400000001</v>
      </c>
      <c r="V48" s="322">
        <f>+'RECHAZADOS A CA'!V48+'RECH-RECUP_PS CA'!V208</f>
        <v>17.648236800000003</v>
      </c>
      <c r="W48" s="322">
        <f>+'RECHAZADOS A CA'!W48+'RECH-RECUP_PS CA'!W208</f>
        <v>17.780270400000003</v>
      </c>
      <c r="X48" s="322">
        <f>+'RECHAZADOS A CA'!X48+'RECH-RECUP_PS CA'!X208</f>
        <v>17.913067200000004</v>
      </c>
      <c r="Y48" s="322">
        <f>+'RECHAZADOS A CA'!Y48+'RECH-RECUP_PS CA'!Y208</f>
        <v>18.047390400000001</v>
      </c>
      <c r="Z48" s="322">
        <f>+'RECHAZADOS A CA'!Z48+'RECH-RECUP_PS CA'!Z208</f>
        <v>18.1824768</v>
      </c>
      <c r="AA48" s="343">
        <f t="shared" si="1"/>
        <v>17.757768296000002</v>
      </c>
    </row>
    <row r="49" spans="1:27" ht="24.95" customHeight="1">
      <c r="A49" s="260" t="str">
        <f>+Pobl_adoptada!A49</f>
        <v>Carlos Tejedor</v>
      </c>
      <c r="B49" s="70">
        <f>+Pobl_adoptada!B49</f>
        <v>45</v>
      </c>
      <c r="C49" s="71" t="str">
        <f>+Pobl_adoptada!C49</f>
        <v>Carlos Tejedor</v>
      </c>
      <c r="D49" s="341"/>
      <c r="E49" s="278"/>
      <c r="F49" s="263"/>
      <c r="G49" s="322">
        <f>+'RECHAZADOS A CA'!G49+'RECH-RECUP_PS CA'!G209</f>
        <v>5.062414079999999</v>
      </c>
      <c r="H49" s="322">
        <f>+'RECHAZADOS A CA'!H49+'RECH-RECUP_PS CA'!H209</f>
        <v>4.7938550399999995</v>
      </c>
      <c r="I49" s="322">
        <f>+'RECHAZADOS A CA'!I49+'RECH-RECUP_PS CA'!I209</f>
        <v>4.5240448000000004</v>
      </c>
      <c r="J49" s="322">
        <f>+'RECHAZADOS A CA'!J49+'RECH-RECUP_PS CA'!J209</f>
        <v>4.1274880000000005</v>
      </c>
      <c r="K49" s="322">
        <f>+'RECHAZADOS A CA'!K49+'RECH-RECUP_PS CA'!K209</f>
        <v>3.7279872000000003</v>
      </c>
      <c r="L49" s="322">
        <f>+'RECHAZADOS A CA'!L49+'RECH-RECUP_PS CA'!L209</f>
        <v>3.7412352000000002</v>
      </c>
      <c r="M49" s="322">
        <f>+'RECHAZADOS A CA'!M49+'RECH-RECUP_PS CA'!M209</f>
        <v>3.7544832000000001</v>
      </c>
      <c r="N49" s="322">
        <f>+'RECHAZADOS A CA'!N49+'RECH-RECUP_PS CA'!N209</f>
        <v>3.7683936</v>
      </c>
      <c r="O49" s="322">
        <f>+'RECHAZADOS A CA'!O49+'RECH-RECUP_PS CA'!O209</f>
        <v>3.7816416000000008</v>
      </c>
      <c r="P49" s="322">
        <f>+'RECHAZADOS A CA'!P49+'RECH-RECUP_PS CA'!P209</f>
        <v>3.7948896000000003</v>
      </c>
      <c r="Q49" s="322">
        <f>+'RECHAZADOS A CA'!Q49+'RECH-RECUP_PS CA'!Q209</f>
        <v>3.8081376000000002</v>
      </c>
      <c r="R49" s="322">
        <f>+'RECHAZADOS A CA'!R49+'RECH-RECUP_PS CA'!R209</f>
        <v>3.8220480000000006</v>
      </c>
      <c r="S49" s="322">
        <f>+'RECHAZADOS A CA'!S49+'RECH-RECUP_PS CA'!S209</f>
        <v>3.8352960000000005</v>
      </c>
      <c r="T49" s="322">
        <f>+'RECHAZADOS A CA'!T49+'RECH-RECUP_PS CA'!T209</f>
        <v>3.848544</v>
      </c>
      <c r="U49" s="322">
        <f>+'RECHAZADOS A CA'!U49+'RECH-RECUP_PS CA'!U209</f>
        <v>3.8617920000000003</v>
      </c>
      <c r="V49" s="322">
        <f>+'RECHAZADOS A CA'!V49+'RECH-RECUP_PS CA'!V209</f>
        <v>3.8757024000000007</v>
      </c>
      <c r="W49" s="322">
        <f>+'RECHAZADOS A CA'!W49+'RECH-RECUP_PS CA'!W209</f>
        <v>3.8889504000000006</v>
      </c>
      <c r="X49" s="322">
        <f>+'RECHAZADOS A CA'!X49+'RECH-RECUP_PS CA'!X209</f>
        <v>3.9021984000000001</v>
      </c>
      <c r="Y49" s="322">
        <f>+'RECHAZADOS A CA'!Y49+'RECH-RECUP_PS CA'!Y209</f>
        <v>3.9154464</v>
      </c>
      <c r="Z49" s="322">
        <f>+'RECHAZADOS A CA'!Z49+'RECH-RECUP_PS CA'!Z209</f>
        <v>3.9293568000000003</v>
      </c>
      <c r="AA49" s="343">
        <f t="shared" si="1"/>
        <v>3.9881952159999989</v>
      </c>
    </row>
    <row r="50" spans="1:27" ht="24.95" customHeight="1">
      <c r="A50" s="260" t="str">
        <f>+Pobl_adoptada!A50</f>
        <v>Carmen de Areco</v>
      </c>
      <c r="B50" s="70">
        <f>+Pobl_adoptada!B50</f>
        <v>46</v>
      </c>
      <c r="C50" s="71" t="str">
        <f>+Pobl_adoptada!C50</f>
        <v>Carmen de Areco</v>
      </c>
      <c r="D50" s="341"/>
      <c r="E50" s="278"/>
      <c r="F50" s="263"/>
      <c r="G50" s="322">
        <f>+'RECHAZADOS A CA'!G50+'RECH-RECUP_PS CA'!G210</f>
        <v>16.546718720000001</v>
      </c>
      <c r="H50" s="322">
        <f>+'RECHAZADOS A CA'!H50+'RECH-RECUP_PS CA'!H210</f>
        <v>15.780304799999998</v>
      </c>
      <c r="I50" s="322">
        <f>+'RECHAZADOS A CA'!I50+'RECH-RECUP_PS CA'!I210</f>
        <v>14.993827200000002</v>
      </c>
      <c r="J50" s="322">
        <f>+'RECHAZADOS A CA'!J50+'RECH-RECUP_PS CA'!J210</f>
        <v>13.773215999999998</v>
      </c>
      <c r="K50" s="322">
        <f>+'RECHAZADOS A CA'!K50+'RECH-RECUP_PS CA'!K210</f>
        <v>12.5248752</v>
      </c>
      <c r="L50" s="322">
        <f>+'RECHAZADOS A CA'!L50+'RECH-RECUP_PS CA'!L210</f>
        <v>12.653855999999999</v>
      </c>
      <c r="M50" s="322">
        <f>+'RECHAZADOS A CA'!M50+'RECH-RECUP_PS CA'!M210</f>
        <v>12.782836800000002</v>
      </c>
      <c r="N50" s="322">
        <f>+'RECHAZADOS A CA'!N50+'RECH-RECUP_PS CA'!N210</f>
        <v>12.911817599999999</v>
      </c>
      <c r="O50" s="322">
        <f>+'RECHAZADOS A CA'!O50+'RECH-RECUP_PS CA'!O210</f>
        <v>13.040798400000002</v>
      </c>
      <c r="P50" s="322">
        <f>+'RECHAZADOS A CA'!P50+'RECH-RECUP_PS CA'!P210</f>
        <v>13.169015999999999</v>
      </c>
      <c r="Q50" s="322">
        <f>+'RECHAZADOS A CA'!Q50+'RECH-RECUP_PS CA'!Q210</f>
        <v>13.297996800000002</v>
      </c>
      <c r="R50" s="322">
        <f>+'RECHAZADOS A CA'!R50+'RECH-RECUP_PS CA'!R210</f>
        <v>13.426977600000003</v>
      </c>
      <c r="S50" s="322">
        <f>+'RECHAZADOS A CA'!S50+'RECH-RECUP_PS CA'!S210</f>
        <v>13.555958400000002</v>
      </c>
      <c r="T50" s="322">
        <f>+'RECHAZADOS A CA'!T50+'RECH-RECUP_PS CA'!T210</f>
        <v>13.684939200000001</v>
      </c>
      <c r="U50" s="322">
        <f>+'RECHAZADOS A CA'!U50+'RECH-RECUP_PS CA'!U210</f>
        <v>13.81392</v>
      </c>
      <c r="V50" s="322">
        <f>+'RECHAZADOS A CA'!V50+'RECH-RECUP_PS CA'!V210</f>
        <v>13.9429008</v>
      </c>
      <c r="W50" s="322">
        <f>+'RECHAZADOS A CA'!W50+'RECH-RECUP_PS CA'!W210</f>
        <v>14.071118400000003</v>
      </c>
      <c r="X50" s="322">
        <f>+'RECHAZADOS A CA'!X50+'RECH-RECUP_PS CA'!X210</f>
        <v>14.2000992</v>
      </c>
      <c r="Y50" s="322">
        <f>+'RECHAZADOS A CA'!Y50+'RECH-RECUP_PS CA'!Y210</f>
        <v>14.329079999999999</v>
      </c>
      <c r="Z50" s="322">
        <f>+'RECHAZADOS A CA'!Z50+'RECH-RECUP_PS CA'!Z210</f>
        <v>14.4580608</v>
      </c>
      <c r="AA50" s="343">
        <f t="shared" si="1"/>
        <v>13.847915896</v>
      </c>
    </row>
    <row r="51" spans="1:27" ht="24.95" customHeight="1">
      <c r="A51" s="260" t="str">
        <f>+Pobl_adoptada!A51</f>
        <v>Castelli</v>
      </c>
      <c r="B51" s="70">
        <f>+Pobl_adoptada!B51</f>
        <v>47</v>
      </c>
      <c r="C51" s="71" t="str">
        <f>+Pobl_adoptada!C51</f>
        <v>Castelli</v>
      </c>
      <c r="D51" s="341"/>
      <c r="E51" s="278"/>
      <c r="F51" s="263"/>
      <c r="G51" s="322">
        <f>+'RECHAZADOS A CA'!G51+'RECH-RECUP_PS CA'!G211</f>
        <v>8.4775129600000003</v>
      </c>
      <c r="H51" s="322">
        <f>+'RECHAZADOS A CA'!H51+'RECH-RECUP_PS CA'!H211</f>
        <v>8.1436118400000002</v>
      </c>
      <c r="I51" s="322">
        <f>+'RECHAZADOS A CA'!I51+'RECH-RECUP_PS CA'!I211</f>
        <v>7.7932095999999991</v>
      </c>
      <c r="J51" s="322">
        <f>+'RECHAZADOS A CA'!J51+'RECH-RECUP_PS CA'!J211</f>
        <v>7.2083839999999988</v>
      </c>
      <c r="K51" s="322">
        <f>+'RECHAZADOS A CA'!K51+'RECH-RECUP_PS CA'!K211</f>
        <v>6.5988288000000015</v>
      </c>
      <c r="L51" s="322">
        <f>+'RECHAZADOS A CA'!L51+'RECH-RECUP_PS CA'!L211</f>
        <v>6.7359456</v>
      </c>
      <c r="M51" s="322">
        <f>+'RECHAZADOS A CA'!M51+'RECH-RECUP_PS CA'!M211</f>
        <v>6.8723999999999998</v>
      </c>
      <c r="N51" s="322">
        <f>+'RECHAZADOS A CA'!N51+'RECH-RECUP_PS CA'!N211</f>
        <v>7.009516800000001</v>
      </c>
      <c r="O51" s="322">
        <f>+'RECHAZADOS A CA'!O51+'RECH-RECUP_PS CA'!O211</f>
        <v>7.1459712</v>
      </c>
      <c r="P51" s="322">
        <f>+'RECHAZADOS A CA'!P51+'RECH-RECUP_PS CA'!P211</f>
        <v>7.2830879999999993</v>
      </c>
      <c r="Q51" s="322">
        <f>+'RECHAZADOS A CA'!Q51+'RECH-RECUP_PS CA'!Q211</f>
        <v>7.4195423999999992</v>
      </c>
      <c r="R51" s="322">
        <f>+'RECHAZADOS A CA'!R51+'RECH-RECUP_PS CA'!R211</f>
        <v>7.5566592000000004</v>
      </c>
      <c r="S51" s="322">
        <f>+'RECHAZADOS A CA'!S51+'RECH-RECUP_PS CA'!S211</f>
        <v>7.6931136000000011</v>
      </c>
      <c r="T51" s="322">
        <f>+'RECHAZADOS A CA'!T51+'RECH-RECUP_PS CA'!T211</f>
        <v>7.8295680000000001</v>
      </c>
      <c r="U51" s="322">
        <f>+'RECHAZADOS A CA'!U51+'RECH-RECUP_PS CA'!U211</f>
        <v>7.9666848000000012</v>
      </c>
      <c r="V51" s="322">
        <f>+'RECHAZADOS A CA'!V51+'RECH-RECUP_PS CA'!V211</f>
        <v>8.1031391999999993</v>
      </c>
      <c r="W51" s="322">
        <f>+'RECHAZADOS A CA'!W51+'RECH-RECUP_PS CA'!W211</f>
        <v>8.2402560000000005</v>
      </c>
      <c r="X51" s="322">
        <f>+'RECHAZADOS A CA'!X51+'RECH-RECUP_PS CA'!X211</f>
        <v>8.3767104000000003</v>
      </c>
      <c r="Y51" s="322">
        <f>+'RECHAZADOS A CA'!Y51+'RECH-RECUP_PS CA'!Y211</f>
        <v>8.5138271999999997</v>
      </c>
      <c r="Z51" s="322">
        <f>+'RECHAZADOS A CA'!Z51+'RECH-RECUP_PS CA'!Z211</f>
        <v>8.6502816000000013</v>
      </c>
      <c r="AA51" s="343">
        <f t="shared" si="1"/>
        <v>7.6809125600000003</v>
      </c>
    </row>
    <row r="52" spans="1:27" ht="24.95" customHeight="1">
      <c r="A52" s="260" t="str">
        <f>+Pobl_adoptada!A52</f>
        <v>Chacabuco</v>
      </c>
      <c r="B52" s="70">
        <f>+Pobl_adoptada!B52</f>
        <v>48</v>
      </c>
      <c r="C52" s="71" t="str">
        <f>+Pobl_adoptada!C52</f>
        <v>Chacabuco</v>
      </c>
      <c r="D52" s="341"/>
      <c r="E52" s="278"/>
      <c r="F52" s="263"/>
      <c r="G52" s="322">
        <f>+'RECHAZADOS A CA'!G52+'RECH-RECUP_PS CA'!G212</f>
        <v>47.486643200000003</v>
      </c>
      <c r="H52" s="322">
        <f>+'RECHAZADOS A CA'!H52+'RECH-RECUP_PS CA'!H212</f>
        <v>45.218684160000002</v>
      </c>
      <c r="I52" s="322">
        <f>+'RECHAZADOS A CA'!I52+'RECH-RECUP_PS CA'!I212</f>
        <v>42.900404800000004</v>
      </c>
      <c r="J52" s="322">
        <f>+'RECHAZADOS A CA'!J52+'RECH-RECUP_PS CA'!J212</f>
        <v>39.353136000000006</v>
      </c>
      <c r="K52" s="322">
        <f>+'RECHAZADOS A CA'!K52+'RECH-RECUP_PS CA'!K212</f>
        <v>35.734550400000003</v>
      </c>
      <c r="L52" s="322">
        <f>+'RECHAZADOS A CA'!L52+'RECH-RECUP_PS CA'!L212</f>
        <v>36.051278400000008</v>
      </c>
      <c r="M52" s="322">
        <f>+'RECHAZADOS A CA'!M52+'RECH-RECUP_PS CA'!M212</f>
        <v>36.3687696</v>
      </c>
      <c r="N52" s="322">
        <f>+'RECHAZADOS A CA'!N52+'RECH-RECUP_PS CA'!N212</f>
        <v>36.685497600000005</v>
      </c>
      <c r="O52" s="322">
        <f>+'RECHAZADOS A CA'!O52+'RECH-RECUP_PS CA'!O212</f>
        <v>37.002988799999997</v>
      </c>
      <c r="P52" s="322">
        <f>+'RECHAZADOS A CA'!P52+'RECH-RECUP_PS CA'!P212</f>
        <v>37.319716800000002</v>
      </c>
      <c r="Q52" s="322">
        <f>+'RECHAZADOS A CA'!Q52+'RECH-RECUP_PS CA'!Q212</f>
        <v>37.636444800000007</v>
      </c>
      <c r="R52" s="322">
        <f>+'RECHAZADOS A CA'!R52+'RECH-RECUP_PS CA'!R212</f>
        <v>37.953935999999999</v>
      </c>
      <c r="S52" s="322">
        <f>+'RECHAZADOS A CA'!S52+'RECH-RECUP_PS CA'!S212</f>
        <v>38.270664000000011</v>
      </c>
      <c r="T52" s="322">
        <f>+'RECHAZADOS A CA'!T52+'RECH-RECUP_PS CA'!T212</f>
        <v>38.588155200000003</v>
      </c>
      <c r="U52" s="322">
        <f>+'RECHAZADOS A CA'!U52+'RECH-RECUP_PS CA'!U212</f>
        <v>38.904883200000008</v>
      </c>
      <c r="V52" s="322">
        <f>+'RECHAZADOS A CA'!V52+'RECH-RECUP_PS CA'!V212</f>
        <v>39.221611200000005</v>
      </c>
      <c r="W52" s="322">
        <f>+'RECHAZADOS A CA'!W52+'RECH-RECUP_PS CA'!W212</f>
        <v>39.539102400000004</v>
      </c>
      <c r="X52" s="322">
        <f>+'RECHAZADOS A CA'!X52+'RECH-RECUP_PS CA'!X212</f>
        <v>39.855830400000002</v>
      </c>
      <c r="Y52" s="322">
        <f>+'RECHAZADOS A CA'!Y52+'RECH-RECUP_PS CA'!Y212</f>
        <v>40.173321600000001</v>
      </c>
      <c r="Z52" s="322">
        <f>+'RECHAZADOS A CA'!Z52+'RECH-RECUP_PS CA'!Z212</f>
        <v>40.490049599999999</v>
      </c>
      <c r="AA52" s="343">
        <f t="shared" si="1"/>
        <v>39.237783407999999</v>
      </c>
    </row>
    <row r="53" spans="1:27" ht="24.95" customHeight="1">
      <c r="A53" s="260" t="str">
        <f>+Pobl_adoptada!A53</f>
        <v>Chascomús</v>
      </c>
      <c r="B53" s="70">
        <f>+Pobl_adoptada!B53</f>
        <v>49</v>
      </c>
      <c r="C53" s="71" t="str">
        <f>+Pobl_adoptada!C53</f>
        <v>Chascomús</v>
      </c>
      <c r="D53" s="341"/>
      <c r="E53" s="278"/>
      <c r="F53" s="263"/>
      <c r="G53" s="322">
        <f>+'RECHAZADOS A CA'!G53+'RECH-RECUP_PS CA'!G213</f>
        <v>41.577100800000004</v>
      </c>
      <c r="H53" s="322">
        <f>+'RECHAZADOS A CA'!H53+'RECH-RECUP_PS CA'!H213</f>
        <v>39.630839039999998</v>
      </c>
      <c r="I53" s="322">
        <f>+'RECHAZADOS A CA'!I53+'RECH-RECUP_PS CA'!I213</f>
        <v>37.640345600000003</v>
      </c>
      <c r="J53" s="322">
        <f>+'RECHAZADOS A CA'!J53+'RECH-RECUP_PS CA'!J213</f>
        <v>34.567872000000001</v>
      </c>
      <c r="K53" s="322">
        <f>+'RECHAZADOS A CA'!K53+'RECH-RECUP_PS CA'!K213</f>
        <v>31.428576000000003</v>
      </c>
      <c r="L53" s="322">
        <f>+'RECHAZADOS A CA'!L53+'RECH-RECUP_PS CA'!L213</f>
        <v>31.749883200000006</v>
      </c>
      <c r="M53" s="322">
        <f>+'RECHAZADOS A CA'!M53+'RECH-RECUP_PS CA'!M213</f>
        <v>32.074243200000005</v>
      </c>
      <c r="N53" s="322">
        <f>+'RECHAZADOS A CA'!N53+'RECH-RECUP_PS CA'!N213</f>
        <v>32.401656000000003</v>
      </c>
      <c r="O53" s="322">
        <f>+'RECHAZADOS A CA'!O53+'RECH-RECUP_PS CA'!O213</f>
        <v>32.732121599999999</v>
      </c>
      <c r="P53" s="322">
        <f>+'RECHAZADOS A CA'!P53+'RECH-RECUP_PS CA'!P213</f>
        <v>33.066403200000003</v>
      </c>
      <c r="Q53" s="322">
        <f>+'RECHAZADOS A CA'!Q53+'RECH-RECUP_PS CA'!Q213</f>
        <v>33.404500800000001</v>
      </c>
      <c r="R53" s="322">
        <f>+'RECHAZADOS A CA'!R53+'RECH-RECUP_PS CA'!R213</f>
        <v>33.745651199999998</v>
      </c>
      <c r="S53" s="322">
        <f>+'RECHAZADOS A CA'!S53+'RECH-RECUP_PS CA'!S213</f>
        <v>34.0898544</v>
      </c>
      <c r="T53" s="322">
        <f>+'RECHAZADOS A CA'!T53+'RECH-RECUP_PS CA'!T213</f>
        <v>34.438636799999998</v>
      </c>
      <c r="U53" s="322">
        <f>+'RECHAZADOS A CA'!U53+'RECH-RECUP_PS CA'!U213</f>
        <v>34.7897088</v>
      </c>
      <c r="V53" s="322">
        <f>+'RECHAZADOS A CA'!V53+'RECH-RECUP_PS CA'!V213</f>
        <v>35.145360000000004</v>
      </c>
      <c r="W53" s="322">
        <f>+'RECHAZADOS A CA'!W53+'RECH-RECUP_PS CA'!W213</f>
        <v>35.504064000000014</v>
      </c>
      <c r="X53" s="322">
        <f>+'RECHAZADOS A CA'!X53+'RECH-RECUP_PS CA'!X213</f>
        <v>35.866584000000003</v>
      </c>
      <c r="Y53" s="322">
        <f>+'RECHAZADOS A CA'!Y53+'RECH-RECUP_PS CA'!Y213</f>
        <v>36.23292</v>
      </c>
      <c r="Z53" s="322">
        <f>+'RECHAZADOS A CA'!Z53+'RECH-RECUP_PS CA'!Z213</f>
        <v>36.603072000000012</v>
      </c>
      <c r="AA53" s="343">
        <f t="shared" si="1"/>
        <v>34.834469631999994</v>
      </c>
    </row>
    <row r="54" spans="1:27" ht="24.95" customHeight="1">
      <c r="A54" s="260" t="str">
        <f>+Pobl_adoptada!A54</f>
        <v>Chivilcoy</v>
      </c>
      <c r="B54" s="70">
        <f>+Pobl_adoptada!B54</f>
        <v>50</v>
      </c>
      <c r="C54" s="71" t="str">
        <f>+Pobl_adoptada!C54</f>
        <v>Chivilcoy</v>
      </c>
      <c r="D54" s="341"/>
      <c r="E54" s="278"/>
      <c r="F54" s="263"/>
      <c r="G54" s="322">
        <f>+'RECHAZADOS A CA'!G54+'RECH-RECUP_PS CA'!G214</f>
        <v>67.674894720000012</v>
      </c>
      <c r="H54" s="322">
        <f>+'RECHAZADOS A CA'!H54+'RECH-RECUP_PS CA'!H214</f>
        <v>64.381543199999996</v>
      </c>
      <c r="I54" s="322">
        <f>+'RECHAZADOS A CA'!I54+'RECH-RECUP_PS CA'!I214</f>
        <v>61.024233600000002</v>
      </c>
      <c r="J54" s="322">
        <f>+'RECHAZADOS A CA'!J54+'RECH-RECUP_PS CA'!J214</f>
        <v>55.926192000000007</v>
      </c>
      <c r="K54" s="322">
        <f>+'RECHAZADOS A CA'!K54+'RECH-RECUP_PS CA'!K214</f>
        <v>50.738227199999997</v>
      </c>
      <c r="L54" s="322">
        <f>+'RECHAZADOS A CA'!L54+'RECH-RECUP_PS CA'!L214</f>
        <v>51.142881599999996</v>
      </c>
      <c r="M54" s="322">
        <f>+'RECHAZADOS A CA'!M54+'RECH-RECUP_PS CA'!M214</f>
        <v>51.547536000000008</v>
      </c>
      <c r="N54" s="322">
        <f>+'RECHAZADOS A CA'!N54+'RECH-RECUP_PS CA'!N214</f>
        <v>51.952924800000005</v>
      </c>
      <c r="O54" s="322">
        <f>+'RECHAZADOS A CA'!O54+'RECH-RECUP_PS CA'!O214</f>
        <v>52.357579200000011</v>
      </c>
      <c r="P54" s="322">
        <f>+'RECHAZADOS A CA'!P54+'RECH-RECUP_PS CA'!P214</f>
        <v>52.762233600000009</v>
      </c>
      <c r="Q54" s="322">
        <f>+'RECHAZADOS A CA'!Q54+'RECH-RECUP_PS CA'!Q214</f>
        <v>53.166888</v>
      </c>
      <c r="R54" s="322">
        <f>+'RECHAZADOS A CA'!R54+'RECH-RECUP_PS CA'!R214</f>
        <v>53.571542400000006</v>
      </c>
      <c r="S54" s="322">
        <f>+'RECHAZADOS A CA'!S54+'RECH-RECUP_PS CA'!S214</f>
        <v>53.976196800000011</v>
      </c>
      <c r="T54" s="322">
        <f>+'RECHAZADOS A CA'!T54+'RECH-RECUP_PS CA'!T214</f>
        <v>54.381585600000001</v>
      </c>
      <c r="U54" s="322">
        <f>+'RECHAZADOS A CA'!U54+'RECH-RECUP_PS CA'!U214</f>
        <v>54.786239999999999</v>
      </c>
      <c r="V54" s="322">
        <f>+'RECHAZADOS A CA'!V54+'RECH-RECUP_PS CA'!V214</f>
        <v>55.190894400000005</v>
      </c>
      <c r="W54" s="322">
        <f>+'RECHAZADOS A CA'!W54+'RECH-RECUP_PS CA'!W214</f>
        <v>55.595548800000003</v>
      </c>
      <c r="X54" s="322">
        <f>+'RECHAZADOS A CA'!X54+'RECH-RECUP_PS CA'!X214</f>
        <v>56.000203200000001</v>
      </c>
      <c r="Y54" s="322">
        <f>+'RECHAZADOS A CA'!Y54+'RECH-RECUP_PS CA'!Y214</f>
        <v>56.4048576</v>
      </c>
      <c r="Z54" s="322">
        <f>+'RECHAZADOS A CA'!Z54+'RECH-RECUP_PS CA'!Z214</f>
        <v>56.810246400000004</v>
      </c>
      <c r="AA54" s="343">
        <f t="shared" si="1"/>
        <v>55.46962245600001</v>
      </c>
    </row>
    <row r="55" spans="1:27" ht="24.95" customHeight="1">
      <c r="A55" s="260" t="str">
        <f>+Pobl_adoptada!A55</f>
        <v>Colón</v>
      </c>
      <c r="B55" s="70">
        <f>+Pobl_adoptada!B55</f>
        <v>51</v>
      </c>
      <c r="C55" s="71" t="str">
        <f>+Pobl_adoptada!C55</f>
        <v>Colón</v>
      </c>
      <c r="D55" s="341"/>
      <c r="E55" s="278"/>
      <c r="F55" s="263"/>
      <c r="G55" s="322">
        <f>+'RECHAZADOS A CA'!G55+'RECH-RECUP_PS CA'!G215</f>
        <v>28.191251200000004</v>
      </c>
      <c r="H55" s="322">
        <f>+'RECHAZADOS A CA'!H55+'RECH-RECUP_PS CA'!H215</f>
        <v>26.840904479999999</v>
      </c>
      <c r="I55" s="322">
        <f>+'RECHAZADOS A CA'!I55+'RECH-RECUP_PS CA'!I215</f>
        <v>25.463574399999999</v>
      </c>
      <c r="J55" s="322">
        <f>+'RECHAZADOS A CA'!J55+'RECH-RECUP_PS CA'!J215</f>
        <v>23.359008000000003</v>
      </c>
      <c r="K55" s="322">
        <f>+'RECHAZADOS A CA'!K55+'RECH-RECUP_PS CA'!K215</f>
        <v>21.213144000000003</v>
      </c>
      <c r="L55" s="322">
        <f>+'RECHAZADOS A CA'!L55+'RECH-RECUP_PS CA'!L215</f>
        <v>21.405470400000002</v>
      </c>
      <c r="M55" s="322">
        <f>+'RECHAZADOS A CA'!M55+'RECH-RECUP_PS CA'!M215</f>
        <v>21.600086400000002</v>
      </c>
      <c r="N55" s="322">
        <f>+'RECHAZADOS A CA'!N55+'RECH-RECUP_PS CA'!N215</f>
        <v>21.7954656</v>
      </c>
      <c r="O55" s="322">
        <f>+'RECHAZADOS A CA'!O55+'RECH-RECUP_PS CA'!O215</f>
        <v>21.993134400000002</v>
      </c>
      <c r="P55" s="322">
        <f>+'RECHAZADOS A CA'!P55+'RECH-RECUP_PS CA'!P215</f>
        <v>22.192329600000001</v>
      </c>
      <c r="Q55" s="322">
        <f>+'RECHAZADOS A CA'!Q55+'RECH-RECUP_PS CA'!Q215</f>
        <v>22.393814400000004</v>
      </c>
      <c r="R55" s="322">
        <f>+'RECHAZADOS A CA'!R55+'RECH-RECUP_PS CA'!R215</f>
        <v>22.596825600000003</v>
      </c>
      <c r="S55" s="322">
        <f>+'RECHAZADOS A CA'!S55+'RECH-RECUP_PS CA'!S215</f>
        <v>22.801363200000001</v>
      </c>
      <c r="T55" s="322">
        <f>+'RECHAZADOS A CA'!T55+'RECH-RECUP_PS CA'!T215</f>
        <v>23.008190400000004</v>
      </c>
      <c r="U55" s="322">
        <f>+'RECHAZADOS A CA'!U55+'RECH-RECUP_PS CA'!U215</f>
        <v>23.216544000000003</v>
      </c>
      <c r="V55" s="322">
        <f>+'RECHAZADOS A CA'!V55+'RECH-RECUP_PS CA'!V215</f>
        <v>23.427187199999999</v>
      </c>
      <c r="W55" s="322">
        <f>+'RECHAZADOS A CA'!W55+'RECH-RECUP_PS CA'!W215</f>
        <v>23.639356800000005</v>
      </c>
      <c r="X55" s="322">
        <f>+'RECHAZADOS A CA'!X55+'RECH-RECUP_PS CA'!X215</f>
        <v>23.853816000000005</v>
      </c>
      <c r="Y55" s="322">
        <f>+'RECHAZADOS A CA'!Y55+'RECH-RECUP_PS CA'!Y215</f>
        <v>24.069801599999998</v>
      </c>
      <c r="Z55" s="322">
        <f>+'RECHAZADOS A CA'!Z55+'RECH-RECUP_PS CA'!Z215</f>
        <v>24.288076800000002</v>
      </c>
      <c r="AA55" s="343">
        <f t="shared" si="1"/>
        <v>23.367467224000002</v>
      </c>
    </row>
    <row r="56" spans="1:27" ht="24.95" customHeight="1">
      <c r="A56" s="260" t="str">
        <f>+Pobl_adoptada!A56</f>
        <v>Coronel de Marina L. Rosales</v>
      </c>
      <c r="B56" s="70">
        <f>+Pobl_adoptada!B56</f>
        <v>52</v>
      </c>
      <c r="C56" s="71" t="str">
        <f>+Pobl_adoptada!C56</f>
        <v>Punta Alta</v>
      </c>
      <c r="D56" s="341"/>
      <c r="E56" s="278"/>
      <c r="F56" s="263"/>
      <c r="G56" s="322">
        <f>+'RECHAZADOS A CA'!G56+'RECH-RECUP_PS CA'!G216</f>
        <v>62.174532480000003</v>
      </c>
      <c r="H56" s="322">
        <f>+'RECHAZADOS A CA'!H56+'RECH-RECUP_PS CA'!H216</f>
        <v>58.878537120000004</v>
      </c>
      <c r="I56" s="322">
        <f>+'RECHAZADOS A CA'!I56+'RECH-RECUP_PS CA'!I216</f>
        <v>55.560542399999996</v>
      </c>
      <c r="J56" s="322">
        <f>+'RECHAZADOS A CA'!J56+'RECH-RECUP_PS CA'!J216</f>
        <v>50.698079999999997</v>
      </c>
      <c r="K56" s="322">
        <f>+'RECHAZADOS A CA'!K56+'RECH-RECUP_PS CA'!K216</f>
        <v>45.800856000000003</v>
      </c>
      <c r="L56" s="322">
        <f>+'RECHAZADOS A CA'!L56+'RECH-RECUP_PS CA'!L216</f>
        <v>45.976377599999992</v>
      </c>
      <c r="M56" s="322">
        <f>+'RECHAZADOS A CA'!M56+'RECH-RECUP_PS CA'!M216</f>
        <v>46.154836800000005</v>
      </c>
      <c r="N56" s="322">
        <f>+'RECHAZADOS A CA'!N56+'RECH-RECUP_PS CA'!N216</f>
        <v>46.3362336</v>
      </c>
      <c r="O56" s="322">
        <f>+'RECHAZADOS A CA'!O56+'RECH-RECUP_PS CA'!O216</f>
        <v>46.520568000000004</v>
      </c>
      <c r="P56" s="322">
        <f>+'RECHAZADOS A CA'!P56+'RECH-RECUP_PS CA'!P216</f>
        <v>46.707105600000006</v>
      </c>
      <c r="Q56" s="322">
        <f>+'RECHAZADOS A CA'!Q56+'RECH-RECUP_PS CA'!Q216</f>
        <v>46.898049599999993</v>
      </c>
      <c r="R56" s="322">
        <f>+'RECHAZADOS A CA'!R56+'RECH-RECUP_PS CA'!R216</f>
        <v>47.091196800000006</v>
      </c>
      <c r="S56" s="322">
        <f>+'RECHAZADOS A CA'!S56+'RECH-RECUP_PS CA'!S216</f>
        <v>47.288016000000006</v>
      </c>
      <c r="T56" s="322">
        <f>+'RECHAZADOS A CA'!T56+'RECH-RECUP_PS CA'!T216</f>
        <v>47.487772800000002</v>
      </c>
      <c r="U56" s="322">
        <f>+'RECHAZADOS A CA'!U56+'RECH-RECUP_PS CA'!U216</f>
        <v>47.690467200000001</v>
      </c>
      <c r="V56" s="322">
        <f>+'RECHAZADOS A CA'!V56+'RECH-RECUP_PS CA'!V216</f>
        <v>47.896833600000001</v>
      </c>
      <c r="W56" s="322">
        <f>+'RECHAZADOS A CA'!W56+'RECH-RECUP_PS CA'!W216</f>
        <v>48.106137600000004</v>
      </c>
      <c r="X56" s="322">
        <f>+'RECHAZADOS A CA'!X56+'RECH-RECUP_PS CA'!X216</f>
        <v>48.319848</v>
      </c>
      <c r="Y56" s="322">
        <f>+'RECHAZADOS A CA'!Y56+'RECH-RECUP_PS CA'!Y216</f>
        <v>48.535761600000001</v>
      </c>
      <c r="Z56" s="322">
        <f>+'RECHAZADOS A CA'!Z56+'RECH-RECUP_PS CA'!Z216</f>
        <v>48.756081600000002</v>
      </c>
      <c r="AA56" s="343">
        <f t="shared" si="1"/>
        <v>49.143891720000013</v>
      </c>
    </row>
    <row r="57" spans="1:27" ht="24.95" customHeight="1">
      <c r="A57" s="260" t="str">
        <f>+Pobl_adoptada!A57</f>
        <v>Coronel Dorrego</v>
      </c>
      <c r="B57" s="70">
        <f>+Pobl_adoptada!B57</f>
        <v>53</v>
      </c>
      <c r="C57" s="71" t="str">
        <f>+Pobl_adoptada!C57</f>
        <v>Coronel Dorrego</v>
      </c>
      <c r="D57" s="341"/>
      <c r="E57" s="278"/>
      <c r="F57" s="263"/>
      <c r="G57" s="322">
        <f>+'RECHAZADOS A CA'!G57+'RECH-RECUP_PS CA'!G217</f>
        <v>10.6368192</v>
      </c>
      <c r="H57" s="322">
        <f>+'RECHAZADOS A CA'!H57+'RECH-RECUP_PS CA'!H217</f>
        <v>10.0406592</v>
      </c>
      <c r="I57" s="322">
        <f>+'RECHAZADOS A CA'!I57+'RECH-RECUP_PS CA'!I217</f>
        <v>9.4439840000000022</v>
      </c>
      <c r="J57" s="322">
        <f>+'RECHAZADOS A CA'!J57+'RECH-RECUP_PS CA'!J217</f>
        <v>8.5891199999999994</v>
      </c>
      <c r="K57" s="322">
        <f>+'RECHAZADOS A CA'!K57+'RECH-RECUP_PS CA'!K217</f>
        <v>7.7341823999999999</v>
      </c>
      <c r="L57" s="322">
        <f>+'RECHAZADOS A CA'!L57+'RECH-RECUP_PS CA'!L217</f>
        <v>7.737494400000001</v>
      </c>
      <c r="M57" s="322">
        <f>+'RECHAZADOS A CA'!M57+'RECH-RECUP_PS CA'!M217</f>
        <v>7.7408064000000003</v>
      </c>
      <c r="N57" s="322">
        <f>+'RECHAZADOS A CA'!N57+'RECH-RECUP_PS CA'!N217</f>
        <v>7.7441184000000014</v>
      </c>
      <c r="O57" s="322">
        <f>+'RECHAZADOS A CA'!O57+'RECH-RECUP_PS CA'!O217</f>
        <v>7.7474304000000007</v>
      </c>
      <c r="P57" s="322">
        <f>+'RECHAZADOS A CA'!P57+'RECH-RECUP_PS CA'!P217</f>
        <v>7.7507424000000009</v>
      </c>
      <c r="Q57" s="322">
        <f>+'RECHAZADOS A CA'!Q57+'RECH-RECUP_PS CA'!Q217</f>
        <v>7.7547168000000006</v>
      </c>
      <c r="R57" s="322">
        <f>+'RECHAZADOS A CA'!R57+'RECH-RECUP_PS CA'!R217</f>
        <v>7.7580287999999999</v>
      </c>
      <c r="S57" s="322">
        <f>+'RECHAZADOS A CA'!S57+'RECH-RECUP_PS CA'!S217</f>
        <v>7.761340800000001</v>
      </c>
      <c r="T57" s="322">
        <f>+'RECHAZADOS A CA'!T57+'RECH-RECUP_PS CA'!T217</f>
        <v>7.7646528000000012</v>
      </c>
      <c r="U57" s="322">
        <f>+'RECHAZADOS A CA'!U57+'RECH-RECUP_PS CA'!U217</f>
        <v>7.7679647999999997</v>
      </c>
      <c r="V57" s="322">
        <f>+'RECHAZADOS A CA'!V57+'RECH-RECUP_PS CA'!V217</f>
        <v>7.7719392000000003</v>
      </c>
      <c r="W57" s="322">
        <f>+'RECHAZADOS A CA'!W57+'RECH-RECUP_PS CA'!W217</f>
        <v>7.7752512000000014</v>
      </c>
      <c r="X57" s="322">
        <f>+'RECHAZADOS A CA'!X57+'RECH-RECUP_PS CA'!X217</f>
        <v>7.7785632000000016</v>
      </c>
      <c r="Y57" s="322">
        <f>+'RECHAZADOS A CA'!Y57+'RECH-RECUP_PS CA'!Y217</f>
        <v>7.7818752</v>
      </c>
      <c r="Z57" s="322">
        <f>+'RECHAZADOS A CA'!Z57+'RECH-RECUP_PS CA'!Z217</f>
        <v>7.7851872000000011</v>
      </c>
      <c r="AA57" s="343">
        <f t="shared" si="1"/>
        <v>8.143243840000002</v>
      </c>
    </row>
    <row r="58" spans="1:27" ht="24.95" customHeight="1">
      <c r="A58" s="260" t="str">
        <f>+Pobl_adoptada!A58</f>
        <v>Coronel Pringles</v>
      </c>
      <c r="B58" s="70">
        <f>+Pobl_adoptada!B58</f>
        <v>54</v>
      </c>
      <c r="C58" s="71" t="str">
        <f>+Pobl_adoptada!C58</f>
        <v>Coronel Pringles</v>
      </c>
      <c r="D58" s="341"/>
      <c r="E58" s="278"/>
      <c r="F58" s="263"/>
      <c r="G58" s="322">
        <f>+'RECHAZADOS A CA'!G58+'RECH-RECUP_PS CA'!G218</f>
        <v>22.866353920000002</v>
      </c>
      <c r="H58" s="322">
        <f>+'RECHAZADOS A CA'!H58+'RECH-RECUP_PS CA'!H218</f>
        <v>21.781880640000001</v>
      </c>
      <c r="I58" s="322">
        <f>+'RECHAZADOS A CA'!I58+'RECH-RECUP_PS CA'!I218</f>
        <v>20.671780799999997</v>
      </c>
      <c r="J58" s="322">
        <f>+'RECHAZADOS A CA'!J58+'RECH-RECUP_PS CA'!J218</f>
        <v>18.968912</v>
      </c>
      <c r="K58" s="322">
        <f>+'RECHAZADOS A CA'!K58+'RECH-RECUP_PS CA'!K218</f>
        <v>17.230003199999999</v>
      </c>
      <c r="L58" s="322">
        <f>+'RECHAZADOS A CA'!L58+'RECH-RECUP_PS CA'!L218</f>
        <v>17.458963200000003</v>
      </c>
      <c r="M58" s="322">
        <f>+'RECHAZADOS A CA'!M58+'RECH-RECUP_PS CA'!M218</f>
        <v>17.687923200000004</v>
      </c>
      <c r="N58" s="322">
        <f>+'RECHAZADOS A CA'!N58+'RECH-RECUP_PS CA'!N218</f>
        <v>17.916883200000001</v>
      </c>
      <c r="O58" s="322">
        <f>+'RECHAZADOS A CA'!O58+'RECH-RECUP_PS CA'!O218</f>
        <v>18.14508</v>
      </c>
      <c r="P58" s="322">
        <f>+'RECHAZADOS A CA'!P58+'RECH-RECUP_PS CA'!P218</f>
        <v>18.374040000000001</v>
      </c>
      <c r="Q58" s="322">
        <f>+'RECHAZADOS A CA'!Q58+'RECH-RECUP_PS CA'!Q218</f>
        <v>18.603000000000002</v>
      </c>
      <c r="R58" s="322">
        <f>+'RECHAZADOS A CA'!R58+'RECH-RECUP_PS CA'!R218</f>
        <v>18.831959999999999</v>
      </c>
      <c r="S58" s="322">
        <f>+'RECHAZADOS A CA'!S58+'RECH-RECUP_PS CA'!S218</f>
        <v>19.060920000000003</v>
      </c>
      <c r="T58" s="322">
        <f>+'RECHAZADOS A CA'!T58+'RECH-RECUP_PS CA'!T218</f>
        <v>19.289116800000002</v>
      </c>
      <c r="U58" s="322">
        <f>+'RECHAZADOS A CA'!U58+'RECH-RECUP_PS CA'!U218</f>
        <v>19.518076799999999</v>
      </c>
      <c r="V58" s="322">
        <f>+'RECHAZADOS A CA'!V58+'RECH-RECUP_PS CA'!V218</f>
        <v>19.747036800000004</v>
      </c>
      <c r="W58" s="322">
        <f>+'RECHAZADOS A CA'!W58+'RECH-RECUP_PS CA'!W218</f>
        <v>19.975996800000004</v>
      </c>
      <c r="X58" s="322">
        <f>+'RECHAZADOS A CA'!X58+'RECH-RECUP_PS CA'!X218</f>
        <v>20.204956800000001</v>
      </c>
      <c r="Y58" s="322">
        <f>+'RECHAZADOS A CA'!Y58+'RECH-RECUP_PS CA'!Y218</f>
        <v>20.433153600000001</v>
      </c>
      <c r="Z58" s="322">
        <f>+'RECHAZADOS A CA'!Z58+'RECH-RECUP_PS CA'!Z218</f>
        <v>20.662113600000001</v>
      </c>
      <c r="AA58" s="343">
        <f t="shared" si="1"/>
        <v>19.371407568000002</v>
      </c>
    </row>
    <row r="59" spans="1:27" ht="24.95" customHeight="1">
      <c r="A59" s="260" t="str">
        <f>+Pobl_adoptada!A59</f>
        <v>Coronel Suárez</v>
      </c>
      <c r="B59" s="70">
        <f>+Pobl_adoptada!B59</f>
        <v>55</v>
      </c>
      <c r="C59" s="71" t="str">
        <f>+Pobl_adoptada!C59</f>
        <v>Coronel Suárez</v>
      </c>
      <c r="D59" s="341"/>
      <c r="E59" s="278"/>
      <c r="F59" s="263"/>
      <c r="G59" s="322">
        <f>+'RECHAZADOS A CA'!G59+'RECH-RECUP_PS CA'!G219</f>
        <v>28.727526399999999</v>
      </c>
      <c r="H59" s="322">
        <f>+'RECHAZADOS A CA'!H59+'RECH-RECUP_PS CA'!H219</f>
        <v>27.426278880000002</v>
      </c>
      <c r="I59" s="322">
        <f>+'RECHAZADOS A CA'!I59+'RECH-RECUP_PS CA'!I219</f>
        <v>26.086684800000004</v>
      </c>
      <c r="J59" s="322">
        <f>+'RECHAZADOS A CA'!J59+'RECH-RECUP_PS CA'!J219</f>
        <v>23.989072</v>
      </c>
      <c r="K59" s="322">
        <f>+'RECHAZADOS A CA'!K59+'RECH-RECUP_PS CA'!K219</f>
        <v>21.836678399999997</v>
      </c>
      <c r="L59" s="322">
        <f>+'RECHAZADOS A CA'!L59+'RECH-RECUP_PS CA'!L219</f>
        <v>22.162564800000002</v>
      </c>
      <c r="M59" s="322">
        <f>+'RECHAZADOS A CA'!M59+'RECH-RECUP_PS CA'!M219</f>
        <v>22.488451200000004</v>
      </c>
      <c r="N59" s="322">
        <f>+'RECHAZADOS A CA'!N59+'RECH-RECUP_PS CA'!N219</f>
        <v>22.814337600000002</v>
      </c>
      <c r="O59" s="322">
        <f>+'RECHAZADOS A CA'!O59+'RECH-RECUP_PS CA'!O219</f>
        <v>23.140224000000003</v>
      </c>
      <c r="P59" s="322">
        <f>+'RECHAZADOS A CA'!P59+'RECH-RECUP_PS CA'!P219</f>
        <v>23.466110400000005</v>
      </c>
      <c r="Q59" s="322">
        <f>+'RECHAZADOS A CA'!Q59+'RECH-RECUP_PS CA'!Q219</f>
        <v>23.791996800000003</v>
      </c>
      <c r="R59" s="322">
        <f>+'RECHAZADOS A CA'!R59+'RECH-RECUP_PS CA'!R219</f>
        <v>24.118646399999999</v>
      </c>
      <c r="S59" s="322">
        <f>+'RECHAZADOS A CA'!S59+'RECH-RECUP_PS CA'!S219</f>
        <v>24.444532800000005</v>
      </c>
      <c r="T59" s="322">
        <f>+'RECHAZADOS A CA'!T59+'RECH-RECUP_PS CA'!T219</f>
        <v>24.770419199999999</v>
      </c>
      <c r="U59" s="322">
        <f>+'RECHAZADOS A CA'!U59+'RECH-RECUP_PS CA'!U219</f>
        <v>25.096305600000001</v>
      </c>
      <c r="V59" s="322">
        <f>+'RECHAZADOS A CA'!V59+'RECH-RECUP_PS CA'!V219</f>
        <v>25.422191999999999</v>
      </c>
      <c r="W59" s="322">
        <f>+'RECHAZADOS A CA'!W59+'RECH-RECUP_PS CA'!W219</f>
        <v>25.748078400000001</v>
      </c>
      <c r="X59" s="322">
        <f>+'RECHAZADOS A CA'!X59+'RECH-RECUP_PS CA'!X219</f>
        <v>26.073964800000006</v>
      </c>
      <c r="Y59" s="322">
        <f>+'RECHAZADOS A CA'!Y59+'RECH-RECUP_PS CA'!Y219</f>
        <v>26.399851200000001</v>
      </c>
      <c r="Z59" s="322">
        <f>+'RECHAZADOS A CA'!Z59+'RECH-RECUP_PS CA'!Z219</f>
        <v>26.725737600000002</v>
      </c>
      <c r="AA59" s="343">
        <f t="shared" si="1"/>
        <v>24.736482663999997</v>
      </c>
    </row>
    <row r="60" spans="1:27" ht="24.95" customHeight="1">
      <c r="A60" s="260" t="str">
        <f>+Pobl_adoptada!A60</f>
        <v>Daireaux</v>
      </c>
      <c r="B60" s="70">
        <f>+Pobl_adoptada!B60</f>
        <v>56</v>
      </c>
      <c r="C60" s="71" t="str">
        <f>+Pobl_adoptada!C60</f>
        <v>Daireaux</v>
      </c>
      <c r="D60" s="341"/>
      <c r="E60" s="278"/>
      <c r="F60" s="263"/>
      <c r="G60" s="322">
        <f>+'RECHAZADOS A CA'!G60+'RECH-RECUP_PS CA'!G220</f>
        <v>12.787911680000001</v>
      </c>
      <c r="H60" s="322">
        <f>+'RECHAZADOS A CA'!H60+'RECH-RECUP_PS CA'!H220</f>
        <v>12.17020896</v>
      </c>
      <c r="I60" s="322">
        <f>+'RECHAZADOS A CA'!I60+'RECH-RECUP_PS CA'!I220</f>
        <v>11.5392288</v>
      </c>
      <c r="J60" s="322">
        <f>+'RECHAZADOS A CA'!J60+'RECH-RECUP_PS CA'!J220</f>
        <v>10.579264</v>
      </c>
      <c r="K60" s="322">
        <f>+'RECHAZADOS A CA'!K60+'RECH-RECUP_PS CA'!K220</f>
        <v>9.6008256000000003</v>
      </c>
      <c r="L60" s="322">
        <f>+'RECHAZADOS A CA'!L60+'RECH-RECUP_PS CA'!L220</f>
        <v>9.6809760000000011</v>
      </c>
      <c r="M60" s="322">
        <f>+'RECHAZADOS A CA'!M60+'RECH-RECUP_PS CA'!M220</f>
        <v>9.7604640000000007</v>
      </c>
      <c r="N60" s="322">
        <f>+'RECHAZADOS A CA'!N60+'RECH-RECUP_PS CA'!N220</f>
        <v>9.8406143999999998</v>
      </c>
      <c r="O60" s="322">
        <f>+'RECHAZADOS A CA'!O60+'RECH-RECUP_PS CA'!O220</f>
        <v>9.9201023999999993</v>
      </c>
      <c r="P60" s="322">
        <f>+'RECHAZADOS A CA'!P60+'RECH-RECUP_PS CA'!P220</f>
        <v>9.9995904000000007</v>
      </c>
      <c r="Q60" s="322">
        <f>+'RECHAZADOS A CA'!Q60+'RECH-RECUP_PS CA'!Q220</f>
        <v>10.079740800000001</v>
      </c>
      <c r="R60" s="322">
        <f>+'RECHAZADOS A CA'!R60+'RECH-RECUP_PS CA'!R220</f>
        <v>10.159228800000001</v>
      </c>
      <c r="S60" s="322">
        <f>+'RECHAZADOS A CA'!S60+'RECH-RECUP_PS CA'!S220</f>
        <v>10.239379200000002</v>
      </c>
      <c r="T60" s="322">
        <f>+'RECHAZADOS A CA'!T60+'RECH-RECUP_PS CA'!T220</f>
        <v>10.318867200000001</v>
      </c>
      <c r="U60" s="322">
        <f>+'RECHAZADOS A CA'!U60+'RECH-RECUP_PS CA'!U220</f>
        <v>10.399017600000001</v>
      </c>
      <c r="V60" s="322">
        <f>+'RECHAZADOS A CA'!V60+'RECH-RECUP_PS CA'!V220</f>
        <v>10.478505600000002</v>
      </c>
      <c r="W60" s="322">
        <f>+'RECHAZADOS A CA'!W60+'RECH-RECUP_PS CA'!W220</f>
        <v>10.557993600000001</v>
      </c>
      <c r="X60" s="322">
        <f>+'RECHAZADOS A CA'!X60+'RECH-RECUP_PS CA'!X220</f>
        <v>10.638144</v>
      </c>
      <c r="Y60" s="322">
        <f>+'RECHAZADOS A CA'!Y60+'RECH-RECUP_PS CA'!Y220</f>
        <v>10.717632000000002</v>
      </c>
      <c r="Z60" s="322">
        <f>+'RECHAZADOS A CA'!Z60+'RECH-RECUP_PS CA'!Z220</f>
        <v>10.797782399999999</v>
      </c>
      <c r="AA60" s="343">
        <f t="shared" si="1"/>
        <v>10.513273872000003</v>
      </c>
    </row>
    <row r="61" spans="1:27" ht="24.95" customHeight="1">
      <c r="A61" s="260" t="str">
        <f>+Pobl_adoptada!A61</f>
        <v>Dolores</v>
      </c>
      <c r="B61" s="70">
        <f>+Pobl_adoptada!B61</f>
        <v>57</v>
      </c>
      <c r="C61" s="71" t="str">
        <f>+Pobl_adoptada!C61</f>
        <v>Dolores</v>
      </c>
      <c r="D61" s="341"/>
      <c r="E61" s="278"/>
      <c r="F61" s="263"/>
      <c r="G61" s="322">
        <f>+'RECHAZADOS A CA'!G61+'RECH-RECUP_PS CA'!G221</f>
        <v>33.248010880000002</v>
      </c>
      <c r="H61" s="322">
        <f>+'RECHAZADOS A CA'!H61+'RECH-RECUP_PS CA'!H221</f>
        <v>31.797735840000005</v>
      </c>
      <c r="I61" s="322">
        <f>+'RECHAZADOS A CA'!I61+'RECH-RECUP_PS CA'!I221</f>
        <v>30.296411200000009</v>
      </c>
      <c r="J61" s="322">
        <f>+'RECHAZADOS A CA'!J61+'RECH-RECUP_PS CA'!J221</f>
        <v>27.907679999999999</v>
      </c>
      <c r="K61" s="322">
        <f>+'RECHAZADOS A CA'!K61+'RECH-RECUP_PS CA'!K221</f>
        <v>25.445088000000002</v>
      </c>
      <c r="L61" s="322">
        <f>+'RECHAZADOS A CA'!L61+'RECH-RECUP_PS CA'!L221</f>
        <v>25.861031999999998</v>
      </c>
      <c r="M61" s="322">
        <f>+'RECHAZADOS A CA'!M61+'RECH-RECUP_PS CA'!M221</f>
        <v>26.277739199999999</v>
      </c>
      <c r="N61" s="322">
        <f>+'RECHAZADOS A CA'!N61+'RECH-RECUP_PS CA'!N221</f>
        <v>26.693683200000002</v>
      </c>
      <c r="O61" s="322">
        <f>+'RECHAZADOS A CA'!O61+'RECH-RECUP_PS CA'!O221</f>
        <v>27.1103904</v>
      </c>
      <c r="P61" s="322">
        <f>+'RECHAZADOS A CA'!P61+'RECH-RECUP_PS CA'!P221</f>
        <v>27.526334400000003</v>
      </c>
      <c r="Q61" s="322">
        <f>+'RECHAZADOS A CA'!Q61+'RECH-RECUP_PS CA'!Q221</f>
        <v>27.943041600000001</v>
      </c>
      <c r="R61" s="322">
        <f>+'RECHAZADOS A CA'!R61+'RECH-RECUP_PS CA'!R221</f>
        <v>28.358985600000004</v>
      </c>
      <c r="S61" s="322">
        <f>+'RECHAZADOS A CA'!S61+'RECH-RECUP_PS CA'!S221</f>
        <v>28.7749296</v>
      </c>
      <c r="T61" s="322">
        <f>+'RECHAZADOS A CA'!T61+'RECH-RECUP_PS CA'!T221</f>
        <v>29.191636799999998</v>
      </c>
      <c r="U61" s="322">
        <f>+'RECHAZADOS A CA'!U61+'RECH-RECUP_PS CA'!U221</f>
        <v>29.607580800000001</v>
      </c>
      <c r="V61" s="322">
        <f>+'RECHAZADOS A CA'!V61+'RECH-RECUP_PS CA'!V221</f>
        <v>30.024288000000002</v>
      </c>
      <c r="W61" s="322">
        <f>+'RECHAZADOS A CA'!W61+'RECH-RECUP_PS CA'!W221</f>
        <v>30.440232000000002</v>
      </c>
      <c r="X61" s="322">
        <f>+'RECHAZADOS A CA'!X61+'RECH-RECUP_PS CA'!X221</f>
        <v>30.856939199999999</v>
      </c>
      <c r="Y61" s="322">
        <f>+'RECHAZADOS A CA'!Y61+'RECH-RECUP_PS CA'!Y221</f>
        <v>31.272883200000003</v>
      </c>
      <c r="Z61" s="322">
        <f>+'RECHAZADOS A CA'!Z61+'RECH-RECUP_PS CA'!Z221</f>
        <v>31.6895904</v>
      </c>
      <c r="AA61" s="343">
        <f t="shared" si="1"/>
        <v>29.016210616000006</v>
      </c>
    </row>
    <row r="62" spans="1:27" ht="24.95" customHeight="1">
      <c r="A62" s="260" t="str">
        <f>+Pobl_adoptada!A62</f>
        <v>Ensenada</v>
      </c>
      <c r="B62" s="70">
        <f>+Pobl_adoptada!B62</f>
        <v>58</v>
      </c>
      <c r="C62" s="71" t="str">
        <f>+Pobl_adoptada!C62</f>
        <v>Ensenada</v>
      </c>
      <c r="D62" s="341"/>
      <c r="E62" s="278"/>
      <c r="F62" s="263"/>
      <c r="G62" s="322">
        <f>+'RECHAZADOS A CA'!G62+'RECH-RECUP_PS CA'!G222</f>
        <v>65.602646399999998</v>
      </c>
      <c r="H62" s="322">
        <f>+'RECHAZADOS A CA'!H62+'RECH-RECUP_PS CA'!H222</f>
        <v>62.436778560000008</v>
      </c>
      <c r="I62" s="322">
        <f>+'RECHAZADOS A CA'!I62+'RECH-RECUP_PS CA'!I222</f>
        <v>59.210184000000005</v>
      </c>
      <c r="J62" s="322">
        <f>+'RECHAZADOS A CA'!J62+'RECH-RECUP_PS CA'!J222</f>
        <v>54.295007999999996</v>
      </c>
      <c r="K62" s="322">
        <f>+'RECHAZADOS A CA'!K62+'RECH-RECUP_PS CA'!K222</f>
        <v>49.289256000000009</v>
      </c>
      <c r="L62" s="322">
        <f>+'RECHAZADOS A CA'!L62+'RECH-RECUP_PS CA'!L222</f>
        <v>49.716676800000002</v>
      </c>
      <c r="M62" s="322">
        <f>+'RECHAZADOS A CA'!M62+'RECH-RECUP_PS CA'!M222</f>
        <v>50.148504000000003</v>
      </c>
      <c r="N62" s="322">
        <f>+'RECHAZADOS A CA'!N62+'RECH-RECUP_PS CA'!N222</f>
        <v>50.584003200000005</v>
      </c>
      <c r="O62" s="322">
        <f>+'RECHAZADOS A CA'!O62+'RECH-RECUP_PS CA'!O222</f>
        <v>51.022440000000003</v>
      </c>
      <c r="P62" s="322">
        <f>+'RECHAZADOS A CA'!P62+'RECH-RECUP_PS CA'!P222</f>
        <v>51.465283200000002</v>
      </c>
      <c r="Q62" s="322">
        <f>+'RECHAZADOS A CA'!Q62+'RECH-RECUP_PS CA'!Q222</f>
        <v>51.911798400000002</v>
      </c>
      <c r="R62" s="322">
        <f>+'RECHAZADOS A CA'!R62+'RECH-RECUP_PS CA'!R222</f>
        <v>52.362720000000003</v>
      </c>
      <c r="S62" s="322">
        <f>+'RECHAZADOS A CA'!S62+'RECH-RECUP_PS CA'!S222</f>
        <v>52.817313600000006</v>
      </c>
      <c r="T62" s="322">
        <f>+'RECHAZADOS A CA'!T62+'RECH-RECUP_PS CA'!T222</f>
        <v>53.275579199999996</v>
      </c>
      <c r="U62" s="322">
        <f>+'RECHAZADOS A CA'!U62+'RECH-RECUP_PS CA'!U222</f>
        <v>53.737516800000002</v>
      </c>
      <c r="V62" s="322">
        <f>+'RECHAZADOS A CA'!V62+'RECH-RECUP_PS CA'!V222</f>
        <v>54.203860800000008</v>
      </c>
      <c r="W62" s="322">
        <f>+'RECHAZADOS A CA'!W62+'RECH-RECUP_PS CA'!W222</f>
        <v>54.674611200000008</v>
      </c>
      <c r="X62" s="322">
        <f>+'RECHAZADOS A CA'!X62+'RECH-RECUP_PS CA'!X222</f>
        <v>55.149033600000003</v>
      </c>
      <c r="Y62" s="322">
        <f>+'RECHAZADOS A CA'!Y62+'RECH-RECUP_PS CA'!Y222</f>
        <v>55.627862400000005</v>
      </c>
      <c r="Z62" s="322">
        <f>+'RECHAZADOS A CA'!Z62+'RECH-RECUP_PS CA'!Z222</f>
        <v>56.110363200000009</v>
      </c>
      <c r="AA62" s="343">
        <f t="shared" si="1"/>
        <v>54.182071968000002</v>
      </c>
    </row>
    <row r="63" spans="1:27" ht="24.95" customHeight="1">
      <c r="A63" s="260" t="str">
        <f>+Pobl_adoptada!A63</f>
        <v>Escobar</v>
      </c>
      <c r="B63" s="70">
        <f>+Pobl_adoptada!B63</f>
        <v>59</v>
      </c>
      <c r="C63" s="71" t="str">
        <f>+Pobl_adoptada!C63</f>
        <v>Escobar</v>
      </c>
      <c r="D63" s="341"/>
      <c r="E63" s="278"/>
      <c r="F63" s="263"/>
      <c r="G63" s="322">
        <f>+'RECHAZADOS A CA'!G63+'RECH-RECUP_PS CA'!G223</f>
        <v>293.17153344000002</v>
      </c>
      <c r="H63" s="322">
        <f>+'RECHAZADOS A CA'!H63+'RECH-RECUP_PS CA'!H223</f>
        <v>281.16885888000002</v>
      </c>
      <c r="I63" s="322">
        <f>+'RECHAZADOS A CA'!I63+'RECH-RECUP_PS CA'!I223</f>
        <v>268.6229568</v>
      </c>
      <c r="J63" s="322">
        <f>+'RECHAZADOS A CA'!J63+'RECH-RECUP_PS CA'!J223</f>
        <v>248.08929600000002</v>
      </c>
      <c r="K63" s="322">
        <f>+'RECHAZADOS A CA'!K63+'RECH-RECUP_PS CA'!K223</f>
        <v>226.77904800000002</v>
      </c>
      <c r="L63" s="322">
        <f>+'RECHAZADOS A CA'!L63+'RECH-RECUP_PS CA'!L223</f>
        <v>230.27699520000004</v>
      </c>
      <c r="M63" s="322">
        <f>+'RECHAZADOS A CA'!M63+'RECH-RECUP_PS CA'!M223</f>
        <v>233.77567680000001</v>
      </c>
      <c r="N63" s="322">
        <f>+'RECHAZADOS A CA'!N63+'RECH-RECUP_PS CA'!N223</f>
        <v>237.27362399999998</v>
      </c>
      <c r="O63" s="322">
        <f>+'RECHAZADOS A CA'!O63+'RECH-RECUP_PS CA'!O223</f>
        <v>240.77230560000001</v>
      </c>
      <c r="P63" s="322">
        <f>+'RECHAZADOS A CA'!P63+'RECH-RECUP_PS CA'!P223</f>
        <v>244.27025279999998</v>
      </c>
      <c r="Q63" s="322">
        <f>+'RECHAZADOS A CA'!Q63+'RECH-RECUP_PS CA'!Q223</f>
        <v>247.76893440000003</v>
      </c>
      <c r="R63" s="322">
        <f>+'RECHAZADOS A CA'!R63+'RECH-RECUP_PS CA'!R223</f>
        <v>251.267616</v>
      </c>
      <c r="S63" s="322">
        <f>+'RECHAZADOS A CA'!S63+'RECH-RECUP_PS CA'!S223</f>
        <v>254.7655632</v>
      </c>
      <c r="T63" s="322">
        <f>+'RECHAZADOS A CA'!T63+'RECH-RECUP_PS CA'!T223</f>
        <v>258.26424480000003</v>
      </c>
      <c r="U63" s="322">
        <f>+'RECHAZADOS A CA'!U63+'RECH-RECUP_PS CA'!U223</f>
        <v>261.76219200000003</v>
      </c>
      <c r="V63" s="322">
        <f>+'RECHAZADOS A CA'!V63+'RECH-RECUP_PS CA'!V223</f>
        <v>265.26087360000002</v>
      </c>
      <c r="W63" s="322">
        <f>+'RECHAZADOS A CA'!W63+'RECH-RECUP_PS CA'!W223</f>
        <v>268.75882080000002</v>
      </c>
      <c r="X63" s="322">
        <f>+'RECHAZADOS A CA'!X63+'RECH-RECUP_PS CA'!X223</f>
        <v>272.25750240000002</v>
      </c>
      <c r="Y63" s="322">
        <f>+'RECHAZADOS A CA'!Y63+'RECH-RECUP_PS CA'!Y223</f>
        <v>275.75544959999996</v>
      </c>
      <c r="Z63" s="322">
        <f>+'RECHAZADOS A CA'!Z63+'RECH-RECUP_PS CA'!Z223</f>
        <v>279.25413120000002</v>
      </c>
      <c r="AA63" s="343">
        <f t="shared" si="1"/>
        <v>256.96579377600006</v>
      </c>
    </row>
    <row r="64" spans="1:27" ht="24.95" customHeight="1">
      <c r="A64" s="260" t="str">
        <f>+Pobl_adoptada!A64</f>
        <v>Exaltación de la Cruz</v>
      </c>
      <c r="B64" s="70">
        <f>+Pobl_adoptada!B64</f>
        <v>60</v>
      </c>
      <c r="C64" s="71" t="str">
        <f>+Pobl_adoptada!C64</f>
        <v>Capilla del Señor</v>
      </c>
      <c r="D64" s="341"/>
      <c r="E64" s="278"/>
      <c r="F64" s="263"/>
      <c r="G64" s="322">
        <f>+'RECHAZADOS A CA'!G64+'RECH-RECUP_PS CA'!G224</f>
        <v>11.802260480000001</v>
      </c>
      <c r="H64" s="322">
        <f>+'RECHAZADOS A CA'!H64+'RECH-RECUP_PS CA'!H224</f>
        <v>11.363339519999998</v>
      </c>
      <c r="I64" s="322">
        <f>+'RECHAZADOS A CA'!I64+'RECH-RECUP_PS CA'!I224</f>
        <v>10.900454400000001</v>
      </c>
      <c r="J64" s="322">
        <f>+'RECHAZADOS A CA'!J64+'RECH-RECUP_PS CA'!J224</f>
        <v>10.110431999999999</v>
      </c>
      <c r="K64" s="322">
        <f>+'RECHAZADOS A CA'!K64+'RECH-RECUP_PS CA'!K224</f>
        <v>9.2822112000000008</v>
      </c>
      <c r="L64" s="322">
        <f>+'RECHAZADOS A CA'!L64+'RECH-RECUP_PS CA'!L224</f>
        <v>9.4690080000000005</v>
      </c>
      <c r="M64" s="322">
        <f>+'RECHAZADOS A CA'!M64+'RECH-RECUP_PS CA'!M224</f>
        <v>9.6584544000000001</v>
      </c>
      <c r="N64" s="322">
        <f>+'RECHAZADOS A CA'!N64+'RECH-RECUP_PS CA'!N224</f>
        <v>9.8512128000000008</v>
      </c>
      <c r="O64" s="322">
        <f>+'RECHAZADOS A CA'!O64+'RECH-RECUP_PS CA'!O224</f>
        <v>10.046620800000001</v>
      </c>
      <c r="P64" s="322">
        <f>+'RECHAZADOS A CA'!P64+'RECH-RECUP_PS CA'!P224</f>
        <v>10.245340800000003</v>
      </c>
      <c r="Q64" s="322">
        <f>+'RECHAZADOS A CA'!Q64+'RECH-RECUP_PS CA'!Q224</f>
        <v>10.4473728</v>
      </c>
      <c r="R64" s="322">
        <f>+'RECHAZADOS A CA'!R64+'RECH-RECUP_PS CA'!R224</f>
        <v>10.6527168</v>
      </c>
      <c r="S64" s="322">
        <f>+'RECHAZADOS A CA'!S64+'RECH-RECUP_PS CA'!S224</f>
        <v>10.862035199999999</v>
      </c>
      <c r="T64" s="322">
        <f>+'RECHAZADOS A CA'!T64+'RECH-RECUP_PS CA'!T224</f>
        <v>11.074003200000002</v>
      </c>
      <c r="U64" s="322">
        <f>+'RECHAZADOS A CA'!U64+'RECH-RECUP_PS CA'!U224</f>
        <v>11.289283200000002</v>
      </c>
      <c r="V64" s="322">
        <f>+'RECHAZADOS A CA'!V64+'RECH-RECUP_PS CA'!V224</f>
        <v>11.508537600000002</v>
      </c>
      <c r="W64" s="322">
        <f>+'RECHAZADOS A CA'!W64+'RECH-RECUP_PS CA'!W224</f>
        <v>11.731104000000002</v>
      </c>
      <c r="X64" s="322">
        <f>+'RECHAZADOS A CA'!X64+'RECH-RECUP_PS CA'!X224</f>
        <v>11.957644800000001</v>
      </c>
      <c r="Y64" s="322">
        <f>+'RECHAZADOS A CA'!Y64+'RECH-RECUP_PS CA'!Y224</f>
        <v>12.1874976</v>
      </c>
      <c r="Z64" s="322">
        <f>+'RECHAZADOS A CA'!Z64+'RECH-RECUP_PS CA'!Z224</f>
        <v>12.421324800000002</v>
      </c>
      <c r="AA64" s="343">
        <f t="shared" si="1"/>
        <v>10.843042720000001</v>
      </c>
    </row>
    <row r="65" spans="1:27" ht="24.95" customHeight="1">
      <c r="A65" s="260" t="str">
        <f>+Pobl_adoptada!A65</f>
        <v>Florentino Ameghino</v>
      </c>
      <c r="B65" s="70">
        <f>+Pobl_adoptada!B65</f>
        <v>61</v>
      </c>
      <c r="C65" s="71" t="str">
        <f>+Pobl_adoptada!C65</f>
        <v>Florentino Ameghino</v>
      </c>
      <c r="D65" s="341"/>
      <c r="E65" s="278"/>
      <c r="F65" s="263"/>
      <c r="G65" s="322">
        <f>+'RECHAZADOS A CA'!G65+'RECH-RECUP_PS CA'!G225</f>
        <v>8.136185600000001</v>
      </c>
      <c r="H65" s="322">
        <f>+'RECHAZADOS A CA'!H65+'RECH-RECUP_PS CA'!H225</f>
        <v>7.7681635199999999</v>
      </c>
      <c r="I65" s="322">
        <f>+'RECHAZADOS A CA'!I65+'RECH-RECUP_PS CA'!I225</f>
        <v>7.3900287999999996</v>
      </c>
      <c r="J65" s="322">
        <f>+'RECHAZADOS A CA'!J65+'RECH-RECUP_PS CA'!J225</f>
        <v>6.7969599999999994</v>
      </c>
      <c r="K65" s="322">
        <f>+'RECHAZADOS A CA'!K65+'RECH-RECUP_PS CA'!K225</f>
        <v>6.1874784000000016</v>
      </c>
      <c r="L65" s="322">
        <f>+'RECHAZADOS A CA'!L65+'RECH-RECUP_PS CA'!L225</f>
        <v>6.2583551999999996</v>
      </c>
      <c r="M65" s="322">
        <f>+'RECHAZADOS A CA'!M65+'RECH-RECUP_PS CA'!M225</f>
        <v>6.3292319999999993</v>
      </c>
      <c r="N65" s="322">
        <f>+'RECHAZADOS A CA'!N65+'RECH-RECUP_PS CA'!N225</f>
        <v>6.3994464000000004</v>
      </c>
      <c r="O65" s="322">
        <f>+'RECHAZADOS A CA'!O65+'RECH-RECUP_PS CA'!O225</f>
        <v>6.4703231999999993</v>
      </c>
      <c r="P65" s="322">
        <f>+'RECHAZADOS A CA'!P65+'RECH-RECUP_PS CA'!P225</f>
        <v>6.5412000000000008</v>
      </c>
      <c r="Q65" s="322">
        <f>+'RECHAZADOS A CA'!Q65+'RECH-RECUP_PS CA'!Q225</f>
        <v>6.6114144000000001</v>
      </c>
      <c r="R65" s="322">
        <f>+'RECHAZADOS A CA'!R65+'RECH-RECUP_PS CA'!R225</f>
        <v>6.6822911999999999</v>
      </c>
      <c r="S65" s="322">
        <f>+'RECHAZADOS A CA'!S65+'RECH-RECUP_PS CA'!S225</f>
        <v>6.7531680000000005</v>
      </c>
      <c r="T65" s="322">
        <f>+'RECHAZADOS A CA'!T65+'RECH-RECUP_PS CA'!T225</f>
        <v>6.8233823999999998</v>
      </c>
      <c r="U65" s="322">
        <f>+'RECHAZADOS A CA'!U65+'RECH-RECUP_PS CA'!U225</f>
        <v>6.8942591999999996</v>
      </c>
      <c r="V65" s="322">
        <f>+'RECHAZADOS A CA'!V65+'RECH-RECUP_PS CA'!V225</f>
        <v>6.9651360000000011</v>
      </c>
      <c r="W65" s="322">
        <f>+'RECHAZADOS A CA'!W65+'RECH-RECUP_PS CA'!W225</f>
        <v>7.0353503999999996</v>
      </c>
      <c r="X65" s="322">
        <f>+'RECHAZADOS A CA'!X65+'RECH-RECUP_PS CA'!X225</f>
        <v>7.1062271999999993</v>
      </c>
      <c r="Y65" s="322">
        <f>+'RECHAZADOS A CA'!Y65+'RECH-RECUP_PS CA'!Y225</f>
        <v>7.1764416000000004</v>
      </c>
      <c r="Z65" s="322">
        <f>+'RECHAZADOS A CA'!Z65+'RECH-RECUP_PS CA'!Z225</f>
        <v>7.247318400000001</v>
      </c>
      <c r="AA65" s="343">
        <f t="shared" si="1"/>
        <v>6.8786180960000012</v>
      </c>
    </row>
    <row r="66" spans="1:27" ht="24.95" customHeight="1">
      <c r="A66" s="260" t="str">
        <f>+Pobl_adoptada!A66</f>
        <v>General Alvarado</v>
      </c>
      <c r="B66" s="70">
        <f>+Pobl_adoptada!B66</f>
        <v>62</v>
      </c>
      <c r="C66" s="71" t="str">
        <f>+Pobl_adoptada!C66</f>
        <v>Miramar</v>
      </c>
      <c r="D66" s="341"/>
      <c r="E66" s="278"/>
      <c r="F66" s="263"/>
      <c r="G66" s="322">
        <f>+'RECHAZADOS A CA'!G66+'RECH-RECUP_PS CA'!G226</f>
        <v>54.307853440000002</v>
      </c>
      <c r="H66" s="322">
        <f>+'RECHAZADOS A CA'!H66+'RECH-RECUP_PS CA'!H226</f>
        <v>51.948505440000005</v>
      </c>
      <c r="I66" s="322">
        <f>+'RECHAZADOS A CA'!I66+'RECH-RECUP_PS CA'!I226</f>
        <v>49.506494400000008</v>
      </c>
      <c r="J66" s="322">
        <f>+'RECHAZADOS A CA'!J66+'RECH-RECUP_PS CA'!J226</f>
        <v>45.609680000000004</v>
      </c>
      <c r="K66" s="322">
        <f>+'RECHAZADOS A CA'!K66+'RECH-RECUP_PS CA'!K226</f>
        <v>41.592110400000003</v>
      </c>
      <c r="L66" s="322">
        <f>+'RECHAZADOS A CA'!L66+'RECH-RECUP_PS CA'!L226</f>
        <v>42.136272000000005</v>
      </c>
      <c r="M66" s="322">
        <f>+'RECHAZADOS A CA'!M66+'RECH-RECUP_PS CA'!M226</f>
        <v>42.679670400000006</v>
      </c>
      <c r="N66" s="322">
        <f>+'RECHAZADOS A CA'!N66+'RECH-RECUP_PS CA'!N226</f>
        <v>43.223832000000009</v>
      </c>
      <c r="O66" s="322">
        <f>+'RECHAZADOS A CA'!O66+'RECH-RECUP_PS CA'!O226</f>
        <v>43.767993600000004</v>
      </c>
      <c r="P66" s="322">
        <f>+'RECHAZADOS A CA'!P66+'RECH-RECUP_PS CA'!P226</f>
        <v>44.311392000000012</v>
      </c>
      <c r="Q66" s="322">
        <f>+'RECHAZADOS A CA'!Q66+'RECH-RECUP_PS CA'!Q226</f>
        <v>44.854790399999999</v>
      </c>
      <c r="R66" s="322">
        <f>+'RECHAZADOS A CA'!R66+'RECH-RECUP_PS CA'!R226</f>
        <v>45.398952000000008</v>
      </c>
      <c r="S66" s="322">
        <f>+'RECHAZADOS A CA'!S66+'RECH-RECUP_PS CA'!S226</f>
        <v>45.942350399999995</v>
      </c>
      <c r="T66" s="322">
        <f>+'RECHAZADOS A CA'!T66+'RECH-RECUP_PS CA'!T226</f>
        <v>46.486512000000012</v>
      </c>
      <c r="U66" s="322">
        <f>+'RECHAZADOS A CA'!U66+'RECH-RECUP_PS CA'!U226</f>
        <v>47.0306736</v>
      </c>
      <c r="V66" s="322">
        <f>+'RECHAZADOS A CA'!V66+'RECH-RECUP_PS CA'!V226</f>
        <v>47.574072000000008</v>
      </c>
      <c r="W66" s="322">
        <f>+'RECHAZADOS A CA'!W66+'RECH-RECUP_PS CA'!W226</f>
        <v>48.117470400000009</v>
      </c>
      <c r="X66" s="322">
        <f>+'RECHAZADOS A CA'!X66+'RECH-RECUP_PS CA'!X226</f>
        <v>48.661631999999997</v>
      </c>
      <c r="Y66" s="322">
        <f>+'RECHAZADOS A CA'!Y66+'RECH-RECUP_PS CA'!Y226</f>
        <v>49.2057936</v>
      </c>
      <c r="Z66" s="322">
        <f>+'RECHAZADOS A CA'!Z66+'RECH-RECUP_PS CA'!Z226</f>
        <v>49.749192000000008</v>
      </c>
      <c r="AA66" s="343">
        <f t="shared" si="1"/>
        <v>46.605262104000005</v>
      </c>
    </row>
    <row r="67" spans="1:27" ht="24.95" customHeight="1">
      <c r="A67" s="260" t="str">
        <f>+Pobl_adoptada!A67</f>
        <v>General Alvear</v>
      </c>
      <c r="B67" s="70">
        <f>+Pobl_adoptada!B67</f>
        <v>63</v>
      </c>
      <c r="C67" s="71" t="str">
        <f>+Pobl_adoptada!C67</f>
        <v>General Alvear</v>
      </c>
      <c r="D67" s="341"/>
      <c r="E67" s="278"/>
      <c r="F67" s="263"/>
      <c r="G67" s="322">
        <f>+'RECHAZADOS A CA'!G67+'RECH-RECUP_PS CA'!G227</f>
        <v>9.3992793599999995</v>
      </c>
      <c r="H67" s="322">
        <f>+'RECHAZADOS A CA'!H67+'RECH-RECUP_PS CA'!H227</f>
        <v>8.8962307200000019</v>
      </c>
      <c r="I67" s="322">
        <f>+'RECHAZADOS A CA'!I67+'RECH-RECUP_PS CA'!I227</f>
        <v>8.3890752000000006</v>
      </c>
      <c r="J67" s="322">
        <f>+'RECHAZADOS A CA'!J67+'RECH-RECUP_PS CA'!J227</f>
        <v>7.649983999999999</v>
      </c>
      <c r="K67" s="322">
        <f>+'RECHAZADOS A CA'!K67+'RECH-RECUP_PS CA'!K227</f>
        <v>6.9055199999999992</v>
      </c>
      <c r="L67" s="322">
        <f>+'RECHAZADOS A CA'!L67+'RECH-RECUP_PS CA'!L227</f>
        <v>6.9267168000000012</v>
      </c>
      <c r="M67" s="322">
        <f>+'RECHAZADOS A CA'!M67+'RECH-RECUP_PS CA'!M227</f>
        <v>6.9472512000000002</v>
      </c>
      <c r="N67" s="322">
        <f>+'RECHAZADOS A CA'!N67+'RECH-RECUP_PS CA'!N227</f>
        <v>6.9684480000000004</v>
      </c>
      <c r="O67" s="322">
        <f>+'RECHAZADOS A CA'!O67+'RECH-RECUP_PS CA'!O227</f>
        <v>6.9896448000000007</v>
      </c>
      <c r="P67" s="322">
        <f>+'RECHAZADOS A CA'!P67+'RECH-RECUP_PS CA'!P227</f>
        <v>7.0108416</v>
      </c>
      <c r="Q67" s="322">
        <f>+'RECHAZADOS A CA'!Q67+'RECH-RECUP_PS CA'!Q227</f>
        <v>7.0320384000000011</v>
      </c>
      <c r="R67" s="322">
        <f>+'RECHAZADOS A CA'!R67+'RECH-RECUP_PS CA'!R227</f>
        <v>7.0538976</v>
      </c>
      <c r="S67" s="322">
        <f>+'RECHAZADOS A CA'!S67+'RECH-RECUP_PS CA'!S227</f>
        <v>7.0750944000000002</v>
      </c>
      <c r="T67" s="322">
        <f>+'RECHAZADOS A CA'!T67+'RECH-RECUP_PS CA'!T227</f>
        <v>7.0962912000000014</v>
      </c>
      <c r="U67" s="322">
        <f>+'RECHAZADOS A CA'!U67+'RECH-RECUP_PS CA'!U227</f>
        <v>7.1181503999999993</v>
      </c>
      <c r="V67" s="322">
        <f>+'RECHAZADOS A CA'!V67+'RECH-RECUP_PS CA'!V227</f>
        <v>7.1393472000000004</v>
      </c>
      <c r="W67" s="322">
        <f>+'RECHAZADOS A CA'!W67+'RECH-RECUP_PS CA'!W227</f>
        <v>7.1612064000000002</v>
      </c>
      <c r="X67" s="322">
        <f>+'RECHAZADOS A CA'!X67+'RECH-RECUP_PS CA'!X227</f>
        <v>7.1830655999999991</v>
      </c>
      <c r="Y67" s="322">
        <f>+'RECHAZADOS A CA'!Y67+'RECH-RECUP_PS CA'!Y227</f>
        <v>7.2049248000000006</v>
      </c>
      <c r="Z67" s="322">
        <f>+'RECHAZADOS A CA'!Z67+'RECH-RECUP_PS CA'!Z227</f>
        <v>7.2267840000000003</v>
      </c>
      <c r="AA67" s="343">
        <f t="shared" si="1"/>
        <v>7.3686895840000002</v>
      </c>
    </row>
    <row r="68" spans="1:27" ht="24.95" customHeight="1">
      <c r="A68" s="260" t="str">
        <f>+Pobl_adoptada!A68</f>
        <v>General Arenales</v>
      </c>
      <c r="B68" s="70">
        <f>+Pobl_adoptada!B68</f>
        <v>64</v>
      </c>
      <c r="C68" s="71" t="str">
        <f>+Pobl_adoptada!C68</f>
        <v>General Arenales</v>
      </c>
      <c r="D68" s="341"/>
      <c r="E68" s="278"/>
      <c r="F68" s="263"/>
      <c r="G68" s="322">
        <f>+'RECHAZADOS A CA'!G68+'RECH-RECUP_PS CA'!G228</f>
        <v>4.5522483200000003</v>
      </c>
      <c r="H68" s="322">
        <f>+'RECHAZADOS A CA'!H68+'RECH-RECUP_PS CA'!H228</f>
        <v>4.3305724799999998</v>
      </c>
      <c r="I68" s="322">
        <f>+'RECHAZADOS A CA'!I68+'RECH-RECUP_PS CA'!I228</f>
        <v>4.1046720000000008</v>
      </c>
      <c r="J68" s="322">
        <f>+'RECHAZADOS A CA'!J68+'RECH-RECUP_PS CA'!J228</f>
        <v>3.7624319999999996</v>
      </c>
      <c r="K68" s="322">
        <f>+'RECHAZADOS A CA'!K68+'RECH-RECUP_PS CA'!K228</f>
        <v>3.4133472</v>
      </c>
      <c r="L68" s="322">
        <f>+'RECHAZADOS A CA'!L68+'RECH-RECUP_PS CA'!L228</f>
        <v>3.4405056000000003</v>
      </c>
      <c r="M68" s="322">
        <f>+'RECHAZADOS A CA'!M68+'RECH-RECUP_PS CA'!M228</f>
        <v>3.4676640000000001</v>
      </c>
      <c r="N68" s="322">
        <f>+'RECHAZADOS A CA'!N68+'RECH-RECUP_PS CA'!N228</f>
        <v>3.4948224000000003</v>
      </c>
      <c r="O68" s="322">
        <f>+'RECHAZADOS A CA'!O68+'RECH-RECUP_PS CA'!O228</f>
        <v>3.5226432000000005</v>
      </c>
      <c r="P68" s="322">
        <f>+'RECHAZADOS A CA'!P68+'RECH-RECUP_PS CA'!P228</f>
        <v>3.5498016000000003</v>
      </c>
      <c r="Q68" s="322">
        <f>+'RECHAZADOS A CA'!Q68+'RECH-RECUP_PS CA'!Q228</f>
        <v>3.5769600000000001</v>
      </c>
      <c r="R68" s="322">
        <f>+'RECHAZADOS A CA'!R68+'RECH-RECUP_PS CA'!R228</f>
        <v>3.6041183999999999</v>
      </c>
      <c r="S68" s="322">
        <f>+'RECHAZADOS A CA'!S68+'RECH-RECUP_PS CA'!S228</f>
        <v>3.6312768000000006</v>
      </c>
      <c r="T68" s="322">
        <f>+'RECHAZADOS A CA'!T68+'RECH-RECUP_PS CA'!T228</f>
        <v>3.6590976</v>
      </c>
      <c r="U68" s="322">
        <f>+'RECHAZADOS A CA'!U68+'RECH-RECUP_PS CA'!U228</f>
        <v>3.6862560000000006</v>
      </c>
      <c r="V68" s="322">
        <f>+'RECHAZADOS A CA'!V68+'RECH-RECUP_PS CA'!V228</f>
        <v>3.7134144000000004</v>
      </c>
      <c r="W68" s="322">
        <f>+'RECHAZADOS A CA'!W68+'RECH-RECUP_PS CA'!W228</f>
        <v>3.7405727999999998</v>
      </c>
      <c r="X68" s="322">
        <f>+'RECHAZADOS A CA'!X68+'RECH-RECUP_PS CA'!X228</f>
        <v>3.7677312000000005</v>
      </c>
      <c r="Y68" s="322">
        <f>+'RECHAZADOS A CA'!Y68+'RECH-RECUP_PS CA'!Y228</f>
        <v>3.7955520000000003</v>
      </c>
      <c r="Z68" s="322">
        <f>+'RECHAZADOS A CA'!Z68+'RECH-RECUP_PS CA'!Z228</f>
        <v>3.8227104000000005</v>
      </c>
      <c r="AA68" s="343">
        <f t="shared" si="1"/>
        <v>3.7318199200000008</v>
      </c>
    </row>
    <row r="69" spans="1:27" ht="24.95" customHeight="1">
      <c r="A69" s="260" t="str">
        <f>+Pobl_adoptada!A69</f>
        <v>General Belgrano</v>
      </c>
      <c r="B69" s="70">
        <f>+Pobl_adoptada!B69</f>
        <v>65</v>
      </c>
      <c r="C69" s="71" t="str">
        <f>+Pobl_adoptada!C69</f>
        <v>General Belgrano</v>
      </c>
      <c r="D69" s="341"/>
      <c r="E69" s="278"/>
      <c r="F69" s="263"/>
      <c r="G69" s="322">
        <f>+'RECHAZADOS A CA'!G69+'RECH-RECUP_PS CA'!G229</f>
        <v>20.399488000000002</v>
      </c>
      <c r="H69" s="322">
        <f>+'RECHAZADOS A CA'!H69+'RECH-RECUP_PS CA'!H229</f>
        <v>19.527693120000002</v>
      </c>
      <c r="I69" s="322">
        <f>+'RECHAZADOS A CA'!I69+'RECH-RECUP_PS CA'!I229</f>
        <v>18.627083200000001</v>
      </c>
      <c r="J69" s="322">
        <f>+'RECHAZADOS A CA'!J69+'RECH-RECUP_PS CA'!J229</f>
        <v>17.180480000000003</v>
      </c>
      <c r="K69" s="322">
        <f>+'RECHAZADOS A CA'!K69+'RECH-RECUP_PS CA'!K229</f>
        <v>15.687576000000004</v>
      </c>
      <c r="L69" s="322">
        <f>+'RECHAZADOS A CA'!L69+'RECH-RECUP_PS CA'!L229</f>
        <v>15.915772800000003</v>
      </c>
      <c r="M69" s="322">
        <f>+'RECHAZADOS A CA'!M69+'RECH-RECUP_PS CA'!M229</f>
        <v>16.147785599999999</v>
      </c>
      <c r="N69" s="322">
        <f>+'RECHAZADOS A CA'!N69+'RECH-RECUP_PS CA'!N229</f>
        <v>16.382851200000001</v>
      </c>
      <c r="O69" s="322">
        <f>+'RECHAZADOS A CA'!O69+'RECH-RECUP_PS CA'!O229</f>
        <v>16.620969599999999</v>
      </c>
      <c r="P69" s="322">
        <f>+'RECHAZADOS A CA'!P69+'RECH-RECUP_PS CA'!P229</f>
        <v>16.863667200000002</v>
      </c>
      <c r="Q69" s="322">
        <f>+'RECHAZADOS A CA'!Q69+'RECH-RECUP_PS CA'!Q229</f>
        <v>17.108654399999999</v>
      </c>
      <c r="R69" s="322">
        <f>+'RECHAZADOS A CA'!R69+'RECH-RECUP_PS CA'!R229</f>
        <v>17.358220800000002</v>
      </c>
      <c r="S69" s="322">
        <f>+'RECHAZADOS A CA'!S69+'RECH-RECUP_PS CA'!S229</f>
        <v>17.61084</v>
      </c>
      <c r="T69" s="322">
        <f>+'RECHAZADOS A CA'!T69+'RECH-RECUP_PS CA'!T229</f>
        <v>17.867275200000002</v>
      </c>
      <c r="U69" s="322">
        <f>+'RECHAZADOS A CA'!U69+'RECH-RECUP_PS CA'!U229</f>
        <v>18.127526400000001</v>
      </c>
      <c r="V69" s="322">
        <f>+'RECHAZADOS A CA'!V69+'RECH-RECUP_PS CA'!V229</f>
        <v>18.3915936</v>
      </c>
      <c r="W69" s="322">
        <f>+'RECHAZADOS A CA'!W69+'RECH-RECUP_PS CA'!W229</f>
        <v>18.658713600000002</v>
      </c>
      <c r="X69" s="322">
        <f>+'RECHAZADOS A CA'!X69+'RECH-RECUP_PS CA'!X229</f>
        <v>18.930412799999999</v>
      </c>
      <c r="Y69" s="322">
        <f>+'RECHAZADOS A CA'!Y69+'RECH-RECUP_PS CA'!Y229</f>
        <v>19.206691200000002</v>
      </c>
      <c r="Z69" s="322">
        <f>+'RECHAZADOS A CA'!Z69+'RECH-RECUP_PS CA'!Z229</f>
        <v>19.486022400000003</v>
      </c>
      <c r="AA69" s="343">
        <f t="shared" ref="AA69:AA126" si="2">AVERAGE(G69:Z69)</f>
        <v>17.804965856000003</v>
      </c>
    </row>
    <row r="70" spans="1:27" ht="24.95" customHeight="1">
      <c r="A70" s="260" t="str">
        <f>+Pobl_adoptada!A70</f>
        <v>General Guido</v>
      </c>
      <c r="B70" s="70">
        <f>+Pobl_adoptada!B70</f>
        <v>66</v>
      </c>
      <c r="C70" s="71" t="str">
        <f>+Pobl_adoptada!C70</f>
        <v>General Guido</v>
      </c>
      <c r="D70" s="341"/>
      <c r="E70" s="278"/>
      <c r="F70" s="263"/>
      <c r="G70" s="322">
        <f>+'RECHAZADOS A CA'!G70+'RECH-RECUP_PS CA'!G230</f>
        <v>1.4109414400000002</v>
      </c>
      <c r="H70" s="322">
        <f>+'RECHAZADOS A CA'!H70+'RECH-RECUP_PS CA'!H230</f>
        <v>1.3467916800000002</v>
      </c>
      <c r="I70" s="322">
        <f>+'RECHAZADOS A CA'!I70+'RECH-RECUP_PS CA'!I230</f>
        <v>1.2799776</v>
      </c>
      <c r="J70" s="322">
        <f>+'RECHAZADOS A CA'!J70+'RECH-RECUP_PS CA'!J230</f>
        <v>1.1768640000000001</v>
      </c>
      <c r="K70" s="322">
        <f>+'RECHAZADOS A CA'!K70+'RECH-RECUP_PS CA'!K230</f>
        <v>1.0711008000000002</v>
      </c>
      <c r="L70" s="322">
        <f>+'RECHAZADOS A CA'!L70+'RECH-RECUP_PS CA'!L230</f>
        <v>1.0836864000000002</v>
      </c>
      <c r="M70" s="322">
        <f>+'RECHAZADOS A CA'!M70+'RECH-RECUP_PS CA'!M230</f>
        <v>1.0956096000000002</v>
      </c>
      <c r="N70" s="322">
        <f>+'RECHAZADOS A CA'!N70+'RECH-RECUP_PS CA'!N230</f>
        <v>1.1081951999999999</v>
      </c>
      <c r="O70" s="322">
        <f>+'RECHAZADOS A CA'!O70+'RECH-RECUP_PS CA'!O230</f>
        <v>1.1207808000000001</v>
      </c>
      <c r="P70" s="322">
        <f>+'RECHAZADOS A CA'!P70+'RECH-RECUP_PS CA'!P230</f>
        <v>1.1333664000000001</v>
      </c>
      <c r="Q70" s="322">
        <f>+'RECHAZADOS A CA'!Q70+'RECH-RECUP_PS CA'!Q230</f>
        <v>1.1459520000000003</v>
      </c>
      <c r="R70" s="322">
        <f>+'RECHAZADOS A CA'!R70+'RECH-RECUP_PS CA'!R230</f>
        <v>1.1592</v>
      </c>
      <c r="S70" s="322">
        <f>+'RECHAZADOS A CA'!S70+'RECH-RECUP_PS CA'!S230</f>
        <v>1.1724480000000002</v>
      </c>
      <c r="T70" s="322">
        <f>+'RECHAZADOS A CA'!T70+'RECH-RECUP_PS CA'!T230</f>
        <v>1.1856960000000003</v>
      </c>
      <c r="U70" s="322">
        <f>+'RECHAZADOS A CA'!U70+'RECH-RECUP_PS CA'!U230</f>
        <v>1.198944</v>
      </c>
      <c r="V70" s="322">
        <f>+'RECHAZADOS A CA'!V70+'RECH-RECUP_PS CA'!V230</f>
        <v>1.2128543999999999</v>
      </c>
      <c r="W70" s="322">
        <f>+'RECHAZADOS A CA'!W70+'RECH-RECUP_PS CA'!W230</f>
        <v>1.2261024000000003</v>
      </c>
      <c r="X70" s="322">
        <f>+'RECHAZADOS A CA'!X70+'RECH-RECUP_PS CA'!X230</f>
        <v>1.2400127999999999</v>
      </c>
      <c r="Y70" s="322">
        <f>+'RECHAZADOS A CA'!Y70+'RECH-RECUP_PS CA'!Y230</f>
        <v>1.2545856</v>
      </c>
      <c r="Z70" s="322">
        <f>+'RECHAZADOS A CA'!Z70+'RECH-RECUP_PS CA'!Z230</f>
        <v>1.2684960000000003</v>
      </c>
      <c r="AA70" s="343">
        <f t="shared" si="2"/>
        <v>1.1945802559999998</v>
      </c>
    </row>
    <row r="71" spans="1:27" ht="24.95" customHeight="1">
      <c r="A71" s="260" t="str">
        <f>+Pobl_adoptada!A71</f>
        <v>General Juan Madariaga</v>
      </c>
      <c r="B71" s="70">
        <f>+Pobl_adoptada!B71</f>
        <v>67</v>
      </c>
      <c r="C71" s="71" t="str">
        <f>+Pobl_adoptada!C71</f>
        <v>General Juan Madariaga</v>
      </c>
      <c r="D71" s="341"/>
      <c r="E71" s="278"/>
      <c r="F71" s="263"/>
      <c r="G71" s="322">
        <f>+'RECHAZADOS A CA'!G71+'RECH-RECUP_PS CA'!G231</f>
        <v>23.3069408</v>
      </c>
      <c r="H71" s="322">
        <f>+'RECHAZADOS A CA'!H71+'RECH-RECUP_PS CA'!H231</f>
        <v>22.279944960000002</v>
      </c>
      <c r="I71" s="322">
        <f>+'RECHAZADOS A CA'!I71+'RECH-RECUP_PS CA'!I231</f>
        <v>21.223065600000002</v>
      </c>
      <c r="J71" s="322">
        <f>+'RECHAZADOS A CA'!J71+'RECH-RECUP_PS CA'!J231</f>
        <v>19.548943999999999</v>
      </c>
      <c r="K71" s="322">
        <f>+'RECHAZADOS A CA'!K71+'RECH-RECUP_PS CA'!K231</f>
        <v>17.827588800000004</v>
      </c>
      <c r="L71" s="322">
        <f>+'RECHAZADOS A CA'!L71+'RECH-RECUP_PS CA'!L231</f>
        <v>18.064944000000001</v>
      </c>
      <c r="M71" s="322">
        <f>+'RECHAZADOS A CA'!M71+'RECH-RECUP_PS CA'!M231</f>
        <v>18.306115199999997</v>
      </c>
      <c r="N71" s="322">
        <f>+'RECHAZADOS A CA'!N71+'RECH-RECUP_PS CA'!N231</f>
        <v>18.551102400000001</v>
      </c>
      <c r="O71" s="322">
        <f>+'RECHAZADOS A CA'!O71+'RECH-RECUP_PS CA'!O231</f>
        <v>18.8006688</v>
      </c>
      <c r="P71" s="322">
        <f>+'RECHAZADOS A CA'!P71+'RECH-RECUP_PS CA'!P231</f>
        <v>19.0540512</v>
      </c>
      <c r="Q71" s="322">
        <f>+'RECHAZADOS A CA'!Q71+'RECH-RECUP_PS CA'!Q231</f>
        <v>19.311249600000004</v>
      </c>
      <c r="R71" s="322">
        <f>+'RECHAZADOS A CA'!R71+'RECH-RECUP_PS CA'!R231</f>
        <v>19.572264000000001</v>
      </c>
      <c r="S71" s="322">
        <f>+'RECHAZADOS A CA'!S71+'RECH-RECUP_PS CA'!S231</f>
        <v>19.838620800000001</v>
      </c>
      <c r="T71" s="322">
        <f>+'RECHAZADOS A CA'!T71+'RECH-RECUP_PS CA'!T231</f>
        <v>20.108793599999998</v>
      </c>
      <c r="U71" s="322">
        <f>+'RECHAZADOS A CA'!U71+'RECH-RECUP_PS CA'!U231</f>
        <v>20.382782400000004</v>
      </c>
      <c r="V71" s="322">
        <f>+'RECHAZADOS A CA'!V71+'RECH-RECUP_PS CA'!V231</f>
        <v>20.662113600000001</v>
      </c>
      <c r="W71" s="322">
        <f>+'RECHAZADOS A CA'!W71+'RECH-RECUP_PS CA'!W231</f>
        <v>20.945260800000007</v>
      </c>
      <c r="X71" s="322">
        <f>+'RECHAZADOS A CA'!X71+'RECH-RECUP_PS CA'!X231</f>
        <v>21.233750399999998</v>
      </c>
      <c r="Y71" s="322">
        <f>+'RECHAZADOS A CA'!Y71+'RECH-RECUP_PS CA'!Y231</f>
        <v>21.526819200000002</v>
      </c>
      <c r="Z71" s="322">
        <f>+'RECHAZADOS A CA'!Z71+'RECH-RECUP_PS CA'!Z231</f>
        <v>21.824467200000004</v>
      </c>
      <c r="AA71" s="343">
        <f t="shared" si="2"/>
        <v>20.118474368000001</v>
      </c>
    </row>
    <row r="72" spans="1:27" ht="24.95" customHeight="1">
      <c r="A72" s="260" t="str">
        <f>+Pobl_adoptada!A72</f>
        <v>General La Madrid</v>
      </c>
      <c r="B72" s="70">
        <f>+Pobl_adoptada!B72</f>
        <v>68</v>
      </c>
      <c r="C72" s="71" t="str">
        <f>+Pobl_adoptada!C72</f>
        <v>General La Madrid</v>
      </c>
      <c r="D72" s="341"/>
      <c r="E72" s="278"/>
      <c r="F72" s="263"/>
      <c r="G72" s="322">
        <f>+'RECHAZADOS A CA'!G72+'RECH-RECUP_PS CA'!G232</f>
        <v>8.5076300800000002</v>
      </c>
      <c r="H72" s="322">
        <f>+'RECHAZADOS A CA'!H72+'RECH-RECUP_PS CA'!H232</f>
        <v>8.1246672000000011</v>
      </c>
      <c r="I72" s="322">
        <f>+'RECHAZADOS A CA'!I72+'RECH-RECUP_PS CA'!I232</f>
        <v>7.7300607999999995</v>
      </c>
      <c r="J72" s="322">
        <f>+'RECHAZADOS A CA'!J72+'RECH-RECUP_PS CA'!J232</f>
        <v>7.1104960000000004</v>
      </c>
      <c r="K72" s="322">
        <f>+'RECHAZADOS A CA'!K72+'RECH-RECUP_PS CA'!K232</f>
        <v>6.4742975999999999</v>
      </c>
      <c r="L72" s="322">
        <f>+'RECHAZADOS A CA'!L72+'RECH-RECUP_PS CA'!L232</f>
        <v>6.5736575999999998</v>
      </c>
      <c r="M72" s="322">
        <f>+'RECHAZADOS A CA'!M72+'RECH-RECUP_PS CA'!M232</f>
        <v>6.6736800000000009</v>
      </c>
      <c r="N72" s="322">
        <f>+'RECHAZADOS A CA'!N72+'RECH-RECUP_PS CA'!N232</f>
        <v>6.7730399999999999</v>
      </c>
      <c r="O72" s="322">
        <f>+'RECHAZADOS A CA'!O72+'RECH-RECUP_PS CA'!O232</f>
        <v>6.8723999999999998</v>
      </c>
      <c r="P72" s="322">
        <f>+'RECHAZADOS A CA'!P72+'RECH-RECUP_PS CA'!P232</f>
        <v>6.972422400000001</v>
      </c>
      <c r="Q72" s="322">
        <f>+'RECHAZADOS A CA'!Q72+'RECH-RECUP_PS CA'!Q232</f>
        <v>7.0717824</v>
      </c>
      <c r="R72" s="322">
        <f>+'RECHAZADOS A CA'!R72+'RECH-RECUP_PS CA'!R232</f>
        <v>7.1711423999999999</v>
      </c>
      <c r="S72" s="322">
        <f>+'RECHAZADOS A CA'!S72+'RECH-RECUP_PS CA'!S232</f>
        <v>7.2705024000000007</v>
      </c>
      <c r="T72" s="322">
        <f>+'RECHAZADOS A CA'!T72+'RECH-RECUP_PS CA'!T232</f>
        <v>7.370524800000001</v>
      </c>
      <c r="U72" s="322">
        <f>+'RECHAZADOS A CA'!U72+'RECH-RECUP_PS CA'!U232</f>
        <v>7.4698848000000009</v>
      </c>
      <c r="V72" s="322">
        <f>+'RECHAZADOS A CA'!V72+'RECH-RECUP_PS CA'!V232</f>
        <v>7.5692448000000008</v>
      </c>
      <c r="W72" s="322">
        <f>+'RECHAZADOS A CA'!W72+'RECH-RECUP_PS CA'!W232</f>
        <v>7.6692671999999993</v>
      </c>
      <c r="X72" s="322">
        <f>+'RECHAZADOS A CA'!X72+'RECH-RECUP_PS CA'!X232</f>
        <v>7.7686272000000001</v>
      </c>
      <c r="Y72" s="322">
        <f>+'RECHAZADOS A CA'!Y72+'RECH-RECUP_PS CA'!Y232</f>
        <v>7.8679872000000008</v>
      </c>
      <c r="Z72" s="322">
        <f>+'RECHAZADOS A CA'!Z72+'RECH-RECUP_PS CA'!Z232</f>
        <v>7.9680096000000002</v>
      </c>
      <c r="AA72" s="343">
        <f t="shared" si="2"/>
        <v>7.3504662239999989</v>
      </c>
    </row>
    <row r="73" spans="1:27" ht="24.95" customHeight="1">
      <c r="A73" s="260" t="str">
        <f>+Pobl_adoptada!A73</f>
        <v>General Las Heras</v>
      </c>
      <c r="B73" s="70">
        <f>+Pobl_adoptada!B73</f>
        <v>69</v>
      </c>
      <c r="C73" s="71" t="str">
        <f>+Pobl_adoptada!C73</f>
        <v>General Las Heras</v>
      </c>
      <c r="D73" s="341"/>
      <c r="E73" s="278"/>
      <c r="F73" s="263"/>
      <c r="G73" s="322">
        <f>+'RECHAZADOS A CA'!G73+'RECH-RECUP_PS CA'!G233</f>
        <v>13.066266880000002</v>
      </c>
      <c r="H73" s="322">
        <f>+'RECHAZADOS A CA'!H73+'RECH-RECUP_PS CA'!H233</f>
        <v>12.48796224</v>
      </c>
      <c r="I73" s="322">
        <f>+'RECHAZADOS A CA'!I73+'RECH-RECUP_PS CA'!I233</f>
        <v>11.8905952</v>
      </c>
      <c r="J73" s="322">
        <f>+'RECHAZADOS A CA'!J73+'RECH-RECUP_PS CA'!J233</f>
        <v>10.946527999999999</v>
      </c>
      <c r="K73" s="322">
        <f>+'RECHAZADOS A CA'!K73+'RECH-RECUP_PS CA'!K233</f>
        <v>9.9744192000000016</v>
      </c>
      <c r="L73" s="322">
        <f>+'RECHAZADOS A CA'!L73+'RECH-RECUP_PS CA'!L233</f>
        <v>10.096963200000001</v>
      </c>
      <c r="M73" s="322">
        <f>+'RECHAZADOS A CA'!M73+'RECH-RECUP_PS CA'!M233</f>
        <v>10.219507200000002</v>
      </c>
      <c r="N73" s="322">
        <f>+'RECHAZADOS A CA'!N73+'RECH-RECUP_PS CA'!N233</f>
        <v>10.3420512</v>
      </c>
      <c r="O73" s="322">
        <f>+'RECHAZADOS A CA'!O73+'RECH-RECUP_PS CA'!O233</f>
        <v>10.4645952</v>
      </c>
      <c r="P73" s="322">
        <f>+'RECHAZADOS A CA'!P73+'RECH-RECUP_PS CA'!P233</f>
        <v>10.587139200000001</v>
      </c>
      <c r="Q73" s="322">
        <f>+'RECHAZADOS A CA'!Q73+'RECH-RECUP_PS CA'!Q233</f>
        <v>10.709683200000001</v>
      </c>
      <c r="R73" s="322">
        <f>+'RECHAZADOS A CA'!R73+'RECH-RECUP_PS CA'!R233</f>
        <v>10.832889600000001</v>
      </c>
      <c r="S73" s="322">
        <f>+'RECHAZADOS A CA'!S73+'RECH-RECUP_PS CA'!S233</f>
        <v>10.955433600000001</v>
      </c>
      <c r="T73" s="322">
        <f>+'RECHAZADOS A CA'!T73+'RECH-RECUP_PS CA'!T233</f>
        <v>11.077977600000001</v>
      </c>
      <c r="U73" s="322">
        <f>+'RECHAZADOS A CA'!U73+'RECH-RECUP_PS CA'!U233</f>
        <v>11.200521600000002</v>
      </c>
      <c r="V73" s="322">
        <f>+'RECHAZADOS A CA'!V73+'RECH-RECUP_PS CA'!V233</f>
        <v>11.323065600000003</v>
      </c>
      <c r="W73" s="322">
        <f>+'RECHAZADOS A CA'!W73+'RECH-RECUP_PS CA'!W233</f>
        <v>11.445609599999999</v>
      </c>
      <c r="X73" s="322">
        <f>+'RECHAZADOS A CA'!X73+'RECH-RECUP_PS CA'!X233</f>
        <v>11.5681536</v>
      </c>
      <c r="Y73" s="322">
        <f>+'RECHAZADOS A CA'!Y73+'RECH-RECUP_PS CA'!Y233</f>
        <v>11.69136</v>
      </c>
      <c r="Z73" s="322">
        <f>+'RECHAZADOS A CA'!Z73+'RECH-RECUP_PS CA'!Z233</f>
        <v>11.813904000000001</v>
      </c>
      <c r="AA73" s="343">
        <f t="shared" si="2"/>
        <v>11.134731296</v>
      </c>
    </row>
    <row r="74" spans="1:27" ht="24.95" customHeight="1">
      <c r="A74" s="260" t="str">
        <f>+Pobl_adoptada!A74</f>
        <v>General Lavalle</v>
      </c>
      <c r="B74" s="70">
        <f>+Pobl_adoptada!B74</f>
        <v>70</v>
      </c>
      <c r="C74" s="71" t="str">
        <f>+Pobl_adoptada!C74</f>
        <v>General Lavalle</v>
      </c>
      <c r="D74" s="341"/>
      <c r="E74" s="278"/>
      <c r="F74" s="263"/>
      <c r="G74" s="322">
        <f>+'RECHAZADOS A CA'!G74+'RECH-RECUP_PS CA'!G234</f>
        <v>2.4486131200000001</v>
      </c>
      <c r="H74" s="322">
        <f>+'RECHAZADOS A CA'!H74+'RECH-RECUP_PS CA'!H234</f>
        <v>2.3663577600000001</v>
      </c>
      <c r="I74" s="322">
        <f>+'RECHAZADOS A CA'!I74+'RECH-RECUP_PS CA'!I234</f>
        <v>2.2782144</v>
      </c>
      <c r="J74" s="322">
        <f>+'RECHAZADOS A CA'!J74+'RECH-RECUP_PS CA'!J234</f>
        <v>2.1218880000000002</v>
      </c>
      <c r="K74" s="322">
        <f>+'RECHAZADOS A CA'!K74+'RECH-RECUP_PS CA'!K234</f>
        <v>1.9560672000000003</v>
      </c>
      <c r="L74" s="322">
        <f>+'RECHAZADOS A CA'!L74+'RECH-RECUP_PS CA'!L234</f>
        <v>2.0037600000000002</v>
      </c>
      <c r="M74" s="322">
        <f>+'RECHAZADOS A CA'!M74+'RECH-RECUP_PS CA'!M234</f>
        <v>2.0521152000000003</v>
      </c>
      <c r="N74" s="322">
        <f>+'RECHAZADOS A CA'!N74+'RECH-RECUP_PS CA'!N234</f>
        <v>2.1017952000000002</v>
      </c>
      <c r="O74" s="322">
        <f>+'RECHAZADOS A CA'!O74+'RECH-RECUP_PS CA'!O234</f>
        <v>2.1534624</v>
      </c>
      <c r="P74" s="322">
        <f>+'RECHAZADOS A CA'!P74+'RECH-RECUP_PS CA'!P234</f>
        <v>2.2057920000000002</v>
      </c>
      <c r="Q74" s="322">
        <f>+'RECHAZADOS A CA'!Q74+'RECH-RECUP_PS CA'!Q234</f>
        <v>2.2587840000000003</v>
      </c>
      <c r="R74" s="322">
        <f>+'RECHAZADOS A CA'!R74+'RECH-RECUP_PS CA'!R234</f>
        <v>2.3137632000000004</v>
      </c>
      <c r="S74" s="322">
        <f>+'RECHAZADOS A CA'!S74+'RECH-RECUP_PS CA'!S234</f>
        <v>2.3700672000000003</v>
      </c>
      <c r="T74" s="322">
        <f>+'RECHAZADOS A CA'!T74+'RECH-RECUP_PS CA'!T234</f>
        <v>2.4276960000000001</v>
      </c>
      <c r="U74" s="322">
        <f>+'RECHAZADOS A CA'!U74+'RECH-RECUP_PS CA'!U234</f>
        <v>2.4866496000000002</v>
      </c>
      <c r="V74" s="322">
        <f>+'RECHAZADOS A CA'!V74+'RECH-RECUP_PS CA'!V234</f>
        <v>2.5469280000000003</v>
      </c>
      <c r="W74" s="322">
        <f>+'RECHAZADOS A CA'!W74+'RECH-RECUP_PS CA'!W234</f>
        <v>2.6091936000000002</v>
      </c>
      <c r="X74" s="322">
        <f>+'RECHAZADOS A CA'!X74+'RECH-RECUP_PS CA'!X234</f>
        <v>2.6721216000000001</v>
      </c>
      <c r="Y74" s="322">
        <f>+'RECHAZADOS A CA'!Y74+'RECH-RECUP_PS CA'!Y234</f>
        <v>2.7370367999999998</v>
      </c>
      <c r="Z74" s="322">
        <f>+'RECHAZADOS A CA'!Z74+'RECH-RECUP_PS CA'!Z234</f>
        <v>2.8039392000000003</v>
      </c>
      <c r="AA74" s="343">
        <f t="shared" si="2"/>
        <v>2.3457122240000001</v>
      </c>
    </row>
    <row r="75" spans="1:27" ht="24.95" customHeight="1">
      <c r="A75" s="260" t="str">
        <f>+Pobl_adoptada!A75</f>
        <v>General Paz</v>
      </c>
      <c r="B75" s="70">
        <f>+Pobl_adoptada!B75</f>
        <v>71</v>
      </c>
      <c r="C75" s="71" t="str">
        <f>+Pobl_adoptada!C75</f>
        <v>Ranchos</v>
      </c>
      <c r="D75" s="341"/>
      <c r="E75" s="278"/>
      <c r="F75" s="263"/>
      <c r="G75" s="322">
        <f>+'RECHAZADOS A CA'!G75+'RECH-RECUP_PS CA'!G235</f>
        <v>9.5352627199999986</v>
      </c>
      <c r="H75" s="322">
        <f>+'RECHAZADOS A CA'!H75+'RECH-RECUP_PS CA'!H235</f>
        <v>9.1494</v>
      </c>
      <c r="I75" s="322">
        <f>+'RECHAZADOS A CA'!I75+'RECH-RECUP_PS CA'!I235</f>
        <v>8.7452991999999998</v>
      </c>
      <c r="J75" s="322">
        <f>+'RECHAZADOS A CA'!J75+'RECH-RECUP_PS CA'!J235</f>
        <v>8.0805439999999997</v>
      </c>
      <c r="K75" s="322">
        <f>+'RECHAZADOS A CA'!K75+'RECH-RECUP_PS CA'!K235</f>
        <v>7.3897344</v>
      </c>
      <c r="L75" s="322">
        <f>+'RECHAZADOS A CA'!L75+'RECH-RECUP_PS CA'!L235</f>
        <v>7.5341375999999993</v>
      </c>
      <c r="M75" s="322">
        <f>+'RECHAZADOS A CA'!M75+'RECH-RECUP_PS CA'!M235</f>
        <v>7.6778784000000009</v>
      </c>
      <c r="N75" s="322">
        <f>+'RECHAZADOS A CA'!N75+'RECH-RECUP_PS CA'!N235</f>
        <v>7.8216192000000007</v>
      </c>
      <c r="O75" s="322">
        <f>+'RECHAZADOS A CA'!O75+'RECH-RECUP_PS CA'!O235</f>
        <v>7.9660223999999999</v>
      </c>
      <c r="P75" s="322">
        <f>+'RECHAZADOS A CA'!P75+'RECH-RECUP_PS CA'!P235</f>
        <v>8.1097632000000015</v>
      </c>
      <c r="Q75" s="322">
        <f>+'RECHAZADOS A CA'!Q75+'RECH-RECUP_PS CA'!Q235</f>
        <v>8.2541664000000008</v>
      </c>
      <c r="R75" s="322">
        <f>+'RECHAZADOS A CA'!R75+'RECH-RECUP_PS CA'!R235</f>
        <v>8.3979072000000006</v>
      </c>
      <c r="S75" s="322">
        <f>+'RECHAZADOS A CA'!S75+'RECH-RECUP_PS CA'!S235</f>
        <v>8.5423103999999999</v>
      </c>
      <c r="T75" s="322">
        <f>+'RECHAZADOS A CA'!T75+'RECH-RECUP_PS CA'!T235</f>
        <v>8.6860512000000014</v>
      </c>
      <c r="U75" s="322">
        <f>+'RECHAZADOS A CA'!U75+'RECH-RECUP_PS CA'!U235</f>
        <v>8.8304544000000007</v>
      </c>
      <c r="V75" s="322">
        <f>+'RECHAZADOS A CA'!V75+'RECH-RECUP_PS CA'!V235</f>
        <v>8.9741952000000005</v>
      </c>
      <c r="W75" s="322">
        <f>+'RECHAZADOS A CA'!W75+'RECH-RECUP_PS CA'!W235</f>
        <v>9.1185984000000015</v>
      </c>
      <c r="X75" s="322">
        <f>+'RECHAZADOS A CA'!X75+'RECH-RECUP_PS CA'!X235</f>
        <v>9.2623392000000013</v>
      </c>
      <c r="Y75" s="322">
        <f>+'RECHAZADOS A CA'!Y75+'RECH-RECUP_PS CA'!Y235</f>
        <v>9.4060799999999993</v>
      </c>
      <c r="Z75" s="322">
        <f>+'RECHAZADOS A CA'!Z75+'RECH-RECUP_PS CA'!Z235</f>
        <v>9.5504832000000022</v>
      </c>
      <c r="AA75" s="343">
        <f t="shared" si="2"/>
        <v>8.5516123360000016</v>
      </c>
    </row>
    <row r="76" spans="1:27" ht="24.95" customHeight="1">
      <c r="A76" s="260" t="str">
        <f>+Pobl_adoptada!A76</f>
        <v>General Pinto</v>
      </c>
      <c r="B76" s="70">
        <f>+Pobl_adoptada!B76</f>
        <v>72</v>
      </c>
      <c r="C76" s="71" t="str">
        <f>+Pobl_adoptada!C76</f>
        <v>General Pinto</v>
      </c>
      <c r="D76" s="341"/>
      <c r="E76" s="278"/>
      <c r="F76" s="263"/>
      <c r="G76" s="322">
        <f>+'RECHAZADOS A CA'!G76+'RECH-RECUP_PS CA'!G236</f>
        <v>6.6321548800000008</v>
      </c>
      <c r="H76" s="322">
        <f>+'RECHAZADOS A CA'!H76+'RECH-RECUP_PS CA'!H236</f>
        <v>6.2956483199999997</v>
      </c>
      <c r="I76" s="322">
        <f>+'RECHAZADOS A CA'!I76+'RECH-RECUP_PS CA'!I236</f>
        <v>5.9546080000000003</v>
      </c>
      <c r="J76" s="322">
        <f>+'RECHAZADOS A CA'!J76+'RECH-RECUP_PS CA'!J236</f>
        <v>5.4463999999999997</v>
      </c>
      <c r="K76" s="322">
        <f>+'RECHAZADOS A CA'!K76+'RECH-RECUP_PS CA'!K236</f>
        <v>4.9309056000000009</v>
      </c>
      <c r="L76" s="322">
        <f>+'RECHAZADOS A CA'!L76+'RECH-RECUP_PS CA'!L236</f>
        <v>4.9607136000000001</v>
      </c>
      <c r="M76" s="322">
        <f>+'RECHAZADOS A CA'!M76+'RECH-RECUP_PS CA'!M236</f>
        <v>4.9898592000000006</v>
      </c>
      <c r="N76" s="322">
        <f>+'RECHAZADOS A CA'!N76+'RECH-RECUP_PS CA'!N236</f>
        <v>5.0190048000000003</v>
      </c>
      <c r="O76" s="322">
        <f>+'RECHAZADOS A CA'!O76+'RECH-RECUP_PS CA'!O236</f>
        <v>5.0488128000000003</v>
      </c>
      <c r="P76" s="322">
        <f>+'RECHAZADOS A CA'!P76+'RECH-RECUP_PS CA'!P236</f>
        <v>5.0779584</v>
      </c>
      <c r="Q76" s="322">
        <f>+'RECHAZADOS A CA'!Q76+'RECH-RECUP_PS CA'!Q236</f>
        <v>5.1077664000000009</v>
      </c>
      <c r="R76" s="322">
        <f>+'RECHAZADOS A CA'!R76+'RECH-RECUP_PS CA'!R236</f>
        <v>5.1369120000000006</v>
      </c>
      <c r="S76" s="322">
        <f>+'RECHAZADOS A CA'!S76+'RECH-RECUP_PS CA'!S236</f>
        <v>5.1660576000000002</v>
      </c>
      <c r="T76" s="322">
        <f>+'RECHAZADOS A CA'!T76+'RECH-RECUP_PS CA'!T236</f>
        <v>5.1958656000000003</v>
      </c>
      <c r="U76" s="322">
        <f>+'RECHAZADOS A CA'!U76+'RECH-RECUP_PS CA'!U236</f>
        <v>5.2250112</v>
      </c>
      <c r="V76" s="322">
        <f>+'RECHAZADOS A CA'!V76+'RECH-RECUP_PS CA'!V236</f>
        <v>5.2548192000000009</v>
      </c>
      <c r="W76" s="322">
        <f>+'RECHAZADOS A CA'!W76+'RECH-RECUP_PS CA'!W236</f>
        <v>5.2839648000000006</v>
      </c>
      <c r="X76" s="322">
        <f>+'RECHAZADOS A CA'!X76+'RECH-RECUP_PS CA'!X236</f>
        <v>5.3137728000000006</v>
      </c>
      <c r="Y76" s="322">
        <f>+'RECHAZADOS A CA'!Y76+'RECH-RECUP_PS CA'!Y236</f>
        <v>5.3429184000000003</v>
      </c>
      <c r="Z76" s="322">
        <f>+'RECHAZADOS A CA'!Z76+'RECH-RECUP_PS CA'!Z236</f>
        <v>5.3720640000000008</v>
      </c>
      <c r="AA76" s="343">
        <f t="shared" si="2"/>
        <v>5.3377608799999994</v>
      </c>
    </row>
    <row r="77" spans="1:27" ht="24.95" customHeight="1">
      <c r="A77" s="260" t="str">
        <f>+Pobl_adoptada!A77</f>
        <v>General Pueyrredón</v>
      </c>
      <c r="B77" s="70">
        <f>+Pobl_adoptada!B77</f>
        <v>73</v>
      </c>
      <c r="C77" s="71" t="str">
        <f>+Pobl_adoptada!C77</f>
        <v>Mar del Plata</v>
      </c>
      <c r="D77" s="341"/>
      <c r="E77" s="278"/>
      <c r="F77" s="263"/>
      <c r="G77" s="322">
        <f>+'RECHAZADOS A CA'!G77+'RECH-RECUP_PS CA'!G237</f>
        <v>1064.5615958400001</v>
      </c>
      <c r="H77" s="322">
        <f>+'RECHAZADOS A CA'!H77+'RECH-RECUP_PS CA'!H237</f>
        <v>1012.3298265599998</v>
      </c>
      <c r="I77" s="322">
        <f>+'RECHAZADOS A CA'!I77+'RECH-RECUP_PS CA'!I237</f>
        <v>959.21781120000003</v>
      </c>
      <c r="J77" s="322">
        <f>+'RECHAZADOS A CA'!J77+'RECH-RECUP_PS CA'!J237</f>
        <v>878.84510399999999</v>
      </c>
      <c r="K77" s="322">
        <f>+'RECHAZADOS A CA'!K77+'RECH-RECUP_PS CA'!K237</f>
        <v>797.15534400000013</v>
      </c>
      <c r="L77" s="322">
        <f>+'RECHAZADOS A CA'!L77+'RECH-RECUP_PS CA'!L237</f>
        <v>803.39882399999988</v>
      </c>
      <c r="M77" s="322">
        <f>+'RECHAZADOS A CA'!M77+'RECH-RECUP_PS CA'!M237</f>
        <v>809.69001839999987</v>
      </c>
      <c r="N77" s="322">
        <f>+'RECHAZADOS A CA'!N77+'RECH-RECUP_PS CA'!N237</f>
        <v>816.03197279999995</v>
      </c>
      <c r="O77" s="322">
        <f>+'RECHAZADOS A CA'!O77+'RECH-RECUP_PS CA'!O237</f>
        <v>822.42265680000003</v>
      </c>
      <c r="P77" s="322">
        <f>+'RECHAZADOS A CA'!P77+'RECH-RECUP_PS CA'!P237</f>
        <v>828.86308560000009</v>
      </c>
      <c r="Q77" s="322">
        <f>+'RECHAZADOS A CA'!Q77+'RECH-RECUP_PS CA'!Q237</f>
        <v>835.35427439999989</v>
      </c>
      <c r="R77" s="322">
        <f>+'RECHAZADOS A CA'!R77+'RECH-RECUP_PS CA'!R237</f>
        <v>841.89622319999989</v>
      </c>
      <c r="S77" s="322">
        <f>+'RECHAZADOS A CA'!S77+'RECH-RECUP_PS CA'!S237</f>
        <v>848.48994720000007</v>
      </c>
      <c r="T77" s="322">
        <f>+'RECHAZADOS A CA'!T77+'RECH-RECUP_PS CA'!T237</f>
        <v>855.13443119999988</v>
      </c>
      <c r="U77" s="322">
        <f>+'RECHAZADOS A CA'!U77+'RECH-RECUP_PS CA'!U237</f>
        <v>861.83170559999996</v>
      </c>
      <c r="V77" s="322">
        <f>+'RECHAZADOS A CA'!V77+'RECH-RECUP_PS CA'!V237</f>
        <v>868.58075519999989</v>
      </c>
      <c r="W77" s="322">
        <f>+'RECHAZADOS A CA'!W77+'RECH-RECUP_PS CA'!W237</f>
        <v>875.38361039999984</v>
      </c>
      <c r="X77" s="322">
        <f>+'RECHAZADOS A CA'!X77+'RECH-RECUP_PS CA'!X237</f>
        <v>882.24027119999994</v>
      </c>
      <c r="Y77" s="322">
        <f>+'RECHAZADOS A CA'!Y77+'RECH-RECUP_PS CA'!Y237</f>
        <v>889.14870719999999</v>
      </c>
      <c r="Z77" s="322">
        <f>+'RECHAZADOS A CA'!Z77+'RECH-RECUP_PS CA'!Z237</f>
        <v>896.11196400000006</v>
      </c>
      <c r="AA77" s="343">
        <f t="shared" si="2"/>
        <v>872.33440644000007</v>
      </c>
    </row>
    <row r="78" spans="1:27" ht="24.95" customHeight="1">
      <c r="A78" s="260" t="str">
        <f>+Pobl_adoptada!A78</f>
        <v>General Rodríguez</v>
      </c>
      <c r="B78" s="70">
        <f>+Pobl_adoptada!B78</f>
        <v>74</v>
      </c>
      <c r="C78" s="71" t="str">
        <f>+Pobl_adoptada!C78</f>
        <v>General Rodríguez</v>
      </c>
      <c r="D78" s="341"/>
      <c r="E78" s="278"/>
      <c r="F78" s="263"/>
      <c r="G78" s="322">
        <f>+'RECHAZADOS A CA'!G78+'RECH-RECUP_PS CA'!G238</f>
        <v>154.73765568000002</v>
      </c>
      <c r="H78" s="322">
        <f>+'RECHAZADOS A CA'!H78+'RECH-RECUP_PS CA'!H238</f>
        <v>150.61853664</v>
      </c>
      <c r="I78" s="322">
        <f>+'RECHAZADOS A CA'!I78+'RECH-RECUP_PS CA'!I238</f>
        <v>146.01797759999999</v>
      </c>
      <c r="J78" s="322">
        <f>+'RECHAZADOS A CA'!J78+'RECH-RECUP_PS CA'!J238</f>
        <v>136.81953600000003</v>
      </c>
      <c r="K78" s="322">
        <f>+'RECHAZADOS A CA'!K78+'RECH-RECUP_PS CA'!K238</f>
        <v>126.8653968</v>
      </c>
      <c r="L78" s="322">
        <f>+'RECHAZADOS A CA'!L78+'RECH-RECUP_PS CA'!L238</f>
        <v>130.65343200000001</v>
      </c>
      <c r="M78" s="322">
        <f>+'RECHAZADOS A CA'!M78+'RECH-RECUP_PS CA'!M238</f>
        <v>134.5038912</v>
      </c>
      <c r="N78" s="322">
        <f>+'RECHAZADOS A CA'!N78+'RECH-RECUP_PS CA'!N238</f>
        <v>138.41750880000001</v>
      </c>
      <c r="O78" s="322">
        <f>+'RECHAZADOS A CA'!O78+'RECH-RECUP_PS CA'!O238</f>
        <v>142.39428479999998</v>
      </c>
      <c r="P78" s="322">
        <f>+'RECHAZADOS A CA'!P78+'RECH-RECUP_PS CA'!P238</f>
        <v>146.43568800000003</v>
      </c>
      <c r="Q78" s="322">
        <f>+'RECHAZADOS A CA'!Q78+'RECH-RECUP_PS CA'!Q238</f>
        <v>150.5439216</v>
      </c>
      <c r="R78" s="322">
        <f>+'RECHAZADOS A CA'!R78+'RECH-RECUP_PS CA'!R238</f>
        <v>154.7182512</v>
      </c>
      <c r="S78" s="322">
        <f>+'RECHAZADOS A CA'!S78+'RECH-RECUP_PS CA'!S238</f>
        <v>158.96161439999997</v>
      </c>
      <c r="T78" s="322">
        <f>+'RECHAZADOS A CA'!T78+'RECH-RECUP_PS CA'!T238</f>
        <v>163.27327680000002</v>
      </c>
      <c r="U78" s="322">
        <f>+'RECHAZADOS A CA'!U78+'RECH-RECUP_PS CA'!U238</f>
        <v>167.65617599999999</v>
      </c>
      <c r="V78" s="322">
        <f>+'RECHAZADOS A CA'!V78+'RECH-RECUP_PS CA'!V238</f>
        <v>172.11031199999999</v>
      </c>
      <c r="W78" s="322">
        <f>+'RECHAZADOS A CA'!W78+'RECH-RECUP_PS CA'!W238</f>
        <v>176.63641920000001</v>
      </c>
      <c r="X78" s="322">
        <f>+'RECHAZADOS A CA'!X78+'RECH-RECUP_PS CA'!X238</f>
        <v>181.23670079999999</v>
      </c>
      <c r="Y78" s="322">
        <f>+'RECHAZADOS A CA'!Y78+'RECH-RECUP_PS CA'!Y238</f>
        <v>185.91262559999998</v>
      </c>
      <c r="Z78" s="322">
        <f>+'RECHAZADOS A CA'!Z78+'RECH-RECUP_PS CA'!Z238</f>
        <v>190.6641936</v>
      </c>
      <c r="AA78" s="343">
        <f t="shared" si="2"/>
        <v>155.45886993599999</v>
      </c>
    </row>
    <row r="79" spans="1:27" ht="24.95" customHeight="1">
      <c r="A79" s="260" t="str">
        <f>+Pobl_adoptada!A79</f>
        <v>General Viamonte</v>
      </c>
      <c r="B79" s="70">
        <f>+Pobl_adoptada!B79</f>
        <v>75</v>
      </c>
      <c r="C79" s="71" t="str">
        <f>+Pobl_adoptada!C79</f>
        <v>Los Toldos</v>
      </c>
      <c r="D79" s="341"/>
      <c r="E79" s="278"/>
      <c r="F79" s="263"/>
      <c r="G79" s="322">
        <f>+'RECHAZADOS A CA'!G79+'RECH-RECUP_PS CA'!G239</f>
        <v>17.306967680000003</v>
      </c>
      <c r="H79" s="322">
        <f>+'RECHAZADOS A CA'!H79+'RECH-RECUP_PS CA'!H239</f>
        <v>16.4500128</v>
      </c>
      <c r="I79" s="322">
        <f>+'RECHAZADOS A CA'!I79+'RECH-RECUP_PS CA'!I239</f>
        <v>15.579625600000004</v>
      </c>
      <c r="J79" s="322">
        <f>+'RECHAZADOS A CA'!J79+'RECH-RECUP_PS CA'!J239</f>
        <v>14.265904000000001</v>
      </c>
      <c r="K79" s="322">
        <f>+'RECHAZADOS A CA'!K79+'RECH-RECUP_PS CA'!K239</f>
        <v>12.932424000000001</v>
      </c>
      <c r="L79" s="322">
        <f>+'RECHAZADOS A CA'!L79+'RECH-RECUP_PS CA'!L239</f>
        <v>13.0247712</v>
      </c>
      <c r="M79" s="322">
        <f>+'RECHAZADOS A CA'!M79+'RECH-RECUP_PS CA'!M239</f>
        <v>13.117881600000002</v>
      </c>
      <c r="N79" s="322">
        <f>+'RECHAZADOS A CA'!N79+'RECH-RECUP_PS CA'!N239</f>
        <v>13.210228800000001</v>
      </c>
      <c r="O79" s="322">
        <f>+'RECHAZADOS A CA'!O79+'RECH-RECUP_PS CA'!O239</f>
        <v>13.302576</v>
      </c>
      <c r="P79" s="322">
        <f>+'RECHAZADOS A CA'!P79+'RECH-RECUP_PS CA'!P239</f>
        <v>13.395686400000002</v>
      </c>
      <c r="Q79" s="322">
        <f>+'RECHAZADOS A CA'!Q79+'RECH-RECUP_PS CA'!Q239</f>
        <v>13.488033600000001</v>
      </c>
      <c r="R79" s="322">
        <f>+'RECHAZADOS A CA'!R79+'RECH-RECUP_PS CA'!R239</f>
        <v>13.581144</v>
      </c>
      <c r="S79" s="322">
        <f>+'RECHAZADOS A CA'!S79+'RECH-RECUP_PS CA'!S239</f>
        <v>13.673491200000001</v>
      </c>
      <c r="T79" s="322">
        <f>+'RECHAZADOS A CA'!T79+'RECH-RECUP_PS CA'!T239</f>
        <v>13.766601600000001</v>
      </c>
      <c r="U79" s="322">
        <f>+'RECHAZADOS A CA'!U79+'RECH-RECUP_PS CA'!U239</f>
        <v>13.8589488</v>
      </c>
      <c r="V79" s="322">
        <f>+'RECHAZADOS A CA'!V79+'RECH-RECUP_PS CA'!V239</f>
        <v>13.951295999999999</v>
      </c>
      <c r="W79" s="322">
        <f>+'RECHAZADOS A CA'!W79+'RECH-RECUP_PS CA'!W239</f>
        <v>14.044406400000003</v>
      </c>
      <c r="X79" s="322">
        <f>+'RECHAZADOS A CA'!X79+'RECH-RECUP_PS CA'!X239</f>
        <v>14.1367536</v>
      </c>
      <c r="Y79" s="322">
        <f>+'RECHAZADOS A CA'!Y79+'RECH-RECUP_PS CA'!Y239</f>
        <v>14.229864000000001</v>
      </c>
      <c r="Z79" s="322">
        <f>+'RECHAZADOS A CA'!Z79+'RECH-RECUP_PS CA'!Z239</f>
        <v>14.322211200000003</v>
      </c>
      <c r="AA79" s="343">
        <f t="shared" si="2"/>
        <v>14.081941424000002</v>
      </c>
    </row>
    <row r="80" spans="1:27" ht="24.95" customHeight="1">
      <c r="A80" s="260" t="str">
        <f>+Pobl_adoptada!A80</f>
        <v>General Villegas</v>
      </c>
      <c r="B80" s="70">
        <f>+Pobl_adoptada!B80</f>
        <v>76</v>
      </c>
      <c r="C80" s="71" t="str">
        <f>+Pobl_adoptada!C80</f>
        <v>General Villegas</v>
      </c>
      <c r="D80" s="341"/>
      <c r="E80" s="278"/>
      <c r="F80" s="263"/>
      <c r="G80" s="322">
        <f>+'RECHAZADOS A CA'!G80+'RECH-RECUP_PS CA'!G240</f>
        <v>23.62660288</v>
      </c>
      <c r="H80" s="322">
        <f>+'RECHAZADOS A CA'!H80+'RECH-RECUP_PS CA'!H240</f>
        <v>22.582553760000003</v>
      </c>
      <c r="I80" s="322">
        <f>+'RECHAZADOS A CA'!I80+'RECH-RECUP_PS CA'!I240</f>
        <v>21.507569600000004</v>
      </c>
      <c r="J80" s="322">
        <f>+'RECHAZADOS A CA'!J80+'RECH-RECUP_PS CA'!J240</f>
        <v>19.805887999999999</v>
      </c>
      <c r="K80" s="322">
        <f>+'RECHAZADOS A CA'!K80+'RECH-RECUP_PS CA'!K240</f>
        <v>18.057312000000003</v>
      </c>
      <c r="L80" s="322">
        <f>+'RECHAZADOS A CA'!L80+'RECH-RECUP_PS CA'!L240</f>
        <v>18.2916144</v>
      </c>
      <c r="M80" s="322">
        <f>+'RECHAZADOS A CA'!M80+'RECH-RECUP_PS CA'!M240</f>
        <v>18.529732800000001</v>
      </c>
      <c r="N80" s="322">
        <f>+'RECHAZADOS A CA'!N80+'RECH-RECUP_PS CA'!N240</f>
        <v>18.770140800000004</v>
      </c>
      <c r="O80" s="322">
        <f>+'RECHAZADOS A CA'!O80+'RECH-RECUP_PS CA'!O240</f>
        <v>19.014364800000003</v>
      </c>
      <c r="P80" s="322">
        <f>+'RECHAZADOS A CA'!P80+'RECH-RECUP_PS CA'!P240</f>
        <v>19.261641600000001</v>
      </c>
      <c r="Q80" s="322">
        <f>+'RECHAZADOS A CA'!Q80+'RECH-RECUP_PS CA'!Q240</f>
        <v>19.511971200000005</v>
      </c>
      <c r="R80" s="322">
        <f>+'RECHAZADOS A CA'!R80+'RECH-RECUP_PS CA'!R240</f>
        <v>19.765353600000005</v>
      </c>
      <c r="S80" s="322">
        <f>+'RECHAZADOS A CA'!S80+'RECH-RECUP_PS CA'!S240</f>
        <v>20.022552000000001</v>
      </c>
      <c r="T80" s="322">
        <f>+'RECHAZADOS A CA'!T80+'RECH-RECUP_PS CA'!T240</f>
        <v>20.282803200000004</v>
      </c>
      <c r="U80" s="322">
        <f>+'RECHAZADOS A CA'!U80+'RECH-RECUP_PS CA'!U240</f>
        <v>20.546107200000002</v>
      </c>
      <c r="V80" s="322">
        <f>+'RECHAZADOS A CA'!V80+'RECH-RECUP_PS CA'!V240</f>
        <v>20.8132272</v>
      </c>
      <c r="W80" s="322">
        <f>+'RECHAZADOS A CA'!W80+'RECH-RECUP_PS CA'!W240</f>
        <v>21.083400000000001</v>
      </c>
      <c r="X80" s="322">
        <f>+'RECHAZADOS A CA'!X80+'RECH-RECUP_PS CA'!X240</f>
        <v>21.357388800000003</v>
      </c>
      <c r="Y80" s="322">
        <f>+'RECHAZADOS A CA'!Y80+'RECH-RECUP_PS CA'!Y240</f>
        <v>21.635193600000001</v>
      </c>
      <c r="Z80" s="322">
        <f>+'RECHAZADOS A CA'!Z80+'RECH-RECUP_PS CA'!Z240</f>
        <v>21.916051200000002</v>
      </c>
      <c r="AA80" s="343">
        <f t="shared" si="2"/>
        <v>20.319073432</v>
      </c>
    </row>
    <row r="81" spans="1:27" ht="24.95" customHeight="1">
      <c r="A81" s="260" t="str">
        <f>+Pobl_adoptada!A81</f>
        <v>Guaminí</v>
      </c>
      <c r="B81" s="70">
        <f>+Pobl_adoptada!B81</f>
        <v>77</v>
      </c>
      <c r="C81" s="71" t="str">
        <f>+Pobl_adoptada!C81</f>
        <v>Guaminí</v>
      </c>
      <c r="D81" s="341"/>
      <c r="E81" s="278"/>
      <c r="F81" s="263"/>
      <c r="G81" s="322">
        <f>+'RECHAZADOS A CA'!G81+'RECH-RECUP_PS CA'!G241</f>
        <v>2.65213184</v>
      </c>
      <c r="H81" s="322">
        <f>+'RECHAZADOS A CA'!H81+'RECH-RECUP_PS CA'!H241</f>
        <v>2.5075814400000001</v>
      </c>
      <c r="I81" s="322">
        <f>+'RECHAZADOS A CA'!I81+'RECH-RECUP_PS CA'!I241</f>
        <v>2.3616032000000002</v>
      </c>
      <c r="J81" s="322">
        <f>+'RECHAZADOS A CA'!J81+'RECH-RECUP_PS CA'!J241</f>
        <v>2.1513279999999999</v>
      </c>
      <c r="K81" s="322">
        <f>+'RECHAZADOS A CA'!K81+'RECH-RECUP_PS CA'!K241</f>
        <v>1.9401696000000004</v>
      </c>
      <c r="L81" s="322">
        <f>+'RECHAZADOS A CA'!L81+'RECH-RECUP_PS CA'!L241</f>
        <v>1.9441440000000003</v>
      </c>
      <c r="M81" s="322">
        <f>+'RECHAZADOS A CA'!M81+'RECH-RECUP_PS CA'!M241</f>
        <v>1.9474560000000001</v>
      </c>
      <c r="N81" s="322">
        <f>+'RECHAZADOS A CA'!N81+'RECH-RECUP_PS CA'!N241</f>
        <v>1.9514304000000002</v>
      </c>
      <c r="O81" s="322">
        <f>+'RECHAZADOS A CA'!O81+'RECH-RECUP_PS CA'!O241</f>
        <v>1.9554048000000002</v>
      </c>
      <c r="P81" s="322">
        <f>+'RECHAZADOS A CA'!P81+'RECH-RECUP_PS CA'!P241</f>
        <v>1.9587167999999999</v>
      </c>
      <c r="Q81" s="322">
        <f>+'RECHAZADOS A CA'!Q81+'RECH-RECUP_PS CA'!Q241</f>
        <v>1.9626912000000001</v>
      </c>
      <c r="R81" s="322">
        <f>+'RECHAZADOS A CA'!R81+'RECH-RECUP_PS CA'!R241</f>
        <v>1.9666656</v>
      </c>
      <c r="S81" s="322">
        <f>+'RECHAZADOS A CA'!S81+'RECH-RECUP_PS CA'!S241</f>
        <v>1.9706400000000002</v>
      </c>
      <c r="T81" s="322">
        <f>+'RECHAZADOS A CA'!T81+'RECH-RECUP_PS CA'!T241</f>
        <v>1.9739520000000002</v>
      </c>
      <c r="U81" s="322">
        <f>+'RECHAZADOS A CA'!U81+'RECH-RECUP_PS CA'!U241</f>
        <v>1.9779264000000003</v>
      </c>
      <c r="V81" s="322">
        <f>+'RECHAZADOS A CA'!V81+'RECH-RECUP_PS CA'!V241</f>
        <v>1.9819008000000005</v>
      </c>
      <c r="W81" s="322">
        <f>+'RECHAZADOS A CA'!W81+'RECH-RECUP_PS CA'!W241</f>
        <v>1.9858752000000002</v>
      </c>
      <c r="X81" s="322">
        <f>+'RECHAZADOS A CA'!X81+'RECH-RECUP_PS CA'!X241</f>
        <v>1.9891872000000002</v>
      </c>
      <c r="Y81" s="322">
        <f>+'RECHAZADOS A CA'!Y81+'RECH-RECUP_PS CA'!Y241</f>
        <v>1.9931616000000003</v>
      </c>
      <c r="Z81" s="322">
        <f>+'RECHAZADOS A CA'!Z81+'RECH-RECUP_PS CA'!Z241</f>
        <v>1.9971360000000002</v>
      </c>
      <c r="AA81" s="343">
        <f t="shared" si="2"/>
        <v>2.0584551040000005</v>
      </c>
    </row>
    <row r="82" spans="1:27" ht="24.95" customHeight="1">
      <c r="A82" s="260" t="str">
        <f>+Pobl_adoptada!A82</f>
        <v>Hipólito Yrigoyen</v>
      </c>
      <c r="B82" s="70">
        <f>+Pobl_adoptada!B82</f>
        <v>78</v>
      </c>
      <c r="C82" s="71" t="str">
        <f>+Pobl_adoptada!C82</f>
        <v>Henderson</v>
      </c>
      <c r="D82" s="341"/>
      <c r="E82" s="278"/>
      <c r="F82" s="263"/>
      <c r="G82" s="322">
        <f>+'RECHAZADOS A CA'!G82+'RECH-RECUP_PS CA'!G242</f>
        <v>8.6509145599999986</v>
      </c>
      <c r="H82" s="322">
        <f>+'RECHAZADOS A CA'!H82+'RECH-RECUP_PS CA'!H242</f>
        <v>8.2099180800000013</v>
      </c>
      <c r="I82" s="322">
        <f>+'RECHAZADOS A CA'!I82+'RECH-RECUP_PS CA'!I242</f>
        <v>7.7632544000000001</v>
      </c>
      <c r="J82" s="322">
        <f>+'RECHAZADOS A CA'!J82+'RECH-RECUP_PS CA'!J242</f>
        <v>7.0979839999999994</v>
      </c>
      <c r="K82" s="322">
        <f>+'RECHAZADOS A CA'!K82+'RECH-RECUP_PS CA'!K242</f>
        <v>6.425279999999999</v>
      </c>
      <c r="L82" s="322">
        <f>+'RECHAZADOS A CA'!L82+'RECH-RECUP_PS CA'!L242</f>
        <v>6.4623744000000016</v>
      </c>
      <c r="M82" s="322">
        <f>+'RECHAZADOS A CA'!M82+'RECH-RECUP_PS CA'!M242</f>
        <v>6.4994688000000016</v>
      </c>
      <c r="N82" s="322">
        <f>+'RECHAZADOS A CA'!N82+'RECH-RECUP_PS CA'!N242</f>
        <v>6.5372256000000002</v>
      </c>
      <c r="O82" s="322">
        <f>+'RECHAZADOS A CA'!O82+'RECH-RECUP_PS CA'!O242</f>
        <v>6.5749824000000006</v>
      </c>
      <c r="P82" s="322">
        <f>+'RECHAZADOS A CA'!P82+'RECH-RECUP_PS CA'!P242</f>
        <v>6.6127392</v>
      </c>
      <c r="Q82" s="322">
        <f>+'RECHAZADOS A CA'!Q82+'RECH-RECUP_PS CA'!Q242</f>
        <v>6.6511584000000008</v>
      </c>
      <c r="R82" s="322">
        <f>+'RECHAZADOS A CA'!R82+'RECH-RECUP_PS CA'!R242</f>
        <v>6.6895775999999998</v>
      </c>
      <c r="S82" s="322">
        <f>+'RECHAZADOS A CA'!S82+'RECH-RECUP_PS CA'!S242</f>
        <v>6.7279967999999997</v>
      </c>
      <c r="T82" s="322">
        <f>+'RECHAZADOS A CA'!T82+'RECH-RECUP_PS CA'!T242</f>
        <v>6.7670784000000008</v>
      </c>
      <c r="U82" s="322">
        <f>+'RECHAZADOS A CA'!U82+'RECH-RECUP_PS CA'!U242</f>
        <v>6.8061600000000002</v>
      </c>
      <c r="V82" s="322">
        <f>+'RECHAZADOS A CA'!V82+'RECH-RECUP_PS CA'!V242</f>
        <v>6.8452416000000014</v>
      </c>
      <c r="W82" s="322">
        <f>+'RECHAZADOS A CA'!W82+'RECH-RECUP_PS CA'!W242</f>
        <v>6.8849856000000003</v>
      </c>
      <c r="X82" s="322">
        <f>+'RECHAZADOS A CA'!X82+'RECH-RECUP_PS CA'!X242</f>
        <v>6.9247296000000009</v>
      </c>
      <c r="Y82" s="322">
        <f>+'RECHAZADOS A CA'!Y82+'RECH-RECUP_PS CA'!Y242</f>
        <v>6.9644736000000016</v>
      </c>
      <c r="Z82" s="322">
        <f>+'RECHAZADOS A CA'!Z82+'RECH-RECUP_PS CA'!Z242</f>
        <v>7.00488</v>
      </c>
      <c r="AA82" s="343">
        <f t="shared" si="2"/>
        <v>6.9550211520000005</v>
      </c>
    </row>
    <row r="83" spans="1:27" ht="24.95" customHeight="1">
      <c r="A83" s="260" t="str">
        <f>+Pobl_adoptada!A83</f>
        <v>Junín</v>
      </c>
      <c r="B83" s="70">
        <f>+Pobl_adoptada!B83</f>
        <v>79</v>
      </c>
      <c r="C83" s="71" t="str">
        <f>+Pobl_adoptada!C83</f>
        <v>Junín</v>
      </c>
      <c r="D83" s="341"/>
      <c r="E83" s="278"/>
      <c r="F83" s="263"/>
      <c r="G83" s="322">
        <f>+'RECHAZADOS A CA'!G83+'RECH-RECUP_PS CA'!G243</f>
        <v>99.530653439999995</v>
      </c>
      <c r="H83" s="322">
        <f>+'RECHAZADOS A CA'!H83+'RECH-RECUP_PS CA'!H243</f>
        <v>94.543057440000013</v>
      </c>
      <c r="I83" s="322">
        <f>+'RECHAZADOS A CA'!I83+'RECH-RECUP_PS CA'!I243</f>
        <v>89.479051200000001</v>
      </c>
      <c r="J83" s="322">
        <f>+'RECHAZADOS A CA'!J83+'RECH-RECUP_PS CA'!J243</f>
        <v>81.88315200000001</v>
      </c>
      <c r="K83" s="322">
        <f>+'RECHAZADOS A CA'!K83+'RECH-RECUP_PS CA'!K243</f>
        <v>74.179540800000012</v>
      </c>
      <c r="L83" s="322">
        <f>+'RECHAZADOS A CA'!L83+'RECH-RECUP_PS CA'!L243</f>
        <v>74.664244799999992</v>
      </c>
      <c r="M83" s="322">
        <f>+'RECHAZADOS A CA'!M83+'RECH-RECUP_PS CA'!M243</f>
        <v>75.148948800000014</v>
      </c>
      <c r="N83" s="322">
        <f>+'RECHAZADOS A CA'!N83+'RECH-RECUP_PS CA'!N243</f>
        <v>75.633652800000007</v>
      </c>
      <c r="O83" s="322">
        <f>+'RECHAZADOS A CA'!O83+'RECH-RECUP_PS CA'!O243</f>
        <v>76.118356800000001</v>
      </c>
      <c r="P83" s="322">
        <f>+'RECHAZADOS A CA'!P83+'RECH-RECUP_PS CA'!P243</f>
        <v>76.603060799999994</v>
      </c>
      <c r="Q83" s="322">
        <f>+'RECHAZADOS A CA'!Q83+'RECH-RECUP_PS CA'!Q243</f>
        <v>77.087764800000002</v>
      </c>
      <c r="R83" s="322">
        <f>+'RECHAZADOS A CA'!R83+'RECH-RECUP_PS CA'!R243</f>
        <v>77.57246880000001</v>
      </c>
      <c r="S83" s="322">
        <f>+'RECHAZADOS A CA'!S83+'RECH-RECUP_PS CA'!S243</f>
        <v>78.057907199999988</v>
      </c>
      <c r="T83" s="322">
        <f>+'RECHAZADOS A CA'!T83+'RECH-RECUP_PS CA'!T243</f>
        <v>78.54261120000001</v>
      </c>
      <c r="U83" s="322">
        <f>+'RECHAZADOS A CA'!U83+'RECH-RECUP_PS CA'!U243</f>
        <v>79.027315200000004</v>
      </c>
      <c r="V83" s="322">
        <f>+'RECHAZADOS A CA'!V83+'RECH-RECUP_PS CA'!V243</f>
        <v>79.512019200000012</v>
      </c>
      <c r="W83" s="322">
        <f>+'RECHAZADOS A CA'!W83+'RECH-RECUP_PS CA'!W243</f>
        <v>79.996723200000005</v>
      </c>
      <c r="X83" s="322">
        <f>+'RECHAZADOS A CA'!X83+'RECH-RECUP_PS CA'!X243</f>
        <v>80.481427200000013</v>
      </c>
      <c r="Y83" s="322">
        <f>+'RECHAZADOS A CA'!Y83+'RECH-RECUP_PS CA'!Y243</f>
        <v>80.966131200000007</v>
      </c>
      <c r="Z83" s="322">
        <f>+'RECHAZADOS A CA'!Z83+'RECH-RECUP_PS CA'!Z243</f>
        <v>81.4508352</v>
      </c>
      <c r="AA83" s="343">
        <f t="shared" si="2"/>
        <v>80.523946104000004</v>
      </c>
    </row>
    <row r="84" spans="1:27" ht="24.95" customHeight="1">
      <c r="A84" s="260" t="str">
        <f>+Pobl_adoptada!A84</f>
        <v>La Costa</v>
      </c>
      <c r="B84" s="70">
        <f>+Pobl_adoptada!B84</f>
        <v>80</v>
      </c>
      <c r="C84" s="71" t="str">
        <f>+Pobl_adoptada!C84</f>
        <v>Mar de Ajó - San Bernardo</v>
      </c>
      <c r="D84" s="341"/>
      <c r="E84" s="278"/>
      <c r="F84" s="263"/>
      <c r="G84" s="322">
        <f>+'RECHAZADOS A CA'!G84+'RECH-RECUP_PS CA'!G244</f>
        <v>100.89663744000002</v>
      </c>
      <c r="H84" s="322">
        <f>+'RECHAZADOS A CA'!H84+'RECH-RECUP_PS CA'!H244</f>
        <v>97.843524480000013</v>
      </c>
      <c r="I84" s="322">
        <f>+'RECHAZADOS A CA'!I84+'RECH-RECUP_PS CA'!I244</f>
        <v>94.472400000000007</v>
      </c>
      <c r="J84" s="322">
        <f>+'RECHAZADOS A CA'!J84+'RECH-RECUP_PS CA'!J244</f>
        <v>88.142687999999993</v>
      </c>
      <c r="K84" s="322">
        <f>+'RECHAZADOS A CA'!K84+'RECH-RECUP_PS CA'!K244</f>
        <v>81.360504000000006</v>
      </c>
      <c r="L84" s="322">
        <f>+'RECHAZADOS A CA'!L84+'RECH-RECUP_PS CA'!L244</f>
        <v>83.850854400000003</v>
      </c>
      <c r="M84" s="322">
        <f>+'RECHAZADOS A CA'!M84+'RECH-RECUP_PS CA'!M244</f>
        <v>86.341939200000013</v>
      </c>
      <c r="N84" s="322">
        <f>+'RECHAZADOS A CA'!N84+'RECH-RECUP_PS CA'!N244</f>
        <v>88.83228960000001</v>
      </c>
      <c r="O84" s="322">
        <f>+'RECHAZADOS A CA'!O84+'RECH-RECUP_PS CA'!O244</f>
        <v>91.322640000000007</v>
      </c>
      <c r="P84" s="322">
        <f>+'RECHAZADOS A CA'!P84+'RECH-RECUP_PS CA'!P244</f>
        <v>93.813724800000003</v>
      </c>
      <c r="Q84" s="322">
        <f>+'RECHAZADOS A CA'!Q84+'RECH-RECUP_PS CA'!Q244</f>
        <v>96.3040752</v>
      </c>
      <c r="R84" s="322">
        <f>+'RECHAZADOS A CA'!R84+'RECH-RECUP_PS CA'!R244</f>
        <v>98.79516000000001</v>
      </c>
      <c r="S84" s="322">
        <f>+'RECHAZADOS A CA'!S84+'RECH-RECUP_PS CA'!S244</f>
        <v>101.28551040000001</v>
      </c>
      <c r="T84" s="322">
        <f>+'RECHAZADOS A CA'!T84+'RECH-RECUP_PS CA'!T244</f>
        <v>103.77586080000002</v>
      </c>
      <c r="U84" s="322">
        <f>+'RECHAZADOS A CA'!U84+'RECH-RECUP_PS CA'!U244</f>
        <v>106.26694560000001</v>
      </c>
      <c r="V84" s="322">
        <f>+'RECHAZADOS A CA'!V84+'RECH-RECUP_PS CA'!V244</f>
        <v>108.757296</v>
      </c>
      <c r="W84" s="322">
        <f>+'RECHAZADOS A CA'!W84+'RECH-RECUP_PS CA'!W244</f>
        <v>111.24838080000001</v>
      </c>
      <c r="X84" s="322">
        <f>+'RECHAZADOS A CA'!X84+'RECH-RECUP_PS CA'!X244</f>
        <v>113.7387312</v>
      </c>
      <c r="Y84" s="322">
        <f>+'RECHAZADOS A CA'!Y84+'RECH-RECUP_PS CA'!Y244</f>
        <v>116.229816</v>
      </c>
      <c r="Z84" s="322">
        <f>+'RECHAZADOS A CA'!Z84+'RECH-RECUP_PS CA'!Z244</f>
        <v>118.72016640000001</v>
      </c>
      <c r="AA84" s="343">
        <f t="shared" si="2"/>
        <v>99.099957215999993</v>
      </c>
    </row>
    <row r="85" spans="1:27" ht="24.95" customHeight="1">
      <c r="A85" s="260" t="str">
        <f>+Pobl_adoptada!A85</f>
        <v>La Costa</v>
      </c>
      <c r="B85" s="70">
        <f>+Pobl_adoptada!B85</f>
        <v>81</v>
      </c>
      <c r="C85" s="71" t="str">
        <f>+Pobl_adoptada!C85</f>
        <v>Santa Teresita - Mar del Tuyú</v>
      </c>
      <c r="D85" s="341"/>
      <c r="E85" s="278"/>
      <c r="F85" s="263"/>
      <c r="G85" s="322">
        <f>+'RECHAZADOS A CA'!G85+'RECH-RECUP_PS CA'!G245</f>
        <v>64.234638720000007</v>
      </c>
      <c r="H85" s="322">
        <f>+'RECHAZADOS A CA'!H85+'RECH-RECUP_PS CA'!H245</f>
        <v>61.709281920000002</v>
      </c>
      <c r="I85" s="322">
        <f>+'RECHAZADOS A CA'!I85+'RECH-RECUP_PS CA'!I245</f>
        <v>59.050411200000013</v>
      </c>
      <c r="J85" s="322">
        <f>+'RECHAZADOS A CA'!J85+'RECH-RECUP_PS CA'!J245</f>
        <v>54.622223999999989</v>
      </c>
      <c r="K85" s="322">
        <f>+'RECHAZADOS A CA'!K85+'RECH-RECUP_PS CA'!K245</f>
        <v>50.006764800000006</v>
      </c>
      <c r="L85" s="322">
        <f>+'RECHAZADOS A CA'!L85+'RECH-RECUP_PS CA'!L245</f>
        <v>50.852793600000005</v>
      </c>
      <c r="M85" s="322">
        <f>+'RECHAZADOS A CA'!M85+'RECH-RECUP_PS CA'!M245</f>
        <v>51.698087999999998</v>
      </c>
      <c r="N85" s="322">
        <f>+'RECHAZADOS A CA'!N85+'RECH-RECUP_PS CA'!N245</f>
        <v>52.544851199999997</v>
      </c>
      <c r="O85" s="322">
        <f>+'RECHAZADOS A CA'!O85+'RECH-RECUP_PS CA'!O245</f>
        <v>53.390879999999996</v>
      </c>
      <c r="P85" s="322">
        <f>+'RECHAZADOS A CA'!P85+'RECH-RECUP_PS CA'!P245</f>
        <v>54.236908800000009</v>
      </c>
      <c r="Q85" s="322">
        <f>+'RECHAZADOS A CA'!Q85+'RECH-RECUP_PS CA'!Q245</f>
        <v>55.083672</v>
      </c>
      <c r="R85" s="322">
        <f>+'RECHAZADOS A CA'!R85+'RECH-RECUP_PS CA'!R245</f>
        <v>55.9289664</v>
      </c>
      <c r="S85" s="322">
        <f>+'RECHAZADOS A CA'!S85+'RECH-RECUP_PS CA'!S245</f>
        <v>56.774995200000006</v>
      </c>
      <c r="T85" s="322">
        <f>+'RECHAZADOS A CA'!T85+'RECH-RECUP_PS CA'!T245</f>
        <v>57.621758400000004</v>
      </c>
      <c r="U85" s="322">
        <f>+'RECHAZADOS A CA'!U85+'RECH-RECUP_PS CA'!U245</f>
        <v>58.467787199999997</v>
      </c>
      <c r="V85" s="322">
        <f>+'RECHAZADOS A CA'!V85+'RECH-RECUP_PS CA'!V245</f>
        <v>59.313816000000003</v>
      </c>
      <c r="W85" s="322">
        <f>+'RECHAZADOS A CA'!W85+'RECH-RECUP_PS CA'!W245</f>
        <v>60.159844800000002</v>
      </c>
      <c r="X85" s="322">
        <f>+'RECHAZADOS A CA'!X85+'RECH-RECUP_PS CA'!X245</f>
        <v>61.005873600000008</v>
      </c>
      <c r="Y85" s="322">
        <f>+'RECHAZADOS A CA'!Y85+'RECH-RECUP_PS CA'!Y245</f>
        <v>61.851902399999993</v>
      </c>
      <c r="Z85" s="322">
        <f>+'RECHAZADOS A CA'!Z85+'RECH-RECUP_PS CA'!Z245</f>
        <v>62.698665600000005</v>
      </c>
      <c r="AA85" s="343">
        <f t="shared" si="2"/>
        <v>57.062706191999993</v>
      </c>
    </row>
    <row r="86" spans="1:27" ht="24.95" customHeight="1">
      <c r="A86" s="260" t="str">
        <f>+Pobl_adoptada!A86</f>
        <v>La Plata</v>
      </c>
      <c r="B86" s="70">
        <f>+Pobl_adoptada!B86</f>
        <v>82</v>
      </c>
      <c r="C86" s="71" t="str">
        <f>+Pobl_adoptada!C86</f>
        <v>La Plata</v>
      </c>
      <c r="D86" s="341"/>
      <c r="E86" s="278"/>
      <c r="F86" s="263"/>
      <c r="G86" s="322">
        <f>+'RECHAZADOS A CA'!G86+'RECH-RECUP_PS CA'!G246</f>
        <v>1075.4967887999999</v>
      </c>
      <c r="H86" s="322">
        <f>+'RECHAZADOS A CA'!H86+'RECH-RECUP_PS CA'!H246</f>
        <v>1026.17674848</v>
      </c>
      <c r="I86" s="322">
        <f>+'RECHAZADOS A CA'!I86+'RECH-RECUP_PS CA'!I246</f>
        <v>975.61250159999986</v>
      </c>
      <c r="J86" s="322">
        <f>+'RECHAZADOS A CA'!J86+'RECH-RECUP_PS CA'!J246</f>
        <v>896.87844000000007</v>
      </c>
      <c r="K86" s="322">
        <f>+'RECHAZADOS A CA'!K86+'RECH-RECUP_PS CA'!K246</f>
        <v>816.2522712</v>
      </c>
      <c r="L86" s="322">
        <f>+'RECHAZADOS A CA'!L86+'RECH-RECUP_PS CA'!L246</f>
        <v>825.41648160000022</v>
      </c>
      <c r="M86" s="322">
        <f>+'RECHAZADOS A CA'!M86+'RECH-RECUP_PS CA'!M246</f>
        <v>834.68322719999992</v>
      </c>
      <c r="N86" s="322">
        <f>+'RECHAZADOS A CA'!N86+'RECH-RECUP_PS CA'!N246</f>
        <v>844.05453840000007</v>
      </c>
      <c r="O86" s="322">
        <f>+'RECHAZADOS A CA'!O86+'RECH-RECUP_PS CA'!O246</f>
        <v>853.53041519999988</v>
      </c>
      <c r="P86" s="322">
        <f>+'RECHAZADOS A CA'!P86+'RECH-RECUP_PS CA'!P246</f>
        <v>863.11288799999988</v>
      </c>
      <c r="Q86" s="322">
        <f>+'RECHAZADOS A CA'!Q86+'RECH-RECUP_PS CA'!Q246</f>
        <v>872.80297199999995</v>
      </c>
      <c r="R86" s="322">
        <f>+'RECHAZADOS A CA'!R86+'RECH-RECUP_PS CA'!R246</f>
        <v>882.60168239999996</v>
      </c>
      <c r="S86" s="322">
        <f>+'RECHAZADOS A CA'!S86+'RECH-RECUP_PS CA'!S246</f>
        <v>892.5100344</v>
      </c>
      <c r="T86" s="322">
        <f>+'RECHAZADOS A CA'!T86+'RECH-RECUP_PS CA'!T246</f>
        <v>902.53005840000003</v>
      </c>
      <c r="U86" s="322">
        <f>+'RECHAZADOS A CA'!U86+'RECH-RECUP_PS CA'!U246</f>
        <v>912.66276960000005</v>
      </c>
      <c r="V86" s="322">
        <f>+'RECHAZADOS A CA'!V86+'RECH-RECUP_PS CA'!V246</f>
        <v>922.90918319999992</v>
      </c>
      <c r="W86" s="322">
        <f>+'RECHAZADOS A CA'!W86+'RECH-RECUP_PS CA'!W246</f>
        <v>933.27132959999994</v>
      </c>
      <c r="X86" s="322">
        <f>+'RECHAZADOS A CA'!X86+'RECH-RECUP_PS CA'!X246</f>
        <v>943.74819360000004</v>
      </c>
      <c r="Y86" s="322">
        <f>+'RECHAZADOS A CA'!Y86+'RECH-RECUP_PS CA'!Y246</f>
        <v>954.3438359999999</v>
      </c>
      <c r="Z86" s="322">
        <f>+'RECHAZADOS A CA'!Z86+'RECH-RECUP_PS CA'!Z246</f>
        <v>965.05825679999998</v>
      </c>
      <c r="AA86" s="343">
        <f t="shared" si="2"/>
        <v>909.68263082399994</v>
      </c>
    </row>
    <row r="87" spans="1:27" ht="24.95" customHeight="1">
      <c r="A87" s="260" t="str">
        <f>+Pobl_adoptada!A87</f>
        <v>Laprida</v>
      </c>
      <c r="B87" s="70">
        <f>+Pobl_adoptada!B87</f>
        <v>83</v>
      </c>
      <c r="C87" s="71" t="str">
        <f>+Pobl_adoptada!C87</f>
        <v>Laprida</v>
      </c>
      <c r="D87" s="341"/>
      <c r="E87" s="278"/>
      <c r="F87" s="263"/>
      <c r="G87" s="322">
        <f>+'RECHAZADOS A CA'!G87+'RECH-RECUP_PS CA'!G247</f>
        <v>9.2651212800000007</v>
      </c>
      <c r="H87" s="322">
        <f>+'RECHAZADOS A CA'!H87+'RECH-RECUP_PS CA'!H247</f>
        <v>8.8178688000000012</v>
      </c>
      <c r="I87" s="322">
        <f>+'RECHAZADOS A CA'!I87+'RECH-RECUP_PS CA'!I247</f>
        <v>8.3623583999999997</v>
      </c>
      <c r="J87" s="322">
        <f>+'RECHAZADOS A CA'!J87+'RECH-RECUP_PS CA'!J247</f>
        <v>7.6683840000000005</v>
      </c>
      <c r="K87" s="322">
        <f>+'RECHAZADOS A CA'!K87+'RECH-RECUP_PS CA'!K247</f>
        <v>6.9611616000000005</v>
      </c>
      <c r="L87" s="322">
        <f>+'RECHAZADOS A CA'!L87+'RECH-RECUP_PS CA'!L247</f>
        <v>7.0221023999999996</v>
      </c>
      <c r="M87" s="322">
        <f>+'RECHAZADOS A CA'!M87+'RECH-RECUP_PS CA'!M247</f>
        <v>7.0830432000000014</v>
      </c>
      <c r="N87" s="322">
        <f>+'RECHAZADOS A CA'!N87+'RECH-RECUP_PS CA'!N247</f>
        <v>7.144646400000001</v>
      </c>
      <c r="O87" s="322">
        <f>+'RECHAZADOS A CA'!O87+'RECH-RECUP_PS CA'!O247</f>
        <v>7.2062495999999996</v>
      </c>
      <c r="P87" s="322">
        <f>+'RECHAZADOS A CA'!P87+'RECH-RECUP_PS CA'!P247</f>
        <v>7.2691776000000008</v>
      </c>
      <c r="Q87" s="322">
        <f>+'RECHAZADOS A CA'!Q87+'RECH-RECUP_PS CA'!Q247</f>
        <v>7.3321056000000002</v>
      </c>
      <c r="R87" s="322">
        <f>+'RECHAZADOS A CA'!R87+'RECH-RECUP_PS CA'!R247</f>
        <v>7.3956960000000009</v>
      </c>
      <c r="S87" s="322">
        <f>+'RECHAZADOS A CA'!S87+'RECH-RECUP_PS CA'!S247</f>
        <v>7.4599488000000003</v>
      </c>
      <c r="T87" s="322">
        <f>+'RECHAZADOS A CA'!T87+'RECH-RECUP_PS CA'!T247</f>
        <v>7.524864</v>
      </c>
      <c r="U87" s="322">
        <f>+'RECHAZADOS A CA'!U87+'RECH-RECUP_PS CA'!U247</f>
        <v>7.5904416000000001</v>
      </c>
      <c r="V87" s="322">
        <f>+'RECHAZADOS A CA'!V87+'RECH-RECUP_PS CA'!V247</f>
        <v>7.6560192000000002</v>
      </c>
      <c r="W87" s="322">
        <f>+'RECHAZADOS A CA'!W87+'RECH-RECUP_PS CA'!W247</f>
        <v>7.7229216000000003</v>
      </c>
      <c r="X87" s="322">
        <f>+'RECHAZADOS A CA'!X87+'RECH-RECUP_PS CA'!X247</f>
        <v>7.7898240000000003</v>
      </c>
      <c r="Y87" s="322">
        <f>+'RECHAZADOS A CA'!Y87+'RECH-RECUP_PS CA'!Y247</f>
        <v>7.8573888000000007</v>
      </c>
      <c r="Z87" s="322">
        <f>+'RECHAZADOS A CA'!Z87+'RECH-RECUP_PS CA'!Z247</f>
        <v>7.9256160000000015</v>
      </c>
      <c r="AA87" s="343">
        <f t="shared" si="2"/>
        <v>7.6527469440000004</v>
      </c>
    </row>
    <row r="88" spans="1:27" ht="24.95" customHeight="1">
      <c r="A88" s="260" t="str">
        <f>+Pobl_adoptada!A88</f>
        <v>Las Flores</v>
      </c>
      <c r="B88" s="70">
        <f>+Pobl_adoptada!B88</f>
        <v>84</v>
      </c>
      <c r="C88" s="71" t="str">
        <f>+Pobl_adoptada!C88</f>
        <v>Las Flores</v>
      </c>
      <c r="D88" s="341"/>
      <c r="E88" s="278"/>
      <c r="F88" s="263"/>
      <c r="G88" s="322">
        <f>+'RECHAZADOS A CA'!G88+'RECH-RECUP_PS CA'!G248</f>
        <v>26.054562560000004</v>
      </c>
      <c r="H88" s="322">
        <f>+'RECHAZADOS A CA'!H88+'RECH-RECUP_PS CA'!H248</f>
        <v>24.876427680000003</v>
      </c>
      <c r="I88" s="322">
        <f>+'RECHAZADOS A CA'!I88+'RECH-RECUP_PS CA'!I248</f>
        <v>23.663270400000002</v>
      </c>
      <c r="J88" s="322">
        <f>+'RECHAZADOS A CA'!J88+'RECH-RECUP_PS CA'!J248</f>
        <v>21.761376000000002</v>
      </c>
      <c r="K88" s="322">
        <f>+'RECHAZADOS A CA'!K88+'RECH-RECUP_PS CA'!K248</f>
        <v>19.810382400000002</v>
      </c>
      <c r="L88" s="322">
        <f>+'RECHAZADOS A CA'!L88+'RECH-RECUP_PS CA'!L248</f>
        <v>20.108030400000004</v>
      </c>
      <c r="M88" s="322">
        <f>+'RECHAZADOS A CA'!M88+'RECH-RECUP_PS CA'!M248</f>
        <v>20.406441600000001</v>
      </c>
      <c r="N88" s="322">
        <f>+'RECHAZADOS A CA'!N88+'RECH-RECUP_PS CA'!N248</f>
        <v>20.7040896</v>
      </c>
      <c r="O88" s="322">
        <f>+'RECHAZADOS A CA'!O88+'RECH-RECUP_PS CA'!O248</f>
        <v>21.0025008</v>
      </c>
      <c r="P88" s="322">
        <f>+'RECHAZADOS A CA'!P88+'RECH-RECUP_PS CA'!P248</f>
        <v>21.300148799999999</v>
      </c>
      <c r="Q88" s="322">
        <f>+'RECHAZADOS A CA'!Q88+'RECH-RECUP_PS CA'!Q248</f>
        <v>21.598559999999999</v>
      </c>
      <c r="R88" s="322">
        <f>+'RECHAZADOS A CA'!R88+'RECH-RECUP_PS CA'!R248</f>
        <v>21.896208000000001</v>
      </c>
      <c r="S88" s="322">
        <f>+'RECHAZADOS A CA'!S88+'RECH-RECUP_PS CA'!S248</f>
        <v>22.194619200000002</v>
      </c>
      <c r="T88" s="322">
        <f>+'RECHAZADOS A CA'!T88+'RECH-RECUP_PS CA'!T248</f>
        <v>22.492267200000004</v>
      </c>
      <c r="U88" s="322">
        <f>+'RECHAZADOS A CA'!U88+'RECH-RECUP_PS CA'!U248</f>
        <v>22.790678400000001</v>
      </c>
      <c r="V88" s="322">
        <f>+'RECHAZADOS A CA'!V88+'RECH-RECUP_PS CA'!V248</f>
        <v>23.088326400000003</v>
      </c>
      <c r="W88" s="322">
        <f>+'RECHAZADOS A CA'!W88+'RECH-RECUP_PS CA'!W248</f>
        <v>23.386737600000004</v>
      </c>
      <c r="X88" s="322">
        <f>+'RECHAZADOS A CA'!X88+'RECH-RECUP_PS CA'!X248</f>
        <v>23.684385600000002</v>
      </c>
      <c r="Y88" s="322">
        <f>+'RECHAZADOS A CA'!Y88+'RECH-RECUP_PS CA'!Y248</f>
        <v>23.982796800000003</v>
      </c>
      <c r="Z88" s="322">
        <f>+'RECHAZADOS A CA'!Z88+'RECH-RECUP_PS CA'!Z248</f>
        <v>24.280444800000005</v>
      </c>
      <c r="AA88" s="343">
        <f t="shared" si="2"/>
        <v>22.454112712000001</v>
      </c>
    </row>
    <row r="89" spans="1:27" ht="24.95" customHeight="1">
      <c r="A89" s="260" t="str">
        <f>+Pobl_adoptada!A89</f>
        <v>Leandro N. Alem</v>
      </c>
      <c r="B89" s="70">
        <f>+Pobl_adoptada!B89</f>
        <v>85</v>
      </c>
      <c r="C89" s="71" t="str">
        <f>+Pobl_adoptada!C89</f>
        <v>Vedia</v>
      </c>
      <c r="D89" s="341"/>
      <c r="E89" s="278"/>
      <c r="F89" s="263"/>
      <c r="G89" s="322">
        <f>+'RECHAZADOS A CA'!G89+'RECH-RECUP_PS CA'!G249</f>
        <v>9.27881088</v>
      </c>
      <c r="H89" s="322">
        <f>+'RECHAZADOS A CA'!H89+'RECH-RECUP_PS CA'!H249</f>
        <v>8.8264800000000001</v>
      </c>
      <c r="I89" s="322">
        <f>+'RECHAZADOS A CA'!I89+'RECH-RECUP_PS CA'!I249</f>
        <v>8.3655968000000005</v>
      </c>
      <c r="J89" s="322">
        <f>+'RECHAZADOS A CA'!J89+'RECH-RECUP_PS CA'!J249</f>
        <v>7.6669119999999999</v>
      </c>
      <c r="K89" s="322">
        <f>+'RECHAZADOS A CA'!K89+'RECH-RECUP_PS CA'!K249</f>
        <v>6.9551999999999996</v>
      </c>
      <c r="L89" s="322">
        <f>+'RECHAZADOS A CA'!L89+'RECH-RECUP_PS CA'!L249</f>
        <v>7.0108416</v>
      </c>
      <c r="M89" s="322">
        <f>+'RECHAZADOS A CA'!M89+'RECH-RECUP_PS CA'!M249</f>
        <v>7.0658208000000009</v>
      </c>
      <c r="N89" s="322">
        <f>+'RECHAZADOS A CA'!N89+'RECH-RECUP_PS CA'!N249</f>
        <v>7.1214623999999995</v>
      </c>
      <c r="O89" s="322">
        <f>+'RECHAZADOS A CA'!O89+'RECH-RECUP_PS CA'!O249</f>
        <v>7.1764416000000004</v>
      </c>
      <c r="P89" s="322">
        <f>+'RECHAZADOS A CA'!P89+'RECH-RECUP_PS CA'!P249</f>
        <v>7.2320831999999999</v>
      </c>
      <c r="Q89" s="322">
        <f>+'RECHAZADOS A CA'!Q89+'RECH-RECUP_PS CA'!Q249</f>
        <v>7.2870623999999999</v>
      </c>
      <c r="R89" s="322">
        <f>+'RECHAZADOS A CA'!R89+'RECH-RECUP_PS CA'!R249</f>
        <v>7.3420416000000008</v>
      </c>
      <c r="S89" s="322">
        <f>+'RECHAZADOS A CA'!S89+'RECH-RECUP_PS CA'!S249</f>
        <v>7.3976832000000012</v>
      </c>
      <c r="T89" s="322">
        <f>+'RECHAZADOS A CA'!T89+'RECH-RECUP_PS CA'!T249</f>
        <v>7.4526624000000012</v>
      </c>
      <c r="U89" s="322">
        <f>+'RECHAZADOS A CA'!U89+'RECH-RECUP_PS CA'!U249</f>
        <v>7.5083040000000008</v>
      </c>
      <c r="V89" s="322">
        <f>+'RECHAZADOS A CA'!V89+'RECH-RECUP_PS CA'!V249</f>
        <v>7.5632832000000016</v>
      </c>
      <c r="W89" s="322">
        <f>+'RECHAZADOS A CA'!W89+'RECH-RECUP_PS CA'!W249</f>
        <v>7.6189248000000003</v>
      </c>
      <c r="X89" s="322">
        <f>+'RECHAZADOS A CA'!X89+'RECH-RECUP_PS CA'!X249</f>
        <v>7.6739040000000003</v>
      </c>
      <c r="Y89" s="322">
        <f>+'RECHAZADOS A CA'!Y89+'RECH-RECUP_PS CA'!Y249</f>
        <v>7.7295455999999998</v>
      </c>
      <c r="Z89" s="322">
        <f>+'RECHAZADOS A CA'!Z89+'RECH-RECUP_PS CA'!Z249</f>
        <v>7.7845248000000007</v>
      </c>
      <c r="AA89" s="343">
        <f t="shared" si="2"/>
        <v>7.6028792639999994</v>
      </c>
    </row>
    <row r="90" spans="1:27" ht="24.95" customHeight="1">
      <c r="A90" s="260" t="str">
        <f>+Pobl_adoptada!A90</f>
        <v>Lincoln</v>
      </c>
      <c r="B90" s="70">
        <f>+Pobl_adoptada!B90</f>
        <v>86</v>
      </c>
      <c r="C90" s="71" t="str">
        <f>+Pobl_adoptada!C90</f>
        <v>Lincoln</v>
      </c>
      <c r="D90" s="341"/>
      <c r="E90" s="278"/>
      <c r="F90" s="263"/>
      <c r="G90" s="322">
        <f>+'RECHAZADOS A CA'!G90+'RECH-RECUP_PS CA'!G250</f>
        <v>31.736976640000002</v>
      </c>
      <c r="H90" s="322">
        <f>+'RECHAZADOS A CA'!H90+'RECH-RECUP_PS CA'!H250</f>
        <v>30.083283360000006</v>
      </c>
      <c r="I90" s="322">
        <f>+'RECHAZADOS A CA'!I90+'RECH-RECUP_PS CA'!I250</f>
        <v>28.413088000000002</v>
      </c>
      <c r="J90" s="322">
        <f>+'RECHAZADOS A CA'!J90+'RECH-RECUP_PS CA'!J250</f>
        <v>25.948799999999999</v>
      </c>
      <c r="K90" s="322">
        <f>+'RECHAZADOS A CA'!K90+'RECH-RECUP_PS CA'!K250</f>
        <v>23.460768000000002</v>
      </c>
      <c r="L90" s="322">
        <f>+'RECHAZADOS A CA'!L90+'RECH-RECUP_PS CA'!L250</f>
        <v>23.568379199999999</v>
      </c>
      <c r="M90" s="322">
        <f>+'RECHAZADOS A CA'!M90+'RECH-RECUP_PS CA'!M250</f>
        <v>23.676753600000005</v>
      </c>
      <c r="N90" s="322">
        <f>+'RECHAZADOS A CA'!N90+'RECH-RECUP_PS CA'!N250</f>
        <v>23.785128</v>
      </c>
      <c r="O90" s="322">
        <f>+'RECHAZADOS A CA'!O90+'RECH-RECUP_PS CA'!O250</f>
        <v>23.894265600000004</v>
      </c>
      <c r="P90" s="322">
        <f>+'RECHAZADOS A CA'!P90+'RECH-RECUP_PS CA'!P250</f>
        <v>24.003403200000008</v>
      </c>
      <c r="Q90" s="322">
        <f>+'RECHAZADOS A CA'!Q90+'RECH-RECUP_PS CA'!Q250</f>
        <v>24.114067200000001</v>
      </c>
      <c r="R90" s="322">
        <f>+'RECHAZADOS A CA'!R90+'RECH-RECUP_PS CA'!R250</f>
        <v>24.224731200000001</v>
      </c>
      <c r="S90" s="322">
        <f>+'RECHAZADOS A CA'!S90+'RECH-RECUP_PS CA'!S250</f>
        <v>24.335395200000001</v>
      </c>
      <c r="T90" s="322">
        <f>+'RECHAZADOS A CA'!T90+'RECH-RECUP_PS CA'!T250</f>
        <v>24.447585600000004</v>
      </c>
      <c r="U90" s="322">
        <f>+'RECHAZADOS A CA'!U90+'RECH-RECUP_PS CA'!U250</f>
        <v>24.559776000000003</v>
      </c>
      <c r="V90" s="322">
        <f>+'RECHAZADOS A CA'!V90+'RECH-RECUP_PS CA'!V250</f>
        <v>24.671966400000002</v>
      </c>
      <c r="W90" s="322">
        <f>+'RECHAZADOS A CA'!W90+'RECH-RECUP_PS CA'!W250</f>
        <v>24.78492</v>
      </c>
      <c r="X90" s="322">
        <f>+'RECHAZADOS A CA'!X90+'RECH-RECUP_PS CA'!X250</f>
        <v>24.898636799999998</v>
      </c>
      <c r="Y90" s="322">
        <f>+'RECHAZADOS A CA'!Y90+'RECH-RECUP_PS CA'!Y250</f>
        <v>25.013116799999999</v>
      </c>
      <c r="Z90" s="322">
        <f>+'RECHAZADOS A CA'!Z90+'RECH-RECUP_PS CA'!Z250</f>
        <v>25.127596800000006</v>
      </c>
      <c r="AA90" s="343">
        <f t="shared" si="2"/>
        <v>25.237431880000006</v>
      </c>
    </row>
    <row r="91" spans="1:27" ht="24.95" customHeight="1">
      <c r="A91" s="260" t="str">
        <f>+Pobl_adoptada!A91</f>
        <v>Lobería</v>
      </c>
      <c r="B91" s="70">
        <f>+Pobl_adoptada!B91</f>
        <v>87</v>
      </c>
      <c r="C91" s="71" t="str">
        <f>+Pobl_adoptada!C91</f>
        <v>Lobería</v>
      </c>
      <c r="D91" s="341"/>
      <c r="E91" s="278"/>
      <c r="F91" s="263"/>
      <c r="G91" s="322">
        <f>+'RECHAZADOS A CA'!G91+'RECH-RECUP_PS CA'!G251</f>
        <v>13.298990080000001</v>
      </c>
      <c r="H91" s="322">
        <f>+'RECHAZADOS A CA'!H91+'RECH-RECUP_PS CA'!H251</f>
        <v>12.637797119999998</v>
      </c>
      <c r="I91" s="322">
        <f>+'RECHAZADOS A CA'!I91+'RECH-RECUP_PS CA'!I251</f>
        <v>11.965888</v>
      </c>
      <c r="J91" s="322">
        <f>+'RECHAZADOS A CA'!J91+'RECH-RECUP_PS CA'!J251</f>
        <v>10.956096000000001</v>
      </c>
      <c r="K91" s="322">
        <f>+'RECHAZADOS A CA'!K91+'RECH-RECUP_PS CA'!K251</f>
        <v>9.9307008000000021</v>
      </c>
      <c r="L91" s="322">
        <f>+'RECHAZADOS A CA'!L91+'RECH-RECUP_PS CA'!L251</f>
        <v>10.001577600000001</v>
      </c>
      <c r="M91" s="322">
        <f>+'RECHAZADOS A CA'!M91+'RECH-RECUP_PS CA'!M251</f>
        <v>10.073116800000001</v>
      </c>
      <c r="N91" s="322">
        <f>+'RECHAZADOS A CA'!N91+'RECH-RECUP_PS CA'!N251</f>
        <v>10.144656000000001</v>
      </c>
      <c r="O91" s="322">
        <f>+'RECHAZADOS A CA'!O91+'RECH-RECUP_PS CA'!O251</f>
        <v>10.216857600000001</v>
      </c>
      <c r="P91" s="322">
        <f>+'RECHAZADOS A CA'!P91+'RECH-RECUP_PS CA'!P251</f>
        <v>10.289721600000002</v>
      </c>
      <c r="Q91" s="322">
        <f>+'RECHAZADOS A CA'!Q91+'RECH-RECUP_PS CA'!Q251</f>
        <v>10.363248000000002</v>
      </c>
      <c r="R91" s="322">
        <f>+'RECHAZADOS A CA'!R91+'RECH-RECUP_PS CA'!R251</f>
        <v>10.4374368</v>
      </c>
      <c r="S91" s="322">
        <f>+'RECHAZADOS A CA'!S91+'RECH-RECUP_PS CA'!S251</f>
        <v>10.5116256</v>
      </c>
      <c r="T91" s="322">
        <f>+'RECHAZADOS A CA'!T91+'RECH-RECUP_PS CA'!T251</f>
        <v>10.5864768</v>
      </c>
      <c r="U91" s="322">
        <f>+'RECHAZADOS A CA'!U91+'RECH-RECUP_PS CA'!U251</f>
        <v>10.661990400000002</v>
      </c>
      <c r="V91" s="322">
        <f>+'RECHAZADOS A CA'!V91+'RECH-RECUP_PS CA'!V251</f>
        <v>10.738166400000001</v>
      </c>
      <c r="W91" s="322">
        <f>+'RECHAZADOS A CA'!W91+'RECH-RECUP_PS CA'!W251</f>
        <v>10.815004800000001</v>
      </c>
      <c r="X91" s="322">
        <f>+'RECHAZADOS A CA'!X91+'RECH-RECUP_PS CA'!X251</f>
        <v>10.8918432</v>
      </c>
      <c r="Y91" s="322">
        <f>+'RECHAZADOS A CA'!Y91+'RECH-RECUP_PS CA'!Y251</f>
        <v>10.970006400000001</v>
      </c>
      <c r="Z91" s="322">
        <f>+'RECHAZADOS A CA'!Z91+'RECH-RECUP_PS CA'!Z251</f>
        <v>11.048169600000001</v>
      </c>
      <c r="AA91" s="343">
        <f t="shared" si="2"/>
        <v>10.826968480000001</v>
      </c>
    </row>
    <row r="92" spans="1:27" ht="24.95" customHeight="1">
      <c r="A92" s="260" t="str">
        <f>+Pobl_adoptada!A92</f>
        <v>Lobos</v>
      </c>
      <c r="B92" s="70">
        <f>+Pobl_adoptada!B92</f>
        <v>88</v>
      </c>
      <c r="C92" s="71" t="str">
        <f>+Pobl_adoptada!C92</f>
        <v>Lobos</v>
      </c>
      <c r="D92" s="341"/>
      <c r="E92" s="278"/>
      <c r="F92" s="263"/>
      <c r="G92" s="322">
        <f>+'RECHAZADOS A CA'!G92+'RECH-RECUP_PS CA'!G252</f>
        <v>37.736949760000002</v>
      </c>
      <c r="H92" s="322">
        <f>+'RECHAZADOS A CA'!H92+'RECH-RECUP_PS CA'!H252</f>
        <v>36.017392319999999</v>
      </c>
      <c r="I92" s="322">
        <f>+'RECHAZADOS A CA'!I92+'RECH-RECUP_PS CA'!I252</f>
        <v>34.253348800000005</v>
      </c>
      <c r="J92" s="322">
        <f>+'RECHAZADOS A CA'!J92+'RECH-RECUP_PS CA'!J252</f>
        <v>31.498960000000004</v>
      </c>
      <c r="K92" s="322">
        <f>+'RECHAZADOS A CA'!K92+'RECH-RECUP_PS CA'!K252</f>
        <v>28.6764768</v>
      </c>
      <c r="L92" s="322">
        <f>+'RECHAZADOS A CA'!L92+'RECH-RECUP_PS CA'!L252</f>
        <v>29.007705600000001</v>
      </c>
      <c r="M92" s="322">
        <f>+'RECHAZADOS A CA'!M92+'RECH-RECUP_PS CA'!M252</f>
        <v>29.341987200000002</v>
      </c>
      <c r="N92" s="322">
        <f>+'RECHAZADOS A CA'!N92+'RECH-RECUP_PS CA'!N252</f>
        <v>29.680847999999997</v>
      </c>
      <c r="O92" s="322">
        <f>+'RECHAZADOS A CA'!O92+'RECH-RECUP_PS CA'!O252</f>
        <v>30.023524800000008</v>
      </c>
      <c r="P92" s="322">
        <f>+'RECHAZADOS A CA'!P92+'RECH-RECUP_PS CA'!P252</f>
        <v>30.370017600000001</v>
      </c>
      <c r="Q92" s="322">
        <f>+'RECHAZADOS A CA'!Q92+'RECH-RECUP_PS CA'!Q252</f>
        <v>30.720326400000005</v>
      </c>
      <c r="R92" s="322">
        <f>+'RECHAZADOS A CA'!R92+'RECH-RECUP_PS CA'!R252</f>
        <v>31.075214400000004</v>
      </c>
      <c r="S92" s="322">
        <f>+'RECHAZADOS A CA'!S92+'RECH-RECUP_PS CA'!S252</f>
        <v>31.4339184</v>
      </c>
      <c r="T92" s="322">
        <f>+'RECHAZADOS A CA'!T92+'RECH-RECUP_PS CA'!T252</f>
        <v>31.796438400000003</v>
      </c>
      <c r="U92" s="322">
        <f>+'RECHAZADOS A CA'!U92+'RECH-RECUP_PS CA'!U252</f>
        <v>32.163537599999998</v>
      </c>
      <c r="V92" s="322">
        <f>+'RECHAZADOS A CA'!V92+'RECH-RECUP_PS CA'!V252</f>
        <v>32.535215999999998</v>
      </c>
      <c r="W92" s="322">
        <f>+'RECHAZADOS A CA'!W92+'RECH-RECUP_PS CA'!W252</f>
        <v>32.910710399999999</v>
      </c>
      <c r="X92" s="322">
        <f>+'RECHAZADOS A CA'!X92+'RECH-RECUP_PS CA'!X252</f>
        <v>33.290784000000002</v>
      </c>
      <c r="Y92" s="322">
        <f>+'RECHAZADOS A CA'!Y92+'RECH-RECUP_PS CA'!Y252</f>
        <v>33.674673600000006</v>
      </c>
      <c r="Z92" s="322">
        <f>+'RECHAZADOS A CA'!Z92+'RECH-RECUP_PS CA'!Z252</f>
        <v>34.063142400000004</v>
      </c>
      <c r="AA92" s="343">
        <f t="shared" si="2"/>
        <v>32.013558623999998</v>
      </c>
    </row>
    <row r="93" spans="1:27" ht="24.95" customHeight="1">
      <c r="A93" s="260" t="str">
        <f>+Pobl_adoptada!A93</f>
        <v>Luján</v>
      </c>
      <c r="B93" s="70">
        <f>+Pobl_adoptada!B93</f>
        <v>89</v>
      </c>
      <c r="C93" s="71" t="str">
        <f>+Pobl_adoptada!C93</f>
        <v>Luján</v>
      </c>
      <c r="D93" s="341"/>
      <c r="E93" s="278"/>
      <c r="F93" s="263"/>
      <c r="G93" s="322">
        <f>+'RECHAZADOS A CA'!G93+'RECH-RECUP_PS CA'!G253</f>
        <v>127.34309952</v>
      </c>
      <c r="H93" s="322">
        <f>+'RECHAZADOS A CA'!H93+'RECH-RECUP_PS CA'!H253</f>
        <v>122.09627663999999</v>
      </c>
      <c r="I93" s="322">
        <f>+'RECHAZADOS A CA'!I93+'RECH-RECUP_PS CA'!I253</f>
        <v>116.6179872</v>
      </c>
      <c r="J93" s="322">
        <f>+'RECHAZADOS A CA'!J93+'RECH-RECUP_PS CA'!J253</f>
        <v>107.67691200000002</v>
      </c>
      <c r="K93" s="322">
        <f>+'RECHAZADOS A CA'!K93+'RECH-RECUP_PS CA'!K253</f>
        <v>98.402990400000022</v>
      </c>
      <c r="L93" s="322">
        <f>+'RECHAZADOS A CA'!L93+'RECH-RECUP_PS CA'!L253</f>
        <v>99.897494399999985</v>
      </c>
      <c r="M93" s="322">
        <f>+'RECHAZADOS A CA'!M93+'RECH-RECUP_PS CA'!M253</f>
        <v>101.39126400000001</v>
      </c>
      <c r="N93" s="322">
        <f>+'RECHAZADOS A CA'!N93+'RECH-RECUP_PS CA'!N253</f>
        <v>102.88576799999998</v>
      </c>
      <c r="O93" s="322">
        <f>+'RECHAZADOS A CA'!O93+'RECH-RECUP_PS CA'!O253</f>
        <v>104.38027200000001</v>
      </c>
      <c r="P93" s="322">
        <f>+'RECHAZADOS A CA'!P93+'RECH-RECUP_PS CA'!P253</f>
        <v>105.87404160000001</v>
      </c>
      <c r="Q93" s="322">
        <f>+'RECHAZADOS A CA'!Q93+'RECH-RECUP_PS CA'!Q253</f>
        <v>107.3685456</v>
      </c>
      <c r="R93" s="322">
        <f>+'RECHAZADOS A CA'!R93+'RECH-RECUP_PS CA'!R253</f>
        <v>108.86304960000001</v>
      </c>
      <c r="S93" s="322">
        <f>+'RECHAZADOS A CA'!S93+'RECH-RECUP_PS CA'!S253</f>
        <v>110.35681920000002</v>
      </c>
      <c r="T93" s="322">
        <f>+'RECHAZADOS A CA'!T93+'RECH-RECUP_PS CA'!T253</f>
        <v>111.8513232</v>
      </c>
      <c r="U93" s="322">
        <f>+'RECHAZADOS A CA'!U93+'RECH-RECUP_PS CA'!U253</f>
        <v>113.34509279999997</v>
      </c>
      <c r="V93" s="322">
        <f>+'RECHAZADOS A CA'!V93+'RECH-RECUP_PS CA'!V253</f>
        <v>114.8395968</v>
      </c>
      <c r="W93" s="322">
        <f>+'RECHAZADOS A CA'!W93+'RECH-RECUP_PS CA'!W253</f>
        <v>116.3341008</v>
      </c>
      <c r="X93" s="322">
        <f>+'RECHAZADOS A CA'!X93+'RECH-RECUP_PS CA'!X253</f>
        <v>117.82787040000001</v>
      </c>
      <c r="Y93" s="322">
        <f>+'RECHAZADOS A CA'!Y93+'RECH-RECUP_PS CA'!Y253</f>
        <v>119.3223744</v>
      </c>
      <c r="Z93" s="322">
        <f>+'RECHAZADOS A CA'!Z93+'RECH-RECUP_PS CA'!Z253</f>
        <v>120.81614400000001</v>
      </c>
      <c r="AA93" s="343">
        <f t="shared" si="2"/>
        <v>111.37455112800001</v>
      </c>
    </row>
    <row r="94" spans="1:27" ht="24.95" customHeight="1">
      <c r="A94" s="260" t="str">
        <f>+Pobl_adoptada!A94</f>
        <v>Magdalena</v>
      </c>
      <c r="B94" s="70">
        <f>+Pobl_adoptada!B94</f>
        <v>90</v>
      </c>
      <c r="C94" s="71" t="str">
        <f>+Pobl_adoptada!C94</f>
        <v>Magdalena</v>
      </c>
      <c r="D94" s="341"/>
      <c r="E94" s="278"/>
      <c r="F94" s="263"/>
      <c r="G94" s="322">
        <f>+'RECHAZADOS A CA'!G94+'RECH-RECUP_PS CA'!G254</f>
        <v>12.712162560000001</v>
      </c>
      <c r="H94" s="322">
        <f>+'RECHAZADOS A CA'!H94+'RECH-RECUP_PS CA'!H254</f>
        <v>12.150403200000001</v>
      </c>
      <c r="I94" s="322">
        <f>+'RECHAZADOS A CA'!I94+'RECH-RECUP_PS CA'!I254</f>
        <v>11.569993600000002</v>
      </c>
      <c r="J94" s="322">
        <f>+'RECHAZADOS A CA'!J94+'RECH-RECUP_PS CA'!J254</f>
        <v>10.651392000000001</v>
      </c>
      <c r="K94" s="322">
        <f>+'RECHAZADOS A CA'!K94+'RECH-RECUP_PS CA'!K254</f>
        <v>9.7061472000000002</v>
      </c>
      <c r="L94" s="322">
        <f>+'RECHAZADOS A CA'!L94+'RECH-RECUP_PS CA'!L254</f>
        <v>9.8260415999999999</v>
      </c>
      <c r="M94" s="322">
        <f>+'RECHAZADOS A CA'!M94+'RECH-RECUP_PS CA'!M254</f>
        <v>9.9459359999999997</v>
      </c>
      <c r="N94" s="322">
        <f>+'RECHAZADOS A CA'!N94+'RECH-RECUP_PS CA'!N254</f>
        <v>10.065830399999999</v>
      </c>
      <c r="O94" s="322">
        <f>+'RECHAZADOS A CA'!O94+'RECH-RECUP_PS CA'!O254</f>
        <v>10.185724800000001</v>
      </c>
      <c r="P94" s="322">
        <f>+'RECHAZADOS A CA'!P94+'RECH-RECUP_PS CA'!P254</f>
        <v>10.305619200000001</v>
      </c>
      <c r="Q94" s="322">
        <f>+'RECHAZADOS A CA'!Q94+'RECH-RECUP_PS CA'!Q254</f>
        <v>10.4255136</v>
      </c>
      <c r="R94" s="322">
        <f>+'RECHAZADOS A CA'!R94+'RECH-RECUP_PS CA'!R254</f>
        <v>10.545408</v>
      </c>
      <c r="S94" s="322">
        <f>+'RECHAZADOS A CA'!S94+'RECH-RECUP_PS CA'!S254</f>
        <v>10.6653024</v>
      </c>
      <c r="T94" s="322">
        <f>+'RECHAZADOS A CA'!T94+'RECH-RECUP_PS CA'!T254</f>
        <v>10.785196800000001</v>
      </c>
      <c r="U94" s="322">
        <f>+'RECHAZADOS A CA'!U94+'RECH-RECUP_PS CA'!U254</f>
        <v>10.905091200000001</v>
      </c>
      <c r="V94" s="322">
        <f>+'RECHAZADOS A CA'!V94+'RECH-RECUP_PS CA'!V254</f>
        <v>11.024985600000001</v>
      </c>
      <c r="W94" s="322">
        <f>+'RECHAZADOS A CA'!W94+'RECH-RECUP_PS CA'!W254</f>
        <v>11.144880000000001</v>
      </c>
      <c r="X94" s="322">
        <f>+'RECHAZADOS A CA'!X94+'RECH-RECUP_PS CA'!X254</f>
        <v>11.2647744</v>
      </c>
      <c r="Y94" s="322">
        <f>+'RECHAZADOS A CA'!Y94+'RECH-RECUP_PS CA'!Y254</f>
        <v>11.384668800000002</v>
      </c>
      <c r="Z94" s="322">
        <f>+'RECHAZADOS A CA'!Z94+'RECH-RECUP_PS CA'!Z254</f>
        <v>11.504563200000002</v>
      </c>
      <c r="AA94" s="343">
        <f t="shared" si="2"/>
        <v>10.838481728000001</v>
      </c>
    </row>
    <row r="95" spans="1:27" ht="24.95" customHeight="1">
      <c r="A95" s="260" t="str">
        <f>+Pobl_adoptada!A95</f>
        <v>Maipú</v>
      </c>
      <c r="B95" s="70">
        <f>+Pobl_adoptada!B95</f>
        <v>91</v>
      </c>
      <c r="C95" s="71" t="str">
        <f>+Pobl_adoptada!C95</f>
        <v>Maipú</v>
      </c>
      <c r="D95" s="341"/>
      <c r="E95" s="278"/>
      <c r="F95" s="263"/>
      <c r="G95" s="322">
        <f>+'RECHAZADOS A CA'!G95+'RECH-RECUP_PS CA'!G255</f>
        <v>8.8909388800000002</v>
      </c>
      <c r="H95" s="322">
        <f>+'RECHAZADOS A CA'!H95+'RECH-RECUP_PS CA'!H255</f>
        <v>8.4277814400000004</v>
      </c>
      <c r="I95" s="322">
        <f>+'RECHAZADOS A CA'!I95+'RECH-RECUP_PS CA'!I255</f>
        <v>7.9599872000000005</v>
      </c>
      <c r="J95" s="322">
        <f>+'RECHAZADOS A CA'!J95+'RECH-RECUP_PS CA'!J255</f>
        <v>7.2702079999999993</v>
      </c>
      <c r="K95" s="322">
        <f>+'RECHAZADOS A CA'!K95+'RECH-RECUP_PS CA'!K255</f>
        <v>6.5729952000000003</v>
      </c>
      <c r="L95" s="322">
        <f>+'RECHAZADOS A CA'!L95+'RECH-RECUP_PS CA'!L255</f>
        <v>6.6028032000000003</v>
      </c>
      <c r="M95" s="322">
        <f>+'RECHAZADOS A CA'!M95+'RECH-RECUP_PS CA'!M255</f>
        <v>6.6332735999999999</v>
      </c>
      <c r="N95" s="322">
        <f>+'RECHAZADOS A CA'!N95+'RECH-RECUP_PS CA'!N255</f>
        <v>6.6630816000000008</v>
      </c>
      <c r="O95" s="322">
        <f>+'RECHAZADOS A CA'!O95+'RECH-RECUP_PS CA'!O255</f>
        <v>6.6928896000000009</v>
      </c>
      <c r="P95" s="322">
        <f>+'RECHAZADOS A CA'!P95+'RECH-RECUP_PS CA'!P255</f>
        <v>6.7226976000000009</v>
      </c>
      <c r="Q95" s="322">
        <f>+'RECHAZADOS A CA'!Q95+'RECH-RECUP_PS CA'!Q255</f>
        <v>6.7531680000000005</v>
      </c>
      <c r="R95" s="322">
        <f>+'RECHAZADOS A CA'!R95+'RECH-RECUP_PS CA'!R255</f>
        <v>6.7829760000000014</v>
      </c>
      <c r="S95" s="322">
        <f>+'RECHAZADOS A CA'!S95+'RECH-RECUP_PS CA'!S255</f>
        <v>6.8127840000000006</v>
      </c>
      <c r="T95" s="322">
        <f>+'RECHAZADOS A CA'!T95+'RECH-RECUP_PS CA'!T255</f>
        <v>6.8432544000000011</v>
      </c>
      <c r="U95" s="322">
        <f>+'RECHAZADOS A CA'!U95+'RECH-RECUP_PS CA'!U255</f>
        <v>6.8730624000000002</v>
      </c>
      <c r="V95" s="322">
        <f>+'RECHAZADOS A CA'!V95+'RECH-RECUP_PS CA'!V255</f>
        <v>6.9028704000000003</v>
      </c>
      <c r="W95" s="322">
        <f>+'RECHAZADOS A CA'!W95+'RECH-RECUP_PS CA'!W255</f>
        <v>6.9326784000000012</v>
      </c>
      <c r="X95" s="322">
        <f>+'RECHAZADOS A CA'!X95+'RECH-RECUP_PS CA'!X255</f>
        <v>6.9631488000000008</v>
      </c>
      <c r="Y95" s="322">
        <f>+'RECHAZADOS A CA'!Y95+'RECH-RECUP_PS CA'!Y255</f>
        <v>6.9929568</v>
      </c>
      <c r="Z95" s="322">
        <f>+'RECHAZADOS A CA'!Z95+'RECH-RECUP_PS CA'!Z255</f>
        <v>7.0227648</v>
      </c>
      <c r="AA95" s="343">
        <f t="shared" si="2"/>
        <v>7.0658160159999994</v>
      </c>
    </row>
    <row r="96" spans="1:27" ht="24.95" customHeight="1">
      <c r="A96" s="260" t="str">
        <f>+Pobl_adoptada!A96</f>
        <v>Mar Chiquita</v>
      </c>
      <c r="B96" s="70">
        <f>+Pobl_adoptada!B96</f>
        <v>92</v>
      </c>
      <c r="C96" s="71" t="str">
        <f>+Pobl_adoptada!C96</f>
        <v>Coronel Vidal</v>
      </c>
      <c r="D96" s="341"/>
      <c r="E96" s="278"/>
      <c r="F96" s="263"/>
      <c r="G96" s="322">
        <f>+'RECHAZADOS A CA'!G96+'RECH-RECUP_PS CA'!G256</f>
        <v>7.0337164799999998</v>
      </c>
      <c r="H96" s="322">
        <f>+'RECHAZADOS A CA'!H96+'RECH-RECUP_PS CA'!H256</f>
        <v>6.7175971199999998</v>
      </c>
      <c r="I96" s="322">
        <f>+'RECHAZADOS A CA'!I96+'RECH-RECUP_PS CA'!I256</f>
        <v>6.3909824000000004</v>
      </c>
      <c r="J96" s="322">
        <f>+'RECHAZADOS A CA'!J96+'RECH-RECUP_PS CA'!J256</f>
        <v>5.8791679999999999</v>
      </c>
      <c r="K96" s="322">
        <f>+'RECHAZADOS A CA'!K96+'RECH-RECUP_PS CA'!K256</f>
        <v>5.3528544</v>
      </c>
      <c r="L96" s="322">
        <f>+'RECHAZADOS A CA'!L96+'RECH-RECUP_PS CA'!L256</f>
        <v>5.4343296000000008</v>
      </c>
      <c r="M96" s="322">
        <f>+'RECHAZADOS A CA'!M96+'RECH-RECUP_PS CA'!M256</f>
        <v>5.5158048000000006</v>
      </c>
      <c r="N96" s="322">
        <f>+'RECHAZADOS A CA'!N96+'RECH-RECUP_PS CA'!N256</f>
        <v>5.5972800000000005</v>
      </c>
      <c r="O96" s="322">
        <f>+'RECHAZADOS A CA'!O96+'RECH-RECUP_PS CA'!O256</f>
        <v>5.6787552000000003</v>
      </c>
      <c r="P96" s="322">
        <f>+'RECHAZADOS A CA'!P96+'RECH-RECUP_PS CA'!P256</f>
        <v>5.7595680000000007</v>
      </c>
      <c r="Q96" s="322">
        <f>+'RECHAZADOS A CA'!Q96+'RECH-RECUP_PS CA'!Q256</f>
        <v>5.8410432000000005</v>
      </c>
      <c r="R96" s="322">
        <f>+'RECHAZADOS A CA'!R96+'RECH-RECUP_PS CA'!R256</f>
        <v>5.9225184000000013</v>
      </c>
      <c r="S96" s="322">
        <f>+'RECHAZADOS A CA'!S96+'RECH-RECUP_PS CA'!S256</f>
        <v>6.0039936000000012</v>
      </c>
      <c r="T96" s="322">
        <f>+'RECHAZADOS A CA'!T96+'RECH-RECUP_PS CA'!T256</f>
        <v>6.0854688000000001</v>
      </c>
      <c r="U96" s="322">
        <f>+'RECHAZADOS A CA'!U96+'RECH-RECUP_PS CA'!U256</f>
        <v>6.1662815999999996</v>
      </c>
      <c r="V96" s="322">
        <f>+'RECHAZADOS A CA'!V96+'RECH-RECUP_PS CA'!V256</f>
        <v>6.2477568000000003</v>
      </c>
      <c r="W96" s="322">
        <f>+'RECHAZADOS A CA'!W96+'RECH-RECUP_PS CA'!W256</f>
        <v>6.3292319999999993</v>
      </c>
      <c r="X96" s="322">
        <f>+'RECHAZADOS A CA'!X96+'RECH-RECUP_PS CA'!X256</f>
        <v>6.4107072000000009</v>
      </c>
      <c r="Y96" s="322">
        <f>+'RECHAZADOS A CA'!Y96+'RECH-RECUP_PS CA'!Y256</f>
        <v>6.4921824000000008</v>
      </c>
      <c r="Z96" s="322">
        <f>+'RECHAZADOS A CA'!Z96+'RECH-RECUP_PS CA'!Z256</f>
        <v>6.5729952000000003</v>
      </c>
      <c r="AA96" s="343">
        <f t="shared" si="2"/>
        <v>6.0716117600000006</v>
      </c>
    </row>
    <row r="97" spans="1:27" ht="24.95" customHeight="1">
      <c r="A97" s="260" t="str">
        <f>+Pobl_adoptada!A97</f>
        <v>Marcos Paz</v>
      </c>
      <c r="B97" s="70">
        <f>+Pobl_adoptada!B97</f>
        <v>93</v>
      </c>
      <c r="C97" s="71" t="str">
        <f>+Pobl_adoptada!C97</f>
        <v>Marcos Paz</v>
      </c>
      <c r="D97" s="341"/>
      <c r="E97" s="278"/>
      <c r="F97" s="263"/>
      <c r="G97" s="322">
        <f>+'RECHAZADOS A CA'!G97+'RECH-RECUP_PS CA'!G257</f>
        <v>72.888906240000011</v>
      </c>
      <c r="H97" s="322">
        <f>+'RECHAZADOS A CA'!H97+'RECH-RECUP_PS CA'!H257</f>
        <v>70.047806399999985</v>
      </c>
      <c r="I97" s="322">
        <f>+'RECHAZADOS A CA'!I97+'RECH-RECUP_PS CA'!I257</f>
        <v>67.05341279999999</v>
      </c>
      <c r="J97" s="322">
        <f>+'RECHAZADOS A CA'!J97+'RECH-RECUP_PS CA'!J257</f>
        <v>62.046192000000005</v>
      </c>
      <c r="K97" s="322">
        <f>+'RECHAZADOS A CA'!K97+'RECH-RECUP_PS CA'!K257</f>
        <v>56.820528000000003</v>
      </c>
      <c r="L97" s="322">
        <f>+'RECHAZADOS A CA'!L97+'RECH-RECUP_PS CA'!L257</f>
        <v>57.800217600000003</v>
      </c>
      <c r="M97" s="322">
        <f>+'RECHAZADOS A CA'!M97+'RECH-RECUP_PS CA'!M257</f>
        <v>58.77990719999999</v>
      </c>
      <c r="N97" s="322">
        <f>+'RECHAZADOS A CA'!N97+'RECH-RECUP_PS CA'!N257</f>
        <v>59.758862399999998</v>
      </c>
      <c r="O97" s="322">
        <f>+'RECHAZADOS A CA'!O97+'RECH-RECUP_PS CA'!O257</f>
        <v>60.738552000000013</v>
      </c>
      <c r="P97" s="322">
        <f>+'RECHAZADOS A CA'!P97+'RECH-RECUP_PS CA'!P257</f>
        <v>61.717507199999993</v>
      </c>
      <c r="Q97" s="322">
        <f>+'RECHAZADOS A CA'!Q97+'RECH-RECUP_PS CA'!Q257</f>
        <v>62.697196800000007</v>
      </c>
      <c r="R97" s="322">
        <f>+'RECHAZADOS A CA'!R97+'RECH-RECUP_PS CA'!R257</f>
        <v>63.676886400000001</v>
      </c>
      <c r="S97" s="322">
        <f>+'RECHAZADOS A CA'!S97+'RECH-RECUP_PS CA'!S257</f>
        <v>64.655841600000002</v>
      </c>
      <c r="T97" s="322">
        <f>+'RECHAZADOS A CA'!T97+'RECH-RECUP_PS CA'!T257</f>
        <v>65.635531200000003</v>
      </c>
      <c r="U97" s="322">
        <f>+'RECHAZADOS A CA'!U97+'RECH-RECUP_PS CA'!U257</f>
        <v>66.61448639999999</v>
      </c>
      <c r="V97" s="322">
        <f>+'RECHAZADOS A CA'!V97+'RECH-RECUP_PS CA'!V257</f>
        <v>67.594176000000004</v>
      </c>
      <c r="W97" s="322">
        <f>+'RECHAZADOS A CA'!W97+'RECH-RECUP_PS CA'!W257</f>
        <v>68.573131200000006</v>
      </c>
      <c r="X97" s="322">
        <f>+'RECHAZADOS A CA'!X97+'RECH-RECUP_PS CA'!X257</f>
        <v>69.552820800000006</v>
      </c>
      <c r="Y97" s="322">
        <f>+'RECHAZADOS A CA'!Y97+'RECH-RECUP_PS CA'!Y257</f>
        <v>70.532510400000007</v>
      </c>
      <c r="Z97" s="322">
        <f>+'RECHAZADOS A CA'!Z97+'RECH-RECUP_PS CA'!Z257</f>
        <v>71.511465600000008</v>
      </c>
      <c r="AA97" s="343">
        <f t="shared" si="2"/>
        <v>64.934796912000024</v>
      </c>
    </row>
    <row r="98" spans="1:27" ht="24.95" customHeight="1">
      <c r="A98" s="260" t="str">
        <f>+Pobl_adoptada!A98</f>
        <v>Mercedes</v>
      </c>
      <c r="B98" s="70">
        <f>+Pobl_adoptada!B98</f>
        <v>94</v>
      </c>
      <c r="C98" s="71" t="str">
        <f>+Pobl_adoptada!C98</f>
        <v>Mercedes</v>
      </c>
      <c r="D98" s="341"/>
      <c r="E98" s="278"/>
      <c r="F98" s="263"/>
      <c r="G98" s="322">
        <f>+'RECHAZADOS A CA'!G98+'RECH-RECUP_PS CA'!G258</f>
        <v>64.999589760000006</v>
      </c>
      <c r="H98" s="322">
        <f>+'RECHAZADOS A CA'!H98+'RECH-RECUP_PS CA'!H258</f>
        <v>61.850580480000012</v>
      </c>
      <c r="I98" s="322">
        <f>+'RECHAZADOS A CA'!I98+'RECH-RECUP_PS CA'!I258</f>
        <v>58.643798400000001</v>
      </c>
      <c r="J98" s="322">
        <f>+'RECHAZADOS A CA'!J98+'RECH-RECUP_PS CA'!J258</f>
        <v>53.765423999999996</v>
      </c>
      <c r="K98" s="322">
        <f>+'RECHAZADOS A CA'!K98+'RECH-RECUP_PS CA'!K258</f>
        <v>48.799411200000002</v>
      </c>
      <c r="L98" s="322">
        <f>+'RECHAZADOS A CA'!L98+'RECH-RECUP_PS CA'!L258</f>
        <v>49.212878399999994</v>
      </c>
      <c r="M98" s="322">
        <f>+'RECHAZADOS A CA'!M98+'RECH-RECUP_PS CA'!M258</f>
        <v>49.630752000000008</v>
      </c>
      <c r="N98" s="322">
        <f>+'RECHAZADOS A CA'!N98+'RECH-RECUP_PS CA'!N258</f>
        <v>50.052297600000003</v>
      </c>
      <c r="O98" s="322">
        <f>+'RECHAZADOS A CA'!O98+'RECH-RECUP_PS CA'!O258</f>
        <v>50.4767808</v>
      </c>
      <c r="P98" s="322">
        <f>+'RECHAZADOS A CA'!P98+'RECH-RECUP_PS CA'!P258</f>
        <v>50.904936000000006</v>
      </c>
      <c r="Q98" s="322">
        <f>+'RECHAZADOS A CA'!Q98+'RECH-RECUP_PS CA'!Q258</f>
        <v>51.336763199999993</v>
      </c>
      <c r="R98" s="322">
        <f>+'RECHAZADOS A CA'!R98+'RECH-RECUP_PS CA'!R258</f>
        <v>51.772262399999995</v>
      </c>
      <c r="S98" s="322">
        <f>+'RECHAZADOS A CA'!S98+'RECH-RECUP_PS CA'!S258</f>
        <v>52.212167999999998</v>
      </c>
      <c r="T98" s="322">
        <f>+'RECHAZADOS A CA'!T98+'RECH-RECUP_PS CA'!T258</f>
        <v>52.655011200000004</v>
      </c>
      <c r="U98" s="322">
        <f>+'RECHAZADOS A CA'!U98+'RECH-RECUP_PS CA'!U258</f>
        <v>53.101526399999997</v>
      </c>
      <c r="V98" s="322">
        <f>+'RECHAZADOS A CA'!V98+'RECH-RECUP_PS CA'!V258</f>
        <v>53.552448000000005</v>
      </c>
      <c r="W98" s="322">
        <f>+'RECHAZADOS A CA'!W98+'RECH-RECUP_PS CA'!W258</f>
        <v>54.007041599999994</v>
      </c>
      <c r="X98" s="322">
        <f>+'RECHAZADOS A CA'!X98+'RECH-RECUP_PS CA'!X258</f>
        <v>54.465307199999998</v>
      </c>
      <c r="Y98" s="322">
        <f>+'RECHAZADOS A CA'!Y98+'RECH-RECUP_PS CA'!Y258</f>
        <v>54.927244800000004</v>
      </c>
      <c r="Z98" s="322">
        <f>+'RECHAZADOS A CA'!Z98+'RECH-RECUP_PS CA'!Z258</f>
        <v>55.392854400000004</v>
      </c>
      <c r="AA98" s="343">
        <f t="shared" si="2"/>
        <v>53.587953792000008</v>
      </c>
    </row>
    <row r="99" spans="1:27" ht="24.95" customHeight="1">
      <c r="A99" s="260" t="str">
        <f>+Pobl_adoptada!A99</f>
        <v>Monte</v>
      </c>
      <c r="B99" s="70">
        <f>+Pobl_adoptada!B99</f>
        <v>95</v>
      </c>
      <c r="C99" s="71" t="str">
        <f>+Pobl_adoptada!C99</f>
        <v>San Miguel del Monte</v>
      </c>
      <c r="D99" s="341"/>
      <c r="E99" s="278"/>
      <c r="F99" s="263"/>
      <c r="G99" s="322">
        <f>+'RECHAZADOS A CA'!G99+'RECH-RECUP_PS CA'!G259</f>
        <v>23.128182400000004</v>
      </c>
      <c r="H99" s="322">
        <f>+'RECHAZADOS A CA'!H99+'RECH-RECUP_PS CA'!H259</f>
        <v>22.146003360000002</v>
      </c>
      <c r="I99" s="322">
        <f>+'RECHAZADOS A CA'!I99+'RECH-RECUP_PS CA'!I259</f>
        <v>21.126054400000001</v>
      </c>
      <c r="J99" s="322">
        <f>+'RECHAZADOS A CA'!J99+'RECH-RECUP_PS CA'!J259</f>
        <v>19.481952</v>
      </c>
      <c r="K99" s="322">
        <f>+'RECHAZADOS A CA'!K99+'RECH-RECUP_PS CA'!K259</f>
        <v>17.783323200000002</v>
      </c>
      <c r="L99" s="322">
        <f>+'RECHAZADOS A CA'!L99+'RECH-RECUP_PS CA'!L259</f>
        <v>18.032126400000003</v>
      </c>
      <c r="M99" s="322">
        <f>+'RECHAZADOS A CA'!M99+'RECH-RECUP_PS CA'!M259</f>
        <v>18.281692800000002</v>
      </c>
      <c r="N99" s="322">
        <f>+'RECHAZADOS A CA'!N99+'RECH-RECUP_PS CA'!N259</f>
        <v>18.531259200000004</v>
      </c>
      <c r="O99" s="322">
        <f>+'RECHAZADOS A CA'!O99+'RECH-RECUP_PS CA'!O259</f>
        <v>18.780062399999998</v>
      </c>
      <c r="P99" s="322">
        <f>+'RECHAZADOS A CA'!P99+'RECH-RECUP_PS CA'!P259</f>
        <v>19.029628800000005</v>
      </c>
      <c r="Q99" s="322">
        <f>+'RECHAZADOS A CA'!Q99+'RECH-RECUP_PS CA'!Q259</f>
        <v>19.278432000000002</v>
      </c>
      <c r="R99" s="322">
        <f>+'RECHAZADOS A CA'!R99+'RECH-RECUP_PS CA'!R259</f>
        <v>19.527998400000001</v>
      </c>
      <c r="S99" s="322">
        <f>+'RECHAZADOS A CA'!S99+'RECH-RECUP_PS CA'!S259</f>
        <v>19.776801600000002</v>
      </c>
      <c r="T99" s="322">
        <f>+'RECHAZADOS A CA'!T99+'RECH-RECUP_PS CA'!T259</f>
        <v>20.026368000000002</v>
      </c>
      <c r="U99" s="322">
        <f>+'RECHAZADOS A CA'!U99+'RECH-RECUP_PS CA'!U259</f>
        <v>20.275171200000003</v>
      </c>
      <c r="V99" s="322">
        <f>+'RECHAZADOS A CA'!V99+'RECH-RECUP_PS CA'!V259</f>
        <v>20.524737600000002</v>
      </c>
      <c r="W99" s="322">
        <f>+'RECHAZADOS A CA'!W99+'RECH-RECUP_PS CA'!W259</f>
        <v>20.773540800000003</v>
      </c>
      <c r="X99" s="322">
        <f>+'RECHAZADOS A CA'!X99+'RECH-RECUP_PS CA'!X259</f>
        <v>21.023107200000002</v>
      </c>
      <c r="Y99" s="322">
        <f>+'RECHAZADOS A CA'!Y99+'RECH-RECUP_PS CA'!Y259</f>
        <v>21.272673600000005</v>
      </c>
      <c r="Z99" s="322">
        <f>+'RECHAZADOS A CA'!Z99+'RECH-RECUP_PS CA'!Z259</f>
        <v>21.521476800000002</v>
      </c>
      <c r="AA99" s="343">
        <f t="shared" si="2"/>
        <v>20.016029608000004</v>
      </c>
    </row>
    <row r="100" spans="1:27" ht="24.95" customHeight="1">
      <c r="A100" s="260" t="str">
        <f>+Pobl_adoptada!A100</f>
        <v>Monte Hermoso</v>
      </c>
      <c r="B100" s="70">
        <f>+Pobl_adoptada!B100</f>
        <v>96</v>
      </c>
      <c r="C100" s="71" t="str">
        <f>+Pobl_adoptada!C100</f>
        <v>Monte Hermoso</v>
      </c>
      <c r="D100" s="341"/>
      <c r="E100" s="278"/>
      <c r="F100" s="263"/>
      <c r="G100" s="322">
        <f>+'RECHAZADOS A CA'!G100+'RECH-RECUP_PS CA'!G260</f>
        <v>22.343748480000002</v>
      </c>
      <c r="H100" s="322">
        <f>+'RECHAZADOS A CA'!H100+'RECH-RECUP_PS CA'!H260</f>
        <v>21.560628960000003</v>
      </c>
      <c r="I100" s="322">
        <f>+'RECHAZADOS A CA'!I100+'RECH-RECUP_PS CA'!I260</f>
        <v>20.726816000000003</v>
      </c>
      <c r="J100" s="322">
        <f>+'RECHAZADOS A CA'!J100+'RECH-RECUP_PS CA'!J260</f>
        <v>19.263168000000004</v>
      </c>
      <c r="K100" s="322">
        <f>+'RECHAZADOS A CA'!K100+'RECH-RECUP_PS CA'!K260</f>
        <v>17.722267200000001</v>
      </c>
      <c r="L100" s="322">
        <f>+'RECHAZADOS A CA'!L100+'RECH-RECUP_PS CA'!L260</f>
        <v>18.113788800000002</v>
      </c>
      <c r="M100" s="322">
        <f>+'RECHAZADOS A CA'!M100+'RECH-RECUP_PS CA'!M260</f>
        <v>18.512179199999999</v>
      </c>
      <c r="N100" s="322">
        <f>+'RECHAZADOS A CA'!N100+'RECH-RECUP_PS CA'!N260</f>
        <v>18.9166752</v>
      </c>
      <c r="O100" s="322">
        <f>+'RECHAZADOS A CA'!O100+'RECH-RECUP_PS CA'!O260</f>
        <v>19.328040000000001</v>
      </c>
      <c r="P100" s="322">
        <f>+'RECHAZADOS A CA'!P100+'RECH-RECUP_PS CA'!P260</f>
        <v>19.745510399999997</v>
      </c>
      <c r="Q100" s="322">
        <f>+'RECHAZADOS A CA'!Q100+'RECH-RECUP_PS CA'!Q260</f>
        <v>20.169849599999999</v>
      </c>
      <c r="R100" s="322">
        <f>+'RECHAZADOS A CA'!R100+'RECH-RECUP_PS CA'!R260</f>
        <v>20.602584</v>
      </c>
      <c r="S100" s="322">
        <f>+'RECHAZADOS A CA'!S100+'RECH-RECUP_PS CA'!S260</f>
        <v>21.040660800000005</v>
      </c>
      <c r="T100" s="322">
        <f>+'RECHAZADOS A CA'!T100+'RECH-RECUP_PS CA'!T260</f>
        <v>21.4863696</v>
      </c>
      <c r="U100" s="322">
        <f>+'RECHAZADOS A CA'!U100+'RECH-RECUP_PS CA'!U260</f>
        <v>21.939710400000003</v>
      </c>
      <c r="V100" s="322">
        <f>+'RECHAZADOS A CA'!V100+'RECH-RECUP_PS CA'!V260</f>
        <v>22.399919999999998</v>
      </c>
      <c r="W100" s="322">
        <f>+'RECHAZADOS A CA'!W100+'RECH-RECUP_PS CA'!W260</f>
        <v>22.867761600000005</v>
      </c>
      <c r="X100" s="322">
        <f>+'RECHAZADOS A CA'!X100+'RECH-RECUP_PS CA'!X260</f>
        <v>23.343235200000002</v>
      </c>
      <c r="Y100" s="322">
        <f>+'RECHAZADOS A CA'!Y100+'RECH-RECUP_PS CA'!Y260</f>
        <v>23.826340800000004</v>
      </c>
      <c r="Z100" s="322">
        <f>+'RECHAZADOS A CA'!Z100+'RECH-RECUP_PS CA'!Z260</f>
        <v>24.317841599999998</v>
      </c>
      <c r="AA100" s="343">
        <f t="shared" si="2"/>
        <v>20.911354792000004</v>
      </c>
    </row>
    <row r="101" spans="1:27" ht="24.95" customHeight="1">
      <c r="A101" s="260" t="str">
        <f>+Pobl_adoptada!A101</f>
        <v>Navarro</v>
      </c>
      <c r="B101" s="70">
        <f>+Pobl_adoptada!B101</f>
        <v>97</v>
      </c>
      <c r="C101" s="71" t="str">
        <f>+Pobl_adoptada!C101</f>
        <v>Navarro</v>
      </c>
      <c r="D101" s="341"/>
      <c r="E101" s="278"/>
      <c r="F101" s="263"/>
      <c r="G101" s="322">
        <f>+'RECHAZADOS A CA'!G101+'RECH-RECUP_PS CA'!G261</f>
        <v>17.655020800000003</v>
      </c>
      <c r="H101" s="322">
        <f>+'RECHAZADOS A CA'!H101+'RECH-RECUP_PS CA'!H261</f>
        <v>16.909382880000003</v>
      </c>
      <c r="I101" s="322">
        <f>+'RECHAZADOS A CA'!I101+'RECH-RECUP_PS CA'!I261</f>
        <v>16.1365072</v>
      </c>
      <c r="J101" s="322">
        <f>+'RECHAZADOS A CA'!J101+'RECH-RECUP_PS CA'!J261</f>
        <v>14.890032</v>
      </c>
      <c r="K101" s="322">
        <f>+'RECHAZADOS A CA'!K101+'RECH-RECUP_PS CA'!K261</f>
        <v>13.6025136</v>
      </c>
      <c r="L101" s="322">
        <f>+'RECHAZADOS A CA'!L101+'RECH-RECUP_PS CA'!L261</f>
        <v>13.807051200000004</v>
      </c>
      <c r="M101" s="322">
        <f>+'RECHAZADOS A CA'!M101+'RECH-RECUP_PS CA'!M261</f>
        <v>14.014641600000001</v>
      </c>
      <c r="N101" s="322">
        <f>+'RECHAZADOS A CA'!N101+'RECH-RECUP_PS CA'!N261</f>
        <v>14.225284800000001</v>
      </c>
      <c r="O101" s="322">
        <f>+'RECHAZADOS A CA'!O101+'RECH-RECUP_PS CA'!O261</f>
        <v>14.438980800000001</v>
      </c>
      <c r="P101" s="322">
        <f>+'RECHAZADOS A CA'!P101+'RECH-RECUP_PS CA'!P261</f>
        <v>14.656492800000002</v>
      </c>
      <c r="Q101" s="322">
        <f>+'RECHAZADOS A CA'!Q101+'RECH-RECUP_PS CA'!Q261</f>
        <v>14.877057600000002</v>
      </c>
      <c r="R101" s="322">
        <f>+'RECHAZADOS A CA'!R101+'RECH-RECUP_PS CA'!R261</f>
        <v>15.100675200000001</v>
      </c>
      <c r="S101" s="322">
        <f>+'RECHAZADOS A CA'!S101+'RECH-RECUP_PS CA'!S261</f>
        <v>15.327345600000001</v>
      </c>
      <c r="T101" s="322">
        <f>+'RECHAZADOS A CA'!T101+'RECH-RECUP_PS CA'!T261</f>
        <v>15.557832000000005</v>
      </c>
      <c r="U101" s="322">
        <f>+'RECHAZADOS A CA'!U101+'RECH-RECUP_PS CA'!U261</f>
        <v>15.7921344</v>
      </c>
      <c r="V101" s="322">
        <f>+'RECHAZADOS A CA'!V101+'RECH-RECUP_PS CA'!V261</f>
        <v>16.029489600000002</v>
      </c>
      <c r="W101" s="322">
        <f>+'RECHAZADOS A CA'!W101+'RECH-RECUP_PS CA'!W261</f>
        <v>16.270660800000002</v>
      </c>
      <c r="X101" s="322">
        <f>+'RECHAZADOS A CA'!X101+'RECH-RECUP_PS CA'!X261</f>
        <v>16.514884800000001</v>
      </c>
      <c r="Y101" s="322">
        <f>+'RECHAZADOS A CA'!Y101+'RECH-RECUP_PS CA'!Y261</f>
        <v>16.7629248</v>
      </c>
      <c r="Z101" s="322">
        <f>+'RECHAZADOS A CA'!Z101+'RECH-RECUP_PS CA'!Z261</f>
        <v>17.015543999999998</v>
      </c>
      <c r="AA101" s="343">
        <f t="shared" si="2"/>
        <v>15.479222824000001</v>
      </c>
    </row>
    <row r="102" spans="1:27" ht="24.95" customHeight="1">
      <c r="A102" s="260" t="str">
        <f>+Pobl_adoptada!A102</f>
        <v>Necochea</v>
      </c>
      <c r="B102" s="70">
        <f>+Pobl_adoptada!B102</f>
        <v>98</v>
      </c>
      <c r="C102" s="71" t="str">
        <f>+Pobl_adoptada!C102</f>
        <v>Necochea - Quequén</v>
      </c>
      <c r="D102" s="341"/>
      <c r="E102" s="278"/>
      <c r="F102" s="263"/>
      <c r="G102" s="322">
        <f>+'RECHAZADOS A CA'!G102+'RECH-RECUP_PS CA'!G262</f>
        <v>109.88481216</v>
      </c>
      <c r="H102" s="322">
        <f>+'RECHAZADOS A CA'!H102+'RECH-RECUP_PS CA'!H262</f>
        <v>104.78052</v>
      </c>
      <c r="I102" s="322">
        <f>+'RECHAZADOS A CA'!I102+'RECH-RECUP_PS CA'!I262</f>
        <v>99.562689599999999</v>
      </c>
      <c r="J102" s="322">
        <f>+'RECHAZADOS A CA'!J102+'RECH-RECUP_PS CA'!J262</f>
        <v>91.481760000000008</v>
      </c>
      <c r="K102" s="322">
        <f>+'RECHAZADOS A CA'!K102+'RECH-RECUP_PS CA'!K262</f>
        <v>83.22147360000001</v>
      </c>
      <c r="L102" s="322">
        <f>+'RECHAZADOS A CA'!L102+'RECH-RECUP_PS CA'!L262</f>
        <v>84.124051199999997</v>
      </c>
      <c r="M102" s="322">
        <f>+'RECHAZADOS A CA'!M102+'RECH-RECUP_PS CA'!M262</f>
        <v>85.040582400000005</v>
      </c>
      <c r="N102" s="322">
        <f>+'RECHAZADOS A CA'!N102+'RECH-RECUP_PS CA'!N262</f>
        <v>85.972536000000005</v>
      </c>
      <c r="O102" s="322">
        <f>+'RECHAZADOS A CA'!O102+'RECH-RECUP_PS CA'!O262</f>
        <v>86.919912000000011</v>
      </c>
      <c r="P102" s="322">
        <f>+'RECHAZADOS A CA'!P102+'RECH-RECUP_PS CA'!P262</f>
        <v>87.881976000000009</v>
      </c>
      <c r="Q102" s="322">
        <f>+'RECHAZADOS A CA'!Q102+'RECH-RECUP_PS CA'!Q262</f>
        <v>88.859462399999998</v>
      </c>
      <c r="R102" s="322">
        <f>+'RECHAZADOS A CA'!R102+'RECH-RECUP_PS CA'!R262</f>
        <v>89.853840000000005</v>
      </c>
      <c r="S102" s="322">
        <f>+'RECHAZADOS A CA'!S102+'RECH-RECUP_PS CA'!S262</f>
        <v>90.864374400000003</v>
      </c>
      <c r="T102" s="322">
        <f>+'RECHAZADOS A CA'!T102+'RECH-RECUP_PS CA'!T262</f>
        <v>91.890331199999991</v>
      </c>
      <c r="U102" s="322">
        <f>+'RECHAZADOS A CA'!U102+'RECH-RECUP_PS CA'!U262</f>
        <v>92.93464800000001</v>
      </c>
      <c r="V102" s="322">
        <f>+'RECHAZADOS A CA'!V102+'RECH-RECUP_PS CA'!V262</f>
        <v>93.994387200000006</v>
      </c>
      <c r="W102" s="322">
        <f>+'RECHAZADOS A CA'!W102+'RECH-RECUP_PS CA'!W262</f>
        <v>95.073220800000001</v>
      </c>
      <c r="X102" s="322">
        <f>+'RECHAZADOS A CA'!X102+'RECH-RECUP_PS CA'!X262</f>
        <v>96.168211200000002</v>
      </c>
      <c r="Y102" s="322">
        <f>+'RECHAZADOS A CA'!Y102+'RECH-RECUP_PS CA'!Y262</f>
        <v>97.280827200000019</v>
      </c>
      <c r="Z102" s="322">
        <f>+'RECHAZADOS A CA'!Z102+'RECH-RECUP_PS CA'!Z262</f>
        <v>98.412537600000022</v>
      </c>
      <c r="AA102" s="343">
        <f t="shared" si="2"/>
        <v>92.71010764799999</v>
      </c>
    </row>
    <row r="103" spans="1:27" ht="24.95" customHeight="1">
      <c r="A103" s="260" t="str">
        <f>+Pobl_adoptada!A103</f>
        <v>Olavarría</v>
      </c>
      <c r="B103" s="70">
        <f>+Pobl_adoptada!B103</f>
        <v>99</v>
      </c>
      <c r="C103" s="71" t="str">
        <f>+Pobl_adoptada!C103</f>
        <v>Olavarría</v>
      </c>
      <c r="D103" s="341"/>
      <c r="E103" s="278"/>
      <c r="F103" s="263"/>
      <c r="G103" s="322">
        <f>+'RECHAZADOS A CA'!G103+'RECH-RECUP_PS CA'!G263</f>
        <v>102.63295488</v>
      </c>
      <c r="H103" s="322">
        <f>+'RECHAZADOS A CA'!H103+'RECH-RECUP_PS CA'!H263</f>
        <v>97.584795359999987</v>
      </c>
      <c r="I103" s="322">
        <f>+'RECHAZADOS A CA'!I103+'RECH-RECUP_PS CA'!I263</f>
        <v>92.452799999999996</v>
      </c>
      <c r="J103" s="322">
        <f>+'RECHAZADOS A CA'!J103+'RECH-RECUP_PS CA'!J263</f>
        <v>84.695087999999998</v>
      </c>
      <c r="K103" s="322">
        <f>+'RECHAZADOS A CA'!K103+'RECH-RECUP_PS CA'!K263</f>
        <v>76.812364800000012</v>
      </c>
      <c r="L103" s="322">
        <f>+'RECHAZADOS A CA'!L103+'RECH-RECUP_PS CA'!L263</f>
        <v>77.403556800000004</v>
      </c>
      <c r="M103" s="322">
        <f>+'RECHAZADOS A CA'!M103+'RECH-RECUP_PS CA'!M263</f>
        <v>77.999155200000018</v>
      </c>
      <c r="N103" s="322">
        <f>+'RECHAZADOS A CA'!N103+'RECH-RECUP_PS CA'!N263</f>
        <v>78.599894400000011</v>
      </c>
      <c r="O103" s="322">
        <f>+'RECHAZADOS A CA'!O103+'RECH-RECUP_PS CA'!O263</f>
        <v>79.205040000000011</v>
      </c>
      <c r="P103" s="322">
        <f>+'RECHAZADOS A CA'!P103+'RECH-RECUP_PS CA'!P263</f>
        <v>79.814592000000005</v>
      </c>
      <c r="Q103" s="322">
        <f>+'RECHAZADOS A CA'!Q103+'RECH-RECUP_PS CA'!Q263</f>
        <v>80.428550400000006</v>
      </c>
      <c r="R103" s="322">
        <f>+'RECHAZADOS A CA'!R103+'RECH-RECUP_PS CA'!R263</f>
        <v>81.0476496</v>
      </c>
      <c r="S103" s="322">
        <f>+'RECHAZADOS A CA'!S103+'RECH-RECUP_PS CA'!S263</f>
        <v>81.671889600000014</v>
      </c>
      <c r="T103" s="322">
        <f>+'RECHAZADOS A CA'!T103+'RECH-RECUP_PS CA'!T263</f>
        <v>82.300536000000008</v>
      </c>
      <c r="U103" s="322">
        <f>+'RECHAZADOS A CA'!U103+'RECH-RECUP_PS CA'!U263</f>
        <v>82.93358880000001</v>
      </c>
      <c r="V103" s="322">
        <f>+'RECHAZADOS A CA'!V103+'RECH-RECUP_PS CA'!V263</f>
        <v>83.572516800000002</v>
      </c>
      <c r="W103" s="322">
        <f>+'RECHAZADOS A CA'!W103+'RECH-RECUP_PS CA'!W263</f>
        <v>84.215851200000003</v>
      </c>
      <c r="X103" s="322">
        <f>+'RECHAZADOS A CA'!X103+'RECH-RECUP_PS CA'!X263</f>
        <v>84.863591999999997</v>
      </c>
      <c r="Y103" s="322">
        <f>+'RECHAZADOS A CA'!Y103+'RECH-RECUP_PS CA'!Y263</f>
        <v>85.517207999999997</v>
      </c>
      <c r="Z103" s="322">
        <f>+'RECHAZADOS A CA'!Z103+'RECH-RECUP_PS CA'!Z263</f>
        <v>86.175230400000004</v>
      </c>
      <c r="AA103" s="343">
        <f t="shared" si="2"/>
        <v>83.996342712000001</v>
      </c>
    </row>
    <row r="104" spans="1:27" ht="24.95" customHeight="1">
      <c r="A104" s="260" t="str">
        <f>+Pobl_adoptada!A104</f>
        <v>Patagones</v>
      </c>
      <c r="B104" s="70">
        <f>+Pobl_adoptada!B104</f>
        <v>100</v>
      </c>
      <c r="C104" s="71" t="str">
        <f>+Pobl_adoptada!C104</f>
        <v>Carmen de Patagones</v>
      </c>
      <c r="D104" s="341"/>
      <c r="E104" s="278"/>
      <c r="F104" s="263"/>
      <c r="G104" s="322">
        <f>+'RECHAZADOS A CA'!G104+'RECH-RECUP_PS CA'!G264</f>
        <v>29.166010240000002</v>
      </c>
      <c r="H104" s="322">
        <f>+'RECHAZADOS A CA'!H104+'RECH-RECUP_PS CA'!H264</f>
        <v>28.031496480000001</v>
      </c>
      <c r="I104" s="322">
        <f>+'RECHAZADOS A CA'!I104+'RECH-RECUP_PS CA'!I264</f>
        <v>26.842252800000004</v>
      </c>
      <c r="J104" s="322">
        <f>+'RECHAZADOS A CA'!J104+'RECH-RECUP_PS CA'!J264</f>
        <v>24.853184000000002</v>
      </c>
      <c r="K104" s="322">
        <f>+'RECHAZADOS A CA'!K104+'RECH-RECUP_PS CA'!K264</f>
        <v>22.780756800000002</v>
      </c>
      <c r="L104" s="322">
        <f>+'RECHAZADOS A CA'!L104+'RECH-RECUP_PS CA'!L264</f>
        <v>23.200516800000003</v>
      </c>
      <c r="M104" s="322">
        <f>+'RECHAZADOS A CA'!M104+'RECH-RECUP_PS CA'!M264</f>
        <v>23.627145600000002</v>
      </c>
      <c r="N104" s="322">
        <f>+'RECHAZADOS A CA'!N104+'RECH-RECUP_PS CA'!N264</f>
        <v>24.05988</v>
      </c>
      <c r="O104" s="322">
        <f>+'RECHAZADOS A CA'!O104+'RECH-RECUP_PS CA'!O264</f>
        <v>24.500246400000002</v>
      </c>
      <c r="P104" s="322">
        <f>+'RECHAZADOS A CA'!P104+'RECH-RECUP_PS CA'!P264</f>
        <v>24.948244800000005</v>
      </c>
      <c r="Q104" s="322">
        <f>+'RECHAZADOS A CA'!Q104+'RECH-RECUP_PS CA'!Q264</f>
        <v>25.403112</v>
      </c>
      <c r="R104" s="322">
        <f>+'RECHAZADOS A CA'!R104+'RECH-RECUP_PS CA'!R264</f>
        <v>25.865611199999996</v>
      </c>
      <c r="S104" s="322">
        <f>+'RECHAZADOS A CA'!S104+'RECH-RECUP_PS CA'!S264</f>
        <v>26.334979199999999</v>
      </c>
      <c r="T104" s="322">
        <f>+'RECHAZADOS A CA'!T104+'RECH-RECUP_PS CA'!T264</f>
        <v>26.812742399999998</v>
      </c>
      <c r="U104" s="322">
        <f>+'RECHAZADOS A CA'!U104+'RECH-RECUP_PS CA'!U264</f>
        <v>27.298137599999997</v>
      </c>
      <c r="V104" s="322">
        <f>+'RECHAZADOS A CA'!V104+'RECH-RECUP_PS CA'!V264</f>
        <v>27.791164800000004</v>
      </c>
      <c r="W104" s="322">
        <f>+'RECHAZADOS A CA'!W104+'RECH-RECUP_PS CA'!W264</f>
        <v>28.2925872</v>
      </c>
      <c r="X104" s="322">
        <f>+'RECHAZADOS A CA'!X104+'RECH-RECUP_PS CA'!X264</f>
        <v>28.8016416</v>
      </c>
      <c r="Y104" s="322">
        <f>+'RECHAZADOS A CA'!Y104+'RECH-RECUP_PS CA'!Y264</f>
        <v>29.319854400000001</v>
      </c>
      <c r="Z104" s="322">
        <f>+'RECHAZADOS A CA'!Z104+'RECH-RECUP_PS CA'!Z264</f>
        <v>29.845699200000002</v>
      </c>
      <c r="AA104" s="343">
        <f t="shared" si="2"/>
        <v>26.388763176000005</v>
      </c>
    </row>
    <row r="105" spans="1:27" ht="24.95" customHeight="1">
      <c r="A105" s="260" t="str">
        <f>+Pobl_adoptada!A105</f>
        <v>Pehuajó</v>
      </c>
      <c r="B105" s="70">
        <f>+Pobl_adoptada!B105</f>
        <v>101</v>
      </c>
      <c r="C105" s="71" t="str">
        <f>+Pobl_adoptada!C105</f>
        <v>Pehuajó</v>
      </c>
      <c r="D105" s="341"/>
      <c r="E105" s="278"/>
      <c r="F105" s="263"/>
      <c r="G105" s="322">
        <f>+'RECHAZADOS A CA'!G105+'RECH-RECUP_PS CA'!G265</f>
        <v>36.536113920000005</v>
      </c>
      <c r="H105" s="322">
        <f>+'RECHAZADOS A CA'!H105+'RECH-RECUP_PS CA'!H265</f>
        <v>34.674999840000005</v>
      </c>
      <c r="I105" s="322">
        <f>+'RECHAZADOS A CA'!I105+'RECH-RECUP_PS CA'!I265</f>
        <v>32.788852800000001</v>
      </c>
      <c r="J105" s="322">
        <f>+'RECHAZADOS A CA'!J105+'RECH-RECUP_PS CA'!J265</f>
        <v>29.980192000000002</v>
      </c>
      <c r="K105" s="322">
        <f>+'RECHAZADOS A CA'!K105+'RECH-RECUP_PS CA'!K265</f>
        <v>27.136339199999998</v>
      </c>
      <c r="L105" s="322">
        <f>+'RECHAZADOS A CA'!L105+'RECH-RECUP_PS CA'!L265</f>
        <v>27.290505599999999</v>
      </c>
      <c r="M105" s="322">
        <f>+'RECHAZADOS A CA'!M105+'RECH-RECUP_PS CA'!M265</f>
        <v>27.445435200000002</v>
      </c>
      <c r="N105" s="322">
        <f>+'RECHAZADOS A CA'!N105+'RECH-RECUP_PS CA'!N265</f>
        <v>27.5996016</v>
      </c>
      <c r="O105" s="322">
        <f>+'RECHAZADOS A CA'!O105+'RECH-RECUP_PS CA'!O265</f>
        <v>27.753768000000001</v>
      </c>
      <c r="P105" s="322">
        <f>+'RECHAZADOS A CA'!P105+'RECH-RECUP_PS CA'!P265</f>
        <v>27.908697600000004</v>
      </c>
      <c r="Q105" s="322">
        <f>+'RECHAZADOS A CA'!Q105+'RECH-RECUP_PS CA'!Q265</f>
        <v>28.062864000000005</v>
      </c>
      <c r="R105" s="322">
        <f>+'RECHAZADOS A CA'!R105+'RECH-RECUP_PS CA'!R265</f>
        <v>28.217793600000004</v>
      </c>
      <c r="S105" s="322">
        <f>+'RECHAZADOS A CA'!S105+'RECH-RECUP_PS CA'!S265</f>
        <v>28.371960000000005</v>
      </c>
      <c r="T105" s="322">
        <f>+'RECHAZADOS A CA'!T105+'RECH-RECUP_PS CA'!T265</f>
        <v>28.526126400000006</v>
      </c>
      <c r="U105" s="322">
        <f>+'RECHAZADOS A CA'!U105+'RECH-RECUP_PS CA'!U265</f>
        <v>28.681056000000002</v>
      </c>
      <c r="V105" s="322">
        <f>+'RECHAZADOS A CA'!V105+'RECH-RECUP_PS CA'!V265</f>
        <v>28.835222400000003</v>
      </c>
      <c r="W105" s="322">
        <f>+'RECHAZADOS A CA'!W105+'RECH-RECUP_PS CA'!W265</f>
        <v>28.990152000000002</v>
      </c>
      <c r="X105" s="322">
        <f>+'RECHAZADOS A CA'!X105+'RECH-RECUP_PS CA'!X265</f>
        <v>29.144318400000003</v>
      </c>
      <c r="Y105" s="322">
        <f>+'RECHAZADOS A CA'!Y105+'RECH-RECUP_PS CA'!Y265</f>
        <v>29.298484800000001</v>
      </c>
      <c r="Z105" s="322">
        <f>+'RECHAZADOS A CA'!Z105+'RECH-RECUP_PS CA'!Z265</f>
        <v>29.453414400000003</v>
      </c>
      <c r="AA105" s="343">
        <f t="shared" si="2"/>
        <v>29.334794888000005</v>
      </c>
    </row>
    <row r="106" spans="1:27" ht="24.95" customHeight="1">
      <c r="A106" s="260" t="str">
        <f>+Pobl_adoptada!A106</f>
        <v>Pellegrini</v>
      </c>
      <c r="B106" s="70">
        <f>+Pobl_adoptada!B106</f>
        <v>102</v>
      </c>
      <c r="C106" s="71" t="str">
        <f>+Pobl_adoptada!C106</f>
        <v>Pellegrini</v>
      </c>
      <c r="D106" s="341"/>
      <c r="E106" s="278"/>
      <c r="F106" s="263"/>
      <c r="G106" s="322">
        <f>+'RECHAZADOS A CA'!G106+'RECH-RECUP_PS CA'!G266</f>
        <v>5.1454643200000003</v>
      </c>
      <c r="H106" s="322">
        <f>+'RECHAZADOS A CA'!H106+'RECH-RECUP_PS CA'!H266</f>
        <v>4.8799670400000013</v>
      </c>
      <c r="I106" s="322">
        <f>+'RECHAZADOS A CA'!I106+'RECH-RECUP_PS CA'!I266</f>
        <v>4.6114816000000003</v>
      </c>
      <c r="J106" s="322">
        <f>+'RECHAZADOS A CA'!J106+'RECH-RECUP_PS CA'!J266</f>
        <v>4.2136000000000005</v>
      </c>
      <c r="K106" s="322">
        <f>+'RECHAZADOS A CA'!K106+'RECH-RECUP_PS CA'!K266</f>
        <v>3.8114496000000004</v>
      </c>
      <c r="L106" s="322">
        <f>+'RECHAZADOS A CA'!L106+'RECH-RECUP_PS CA'!L266</f>
        <v>3.8306592000000008</v>
      </c>
      <c r="M106" s="322">
        <f>+'RECHAZADOS A CA'!M106+'RECH-RECUP_PS CA'!M266</f>
        <v>3.8492063999999999</v>
      </c>
      <c r="N106" s="322">
        <f>+'RECHAZADOS A CA'!N106+'RECH-RECUP_PS CA'!N266</f>
        <v>3.8684160000000003</v>
      </c>
      <c r="O106" s="322">
        <f>+'RECHAZADOS A CA'!O106+'RECH-RECUP_PS CA'!O266</f>
        <v>3.8876256000000007</v>
      </c>
      <c r="P106" s="322">
        <f>+'RECHAZADOS A CA'!P106+'RECH-RECUP_PS CA'!P266</f>
        <v>3.9068351999999997</v>
      </c>
      <c r="Q106" s="322">
        <f>+'RECHAZADOS A CA'!Q106+'RECH-RECUP_PS CA'!Q266</f>
        <v>3.9260448000000001</v>
      </c>
      <c r="R106" s="322">
        <f>+'RECHAZADOS A CA'!R106+'RECH-RECUP_PS CA'!R266</f>
        <v>3.9452544000000005</v>
      </c>
      <c r="S106" s="322">
        <f>+'RECHAZADOS A CA'!S106+'RECH-RECUP_PS CA'!S266</f>
        <v>3.964464</v>
      </c>
      <c r="T106" s="322">
        <f>+'RECHAZADOS A CA'!T106+'RECH-RECUP_PS CA'!T266</f>
        <v>3.9836736000000004</v>
      </c>
      <c r="U106" s="322">
        <f>+'RECHAZADOS A CA'!U106+'RECH-RECUP_PS CA'!U266</f>
        <v>4.0028832000000003</v>
      </c>
      <c r="V106" s="322">
        <f>+'RECHAZADOS A CA'!V106+'RECH-RECUP_PS CA'!V266</f>
        <v>4.0220928000000011</v>
      </c>
      <c r="W106" s="322">
        <f>+'RECHAZADOS A CA'!W106+'RECH-RECUP_PS CA'!W266</f>
        <v>4.0406399999999998</v>
      </c>
      <c r="X106" s="322">
        <f>+'RECHAZADOS A CA'!X106+'RECH-RECUP_PS CA'!X266</f>
        <v>4.0598496000000006</v>
      </c>
      <c r="Y106" s="322">
        <f>+'RECHAZADOS A CA'!Y106+'RECH-RECUP_PS CA'!Y266</f>
        <v>4.0790592000000006</v>
      </c>
      <c r="Z106" s="322">
        <f>+'RECHAZADOS A CA'!Z106+'RECH-RECUP_PS CA'!Z266</f>
        <v>4.0982687999999996</v>
      </c>
      <c r="AA106" s="343">
        <f t="shared" si="2"/>
        <v>4.1063467679999999</v>
      </c>
    </row>
    <row r="107" spans="1:27" ht="24.95" customHeight="1">
      <c r="A107" s="260" t="str">
        <f>+Pobl_adoptada!A107</f>
        <v>Pergamino</v>
      </c>
      <c r="B107" s="70">
        <f>+Pobl_adoptada!B107</f>
        <v>103</v>
      </c>
      <c r="C107" s="71" t="str">
        <f>+Pobl_adoptada!C107</f>
        <v>Pergamino</v>
      </c>
      <c r="D107" s="341"/>
      <c r="E107" s="278"/>
      <c r="F107" s="263"/>
      <c r="G107" s="322">
        <f>+'RECHAZADOS A CA'!G107+'RECH-RECUP_PS CA'!G267</f>
        <v>102.7827072</v>
      </c>
      <c r="H107" s="322">
        <f>+'RECHAZADOS A CA'!H107+'RECH-RECUP_PS CA'!H267</f>
        <v>97.5914784</v>
      </c>
      <c r="I107" s="322">
        <f>+'RECHAZADOS A CA'!I107+'RECH-RECUP_PS CA'!I267</f>
        <v>92.327135999999996</v>
      </c>
      <c r="J107" s="322">
        <f>+'RECHAZADOS A CA'!J107+'RECH-RECUP_PS CA'!J267</f>
        <v>84.455183999999988</v>
      </c>
      <c r="K107" s="322">
        <f>+'RECHAZADOS A CA'!K107+'RECH-RECUP_PS CA'!K267</f>
        <v>76.479681599999992</v>
      </c>
      <c r="L107" s="322">
        <f>+'RECHAZADOS A CA'!L107+'RECH-RECUP_PS CA'!L267</f>
        <v>76.949697600000007</v>
      </c>
      <c r="M107" s="322">
        <f>+'RECHAZADOS A CA'!M107+'RECH-RECUP_PS CA'!M267</f>
        <v>77.418979199999995</v>
      </c>
      <c r="N107" s="322">
        <f>+'RECHAZADOS A CA'!N107+'RECH-RECUP_PS CA'!N267</f>
        <v>77.888995200000011</v>
      </c>
      <c r="O107" s="322">
        <f>+'RECHAZADOS A CA'!O107+'RECH-RECUP_PS CA'!O267</f>
        <v>78.359011200000012</v>
      </c>
      <c r="P107" s="322">
        <f>+'RECHAZADOS A CA'!P107+'RECH-RECUP_PS CA'!P267</f>
        <v>78.828292800000014</v>
      </c>
      <c r="Q107" s="322">
        <f>+'RECHAZADOS A CA'!Q107+'RECH-RECUP_PS CA'!Q267</f>
        <v>79.298308800000001</v>
      </c>
      <c r="R107" s="322">
        <f>+'RECHAZADOS A CA'!R107+'RECH-RECUP_PS CA'!R267</f>
        <v>79.768324800000002</v>
      </c>
      <c r="S107" s="322">
        <f>+'RECHAZADOS A CA'!S107+'RECH-RECUP_PS CA'!S267</f>
        <v>80.237606400000004</v>
      </c>
      <c r="T107" s="322">
        <f>+'RECHAZADOS A CA'!T107+'RECH-RECUP_PS CA'!T267</f>
        <v>80.707622400000005</v>
      </c>
      <c r="U107" s="322">
        <f>+'RECHAZADOS A CA'!U107+'RECH-RECUP_PS CA'!U267</f>
        <v>81.177638400000006</v>
      </c>
      <c r="V107" s="322">
        <f>+'RECHAZADOS A CA'!V107+'RECH-RECUP_PS CA'!V267</f>
        <v>81.646919999999994</v>
      </c>
      <c r="W107" s="322">
        <f>+'RECHAZADOS A CA'!W107+'RECH-RECUP_PS CA'!W267</f>
        <v>82.116935999999995</v>
      </c>
      <c r="X107" s="322">
        <f>+'RECHAZADOS A CA'!X107+'RECH-RECUP_PS CA'!X267</f>
        <v>82.586952000000011</v>
      </c>
      <c r="Y107" s="322">
        <f>+'RECHAZADOS A CA'!Y107+'RECH-RECUP_PS CA'!Y267</f>
        <v>83.056233600000013</v>
      </c>
      <c r="Z107" s="322">
        <f>+'RECHAZADOS A CA'!Z107+'RECH-RECUP_PS CA'!Z267</f>
        <v>83.5262496</v>
      </c>
      <c r="AA107" s="343">
        <f t="shared" si="2"/>
        <v>82.860197759999991</v>
      </c>
    </row>
    <row r="108" spans="1:27" ht="24.95" customHeight="1">
      <c r="A108" s="260" t="str">
        <f>+Pobl_adoptada!A108</f>
        <v>Pila</v>
      </c>
      <c r="B108" s="70">
        <f>+Pobl_adoptada!B108</f>
        <v>104</v>
      </c>
      <c r="C108" s="71" t="str">
        <f>+Pobl_adoptada!C108</f>
        <v>Pila</v>
      </c>
      <c r="D108" s="341"/>
      <c r="E108" s="278"/>
      <c r="F108" s="263"/>
      <c r="G108" s="322">
        <f>+'RECHAZADOS A CA'!G108+'RECH-RECUP_PS CA'!G268</f>
        <v>3.1577344000000003</v>
      </c>
      <c r="H108" s="322">
        <f>+'RECHAZADOS A CA'!H108+'RECH-RECUP_PS CA'!H268</f>
        <v>3.0406147200000002</v>
      </c>
      <c r="I108" s="322">
        <f>+'RECHAZADOS A CA'!I108+'RECH-RECUP_PS CA'!I268</f>
        <v>2.9169887999999999</v>
      </c>
      <c r="J108" s="322">
        <f>+'RECHAZADOS A CA'!J108+'RECH-RECUP_PS CA'!J268</f>
        <v>2.7062720000000002</v>
      </c>
      <c r="K108" s="322">
        <f>+'RECHAZADOS A CA'!K108+'RECH-RECUP_PS CA'!K268</f>
        <v>2.4853247999999999</v>
      </c>
      <c r="L108" s="322">
        <f>+'RECHAZADOS A CA'!L108+'RECH-RECUP_PS CA'!L268</f>
        <v>2.5363296000000002</v>
      </c>
      <c r="M108" s="322">
        <f>+'RECHAZADOS A CA'!M108+'RECH-RECUP_PS CA'!M268</f>
        <v>2.5879968</v>
      </c>
      <c r="N108" s="322">
        <f>+'RECHAZADOS A CA'!N108+'RECH-RECUP_PS CA'!N268</f>
        <v>2.6409888000000001</v>
      </c>
      <c r="O108" s="322">
        <f>+'RECHAZADOS A CA'!O108+'RECH-RECUP_PS CA'!O268</f>
        <v>2.6953056000000002</v>
      </c>
      <c r="P108" s="322">
        <f>+'RECHAZADOS A CA'!P108+'RECH-RECUP_PS CA'!P268</f>
        <v>2.7502848000000002</v>
      </c>
      <c r="Q108" s="322">
        <f>+'RECHAZADOS A CA'!Q108+'RECH-RECUP_PS CA'!Q268</f>
        <v>2.8065888000000001</v>
      </c>
      <c r="R108" s="322">
        <f>+'RECHAZADOS A CA'!R108+'RECH-RECUP_PS CA'!R268</f>
        <v>2.8635552000000004</v>
      </c>
      <c r="S108" s="322">
        <f>+'RECHAZADOS A CA'!S108+'RECH-RECUP_PS CA'!S268</f>
        <v>2.9225088000000001</v>
      </c>
      <c r="T108" s="322">
        <f>+'RECHAZADOS A CA'!T108+'RECH-RECUP_PS CA'!T268</f>
        <v>2.9821248000000002</v>
      </c>
      <c r="U108" s="322">
        <f>+'RECHAZADOS A CA'!U108+'RECH-RECUP_PS CA'!U268</f>
        <v>3.0430656000000003</v>
      </c>
      <c r="V108" s="322">
        <f>+'RECHAZADOS A CA'!V108+'RECH-RECUP_PS CA'!V268</f>
        <v>3.1053312000000006</v>
      </c>
      <c r="W108" s="322">
        <f>+'RECHAZADOS A CA'!W108+'RECH-RECUP_PS CA'!W268</f>
        <v>3.1689216</v>
      </c>
      <c r="X108" s="322">
        <f>+'RECHAZADOS A CA'!X108+'RECH-RECUP_PS CA'!X268</f>
        <v>3.2338368000000006</v>
      </c>
      <c r="Y108" s="322">
        <f>+'RECHAZADOS A CA'!Y108+'RECH-RECUP_PS CA'!Y268</f>
        <v>3.3000768000000003</v>
      </c>
      <c r="Z108" s="322">
        <f>+'RECHAZADOS A CA'!Z108+'RECH-RECUP_PS CA'!Z268</f>
        <v>3.3676416000000007</v>
      </c>
      <c r="AA108" s="343">
        <f t="shared" si="2"/>
        <v>2.915574576</v>
      </c>
    </row>
    <row r="109" spans="1:27" ht="24.95" customHeight="1">
      <c r="A109" s="260" t="str">
        <f>+Pobl_adoptada!A109</f>
        <v>Pilar</v>
      </c>
      <c r="B109" s="70">
        <f>+Pobl_adoptada!B109</f>
        <v>105</v>
      </c>
      <c r="C109" s="71" t="str">
        <f>+Pobl_adoptada!C109</f>
        <v>Pilar</v>
      </c>
      <c r="D109" s="341"/>
      <c r="E109" s="278"/>
      <c r="F109" s="263"/>
      <c r="G109" s="322">
        <f>+'RECHAZADOS A CA'!G109+'RECH-RECUP_PS CA'!G269</f>
        <v>606.91719648000003</v>
      </c>
      <c r="H109" s="322">
        <f>+'RECHAZADOS A CA'!H109+'RECH-RECUP_PS CA'!H269</f>
        <v>583.79979528000001</v>
      </c>
      <c r="I109" s="322">
        <f>+'RECHAZADOS A CA'!I109+'RECH-RECUP_PS CA'!I269</f>
        <v>559.35015839999994</v>
      </c>
      <c r="J109" s="322">
        <f>+'RECHAZADOS A CA'!J109+'RECH-RECUP_PS CA'!J269</f>
        <v>518.02610400000003</v>
      </c>
      <c r="K109" s="322">
        <f>+'RECHAZADOS A CA'!K109+'RECH-RECUP_PS CA'!K269</f>
        <v>474.79685760000001</v>
      </c>
      <c r="L109" s="322">
        <f>+'RECHAZADOS A CA'!L109+'RECH-RECUP_PS CA'!L269</f>
        <v>483.37022159999992</v>
      </c>
      <c r="M109" s="322">
        <f>+'RECHAZADOS A CA'!M109+'RECH-RECUP_PS CA'!M269</f>
        <v>491.94358559999995</v>
      </c>
      <c r="N109" s="322">
        <f>+'RECHAZADOS A CA'!N109+'RECH-RECUP_PS CA'!N269</f>
        <v>500.51694959999998</v>
      </c>
      <c r="O109" s="322">
        <f>+'RECHAZADOS A CA'!O109+'RECH-RECUP_PS CA'!O269</f>
        <v>509.0903136</v>
      </c>
      <c r="P109" s="322">
        <f>+'RECHAZADOS A CA'!P109+'RECH-RECUP_PS CA'!P269</f>
        <v>517.66367760000003</v>
      </c>
      <c r="Q109" s="322">
        <f>+'RECHAZADOS A CA'!Q109+'RECH-RECUP_PS CA'!Q269</f>
        <v>526.23704159999988</v>
      </c>
      <c r="R109" s="322">
        <f>+'RECHAZADOS A CA'!R109+'RECH-RECUP_PS CA'!R269</f>
        <v>534.81040559999997</v>
      </c>
      <c r="S109" s="322">
        <f>+'RECHAZADOS A CA'!S109+'RECH-RECUP_PS CA'!S269</f>
        <v>543.38275439999995</v>
      </c>
      <c r="T109" s="322">
        <f>+'RECHAZADOS A CA'!T109+'RECH-RECUP_PS CA'!T269</f>
        <v>551.95611840000004</v>
      </c>
      <c r="U109" s="322">
        <f>+'RECHAZADOS A CA'!U109+'RECH-RECUP_PS CA'!U269</f>
        <v>560.52948240000001</v>
      </c>
      <c r="V109" s="322">
        <f>+'RECHAZADOS A CA'!V109+'RECH-RECUP_PS CA'!V269</f>
        <v>569.10284639999998</v>
      </c>
      <c r="W109" s="322">
        <f>+'RECHAZADOS A CA'!W109+'RECH-RECUP_PS CA'!W269</f>
        <v>577.67621040000006</v>
      </c>
      <c r="X109" s="322">
        <f>+'RECHAZADOS A CA'!X109+'RECH-RECUP_PS CA'!X269</f>
        <v>586.24957439999991</v>
      </c>
      <c r="Y109" s="322">
        <f>+'RECHAZADOS A CA'!Y109+'RECH-RECUP_PS CA'!Y269</f>
        <v>594.82293840000011</v>
      </c>
      <c r="Z109" s="322">
        <f>+'RECHAZADOS A CA'!Z109+'RECH-RECUP_PS CA'!Z269</f>
        <v>603.39630239999997</v>
      </c>
      <c r="AA109" s="343">
        <f t="shared" si="2"/>
        <v>544.68192670800011</v>
      </c>
    </row>
    <row r="110" spans="1:27" ht="24.95" customHeight="1">
      <c r="A110" s="260" t="str">
        <f>+Pobl_adoptada!A110</f>
        <v>Pinamar</v>
      </c>
      <c r="B110" s="70">
        <f>+Pobl_adoptada!B110</f>
        <v>106</v>
      </c>
      <c r="C110" s="71" t="str">
        <f>+Pobl_adoptada!C110</f>
        <v>Pinamar</v>
      </c>
      <c r="D110" s="341"/>
      <c r="E110" s="278"/>
      <c r="F110" s="263"/>
      <c r="G110" s="322">
        <f>+'RECHAZADOS A CA'!G110+'RECH-RECUP_PS CA'!G270</f>
        <v>65.6330016</v>
      </c>
      <c r="H110" s="322">
        <f>+'RECHAZADOS A CA'!H110+'RECH-RECUP_PS CA'!H270</f>
        <v>63.557619840000001</v>
      </c>
      <c r="I110" s="322">
        <f>+'RECHAZADOS A CA'!I110+'RECH-RECUP_PS CA'!I270</f>
        <v>61.310568000000011</v>
      </c>
      <c r="J110" s="322">
        <f>+'RECHAZADOS A CA'!J110+'RECH-RECUP_PS CA'!J270</f>
        <v>57.174671999999994</v>
      </c>
      <c r="K110" s="322">
        <f>+'RECHAZADOS A CA'!K110+'RECH-RECUP_PS CA'!K270</f>
        <v>52.772515200000008</v>
      </c>
      <c r="L110" s="322">
        <f>+'RECHAZADOS A CA'!L110+'RECH-RECUP_PS CA'!L270</f>
        <v>54.108388800000007</v>
      </c>
      <c r="M110" s="322">
        <f>+'RECHAZADOS A CA'!M110+'RECH-RECUP_PS CA'!M270</f>
        <v>55.467028800000008</v>
      </c>
      <c r="N110" s="322">
        <f>+'RECHAZADOS A CA'!N110+'RECH-RECUP_PS CA'!N270</f>
        <v>56.846966399999999</v>
      </c>
      <c r="O110" s="322">
        <f>+'RECHAZADOS A CA'!O110+'RECH-RECUP_PS CA'!O270</f>
        <v>58.249670400000007</v>
      </c>
      <c r="P110" s="322">
        <f>+'RECHAZADOS A CA'!P110+'RECH-RECUP_PS CA'!P270</f>
        <v>59.675140799999994</v>
      </c>
      <c r="Q110" s="322">
        <f>+'RECHAZADOS A CA'!Q110+'RECH-RECUP_PS CA'!Q270</f>
        <v>61.124846399999996</v>
      </c>
      <c r="R110" s="322">
        <f>+'RECHAZADOS A CA'!R110+'RECH-RECUP_PS CA'!R270</f>
        <v>62.597318399999999</v>
      </c>
      <c r="S110" s="322">
        <f>+'RECHAZADOS A CA'!S110+'RECH-RECUP_PS CA'!S270</f>
        <v>64.094025599999995</v>
      </c>
      <c r="T110" s="322">
        <f>+'RECHAZADOS A CA'!T110+'RECH-RECUP_PS CA'!T270</f>
        <v>65.614968000000005</v>
      </c>
      <c r="U110" s="322">
        <f>+'RECHAZADOS A CA'!U110+'RECH-RECUP_PS CA'!U270</f>
        <v>67.161614400000005</v>
      </c>
      <c r="V110" s="322">
        <f>+'RECHAZADOS A CA'!V110+'RECH-RECUP_PS CA'!V270</f>
        <v>68.732495999999998</v>
      </c>
      <c r="W110" s="322">
        <f>+'RECHAZADOS A CA'!W110+'RECH-RECUP_PS CA'!W270</f>
        <v>70.329081600000009</v>
      </c>
      <c r="X110" s="322">
        <f>+'RECHAZADOS A CA'!X110+'RECH-RECUP_PS CA'!X270</f>
        <v>71.952105599999996</v>
      </c>
      <c r="Y110" s="322">
        <f>+'RECHAZADOS A CA'!Y110+'RECH-RECUP_PS CA'!Y270</f>
        <v>73.601568000000015</v>
      </c>
      <c r="Z110" s="322">
        <f>+'RECHAZADOS A CA'!Z110+'RECH-RECUP_PS CA'!Z270</f>
        <v>75.277468800000008</v>
      </c>
      <c r="AA110" s="343">
        <f t="shared" si="2"/>
        <v>63.264053232000002</v>
      </c>
    </row>
    <row r="111" spans="1:27" ht="24.95" customHeight="1">
      <c r="A111" s="260" t="str">
        <f>+Pobl_adoptada!A111</f>
        <v>Presidente Perón</v>
      </c>
      <c r="B111" s="70">
        <f>+Pobl_adoptada!B111</f>
        <v>107</v>
      </c>
      <c r="C111" s="71" t="str">
        <f>+Pobl_adoptada!C111</f>
        <v>Presidente Perón</v>
      </c>
      <c r="D111" s="341"/>
      <c r="E111" s="278"/>
      <c r="F111" s="263"/>
      <c r="G111" s="322">
        <f>+'RECHAZADOS A CA'!G111+'RECH-RECUP_PS CA'!G271</f>
        <v>115.30827456000002</v>
      </c>
      <c r="H111" s="322">
        <f>+'RECHAZADOS A CA'!H111+'RECH-RECUP_PS CA'!H271</f>
        <v>110.81816927999999</v>
      </c>
      <c r="I111" s="322">
        <f>+'RECHAZADOS A CA'!I111+'RECH-RECUP_PS CA'!I271</f>
        <v>106.0864464</v>
      </c>
      <c r="J111" s="322">
        <f>+'RECHAZADOS A CA'!J111+'RECH-RECUP_PS CA'!J271</f>
        <v>98.168064000000001</v>
      </c>
      <c r="K111" s="322">
        <f>+'RECHAZADOS A CA'!K111+'RECH-RECUP_PS CA'!K271</f>
        <v>89.905248</v>
      </c>
      <c r="L111" s="322">
        <f>+'RECHAZADOS A CA'!L111+'RECH-RECUP_PS CA'!L271</f>
        <v>91.458504000000005</v>
      </c>
      <c r="M111" s="322">
        <f>+'RECHAZADOS A CA'!M111+'RECH-RECUP_PS CA'!M271</f>
        <v>93.01176000000001</v>
      </c>
      <c r="N111" s="322">
        <f>+'RECHAZADOS A CA'!N111+'RECH-RECUP_PS CA'!N271</f>
        <v>94.565016</v>
      </c>
      <c r="O111" s="322">
        <f>+'RECHAZADOS A CA'!O111+'RECH-RECUP_PS CA'!O271</f>
        <v>96.118272000000005</v>
      </c>
      <c r="P111" s="322">
        <f>+'RECHAZADOS A CA'!P111+'RECH-RECUP_PS CA'!P271</f>
        <v>97.671527999999995</v>
      </c>
      <c r="Q111" s="322">
        <f>+'RECHAZADOS A CA'!Q111+'RECH-RECUP_PS CA'!Q271</f>
        <v>99.224784000000014</v>
      </c>
      <c r="R111" s="322">
        <f>+'RECHAZADOS A CA'!R111+'RECH-RECUP_PS CA'!R271</f>
        <v>100.77804</v>
      </c>
      <c r="S111" s="322">
        <f>+'RECHAZADOS A CA'!S111+'RECH-RECUP_PS CA'!S271</f>
        <v>102.33203040000001</v>
      </c>
      <c r="T111" s="322">
        <f>+'RECHAZADOS A CA'!T111+'RECH-RECUP_PS CA'!T271</f>
        <v>103.88528640000001</v>
      </c>
      <c r="U111" s="322">
        <f>+'RECHAZADOS A CA'!U111+'RECH-RECUP_PS CA'!U271</f>
        <v>105.43854240000002</v>
      </c>
      <c r="V111" s="322">
        <f>+'RECHAZADOS A CA'!V111+'RECH-RECUP_PS CA'!V271</f>
        <v>106.99179839999999</v>
      </c>
      <c r="W111" s="322">
        <f>+'RECHAZADOS A CA'!W111+'RECH-RECUP_PS CA'!W271</f>
        <v>108.5450544</v>
      </c>
      <c r="X111" s="322">
        <f>+'RECHAZADOS A CA'!X111+'RECH-RECUP_PS CA'!X271</f>
        <v>110.0983104</v>
      </c>
      <c r="Y111" s="322">
        <f>+'RECHAZADOS A CA'!Y111+'RECH-RECUP_PS CA'!Y271</f>
        <v>111.65156640000001</v>
      </c>
      <c r="Z111" s="322">
        <f>+'RECHAZADOS A CA'!Z111+'RECH-RECUP_PS CA'!Z271</f>
        <v>113.20482240000001</v>
      </c>
      <c r="AA111" s="343">
        <f t="shared" si="2"/>
        <v>102.76307587200002</v>
      </c>
    </row>
    <row r="112" spans="1:27" ht="24.95" customHeight="1">
      <c r="A112" s="260" t="str">
        <f>+Pobl_adoptada!A112</f>
        <v>Puán</v>
      </c>
      <c r="B112" s="70">
        <f>+Pobl_adoptada!B112</f>
        <v>108</v>
      </c>
      <c r="C112" s="71" t="str">
        <f>+Pobl_adoptada!C112</f>
        <v>Puán</v>
      </c>
      <c r="D112" s="341"/>
      <c r="E112" s="278"/>
      <c r="F112" s="263"/>
      <c r="G112" s="322">
        <f>+'RECHAZADOS A CA'!G112+'RECH-RECUP_PS CA'!G272</f>
        <v>4.6216089599999997</v>
      </c>
      <c r="H112" s="322">
        <f>+'RECHAZADOS A CA'!H112+'RECH-RECUP_PS CA'!H272</f>
        <v>4.4003231999999999</v>
      </c>
      <c r="I112" s="322">
        <f>+'RECHAZADOS A CA'!I112+'RECH-RECUP_PS CA'!I272</f>
        <v>4.1742976000000001</v>
      </c>
      <c r="J112" s="322">
        <f>+'RECHAZADOS A CA'!J112+'RECH-RECUP_PS CA'!J272</f>
        <v>3.8279360000000007</v>
      </c>
      <c r="K112" s="322">
        <f>+'RECHAZADOS A CA'!K112+'RECH-RECUP_PS CA'!K272</f>
        <v>3.4756127999999995</v>
      </c>
      <c r="L112" s="322">
        <f>+'RECHAZADOS A CA'!L112+'RECH-RECUP_PS CA'!L272</f>
        <v>3.5199936000000003</v>
      </c>
      <c r="M112" s="322">
        <f>+'RECHAZADOS A CA'!M112+'RECH-RECUP_PS CA'!M272</f>
        <v>3.5637120000000002</v>
      </c>
      <c r="N112" s="322">
        <f>+'RECHAZADOS A CA'!N112+'RECH-RECUP_PS CA'!N272</f>
        <v>3.6080927999999997</v>
      </c>
      <c r="O112" s="322">
        <f>+'RECHAZADOS A CA'!O112+'RECH-RECUP_PS CA'!O272</f>
        <v>3.6524736000000004</v>
      </c>
      <c r="P112" s="322">
        <f>+'RECHAZADOS A CA'!P112+'RECH-RECUP_PS CA'!P272</f>
        <v>3.6961920000000004</v>
      </c>
      <c r="Q112" s="322">
        <f>+'RECHAZADOS A CA'!Q112+'RECH-RECUP_PS CA'!Q272</f>
        <v>3.7405727999999998</v>
      </c>
      <c r="R112" s="322">
        <f>+'RECHAZADOS A CA'!R112+'RECH-RECUP_PS CA'!R272</f>
        <v>3.7849535999999997</v>
      </c>
      <c r="S112" s="322">
        <f>+'RECHAZADOS A CA'!S112+'RECH-RECUP_PS CA'!S272</f>
        <v>3.8286720000000005</v>
      </c>
      <c r="T112" s="322">
        <f>+'RECHAZADOS A CA'!T112+'RECH-RECUP_PS CA'!T272</f>
        <v>3.8730527999999995</v>
      </c>
      <c r="U112" s="322">
        <f>+'RECHAZADOS A CA'!U112+'RECH-RECUP_PS CA'!U272</f>
        <v>3.9167712000000003</v>
      </c>
      <c r="V112" s="322">
        <f>+'RECHAZADOS A CA'!V112+'RECH-RECUP_PS CA'!V272</f>
        <v>3.9611520000000007</v>
      </c>
      <c r="W112" s="322">
        <f>+'RECHAZADOS A CA'!W112+'RECH-RECUP_PS CA'!W272</f>
        <v>4.0055328000000001</v>
      </c>
      <c r="X112" s="322">
        <f>+'RECHAZADOS A CA'!X112+'RECH-RECUP_PS CA'!X272</f>
        <v>4.0492512000000005</v>
      </c>
      <c r="Y112" s="322">
        <f>+'RECHAZADOS A CA'!Y112+'RECH-RECUP_PS CA'!Y272</f>
        <v>4.0936320000000004</v>
      </c>
      <c r="Z112" s="322">
        <f>+'RECHAZADOS A CA'!Z112+'RECH-RECUP_PS CA'!Z272</f>
        <v>4.1380128000000003</v>
      </c>
      <c r="AA112" s="343">
        <f t="shared" si="2"/>
        <v>3.8965922879999999</v>
      </c>
    </row>
    <row r="113" spans="1:27" ht="24.95" customHeight="1">
      <c r="A113" s="260" t="str">
        <f>+Pobl_adoptada!A113</f>
        <v>Punta Indio</v>
      </c>
      <c r="B113" s="70">
        <f>+Pobl_adoptada!B113</f>
        <v>109</v>
      </c>
      <c r="C113" s="71" t="str">
        <f>+Pobl_adoptada!C113</f>
        <v>Verónica</v>
      </c>
      <c r="D113" s="341"/>
      <c r="E113" s="278"/>
      <c r="F113" s="263"/>
      <c r="G113" s="322">
        <f>+'RECHAZADOS A CA'!G113+'RECH-RECUP_PS CA'!G273</f>
        <v>8.1453120000000006</v>
      </c>
      <c r="H113" s="322">
        <f>+'RECHAZADOS A CA'!H113+'RECH-RECUP_PS CA'!H273</f>
        <v>7.8318864000000001</v>
      </c>
      <c r="I113" s="322">
        <f>+'RECHAZADOS A CA'!I113+'RECH-RECUP_PS CA'!I273</f>
        <v>7.5033728000000002</v>
      </c>
      <c r="J113" s="322">
        <f>+'RECHAZADOS A CA'!J113+'RECH-RECUP_PS CA'!J273</f>
        <v>6.9507840000000005</v>
      </c>
      <c r="K113" s="322">
        <f>+'RECHAZADOS A CA'!K113+'RECH-RECUP_PS CA'!K273</f>
        <v>6.3736128000000001</v>
      </c>
      <c r="L113" s="322">
        <f>+'RECHAZADOS A CA'!L113+'RECH-RECUP_PS CA'!L273</f>
        <v>6.4941696000000011</v>
      </c>
      <c r="M113" s="322">
        <f>+'RECHAZADOS A CA'!M113+'RECH-RECUP_PS CA'!M273</f>
        <v>6.6160512000000011</v>
      </c>
      <c r="N113" s="322">
        <f>+'RECHAZADOS A CA'!N113+'RECH-RECUP_PS CA'!N273</f>
        <v>6.7405824000000001</v>
      </c>
      <c r="O113" s="322">
        <f>+'RECHAZADOS A CA'!O113+'RECH-RECUP_PS CA'!O273</f>
        <v>6.8664384000000007</v>
      </c>
      <c r="P113" s="322">
        <f>+'RECHAZADOS A CA'!P113+'RECH-RECUP_PS CA'!P273</f>
        <v>6.9949440000000003</v>
      </c>
      <c r="Q113" s="322">
        <f>+'RECHAZADOS A CA'!Q113+'RECH-RECUP_PS CA'!Q273</f>
        <v>7.1254368000000001</v>
      </c>
      <c r="R113" s="322">
        <f>+'RECHAZADOS A CA'!R113+'RECH-RECUP_PS CA'!R273</f>
        <v>7.2579168000000003</v>
      </c>
      <c r="S113" s="322">
        <f>+'RECHAZADOS A CA'!S113+'RECH-RECUP_PS CA'!S273</f>
        <v>7.3923840000000007</v>
      </c>
      <c r="T113" s="322">
        <f>+'RECHAZADOS A CA'!T113+'RECH-RECUP_PS CA'!T273</f>
        <v>7.5295008000000019</v>
      </c>
      <c r="U113" s="322">
        <f>+'RECHAZADOS A CA'!U113+'RECH-RECUP_PS CA'!U273</f>
        <v>7.6686048000000007</v>
      </c>
      <c r="V113" s="322">
        <f>+'RECHAZADOS A CA'!V113+'RECH-RECUP_PS CA'!V273</f>
        <v>7.8096960000000006</v>
      </c>
      <c r="W113" s="322">
        <f>+'RECHAZADOS A CA'!W113+'RECH-RECUP_PS CA'!W273</f>
        <v>7.9534368000000004</v>
      </c>
      <c r="X113" s="322">
        <f>+'RECHAZADOS A CA'!X113+'RECH-RECUP_PS CA'!X273</f>
        <v>8.0991647999999987</v>
      </c>
      <c r="Y113" s="322">
        <f>+'RECHAZADOS A CA'!Y113+'RECH-RECUP_PS CA'!Y273</f>
        <v>8.2475424000000004</v>
      </c>
      <c r="Z113" s="322">
        <f>+'RECHAZADOS A CA'!Z113+'RECH-RECUP_PS CA'!Z273</f>
        <v>8.3985696000000001</v>
      </c>
      <c r="AA113" s="343">
        <f t="shared" si="2"/>
        <v>7.3999703200000013</v>
      </c>
    </row>
    <row r="114" spans="1:27" ht="24.95" customHeight="1">
      <c r="A114" s="260" t="str">
        <f>+Pobl_adoptada!A114</f>
        <v>Ramallo</v>
      </c>
      <c r="B114" s="70">
        <f>+Pobl_adoptada!B114</f>
        <v>110</v>
      </c>
      <c r="C114" s="71" t="str">
        <f>+Pobl_adoptada!C114</f>
        <v>Ramallo</v>
      </c>
      <c r="D114" s="341"/>
      <c r="E114" s="278"/>
      <c r="F114" s="263"/>
      <c r="G114" s="322">
        <f>+'RECHAZADOS A CA'!G114+'RECH-RECUP_PS CA'!G274</f>
        <v>17.50149888</v>
      </c>
      <c r="H114" s="322">
        <f>+'RECHAZADOS A CA'!H114+'RECH-RECUP_PS CA'!H274</f>
        <v>16.744684320000005</v>
      </c>
      <c r="I114" s="322">
        <f>+'RECHAZADOS A CA'!I114+'RECH-RECUP_PS CA'!I274</f>
        <v>15.9639392</v>
      </c>
      <c r="J114" s="322">
        <f>+'RECHAZADOS A CA'!J114+'RECH-RECUP_PS CA'!J274</f>
        <v>14.716192000000001</v>
      </c>
      <c r="K114" s="322">
        <f>+'RECHAZADOS A CA'!K114+'RECH-RECUP_PS CA'!K274</f>
        <v>13.4300304</v>
      </c>
      <c r="L114" s="322">
        <f>+'RECHAZADOS A CA'!L114+'RECH-RECUP_PS CA'!L274</f>
        <v>13.6185408</v>
      </c>
      <c r="M114" s="322">
        <f>+'RECHAZADOS A CA'!M114+'RECH-RECUP_PS CA'!M274</f>
        <v>13.809340799999999</v>
      </c>
      <c r="N114" s="322">
        <f>+'RECHAZADOS A CA'!N114+'RECH-RECUP_PS CA'!N274</f>
        <v>14.003193600000003</v>
      </c>
      <c r="O114" s="322">
        <f>+'RECHAZADOS A CA'!O114+'RECH-RECUP_PS CA'!O274</f>
        <v>14.199335999999999</v>
      </c>
      <c r="P114" s="322">
        <f>+'RECHAZADOS A CA'!P114+'RECH-RECUP_PS CA'!P274</f>
        <v>14.398531200000001</v>
      </c>
      <c r="Q114" s="322">
        <f>+'RECHAZADOS A CA'!Q114+'RECH-RECUP_PS CA'!Q274</f>
        <v>14.600779200000002</v>
      </c>
      <c r="R114" s="322">
        <f>+'RECHAZADOS A CA'!R114+'RECH-RECUP_PS CA'!R274</f>
        <v>14.8053168</v>
      </c>
      <c r="S114" s="322">
        <f>+'RECHAZADOS A CA'!S114+'RECH-RECUP_PS CA'!S274</f>
        <v>15.012907200000003</v>
      </c>
      <c r="T114" s="322">
        <f>+'RECHAZADOS A CA'!T114+'RECH-RECUP_PS CA'!T274</f>
        <v>15.223550399999999</v>
      </c>
      <c r="U114" s="322">
        <f>+'RECHAZADOS A CA'!U114+'RECH-RECUP_PS CA'!U274</f>
        <v>15.437246400000003</v>
      </c>
      <c r="V114" s="322">
        <f>+'RECHAZADOS A CA'!V114+'RECH-RECUP_PS CA'!V274</f>
        <v>15.653231999999999</v>
      </c>
      <c r="W114" s="322">
        <f>+'RECHAZADOS A CA'!W114+'RECH-RECUP_PS CA'!W274</f>
        <v>15.873033599999999</v>
      </c>
      <c r="X114" s="322">
        <f>+'RECHAZADOS A CA'!X114+'RECH-RECUP_PS CA'!X274</f>
        <v>16.095888000000002</v>
      </c>
      <c r="Y114" s="322">
        <f>+'RECHAZADOS A CA'!Y114+'RECH-RECUP_PS CA'!Y274</f>
        <v>16.321032000000002</v>
      </c>
      <c r="Z114" s="322">
        <f>+'RECHAZADOS A CA'!Z114+'RECH-RECUP_PS CA'!Z274</f>
        <v>16.549992</v>
      </c>
      <c r="AA114" s="343">
        <f t="shared" si="2"/>
        <v>15.19791324</v>
      </c>
    </row>
    <row r="115" spans="1:27" ht="24.95" customHeight="1">
      <c r="A115" s="260" t="str">
        <f>+Pobl_adoptada!A115</f>
        <v>Rauch</v>
      </c>
      <c r="B115" s="70">
        <f>+Pobl_adoptada!B115</f>
        <v>111</v>
      </c>
      <c r="C115" s="71" t="str">
        <f>+Pobl_adoptada!C115</f>
        <v>Rauch</v>
      </c>
      <c r="D115" s="341"/>
      <c r="E115" s="278"/>
      <c r="F115" s="263"/>
      <c r="G115" s="322">
        <f>+'RECHAZADOS A CA'!G115+'RECH-RECUP_PS CA'!G275</f>
        <v>13.434060800000001</v>
      </c>
      <c r="H115" s="322">
        <f>+'RECHAZADOS A CA'!H115+'RECH-RECUP_PS CA'!H275</f>
        <v>12.785909760000001</v>
      </c>
      <c r="I115" s="322">
        <f>+'RECHAZADOS A CA'!I115+'RECH-RECUP_PS CA'!I275</f>
        <v>12.123759999999999</v>
      </c>
      <c r="J115" s="322">
        <f>+'RECHAZADOS A CA'!J115+'RECH-RECUP_PS CA'!J275</f>
        <v>11.115808000000001</v>
      </c>
      <c r="K115" s="322">
        <f>+'RECHAZADOS A CA'!K115+'RECH-RECUP_PS CA'!K275</f>
        <v>10.088352</v>
      </c>
      <c r="L115" s="322">
        <f>+'RECHAZADOS A CA'!L115+'RECH-RECUP_PS CA'!L275</f>
        <v>10.1731392</v>
      </c>
      <c r="M115" s="322">
        <f>+'RECHAZADOS A CA'!M115+'RECH-RECUP_PS CA'!M275</f>
        <v>10.257926400000001</v>
      </c>
      <c r="N115" s="322">
        <f>+'RECHAZADOS A CA'!N115+'RECH-RECUP_PS CA'!N275</f>
        <v>10.3420512</v>
      </c>
      <c r="O115" s="322">
        <f>+'RECHAZADOS A CA'!O115+'RECH-RECUP_PS CA'!O275</f>
        <v>10.426838400000001</v>
      </c>
      <c r="P115" s="322">
        <f>+'RECHAZADOS A CA'!P115+'RECH-RECUP_PS CA'!P275</f>
        <v>10.510963200000001</v>
      </c>
      <c r="Q115" s="322">
        <f>+'RECHAZADOS A CA'!Q115+'RECH-RECUP_PS CA'!Q275</f>
        <v>10.595750400000002</v>
      </c>
      <c r="R115" s="322">
        <f>+'RECHAZADOS A CA'!R115+'RECH-RECUP_PS CA'!R275</f>
        <v>10.6798752</v>
      </c>
      <c r="S115" s="322">
        <f>+'RECHAZADOS A CA'!S115+'RECH-RECUP_PS CA'!S275</f>
        <v>10.764662400000001</v>
      </c>
      <c r="T115" s="322">
        <f>+'RECHAZADOS A CA'!T115+'RECH-RECUP_PS CA'!T275</f>
        <v>10.8487872</v>
      </c>
      <c r="U115" s="322">
        <f>+'RECHAZADOS A CA'!U115+'RECH-RECUP_PS CA'!U275</f>
        <v>10.933574400000001</v>
      </c>
      <c r="V115" s="322">
        <f>+'RECHAZADOS A CA'!V115+'RECH-RECUP_PS CA'!V275</f>
        <v>11.0183616</v>
      </c>
      <c r="W115" s="322">
        <f>+'RECHAZADOS A CA'!W115+'RECH-RECUP_PS CA'!W275</f>
        <v>11.102486400000002</v>
      </c>
      <c r="X115" s="322">
        <f>+'RECHAZADOS A CA'!X115+'RECH-RECUP_PS CA'!X275</f>
        <v>11.187273600000001</v>
      </c>
      <c r="Y115" s="322">
        <f>+'RECHAZADOS A CA'!Y115+'RECH-RECUP_PS CA'!Y275</f>
        <v>11.271398400000002</v>
      </c>
      <c r="Z115" s="322">
        <f>+'RECHAZADOS A CA'!Z115+'RECH-RECUP_PS CA'!Z275</f>
        <v>11.3561856</v>
      </c>
      <c r="AA115" s="343">
        <f t="shared" si="2"/>
        <v>11.050858207999999</v>
      </c>
    </row>
    <row r="116" spans="1:27" ht="24.95" customHeight="1">
      <c r="A116" s="260" t="str">
        <f>+Pobl_adoptada!A116</f>
        <v>Rivadavia</v>
      </c>
      <c r="B116" s="70">
        <f>+Pobl_adoptada!B116</f>
        <v>112</v>
      </c>
      <c r="C116" s="71" t="str">
        <f>+Pobl_adoptada!C116</f>
        <v>América</v>
      </c>
      <c r="D116" s="341"/>
      <c r="E116" s="278"/>
      <c r="F116" s="263"/>
      <c r="G116" s="322">
        <f>+'RECHAZADOS A CA'!G116+'RECH-RECUP_PS CA'!G276</f>
        <v>12.686608640000001</v>
      </c>
      <c r="H116" s="322">
        <f>+'RECHAZADOS A CA'!H116+'RECH-RECUP_PS CA'!H276</f>
        <v>12.090985920000001</v>
      </c>
      <c r="I116" s="322">
        <f>+'RECHAZADOS A CA'!I116+'RECH-RECUP_PS CA'!I276</f>
        <v>11.480128000000001</v>
      </c>
      <c r="J116" s="322">
        <f>+'RECHAZADOS A CA'!J116+'RECH-RECUP_PS CA'!J276</f>
        <v>10.539520000000001</v>
      </c>
      <c r="K116" s="322">
        <f>+'RECHAZADOS A CA'!K116+'RECH-RECUP_PS CA'!K276</f>
        <v>9.578304000000001</v>
      </c>
      <c r="L116" s="322">
        <f>+'RECHAZADOS A CA'!L116+'RECH-RECUP_PS CA'!L276</f>
        <v>9.6710399999999996</v>
      </c>
      <c r="M116" s="322">
        <f>+'RECHAZADOS A CA'!M116+'RECH-RECUP_PS CA'!M276</f>
        <v>9.7637760000000018</v>
      </c>
      <c r="N116" s="322">
        <f>+'RECHAZADOS A CA'!N116+'RECH-RECUP_PS CA'!N276</f>
        <v>9.8565120000000022</v>
      </c>
      <c r="O116" s="322">
        <f>+'RECHAZADOS A CA'!O116+'RECH-RECUP_PS CA'!O276</f>
        <v>9.9492480000000008</v>
      </c>
      <c r="P116" s="322">
        <f>+'RECHAZADOS A CA'!P116+'RECH-RECUP_PS CA'!P276</f>
        <v>10.041984000000001</v>
      </c>
      <c r="Q116" s="322">
        <f>+'RECHAZADOS A CA'!Q116+'RECH-RECUP_PS CA'!Q276</f>
        <v>10.1340576</v>
      </c>
      <c r="R116" s="322">
        <f>+'RECHAZADOS A CA'!R116+'RECH-RECUP_PS CA'!R276</f>
        <v>10.226793600000001</v>
      </c>
      <c r="S116" s="322">
        <f>+'RECHAZADOS A CA'!S116+'RECH-RECUP_PS CA'!S276</f>
        <v>10.319529599999999</v>
      </c>
      <c r="T116" s="322">
        <f>+'RECHAZADOS A CA'!T116+'RECH-RECUP_PS CA'!T276</f>
        <v>10.412265600000001</v>
      </c>
      <c r="U116" s="322">
        <f>+'RECHAZADOS A CA'!U116+'RECH-RECUP_PS CA'!U276</f>
        <v>10.5050016</v>
      </c>
      <c r="V116" s="322">
        <f>+'RECHAZADOS A CA'!V116+'RECH-RECUP_PS CA'!V276</f>
        <v>10.597737600000002</v>
      </c>
      <c r="W116" s="322">
        <f>+'RECHAZADOS A CA'!W116+'RECH-RECUP_PS CA'!W276</f>
        <v>10.690473600000001</v>
      </c>
      <c r="X116" s="322">
        <f>+'RECHAZADOS A CA'!X116+'RECH-RECUP_PS CA'!X276</f>
        <v>10.783209600000001</v>
      </c>
      <c r="Y116" s="322">
        <f>+'RECHAZADOS A CA'!Y116+'RECH-RECUP_PS CA'!Y276</f>
        <v>10.875945600000001</v>
      </c>
      <c r="Z116" s="322">
        <f>+'RECHAZADOS A CA'!Z116+'RECH-RECUP_PS CA'!Z276</f>
        <v>10.968019200000001</v>
      </c>
      <c r="AA116" s="343">
        <f t="shared" si="2"/>
        <v>10.558557008000003</v>
      </c>
    </row>
    <row r="117" spans="1:27" ht="24.95" customHeight="1">
      <c r="A117" s="260" t="str">
        <f>+Pobl_adoptada!A117</f>
        <v>Rojas</v>
      </c>
      <c r="B117" s="70">
        <f>+Pobl_adoptada!B117</f>
        <v>113</v>
      </c>
      <c r="C117" s="71" t="str">
        <f>+Pobl_adoptada!C117</f>
        <v>Rojas</v>
      </c>
      <c r="D117" s="341"/>
      <c r="E117" s="278"/>
      <c r="F117" s="263"/>
      <c r="G117" s="322">
        <f>+'RECHAZADOS A CA'!G117+'RECH-RECUP_PS CA'!G277</f>
        <v>22.919981440000001</v>
      </c>
      <c r="H117" s="322">
        <f>+'RECHAZADOS A CA'!H117+'RECH-RECUP_PS CA'!H277</f>
        <v>21.758068800000004</v>
      </c>
      <c r="I117" s="322">
        <f>+'RECHAZADOS A CA'!I117+'RECH-RECUP_PS CA'!I277</f>
        <v>20.582232000000005</v>
      </c>
      <c r="J117" s="322">
        <f>+'RECHAZADOS A CA'!J117+'RECH-RECUP_PS CA'!J277</f>
        <v>18.825600000000001</v>
      </c>
      <c r="K117" s="322">
        <f>+'RECHAZADOS A CA'!K117+'RECH-RECUP_PS CA'!K277</f>
        <v>17.0468352</v>
      </c>
      <c r="L117" s="322">
        <f>+'RECHAZADOS A CA'!L117+'RECH-RECUP_PS CA'!L277</f>
        <v>17.151393600000002</v>
      </c>
      <c r="M117" s="322">
        <f>+'RECHAZADOS A CA'!M117+'RECH-RECUP_PS CA'!M277</f>
        <v>17.256715199999999</v>
      </c>
      <c r="N117" s="322">
        <f>+'RECHAZADOS A CA'!N117+'RECH-RECUP_PS CA'!N277</f>
        <v>17.3628</v>
      </c>
      <c r="O117" s="322">
        <f>+'RECHAZADOS A CA'!O117+'RECH-RECUP_PS CA'!O277</f>
        <v>17.468884800000001</v>
      </c>
      <c r="P117" s="322">
        <f>+'RECHAZADOS A CA'!P117+'RECH-RECUP_PS CA'!P277</f>
        <v>17.575732800000001</v>
      </c>
      <c r="Q117" s="322">
        <f>+'RECHAZADOS A CA'!Q117+'RECH-RECUP_PS CA'!Q277</f>
        <v>17.6841072</v>
      </c>
      <c r="R117" s="322">
        <f>+'RECHAZADOS A CA'!R117+'RECH-RECUP_PS CA'!R277</f>
        <v>17.792481600000002</v>
      </c>
      <c r="S117" s="322">
        <f>+'RECHAZADOS A CA'!S117+'RECH-RECUP_PS CA'!S277</f>
        <v>17.901619199999999</v>
      </c>
      <c r="T117" s="322">
        <f>+'RECHAZADOS A CA'!T117+'RECH-RECUP_PS CA'!T277</f>
        <v>18.010756800000003</v>
      </c>
      <c r="U117" s="322">
        <f>+'RECHAZADOS A CA'!U117+'RECH-RECUP_PS CA'!U277</f>
        <v>18.121420800000003</v>
      </c>
      <c r="V117" s="322">
        <f>+'RECHAZADOS A CA'!V117+'RECH-RECUP_PS CA'!V277</f>
        <v>18.232848000000004</v>
      </c>
      <c r="W117" s="322">
        <f>+'RECHAZADOS A CA'!W117+'RECH-RECUP_PS CA'!W277</f>
        <v>18.344275199999998</v>
      </c>
      <c r="X117" s="322">
        <f>+'RECHAZADOS A CA'!X117+'RECH-RECUP_PS CA'!X277</f>
        <v>18.457228799999999</v>
      </c>
      <c r="Y117" s="322">
        <f>+'RECHAZADOS A CA'!Y117+'RECH-RECUP_PS CA'!Y277</f>
        <v>18.5701824</v>
      </c>
      <c r="Z117" s="322">
        <f>+'RECHAZADOS A CA'!Z117+'RECH-RECUP_PS CA'!Z277</f>
        <v>18.683899200000003</v>
      </c>
      <c r="AA117" s="343">
        <f t="shared" si="2"/>
        <v>18.487353152000004</v>
      </c>
    </row>
    <row r="118" spans="1:27" ht="24.95" customHeight="1">
      <c r="A118" s="260" t="str">
        <f>+Pobl_adoptada!A118</f>
        <v>Roque Pérez</v>
      </c>
      <c r="B118" s="70">
        <f>+Pobl_adoptada!B118</f>
        <v>114</v>
      </c>
      <c r="C118" s="71" t="str">
        <f>+Pobl_adoptada!C118</f>
        <v>Roque Pérez</v>
      </c>
      <c r="D118" s="341"/>
      <c r="E118" s="278"/>
      <c r="F118" s="263"/>
      <c r="G118" s="322">
        <f>+'RECHAZADOS A CA'!G118+'RECH-RECUP_PS CA'!G278</f>
        <v>12.795212800000002</v>
      </c>
      <c r="H118" s="322">
        <f>+'RECHAZADOS A CA'!H118+'RECH-RECUP_PS CA'!H278</f>
        <v>12.269237760000001</v>
      </c>
      <c r="I118" s="322">
        <f>+'RECHAZADOS A CA'!I118+'RECH-RECUP_PS CA'!I278</f>
        <v>11.719769600000001</v>
      </c>
      <c r="J118" s="322">
        <f>+'RECHAZADOS A CA'!J118+'RECH-RECUP_PS CA'!J278</f>
        <v>10.822144</v>
      </c>
      <c r="K118" s="322">
        <f>+'RECHAZADOS A CA'!K118+'RECH-RECUP_PS CA'!K278</f>
        <v>9.8909568000000014</v>
      </c>
      <c r="L118" s="322">
        <f>+'RECHAZADOS A CA'!L118+'RECH-RECUP_PS CA'!L278</f>
        <v>10.041984000000001</v>
      </c>
      <c r="M118" s="322">
        <f>+'RECHAZADOS A CA'!M118+'RECH-RECUP_PS CA'!M278</f>
        <v>10.192348800000001</v>
      </c>
      <c r="N118" s="322">
        <f>+'RECHAZADOS A CA'!N118+'RECH-RECUP_PS CA'!N278</f>
        <v>10.343376000000003</v>
      </c>
      <c r="O118" s="322">
        <f>+'RECHAZADOS A CA'!O118+'RECH-RECUP_PS CA'!O278</f>
        <v>10.494403200000001</v>
      </c>
      <c r="P118" s="322">
        <f>+'RECHAZADOS A CA'!P118+'RECH-RECUP_PS CA'!P278</f>
        <v>10.645430400000002</v>
      </c>
      <c r="Q118" s="322">
        <f>+'RECHAZADOS A CA'!Q118+'RECH-RECUP_PS CA'!Q278</f>
        <v>10.796457599999998</v>
      </c>
      <c r="R118" s="322">
        <f>+'RECHAZADOS A CA'!R118+'RECH-RECUP_PS CA'!R278</f>
        <v>10.9474848</v>
      </c>
      <c r="S118" s="322">
        <f>+'RECHAZADOS A CA'!S118+'RECH-RECUP_PS CA'!S278</f>
        <v>11.098512000000001</v>
      </c>
      <c r="T118" s="322">
        <f>+'RECHAZADOS A CA'!T118+'RECH-RECUP_PS CA'!T278</f>
        <v>11.249539200000003</v>
      </c>
      <c r="U118" s="322">
        <f>+'RECHAZADOS A CA'!U118+'RECH-RECUP_PS CA'!U278</f>
        <v>11.399904000000001</v>
      </c>
      <c r="V118" s="322">
        <f>+'RECHAZADOS A CA'!V118+'RECH-RECUP_PS CA'!V278</f>
        <v>11.550931200000001</v>
      </c>
      <c r="W118" s="322">
        <f>+'RECHAZADOS A CA'!W118+'RECH-RECUP_PS CA'!W278</f>
        <v>11.701958400000001</v>
      </c>
      <c r="X118" s="322">
        <f>+'RECHAZADOS A CA'!X118+'RECH-RECUP_PS CA'!X278</f>
        <v>11.8529856</v>
      </c>
      <c r="Y118" s="322">
        <f>+'RECHAZADOS A CA'!Y118+'RECH-RECUP_PS CA'!Y278</f>
        <v>12.004012800000002</v>
      </c>
      <c r="Z118" s="322">
        <f>+'RECHAZADOS A CA'!Z118+'RECH-RECUP_PS CA'!Z278</f>
        <v>12.155040000000001</v>
      </c>
      <c r="AA118" s="343">
        <f t="shared" si="2"/>
        <v>11.198584448000004</v>
      </c>
    </row>
    <row r="119" spans="1:27" ht="24.95" customHeight="1">
      <c r="A119" s="260" t="str">
        <f>+Pobl_adoptada!A119</f>
        <v>Saavedra</v>
      </c>
      <c r="B119" s="70">
        <f>+Pobl_adoptada!B119</f>
        <v>115</v>
      </c>
      <c r="C119" s="71" t="str">
        <f>+Pobl_adoptada!C119</f>
        <v>Pigüé</v>
      </c>
      <c r="D119" s="341"/>
      <c r="E119" s="278"/>
      <c r="F119" s="263"/>
      <c r="G119" s="322">
        <f>+'RECHAZADOS A CA'!G119+'RECH-RECUP_PS CA'!G279</f>
        <v>16.232314240000004</v>
      </c>
      <c r="H119" s="322">
        <f>+'RECHAZADOS A CA'!H119+'RECH-RECUP_PS CA'!H279</f>
        <v>15.384432960000002</v>
      </c>
      <c r="I119" s="322">
        <f>+'RECHAZADOS A CA'!I119+'RECH-RECUP_PS CA'!I279</f>
        <v>14.527427200000004</v>
      </c>
      <c r="J119" s="322">
        <f>+'RECHAZADOS A CA'!J119+'RECH-RECUP_PS CA'!J279</f>
        <v>13.265264000000002</v>
      </c>
      <c r="K119" s="322">
        <f>+'RECHAZADOS A CA'!K119+'RECH-RECUP_PS CA'!K279</f>
        <v>11.992161600000003</v>
      </c>
      <c r="L119" s="322">
        <f>+'RECHAZADOS A CA'!L119+'RECH-RECUP_PS CA'!L279</f>
        <v>12.044822400000001</v>
      </c>
      <c r="M119" s="322">
        <f>+'RECHAZADOS A CA'!M119+'RECH-RECUP_PS CA'!M279</f>
        <v>12.098246400000003</v>
      </c>
      <c r="N119" s="322">
        <f>+'RECHAZADOS A CA'!N119+'RECH-RECUP_PS CA'!N279</f>
        <v>12.1516704</v>
      </c>
      <c r="O119" s="322">
        <f>+'RECHAZADOS A CA'!O119+'RECH-RECUP_PS CA'!O279</f>
        <v>12.205857600000002</v>
      </c>
      <c r="P119" s="322">
        <f>+'RECHAZADOS A CA'!P119+'RECH-RECUP_PS CA'!P279</f>
        <v>12.260044800000001</v>
      </c>
      <c r="Q119" s="322">
        <f>+'RECHAZADOS A CA'!Q119+'RECH-RECUP_PS CA'!Q279</f>
        <v>12.314232000000002</v>
      </c>
      <c r="R119" s="322">
        <f>+'RECHAZADOS A CA'!R119+'RECH-RECUP_PS CA'!R279</f>
        <v>12.3684192</v>
      </c>
      <c r="S119" s="322">
        <f>+'RECHAZADOS A CA'!S119+'RECH-RECUP_PS CA'!S279</f>
        <v>12.423369600000001</v>
      </c>
      <c r="T119" s="322">
        <f>+'RECHAZADOS A CA'!T119+'RECH-RECUP_PS CA'!T279</f>
        <v>12.47832</v>
      </c>
      <c r="U119" s="322">
        <f>+'RECHAZADOS A CA'!U119+'RECH-RECUP_PS CA'!U279</f>
        <v>12.534033600000001</v>
      </c>
      <c r="V119" s="322">
        <f>+'RECHAZADOS A CA'!V119+'RECH-RECUP_PS CA'!V279</f>
        <v>12.588984000000002</v>
      </c>
      <c r="W119" s="322">
        <f>+'RECHAZADOS A CA'!W119+'RECH-RECUP_PS CA'!W279</f>
        <v>12.6454608</v>
      </c>
      <c r="X119" s="322">
        <f>+'RECHAZADOS A CA'!X119+'RECH-RECUP_PS CA'!X279</f>
        <v>12.701174400000003</v>
      </c>
      <c r="Y119" s="322">
        <f>+'RECHAZADOS A CA'!Y119+'RECH-RECUP_PS CA'!Y279</f>
        <v>12.757651199999998</v>
      </c>
      <c r="Z119" s="322">
        <f>+'RECHAZADOS A CA'!Z119+'RECH-RECUP_PS CA'!Z279</f>
        <v>12.814128000000002</v>
      </c>
      <c r="AA119" s="343">
        <f t="shared" si="2"/>
        <v>12.889400720000001</v>
      </c>
    </row>
    <row r="120" spans="1:27" ht="24.95" customHeight="1">
      <c r="A120" s="260" t="str">
        <f>+Pobl_adoptada!A120</f>
        <v>Saladillo</v>
      </c>
      <c r="B120" s="70">
        <f>+Pobl_adoptada!B120</f>
        <v>116</v>
      </c>
      <c r="C120" s="71" t="str">
        <f>+Pobl_adoptada!C120</f>
        <v>Saladillo</v>
      </c>
      <c r="D120" s="341"/>
      <c r="E120" s="278"/>
      <c r="F120" s="263"/>
      <c r="G120" s="322">
        <f>+'RECHAZADOS A CA'!G120+'RECH-RECUP_PS CA'!G280</f>
        <v>35.006152319999998</v>
      </c>
      <c r="H120" s="322">
        <f>+'RECHAZADOS A CA'!H120+'RECH-RECUP_PS CA'!H280</f>
        <v>33.4308312</v>
      </c>
      <c r="I120" s="322">
        <f>+'RECHAZADOS A CA'!I120+'RECH-RECUP_PS CA'!I280</f>
        <v>31.806614400000001</v>
      </c>
      <c r="J120" s="322">
        <f>+'RECHAZADOS A CA'!J120+'RECH-RECUP_PS CA'!J280</f>
        <v>29.257696000000003</v>
      </c>
      <c r="K120" s="322">
        <f>+'RECHAZADOS A CA'!K120+'RECH-RECUP_PS CA'!K280</f>
        <v>26.640259200000003</v>
      </c>
      <c r="L120" s="322">
        <f>+'RECHAZADOS A CA'!L120+'RECH-RECUP_PS CA'!L280</f>
        <v>26.948591999999998</v>
      </c>
      <c r="M120" s="322">
        <f>+'RECHAZADOS A CA'!M120+'RECH-RECUP_PS CA'!M280</f>
        <v>27.256924800000004</v>
      </c>
      <c r="N120" s="322">
        <f>+'RECHAZADOS A CA'!N120+'RECH-RECUP_PS CA'!N280</f>
        <v>27.565257600000002</v>
      </c>
      <c r="O120" s="322">
        <f>+'RECHAZADOS A CA'!O120+'RECH-RECUP_PS CA'!O280</f>
        <v>27.873590400000005</v>
      </c>
      <c r="P120" s="322">
        <f>+'RECHAZADOS A CA'!P120+'RECH-RECUP_PS CA'!P280</f>
        <v>28.181923200000004</v>
      </c>
      <c r="Q120" s="322">
        <f>+'RECHAZADOS A CA'!Q120+'RECH-RECUP_PS CA'!Q280</f>
        <v>28.490256000000002</v>
      </c>
      <c r="R120" s="322">
        <f>+'RECHAZADOS A CA'!R120+'RECH-RECUP_PS CA'!R280</f>
        <v>28.798588800000005</v>
      </c>
      <c r="S120" s="322">
        <f>+'RECHAZADOS A CA'!S120+'RECH-RECUP_PS CA'!S280</f>
        <v>29.1069216</v>
      </c>
      <c r="T120" s="322">
        <f>+'RECHAZADOS A CA'!T120+'RECH-RECUP_PS CA'!T280</f>
        <v>29.415254400000002</v>
      </c>
      <c r="U120" s="322">
        <f>+'RECHAZADOS A CA'!U120+'RECH-RECUP_PS CA'!U280</f>
        <v>29.723587200000004</v>
      </c>
      <c r="V120" s="322">
        <f>+'RECHAZADOS A CA'!V120+'RECH-RECUP_PS CA'!V280</f>
        <v>30.03192</v>
      </c>
      <c r="W120" s="322">
        <f>+'RECHAZADOS A CA'!W120+'RECH-RECUP_PS CA'!W280</f>
        <v>30.340252800000005</v>
      </c>
      <c r="X120" s="322">
        <f>+'RECHAZADOS A CA'!X120+'RECH-RECUP_PS CA'!X280</f>
        <v>30.648585600000004</v>
      </c>
      <c r="Y120" s="322">
        <f>+'RECHAZADOS A CA'!Y120+'RECH-RECUP_PS CA'!Y280</f>
        <v>30.956918399999999</v>
      </c>
      <c r="Z120" s="322">
        <f>+'RECHAZADOS A CA'!Z120+'RECH-RECUP_PS CA'!Z280</f>
        <v>31.265251200000002</v>
      </c>
      <c r="AA120" s="343">
        <f t="shared" si="2"/>
        <v>29.637268855999999</v>
      </c>
    </row>
    <row r="121" spans="1:27" ht="24.95" customHeight="1">
      <c r="A121" s="260" t="str">
        <f>+Pobl_adoptada!A121</f>
        <v>Salliqueló</v>
      </c>
      <c r="B121" s="70">
        <f>+Pobl_adoptada!B121</f>
        <v>117</v>
      </c>
      <c r="C121" s="71" t="str">
        <f>+Pobl_adoptada!C121</f>
        <v>Salliqueló</v>
      </c>
      <c r="D121" s="341"/>
      <c r="E121" s="278"/>
      <c r="F121" s="263"/>
      <c r="G121" s="322">
        <f>+'RECHAZADOS A CA'!G121+'RECH-RECUP_PS CA'!G281</f>
        <v>7.4882112000000003</v>
      </c>
      <c r="H121" s="322">
        <f>+'RECHAZADOS A CA'!H121+'RECH-RECUP_PS CA'!H281</f>
        <v>7.0939065600000006</v>
      </c>
      <c r="I121" s="322">
        <f>+'RECHAZADOS A CA'!I121+'RECH-RECUP_PS CA'!I281</f>
        <v>6.6953920000000009</v>
      </c>
      <c r="J121" s="322">
        <f>+'RECHAZADOS A CA'!J121+'RECH-RECUP_PS CA'!J281</f>
        <v>6.111008</v>
      </c>
      <c r="K121" s="322">
        <f>+'RECHAZADOS A CA'!K121+'RECH-RECUP_PS CA'!K281</f>
        <v>5.5211040000000002</v>
      </c>
      <c r="L121" s="322">
        <f>+'RECHAZADOS A CA'!L121+'RECH-RECUP_PS CA'!L281</f>
        <v>5.5429632000000009</v>
      </c>
      <c r="M121" s="322">
        <f>+'RECHAZADOS A CA'!M121+'RECH-RECUP_PS CA'!M281</f>
        <v>5.5648224000000006</v>
      </c>
      <c r="N121" s="322">
        <f>+'RECHAZADOS A CA'!N121+'RECH-RECUP_PS CA'!N281</f>
        <v>5.5860192000000009</v>
      </c>
      <c r="O121" s="322">
        <f>+'RECHAZADOS A CA'!O121+'RECH-RECUP_PS CA'!O281</f>
        <v>5.6078784000000006</v>
      </c>
      <c r="P121" s="322">
        <f>+'RECHAZADOS A CA'!P121+'RECH-RECUP_PS CA'!P281</f>
        <v>5.6290751999999999</v>
      </c>
      <c r="Q121" s="322">
        <f>+'RECHAZADOS A CA'!Q121+'RECH-RECUP_PS CA'!Q281</f>
        <v>5.6509344000000006</v>
      </c>
      <c r="R121" s="322">
        <f>+'RECHAZADOS A CA'!R121+'RECH-RECUP_PS CA'!R281</f>
        <v>5.6721311999999999</v>
      </c>
      <c r="S121" s="322">
        <f>+'RECHAZADOS A CA'!S121+'RECH-RECUP_PS CA'!S281</f>
        <v>5.6939904000000006</v>
      </c>
      <c r="T121" s="322">
        <f>+'RECHAZADOS A CA'!T121+'RECH-RECUP_PS CA'!T281</f>
        <v>5.7151872000000008</v>
      </c>
      <c r="U121" s="322">
        <f>+'RECHAZADOS A CA'!U121+'RECH-RECUP_PS CA'!U281</f>
        <v>5.7370464000000005</v>
      </c>
      <c r="V121" s="322">
        <f>+'RECHAZADOS A CA'!V121+'RECH-RECUP_PS CA'!V281</f>
        <v>5.7582431999999999</v>
      </c>
      <c r="W121" s="322">
        <f>+'RECHAZADOS A CA'!W121+'RECH-RECUP_PS CA'!W281</f>
        <v>5.7801024000000005</v>
      </c>
      <c r="X121" s="322">
        <f>+'RECHAZADOS A CA'!X121+'RECH-RECUP_PS CA'!X281</f>
        <v>5.8012992000000008</v>
      </c>
      <c r="Y121" s="322">
        <f>+'RECHAZADOS A CA'!Y121+'RECH-RECUP_PS CA'!Y281</f>
        <v>5.8231584000000005</v>
      </c>
      <c r="Z121" s="322">
        <f>+'RECHAZADOS A CA'!Z121+'RECH-RECUP_PS CA'!Z281</f>
        <v>5.8443551999999999</v>
      </c>
      <c r="AA121" s="343">
        <f t="shared" si="2"/>
        <v>5.9158414080000004</v>
      </c>
    </row>
    <row r="122" spans="1:27" ht="24.95" customHeight="1">
      <c r="A122" s="260" t="str">
        <f>+Pobl_adoptada!A122</f>
        <v>Salto</v>
      </c>
      <c r="B122" s="70">
        <f>+Pobl_adoptada!B122</f>
        <v>118</v>
      </c>
      <c r="C122" s="71" t="str">
        <f>+Pobl_adoptada!C122</f>
        <v>Salto</v>
      </c>
      <c r="D122" s="341"/>
      <c r="E122" s="278"/>
      <c r="F122" s="263"/>
      <c r="G122" s="322">
        <f>+'RECHAZADOS A CA'!G122+'RECH-RECUP_PS CA'!G282</f>
        <v>36.326861439999995</v>
      </c>
      <c r="H122" s="322">
        <f>+'RECHAZADOS A CA'!H122+'RECH-RECUP_PS CA'!H282</f>
        <v>34.771239360000003</v>
      </c>
      <c r="I122" s="322">
        <f>+'RECHAZADOS A CA'!I122+'RECH-RECUP_PS CA'!I282</f>
        <v>33.162905600000002</v>
      </c>
      <c r="J122" s="322">
        <f>+'RECHAZADOS A CA'!J122+'RECH-RECUP_PS CA'!J282</f>
        <v>30.583967999999999</v>
      </c>
      <c r="K122" s="322">
        <f>+'RECHAZADOS A CA'!K122+'RECH-RECUP_PS CA'!K282</f>
        <v>27.922435200000006</v>
      </c>
      <c r="L122" s="322">
        <f>+'RECHAZADOS A CA'!L122+'RECH-RECUP_PS CA'!L282</f>
        <v>28.326168000000003</v>
      </c>
      <c r="M122" s="322">
        <f>+'RECHAZADOS A CA'!M122+'RECH-RECUP_PS CA'!M282</f>
        <v>28.734479999999998</v>
      </c>
      <c r="N122" s="322">
        <f>+'RECHAZADOS A CA'!N122+'RECH-RECUP_PS CA'!N282</f>
        <v>29.149660799999999</v>
      </c>
      <c r="O122" s="322">
        <f>+'RECHAZADOS A CA'!O122+'RECH-RECUP_PS CA'!O282</f>
        <v>29.570947199999999</v>
      </c>
      <c r="P122" s="322">
        <f>+'RECHAZADOS A CA'!P122+'RECH-RECUP_PS CA'!P282</f>
        <v>29.997575999999999</v>
      </c>
      <c r="Q122" s="322">
        <f>+'RECHAZADOS A CA'!Q122+'RECH-RECUP_PS CA'!Q282</f>
        <v>30.431073600000005</v>
      </c>
      <c r="R122" s="322">
        <f>+'RECHAZADOS A CA'!R122+'RECH-RECUP_PS CA'!R282</f>
        <v>30.869913600000004</v>
      </c>
      <c r="S122" s="322">
        <f>+'RECHAZADOS A CA'!S122+'RECH-RECUP_PS CA'!S282</f>
        <v>31.315622400000002</v>
      </c>
      <c r="T122" s="322">
        <f>+'RECHAZADOS A CA'!T122+'RECH-RECUP_PS CA'!T282</f>
        <v>31.7682</v>
      </c>
      <c r="U122" s="322">
        <f>+'RECHAZADOS A CA'!U122+'RECH-RECUP_PS CA'!U282</f>
        <v>32.226883200000003</v>
      </c>
      <c r="V122" s="322">
        <f>+'RECHAZADOS A CA'!V122+'RECH-RECUP_PS CA'!V282</f>
        <v>32.692435200000006</v>
      </c>
      <c r="W122" s="322">
        <f>+'RECHAZADOS A CA'!W122+'RECH-RECUP_PS CA'!W282</f>
        <v>33.164092800000006</v>
      </c>
      <c r="X122" s="322">
        <f>+'RECHAZADOS A CA'!X122+'RECH-RECUP_PS CA'!X282</f>
        <v>33.643382400000007</v>
      </c>
      <c r="Y122" s="322">
        <f>+'RECHAZADOS A CA'!Y122+'RECH-RECUP_PS CA'!Y282</f>
        <v>34.128777599999999</v>
      </c>
      <c r="Z122" s="322">
        <f>+'RECHAZADOS A CA'!Z122+'RECH-RECUP_PS CA'!Z282</f>
        <v>34.621804800000007</v>
      </c>
      <c r="AA122" s="343">
        <f t="shared" si="2"/>
        <v>31.670421359999999</v>
      </c>
    </row>
    <row r="123" spans="1:27" ht="24.95" customHeight="1">
      <c r="A123" s="260" t="str">
        <f>+Pobl_adoptada!A123</f>
        <v>San Andrés de Giles</v>
      </c>
      <c r="B123" s="70">
        <f>+Pobl_adoptada!B123</f>
        <v>119</v>
      </c>
      <c r="C123" s="71" t="str">
        <f>+Pobl_adoptada!C123</f>
        <v>San Andrés de Giles</v>
      </c>
      <c r="D123" s="341"/>
      <c r="E123" s="278"/>
      <c r="F123" s="263"/>
      <c r="G123" s="322">
        <f>+'RECHAZADOS A CA'!G123+'RECH-RECUP_PS CA'!G283</f>
        <v>21.424720000000001</v>
      </c>
      <c r="H123" s="322">
        <f>+'RECHAZADOS A CA'!H123+'RECH-RECUP_PS CA'!H283</f>
        <v>20.470245120000001</v>
      </c>
      <c r="I123" s="322">
        <f>+'RECHAZADOS A CA'!I123+'RECH-RECUP_PS CA'!I283</f>
        <v>19.486191999999999</v>
      </c>
      <c r="J123" s="322">
        <f>+'RECHAZADOS A CA'!J123+'RECH-RECUP_PS CA'!J283</f>
        <v>17.933504000000003</v>
      </c>
      <c r="K123" s="322">
        <f>+'RECHAZADOS A CA'!K123+'RECH-RECUP_PS CA'!K283</f>
        <v>16.337059200000002</v>
      </c>
      <c r="L123" s="322">
        <f>+'RECHAZADOS A CA'!L123+'RECH-RECUP_PS CA'!L283</f>
        <v>16.533964800000003</v>
      </c>
      <c r="M123" s="322">
        <f>+'RECHAZADOS A CA'!M123+'RECH-RECUP_PS CA'!M283</f>
        <v>16.730107200000003</v>
      </c>
      <c r="N123" s="322">
        <f>+'RECHAZADOS A CA'!N123+'RECH-RECUP_PS CA'!N283</f>
        <v>16.9270128</v>
      </c>
      <c r="O123" s="322">
        <f>+'RECHAZADOS A CA'!O123+'RECH-RECUP_PS CA'!O283</f>
        <v>17.123918400000001</v>
      </c>
      <c r="P123" s="322">
        <f>+'RECHAZADOS A CA'!P123+'RECH-RECUP_PS CA'!P283</f>
        <v>17.320824000000002</v>
      </c>
      <c r="Q123" s="322">
        <f>+'RECHAZADOS A CA'!Q123+'RECH-RECUP_PS CA'!Q283</f>
        <v>17.517729599999999</v>
      </c>
      <c r="R123" s="322">
        <f>+'RECHAZADOS A CA'!R123+'RECH-RECUP_PS CA'!R283</f>
        <v>17.7146352</v>
      </c>
      <c r="S123" s="322">
        <f>+'RECHAZADOS A CA'!S123+'RECH-RECUP_PS CA'!S283</f>
        <v>17.910777599999999</v>
      </c>
      <c r="T123" s="322">
        <f>+'RECHAZADOS A CA'!T123+'RECH-RECUP_PS CA'!T283</f>
        <v>18.1076832</v>
      </c>
      <c r="U123" s="322">
        <f>+'RECHAZADOS A CA'!U123+'RECH-RECUP_PS CA'!U283</f>
        <v>18.304588800000001</v>
      </c>
      <c r="V123" s="322">
        <f>+'RECHAZADOS A CA'!V123+'RECH-RECUP_PS CA'!V283</f>
        <v>18.501494399999999</v>
      </c>
      <c r="W123" s="322">
        <f>+'RECHAZADOS A CA'!W123+'RECH-RECUP_PS CA'!W283</f>
        <v>18.698399999999999</v>
      </c>
      <c r="X123" s="322">
        <f>+'RECHAZADOS A CA'!X123+'RECH-RECUP_PS CA'!X283</f>
        <v>18.8953056</v>
      </c>
      <c r="Y123" s="322">
        <f>+'RECHAZADOS A CA'!Y123+'RECH-RECUP_PS CA'!Y283</f>
        <v>19.091448000000003</v>
      </c>
      <c r="Z123" s="322">
        <f>+'RECHAZADOS A CA'!Z123+'RECH-RECUP_PS CA'!Z283</f>
        <v>19.288353600000001</v>
      </c>
      <c r="AA123" s="343">
        <f t="shared" si="2"/>
        <v>18.215898176</v>
      </c>
    </row>
    <row r="124" spans="1:27" ht="24.95" customHeight="1">
      <c r="A124" s="260" t="str">
        <f>+Pobl_adoptada!A124</f>
        <v>San Antonio de Areco</v>
      </c>
      <c r="B124" s="70">
        <f>+Pobl_adoptada!B124</f>
        <v>120</v>
      </c>
      <c r="C124" s="71" t="str">
        <f>+Pobl_adoptada!C124</f>
        <v>San Antonio de Areco</v>
      </c>
      <c r="D124" s="341"/>
      <c r="E124" s="278"/>
      <c r="F124" s="263"/>
      <c r="G124" s="322">
        <f>+'RECHAZADOS A CA'!G124+'RECH-RECUP_PS CA'!G284</f>
        <v>24.684432000000001</v>
      </c>
      <c r="H124" s="322">
        <f>+'RECHAZADOS A CA'!H124+'RECH-RECUP_PS CA'!H284</f>
        <v>23.519152800000004</v>
      </c>
      <c r="I124" s="322">
        <f>+'RECHAZADOS A CA'!I124+'RECH-RECUP_PS CA'!I284</f>
        <v>22.327500799999999</v>
      </c>
      <c r="J124" s="322">
        <f>+'RECHAZADOS A CA'!J124+'RECH-RECUP_PS CA'!J284</f>
        <v>20.492768000000002</v>
      </c>
      <c r="K124" s="322">
        <f>+'RECHAZADOS A CA'!K124+'RECH-RECUP_PS CA'!K284</f>
        <v>18.619027200000001</v>
      </c>
      <c r="L124" s="322">
        <f>+'RECHAZADOS A CA'!L124+'RECH-RECUP_PS CA'!L284</f>
        <v>18.794563200000002</v>
      </c>
      <c r="M124" s="322">
        <f>+'RECHAZADOS A CA'!M124+'RECH-RECUP_PS CA'!M284</f>
        <v>18.970862400000001</v>
      </c>
      <c r="N124" s="322">
        <f>+'RECHAZADOS A CA'!N124+'RECH-RECUP_PS CA'!N284</f>
        <v>19.146398400000002</v>
      </c>
      <c r="O124" s="322">
        <f>+'RECHAZADOS A CA'!O124+'RECH-RECUP_PS CA'!O284</f>
        <v>19.3219344</v>
      </c>
      <c r="P124" s="322">
        <f>+'RECHAZADOS A CA'!P124+'RECH-RECUP_PS CA'!P284</f>
        <v>19.497470400000001</v>
      </c>
      <c r="Q124" s="322">
        <f>+'RECHAZADOS A CA'!Q124+'RECH-RECUP_PS CA'!Q284</f>
        <v>19.673006400000002</v>
      </c>
      <c r="R124" s="322">
        <f>+'RECHAZADOS A CA'!R124+'RECH-RECUP_PS CA'!R284</f>
        <v>19.849305600000005</v>
      </c>
      <c r="S124" s="322">
        <f>+'RECHAZADOS A CA'!S124+'RECH-RECUP_PS CA'!S284</f>
        <v>20.024841600000002</v>
      </c>
      <c r="T124" s="322">
        <f>+'RECHAZADOS A CA'!T124+'RECH-RECUP_PS CA'!T284</f>
        <v>20.200377599999999</v>
      </c>
      <c r="U124" s="322">
        <f>+'RECHAZADOS A CA'!U124+'RECH-RECUP_PS CA'!U284</f>
        <v>20.375913600000001</v>
      </c>
      <c r="V124" s="322">
        <f>+'RECHAZADOS A CA'!V124+'RECH-RECUP_PS CA'!V284</f>
        <v>20.552212800000003</v>
      </c>
      <c r="W124" s="322">
        <f>+'RECHAZADOS A CA'!W124+'RECH-RECUP_PS CA'!W284</f>
        <v>20.727748800000001</v>
      </c>
      <c r="X124" s="322">
        <f>+'RECHAZADOS A CA'!X124+'RECH-RECUP_PS CA'!X284</f>
        <v>20.903284799999998</v>
      </c>
      <c r="Y124" s="322">
        <f>+'RECHAZADOS A CA'!Y124+'RECH-RECUP_PS CA'!Y284</f>
        <v>21.078820799999999</v>
      </c>
      <c r="Z124" s="322">
        <f>+'RECHAZADOS A CA'!Z124+'RECH-RECUP_PS CA'!Z284</f>
        <v>21.2543568</v>
      </c>
      <c r="AA124" s="343">
        <f t="shared" si="2"/>
        <v>20.500698919999998</v>
      </c>
    </row>
    <row r="125" spans="1:27" ht="24.95" customHeight="1">
      <c r="A125" s="260" t="str">
        <f>+Pobl_adoptada!A125</f>
        <v>San Cayetano</v>
      </c>
      <c r="B125" s="70">
        <f>+Pobl_adoptada!B125</f>
        <v>121</v>
      </c>
      <c r="C125" s="71" t="str">
        <f>+Pobl_adoptada!C125</f>
        <v>San Cayetano</v>
      </c>
      <c r="D125" s="341"/>
      <c r="E125" s="278"/>
      <c r="F125" s="263"/>
      <c r="G125" s="322">
        <f>+'RECHAZADOS A CA'!G125+'RECH-RECUP_PS CA'!G285</f>
        <v>7.8021593600000001</v>
      </c>
      <c r="H125" s="322">
        <f>+'RECHAZADOS A CA'!H125+'RECH-RECUP_PS CA'!H285</f>
        <v>7.4306044800000004</v>
      </c>
      <c r="I125" s="322">
        <f>+'RECHAZADOS A CA'!I125+'RECH-RECUP_PS CA'!I285</f>
        <v>7.0524255999999994</v>
      </c>
      <c r="J125" s="322">
        <f>+'RECHAZADOS A CA'!J125+'RECH-RECUP_PS CA'!J285</f>
        <v>6.471648000000001</v>
      </c>
      <c r="K125" s="322">
        <f>+'RECHAZADOS A CA'!K125+'RECH-RECUP_PS CA'!K285</f>
        <v>5.8794623999999995</v>
      </c>
      <c r="L125" s="322">
        <f>+'RECHAZADOS A CA'!L125+'RECH-RECUP_PS CA'!L285</f>
        <v>5.9351039999999999</v>
      </c>
      <c r="M125" s="322">
        <f>+'RECHAZADOS A CA'!M125+'RECH-RECUP_PS CA'!M285</f>
        <v>5.991407999999999</v>
      </c>
      <c r="N125" s="322">
        <f>+'RECHAZADOS A CA'!N125+'RECH-RECUP_PS CA'!N285</f>
        <v>6.0477119999999998</v>
      </c>
      <c r="O125" s="322">
        <f>+'RECHAZADOS A CA'!O125+'RECH-RECUP_PS CA'!O285</f>
        <v>6.1053408000000013</v>
      </c>
      <c r="P125" s="322">
        <f>+'RECHAZADOS A CA'!P125+'RECH-RECUP_PS CA'!P285</f>
        <v>6.1629696000000003</v>
      </c>
      <c r="Q125" s="322">
        <f>+'RECHAZADOS A CA'!Q125+'RECH-RECUP_PS CA'!Q285</f>
        <v>6.2212608000000014</v>
      </c>
      <c r="R125" s="322">
        <f>+'RECHAZADOS A CA'!R125+'RECH-RECUP_PS CA'!R285</f>
        <v>6.2802144000000011</v>
      </c>
      <c r="S125" s="322">
        <f>+'RECHAZADOS A CA'!S125+'RECH-RECUP_PS CA'!S285</f>
        <v>6.3391679999999999</v>
      </c>
      <c r="T125" s="322">
        <f>+'RECHAZADOS A CA'!T125+'RECH-RECUP_PS CA'!T285</f>
        <v>6.3994464000000004</v>
      </c>
      <c r="U125" s="322">
        <f>+'RECHAZADOS A CA'!U125+'RECH-RECUP_PS CA'!U285</f>
        <v>6.4597248000000009</v>
      </c>
      <c r="V125" s="322">
        <f>+'RECHAZADOS A CA'!V125+'RECH-RECUP_PS CA'!V285</f>
        <v>6.5206655999999992</v>
      </c>
      <c r="W125" s="322">
        <f>+'RECHAZADOS A CA'!W125+'RECH-RECUP_PS CA'!W285</f>
        <v>6.5822688000000014</v>
      </c>
      <c r="X125" s="322">
        <f>+'RECHAZADOS A CA'!X125+'RECH-RECUP_PS CA'!X285</f>
        <v>6.6445343999999995</v>
      </c>
      <c r="Y125" s="322">
        <f>+'RECHAZADOS A CA'!Y125+'RECH-RECUP_PS CA'!Y285</f>
        <v>6.7074624000000007</v>
      </c>
      <c r="Z125" s="322">
        <f>+'RECHAZADOS A CA'!Z125+'RECH-RECUP_PS CA'!Z285</f>
        <v>6.7710527999999996</v>
      </c>
      <c r="AA125" s="343">
        <f t="shared" si="2"/>
        <v>6.4902316320000013</v>
      </c>
    </row>
    <row r="126" spans="1:27" ht="24.95" customHeight="1">
      <c r="A126" s="260" t="str">
        <f>+Pobl_adoptada!A126</f>
        <v>San Nicolás</v>
      </c>
      <c r="B126" s="70">
        <f>+Pobl_adoptada!B126</f>
        <v>122</v>
      </c>
      <c r="C126" s="71" t="str">
        <f>+Pobl_adoptada!C126</f>
        <v>San Nicolás de los Arroyos</v>
      </c>
      <c r="D126" s="341"/>
      <c r="E126" s="278"/>
      <c r="F126" s="263"/>
      <c r="G126" s="322">
        <f>+'RECHAZADOS A CA'!G126+'RECH-RECUP_PS CA'!G286</f>
        <v>160.66703808</v>
      </c>
      <c r="H126" s="322">
        <f>+'RECHAZADOS A CA'!H126+'RECH-RECUP_PS CA'!H286</f>
        <v>153.31657536</v>
      </c>
      <c r="I126" s="322">
        <f>+'RECHAZADOS A CA'!I126+'RECH-RECUP_PS CA'!I286</f>
        <v>145.78639680000003</v>
      </c>
      <c r="J126" s="322">
        <f>+'RECHAZADOS A CA'!J126+'RECH-RECUP_PS CA'!J286</f>
        <v>134.05166400000002</v>
      </c>
      <c r="K126" s="322">
        <f>+'RECHAZADOS A CA'!K126+'RECH-RECUP_PS CA'!K286</f>
        <v>122.03451360000001</v>
      </c>
      <c r="L126" s="322">
        <f>+'RECHAZADOS A CA'!L126+'RECH-RECUP_PS CA'!L286</f>
        <v>123.4460304</v>
      </c>
      <c r="M126" s="322">
        <f>+'RECHAZADOS A CA'!M126+'RECH-RECUP_PS CA'!M286</f>
        <v>124.88031360000001</v>
      </c>
      <c r="N126" s="322">
        <f>+'RECHAZADOS A CA'!N126+'RECH-RECUP_PS CA'!N286</f>
        <v>126.3380976</v>
      </c>
      <c r="O126" s="322">
        <f>+'RECHAZADOS A CA'!O126+'RECH-RECUP_PS CA'!O286</f>
        <v>127.81938240000002</v>
      </c>
      <c r="P126" s="322">
        <f>+'RECHAZADOS A CA'!P126+'RECH-RECUP_PS CA'!P286</f>
        <v>129.32490240000001</v>
      </c>
      <c r="Q126" s="322">
        <f>+'RECHAZADOS A CA'!Q126+'RECH-RECUP_PS CA'!Q286</f>
        <v>130.8546576</v>
      </c>
      <c r="R126" s="322">
        <f>+'RECHAZADOS A CA'!R126+'RECH-RECUP_PS CA'!R286</f>
        <v>132.4101168</v>
      </c>
      <c r="S126" s="322">
        <f>+'RECHAZADOS A CA'!S126+'RECH-RECUP_PS CA'!S286</f>
        <v>133.99054560000002</v>
      </c>
      <c r="T126" s="322">
        <f>+'RECHAZADOS A CA'!T126+'RECH-RECUP_PS CA'!T286</f>
        <v>135.5966784</v>
      </c>
      <c r="U126" s="322">
        <f>+'RECHAZADOS A CA'!U126+'RECH-RECUP_PS CA'!U286</f>
        <v>137.2285152</v>
      </c>
      <c r="V126" s="322">
        <f>+'RECHAZADOS A CA'!V126+'RECH-RECUP_PS CA'!V286</f>
        <v>138.88825920000002</v>
      </c>
      <c r="W126" s="322">
        <f>+'RECHAZADOS A CA'!W126+'RECH-RECUP_PS CA'!W286</f>
        <v>140.5737072</v>
      </c>
      <c r="X126" s="322">
        <f>+'RECHAZADOS A CA'!X126+'RECH-RECUP_PS CA'!X286</f>
        <v>142.2877968</v>
      </c>
      <c r="Y126" s="322">
        <f>+'RECHAZADOS A CA'!Y126+'RECH-RECUP_PS CA'!Y286</f>
        <v>144.02905920000001</v>
      </c>
      <c r="Z126" s="322">
        <f>+'RECHAZADOS A CA'!Z126+'RECH-RECUP_PS CA'!Z286</f>
        <v>145.7989632</v>
      </c>
      <c r="AA126" s="343">
        <f t="shared" si="2"/>
        <v>136.466160672</v>
      </c>
    </row>
    <row r="127" spans="1:27" ht="24.95" customHeight="1">
      <c r="A127" s="260" t="str">
        <f>+Pobl_adoptada!A127</f>
        <v>San Pedro</v>
      </c>
      <c r="B127" s="70">
        <f>+Pobl_adoptada!B127</f>
        <v>123</v>
      </c>
      <c r="C127" s="71" t="str">
        <f>+Pobl_adoptada!C127</f>
        <v>San Pedro</v>
      </c>
      <c r="D127" s="341"/>
      <c r="E127" s="278"/>
      <c r="F127" s="263"/>
      <c r="G127" s="322">
        <f>+'RECHAZADOS A CA'!G127+'RECH-RECUP_PS CA'!G287</f>
        <v>59.268527999999996</v>
      </c>
      <c r="H127" s="322">
        <f>+'RECHAZADOS A CA'!H127+'RECH-RECUP_PS CA'!H287</f>
        <v>56.663586720000005</v>
      </c>
      <c r="I127" s="322">
        <f>+'RECHAZADOS A CA'!I127+'RECH-RECUP_PS CA'!I287</f>
        <v>53.979868799999998</v>
      </c>
      <c r="J127" s="322">
        <f>+'RECHAZADOS A CA'!J127+'RECH-RECUP_PS CA'!J287</f>
        <v>49.722960000000008</v>
      </c>
      <c r="K127" s="322">
        <f>+'RECHAZADOS A CA'!K127+'RECH-RECUP_PS CA'!K287</f>
        <v>45.343324800000005</v>
      </c>
      <c r="L127" s="322">
        <f>+'RECHAZADOS A CA'!L127+'RECH-RECUP_PS CA'!L287</f>
        <v>45.944064000000012</v>
      </c>
      <c r="M127" s="322">
        <f>+'RECHAZADOS A CA'!M127+'RECH-RECUP_PS CA'!M287</f>
        <v>46.552881599999999</v>
      </c>
      <c r="N127" s="322">
        <f>+'RECHAZADOS A CA'!N127+'RECH-RECUP_PS CA'!N287</f>
        <v>47.169777600000003</v>
      </c>
      <c r="O127" s="322">
        <f>+'RECHAZADOS A CA'!O127+'RECH-RECUP_PS CA'!O287</f>
        <v>47.79475200000001</v>
      </c>
      <c r="P127" s="322">
        <f>+'RECHAZADOS A CA'!P127+'RECH-RECUP_PS CA'!P287</f>
        <v>48.427804800000004</v>
      </c>
      <c r="Q127" s="322">
        <f>+'RECHAZADOS A CA'!Q127+'RECH-RECUP_PS CA'!Q287</f>
        <v>49.0696704</v>
      </c>
      <c r="R127" s="322">
        <f>+'RECHAZADOS A CA'!R127+'RECH-RECUP_PS CA'!R287</f>
        <v>49.719614399999998</v>
      </c>
      <c r="S127" s="322">
        <f>+'RECHAZADOS A CA'!S127+'RECH-RECUP_PS CA'!S287</f>
        <v>50.378371200000004</v>
      </c>
      <c r="T127" s="322">
        <f>+'RECHAZADOS A CA'!T127+'RECH-RECUP_PS CA'!T287</f>
        <v>51.045940799999997</v>
      </c>
      <c r="U127" s="322">
        <f>+'RECHAZADOS A CA'!U127+'RECH-RECUP_PS CA'!U287</f>
        <v>51.722323199999991</v>
      </c>
      <c r="V127" s="322">
        <f>+'RECHAZADOS A CA'!V127+'RECH-RECUP_PS CA'!V287</f>
        <v>52.407518400000001</v>
      </c>
      <c r="W127" s="322">
        <f>+'RECHAZADOS A CA'!W127+'RECH-RECUP_PS CA'!W287</f>
        <v>53.101526399999997</v>
      </c>
      <c r="X127" s="322">
        <f>+'RECHAZADOS A CA'!X127+'RECH-RECUP_PS CA'!X287</f>
        <v>53.805081600000001</v>
      </c>
      <c r="Y127" s="322">
        <f>+'RECHAZADOS A CA'!Y127+'RECH-RECUP_PS CA'!Y287</f>
        <v>54.518183999999998</v>
      </c>
      <c r="Z127" s="322">
        <f>+'RECHAZADOS A CA'!Z127+'RECH-RECUP_PS CA'!Z287</f>
        <v>55.240833600000002</v>
      </c>
      <c r="AA127" s="343">
        <f t="shared" ref="AA127:AA158" si="3">AVERAGE(G127:Z127)</f>
        <v>51.093830615999991</v>
      </c>
    </row>
    <row r="128" spans="1:27" ht="24.95" customHeight="1">
      <c r="A128" s="260" t="str">
        <f>+Pobl_adoptada!A128</f>
        <v>San Vicente</v>
      </c>
      <c r="B128" s="70">
        <f>+Pobl_adoptada!B128</f>
        <v>124</v>
      </c>
      <c r="C128" s="71" t="str">
        <f>+Pobl_adoptada!C128</f>
        <v>San Vicente</v>
      </c>
      <c r="D128" s="341"/>
      <c r="E128" s="278"/>
      <c r="F128" s="263"/>
      <c r="G128" s="322">
        <f>+'RECHAZADOS A CA'!G128+'RECH-RECUP_PS CA'!G288</f>
        <v>112.2484704</v>
      </c>
      <c r="H128" s="322">
        <f>+'RECHAZADOS A CA'!H128+'RECH-RECUP_PS CA'!H288</f>
        <v>109.51497648000002</v>
      </c>
      <c r="I128" s="322">
        <f>+'RECHAZADOS A CA'!I128+'RECH-RECUP_PS CA'!I288</f>
        <v>106.40509440000001</v>
      </c>
      <c r="J128" s="322">
        <f>+'RECHAZADOS A CA'!J128+'RECH-RECUP_PS CA'!J288</f>
        <v>99.912671999999986</v>
      </c>
      <c r="K128" s="322">
        <f>+'RECHAZADOS A CA'!K128+'RECH-RECUP_PS CA'!K288</f>
        <v>92.831097600000021</v>
      </c>
      <c r="L128" s="322">
        <f>+'RECHAZADOS A CA'!L128+'RECH-RECUP_PS CA'!L288</f>
        <v>95.787791999999996</v>
      </c>
      <c r="M128" s="322">
        <f>+'RECHAZADOS A CA'!M128+'RECH-RECUP_PS CA'!M288</f>
        <v>98.792956800000013</v>
      </c>
      <c r="N128" s="322">
        <f>+'RECHAZADOS A CA'!N128+'RECH-RECUP_PS CA'!N288</f>
        <v>101.8473264</v>
      </c>
      <c r="O128" s="322">
        <f>+'RECHAZADOS A CA'!O128+'RECH-RECUP_PS CA'!O288</f>
        <v>104.9509008</v>
      </c>
      <c r="P128" s="322">
        <f>+'RECHAZADOS A CA'!P128+'RECH-RECUP_PS CA'!P288</f>
        <v>108.10588320000002</v>
      </c>
      <c r="Q128" s="322">
        <f>+'RECHAZADOS A CA'!Q128+'RECH-RECUP_PS CA'!Q288</f>
        <v>111.31153920000001</v>
      </c>
      <c r="R128" s="322">
        <f>+'RECHAZADOS A CA'!R128+'RECH-RECUP_PS CA'!R288</f>
        <v>114.57007200000001</v>
      </c>
      <c r="S128" s="322">
        <f>+'RECHAZADOS A CA'!S128+'RECH-RECUP_PS CA'!S288</f>
        <v>117.8814816</v>
      </c>
      <c r="T128" s="322">
        <f>+'RECHAZADOS A CA'!T128+'RECH-RECUP_PS CA'!T288</f>
        <v>121.24723680000001</v>
      </c>
      <c r="U128" s="322">
        <f>+'RECHAZADOS A CA'!U128+'RECH-RECUP_PS CA'!U288</f>
        <v>124.66733760000002</v>
      </c>
      <c r="V128" s="322">
        <f>+'RECHAZADOS A CA'!V128+'RECH-RECUP_PS CA'!V288</f>
        <v>128.1432528</v>
      </c>
      <c r="W128" s="322">
        <f>+'RECHAZADOS A CA'!W128+'RECH-RECUP_PS CA'!W288</f>
        <v>131.6764512</v>
      </c>
      <c r="X128" s="322">
        <f>+'RECHAZADOS A CA'!X128+'RECH-RECUP_PS CA'!X288</f>
        <v>135.26693279999998</v>
      </c>
      <c r="Y128" s="322">
        <f>+'RECHAZADOS A CA'!Y128+'RECH-RECUP_PS CA'!Y288</f>
        <v>138.91616640000001</v>
      </c>
      <c r="Z128" s="322">
        <f>+'RECHAZADOS A CA'!Z128+'RECH-RECUP_PS CA'!Z288</f>
        <v>142.62488640000001</v>
      </c>
      <c r="AA128" s="343">
        <f t="shared" si="3"/>
        <v>114.83512634399999</v>
      </c>
    </row>
    <row r="129" spans="1:27" ht="24.95" customHeight="1">
      <c r="A129" s="260" t="str">
        <f>+Pobl_adoptada!A129</f>
        <v>Suipacha</v>
      </c>
      <c r="B129" s="70">
        <f>+Pobl_adoptada!B129</f>
        <v>125</v>
      </c>
      <c r="C129" s="71" t="str">
        <f>+Pobl_adoptada!C129</f>
        <v>Suipacha</v>
      </c>
      <c r="D129" s="341"/>
      <c r="E129" s="278"/>
      <c r="F129" s="263"/>
      <c r="G129" s="322">
        <f>+'RECHAZADOS A CA'!G129+'RECH-RECUP_PS CA'!G289</f>
        <v>9.5608166400000005</v>
      </c>
      <c r="H129" s="322">
        <f>+'RECHAZADOS A CA'!H129+'RECH-RECUP_PS CA'!H289</f>
        <v>9.1338998400000015</v>
      </c>
      <c r="I129" s="322">
        <f>+'RECHAZADOS A CA'!I129+'RECH-RECUP_PS CA'!I289</f>
        <v>8.6934848000000002</v>
      </c>
      <c r="J129" s="322">
        <f>+'RECHAZADOS A CA'!J129+'RECH-RECUP_PS CA'!J289</f>
        <v>7.9995840000000005</v>
      </c>
      <c r="K129" s="322">
        <f>+'RECHAZADOS A CA'!K129+'RECH-RECUP_PS CA'!K289</f>
        <v>7.2863999999999995</v>
      </c>
      <c r="L129" s="322">
        <f>+'RECHAZADOS A CA'!L129+'RECH-RECUP_PS CA'!L289</f>
        <v>7.3731743999999999</v>
      </c>
      <c r="M129" s="322">
        <f>+'RECHAZADOS A CA'!M129+'RECH-RECUP_PS CA'!M289</f>
        <v>7.4599488000000003</v>
      </c>
      <c r="N129" s="322">
        <f>+'RECHAZADOS A CA'!N129+'RECH-RECUP_PS CA'!N289</f>
        <v>7.5473855999999993</v>
      </c>
      <c r="O129" s="322">
        <f>+'RECHAZADOS A CA'!O129+'RECH-RECUP_PS CA'!O289</f>
        <v>7.6341599999999996</v>
      </c>
      <c r="P129" s="322">
        <f>+'RECHAZADOS A CA'!P129+'RECH-RECUP_PS CA'!P289</f>
        <v>7.7209344</v>
      </c>
      <c r="Q129" s="322">
        <f>+'RECHAZADOS A CA'!Q129+'RECH-RECUP_PS CA'!Q289</f>
        <v>7.8077088000000012</v>
      </c>
      <c r="R129" s="322">
        <f>+'RECHAZADOS A CA'!R129+'RECH-RECUP_PS CA'!R289</f>
        <v>7.8944832000000007</v>
      </c>
      <c r="S129" s="322">
        <f>+'RECHAZADOS A CA'!S129+'RECH-RECUP_PS CA'!S289</f>
        <v>7.9812575999999993</v>
      </c>
      <c r="T129" s="322">
        <f>+'RECHAZADOS A CA'!T129+'RECH-RECUP_PS CA'!T289</f>
        <v>8.0680320000000005</v>
      </c>
      <c r="U129" s="322">
        <f>+'RECHAZADOS A CA'!U129+'RECH-RECUP_PS CA'!U289</f>
        <v>8.1548064</v>
      </c>
      <c r="V129" s="322">
        <f>+'RECHAZADOS A CA'!V129+'RECH-RECUP_PS CA'!V289</f>
        <v>8.2422432000000008</v>
      </c>
      <c r="W129" s="322">
        <f>+'RECHAZADOS A CA'!W129+'RECH-RECUP_PS CA'!W289</f>
        <v>8.3290176000000002</v>
      </c>
      <c r="X129" s="322">
        <f>+'RECHAZADOS A CA'!X129+'RECH-RECUP_PS CA'!X289</f>
        <v>8.4157920000000015</v>
      </c>
      <c r="Y129" s="322">
        <f>+'RECHAZADOS A CA'!Y129+'RECH-RECUP_PS CA'!Y289</f>
        <v>8.5025663999999992</v>
      </c>
      <c r="Z129" s="322">
        <f>+'RECHAZADOS A CA'!Z129+'RECH-RECUP_PS CA'!Z289</f>
        <v>8.5893408000000004</v>
      </c>
      <c r="AA129" s="343">
        <f t="shared" si="3"/>
        <v>8.1197518240000015</v>
      </c>
    </row>
    <row r="130" spans="1:27" ht="24.95" customHeight="1">
      <c r="A130" s="260" t="str">
        <f>+Pobl_adoptada!A130</f>
        <v>Tandil</v>
      </c>
      <c r="B130" s="70">
        <f>+Pobl_adoptada!B130</f>
        <v>126</v>
      </c>
      <c r="C130" s="71" t="str">
        <f>+Pobl_adoptada!C130</f>
        <v>Tandil</v>
      </c>
      <c r="D130" s="341"/>
      <c r="E130" s="278"/>
      <c r="F130" s="263"/>
      <c r="G130" s="322">
        <f>+'RECHAZADOS A CA'!G130+'RECH-RECUP_PS CA'!G290</f>
        <v>146.33331264</v>
      </c>
      <c r="H130" s="322">
        <f>+'RECHAZADOS A CA'!H130+'RECH-RECUP_PS CA'!H290</f>
        <v>139.91994432000001</v>
      </c>
      <c r="I130" s="322">
        <f>+'RECHAZADOS A CA'!I130+'RECH-RECUP_PS CA'!I290</f>
        <v>133.3088592</v>
      </c>
      <c r="J130" s="322">
        <f>+'RECHAZADOS A CA'!J130+'RECH-RECUP_PS CA'!J290</f>
        <v>122.81126399999999</v>
      </c>
      <c r="K130" s="322">
        <f>+'RECHAZADOS A CA'!K130+'RECH-RECUP_PS CA'!K290</f>
        <v>112.00848480000001</v>
      </c>
      <c r="L130" s="322">
        <f>+'RECHAZADOS A CA'!L130+'RECH-RECUP_PS CA'!L290</f>
        <v>113.50739519999999</v>
      </c>
      <c r="M130" s="322">
        <f>+'RECHAZADOS A CA'!M130+'RECH-RECUP_PS CA'!M290</f>
        <v>115.02613439999998</v>
      </c>
      <c r="N130" s="322">
        <f>+'RECHAZADOS A CA'!N130+'RECH-RECUP_PS CA'!N290</f>
        <v>116.56543680000001</v>
      </c>
      <c r="O130" s="322">
        <f>+'RECHAZADOS A CA'!O130+'RECH-RECUP_PS CA'!O290</f>
        <v>118.12456799999998</v>
      </c>
      <c r="P130" s="322">
        <f>+'RECHAZADOS A CA'!P130+'RECH-RECUP_PS CA'!P290</f>
        <v>119.7049968</v>
      </c>
      <c r="Q130" s="322">
        <f>+'RECHAZADOS A CA'!Q130+'RECH-RECUP_PS CA'!Q290</f>
        <v>121.30672319999999</v>
      </c>
      <c r="R130" s="322">
        <f>+'RECHAZADOS A CA'!R130+'RECH-RECUP_PS CA'!R290</f>
        <v>122.92974720000001</v>
      </c>
      <c r="S130" s="322">
        <f>+'RECHAZADOS A CA'!S130+'RECH-RECUP_PS CA'!S290</f>
        <v>124.57480319999999</v>
      </c>
      <c r="T130" s="322">
        <f>+'RECHAZADOS A CA'!T130+'RECH-RECUP_PS CA'!T290</f>
        <v>126.24189120000001</v>
      </c>
      <c r="U130" s="322">
        <f>+'RECHAZADOS A CA'!U130+'RECH-RECUP_PS CA'!U290</f>
        <v>127.93101120000001</v>
      </c>
      <c r="V130" s="322">
        <f>+'RECHAZADOS A CA'!V130+'RECH-RECUP_PS CA'!V290</f>
        <v>129.6421632</v>
      </c>
      <c r="W130" s="322">
        <f>+'RECHAZADOS A CA'!W130+'RECH-RECUP_PS CA'!W290</f>
        <v>131.37681600000002</v>
      </c>
      <c r="X130" s="322">
        <f>+'RECHAZADOS A CA'!X130+'RECH-RECUP_PS CA'!X290</f>
        <v>133.13496959999998</v>
      </c>
      <c r="Y130" s="322">
        <f>+'RECHAZADOS A CA'!Y130+'RECH-RECUP_PS CA'!Y290</f>
        <v>134.91588959999999</v>
      </c>
      <c r="Z130" s="322">
        <f>+'RECHAZADOS A CA'!Z130+'RECH-RECUP_PS CA'!Z290</f>
        <v>136.72104480000002</v>
      </c>
      <c r="AA130" s="343">
        <f t="shared" si="3"/>
        <v>126.30427276799999</v>
      </c>
    </row>
    <row r="131" spans="1:27" ht="24.95" customHeight="1">
      <c r="A131" s="260" t="str">
        <f>+Pobl_adoptada!A131</f>
        <v>Tapalqué</v>
      </c>
      <c r="B131" s="70">
        <f>+Pobl_adoptada!B131</f>
        <v>127</v>
      </c>
      <c r="C131" s="71" t="str">
        <f>+Pobl_adoptada!C131</f>
        <v>Tapalqué</v>
      </c>
      <c r="D131" s="341"/>
      <c r="E131" s="278"/>
      <c r="F131" s="263"/>
      <c r="G131" s="322">
        <f>+'RECHAZADOS A CA'!G131+'RECH-RECUP_PS CA'!G291</f>
        <v>8.4026764800000002</v>
      </c>
      <c r="H131" s="322">
        <f>+'RECHAZADOS A CA'!H131+'RECH-RECUP_PS CA'!H291</f>
        <v>8.0342496000000008</v>
      </c>
      <c r="I131" s="322">
        <f>+'RECHAZADOS A CA'!I131+'RECH-RECUP_PS CA'!I291</f>
        <v>7.6547680000000007</v>
      </c>
      <c r="J131" s="322">
        <f>+'RECHAZADOS A CA'!J131+'RECH-RECUP_PS CA'!J291</f>
        <v>7.052352</v>
      </c>
      <c r="K131" s="322">
        <f>+'RECHAZADOS A CA'!K131+'RECH-RECUP_PS CA'!K291</f>
        <v>6.4319040000000003</v>
      </c>
      <c r="L131" s="322">
        <f>+'RECHAZADOS A CA'!L131+'RECH-RECUP_PS CA'!L291</f>
        <v>6.5180160000000011</v>
      </c>
      <c r="M131" s="322">
        <f>+'RECHAZADOS A CA'!M131+'RECH-RECUP_PS CA'!M291</f>
        <v>6.6047904000000006</v>
      </c>
      <c r="N131" s="322">
        <f>+'RECHAZADOS A CA'!N131+'RECH-RECUP_PS CA'!N291</f>
        <v>6.6935520000000004</v>
      </c>
      <c r="O131" s="322">
        <f>+'RECHAZADOS A CA'!O131+'RECH-RECUP_PS CA'!O291</f>
        <v>6.7829760000000014</v>
      </c>
      <c r="P131" s="322">
        <f>+'RECHAZADOS A CA'!P131+'RECH-RECUP_PS CA'!P291</f>
        <v>6.8737247999999997</v>
      </c>
      <c r="Q131" s="322">
        <f>+'RECHAZADOS A CA'!Q131+'RECH-RECUP_PS CA'!Q291</f>
        <v>6.9657984000000006</v>
      </c>
      <c r="R131" s="322">
        <f>+'RECHAZADOS A CA'!R131+'RECH-RECUP_PS CA'!R291</f>
        <v>7.058534400000001</v>
      </c>
      <c r="S131" s="322">
        <f>+'RECHAZADOS A CA'!S131+'RECH-RECUP_PS CA'!S291</f>
        <v>7.153257599999999</v>
      </c>
      <c r="T131" s="322">
        <f>+'RECHAZADOS A CA'!T131+'RECH-RECUP_PS CA'!T291</f>
        <v>7.2486432000000018</v>
      </c>
      <c r="U131" s="322">
        <f>+'RECHAZADOS A CA'!U131+'RECH-RECUP_PS CA'!U291</f>
        <v>7.3460160000000014</v>
      </c>
      <c r="V131" s="322">
        <f>+'RECHAZADOS A CA'!V131+'RECH-RECUP_PS CA'!V291</f>
        <v>7.4440511999999996</v>
      </c>
      <c r="W131" s="322">
        <f>+'RECHAZADOS A CA'!W131+'RECH-RECUP_PS CA'!W291</f>
        <v>7.5434112000000022</v>
      </c>
      <c r="X131" s="322">
        <f>+'RECHAZADOS A CA'!X131+'RECH-RECUP_PS CA'!X291</f>
        <v>7.6447584000000015</v>
      </c>
      <c r="Y131" s="322">
        <f>+'RECHAZADOS A CA'!Y131+'RECH-RECUP_PS CA'!Y291</f>
        <v>7.7467680000000003</v>
      </c>
      <c r="Z131" s="322">
        <f>+'RECHAZADOS A CA'!Z131+'RECH-RECUP_PS CA'!Z291</f>
        <v>7.8501023999999999</v>
      </c>
      <c r="AA131" s="343">
        <f t="shared" si="3"/>
        <v>7.2525175040000018</v>
      </c>
    </row>
    <row r="132" spans="1:27" ht="24.95" customHeight="1">
      <c r="A132" s="260" t="str">
        <f>+Pobl_adoptada!A132</f>
        <v>Tordillo</v>
      </c>
      <c r="B132" s="70">
        <f>+Pobl_adoptada!B132</f>
        <v>128</v>
      </c>
      <c r="C132" s="71" t="str">
        <f>+Pobl_adoptada!C132</f>
        <v>General Conesa</v>
      </c>
      <c r="D132" s="341"/>
      <c r="E132" s="278"/>
      <c r="F132" s="263"/>
      <c r="G132" s="322">
        <f>+'RECHAZADOS A CA'!G132+'RECH-RECUP_PS CA'!G292</f>
        <v>1.98316672</v>
      </c>
      <c r="H132" s="322">
        <f>+'RECHAZADOS A CA'!H132+'RECH-RECUP_PS CA'!H292</f>
        <v>1.92115872</v>
      </c>
      <c r="I132" s="322">
        <f>+'RECHAZADOS A CA'!I132+'RECH-RECUP_PS CA'!I292</f>
        <v>1.8531743999999999</v>
      </c>
      <c r="J132" s="322">
        <f>+'RECHAZADOS A CA'!J132+'RECH-RECUP_PS CA'!J292</f>
        <v>1.727392</v>
      </c>
      <c r="K132" s="322">
        <f>+'RECHAZADOS A CA'!K132+'RECH-RECUP_PS CA'!K292</f>
        <v>1.5924096000000003</v>
      </c>
      <c r="L132" s="322">
        <f>+'RECHAZADOS A CA'!L132+'RECH-RECUP_PS CA'!L292</f>
        <v>1.6401024</v>
      </c>
      <c r="M132" s="322">
        <f>+'RECHAZADOS A CA'!M132+'RECH-RECUP_PS CA'!M292</f>
        <v>1.6871328000000003</v>
      </c>
      <c r="N132" s="322">
        <f>+'RECHAZADOS A CA'!N132+'RECH-RECUP_PS CA'!N292</f>
        <v>1.7348255999999997</v>
      </c>
      <c r="O132" s="322">
        <f>+'RECHAZADOS A CA'!O132+'RECH-RECUP_PS CA'!O292</f>
        <v>1.7818560000000001</v>
      </c>
      <c r="P132" s="322">
        <f>+'RECHAZADOS A CA'!P132+'RECH-RECUP_PS CA'!P292</f>
        <v>1.8288864</v>
      </c>
      <c r="Q132" s="322">
        <f>+'RECHAZADOS A CA'!Q132+'RECH-RECUP_PS CA'!Q292</f>
        <v>1.8765792000000001</v>
      </c>
      <c r="R132" s="322">
        <f>+'RECHAZADOS A CA'!R132+'RECH-RECUP_PS CA'!R292</f>
        <v>1.9236096000000003</v>
      </c>
      <c r="S132" s="322">
        <f>+'RECHAZADOS A CA'!S132+'RECH-RECUP_PS CA'!S292</f>
        <v>1.9706400000000002</v>
      </c>
      <c r="T132" s="322">
        <f>+'RECHAZADOS A CA'!T132+'RECH-RECUP_PS CA'!T292</f>
        <v>2.0183328</v>
      </c>
      <c r="U132" s="322">
        <f>+'RECHAZADOS A CA'!U132+'RECH-RECUP_PS CA'!U292</f>
        <v>2.0653632000000002</v>
      </c>
      <c r="V132" s="322">
        <f>+'RECHAZADOS A CA'!V132+'RECH-RECUP_PS CA'!V292</f>
        <v>2.1130560000000003</v>
      </c>
      <c r="W132" s="322">
        <f>+'RECHAZADOS A CA'!W132+'RECH-RECUP_PS CA'!W292</f>
        <v>2.1600864000000004</v>
      </c>
      <c r="X132" s="322">
        <f>+'RECHAZADOS A CA'!X132+'RECH-RECUP_PS CA'!X292</f>
        <v>2.2071168000000001</v>
      </c>
      <c r="Y132" s="322">
        <f>+'RECHAZADOS A CA'!Y132+'RECH-RECUP_PS CA'!Y292</f>
        <v>2.2548096000000002</v>
      </c>
      <c r="Z132" s="322">
        <f>+'RECHAZADOS A CA'!Z132+'RECH-RECUP_PS CA'!Z292</f>
        <v>2.3018400000000003</v>
      </c>
      <c r="AA132" s="343">
        <f t="shared" si="3"/>
        <v>1.9320769119999999</v>
      </c>
    </row>
    <row r="133" spans="1:27" ht="24.95" customHeight="1">
      <c r="A133" s="260" t="str">
        <f>+Pobl_adoptada!A133</f>
        <v>Tornquist</v>
      </c>
      <c r="B133" s="70">
        <f>+Pobl_adoptada!B133</f>
        <v>129</v>
      </c>
      <c r="C133" s="71" t="str">
        <f>+Pobl_adoptada!C133</f>
        <v>Tornquist</v>
      </c>
      <c r="D133" s="341"/>
      <c r="E133" s="278"/>
      <c r="F133" s="263"/>
      <c r="G133" s="322">
        <f>+'RECHAZADOS A CA'!G133+'RECH-RECUP_PS CA'!G293</f>
        <v>7.0045120000000001</v>
      </c>
      <c r="H133" s="322">
        <f>+'RECHAZADOS A CA'!H133+'RECH-RECUP_PS CA'!H293</f>
        <v>6.6926246400000009</v>
      </c>
      <c r="I133" s="322">
        <f>+'RECHAZADOS A CA'!I133+'RECH-RECUP_PS CA'!I293</f>
        <v>6.3699328</v>
      </c>
      <c r="J133" s="322">
        <f>+'RECHAZADOS A CA'!J133+'RECH-RECUP_PS CA'!J293</f>
        <v>5.861504</v>
      </c>
      <c r="K133" s="322">
        <f>+'RECHAZADOS A CA'!K133+'RECH-RECUP_PS CA'!K293</f>
        <v>5.3389440000000006</v>
      </c>
      <c r="L133" s="322">
        <f>+'RECHAZADOS A CA'!L133+'RECH-RECUP_PS CA'!L293</f>
        <v>5.4217440000000012</v>
      </c>
      <c r="M133" s="322">
        <f>+'RECHAZADOS A CA'!M133+'RECH-RECUP_PS CA'!M293</f>
        <v>5.5038816000000006</v>
      </c>
      <c r="N133" s="322">
        <f>+'RECHAZADOS A CA'!N133+'RECH-RECUP_PS CA'!N293</f>
        <v>5.5866816000000004</v>
      </c>
      <c r="O133" s="322">
        <f>+'RECHAZADOS A CA'!O133+'RECH-RECUP_PS CA'!O293</f>
        <v>5.6688192000000006</v>
      </c>
      <c r="P133" s="322">
        <f>+'RECHAZADOS A CA'!P133+'RECH-RECUP_PS CA'!P293</f>
        <v>5.7516192000000004</v>
      </c>
      <c r="Q133" s="322">
        <f>+'RECHAZADOS A CA'!Q133+'RECH-RECUP_PS CA'!Q293</f>
        <v>5.8337567999999997</v>
      </c>
      <c r="R133" s="322">
        <f>+'RECHAZADOS A CA'!R133+'RECH-RECUP_PS CA'!R293</f>
        <v>5.9158944000000009</v>
      </c>
      <c r="S133" s="322">
        <f>+'RECHAZADOS A CA'!S133+'RECH-RECUP_PS CA'!S293</f>
        <v>5.9986944000000006</v>
      </c>
      <c r="T133" s="322">
        <f>+'RECHAZADOS A CA'!T133+'RECH-RECUP_PS CA'!T293</f>
        <v>6.0808320000000009</v>
      </c>
      <c r="U133" s="322">
        <f>+'RECHAZADOS A CA'!U133+'RECH-RECUP_PS CA'!U293</f>
        <v>6.1636320000000016</v>
      </c>
      <c r="V133" s="322">
        <f>+'RECHAZADOS A CA'!V133+'RECH-RECUP_PS CA'!V293</f>
        <v>6.2457696000000009</v>
      </c>
      <c r="W133" s="322">
        <f>+'RECHAZADOS A CA'!W133+'RECH-RECUP_PS CA'!W293</f>
        <v>6.3285696000000007</v>
      </c>
      <c r="X133" s="322">
        <f>+'RECHAZADOS A CA'!X133+'RECH-RECUP_PS CA'!X293</f>
        <v>6.4107072000000009</v>
      </c>
      <c r="Y133" s="322">
        <f>+'RECHAZADOS A CA'!Y133+'RECH-RECUP_PS CA'!Y293</f>
        <v>6.4928448000000003</v>
      </c>
      <c r="Z133" s="322">
        <f>+'RECHAZADOS A CA'!Z133+'RECH-RECUP_PS CA'!Z293</f>
        <v>6.5756448000000001</v>
      </c>
      <c r="AA133" s="343">
        <f t="shared" si="3"/>
        <v>6.0623304320000013</v>
      </c>
    </row>
    <row r="134" spans="1:27" ht="24.95" customHeight="1">
      <c r="A134" s="260" t="str">
        <f>+Pobl_adoptada!A134</f>
        <v>Trenque Lauquen</v>
      </c>
      <c r="B134" s="70">
        <f>+Pobl_adoptada!B134</f>
        <v>130</v>
      </c>
      <c r="C134" s="71" t="str">
        <f>+Pobl_adoptada!C134</f>
        <v>Trenque Lauquen</v>
      </c>
      <c r="D134" s="341"/>
      <c r="E134" s="278"/>
      <c r="F134" s="263"/>
      <c r="G134" s="322">
        <f>+'RECHAZADOS A CA'!G134+'RECH-RECUP_PS CA'!G294</f>
        <v>40.78951232</v>
      </c>
      <c r="H134" s="322">
        <f>+'RECHAZADOS A CA'!H134+'RECH-RECUP_PS CA'!H294</f>
        <v>38.846040480000006</v>
      </c>
      <c r="I134" s="322">
        <f>+'RECHAZADOS A CA'!I134+'RECH-RECUP_PS CA'!I294</f>
        <v>36.862390400000002</v>
      </c>
      <c r="J134" s="322">
        <f>+'RECHAZADOS A CA'!J134+'RECH-RECUP_PS CA'!J294</f>
        <v>33.823328000000004</v>
      </c>
      <c r="K134" s="322">
        <f>+'RECHAZADOS A CA'!K134+'RECH-RECUP_PS CA'!K294</f>
        <v>30.724142400000002</v>
      </c>
      <c r="L134" s="322">
        <f>+'RECHAZADOS A CA'!L134+'RECH-RECUP_PS CA'!L294</f>
        <v>31.011105600000004</v>
      </c>
      <c r="M134" s="322">
        <f>+'RECHAZADOS A CA'!M134+'RECH-RECUP_PS CA'!M294</f>
        <v>31.299595200000002</v>
      </c>
      <c r="N134" s="322">
        <f>+'RECHAZADOS A CA'!N134+'RECH-RECUP_PS CA'!N294</f>
        <v>31.591137600000003</v>
      </c>
      <c r="O134" s="322">
        <f>+'RECHAZADOS A CA'!O134+'RECH-RECUP_PS CA'!O294</f>
        <v>31.885732800000007</v>
      </c>
      <c r="P134" s="322">
        <f>+'RECHAZADOS A CA'!P134+'RECH-RECUP_PS CA'!P294</f>
        <v>32.1826176</v>
      </c>
      <c r="Q134" s="322">
        <f>+'RECHAZADOS A CA'!Q134+'RECH-RECUP_PS CA'!Q294</f>
        <v>32.4825552</v>
      </c>
      <c r="R134" s="322">
        <f>+'RECHAZADOS A CA'!R134+'RECH-RECUP_PS CA'!R294</f>
        <v>32.785545599999999</v>
      </c>
      <c r="S134" s="322">
        <f>+'RECHAZADOS A CA'!S134+'RECH-RECUP_PS CA'!S294</f>
        <v>33.090825600000009</v>
      </c>
      <c r="T134" s="322">
        <f>+'RECHAZADOS A CA'!T134+'RECH-RECUP_PS CA'!T294</f>
        <v>33.399158400000005</v>
      </c>
      <c r="U134" s="322">
        <f>+'RECHAZADOS A CA'!U134+'RECH-RECUP_PS CA'!U294</f>
        <v>33.710544000000006</v>
      </c>
      <c r="V134" s="322">
        <f>+'RECHAZADOS A CA'!V134+'RECH-RECUP_PS CA'!V294</f>
        <v>34.024219199999997</v>
      </c>
      <c r="W134" s="322">
        <f>+'RECHAZADOS A CA'!W134+'RECH-RECUP_PS CA'!W294</f>
        <v>34.341710400000004</v>
      </c>
      <c r="X134" s="322">
        <f>+'RECHAZADOS A CA'!X134+'RECH-RECUP_PS CA'!X294</f>
        <v>34.6614912</v>
      </c>
      <c r="Y134" s="322">
        <f>+'RECHAZADOS A CA'!Y134+'RECH-RECUP_PS CA'!Y294</f>
        <v>34.98432480000001</v>
      </c>
      <c r="Z134" s="322">
        <f>+'RECHAZADOS A CA'!Z134+'RECH-RECUP_PS CA'!Z294</f>
        <v>35.310211199999998</v>
      </c>
      <c r="AA134" s="343">
        <f t="shared" si="3"/>
        <v>33.8903094</v>
      </c>
    </row>
    <row r="135" spans="1:27" ht="24.95" customHeight="1">
      <c r="A135" s="260" t="str">
        <f>+Pobl_adoptada!A135</f>
        <v>Tres Arroyos</v>
      </c>
      <c r="B135" s="70">
        <f>+Pobl_adoptada!B135</f>
        <v>131</v>
      </c>
      <c r="C135" s="71" t="str">
        <f>+Pobl_adoptada!C135</f>
        <v>Tres Arroyos</v>
      </c>
      <c r="D135" s="341"/>
      <c r="E135" s="278"/>
      <c r="F135" s="263"/>
      <c r="G135" s="322">
        <f>+'RECHAZADOS A CA'!G135+'RECH-RECUP_PS CA'!G295</f>
        <v>52.129104000000005</v>
      </c>
      <c r="H135" s="322">
        <f>+'RECHAZADOS A CA'!H135+'RECH-RECUP_PS CA'!H295</f>
        <v>49.377818880000007</v>
      </c>
      <c r="I135" s="322">
        <f>+'RECHAZADOS A CA'!I135+'RECH-RECUP_PS CA'!I295</f>
        <v>46.607352000000006</v>
      </c>
      <c r="J135" s="322">
        <f>+'RECHAZADOS A CA'!J135+'RECH-RECUP_PS CA'!J295</f>
        <v>42.539920000000002</v>
      </c>
      <c r="K135" s="322">
        <f>+'RECHAZADOS A CA'!K135+'RECH-RECUP_PS CA'!K295</f>
        <v>38.441620799999995</v>
      </c>
      <c r="L135" s="322">
        <f>+'RECHAZADOS A CA'!L135+'RECH-RECUP_PS CA'!L295</f>
        <v>38.598840000000003</v>
      </c>
      <c r="M135" s="322">
        <f>+'RECHAZADOS A CA'!M135+'RECH-RECUP_PS CA'!M295</f>
        <v>38.759112000000002</v>
      </c>
      <c r="N135" s="322">
        <f>+'RECHAZADOS A CA'!N135+'RECH-RECUP_PS CA'!N295</f>
        <v>38.9224368</v>
      </c>
      <c r="O135" s="322">
        <f>+'RECHAZADOS A CA'!O135+'RECH-RECUP_PS CA'!O295</f>
        <v>39.087288000000008</v>
      </c>
      <c r="P135" s="322">
        <f>+'RECHAZADOS A CA'!P135+'RECH-RECUP_PS CA'!P295</f>
        <v>39.25595520000001</v>
      </c>
      <c r="Q135" s="322">
        <f>+'RECHAZADOS A CA'!Q135+'RECH-RECUP_PS CA'!Q295</f>
        <v>39.426912000000002</v>
      </c>
      <c r="R135" s="322">
        <f>+'RECHAZADOS A CA'!R135+'RECH-RECUP_PS CA'!R295</f>
        <v>39.600158399999998</v>
      </c>
      <c r="S135" s="322">
        <f>+'RECHAZADOS A CA'!S135+'RECH-RECUP_PS CA'!S295</f>
        <v>39.777220799999995</v>
      </c>
      <c r="T135" s="322">
        <f>+'RECHAZADOS A CA'!T135+'RECH-RECUP_PS CA'!T295</f>
        <v>39.956572799999996</v>
      </c>
      <c r="U135" s="322">
        <f>+'RECHAZADOS A CA'!U135+'RECH-RECUP_PS CA'!U295</f>
        <v>40.138977600000004</v>
      </c>
      <c r="V135" s="322">
        <f>+'RECHAZADOS A CA'!V135+'RECH-RECUP_PS CA'!V295</f>
        <v>40.324435200000003</v>
      </c>
      <c r="W135" s="322">
        <f>+'RECHAZADOS A CA'!W135+'RECH-RECUP_PS CA'!W295</f>
        <v>40.512945600000002</v>
      </c>
      <c r="X135" s="322">
        <f>+'RECHAZADOS A CA'!X135+'RECH-RECUP_PS CA'!X295</f>
        <v>40.704508799999992</v>
      </c>
      <c r="Y135" s="322">
        <f>+'RECHAZADOS A CA'!Y135+'RECH-RECUP_PS CA'!Y295</f>
        <v>40.899124799999996</v>
      </c>
      <c r="Z135" s="322">
        <f>+'RECHAZADOS A CA'!Z135+'RECH-RECUP_PS CA'!Z295</f>
        <v>41.096793600000012</v>
      </c>
      <c r="AA135" s="343">
        <f t="shared" si="3"/>
        <v>41.307854863999999</v>
      </c>
    </row>
    <row r="136" spans="1:27" ht="24.95" customHeight="1">
      <c r="A136" s="260" t="str">
        <f>+Pobl_adoptada!A136</f>
        <v>Tres Lomas</v>
      </c>
      <c r="B136" s="70">
        <f>+Pobl_adoptada!B136</f>
        <v>132</v>
      </c>
      <c r="C136" s="71" t="str">
        <f>+Pobl_adoptada!C136</f>
        <v>Tres Lomas</v>
      </c>
      <c r="D136" s="341"/>
      <c r="E136" s="278"/>
      <c r="F136" s="263"/>
      <c r="G136" s="322">
        <f>+'RECHAZADOS A CA'!G136+'RECH-RECUP_PS CA'!G296</f>
        <v>8.41362816</v>
      </c>
      <c r="H136" s="322">
        <f>+'RECHAZADOS A CA'!H136+'RECH-RECUP_PS CA'!H296</f>
        <v>8.0127216000000008</v>
      </c>
      <c r="I136" s="322">
        <f>+'RECHAZADOS A CA'!I136+'RECH-RECUP_PS CA'!I296</f>
        <v>7.6021440000000018</v>
      </c>
      <c r="J136" s="322">
        <f>+'RECHAZADOS A CA'!J136+'RECH-RECUP_PS CA'!J296</f>
        <v>6.9743359999999992</v>
      </c>
      <c r="K136" s="322">
        <f>+'RECHAZADOS A CA'!K136+'RECH-RECUP_PS CA'!K296</f>
        <v>6.3332063999999999</v>
      </c>
      <c r="L136" s="322">
        <f>+'RECHAZADOS A CA'!L136+'RECH-RECUP_PS CA'!L296</f>
        <v>6.3901727999999993</v>
      </c>
      <c r="M136" s="322">
        <f>+'RECHAZADOS A CA'!M136+'RECH-RECUP_PS CA'!M296</f>
        <v>6.446476800000001</v>
      </c>
      <c r="N136" s="322">
        <f>+'RECHAZADOS A CA'!N136+'RECH-RECUP_PS CA'!N296</f>
        <v>6.5034432000000004</v>
      </c>
      <c r="O136" s="322">
        <f>+'RECHAZADOS A CA'!O136+'RECH-RECUP_PS CA'!O296</f>
        <v>6.5597472000000003</v>
      </c>
      <c r="P136" s="322">
        <f>+'RECHAZADOS A CA'!P136+'RECH-RECUP_PS CA'!P296</f>
        <v>6.6167136000000006</v>
      </c>
      <c r="Q136" s="322">
        <f>+'RECHAZADOS A CA'!Q136+'RECH-RECUP_PS CA'!Q296</f>
        <v>6.6730175999999997</v>
      </c>
      <c r="R136" s="322">
        <f>+'RECHAZADOS A CA'!R136+'RECH-RECUP_PS CA'!R296</f>
        <v>6.729984</v>
      </c>
      <c r="S136" s="322">
        <f>+'RECHAZADOS A CA'!S136+'RECH-RECUP_PS CA'!S296</f>
        <v>6.7862879999999999</v>
      </c>
      <c r="T136" s="322">
        <f>+'RECHAZADOS A CA'!T136+'RECH-RECUP_PS CA'!T296</f>
        <v>6.8432544000000011</v>
      </c>
      <c r="U136" s="322">
        <f>+'RECHAZADOS A CA'!U136+'RECH-RECUP_PS CA'!U296</f>
        <v>6.8995584000000019</v>
      </c>
      <c r="V136" s="322">
        <f>+'RECHAZADOS A CA'!V136+'RECH-RECUP_PS CA'!V296</f>
        <v>6.9565248000000004</v>
      </c>
      <c r="W136" s="322">
        <f>+'RECHAZADOS A CA'!W136+'RECH-RECUP_PS CA'!W296</f>
        <v>7.0128288000000003</v>
      </c>
      <c r="X136" s="322">
        <f>+'RECHAZADOS A CA'!X136+'RECH-RECUP_PS CA'!X296</f>
        <v>7.0697951999999997</v>
      </c>
      <c r="Y136" s="322">
        <f>+'RECHAZADOS A CA'!Y136+'RECH-RECUP_PS CA'!Y296</f>
        <v>7.1260992000000005</v>
      </c>
      <c r="Z136" s="322">
        <f>+'RECHAZADOS A CA'!Z136+'RECH-RECUP_PS CA'!Z296</f>
        <v>7.1830655999999991</v>
      </c>
      <c r="AA136" s="343">
        <f t="shared" si="3"/>
        <v>6.9566502880000005</v>
      </c>
    </row>
    <row r="137" spans="1:27" ht="24.95" customHeight="1">
      <c r="A137" s="260" t="str">
        <f>+Pobl_adoptada!A137</f>
        <v>Villa Gesell</v>
      </c>
      <c r="B137" s="70">
        <f>+Pobl_adoptada!B137</f>
        <v>133</v>
      </c>
      <c r="C137" s="71" t="str">
        <f>+Pobl_adoptada!C137</f>
        <v>Villa Gesell</v>
      </c>
      <c r="D137" s="341"/>
      <c r="E137" s="278"/>
      <c r="F137" s="263"/>
      <c r="G137" s="322">
        <f>+'RECHAZADOS A CA'!G137+'RECH-RECUP_PS CA'!G297</f>
        <v>68.60275200000001</v>
      </c>
      <c r="H137" s="322">
        <f>+'RECHAZADOS A CA'!H137+'RECH-RECUP_PS CA'!H297</f>
        <v>65.882363040000001</v>
      </c>
      <c r="I137" s="322">
        <f>+'RECHAZADOS A CA'!I137+'RECH-RECUP_PS CA'!I297</f>
        <v>63.024086400000002</v>
      </c>
      <c r="J137" s="322">
        <f>+'RECHAZADOS A CA'!J137+'RECH-RECUP_PS CA'!J297</f>
        <v>58.279535999999993</v>
      </c>
      <c r="K137" s="322">
        <f>+'RECHAZADOS A CA'!K137+'RECH-RECUP_PS CA'!K297</f>
        <v>53.338003199999989</v>
      </c>
      <c r="L137" s="322">
        <f>+'RECHAZADOS A CA'!L137+'RECH-RECUP_PS CA'!L297</f>
        <v>54.224424000000006</v>
      </c>
      <c r="M137" s="322">
        <f>+'RECHAZADOS A CA'!M137+'RECH-RECUP_PS CA'!M297</f>
        <v>55.110844800000002</v>
      </c>
      <c r="N137" s="322">
        <f>+'RECHAZADOS A CA'!N137+'RECH-RECUP_PS CA'!N297</f>
        <v>55.998000000000005</v>
      </c>
      <c r="O137" s="322">
        <f>+'RECHAZADOS A CA'!O137+'RECH-RECUP_PS CA'!O297</f>
        <v>56.883686399999988</v>
      </c>
      <c r="P137" s="322">
        <f>+'RECHAZADOS A CA'!P137+'RECH-RECUP_PS CA'!P297</f>
        <v>57.770107200000005</v>
      </c>
      <c r="Q137" s="322">
        <f>+'RECHAZADOS A CA'!Q137+'RECH-RECUP_PS CA'!Q297</f>
        <v>58.6572624</v>
      </c>
      <c r="R137" s="322">
        <f>+'RECHAZADOS A CA'!R137+'RECH-RECUP_PS CA'!R297</f>
        <v>59.542948800000005</v>
      </c>
      <c r="S137" s="322">
        <f>+'RECHAZADOS A CA'!S137+'RECH-RECUP_PS CA'!S297</f>
        <v>60.430104000000007</v>
      </c>
      <c r="T137" s="322">
        <f>+'RECHAZADOS A CA'!T137+'RECH-RECUP_PS CA'!T297</f>
        <v>61.315790400000004</v>
      </c>
      <c r="U137" s="322">
        <f>+'RECHAZADOS A CA'!U137+'RECH-RECUP_PS CA'!U297</f>
        <v>62.2029456</v>
      </c>
      <c r="V137" s="322">
        <f>+'RECHAZADOS A CA'!V137+'RECH-RECUP_PS CA'!V297</f>
        <v>63.089366399999989</v>
      </c>
      <c r="W137" s="322">
        <f>+'RECHAZADOS A CA'!W137+'RECH-RECUP_PS CA'!W297</f>
        <v>63.9750528</v>
      </c>
      <c r="X137" s="322">
        <f>+'RECHAZADOS A CA'!X137+'RECH-RECUP_PS CA'!X297</f>
        <v>64.86220800000001</v>
      </c>
      <c r="Y137" s="322">
        <f>+'RECHAZADOS A CA'!Y137+'RECH-RECUP_PS CA'!Y297</f>
        <v>65.747894400000007</v>
      </c>
      <c r="Z137" s="322">
        <f>+'RECHAZADOS A CA'!Z137+'RECH-RECUP_PS CA'!Z297</f>
        <v>66.635049600000002</v>
      </c>
      <c r="AA137" s="343">
        <f t="shared" si="3"/>
        <v>60.778621271999995</v>
      </c>
    </row>
    <row r="138" spans="1:27" ht="24.95" customHeight="1">
      <c r="A138" s="260" t="str">
        <f>+Pobl_adoptada!A138</f>
        <v>Villarino</v>
      </c>
      <c r="B138" s="70">
        <f>+Pobl_adoptada!B138</f>
        <v>134</v>
      </c>
      <c r="C138" s="71" t="str">
        <f>+Pobl_adoptada!C138</f>
        <v>Médanos</v>
      </c>
      <c r="D138" s="341"/>
      <c r="E138" s="278"/>
      <c r="F138" s="263"/>
      <c r="G138" s="322">
        <f>+'RECHAZADOS A CA'!G138+'RECH-RECUP_PS CA'!G298</f>
        <v>5.3143027199999997</v>
      </c>
      <c r="H138" s="322">
        <f>+'RECHAZADOS A CA'!H138+'RECH-RECUP_PS CA'!H298</f>
        <v>5.0366908799999992</v>
      </c>
      <c r="I138" s="322">
        <f>+'RECHAZADOS A CA'!I138+'RECH-RECUP_PS CA'!I298</f>
        <v>4.7572095999999995</v>
      </c>
      <c r="J138" s="322">
        <f>+'RECHAZADOS A CA'!J138+'RECH-RECUP_PS CA'!J298</f>
        <v>4.3438720000000011</v>
      </c>
      <c r="K138" s="322">
        <f>+'RECHAZADOS A CA'!K138+'RECH-RECUP_PS CA'!K298</f>
        <v>3.9273696000000005</v>
      </c>
      <c r="L138" s="322">
        <f>+'RECHAZADOS A CA'!L138+'RECH-RECUP_PS CA'!L298</f>
        <v>3.9452544000000005</v>
      </c>
      <c r="M138" s="322">
        <f>+'RECHAZADOS A CA'!M138+'RECH-RECUP_PS CA'!M298</f>
        <v>3.9624768000000001</v>
      </c>
      <c r="N138" s="322">
        <f>+'RECHAZADOS A CA'!N138+'RECH-RECUP_PS CA'!N298</f>
        <v>3.9803616000000006</v>
      </c>
      <c r="O138" s="322">
        <f>+'RECHAZADOS A CA'!O138+'RECH-RECUP_PS CA'!O298</f>
        <v>3.9975839999999998</v>
      </c>
      <c r="P138" s="322">
        <f>+'RECHAZADOS A CA'!P138+'RECH-RECUP_PS CA'!P298</f>
        <v>4.0154687999999998</v>
      </c>
      <c r="Q138" s="322">
        <f>+'RECHAZADOS A CA'!Q138+'RECH-RECUP_PS CA'!Q298</f>
        <v>4.0333536000000008</v>
      </c>
      <c r="R138" s="322">
        <f>+'RECHAZADOS A CA'!R138+'RECH-RECUP_PS CA'!R298</f>
        <v>4.0505759999999995</v>
      </c>
      <c r="S138" s="322">
        <f>+'RECHAZADOS A CA'!S138+'RECH-RECUP_PS CA'!S298</f>
        <v>4.0684608000000004</v>
      </c>
      <c r="T138" s="322">
        <f>+'RECHAZADOS A CA'!T138+'RECH-RECUP_PS CA'!T298</f>
        <v>4.085683200000001</v>
      </c>
      <c r="U138" s="322">
        <f>+'RECHAZADOS A CA'!U138+'RECH-RECUP_PS CA'!U298</f>
        <v>4.103568000000001</v>
      </c>
      <c r="V138" s="322">
        <f>+'RECHAZADOS A CA'!V138+'RECH-RECUP_PS CA'!V298</f>
        <v>4.1207903999999997</v>
      </c>
      <c r="W138" s="322">
        <f>+'RECHAZADOS A CA'!W138+'RECH-RECUP_PS CA'!W298</f>
        <v>4.1386751999999998</v>
      </c>
      <c r="X138" s="322">
        <f>+'RECHAZADOS A CA'!X138+'RECH-RECUP_PS CA'!X298</f>
        <v>4.1565599999999998</v>
      </c>
      <c r="Y138" s="322">
        <f>+'RECHAZADOS A CA'!Y138+'RECH-RECUP_PS CA'!Y298</f>
        <v>4.1737824000000003</v>
      </c>
      <c r="Z138" s="322">
        <f>+'RECHAZADOS A CA'!Z138+'RECH-RECUP_PS CA'!Z298</f>
        <v>4.1916672000000004</v>
      </c>
      <c r="AA138" s="343">
        <f t="shared" si="3"/>
        <v>4.2201853600000003</v>
      </c>
    </row>
    <row r="139" spans="1:27" ht="24.95" customHeight="1">
      <c r="A139" s="260" t="str">
        <f>+Pobl_adoptada!A139</f>
        <v>Zárate</v>
      </c>
      <c r="B139" s="70">
        <f>+Pobl_adoptada!B139</f>
        <v>135</v>
      </c>
      <c r="C139" s="71" t="str">
        <f>+Pobl_adoptada!C139</f>
        <v>Zárate</v>
      </c>
      <c r="D139" s="341"/>
      <c r="E139" s="278"/>
      <c r="F139" s="263"/>
      <c r="G139" s="322">
        <f>+'RECHAZADOS A CA'!G139+'RECH-RECUP_PS CA'!G299</f>
        <v>120.29158656000001</v>
      </c>
      <c r="H139" s="322">
        <f>+'RECHAZADOS A CA'!H139+'RECH-RECUP_PS CA'!H299</f>
        <v>114.84135936000001</v>
      </c>
      <c r="I139" s="322">
        <f>+'RECHAZADOS A CA'!I139+'RECH-RECUP_PS CA'!I299</f>
        <v>109.2459984</v>
      </c>
      <c r="J139" s="322">
        <f>+'RECHAZADOS A CA'!J139+'RECH-RECUP_PS CA'!J299</f>
        <v>100.48713599999999</v>
      </c>
      <c r="K139" s="322">
        <f>+'RECHAZADOS A CA'!K139+'RECH-RECUP_PS CA'!K299</f>
        <v>91.506974400000004</v>
      </c>
      <c r="L139" s="322">
        <f>+'RECHAZADOS A CA'!L139+'RECH-RECUP_PS CA'!L299</f>
        <v>92.588011199999997</v>
      </c>
      <c r="M139" s="322">
        <f>+'RECHAZADOS A CA'!M139+'RECH-RECUP_PS CA'!M299</f>
        <v>93.681532800000014</v>
      </c>
      <c r="N139" s="322">
        <f>+'RECHAZADOS A CA'!N139+'RECH-RECUP_PS CA'!N299</f>
        <v>94.787539199999998</v>
      </c>
      <c r="O139" s="322">
        <f>+'RECHAZADOS A CA'!O139+'RECH-RECUP_PS CA'!O299</f>
        <v>95.907499200000018</v>
      </c>
      <c r="P139" s="322">
        <f>+'RECHAZADOS A CA'!P139+'RECH-RECUP_PS CA'!P299</f>
        <v>97.039944000000006</v>
      </c>
      <c r="Q139" s="322">
        <f>+'RECHAZADOS A CA'!Q139+'RECH-RECUP_PS CA'!Q299</f>
        <v>98.186342400000001</v>
      </c>
      <c r="R139" s="322">
        <f>+'RECHAZADOS A CA'!R139+'RECH-RECUP_PS CA'!R299</f>
        <v>99.345960000000019</v>
      </c>
      <c r="S139" s="322">
        <f>+'RECHAZADOS A CA'!S139+'RECH-RECUP_PS CA'!S299</f>
        <v>100.51953119999999</v>
      </c>
      <c r="T139" s="322">
        <f>+'RECHAZADOS A CA'!T139+'RECH-RECUP_PS CA'!T299</f>
        <v>101.7063216</v>
      </c>
      <c r="U139" s="322">
        <f>+'RECHAZADOS A CA'!U139+'RECH-RECUP_PS CA'!U299</f>
        <v>102.90780000000001</v>
      </c>
      <c r="V139" s="322">
        <f>+'RECHAZADOS A CA'!V139+'RECH-RECUP_PS CA'!V299</f>
        <v>104.123232</v>
      </c>
      <c r="W139" s="322">
        <f>+'RECHAZADOS A CA'!W139+'RECH-RECUP_PS CA'!W299</f>
        <v>105.3526176</v>
      </c>
      <c r="X139" s="322">
        <f>+'RECHAZADOS A CA'!X139+'RECH-RECUP_PS CA'!X299</f>
        <v>106.59742560000001</v>
      </c>
      <c r="Y139" s="322">
        <f>+'RECHAZADOS A CA'!Y139+'RECH-RECUP_PS CA'!Y299</f>
        <v>107.85618720000001</v>
      </c>
      <c r="Z139" s="322">
        <f>+'RECHAZADOS A CA'!Z139+'RECH-RECUP_PS CA'!Z299</f>
        <v>109.13037119999998</v>
      </c>
      <c r="AA139" s="343">
        <f t="shared" si="3"/>
        <v>102.30516849599999</v>
      </c>
    </row>
    <row r="140" spans="1:27" ht="24.95" customHeight="1">
      <c r="A140" s="260" t="str">
        <f>+Pobl_adoptada!A140</f>
        <v>CABA</v>
      </c>
      <c r="B140" s="70">
        <f>+Pobl_adoptada!B140</f>
        <v>136</v>
      </c>
      <c r="C140" s="71" t="str">
        <f>+Pobl_adoptada!C140</f>
        <v>CABA</v>
      </c>
      <c r="D140" s="341"/>
      <c r="E140" s="278"/>
      <c r="F140" s="263"/>
      <c r="G140" s="322">
        <f>+'RECHAZADOS A CA'!G140+'RECH-RECUP_PS CA'!G300</f>
        <v>7897.431883199999</v>
      </c>
      <c r="H140" s="322">
        <f>+'RECHAZADOS A CA'!H140+'RECH-RECUP_PS CA'!H300</f>
        <v>7509.2364360000001</v>
      </c>
      <c r="I140" s="322">
        <f>+'RECHAZADOS A CA'!I140+'RECH-RECUP_PS CA'!I300</f>
        <v>7115.0288615999998</v>
      </c>
      <c r="J140" s="322">
        <f>+'RECHAZADOS A CA'!J140+'RECH-RECUP_PS CA'!J300</f>
        <v>6519.0831120000003</v>
      </c>
      <c r="K140" s="322">
        <f>+'RECHAZADOS A CA'!K140+'RECH-RECUP_PS CA'!K300</f>
        <v>5913.708523199999</v>
      </c>
      <c r="L140" s="322">
        <f>+'RECHAZADOS A CA'!L140+'RECH-RECUP_PS CA'!L300</f>
        <v>5961.0006000000003</v>
      </c>
      <c r="M140" s="322">
        <f>+'RECHAZADOS A CA'!M140+'RECH-RECUP_PS CA'!M300</f>
        <v>6009.0652439999994</v>
      </c>
      <c r="N140" s="322">
        <f>+'RECHAZADOS A CA'!N140+'RECH-RECUP_PS CA'!N300</f>
        <v>6057.9136224000003</v>
      </c>
      <c r="O140" s="322">
        <f>+'RECHAZADOS A CA'!O140+'RECH-RECUP_PS CA'!O300</f>
        <v>6107.5589328000005</v>
      </c>
      <c r="P140" s="322">
        <f>+'RECHAZADOS A CA'!P140+'RECH-RECUP_PS CA'!P300</f>
        <v>6158.0123424000003</v>
      </c>
      <c r="Q140" s="322">
        <f>+'RECHAZADOS A CA'!Q140+'RECH-RECUP_PS CA'!Q300</f>
        <v>6209.2900943999994</v>
      </c>
      <c r="R140" s="322">
        <f>+'RECHAZADOS A CA'!R140+'RECH-RECUP_PS CA'!R300</f>
        <v>6261.4053863999998</v>
      </c>
      <c r="S140" s="322">
        <f>+'RECHAZADOS A CA'!S140+'RECH-RECUP_PS CA'!S300</f>
        <v>6314.3693855999991</v>
      </c>
      <c r="T140" s="322">
        <f>+'RECHAZADOS A CA'!T140+'RECH-RECUP_PS CA'!T300</f>
        <v>6368.1973200000002</v>
      </c>
      <c r="U140" s="322">
        <f>+'RECHAZADOS A CA'!U140+'RECH-RECUP_PS CA'!U300</f>
        <v>6422.9044176000007</v>
      </c>
      <c r="V140" s="322">
        <f>+'RECHAZADOS A CA'!V140+'RECH-RECUP_PS CA'!V300</f>
        <v>6478.5038759999989</v>
      </c>
      <c r="W140" s="322">
        <f>+'RECHAZADOS A CA'!W140+'RECH-RECUP_PS CA'!W300</f>
        <v>6535.009908</v>
      </c>
      <c r="X140" s="322">
        <f>+'RECHAZADOS A CA'!X140+'RECH-RECUP_PS CA'!X300</f>
        <v>6592.4367263999993</v>
      </c>
      <c r="Y140" s="322">
        <f>+'RECHAZADOS A CA'!Y140+'RECH-RECUP_PS CA'!Y300</f>
        <v>6650.8015896000006</v>
      </c>
      <c r="Z140" s="322">
        <f>+'RECHAZADOS A CA'!Z140+'RECH-RECUP_PS CA'!Z300</f>
        <v>6710.1187104000001</v>
      </c>
      <c r="AA140" s="343">
        <f t="shared" si="3"/>
        <v>6489.5538485999996</v>
      </c>
    </row>
    <row r="141" spans="1:27" ht="24.95" customHeight="1">
      <c r="A141" s="260" t="str">
        <f>+Pobl_adoptada!A141</f>
        <v>Adolfo Alsina</v>
      </c>
      <c r="B141" s="70">
        <f>+Pobl_adoptada!B141</f>
        <v>137</v>
      </c>
      <c r="C141" s="71" t="str">
        <f>+Pobl_adoptada!C141</f>
        <v>Rivera</v>
      </c>
      <c r="D141" s="341"/>
      <c r="E141" s="278"/>
      <c r="F141" s="263"/>
      <c r="G141" s="322">
        <f>+'RECHAZADOS A CA'!G141+'RECH-RECUP_PS CA'!G301</f>
        <v>3.03544064</v>
      </c>
      <c r="H141" s="322">
        <f>+'RECHAZADOS A CA'!H141+'RECH-RECUP_PS CA'!H301</f>
        <v>2.8718352000000005</v>
      </c>
      <c r="I141" s="322">
        <f>+'RECHAZADOS A CA'!I141+'RECH-RECUP_PS CA'!I301</f>
        <v>2.7073024000000001</v>
      </c>
      <c r="J141" s="322">
        <f>+'RECHAZADOS A CA'!J141+'RECH-RECUP_PS CA'!J301</f>
        <v>2.4685440000000005</v>
      </c>
      <c r="K141" s="322">
        <f>+'RECHAZADOS A CA'!K141+'RECH-RECUP_PS CA'!K301</f>
        <v>2.2276511999999999</v>
      </c>
      <c r="L141" s="322">
        <f>+'RECHAZADOS A CA'!L141+'RECH-RECUP_PS CA'!L301</f>
        <v>2.2336128000000004</v>
      </c>
      <c r="M141" s="322">
        <f>+'RECHAZADOS A CA'!M141+'RECH-RECUP_PS CA'!M301</f>
        <v>2.2395744000000004</v>
      </c>
      <c r="N141" s="322">
        <f>+'RECHAZADOS A CA'!N141+'RECH-RECUP_PS CA'!N301</f>
        <v>2.2461983999999999</v>
      </c>
      <c r="O141" s="322">
        <f>+'RECHAZADOS A CA'!O141+'RECH-RECUP_PS CA'!O301</f>
        <v>2.2521599999999999</v>
      </c>
      <c r="P141" s="322">
        <f>+'RECHAZADOS A CA'!P141+'RECH-RECUP_PS CA'!P301</f>
        <v>2.2581216</v>
      </c>
      <c r="Q141" s="322">
        <f>+'RECHAZADOS A CA'!Q141+'RECH-RECUP_PS CA'!Q301</f>
        <v>2.2647455999999999</v>
      </c>
      <c r="R141" s="322">
        <f>+'RECHAZADOS A CA'!R141+'RECH-RECUP_PS CA'!R301</f>
        <v>2.2707071999999999</v>
      </c>
      <c r="S141" s="322">
        <f>+'RECHAZADOS A CA'!S141+'RECH-RECUP_PS CA'!S301</f>
        <v>2.2766687999999999</v>
      </c>
      <c r="T141" s="322">
        <f>+'RECHAZADOS A CA'!T141+'RECH-RECUP_PS CA'!T301</f>
        <v>2.2832927999999999</v>
      </c>
      <c r="U141" s="322">
        <f>+'RECHAZADOS A CA'!U141+'RECH-RECUP_PS CA'!U301</f>
        <v>2.2892543999999999</v>
      </c>
      <c r="V141" s="322">
        <f>+'RECHAZADOS A CA'!V141+'RECH-RECUP_PS CA'!V301</f>
        <v>2.2952159999999999</v>
      </c>
      <c r="W141" s="322">
        <f>+'RECHAZADOS A CA'!W141+'RECH-RECUP_PS CA'!W301</f>
        <v>2.3018400000000003</v>
      </c>
      <c r="X141" s="322">
        <f>+'RECHAZADOS A CA'!X141+'RECH-RECUP_PS CA'!X301</f>
        <v>2.3078016000000003</v>
      </c>
      <c r="Y141" s="322">
        <f>+'RECHAZADOS A CA'!Y141+'RECH-RECUP_PS CA'!Y301</f>
        <v>2.3137632000000004</v>
      </c>
      <c r="Z141" s="322">
        <f>+'RECHAZADOS A CA'!Z141+'RECH-RECUP_PS CA'!Z301</f>
        <v>2.3203872000000003</v>
      </c>
      <c r="AA141" s="343">
        <f t="shared" si="3"/>
        <v>2.3732058719999998</v>
      </c>
    </row>
    <row r="142" spans="1:27" ht="24.95" customHeight="1">
      <c r="A142" s="260" t="str">
        <f>+Pobl_adoptada!A142</f>
        <v>Carlos Tejedor</v>
      </c>
      <c r="B142" s="70">
        <f>+Pobl_adoptada!B142</f>
        <v>138</v>
      </c>
      <c r="C142" s="71" t="str">
        <f>+Pobl_adoptada!C142</f>
        <v>Tres Algarrobos</v>
      </c>
      <c r="D142" s="341"/>
      <c r="E142" s="278"/>
      <c r="F142" s="263"/>
      <c r="G142" s="322">
        <f>+'RECHAZADOS A CA'!G142+'RECH-RECUP_PS CA'!G302</f>
        <v>3.20519168</v>
      </c>
      <c r="H142" s="322">
        <f>+'RECHAZADOS A CA'!H142+'RECH-RECUP_PS CA'!H302</f>
        <v>3.0414758399999999</v>
      </c>
      <c r="I142" s="322">
        <f>+'RECHAZADOS A CA'!I142+'RECH-RECUP_PS CA'!I302</f>
        <v>2.8756992000000001</v>
      </c>
      <c r="J142" s="322">
        <f>+'RECHAZADOS A CA'!J142+'RECH-RECUP_PS CA'!J302</f>
        <v>2.6289920000000002</v>
      </c>
      <c r="K142" s="322">
        <f>+'RECHAZADOS A CA'!K142+'RECH-RECUP_PS CA'!K302</f>
        <v>2.3793408</v>
      </c>
      <c r="L142" s="322">
        <f>+'RECHAZADOS A CA'!L142+'RECH-RECUP_PS CA'!L302</f>
        <v>2.3925888</v>
      </c>
      <c r="M142" s="322">
        <f>+'RECHAZADOS A CA'!M142+'RECH-RECUP_PS CA'!M302</f>
        <v>2.4058367999999999</v>
      </c>
      <c r="N142" s="322">
        <f>+'RECHAZADOS A CA'!N142+'RECH-RECUP_PS CA'!N302</f>
        <v>2.4190848000000003</v>
      </c>
      <c r="O142" s="322">
        <f>+'RECHAZADOS A CA'!O142+'RECH-RECUP_PS CA'!O302</f>
        <v>2.4323328000000002</v>
      </c>
      <c r="P142" s="322">
        <f>+'RECHAZADOS A CA'!P142+'RECH-RECUP_PS CA'!P302</f>
        <v>2.4455808000000001</v>
      </c>
      <c r="Q142" s="322">
        <f>+'RECHAZADOS A CA'!Q142+'RECH-RECUP_PS CA'!Q302</f>
        <v>2.4588288</v>
      </c>
      <c r="R142" s="322">
        <f>+'RECHAZADOS A CA'!R142+'RECH-RECUP_PS CA'!R302</f>
        <v>2.4720768</v>
      </c>
      <c r="S142" s="322">
        <f>+'RECHAZADOS A CA'!S142+'RECH-RECUP_PS CA'!S302</f>
        <v>2.4853247999999999</v>
      </c>
      <c r="T142" s="322">
        <f>+'RECHAZADOS A CA'!T142+'RECH-RECUP_PS CA'!T302</f>
        <v>2.4985728000000003</v>
      </c>
      <c r="U142" s="322">
        <f>+'RECHAZADOS A CA'!U142+'RECH-RECUP_PS CA'!U302</f>
        <v>2.5118208000000002</v>
      </c>
      <c r="V142" s="322">
        <f>+'RECHAZADOS A CA'!V142+'RECH-RECUP_PS CA'!V302</f>
        <v>2.5250688000000001</v>
      </c>
      <c r="W142" s="322">
        <f>+'RECHAZADOS A CA'!W142+'RECH-RECUP_PS CA'!W302</f>
        <v>2.5383168</v>
      </c>
      <c r="X142" s="322">
        <f>+'RECHAZADOS A CA'!X142+'RECH-RECUP_PS CA'!X302</f>
        <v>2.5515648</v>
      </c>
      <c r="Y142" s="322">
        <f>+'RECHAZADOS A CA'!Y142+'RECH-RECUP_PS CA'!Y302</f>
        <v>2.5648128000000003</v>
      </c>
      <c r="Z142" s="322">
        <f>+'RECHAZADOS A CA'!Z142+'RECH-RECUP_PS CA'!Z302</f>
        <v>2.5780608000000003</v>
      </c>
      <c r="AA142" s="343">
        <f t="shared" si="3"/>
        <v>2.5705285760000001</v>
      </c>
    </row>
    <row r="143" spans="1:27" ht="24.95" customHeight="1">
      <c r="A143" s="260" t="str">
        <f>+Pobl_adoptada!A143</f>
        <v>Exaltación de la Cruz</v>
      </c>
      <c r="B143" s="70">
        <f>+Pobl_adoptada!B143</f>
        <v>139</v>
      </c>
      <c r="C143" s="71" t="str">
        <f>+Pobl_adoptada!C143</f>
        <v>Los Cardales</v>
      </c>
      <c r="D143" s="341"/>
      <c r="E143" s="278"/>
      <c r="F143" s="263"/>
      <c r="G143" s="322">
        <f>+'RECHAZADOS A CA'!G143+'RECH-RECUP_PS CA'!G303</f>
        <v>11.686355199999999</v>
      </c>
      <c r="H143" s="322">
        <f>+'RECHAZADOS A CA'!H143+'RECH-RECUP_PS CA'!H303</f>
        <v>11.372811839999999</v>
      </c>
      <c r="I143" s="322">
        <f>+'RECHAZADOS A CA'!I143+'RECH-RECUP_PS CA'!I303</f>
        <v>11.024323200000001</v>
      </c>
      <c r="J143" s="322">
        <f>+'RECHAZADOS A CA'!J143+'RECH-RECUP_PS CA'!J303</f>
        <v>10.328288000000001</v>
      </c>
      <c r="K143" s="322">
        <f>+'RECHAZADOS A CA'!K143+'RECH-RECUP_PS CA'!K303</f>
        <v>9.5749919999999999</v>
      </c>
      <c r="L143" s="322">
        <f>+'RECHAZADOS A CA'!L143+'RECH-RECUP_PS CA'!L303</f>
        <v>9.8598240000000015</v>
      </c>
      <c r="M143" s="322">
        <f>+'RECHAZADOS A CA'!M143+'RECH-RECUP_PS CA'!M303</f>
        <v>10.1492928</v>
      </c>
      <c r="N143" s="322">
        <f>+'RECHAZADOS A CA'!N143+'RECH-RECUP_PS CA'!N303</f>
        <v>10.442736000000002</v>
      </c>
      <c r="O143" s="322">
        <f>+'RECHAZADOS A CA'!O143+'RECH-RECUP_PS CA'!O303</f>
        <v>10.741478400000002</v>
      </c>
      <c r="P143" s="322">
        <f>+'RECHAZADOS A CA'!P143+'RECH-RECUP_PS CA'!P303</f>
        <v>11.04552</v>
      </c>
      <c r="Q143" s="322">
        <f>+'RECHAZADOS A CA'!Q143+'RECH-RECUP_PS CA'!Q303</f>
        <v>11.353536</v>
      </c>
      <c r="R143" s="322">
        <f>+'RECHAZADOS A CA'!R143+'RECH-RECUP_PS CA'!R303</f>
        <v>11.667513599999999</v>
      </c>
      <c r="S143" s="322">
        <f>+'RECHAZADOS A CA'!S143+'RECH-RECUP_PS CA'!S303</f>
        <v>11.986128000000001</v>
      </c>
      <c r="T143" s="322">
        <f>+'RECHAZADOS A CA'!T143+'RECH-RECUP_PS CA'!T303</f>
        <v>12.3100416</v>
      </c>
      <c r="U143" s="322">
        <f>+'RECHAZADOS A CA'!U143+'RECH-RECUP_PS CA'!U303</f>
        <v>12.639254399999999</v>
      </c>
      <c r="V143" s="322">
        <f>+'RECHAZADOS A CA'!V143+'RECH-RECUP_PS CA'!V303</f>
        <v>12.973766399999999</v>
      </c>
      <c r="W143" s="322">
        <f>+'RECHAZADOS A CA'!W143+'RECH-RECUP_PS CA'!W303</f>
        <v>13.3135776</v>
      </c>
      <c r="X143" s="322">
        <f>+'RECHAZADOS A CA'!X143+'RECH-RECUP_PS CA'!X303</f>
        <v>13.659350399999999</v>
      </c>
      <c r="Y143" s="322">
        <f>+'RECHAZADOS A CA'!Y143+'RECH-RECUP_PS CA'!Y303</f>
        <v>14.010422400000003</v>
      </c>
      <c r="Z143" s="322">
        <f>+'RECHAZADOS A CA'!Z143+'RECH-RECUP_PS CA'!Z303</f>
        <v>14.367456000000001</v>
      </c>
      <c r="AA143" s="343">
        <f t="shared" si="3"/>
        <v>11.725333392000001</v>
      </c>
    </row>
    <row r="144" spans="1:27" ht="24.95" customHeight="1">
      <c r="A144" s="260" t="str">
        <f>+Pobl_adoptada!A144</f>
        <v>Exaltación de la Cruz</v>
      </c>
      <c r="B144" s="70">
        <f>+Pobl_adoptada!B144</f>
        <v>140</v>
      </c>
      <c r="C144" s="71" t="str">
        <f>+Pobl_adoptada!C144</f>
        <v>Parada Robles - Pavón</v>
      </c>
      <c r="D144" s="341"/>
      <c r="E144" s="278"/>
      <c r="F144" s="263"/>
      <c r="G144" s="322">
        <f>+'RECHAZADOS A CA'!G144+'RECH-RECUP_PS CA'!G304</f>
        <v>18.914741760000002</v>
      </c>
      <c r="H144" s="322">
        <f>+'RECHAZADOS A CA'!H144+'RECH-RECUP_PS CA'!H304</f>
        <v>18.555376320000004</v>
      </c>
      <c r="I144" s="322">
        <f>+'RECHAZADOS A CA'!I144+'RECH-RECUP_PS CA'!I304</f>
        <v>18.121505600000006</v>
      </c>
      <c r="J144" s="322">
        <f>+'RECHAZADOS A CA'!J144+'RECH-RECUP_PS CA'!J304</f>
        <v>17.099072</v>
      </c>
      <c r="K144" s="322">
        <f>+'RECHAZADOS A CA'!K144+'RECH-RECUP_PS CA'!K304</f>
        <v>15.960801600000003</v>
      </c>
      <c r="L144" s="322">
        <f>+'RECHAZADOS A CA'!L144+'RECH-RECUP_PS CA'!L304</f>
        <v>16.542359999999999</v>
      </c>
      <c r="M144" s="322">
        <f>+'RECHAZADOS A CA'!M144+'RECH-RECUP_PS CA'!M304</f>
        <v>17.133076800000001</v>
      </c>
      <c r="N144" s="322">
        <f>+'RECHAZADOS A CA'!N144+'RECH-RECUP_PS CA'!N304</f>
        <v>17.732952000000001</v>
      </c>
      <c r="O144" s="322">
        <f>+'RECHAZADOS A CA'!O144+'RECH-RECUP_PS CA'!O304</f>
        <v>18.342748800000003</v>
      </c>
      <c r="P144" s="322">
        <f>+'RECHAZADOS A CA'!P144+'RECH-RECUP_PS CA'!P304</f>
        <v>18.9632304</v>
      </c>
      <c r="Q144" s="322">
        <f>+'RECHAZADOS A CA'!Q144+'RECH-RECUP_PS CA'!Q304</f>
        <v>19.592870399999999</v>
      </c>
      <c r="R144" s="322">
        <f>+'RECHAZADOS A CA'!R144+'RECH-RECUP_PS CA'!R304</f>
        <v>20.233195199999997</v>
      </c>
      <c r="S144" s="322">
        <f>+'RECHAZADOS A CA'!S144+'RECH-RECUP_PS CA'!S304</f>
        <v>20.884204800000003</v>
      </c>
      <c r="T144" s="322">
        <f>+'RECHAZADOS A CA'!T144+'RECH-RECUP_PS CA'!T304</f>
        <v>21.545899200000001</v>
      </c>
      <c r="U144" s="322">
        <f>+'RECHAZADOS A CA'!U144+'RECH-RECUP_PS CA'!U304</f>
        <v>22.218278400000003</v>
      </c>
      <c r="V144" s="322">
        <f>+'RECHAZADOS A CA'!V144+'RECH-RECUP_PS CA'!V304</f>
        <v>22.901342400000004</v>
      </c>
      <c r="W144" s="322">
        <f>+'RECHAZADOS A CA'!W144+'RECH-RECUP_PS CA'!W304</f>
        <v>23.595854400000004</v>
      </c>
      <c r="X144" s="322">
        <f>+'RECHAZADOS A CA'!X144+'RECH-RECUP_PS CA'!X304</f>
        <v>24.301051200000003</v>
      </c>
      <c r="Y144" s="322">
        <f>+'RECHAZADOS A CA'!Y144+'RECH-RECUP_PS CA'!Y304</f>
        <v>25.018459200000002</v>
      </c>
      <c r="Z144" s="322">
        <f>+'RECHAZADOS A CA'!Z144+'RECH-RECUP_PS CA'!Z304</f>
        <v>25.747315200000006</v>
      </c>
      <c r="AA144" s="343">
        <f t="shared" si="3"/>
        <v>20.170216784000001</v>
      </c>
    </row>
    <row r="145" spans="1:27" ht="24.95" customHeight="1">
      <c r="A145" s="260" t="str">
        <f>+Pobl_adoptada!A145</f>
        <v>General Alvarado</v>
      </c>
      <c r="B145" s="70">
        <f>+Pobl_adoptada!B145</f>
        <v>141</v>
      </c>
      <c r="C145" s="71" t="str">
        <f>+Pobl_adoptada!C145</f>
        <v>Comandante Nicanor Otamendi</v>
      </c>
      <c r="D145" s="341"/>
      <c r="E145" s="278"/>
      <c r="F145" s="263"/>
      <c r="G145" s="322">
        <f>+'RECHAZADOS A CA'!G145+'RECH-RECUP_PS CA'!G305</f>
        <v>6.7599244799999996</v>
      </c>
      <c r="H145" s="322">
        <f>+'RECHAZADOS A CA'!H145+'RECH-RECUP_PS CA'!H305</f>
        <v>6.4230940800000011</v>
      </c>
      <c r="I145" s="322">
        <f>+'RECHAZADOS A CA'!I145+'RECH-RECUP_PS CA'!I305</f>
        <v>6.0817151999999997</v>
      </c>
      <c r="J145" s="322">
        <f>+'RECHAZADOS A CA'!J145+'RECH-RECUP_PS CA'!J305</f>
        <v>5.5678400000000003</v>
      </c>
      <c r="K145" s="322">
        <f>+'RECHAZADOS A CA'!K145+'RECH-RECUP_PS CA'!K305</f>
        <v>5.0461632000000005</v>
      </c>
      <c r="L145" s="322">
        <f>+'RECHAZADOS A CA'!L145+'RECH-RECUP_PS CA'!L305</f>
        <v>5.0806079999999998</v>
      </c>
      <c r="M145" s="322">
        <f>+'RECHAZADOS A CA'!M145+'RECH-RECUP_PS CA'!M305</f>
        <v>5.1157152000000004</v>
      </c>
      <c r="N145" s="322">
        <f>+'RECHAZADOS A CA'!N145+'RECH-RECUP_PS CA'!N305</f>
        <v>5.1508224</v>
      </c>
      <c r="O145" s="322">
        <f>+'RECHAZADOS A CA'!O145+'RECH-RECUP_PS CA'!O305</f>
        <v>5.1852672000000002</v>
      </c>
      <c r="P145" s="322">
        <f>+'RECHAZADOS A CA'!P145+'RECH-RECUP_PS CA'!P305</f>
        <v>5.2203744000000007</v>
      </c>
      <c r="Q145" s="322">
        <f>+'RECHAZADOS A CA'!Q145+'RECH-RECUP_PS CA'!Q305</f>
        <v>5.2554816000000004</v>
      </c>
      <c r="R145" s="322">
        <f>+'RECHAZADOS A CA'!R145+'RECH-RECUP_PS CA'!R305</f>
        <v>5.2899264000000006</v>
      </c>
      <c r="S145" s="322">
        <f>+'RECHAZADOS A CA'!S145+'RECH-RECUP_PS CA'!S305</f>
        <v>5.3250336000000003</v>
      </c>
      <c r="T145" s="322">
        <f>+'RECHAZADOS A CA'!T145+'RECH-RECUP_PS CA'!T305</f>
        <v>5.3601408000000008</v>
      </c>
      <c r="U145" s="322">
        <f>+'RECHAZADOS A CA'!U145+'RECH-RECUP_PS CA'!U305</f>
        <v>5.394585600000001</v>
      </c>
      <c r="V145" s="322">
        <f>+'RECHAZADOS A CA'!V145+'RECH-RECUP_PS CA'!V305</f>
        <v>5.4296928000000007</v>
      </c>
      <c r="W145" s="322">
        <f>+'RECHAZADOS A CA'!W145+'RECH-RECUP_PS CA'!W305</f>
        <v>5.4648000000000003</v>
      </c>
      <c r="X145" s="322">
        <f>+'RECHAZADOS A CA'!X145+'RECH-RECUP_PS CA'!X305</f>
        <v>5.4992448000000005</v>
      </c>
      <c r="Y145" s="322">
        <f>+'RECHAZADOS A CA'!Y145+'RECH-RECUP_PS CA'!Y305</f>
        <v>5.5343520000000002</v>
      </c>
      <c r="Z145" s="322">
        <f>+'RECHAZADOS A CA'!Z145+'RECH-RECUP_PS CA'!Z305</f>
        <v>5.5694592000000007</v>
      </c>
      <c r="AA145" s="343">
        <f t="shared" si="3"/>
        <v>5.4877120479999997</v>
      </c>
    </row>
    <row r="146" spans="1:27" ht="24.95" customHeight="1">
      <c r="A146" s="260" t="str">
        <f>+Pobl_adoptada!A146</f>
        <v>General Arenales</v>
      </c>
      <c r="B146" s="70">
        <f>+Pobl_adoptada!B146</f>
        <v>142</v>
      </c>
      <c r="C146" s="71" t="str">
        <f>+Pobl_adoptada!C146</f>
        <v>Arribeños</v>
      </c>
      <c r="D146" s="341"/>
      <c r="E146" s="278"/>
      <c r="F146" s="263"/>
      <c r="G146" s="322">
        <f>+'RECHAZADOS A CA'!G146+'RECH-RECUP_PS CA'!G306</f>
        <v>2.7333568000000006</v>
      </c>
      <c r="H146" s="322">
        <f>+'RECHAZADOS A CA'!H146+'RECH-RECUP_PS CA'!H306</f>
        <v>2.58422112</v>
      </c>
      <c r="I146" s="322">
        <f>+'RECHAZADOS A CA'!I146+'RECH-RECUP_PS CA'!I306</f>
        <v>2.4352768</v>
      </c>
      <c r="J146" s="322">
        <f>+'RECHAZADOS A CA'!J146+'RECH-RECUP_PS CA'!J306</f>
        <v>2.2183040000000003</v>
      </c>
      <c r="K146" s="322">
        <f>+'RECHAZADOS A CA'!K146+'RECH-RECUP_PS CA'!K306</f>
        <v>2.0011104000000004</v>
      </c>
      <c r="L146" s="322">
        <f>+'RECHAZADOS A CA'!L146+'RECH-RECUP_PS CA'!L306</f>
        <v>2.0050848000000001</v>
      </c>
      <c r="M146" s="322">
        <f>+'RECHAZADOS A CA'!M146+'RECH-RECUP_PS CA'!M306</f>
        <v>2.0097216000000002</v>
      </c>
      <c r="N146" s="322">
        <f>+'RECHAZADOS A CA'!N146+'RECH-RECUP_PS CA'!N306</f>
        <v>2.0136960000000004</v>
      </c>
      <c r="O146" s="322">
        <f>+'RECHAZADOS A CA'!O146+'RECH-RECUP_PS CA'!O306</f>
        <v>2.0183328</v>
      </c>
      <c r="P146" s="322">
        <f>+'RECHAZADOS A CA'!P146+'RECH-RECUP_PS CA'!P306</f>
        <v>2.0223072000000002</v>
      </c>
      <c r="Q146" s="322">
        <f>+'RECHAZADOS A CA'!Q146+'RECH-RECUP_PS CA'!Q306</f>
        <v>2.0269440000000003</v>
      </c>
      <c r="R146" s="322">
        <f>+'RECHAZADOS A CA'!R146+'RECH-RECUP_PS CA'!R306</f>
        <v>2.0315808000000004</v>
      </c>
      <c r="S146" s="322">
        <f>+'RECHAZADOS A CA'!S146+'RECH-RECUP_PS CA'!S306</f>
        <v>2.0355552000000001</v>
      </c>
      <c r="T146" s="322">
        <f>+'RECHAZADOS A CA'!T146+'RECH-RECUP_PS CA'!T306</f>
        <v>2.0401920000000002</v>
      </c>
      <c r="U146" s="322">
        <f>+'RECHAZADOS A CA'!U146+'RECH-RECUP_PS CA'!U306</f>
        <v>2.0441664000000004</v>
      </c>
      <c r="V146" s="322">
        <f>+'RECHAZADOS A CA'!V146+'RECH-RECUP_PS CA'!V306</f>
        <v>2.0488032</v>
      </c>
      <c r="W146" s="322">
        <f>+'RECHAZADOS A CA'!W146+'RECH-RECUP_PS CA'!W306</f>
        <v>2.0527776000000002</v>
      </c>
      <c r="X146" s="322">
        <f>+'RECHAZADOS A CA'!X146+'RECH-RECUP_PS CA'!X306</f>
        <v>2.0574143999999999</v>
      </c>
      <c r="Y146" s="322">
        <f>+'RECHAZADOS A CA'!Y146+'RECH-RECUP_PS CA'!Y306</f>
        <v>2.0613888</v>
      </c>
      <c r="Z146" s="322">
        <f>+'RECHAZADOS A CA'!Z146+'RECH-RECUP_PS CA'!Z306</f>
        <v>2.0660256000000001</v>
      </c>
      <c r="AA146" s="343">
        <f t="shared" si="3"/>
        <v>2.1253129760000005</v>
      </c>
    </row>
    <row r="147" spans="1:27" ht="24.95" customHeight="1">
      <c r="A147" s="260" t="str">
        <f>+Pobl_adoptada!A147</f>
        <v>General Arenales</v>
      </c>
      <c r="B147" s="70">
        <f>+Pobl_adoptada!B147</f>
        <v>143</v>
      </c>
      <c r="C147" s="71" t="str">
        <f>+Pobl_adoptada!C147</f>
        <v>Ascensión</v>
      </c>
      <c r="D147" s="341"/>
      <c r="E147" s="278"/>
      <c r="F147" s="263"/>
      <c r="G147" s="322">
        <f>+'RECHAZADOS A CA'!G147+'RECH-RECUP_PS CA'!G307</f>
        <v>4.0156160000000005</v>
      </c>
      <c r="H147" s="322">
        <f>+'RECHAZADOS A CA'!H147+'RECH-RECUP_PS CA'!H307</f>
        <v>3.8001225600000001</v>
      </c>
      <c r="I147" s="322">
        <f>+'RECHAZADOS A CA'!I147+'RECH-RECUP_PS CA'!I307</f>
        <v>3.5824799999999999</v>
      </c>
      <c r="J147" s="322">
        <f>+'RECHAZADOS A CA'!J147+'RECH-RECUP_PS CA'!J307</f>
        <v>3.2663679999999999</v>
      </c>
      <c r="K147" s="322">
        <f>+'RECHAZADOS A CA'!K147+'RECH-RECUP_PS CA'!K307</f>
        <v>2.9483424000000005</v>
      </c>
      <c r="L147" s="322">
        <f>+'RECHAZADOS A CA'!L147+'RECH-RECUP_PS CA'!L307</f>
        <v>2.9569536000000003</v>
      </c>
      <c r="M147" s="322">
        <f>+'RECHAZADOS A CA'!M147+'RECH-RECUP_PS CA'!M307</f>
        <v>2.9655648000000001</v>
      </c>
      <c r="N147" s="322">
        <f>+'RECHAZADOS A CA'!N147+'RECH-RECUP_PS CA'!N307</f>
        <v>2.9735136</v>
      </c>
      <c r="O147" s="322">
        <f>+'RECHAZADOS A CA'!O147+'RECH-RECUP_PS CA'!O307</f>
        <v>2.9821248000000002</v>
      </c>
      <c r="P147" s="322">
        <f>+'RECHAZADOS A CA'!P147+'RECH-RECUP_PS CA'!P307</f>
        <v>2.9907360000000005</v>
      </c>
      <c r="Q147" s="322">
        <f>+'RECHAZADOS A CA'!Q147+'RECH-RECUP_PS CA'!Q307</f>
        <v>2.9993472000000003</v>
      </c>
      <c r="R147" s="322">
        <f>+'RECHAZADOS A CA'!R147+'RECH-RECUP_PS CA'!R307</f>
        <v>3.0079584000000001</v>
      </c>
      <c r="S147" s="322">
        <f>+'RECHAZADOS A CA'!S147+'RECH-RECUP_PS CA'!S307</f>
        <v>3.0165696</v>
      </c>
      <c r="T147" s="322">
        <f>+'RECHAZADOS A CA'!T147+'RECH-RECUP_PS CA'!T307</f>
        <v>3.0245184000000003</v>
      </c>
      <c r="U147" s="322">
        <f>+'RECHAZADOS A CA'!U147+'RECH-RECUP_PS CA'!U307</f>
        <v>3.0331296000000005</v>
      </c>
      <c r="V147" s="322">
        <f>+'RECHAZADOS A CA'!V147+'RECH-RECUP_PS CA'!V307</f>
        <v>3.0417407999999999</v>
      </c>
      <c r="W147" s="322">
        <f>+'RECHAZADOS A CA'!W147+'RECH-RECUP_PS CA'!W307</f>
        <v>3.0503520000000002</v>
      </c>
      <c r="X147" s="322">
        <f>+'RECHAZADOS A CA'!X147+'RECH-RECUP_PS CA'!X307</f>
        <v>3.0589632000000004</v>
      </c>
      <c r="Y147" s="322">
        <f>+'RECHAZADOS A CA'!Y147+'RECH-RECUP_PS CA'!Y307</f>
        <v>3.0669120000000007</v>
      </c>
      <c r="Z147" s="322">
        <f>+'RECHAZADOS A CA'!Z147+'RECH-RECUP_PS CA'!Z307</f>
        <v>3.0755232000000001</v>
      </c>
      <c r="AA147" s="343">
        <f t="shared" si="3"/>
        <v>3.142841808</v>
      </c>
    </row>
    <row r="148" spans="1:27" ht="24.95" customHeight="1">
      <c r="A148" s="260" t="str">
        <f>+Pobl_adoptada!A148</f>
        <v>General Guido</v>
      </c>
      <c r="B148" s="70">
        <f>+Pobl_adoptada!B148</f>
        <v>144</v>
      </c>
      <c r="C148" s="71" t="str">
        <f>+Pobl_adoptada!C148</f>
        <v>Labarden</v>
      </c>
      <c r="D148" s="341"/>
      <c r="E148" s="278"/>
      <c r="F148" s="263"/>
      <c r="G148" s="322">
        <f>+'RECHAZADOS A CA'!G148+'RECH-RECUP_PS CA'!G308</f>
        <v>0.69816960000000006</v>
      </c>
      <c r="H148" s="322">
        <f>+'RECHAZADOS A CA'!H148+'RECH-RECUP_PS CA'!H308</f>
        <v>0.65703456000000005</v>
      </c>
      <c r="I148" s="322">
        <f>+'RECHAZADOS A CA'!I148+'RECH-RECUP_PS CA'!I308</f>
        <v>0.61529600000000007</v>
      </c>
      <c r="J148" s="322">
        <f>+'RECHAZADOS A CA'!J148+'RECH-RECUP_PS CA'!J308</f>
        <v>0.55788800000000005</v>
      </c>
      <c r="K148" s="322">
        <f>+'RECHAZADOS A CA'!K148+'RECH-RECUP_PS CA'!K308</f>
        <v>0.50077440000000006</v>
      </c>
      <c r="L148" s="322">
        <f>+'RECHAZADOS A CA'!L148+'RECH-RECUP_PS CA'!L308</f>
        <v>0.49944960000000005</v>
      </c>
      <c r="M148" s="322">
        <f>+'RECHAZADOS A CA'!M148+'RECH-RECUP_PS CA'!M308</f>
        <v>0.49812479999999998</v>
      </c>
      <c r="N148" s="322">
        <f>+'RECHAZADOS A CA'!N148+'RECH-RECUP_PS CA'!N308</f>
        <v>0.49680000000000002</v>
      </c>
      <c r="O148" s="322">
        <f>+'RECHAZADOS A CA'!O148+'RECH-RECUP_PS CA'!O308</f>
        <v>0.49547520000000012</v>
      </c>
      <c r="P148" s="322">
        <f>+'RECHAZADOS A CA'!P148+'RECH-RECUP_PS CA'!P308</f>
        <v>0.49415040000000005</v>
      </c>
      <c r="Q148" s="322">
        <f>+'RECHAZADOS A CA'!Q148+'RECH-RECUP_PS CA'!Q308</f>
        <v>0.49282559999999997</v>
      </c>
      <c r="R148" s="322">
        <f>+'RECHAZADOS A CA'!R148+'RECH-RECUP_PS CA'!R308</f>
        <v>0.49150080000000002</v>
      </c>
      <c r="S148" s="322">
        <f>+'RECHAZADOS A CA'!S148+'RECH-RECUP_PS CA'!S308</f>
        <v>0.49017600000000006</v>
      </c>
      <c r="T148" s="322">
        <f>+'RECHAZADOS A CA'!T148+'RECH-RECUP_PS CA'!T308</f>
        <v>0.48885120000000004</v>
      </c>
      <c r="U148" s="322">
        <f>+'RECHAZADOS A CA'!U148+'RECH-RECUP_PS CA'!U308</f>
        <v>0.48752640000000008</v>
      </c>
      <c r="V148" s="322">
        <f>+'RECHAZADOS A CA'!V148+'RECH-RECUP_PS CA'!V308</f>
        <v>0.48620160000000001</v>
      </c>
      <c r="W148" s="322">
        <f>+'RECHAZADOS A CA'!W148+'RECH-RECUP_PS CA'!W308</f>
        <v>0.4848768</v>
      </c>
      <c r="X148" s="322">
        <f>+'RECHAZADOS A CA'!X148+'RECH-RECUP_PS CA'!X308</f>
        <v>0.48355200000000004</v>
      </c>
      <c r="Y148" s="322">
        <f>+'RECHAZADOS A CA'!Y148+'RECH-RECUP_PS CA'!Y308</f>
        <v>0.48222720000000008</v>
      </c>
      <c r="Z148" s="322">
        <f>+'RECHAZADOS A CA'!Z148+'RECH-RECUP_PS CA'!Z308</f>
        <v>0.48090240000000006</v>
      </c>
      <c r="AA148" s="343">
        <f t="shared" si="3"/>
        <v>0.51909012799999998</v>
      </c>
    </row>
    <row r="149" spans="1:27" ht="24.95" customHeight="1">
      <c r="A149" s="260" t="str">
        <f>+Pobl_adoptada!A149</f>
        <v>General Lavalle</v>
      </c>
      <c r="B149" s="70">
        <f>+Pobl_adoptada!B149</f>
        <v>145</v>
      </c>
      <c r="C149" s="71" t="str">
        <f>+Pobl_adoptada!C149</f>
        <v>Pavón</v>
      </c>
      <c r="D149" s="341"/>
      <c r="E149" s="278"/>
      <c r="F149" s="263"/>
      <c r="G149" s="322">
        <f>+'RECHAZADOS A CA'!G149+'RECH-RECUP_PS CA'!G309</f>
        <v>1.2530547200000002</v>
      </c>
      <c r="H149" s="322">
        <f>+'RECHAZADOS A CA'!H149+'RECH-RECUP_PS CA'!H309</f>
        <v>1.21073472</v>
      </c>
      <c r="I149" s="322">
        <f>+'RECHAZADOS A CA'!I149+'RECH-RECUP_PS CA'!I309</f>
        <v>1.165824</v>
      </c>
      <c r="J149" s="322">
        <f>+'RECHAZADOS A CA'!J149+'RECH-RECUP_PS CA'!J309</f>
        <v>1.0848640000000001</v>
      </c>
      <c r="K149" s="322">
        <f>+'RECHAZADOS A CA'!K149+'RECH-RECUP_PS CA'!K309</f>
        <v>0.99956160000000005</v>
      </c>
      <c r="L149" s="322">
        <f>+'RECHAZADOS A CA'!L149+'RECH-RECUP_PS CA'!L309</f>
        <v>1.0234080000000001</v>
      </c>
      <c r="M149" s="322">
        <f>+'RECHAZADOS A CA'!M149+'RECH-RECUP_PS CA'!M309</f>
        <v>1.0479168000000001</v>
      </c>
      <c r="N149" s="322">
        <f>+'RECHAZADOS A CA'!N149+'RECH-RECUP_PS CA'!N309</f>
        <v>1.0730880000000003</v>
      </c>
      <c r="O149" s="322">
        <f>+'RECHAZADOS A CA'!O149+'RECH-RECUP_PS CA'!O309</f>
        <v>1.0982592</v>
      </c>
      <c r="P149" s="322">
        <f>+'RECHAZADOS A CA'!P149+'RECH-RECUP_PS CA'!P309</f>
        <v>1.1247552000000001</v>
      </c>
      <c r="Q149" s="322">
        <f>+'RECHAZADOS A CA'!Q149+'RECH-RECUP_PS CA'!Q309</f>
        <v>1.1512512000000001</v>
      </c>
      <c r="R149" s="322">
        <f>+'RECHAZADOS A CA'!R149+'RECH-RECUP_PS CA'!R309</f>
        <v>1.1790720000000003</v>
      </c>
      <c r="S149" s="322">
        <f>+'RECHAZADOS A CA'!S149+'RECH-RECUP_PS CA'!S309</f>
        <v>1.2068927999999999</v>
      </c>
      <c r="T149" s="322">
        <f>+'RECHAZADOS A CA'!T149+'RECH-RECUP_PS CA'!T309</f>
        <v>1.2360384</v>
      </c>
      <c r="U149" s="322">
        <f>+'RECHAZADOS A CA'!U149+'RECH-RECUP_PS CA'!U309</f>
        <v>1.2651840000000001</v>
      </c>
      <c r="V149" s="322">
        <f>+'RECHAZADOS A CA'!V149+'RECH-RECUP_PS CA'!V309</f>
        <v>1.2956544000000001</v>
      </c>
      <c r="W149" s="322">
        <f>+'RECHAZADOS A CA'!W149+'RECH-RECUP_PS CA'!W309</f>
        <v>1.3261248000000001</v>
      </c>
      <c r="X149" s="322">
        <f>+'RECHAZADOS A CA'!X149+'RECH-RECUP_PS CA'!X309</f>
        <v>1.35792</v>
      </c>
      <c r="Y149" s="322">
        <f>+'RECHAZADOS A CA'!Y149+'RECH-RECUP_PS CA'!Y309</f>
        <v>1.3903776000000001</v>
      </c>
      <c r="Z149" s="322">
        <f>+'RECHAZADOS A CA'!Z149+'RECH-RECUP_PS CA'!Z309</f>
        <v>1.4234976000000001</v>
      </c>
      <c r="AA149" s="343">
        <f t="shared" si="3"/>
        <v>1.1956739520000002</v>
      </c>
    </row>
    <row r="150" spans="1:27" ht="24.95" customHeight="1">
      <c r="A150" s="260" t="str">
        <f>+Pobl_adoptada!A150</f>
        <v>Guaminí</v>
      </c>
      <c r="B150" s="70">
        <f>+Pobl_adoptada!B150</f>
        <v>146</v>
      </c>
      <c r="C150" s="71" t="str">
        <f>+Pobl_adoptada!C150</f>
        <v>Casbas</v>
      </c>
      <c r="D150" s="341"/>
      <c r="E150" s="278"/>
      <c r="F150" s="263"/>
      <c r="G150" s="322">
        <f>+'RECHAZADOS A CA'!G150+'RECH-RECUP_PS CA'!G310</f>
        <v>4.4317798399999999</v>
      </c>
      <c r="H150" s="322">
        <f>+'RECHAZADOS A CA'!H150+'RECH-RECUP_PS CA'!H310</f>
        <v>4.2048489599999996</v>
      </c>
      <c r="I150" s="322">
        <f>+'RECHAZADOS A CA'!I150+'RECH-RECUP_PS CA'!I310</f>
        <v>3.975136</v>
      </c>
      <c r="J150" s="322">
        <f>+'RECHAZADOS A CA'!J150+'RECH-RECUP_PS CA'!J310</f>
        <v>3.6343679999999998</v>
      </c>
      <c r="K150" s="322">
        <f>+'RECHAZADOS A CA'!K150+'RECH-RECUP_PS CA'!K310</f>
        <v>3.2888160000000002</v>
      </c>
      <c r="L150" s="322">
        <f>+'RECHAZADOS A CA'!L150+'RECH-RECUP_PS CA'!L310</f>
        <v>3.3073632000000002</v>
      </c>
      <c r="M150" s="322">
        <f>+'RECHAZADOS A CA'!M150+'RECH-RECUP_PS CA'!M310</f>
        <v>3.3252480000000002</v>
      </c>
      <c r="N150" s="322">
        <f>+'RECHAZADOS A CA'!N150+'RECH-RECUP_PS CA'!N310</f>
        <v>3.3431327999999993</v>
      </c>
      <c r="O150" s="322">
        <f>+'RECHAZADOS A CA'!O150+'RECH-RECUP_PS CA'!O310</f>
        <v>3.3616799999999998</v>
      </c>
      <c r="P150" s="322">
        <f>+'RECHAZADOS A CA'!P150+'RECH-RECUP_PS CA'!P310</f>
        <v>3.3795647999999998</v>
      </c>
      <c r="Q150" s="322">
        <f>+'RECHAZADOS A CA'!Q150+'RECH-RECUP_PS CA'!Q310</f>
        <v>3.3981120000000007</v>
      </c>
      <c r="R150" s="322">
        <f>+'RECHAZADOS A CA'!R150+'RECH-RECUP_PS CA'!R310</f>
        <v>3.4159968000000007</v>
      </c>
      <c r="S150" s="322">
        <f>+'RECHAZADOS A CA'!S150+'RECH-RECUP_PS CA'!S310</f>
        <v>3.4338816000000008</v>
      </c>
      <c r="T150" s="322">
        <f>+'RECHAZADOS A CA'!T150+'RECH-RECUP_PS CA'!T310</f>
        <v>3.4524288000000003</v>
      </c>
      <c r="U150" s="322">
        <f>+'RECHAZADOS A CA'!U150+'RECH-RECUP_PS CA'!U310</f>
        <v>3.4703136000000008</v>
      </c>
      <c r="V150" s="322">
        <f>+'RECHAZADOS A CA'!V150+'RECH-RECUP_PS CA'!V310</f>
        <v>3.4888608000000003</v>
      </c>
      <c r="W150" s="322">
        <f>+'RECHAZADOS A CA'!W150+'RECH-RECUP_PS CA'!W310</f>
        <v>3.5067456000000008</v>
      </c>
      <c r="X150" s="322">
        <f>+'RECHAZADOS A CA'!X150+'RECH-RECUP_PS CA'!X310</f>
        <v>3.5252927999999999</v>
      </c>
      <c r="Y150" s="322">
        <f>+'RECHAZADOS A CA'!Y150+'RECH-RECUP_PS CA'!Y310</f>
        <v>3.5431775999999999</v>
      </c>
      <c r="Z150" s="322">
        <f>+'RECHAZADOS A CA'!Z150+'RECH-RECUP_PS CA'!Z310</f>
        <v>3.5610624</v>
      </c>
      <c r="AA150" s="343">
        <f t="shared" si="3"/>
        <v>3.5523904799999997</v>
      </c>
    </row>
    <row r="151" spans="1:27" ht="24.95" customHeight="1">
      <c r="A151" s="260" t="str">
        <f>+Pobl_adoptada!A151</f>
        <v>La Costa</v>
      </c>
      <c r="B151" s="70">
        <f>+Pobl_adoptada!B151</f>
        <v>147</v>
      </c>
      <c r="C151" s="71" t="str">
        <f>+Pobl_adoptada!C151</f>
        <v>San Clemente del Tuyú</v>
      </c>
      <c r="D151" s="341"/>
      <c r="E151" s="278"/>
      <c r="F151" s="263"/>
      <c r="G151" s="322">
        <f>+'RECHAZADOS A CA'!G151+'RECH-RECUP_PS CA'!G311</f>
        <v>35.111304320000002</v>
      </c>
      <c r="H151" s="322">
        <f>+'RECHAZADOS A CA'!H151+'RECH-RECUP_PS CA'!H311</f>
        <v>33.910044479999996</v>
      </c>
      <c r="I151" s="322">
        <f>+'RECHAZADOS A CA'!I151+'RECH-RECUP_PS CA'!I311</f>
        <v>32.615352000000001</v>
      </c>
      <c r="J151" s="322">
        <f>+'RECHAZADOS A CA'!J151+'RECH-RECUP_PS CA'!J311</f>
        <v>30.317696000000002</v>
      </c>
      <c r="K151" s="322">
        <f>+'RECHAZADOS A CA'!K151+'RECH-RECUP_PS CA'!K311</f>
        <v>27.887328</v>
      </c>
      <c r="L151" s="322">
        <f>+'RECHAZADOS A CA'!L151+'RECH-RECUP_PS CA'!L311</f>
        <v>28.618473600000002</v>
      </c>
      <c r="M151" s="322">
        <f>+'RECHAZADOS A CA'!M151+'RECH-RECUP_PS CA'!M311</f>
        <v>29.350382400000008</v>
      </c>
      <c r="N151" s="322">
        <f>+'RECHAZADOS A CA'!N151+'RECH-RECUP_PS CA'!N311</f>
        <v>30.0822912</v>
      </c>
      <c r="O151" s="322">
        <f>+'RECHAZADOS A CA'!O151+'RECH-RECUP_PS CA'!O311</f>
        <v>30.813436800000002</v>
      </c>
      <c r="P151" s="322">
        <f>+'RECHAZADOS A CA'!P151+'RECH-RECUP_PS CA'!P311</f>
        <v>31.545345600000005</v>
      </c>
      <c r="Q151" s="322">
        <f>+'RECHAZADOS A CA'!Q151+'RECH-RECUP_PS CA'!Q311</f>
        <v>32.276491200000002</v>
      </c>
      <c r="R151" s="322">
        <f>+'RECHAZADOS A CA'!R151+'RECH-RECUP_PS CA'!R311</f>
        <v>33.008400000000002</v>
      </c>
      <c r="S151" s="322">
        <f>+'RECHAZADOS A CA'!S151+'RECH-RECUP_PS CA'!S311</f>
        <v>33.739545600000007</v>
      </c>
      <c r="T151" s="322">
        <f>+'RECHAZADOS A CA'!T151+'RECH-RECUP_PS CA'!T311</f>
        <v>34.4722176</v>
      </c>
      <c r="U151" s="322">
        <f>+'RECHAZADOS A CA'!U151+'RECH-RECUP_PS CA'!U311</f>
        <v>35.203363200000005</v>
      </c>
      <c r="V151" s="322">
        <f>+'RECHAZADOS A CA'!V151+'RECH-RECUP_PS CA'!V311</f>
        <v>35.935272000000005</v>
      </c>
      <c r="W151" s="322">
        <f>+'RECHAZADOS A CA'!W151+'RECH-RECUP_PS CA'!W311</f>
        <v>36.66641760000001</v>
      </c>
      <c r="X151" s="322">
        <f>+'RECHAZADOS A CA'!X151+'RECH-RECUP_PS CA'!X311</f>
        <v>37.398326400000002</v>
      </c>
      <c r="Y151" s="322">
        <f>+'RECHAZADOS A CA'!Y151+'RECH-RECUP_PS CA'!Y311</f>
        <v>38.129472000000007</v>
      </c>
      <c r="Z151" s="322">
        <f>+'RECHAZADOS A CA'!Z151+'RECH-RECUP_PS CA'!Z311</f>
        <v>38.862144000000001</v>
      </c>
      <c r="AA151" s="343">
        <f t="shared" si="3"/>
        <v>33.297165200000009</v>
      </c>
    </row>
    <row r="152" spans="1:27" ht="24.95" customHeight="1">
      <c r="A152" s="260" t="str">
        <f>+Pobl_adoptada!A152</f>
        <v>Leandro N. Alem</v>
      </c>
      <c r="B152" s="70">
        <f>+Pobl_adoptada!B152</f>
        <v>148</v>
      </c>
      <c r="C152" s="71" t="str">
        <f>+Pobl_adoptada!C152</f>
        <v>Juan Bautista Alberdi</v>
      </c>
      <c r="D152" s="341"/>
      <c r="E152" s="278"/>
      <c r="F152" s="263"/>
      <c r="G152" s="322">
        <f>+'RECHAZADOS A CA'!G152+'RECH-RECUP_PS CA'!G312</f>
        <v>3.1075392000000002</v>
      </c>
      <c r="H152" s="322">
        <f>+'RECHAZADOS A CA'!H152+'RECH-RECUP_PS CA'!H312</f>
        <v>2.9312524799999999</v>
      </c>
      <c r="I152" s="322">
        <f>+'RECHAZADOS A CA'!I152+'RECH-RECUP_PS CA'!I312</f>
        <v>2.7558784000000003</v>
      </c>
      <c r="J152" s="322">
        <f>+'RECHAZADOS A CA'!J152+'RECH-RECUP_PS CA'!J312</f>
        <v>2.5046080000000002</v>
      </c>
      <c r="K152" s="322">
        <f>+'RECHAZADOS A CA'!K152+'RECH-RECUP_PS CA'!K312</f>
        <v>2.2541472000000002</v>
      </c>
      <c r="L152" s="322">
        <f>+'RECHAZADOS A CA'!L152+'RECH-RECUP_PS CA'!L312</f>
        <v>2.2541472000000002</v>
      </c>
      <c r="M152" s="322">
        <f>+'RECHAZADOS A CA'!M152+'RECH-RECUP_PS CA'!M312</f>
        <v>2.2534848000000003</v>
      </c>
      <c r="N152" s="322">
        <f>+'RECHAZADOS A CA'!N152+'RECH-RECUP_PS CA'!N312</f>
        <v>2.2534848000000003</v>
      </c>
      <c r="O152" s="322">
        <f>+'RECHAZADOS A CA'!O152+'RECH-RECUP_PS CA'!O312</f>
        <v>2.2528223999999999</v>
      </c>
      <c r="P152" s="322">
        <f>+'RECHAZADOS A CA'!P152+'RECH-RECUP_PS CA'!P312</f>
        <v>2.2528223999999999</v>
      </c>
      <c r="Q152" s="322">
        <f>+'RECHAZADOS A CA'!Q152+'RECH-RECUP_PS CA'!Q312</f>
        <v>2.2521599999999999</v>
      </c>
      <c r="R152" s="322">
        <f>+'RECHAZADOS A CA'!R152+'RECH-RECUP_PS CA'!R312</f>
        <v>2.2521599999999999</v>
      </c>
      <c r="S152" s="322">
        <f>+'RECHAZADOS A CA'!S152+'RECH-RECUP_PS CA'!S312</f>
        <v>2.2514975999999995</v>
      </c>
      <c r="T152" s="322">
        <f>+'RECHAZADOS A CA'!T152+'RECH-RECUP_PS CA'!T312</f>
        <v>2.2514975999999995</v>
      </c>
      <c r="U152" s="322">
        <f>+'RECHAZADOS A CA'!U152+'RECH-RECUP_PS CA'!U312</f>
        <v>2.2514975999999995</v>
      </c>
      <c r="V152" s="322">
        <f>+'RECHAZADOS A CA'!V152+'RECH-RECUP_PS CA'!V312</f>
        <v>2.2508352000000005</v>
      </c>
      <c r="W152" s="322">
        <f>+'RECHAZADOS A CA'!W152+'RECH-RECUP_PS CA'!W312</f>
        <v>2.2508352000000005</v>
      </c>
      <c r="X152" s="322">
        <f>+'RECHAZADOS A CA'!X152+'RECH-RECUP_PS CA'!X312</f>
        <v>2.2501728000000005</v>
      </c>
      <c r="Y152" s="322">
        <f>+'RECHAZADOS A CA'!Y152+'RECH-RECUP_PS CA'!Y312</f>
        <v>2.2501728000000005</v>
      </c>
      <c r="Z152" s="322">
        <f>+'RECHAZADOS A CA'!Z152+'RECH-RECUP_PS CA'!Z312</f>
        <v>2.2495104000000001</v>
      </c>
      <c r="AA152" s="343">
        <f t="shared" si="3"/>
        <v>2.3665263039999997</v>
      </c>
    </row>
    <row r="153" spans="1:27" ht="24.95" customHeight="1">
      <c r="A153" s="260" t="str">
        <f>+Pobl_adoptada!A153</f>
        <v>Mar Chiquita</v>
      </c>
      <c r="B153" s="70">
        <f>+Pobl_adoptada!B153</f>
        <v>149</v>
      </c>
      <c r="C153" s="71" t="str">
        <f>+Pobl_adoptada!C153</f>
        <v>Santa Clara del Mar</v>
      </c>
      <c r="D153" s="341"/>
      <c r="E153" s="278"/>
      <c r="F153" s="263"/>
      <c r="G153" s="322">
        <f>+'RECHAZADOS A CA'!G153+'RECH-RECUP_PS CA'!G313</f>
        <v>24.929436159999998</v>
      </c>
      <c r="H153" s="322">
        <f>+'RECHAZADOS A CA'!H153+'RECH-RECUP_PS CA'!H313</f>
        <v>24.571834560000003</v>
      </c>
      <c r="I153" s="322">
        <f>+'RECHAZADOS A CA'!I153+'RECH-RECUP_PS CA'!I313</f>
        <v>24.134334400000004</v>
      </c>
      <c r="J153" s="322">
        <f>+'RECHAZADOS A CA'!J153+'RECH-RECUP_PS CA'!J313</f>
        <v>22.920592000000003</v>
      </c>
      <c r="K153" s="322">
        <f>+'RECHAZADOS A CA'!K153+'RECH-RECUP_PS CA'!K313</f>
        <v>21.550478399999999</v>
      </c>
      <c r="L153" s="322">
        <f>+'RECHAZADOS A CA'!L153+'RECH-RECUP_PS CA'!L313</f>
        <v>22.514399999999998</v>
      </c>
      <c r="M153" s="322">
        <f>+'RECHAZADOS A CA'!M153+'RECH-RECUP_PS CA'!M313</f>
        <v>23.520297599999999</v>
      </c>
      <c r="N153" s="322">
        <f>+'RECHAZADOS A CA'!N153+'RECH-RECUP_PS CA'!N313</f>
        <v>24.571224000000004</v>
      </c>
      <c r="O153" s="322">
        <f>+'RECHAZADOS A CA'!O153+'RECH-RECUP_PS CA'!O313</f>
        <v>25.668705600000003</v>
      </c>
      <c r="P153" s="322">
        <f>+'RECHAZADOS A CA'!P153+'RECH-RECUP_PS CA'!P313</f>
        <v>26.8157952</v>
      </c>
      <c r="Q153" s="322">
        <f>+'RECHAZADOS A CA'!Q153+'RECH-RECUP_PS CA'!Q313</f>
        <v>28.015545599999999</v>
      </c>
      <c r="R153" s="322">
        <f>+'RECHAZADOS A CA'!R153+'RECH-RECUP_PS CA'!R313</f>
        <v>29.267193600000006</v>
      </c>
      <c r="S153" s="322">
        <f>+'RECHAZADOS A CA'!S153+'RECH-RECUP_PS CA'!S313</f>
        <v>30.574555200000002</v>
      </c>
      <c r="T153" s="322">
        <f>+'RECHAZADOS A CA'!T153+'RECH-RECUP_PS CA'!T313</f>
        <v>31.941446400000004</v>
      </c>
      <c r="U153" s="322">
        <f>+'RECHAZADOS A CA'!U153+'RECH-RECUP_PS CA'!U313</f>
        <v>33.368630400000001</v>
      </c>
      <c r="V153" s="322">
        <f>+'RECHAZADOS A CA'!V153+'RECH-RECUP_PS CA'!V313</f>
        <v>34.859923200000004</v>
      </c>
      <c r="W153" s="322">
        <f>+'RECHAZADOS A CA'!W153+'RECH-RECUP_PS CA'!W313</f>
        <v>36.418377599999999</v>
      </c>
      <c r="X153" s="322">
        <f>+'RECHAZADOS A CA'!X153+'RECH-RECUP_PS CA'!X313</f>
        <v>38.044756800000002</v>
      </c>
      <c r="Y153" s="322">
        <f>+'RECHAZADOS A CA'!Y153+'RECH-RECUP_PS CA'!Y313</f>
        <v>39.745166400000009</v>
      </c>
      <c r="Z153" s="322">
        <f>+'RECHAZADOS A CA'!Z153+'RECH-RECUP_PS CA'!Z313</f>
        <v>41.521895999999998</v>
      </c>
      <c r="AA153" s="343">
        <f t="shared" si="3"/>
        <v>29.247729456000002</v>
      </c>
    </row>
    <row r="154" spans="1:27" ht="24.95" customHeight="1">
      <c r="A154" s="260" t="str">
        <f>+Pobl_adoptada!A154</f>
        <v>Puán</v>
      </c>
      <c r="B154" s="70">
        <f>+Pobl_adoptada!B154</f>
        <v>150</v>
      </c>
      <c r="C154" s="71" t="str">
        <f>+Pobl_adoptada!C154</f>
        <v>Darregueira</v>
      </c>
      <c r="D154" s="341"/>
      <c r="E154" s="278"/>
      <c r="F154" s="263"/>
      <c r="G154" s="322">
        <f>+'RECHAZADOS A CA'!G154+'RECH-RECUP_PS CA'!G314</f>
        <v>5.1947468800000003</v>
      </c>
      <c r="H154" s="322">
        <f>+'RECHAZADOS A CA'!H154+'RECH-RECUP_PS CA'!H314</f>
        <v>4.9092451200000005</v>
      </c>
      <c r="I154" s="322">
        <f>+'RECHAZADOS A CA'!I154+'RECH-RECUP_PS CA'!I314</f>
        <v>4.6236255999999996</v>
      </c>
      <c r="J154" s="322">
        <f>+'RECHAZADOS A CA'!J154+'RECH-RECUP_PS CA'!J314</f>
        <v>4.2099200000000003</v>
      </c>
      <c r="K154" s="322">
        <f>+'RECHAZADOS A CA'!K154+'RECH-RECUP_PS CA'!K314</f>
        <v>3.7948896000000003</v>
      </c>
      <c r="L154" s="322">
        <f>+'RECHAZADOS A CA'!L154+'RECH-RECUP_PS CA'!L314</f>
        <v>3.8008511999999999</v>
      </c>
      <c r="M154" s="322">
        <f>+'RECHAZADOS A CA'!M154+'RECH-RECUP_PS CA'!M314</f>
        <v>3.8074751999999998</v>
      </c>
      <c r="N154" s="322">
        <f>+'RECHAZADOS A CA'!N154+'RECH-RECUP_PS CA'!N314</f>
        <v>3.8134368000000003</v>
      </c>
      <c r="O154" s="322">
        <f>+'RECHAZADOS A CA'!O154+'RECH-RECUP_PS CA'!O314</f>
        <v>3.8193984000000007</v>
      </c>
      <c r="P154" s="322">
        <f>+'RECHAZADOS A CA'!P154+'RECH-RECUP_PS CA'!P314</f>
        <v>3.8260224000000003</v>
      </c>
      <c r="Q154" s="322">
        <f>+'RECHAZADOS A CA'!Q154+'RECH-RECUP_PS CA'!Q314</f>
        <v>3.8319839999999998</v>
      </c>
      <c r="R154" s="322">
        <f>+'RECHAZADOS A CA'!R154+'RECH-RECUP_PS CA'!R314</f>
        <v>3.8379456000000003</v>
      </c>
      <c r="S154" s="322">
        <f>+'RECHAZADOS A CA'!S154+'RECH-RECUP_PS CA'!S314</f>
        <v>3.8445696000000003</v>
      </c>
      <c r="T154" s="322">
        <f>+'RECHAZADOS A CA'!T154+'RECH-RECUP_PS CA'!T314</f>
        <v>3.8505311999999998</v>
      </c>
      <c r="U154" s="322">
        <f>+'RECHAZADOS A CA'!U154+'RECH-RECUP_PS CA'!U314</f>
        <v>3.8571551999999993</v>
      </c>
      <c r="V154" s="322">
        <f>+'RECHAZADOS A CA'!V154+'RECH-RECUP_PS CA'!V314</f>
        <v>3.8631168000000002</v>
      </c>
      <c r="W154" s="322">
        <f>+'RECHAZADOS A CA'!W154+'RECH-RECUP_PS CA'!W314</f>
        <v>3.8690784000000003</v>
      </c>
      <c r="X154" s="322">
        <f>+'RECHAZADOS A CA'!X154+'RECH-RECUP_PS CA'!X314</f>
        <v>3.8757024000000007</v>
      </c>
      <c r="Y154" s="322">
        <f>+'RECHAZADOS A CA'!Y154+'RECH-RECUP_PS CA'!Y314</f>
        <v>3.8816639999999998</v>
      </c>
      <c r="Z154" s="322">
        <f>+'RECHAZADOS A CA'!Z154+'RECH-RECUP_PS CA'!Z314</f>
        <v>3.8882880000000006</v>
      </c>
      <c r="AA154" s="343">
        <f t="shared" si="3"/>
        <v>4.0199823200000004</v>
      </c>
    </row>
    <row r="155" spans="1:27" ht="24.95" customHeight="1">
      <c r="A155" s="260" t="str">
        <f>+Pobl_adoptada!A155</f>
        <v>Ramallo</v>
      </c>
      <c r="B155" s="70">
        <f>+Pobl_adoptada!B155</f>
        <v>151</v>
      </c>
      <c r="C155" s="71" t="str">
        <f>+Pobl_adoptada!C155</f>
        <v>Villa Ramallo</v>
      </c>
      <c r="D155" s="341"/>
      <c r="E155" s="278"/>
      <c r="F155" s="263"/>
      <c r="G155" s="322">
        <f>+'RECHAZADOS A CA'!G155+'RECH-RECUP_PS CA'!G315</f>
        <v>11.604217600000002</v>
      </c>
      <c r="H155" s="322">
        <f>+'RECHAZADOS A CA'!H155+'RECH-RECUP_PS CA'!H315</f>
        <v>11.030947200000002</v>
      </c>
      <c r="I155" s="322">
        <f>+'RECHAZADOS A CA'!I155+'RECH-RECUP_PS CA'!I315</f>
        <v>10.449507199999999</v>
      </c>
      <c r="J155" s="322">
        <f>+'RECHAZADOS A CA'!J155+'RECH-RECUP_PS CA'!J315</f>
        <v>9.5702079999999992</v>
      </c>
      <c r="K155" s="322">
        <f>+'RECHAZADOS A CA'!K155+'RECH-RECUP_PS CA'!K315</f>
        <v>8.6781024000000002</v>
      </c>
      <c r="L155" s="322">
        <f>+'RECHAZADOS A CA'!L155+'RECH-RECUP_PS CA'!L315</f>
        <v>8.7436799999999995</v>
      </c>
      <c r="M155" s="322">
        <f>+'RECHAZADOS A CA'!M155+'RECH-RECUP_PS CA'!M315</f>
        <v>8.8092576000000005</v>
      </c>
      <c r="N155" s="322">
        <f>+'RECHAZADOS A CA'!N155+'RECH-RECUP_PS CA'!N315</f>
        <v>8.875497600000001</v>
      </c>
      <c r="O155" s="322">
        <f>+'RECHAZADOS A CA'!O155+'RECH-RECUP_PS CA'!O315</f>
        <v>8.9417375999999997</v>
      </c>
      <c r="P155" s="322">
        <f>+'RECHAZADOS A CA'!P155+'RECH-RECUP_PS CA'!P315</f>
        <v>9.0093023999999993</v>
      </c>
      <c r="Q155" s="322">
        <f>+'RECHAZADOS A CA'!Q155+'RECH-RECUP_PS CA'!Q315</f>
        <v>9.0768671999999988</v>
      </c>
      <c r="R155" s="322">
        <f>+'RECHAZADOS A CA'!R155+'RECH-RECUP_PS CA'!R315</f>
        <v>9.1450943999999996</v>
      </c>
      <c r="S155" s="322">
        <f>+'RECHAZADOS A CA'!S155+'RECH-RECUP_PS CA'!S315</f>
        <v>9.2133216000000022</v>
      </c>
      <c r="T155" s="322">
        <f>+'RECHAZADOS A CA'!T155+'RECH-RECUP_PS CA'!T315</f>
        <v>9.2828736000000021</v>
      </c>
      <c r="U155" s="322">
        <f>+'RECHAZADOS A CA'!U155+'RECH-RECUP_PS CA'!U315</f>
        <v>9.3524256000000001</v>
      </c>
      <c r="V155" s="322">
        <f>+'RECHAZADOS A CA'!V155+'RECH-RECUP_PS CA'!V315</f>
        <v>9.4226400000000012</v>
      </c>
      <c r="W155" s="322">
        <f>+'RECHAZADOS A CA'!W155+'RECH-RECUP_PS CA'!W315</f>
        <v>9.4935168000000001</v>
      </c>
      <c r="X155" s="322">
        <f>+'RECHAZADOS A CA'!X155+'RECH-RECUP_PS CA'!X315</f>
        <v>9.5650560000000002</v>
      </c>
      <c r="Y155" s="322">
        <f>+'RECHAZADOS A CA'!Y155+'RECH-RECUP_PS CA'!Y315</f>
        <v>9.6365952000000004</v>
      </c>
      <c r="Z155" s="322">
        <f>+'RECHAZADOS A CA'!Z155+'RECH-RECUP_PS CA'!Z315</f>
        <v>9.7087968</v>
      </c>
      <c r="AA155" s="343">
        <f t="shared" si="3"/>
        <v>9.4804822399999988</v>
      </c>
    </row>
    <row r="156" spans="1:27" ht="24.95" customHeight="1">
      <c r="A156" s="260" t="str">
        <f>+Pobl_adoptada!A156</f>
        <v>Tornquist</v>
      </c>
      <c r="B156" s="70">
        <f>+Pobl_adoptada!B156</f>
        <v>152</v>
      </c>
      <c r="C156" s="71" t="str">
        <f>+Pobl_adoptada!C156</f>
        <v>Sierra de la Ventana</v>
      </c>
      <c r="D156" s="341"/>
      <c r="E156" s="278"/>
      <c r="F156" s="263"/>
      <c r="G156" s="322">
        <f>+'RECHAZADOS A CA'!G156+'RECH-RECUP_PS CA'!G316</f>
        <v>3.7317849600000002</v>
      </c>
      <c r="H156" s="322">
        <f>+'RECHAZADOS A CA'!H156+'RECH-RECUP_PS CA'!H316</f>
        <v>3.6640656000000003</v>
      </c>
      <c r="I156" s="322">
        <f>+'RECHAZADOS A CA'!I156+'RECH-RECUP_PS CA'!I316</f>
        <v>3.5840992000000003</v>
      </c>
      <c r="J156" s="322">
        <f>+'RECHAZADOS A CA'!J156+'RECH-RECUP_PS CA'!J316</f>
        <v>3.3907520000000004</v>
      </c>
      <c r="K156" s="322">
        <f>+'RECHAZADOS A CA'!K156+'RECH-RECUP_PS CA'!K316</f>
        <v>3.1748832000000009</v>
      </c>
      <c r="L156" s="322">
        <f>+'RECHAZADOS A CA'!L156+'RECH-RECUP_PS CA'!L316</f>
        <v>3.3040512</v>
      </c>
      <c r="M156" s="322">
        <f>+'RECHAZADOS A CA'!M156+'RECH-RECUP_PS CA'!M316</f>
        <v>3.437856</v>
      </c>
      <c r="N156" s="322">
        <f>+'RECHAZADOS A CA'!N156+'RECH-RECUP_PS CA'!N316</f>
        <v>3.5769600000000001</v>
      </c>
      <c r="O156" s="322">
        <f>+'RECHAZADOS A CA'!O156+'RECH-RECUP_PS CA'!O316</f>
        <v>3.7220255999999998</v>
      </c>
      <c r="P156" s="322">
        <f>+'RECHAZADOS A CA'!P156+'RECH-RECUP_PS CA'!P316</f>
        <v>3.8730527999999995</v>
      </c>
      <c r="Q156" s="322">
        <f>+'RECHAZADOS A CA'!Q156+'RECH-RECUP_PS CA'!Q316</f>
        <v>4.0300416000000006</v>
      </c>
      <c r="R156" s="322">
        <f>+'RECHAZADOS A CA'!R156+'RECH-RECUP_PS CA'!R316</f>
        <v>4.1936544000000007</v>
      </c>
      <c r="S156" s="322">
        <f>+'RECHAZADOS A CA'!S156+'RECH-RECUP_PS CA'!S316</f>
        <v>4.3632287999999999</v>
      </c>
      <c r="T156" s="322">
        <f>+'RECHAZADOS A CA'!T156+'RECH-RECUP_PS CA'!T316</f>
        <v>4.5400896000000008</v>
      </c>
      <c r="U156" s="322">
        <f>+'RECHAZADOS A CA'!U156+'RECH-RECUP_PS CA'!U316</f>
        <v>4.7242368000000008</v>
      </c>
      <c r="V156" s="322">
        <f>+'RECHAZADOS A CA'!V156+'RECH-RECUP_PS CA'!V316</f>
        <v>4.9156704000000007</v>
      </c>
      <c r="W156" s="322">
        <f>+'RECHAZADOS A CA'!W156+'RECH-RECUP_PS CA'!W316</f>
        <v>5.1150528000000008</v>
      </c>
      <c r="X156" s="322">
        <f>+'RECHAZADOS A CA'!X156+'RECH-RECUP_PS CA'!X316</f>
        <v>5.3223840000000004</v>
      </c>
      <c r="Y156" s="322">
        <f>+'RECHAZADOS A CA'!Y156+'RECH-RECUP_PS CA'!Y316</f>
        <v>5.5383264000000008</v>
      </c>
      <c r="Z156" s="322">
        <f>+'RECHAZADOS A CA'!Z156+'RECH-RECUP_PS CA'!Z316</f>
        <v>5.76288</v>
      </c>
      <c r="AA156" s="343">
        <f t="shared" si="3"/>
        <v>4.198254768</v>
      </c>
    </row>
    <row r="157" spans="1:27" ht="24.95" customHeight="1">
      <c r="A157" s="260" t="str">
        <f>+Pobl_adoptada!A157</f>
        <v>Villarino</v>
      </c>
      <c r="B157" s="70">
        <f>+Pobl_adoptada!B157</f>
        <v>153</v>
      </c>
      <c r="C157" s="71" t="str">
        <f>+Pobl_adoptada!C157</f>
        <v>Mayor Buratovich</v>
      </c>
      <c r="D157" s="341"/>
      <c r="E157" s="278"/>
      <c r="F157" s="263"/>
      <c r="G157" s="322">
        <f>+'RECHAZADOS A CA'!G157+'RECH-RECUP_PS CA'!G317</f>
        <v>6.7991680000000008</v>
      </c>
      <c r="H157" s="322">
        <f>+'RECHAZADOS A CA'!H157+'RECH-RECUP_PS CA'!H317</f>
        <v>6.5479564799999999</v>
      </c>
      <c r="I157" s="322">
        <f>+'RECHAZADOS A CA'!I157+'RECH-RECUP_PS CA'!I317</f>
        <v>6.2833056000000003</v>
      </c>
      <c r="J157" s="322">
        <f>+'RECHAZADOS A CA'!J157+'RECH-RECUP_PS CA'!J317</f>
        <v>5.8298560000000004</v>
      </c>
      <c r="K157" s="322">
        <f>+'RECHAZADOS A CA'!K157+'RECH-RECUP_PS CA'!K317</f>
        <v>5.3548416000000003</v>
      </c>
      <c r="L157" s="322">
        <f>+'RECHAZADOS A CA'!L157+'RECH-RECUP_PS CA'!L317</f>
        <v>5.4654624000000007</v>
      </c>
      <c r="M157" s="322">
        <f>+'RECHAZADOS A CA'!M157+'RECH-RECUP_PS CA'!M317</f>
        <v>5.5787328000000009</v>
      </c>
      <c r="N157" s="322">
        <f>+'RECHAZADOS A CA'!N157+'RECH-RECUP_PS CA'!N317</f>
        <v>5.6939904000000006</v>
      </c>
      <c r="O157" s="322">
        <f>+'RECHAZADOS A CA'!O157+'RECH-RECUP_PS CA'!O317</f>
        <v>5.8112352000000005</v>
      </c>
      <c r="P157" s="322">
        <f>+'RECHAZADOS A CA'!P157+'RECH-RECUP_PS CA'!P317</f>
        <v>5.9311296000000002</v>
      </c>
      <c r="Q157" s="322">
        <f>+'RECHAZADOS A CA'!Q157+'RECH-RECUP_PS CA'!Q317</f>
        <v>6.0536736000000007</v>
      </c>
      <c r="R157" s="322">
        <f>+'RECHAZADOS A CA'!R157+'RECH-RECUP_PS CA'!R317</f>
        <v>6.1788672000000009</v>
      </c>
      <c r="S157" s="322">
        <f>+'RECHAZADOS A CA'!S157+'RECH-RECUP_PS CA'!S317</f>
        <v>6.3060480000000005</v>
      </c>
      <c r="T157" s="322">
        <f>+'RECHAZADOS A CA'!T157+'RECH-RECUP_PS CA'!T317</f>
        <v>6.4365408000000013</v>
      </c>
      <c r="U157" s="322">
        <f>+'RECHAZADOS A CA'!U157+'RECH-RECUP_PS CA'!U317</f>
        <v>6.5696831999999992</v>
      </c>
      <c r="V157" s="322">
        <f>+'RECHAZADOS A CA'!V157+'RECH-RECUP_PS CA'!V317</f>
        <v>6.7048128</v>
      </c>
      <c r="W157" s="322">
        <f>+'RECHAZADOS A CA'!W157+'RECH-RECUP_PS CA'!W317</f>
        <v>6.8432544000000011</v>
      </c>
      <c r="X157" s="322">
        <f>+'RECHAZADOS A CA'!X157+'RECH-RECUP_PS CA'!X317</f>
        <v>6.9850079999999997</v>
      </c>
      <c r="Y157" s="322">
        <f>+'RECHAZADOS A CA'!Y157+'RECH-RECUP_PS CA'!Y317</f>
        <v>7.1287488000000003</v>
      </c>
      <c r="Z157" s="322">
        <f>+'RECHAZADOS A CA'!Z157+'RECH-RECUP_PS CA'!Z317</f>
        <v>7.2764640000000016</v>
      </c>
      <c r="AA157" s="343">
        <f t="shared" si="3"/>
        <v>6.2889389440000008</v>
      </c>
    </row>
    <row r="158" spans="1:27" ht="24.95" customHeight="1" thickBot="1">
      <c r="A158" s="260" t="str">
        <f>+Pobl_adoptada!A158</f>
        <v>Villarino</v>
      </c>
      <c r="B158" s="70">
        <f>+Pobl_adoptada!B158</f>
        <v>154</v>
      </c>
      <c r="C158" s="71" t="str">
        <f>+Pobl_adoptada!C158</f>
        <v>Pedro Luro</v>
      </c>
      <c r="D158" s="341"/>
      <c r="E158" s="278"/>
      <c r="F158" s="263"/>
      <c r="G158" s="322">
        <f>+'RECHAZADOS A CA'!G158+'RECH-RECUP_PS CA'!G318</f>
        <v>18.921050880000003</v>
      </c>
      <c r="H158" s="322">
        <f>+'RECHAZADOS A CA'!H158+'RECH-RECUP_PS CA'!H318</f>
        <v>18.581172479999999</v>
      </c>
      <c r="I158" s="322">
        <f>+'RECHAZADOS A CA'!I158+'RECH-RECUP_PS CA'!I318</f>
        <v>18.181204800000003</v>
      </c>
      <c r="J158" s="322">
        <f>+'RECHAZADOS A CA'!J158+'RECH-RECUP_PS CA'!J318</f>
        <v>17.202528000000001</v>
      </c>
      <c r="K158" s="322">
        <f>+'RECHAZADOS A CA'!K158+'RECH-RECUP_PS CA'!K318</f>
        <v>16.113441600000002</v>
      </c>
      <c r="L158" s="322">
        <f>+'RECHAZADOS A CA'!L158+'RECH-RECUP_PS CA'!L318</f>
        <v>16.770556800000001</v>
      </c>
      <c r="M158" s="322">
        <f>+'RECHAZADOS A CA'!M158+'RECH-RECUP_PS CA'!M318</f>
        <v>17.454384000000001</v>
      </c>
      <c r="N158" s="322">
        <f>+'RECHAZADOS A CA'!N158+'RECH-RECUP_PS CA'!N318</f>
        <v>18.165686400000002</v>
      </c>
      <c r="O158" s="322">
        <f>+'RECHAZADOS A CA'!O158+'RECH-RECUP_PS CA'!O318</f>
        <v>18.906753600000002</v>
      </c>
      <c r="P158" s="322">
        <f>+'RECHAZADOS A CA'!P158+'RECH-RECUP_PS CA'!P318</f>
        <v>19.6775856</v>
      </c>
      <c r="Q158" s="322">
        <f>+'RECHAZADOS A CA'!Q158+'RECH-RECUP_PS CA'!Q318</f>
        <v>20.479708800000004</v>
      </c>
      <c r="R158" s="322">
        <f>+'RECHAZADOS A CA'!R158+'RECH-RECUP_PS CA'!R318</f>
        <v>21.314649600000003</v>
      </c>
      <c r="S158" s="322">
        <f>+'RECHAZADOS A CA'!S158+'RECH-RECUP_PS CA'!S318</f>
        <v>22.183934400000002</v>
      </c>
      <c r="T158" s="322">
        <f>+'RECHAZADOS A CA'!T158+'RECH-RECUP_PS CA'!T318</f>
        <v>23.088326400000003</v>
      </c>
      <c r="U158" s="322">
        <f>+'RECHAZADOS A CA'!U158+'RECH-RECUP_PS CA'!U318</f>
        <v>24.029351999999999</v>
      </c>
      <c r="V158" s="322">
        <f>+'RECHAZADOS A CA'!V158+'RECH-RECUP_PS CA'!V318</f>
        <v>25.009300799999998</v>
      </c>
      <c r="W158" s="322">
        <f>+'RECHAZADOS A CA'!W158+'RECH-RECUP_PS CA'!W318</f>
        <v>26.028936000000005</v>
      </c>
      <c r="X158" s="322">
        <f>+'RECHAZADOS A CA'!X158+'RECH-RECUP_PS CA'!X318</f>
        <v>27.0905472</v>
      </c>
      <c r="Y158" s="322">
        <f>+'RECHAZADOS A CA'!Y158+'RECH-RECUP_PS CA'!Y318</f>
        <v>28.194897600000001</v>
      </c>
      <c r="Z158" s="322">
        <f>+'RECHAZADOS A CA'!Z158+'RECH-RECUP_PS CA'!Z318</f>
        <v>29.344276800000003</v>
      </c>
      <c r="AA158" s="343">
        <f t="shared" si="3"/>
        <v>21.336914688</v>
      </c>
    </row>
    <row r="159" spans="1:27">
      <c r="E159" s="109"/>
      <c r="F159" s="109"/>
      <c r="G159" s="109"/>
      <c r="H159" s="110"/>
      <c r="I159" s="110"/>
      <c r="J159" s="110"/>
      <c r="K159" s="110"/>
      <c r="L159" s="110"/>
      <c r="M159" s="110"/>
      <c r="N159" s="110"/>
      <c r="O159" s="110"/>
      <c r="P159" s="110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spans="1:27">
      <c r="E160" s="295"/>
      <c r="F160" s="295"/>
      <c r="G160" s="295"/>
      <c r="H160" s="297"/>
      <c r="I160" s="297"/>
      <c r="J160" s="297"/>
      <c r="K160" s="297"/>
      <c r="L160" s="297"/>
      <c r="M160" s="297"/>
      <c r="N160" s="297"/>
      <c r="O160" s="297"/>
      <c r="P160" s="297"/>
      <c r="Q160" s="295"/>
      <c r="R160" s="295"/>
      <c r="S160" s="295"/>
      <c r="T160" s="295"/>
      <c r="U160" s="295"/>
      <c r="V160" s="295"/>
      <c r="W160" s="295"/>
      <c r="X160" s="295"/>
      <c r="Y160" s="295"/>
      <c r="Z160" s="295"/>
    </row>
    <row r="161" spans="1:27" ht="15.75" thickBot="1">
      <c r="C161" s="108"/>
      <c r="E161" s="112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</row>
    <row r="162" spans="1:27" ht="33.75" customHeight="1" thickBot="1">
      <c r="A162" s="41"/>
      <c r="E162" s="273"/>
      <c r="F162" s="964" t="s">
        <v>297</v>
      </c>
      <c r="G162" s="965"/>
      <c r="H162" s="965"/>
      <c r="I162" s="965"/>
      <c r="J162" s="965"/>
      <c r="K162" s="965"/>
      <c r="L162" s="965"/>
      <c r="M162" s="965"/>
      <c r="N162" s="965"/>
      <c r="O162" s="965"/>
      <c r="P162" s="965"/>
      <c r="Q162" s="965"/>
      <c r="R162" s="965"/>
      <c r="S162" s="965"/>
      <c r="T162" s="965"/>
      <c r="U162" s="965"/>
      <c r="V162" s="965"/>
      <c r="W162" s="965"/>
      <c r="X162" s="965"/>
      <c r="Y162" s="965"/>
      <c r="Z162" s="965"/>
      <c r="AA162" s="966"/>
    </row>
    <row r="163" spans="1:27" ht="48" customHeight="1" thickBot="1">
      <c r="A163" s="300"/>
      <c r="B163" s="301"/>
      <c r="C163" s="302"/>
      <c r="D163" s="301"/>
      <c r="E163" s="303"/>
      <c r="F163" s="344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5"/>
      <c r="T163" s="345"/>
      <c r="U163" s="345"/>
      <c r="V163" s="345"/>
      <c r="W163" s="345"/>
      <c r="X163" s="345"/>
      <c r="Y163" s="345"/>
      <c r="Z163" s="345"/>
      <c r="AA163" s="345"/>
    </row>
    <row r="164" spans="1:27" ht="45.75" thickBot="1">
      <c r="A164" s="306" t="s">
        <v>28</v>
      </c>
      <c r="B164" s="971" t="s">
        <v>22</v>
      </c>
      <c r="C164" s="971"/>
      <c r="D164" s="346" t="s">
        <v>298</v>
      </c>
      <c r="E164" s="308"/>
      <c r="F164" s="309"/>
      <c r="G164" s="310">
        <v>2026</v>
      </c>
      <c r="H164" s="310">
        <v>2027</v>
      </c>
      <c r="I164" s="310">
        <f t="shared" ref="I164:Z164" si="4">+H164+1</f>
        <v>2028</v>
      </c>
      <c r="J164" s="310">
        <f t="shared" si="4"/>
        <v>2029</v>
      </c>
      <c r="K164" s="310">
        <f t="shared" si="4"/>
        <v>2030</v>
      </c>
      <c r="L164" s="310">
        <f t="shared" si="4"/>
        <v>2031</v>
      </c>
      <c r="M164" s="310">
        <f t="shared" si="4"/>
        <v>2032</v>
      </c>
      <c r="N164" s="310">
        <f t="shared" si="4"/>
        <v>2033</v>
      </c>
      <c r="O164" s="310">
        <f t="shared" si="4"/>
        <v>2034</v>
      </c>
      <c r="P164" s="310">
        <f t="shared" si="4"/>
        <v>2035</v>
      </c>
      <c r="Q164" s="310">
        <f t="shared" si="4"/>
        <v>2036</v>
      </c>
      <c r="R164" s="310">
        <f t="shared" si="4"/>
        <v>2037</v>
      </c>
      <c r="S164" s="310">
        <f t="shared" si="4"/>
        <v>2038</v>
      </c>
      <c r="T164" s="310">
        <f t="shared" si="4"/>
        <v>2039</v>
      </c>
      <c r="U164" s="310">
        <f t="shared" si="4"/>
        <v>2040</v>
      </c>
      <c r="V164" s="310">
        <f t="shared" si="4"/>
        <v>2041</v>
      </c>
      <c r="W164" s="310">
        <f t="shared" si="4"/>
        <v>2042</v>
      </c>
      <c r="X164" s="310">
        <f t="shared" si="4"/>
        <v>2043</v>
      </c>
      <c r="Y164" s="310">
        <f t="shared" si="4"/>
        <v>2044</v>
      </c>
      <c r="Z164" s="310">
        <f t="shared" si="4"/>
        <v>2045</v>
      </c>
      <c r="AA164" s="347" t="s">
        <v>299</v>
      </c>
    </row>
    <row r="165" spans="1:27" ht="24.95" customHeight="1">
      <c r="A165" s="256" t="str">
        <f>+Pobl_adoptada!A5</f>
        <v>Almirante Brown</v>
      </c>
      <c r="B165" s="63">
        <f>+Pobl_adoptada!B5</f>
        <v>1</v>
      </c>
      <c r="C165" s="64" t="str">
        <f>+Pobl_adoptada!C5</f>
        <v>Almirante Brown</v>
      </c>
      <c r="D165" s="348">
        <v>0.75</v>
      </c>
      <c r="E165" s="277"/>
      <c r="F165" s="259"/>
      <c r="G165" s="329">
        <f t="shared" ref="G165:Z165" si="5">+G5*365/$D165</f>
        <v>427761.81891199993</v>
      </c>
      <c r="H165" s="329">
        <f t="shared" si="5"/>
        <v>406856.2198896</v>
      </c>
      <c r="I165" s="329">
        <f t="shared" si="5"/>
        <v>385586.81409599999</v>
      </c>
      <c r="J165" s="329">
        <f t="shared" si="5"/>
        <v>353349.08319999999</v>
      </c>
      <c r="K165" s="329">
        <f t="shared" si="5"/>
        <v>320568.48576000001</v>
      </c>
      <c r="L165" s="329">
        <f t="shared" si="5"/>
        <v>323143.54732800002</v>
      </c>
      <c r="M165" s="329">
        <f t="shared" si="5"/>
        <v>325739.35958399996</v>
      </c>
      <c r="N165" s="329">
        <f t="shared" si="5"/>
        <v>328355.92252800002</v>
      </c>
      <c r="O165" s="329">
        <f t="shared" si="5"/>
        <v>330993.23615999997</v>
      </c>
      <c r="P165" s="329">
        <f t="shared" si="5"/>
        <v>333651.794544</v>
      </c>
      <c r="Q165" s="329">
        <f t="shared" si="5"/>
        <v>336332.09174399998</v>
      </c>
      <c r="R165" s="329">
        <f t="shared" si="5"/>
        <v>339033.63369599998</v>
      </c>
      <c r="S165" s="329">
        <f t="shared" si="5"/>
        <v>341756.4204</v>
      </c>
      <c r="T165" s="329">
        <f t="shared" si="5"/>
        <v>344501.93404799997</v>
      </c>
      <c r="U165" s="329">
        <f t="shared" si="5"/>
        <v>347269.18651199999</v>
      </c>
      <c r="V165" s="329">
        <f t="shared" si="5"/>
        <v>350058.17779199994</v>
      </c>
      <c r="W165" s="329">
        <f t="shared" si="5"/>
        <v>352870.39007999998</v>
      </c>
      <c r="X165" s="329">
        <f t="shared" si="5"/>
        <v>355704.34118399996</v>
      </c>
      <c r="Y165" s="329">
        <f t="shared" si="5"/>
        <v>358561.51329600002</v>
      </c>
      <c r="Z165" s="329">
        <f t="shared" si="5"/>
        <v>361441.90641599993</v>
      </c>
      <c r="AA165" s="349">
        <f>AVERAGE(G165:Z165)</f>
        <v>351176.79385847994</v>
      </c>
    </row>
    <row r="166" spans="1:27" ht="24.95" customHeight="1">
      <c r="A166" s="354" t="str">
        <f>+Pobl_adoptada!A6</f>
        <v>Avellaneda</v>
      </c>
      <c r="B166" s="355">
        <f>+Pobl_adoptada!B6</f>
        <v>2</v>
      </c>
      <c r="C166" s="356" t="str">
        <f>+Pobl_adoptada!C6</f>
        <v>Avellaneda</v>
      </c>
      <c r="D166" s="348">
        <v>0.75</v>
      </c>
      <c r="E166" s="278"/>
      <c r="F166" s="263"/>
      <c r="G166" s="322">
        <f t="shared" ref="G166:Z166" si="6">+G6*365/$D166</f>
        <v>261920.34416000001</v>
      </c>
      <c r="H166" s="322">
        <f t="shared" si="6"/>
        <v>249068.43299520004</v>
      </c>
      <c r="I166" s="322">
        <f t="shared" si="6"/>
        <v>236014.70217599999</v>
      </c>
      <c r="J166" s="322">
        <f t="shared" si="6"/>
        <v>216266.08575999996</v>
      </c>
      <c r="K166" s="322">
        <f t="shared" si="6"/>
        <v>196200.71942400001</v>
      </c>
      <c r="L166" s="322">
        <f t="shared" si="6"/>
        <v>197787.65299199999</v>
      </c>
      <c r="M166" s="322">
        <f t="shared" si="6"/>
        <v>199400.77195200001</v>
      </c>
      <c r="N166" s="322">
        <f t="shared" si="6"/>
        <v>201039.58224000002</v>
      </c>
      <c r="O166" s="322">
        <f t="shared" si="6"/>
        <v>202705.56604800001</v>
      </c>
      <c r="P166" s="322">
        <f t="shared" si="6"/>
        <v>204398.72337599998</v>
      </c>
      <c r="Q166" s="322">
        <f t="shared" si="6"/>
        <v>206119.54828800002</v>
      </c>
      <c r="R166" s="322">
        <f t="shared" si="6"/>
        <v>207868.04078399998</v>
      </c>
      <c r="S166" s="322">
        <f t="shared" si="6"/>
        <v>209645.18899199998</v>
      </c>
      <c r="T166" s="322">
        <f t="shared" si="6"/>
        <v>211451.48697599999</v>
      </c>
      <c r="U166" s="322">
        <f t="shared" si="6"/>
        <v>213287.42879999999</v>
      </c>
      <c r="V166" s="322">
        <f t="shared" si="6"/>
        <v>215153.01446399998</v>
      </c>
      <c r="W166" s="322">
        <f t="shared" si="6"/>
        <v>217049.23209599999</v>
      </c>
      <c r="X166" s="322">
        <f t="shared" si="6"/>
        <v>218976.08169599998</v>
      </c>
      <c r="Y166" s="322">
        <f t="shared" si="6"/>
        <v>220934.55139200002</v>
      </c>
      <c r="Z166" s="322">
        <f t="shared" si="6"/>
        <v>222925.13524800001</v>
      </c>
      <c r="AA166" s="343">
        <f t="shared" ref="AA166:AA229" si="7">AVERAGE(G166:Z166)</f>
        <v>215410.61449295998</v>
      </c>
    </row>
    <row r="167" spans="1:27" ht="24.95" customHeight="1">
      <c r="A167" s="260" t="str">
        <f>+Pobl_adoptada!A7</f>
        <v>Berazategui</v>
      </c>
      <c r="B167" s="70">
        <f>+Pobl_adoptada!B7</f>
        <v>3</v>
      </c>
      <c r="C167" s="71" t="str">
        <f>+Pobl_adoptada!C7</f>
        <v>Berazategui</v>
      </c>
      <c r="D167" s="348">
        <v>0.75</v>
      </c>
      <c r="E167" s="278"/>
      <c r="F167" s="263"/>
      <c r="G167" s="322">
        <f t="shared" ref="G167:Z167" si="8">+G7*365/$D167</f>
        <v>266786.74280960002</v>
      </c>
      <c r="H167" s="322">
        <f t="shared" si="8"/>
        <v>254435.9936976</v>
      </c>
      <c r="I167" s="322">
        <f t="shared" si="8"/>
        <v>241761.59972799997</v>
      </c>
      <c r="J167" s="322">
        <f t="shared" si="8"/>
        <v>222099.88367999997</v>
      </c>
      <c r="K167" s="322">
        <f t="shared" si="8"/>
        <v>201974.84539200002</v>
      </c>
      <c r="L167" s="322">
        <f t="shared" si="8"/>
        <v>204059.79547199994</v>
      </c>
      <c r="M167" s="322">
        <f t="shared" si="8"/>
        <v>206144.74555200001</v>
      </c>
      <c r="N167" s="322">
        <f t="shared" si="8"/>
        <v>208229.69563200002</v>
      </c>
      <c r="O167" s="322">
        <f t="shared" si="8"/>
        <v>210314.151648</v>
      </c>
      <c r="P167" s="322">
        <f t="shared" si="8"/>
        <v>212399.10172799998</v>
      </c>
      <c r="Q167" s="322">
        <f t="shared" si="8"/>
        <v>214484.05180800005</v>
      </c>
      <c r="R167" s="322">
        <f t="shared" si="8"/>
        <v>216569.00188800003</v>
      </c>
      <c r="S167" s="322">
        <f t="shared" si="8"/>
        <v>218653.95196800001</v>
      </c>
      <c r="T167" s="322">
        <f t="shared" si="8"/>
        <v>220738.90204800002</v>
      </c>
      <c r="U167" s="322">
        <f t="shared" si="8"/>
        <v>222823.85212799997</v>
      </c>
      <c r="V167" s="322">
        <f t="shared" si="8"/>
        <v>224908.30814400001</v>
      </c>
      <c r="W167" s="322">
        <f t="shared" si="8"/>
        <v>226993.25822399999</v>
      </c>
      <c r="X167" s="322">
        <f t="shared" si="8"/>
        <v>229078.208304</v>
      </c>
      <c r="Y167" s="322">
        <f t="shared" si="8"/>
        <v>231163.15838399998</v>
      </c>
      <c r="Z167" s="322">
        <f t="shared" si="8"/>
        <v>233248.10846399996</v>
      </c>
      <c r="AA167" s="343">
        <f t="shared" si="7"/>
        <v>223343.36783495996</v>
      </c>
    </row>
    <row r="168" spans="1:27" ht="24.95" customHeight="1">
      <c r="A168" s="260" t="str">
        <f>+Pobl_adoptada!A8</f>
        <v>Esteban Echeverría</v>
      </c>
      <c r="B168" s="70">
        <f>+Pobl_adoptada!B8</f>
        <v>4</v>
      </c>
      <c r="C168" s="71" t="str">
        <f>+Pobl_adoptada!C8</f>
        <v>Esteban Echeverría</v>
      </c>
      <c r="D168" s="348">
        <v>0.75</v>
      </c>
      <c r="E168" s="278"/>
      <c r="F168" s="263"/>
      <c r="G168" s="322">
        <f t="shared" ref="G168:Z168" si="9">+G8*365/$D168</f>
        <v>262099.37099519998</v>
      </c>
      <c r="H168" s="322">
        <f t="shared" si="9"/>
        <v>250804.52448479997</v>
      </c>
      <c r="I168" s="322">
        <f t="shared" si="9"/>
        <v>239091.34849599996</v>
      </c>
      <c r="J168" s="322">
        <f t="shared" si="9"/>
        <v>220348.15231999999</v>
      </c>
      <c r="K168" s="322">
        <f t="shared" si="9"/>
        <v>201006.97401599993</v>
      </c>
      <c r="L168" s="322">
        <f t="shared" si="9"/>
        <v>203700.11687999999</v>
      </c>
      <c r="M168" s="322">
        <f t="shared" si="9"/>
        <v>206393.75380800001</v>
      </c>
      <c r="N168" s="322">
        <f t="shared" si="9"/>
        <v>209086.89667199997</v>
      </c>
      <c r="O168" s="322">
        <f t="shared" si="9"/>
        <v>211780.039536</v>
      </c>
      <c r="P168" s="322">
        <f t="shared" si="9"/>
        <v>214473.67646399999</v>
      </c>
      <c r="Q168" s="322">
        <f t="shared" si="9"/>
        <v>217166.81932799995</v>
      </c>
      <c r="R168" s="322">
        <f t="shared" si="9"/>
        <v>219860.456256</v>
      </c>
      <c r="S168" s="322">
        <f t="shared" si="9"/>
        <v>222553.59912</v>
      </c>
      <c r="T168" s="322">
        <f t="shared" si="9"/>
        <v>225247.23604800002</v>
      </c>
      <c r="U168" s="322">
        <f t="shared" si="9"/>
        <v>227940.37891199996</v>
      </c>
      <c r="V168" s="322">
        <f t="shared" si="9"/>
        <v>230633.52177599995</v>
      </c>
      <c r="W168" s="322">
        <f t="shared" si="9"/>
        <v>233327.15870399997</v>
      </c>
      <c r="X168" s="322">
        <f t="shared" si="9"/>
        <v>236020.30156799997</v>
      </c>
      <c r="Y168" s="322">
        <f t="shared" si="9"/>
        <v>238713.93849600005</v>
      </c>
      <c r="Z168" s="322">
        <f t="shared" si="9"/>
        <v>241407.08135999995</v>
      </c>
      <c r="AA168" s="343">
        <f t="shared" si="7"/>
        <v>225582.76726199998</v>
      </c>
    </row>
    <row r="169" spans="1:27" ht="24.95" customHeight="1">
      <c r="A169" s="260" t="str">
        <f>+Pobl_adoptada!A9</f>
        <v>Ezeiza</v>
      </c>
      <c r="B169" s="70">
        <f>+Pobl_adoptada!B9</f>
        <v>5</v>
      </c>
      <c r="C169" s="71" t="str">
        <f>+Pobl_adoptada!C9</f>
        <v>Ezeiza</v>
      </c>
      <c r="D169" s="348">
        <v>0.75</v>
      </c>
      <c r="E169" s="278"/>
      <c r="F169" s="263"/>
      <c r="G169" s="322">
        <f t="shared" ref="G169:Z169" si="10">+G9*365/$D169</f>
        <v>117165.06167040001</v>
      </c>
      <c r="H169" s="322">
        <f t="shared" si="10"/>
        <v>112738.84951680001</v>
      </c>
      <c r="I169" s="322">
        <f t="shared" si="10"/>
        <v>108050.39519999998</v>
      </c>
      <c r="J169" s="322">
        <f t="shared" si="10"/>
        <v>100097.67008</v>
      </c>
      <c r="K169" s="322">
        <f t="shared" si="10"/>
        <v>91770.937343999991</v>
      </c>
      <c r="L169" s="322">
        <f t="shared" si="10"/>
        <v>93453.614208000014</v>
      </c>
      <c r="M169" s="322">
        <f t="shared" si="10"/>
        <v>95136.648479999989</v>
      </c>
      <c r="N169" s="322">
        <f t="shared" si="10"/>
        <v>96819.682752000008</v>
      </c>
      <c r="O169" s="322">
        <f t="shared" si="10"/>
        <v>98502.359616000016</v>
      </c>
      <c r="P169" s="322">
        <f t="shared" si="10"/>
        <v>100185.39388800001</v>
      </c>
      <c r="Q169" s="322">
        <f t="shared" si="10"/>
        <v>101868.42816000001</v>
      </c>
      <c r="R169" s="322">
        <f t="shared" si="10"/>
        <v>103551.46243200001</v>
      </c>
      <c r="S169" s="322">
        <f t="shared" si="10"/>
        <v>105234.13929599999</v>
      </c>
      <c r="T169" s="322">
        <f t="shared" si="10"/>
        <v>106917.17356800001</v>
      </c>
      <c r="U169" s="322">
        <f t="shared" si="10"/>
        <v>108600.20784</v>
      </c>
      <c r="V169" s="322">
        <f t="shared" si="10"/>
        <v>110282.88470400001</v>
      </c>
      <c r="W169" s="322">
        <f t="shared" si="10"/>
        <v>111965.918976</v>
      </c>
      <c r="X169" s="322">
        <f t="shared" si="10"/>
        <v>113648.95324800001</v>
      </c>
      <c r="Y169" s="322">
        <f t="shared" si="10"/>
        <v>115331.630112</v>
      </c>
      <c r="Z169" s="322">
        <f t="shared" si="10"/>
        <v>117014.664384</v>
      </c>
      <c r="AA169" s="343">
        <f t="shared" si="7"/>
        <v>105416.80377376001</v>
      </c>
    </row>
    <row r="170" spans="1:27" ht="24.95" customHeight="1">
      <c r="A170" s="260" t="str">
        <f>+Pobl_adoptada!A10</f>
        <v>Florencio Varela</v>
      </c>
      <c r="B170" s="70">
        <f>+Pobl_adoptada!B10</f>
        <v>6</v>
      </c>
      <c r="C170" s="71" t="str">
        <f>+Pobl_adoptada!C10</f>
        <v>Florencio Varela</v>
      </c>
      <c r="D170" s="348">
        <v>0.75</v>
      </c>
      <c r="E170" s="278"/>
      <c r="F170" s="263"/>
      <c r="G170" s="322">
        <f t="shared" ref="G170:Z170" si="11">+G10*365/$D170</f>
        <v>390846.89392</v>
      </c>
      <c r="H170" s="322">
        <f t="shared" si="11"/>
        <v>374743.98673920002</v>
      </c>
      <c r="I170" s="322">
        <f t="shared" si="11"/>
        <v>357927.79387199995</v>
      </c>
      <c r="J170" s="322">
        <f t="shared" si="11"/>
        <v>330484.35024</v>
      </c>
      <c r="K170" s="322">
        <f t="shared" si="11"/>
        <v>302021.32320000004</v>
      </c>
      <c r="L170" s="322">
        <f t="shared" si="11"/>
        <v>306607.225248</v>
      </c>
      <c r="M170" s="322">
        <f t="shared" si="11"/>
        <v>311192.63323199999</v>
      </c>
      <c r="N170" s="322">
        <f t="shared" si="11"/>
        <v>315778.04121600004</v>
      </c>
      <c r="O170" s="322">
        <f t="shared" si="11"/>
        <v>320363.943264</v>
      </c>
      <c r="P170" s="322">
        <f t="shared" si="11"/>
        <v>324949.35124799999</v>
      </c>
      <c r="Q170" s="322">
        <f t="shared" si="11"/>
        <v>329535.25329600001</v>
      </c>
      <c r="R170" s="322">
        <f t="shared" si="11"/>
        <v>334120.66128</v>
      </c>
      <c r="S170" s="322">
        <f t="shared" si="11"/>
        <v>338706.06926399999</v>
      </c>
      <c r="T170" s="322">
        <f t="shared" si="11"/>
        <v>343291.97131200001</v>
      </c>
      <c r="U170" s="322">
        <f t="shared" si="11"/>
        <v>347877.379296</v>
      </c>
      <c r="V170" s="322">
        <f t="shared" si="11"/>
        <v>352463.28134400002</v>
      </c>
      <c r="W170" s="322">
        <f t="shared" si="11"/>
        <v>357048.68932800001</v>
      </c>
      <c r="X170" s="322">
        <f t="shared" si="11"/>
        <v>361634.59137599991</v>
      </c>
      <c r="Y170" s="322">
        <f t="shared" si="11"/>
        <v>366219.99936000002</v>
      </c>
      <c r="Z170" s="322">
        <f t="shared" si="11"/>
        <v>370805.40734400001</v>
      </c>
      <c r="AA170" s="343">
        <f t="shared" si="7"/>
        <v>341830.94226896006</v>
      </c>
    </row>
    <row r="171" spans="1:27" ht="24.95" customHeight="1">
      <c r="A171" s="260" t="str">
        <f>+Pobl_adoptada!A11</f>
        <v>General San Martín</v>
      </c>
      <c r="B171" s="70">
        <f>+Pobl_adoptada!B11</f>
        <v>7</v>
      </c>
      <c r="C171" s="71" t="str">
        <f>+Pobl_adoptada!C11</f>
        <v>General San Martín</v>
      </c>
      <c r="D171" s="348">
        <v>0.75</v>
      </c>
      <c r="E171" s="278"/>
      <c r="F171" s="263"/>
      <c r="G171" s="322">
        <f t="shared" ref="G171:Z171" si="12">+G11*365/$D171</f>
        <v>305148.1774016</v>
      </c>
      <c r="H171" s="322">
        <f t="shared" si="12"/>
        <v>289487.31477120001</v>
      </c>
      <c r="I171" s="322">
        <f t="shared" si="12"/>
        <v>273663.31220799999</v>
      </c>
      <c r="J171" s="322">
        <f t="shared" si="12"/>
        <v>250167.11056000003</v>
      </c>
      <c r="K171" s="322">
        <f t="shared" si="12"/>
        <v>226414.70927999998</v>
      </c>
      <c r="L171" s="322">
        <f t="shared" si="12"/>
        <v>227699.27567999996</v>
      </c>
      <c r="M171" s="322">
        <f t="shared" si="12"/>
        <v>229005.08683199997</v>
      </c>
      <c r="N171" s="322">
        <f t="shared" si="12"/>
        <v>230332.14273600001</v>
      </c>
      <c r="O171" s="322">
        <f t="shared" si="12"/>
        <v>231680.93745600001</v>
      </c>
      <c r="P171" s="322">
        <f t="shared" si="12"/>
        <v>233051.47099199999</v>
      </c>
      <c r="Q171" s="322">
        <f t="shared" si="12"/>
        <v>234444.73147199998</v>
      </c>
      <c r="R171" s="322">
        <f t="shared" si="12"/>
        <v>235860.22483200001</v>
      </c>
      <c r="S171" s="322">
        <f t="shared" si="12"/>
        <v>237298.93919999999</v>
      </c>
      <c r="T171" s="322">
        <f t="shared" si="12"/>
        <v>238761.36864</v>
      </c>
      <c r="U171" s="322">
        <f t="shared" si="12"/>
        <v>240247.513152</v>
      </c>
      <c r="V171" s="322">
        <f t="shared" si="12"/>
        <v>241758.36086399996</v>
      </c>
      <c r="W171" s="322">
        <f t="shared" si="12"/>
        <v>243293.41771199997</v>
      </c>
      <c r="X171" s="322">
        <f t="shared" si="12"/>
        <v>244853.17775999999</v>
      </c>
      <c r="Y171" s="322">
        <f t="shared" si="12"/>
        <v>246439.12320000003</v>
      </c>
      <c r="Z171" s="322">
        <f t="shared" si="12"/>
        <v>248050.26590400003</v>
      </c>
      <c r="AA171" s="343">
        <f t="shared" si="7"/>
        <v>245382.83303264002</v>
      </c>
    </row>
    <row r="172" spans="1:27" ht="24.95" customHeight="1">
      <c r="A172" s="260" t="str">
        <f>+Pobl_adoptada!A12</f>
        <v>Hurlingham</v>
      </c>
      <c r="B172" s="70">
        <f>+Pobl_adoptada!B12</f>
        <v>8</v>
      </c>
      <c r="C172" s="71" t="str">
        <f>+Pobl_adoptada!C12</f>
        <v>Hurlingham</v>
      </c>
      <c r="D172" s="348">
        <v>0.75</v>
      </c>
      <c r="E172" s="278"/>
      <c r="F172" s="263"/>
      <c r="G172" s="322">
        <f t="shared" ref="G172:Z172" si="13">+G12*365/$D172</f>
        <v>94765.460416000002</v>
      </c>
      <c r="H172" s="322">
        <f t="shared" si="13"/>
        <v>89763.340867200008</v>
      </c>
      <c r="I172" s="322">
        <f t="shared" si="13"/>
        <v>84720.071744000001</v>
      </c>
      <c r="J172" s="322">
        <f t="shared" si="13"/>
        <v>77315.68991999999</v>
      </c>
      <c r="K172" s="322">
        <f t="shared" si="13"/>
        <v>69851.819520000019</v>
      </c>
      <c r="L172" s="322">
        <f t="shared" si="13"/>
        <v>70119.518111999991</v>
      </c>
      <c r="M172" s="322">
        <f t="shared" si="13"/>
        <v>70387.216704000006</v>
      </c>
      <c r="N172" s="322">
        <f t="shared" si="13"/>
        <v>70654.915296000006</v>
      </c>
      <c r="O172" s="322">
        <f t="shared" si="13"/>
        <v>70922.256480000011</v>
      </c>
      <c r="P172" s="322">
        <f t="shared" si="13"/>
        <v>71189.955071999982</v>
      </c>
      <c r="Q172" s="322">
        <f t="shared" si="13"/>
        <v>71457.653663999998</v>
      </c>
      <c r="R172" s="322">
        <f t="shared" si="13"/>
        <v>71725.352256000013</v>
      </c>
      <c r="S172" s="322">
        <f t="shared" si="13"/>
        <v>71993.050847999999</v>
      </c>
      <c r="T172" s="322">
        <f t="shared" si="13"/>
        <v>72260.74944</v>
      </c>
      <c r="U172" s="322">
        <f t="shared" si="13"/>
        <v>72528.448032000015</v>
      </c>
      <c r="V172" s="322">
        <f t="shared" si="13"/>
        <v>72795.78921599999</v>
      </c>
      <c r="W172" s="322">
        <f t="shared" si="13"/>
        <v>73063.487807999991</v>
      </c>
      <c r="X172" s="322">
        <f t="shared" si="13"/>
        <v>73331.186399999991</v>
      </c>
      <c r="Y172" s="322">
        <f t="shared" si="13"/>
        <v>73598.884992000021</v>
      </c>
      <c r="Z172" s="322">
        <f t="shared" si="13"/>
        <v>73866.583584000007</v>
      </c>
      <c r="AA172" s="343">
        <f t="shared" si="7"/>
        <v>74815.571518560013</v>
      </c>
    </row>
    <row r="173" spans="1:27" ht="24.95" customHeight="1">
      <c r="A173" s="260" t="str">
        <f>+Pobl_adoptada!A13</f>
        <v>Ituzaingó</v>
      </c>
      <c r="B173" s="70">
        <f>+Pobl_adoptada!B13</f>
        <v>9</v>
      </c>
      <c r="C173" s="71" t="str">
        <f>+Pobl_adoptada!C13</f>
        <v>Ituzaingó</v>
      </c>
      <c r="D173" s="348">
        <v>0.75</v>
      </c>
      <c r="E173" s="278"/>
      <c r="F173" s="263"/>
      <c r="G173" s="322">
        <f t="shared" ref="G173:Z173" si="14">+G13*365/$D173</f>
        <v>91870.96392959998</v>
      </c>
      <c r="H173" s="322">
        <f t="shared" si="14"/>
        <v>87260.376902400007</v>
      </c>
      <c r="I173" s="322">
        <f t="shared" si="14"/>
        <v>82584.400096000012</v>
      </c>
      <c r="J173" s="322">
        <f t="shared" si="14"/>
        <v>75575.112960000013</v>
      </c>
      <c r="K173" s="322">
        <f t="shared" si="14"/>
        <v>68469.007968000005</v>
      </c>
      <c r="L173" s="322">
        <f t="shared" si="14"/>
        <v>68923.630944000004</v>
      </c>
      <c r="M173" s="322">
        <f t="shared" si="14"/>
        <v>69381.470592000012</v>
      </c>
      <c r="N173" s="322">
        <f t="shared" si="14"/>
        <v>69841.812095999994</v>
      </c>
      <c r="O173" s="322">
        <f t="shared" si="14"/>
        <v>70305.727680000011</v>
      </c>
      <c r="P173" s="322">
        <f t="shared" si="14"/>
        <v>70772.502528000012</v>
      </c>
      <c r="Q173" s="322">
        <f t="shared" si="14"/>
        <v>71242.494047999993</v>
      </c>
      <c r="R173" s="322">
        <f t="shared" si="14"/>
        <v>71715.344832000017</v>
      </c>
      <c r="S173" s="322">
        <f t="shared" si="14"/>
        <v>72191.412288000007</v>
      </c>
      <c r="T173" s="322">
        <f t="shared" si="14"/>
        <v>72670.696415999992</v>
      </c>
      <c r="U173" s="322">
        <f t="shared" si="14"/>
        <v>73153.197216</v>
      </c>
      <c r="V173" s="322">
        <f t="shared" si="14"/>
        <v>73638.914688000019</v>
      </c>
      <c r="W173" s="322">
        <f t="shared" si="14"/>
        <v>74127.848832000003</v>
      </c>
      <c r="X173" s="322">
        <f t="shared" si="14"/>
        <v>74619.999648000012</v>
      </c>
      <c r="Y173" s="322">
        <f t="shared" si="14"/>
        <v>75115.367136000001</v>
      </c>
      <c r="Z173" s="322">
        <f t="shared" si="14"/>
        <v>75613.951295999999</v>
      </c>
      <c r="AA173" s="343">
        <f t="shared" si="7"/>
        <v>74453.711604800003</v>
      </c>
    </row>
    <row r="174" spans="1:27" ht="24.95" customHeight="1">
      <c r="A174" s="260" t="str">
        <f>+Pobl_adoptada!A14</f>
        <v>José C. Paz</v>
      </c>
      <c r="B174" s="70">
        <f>+Pobl_adoptada!B14</f>
        <v>10</v>
      </c>
      <c r="C174" s="71" t="str">
        <f>+Pobl_adoptada!C14</f>
        <v>José C. Paz</v>
      </c>
      <c r="D174" s="348">
        <v>0.75</v>
      </c>
      <c r="E174" s="278"/>
      <c r="F174" s="263"/>
      <c r="G174" s="322">
        <f t="shared" ref="G174:Z174" si="15">+G14*365/$D174</f>
        <v>234063.6324608</v>
      </c>
      <c r="H174" s="322">
        <f t="shared" si="15"/>
        <v>224423.38432799999</v>
      </c>
      <c r="I174" s="322">
        <f t="shared" si="15"/>
        <v>214409.94220799996</v>
      </c>
      <c r="J174" s="322">
        <f t="shared" si="15"/>
        <v>198071.35551999998</v>
      </c>
      <c r="K174" s="322">
        <f t="shared" si="15"/>
        <v>181148.071536</v>
      </c>
      <c r="L174" s="322">
        <f t="shared" si="15"/>
        <v>184078.85918399997</v>
      </c>
      <c r="M174" s="322">
        <f t="shared" si="15"/>
        <v>187057.07697599998</v>
      </c>
      <c r="N174" s="322">
        <f t="shared" si="15"/>
        <v>190083.71303999997</v>
      </c>
      <c r="O174" s="322">
        <f t="shared" si="15"/>
        <v>193158.76737599997</v>
      </c>
      <c r="P174" s="322">
        <f t="shared" si="15"/>
        <v>196283.72217599998</v>
      </c>
      <c r="Q174" s="322">
        <f t="shared" si="15"/>
        <v>199459.56556799996</v>
      </c>
      <c r="R174" s="322">
        <f t="shared" si="15"/>
        <v>202686.29755200003</v>
      </c>
      <c r="S174" s="322">
        <f t="shared" si="15"/>
        <v>205965.40031999999</v>
      </c>
      <c r="T174" s="322">
        <f t="shared" si="15"/>
        <v>209297.86199999999</v>
      </c>
      <c r="U174" s="322">
        <f t="shared" si="15"/>
        <v>212683.682592</v>
      </c>
      <c r="V174" s="322">
        <f t="shared" si="15"/>
        <v>216124.83835199999</v>
      </c>
      <c r="W174" s="322">
        <f t="shared" si="15"/>
        <v>219621.32927999998</v>
      </c>
      <c r="X174" s="322">
        <f t="shared" si="15"/>
        <v>223174.63756800001</v>
      </c>
      <c r="Y174" s="322">
        <f t="shared" si="15"/>
        <v>226785.25727999999</v>
      </c>
      <c r="Z174" s="322">
        <f t="shared" si="15"/>
        <v>230454.17654400002</v>
      </c>
      <c r="AA174" s="343">
        <f t="shared" si="7"/>
        <v>207451.57859303997</v>
      </c>
    </row>
    <row r="175" spans="1:27" ht="24.95" customHeight="1">
      <c r="A175" s="260" t="str">
        <f>+Pobl_adoptada!A15</f>
        <v>La Matanza</v>
      </c>
      <c r="B175" s="70">
        <f>+Pobl_adoptada!B15</f>
        <v>11</v>
      </c>
      <c r="C175" s="71" t="str">
        <f>+Pobl_adoptada!C15</f>
        <v>La Matanza</v>
      </c>
      <c r="D175" s="348">
        <v>0.75</v>
      </c>
      <c r="E175" s="278"/>
      <c r="F175" s="263"/>
      <c r="G175" s="322">
        <f t="shared" ref="G175:Z175" si="16">+G15*365/$D175</f>
        <v>1530034.8082112002</v>
      </c>
      <c r="H175" s="322">
        <f t="shared" si="16"/>
        <v>1465578.5051231997</v>
      </c>
      <c r="I175" s="322">
        <f t="shared" si="16"/>
        <v>1398499.0954879997</v>
      </c>
      <c r="J175" s="322">
        <f t="shared" si="16"/>
        <v>1290094.4272</v>
      </c>
      <c r="K175" s="322">
        <f t="shared" si="16"/>
        <v>1177943.4362879999</v>
      </c>
      <c r="L175" s="322">
        <f t="shared" si="16"/>
        <v>1194801.8880959998</v>
      </c>
      <c r="M175" s="322">
        <f t="shared" si="16"/>
        <v>1211660.3399039998</v>
      </c>
      <c r="N175" s="322">
        <f t="shared" si="16"/>
        <v>1228519.285776</v>
      </c>
      <c r="O175" s="322">
        <f t="shared" si="16"/>
        <v>1245377.7375840002</v>
      </c>
      <c r="P175" s="322">
        <f t="shared" si="16"/>
        <v>1262236.189392</v>
      </c>
      <c r="Q175" s="322">
        <f t="shared" si="16"/>
        <v>1279094.6412</v>
      </c>
      <c r="R175" s="322">
        <f t="shared" si="16"/>
        <v>1295953.0930080002</v>
      </c>
      <c r="S175" s="322">
        <f t="shared" si="16"/>
        <v>1312811.5448159999</v>
      </c>
      <c r="T175" s="322">
        <f t="shared" si="16"/>
        <v>1329670.4906880001</v>
      </c>
      <c r="U175" s="322">
        <f t="shared" si="16"/>
        <v>1346528.9424960001</v>
      </c>
      <c r="V175" s="322">
        <f t="shared" si="16"/>
        <v>1363387.3943039998</v>
      </c>
      <c r="W175" s="322">
        <f t="shared" si="16"/>
        <v>1380245.8461120001</v>
      </c>
      <c r="X175" s="322">
        <f t="shared" si="16"/>
        <v>1397104.2979199998</v>
      </c>
      <c r="Y175" s="322">
        <f t="shared" si="16"/>
        <v>1413962.749728</v>
      </c>
      <c r="Z175" s="322">
        <f t="shared" si="16"/>
        <v>1430821.6956</v>
      </c>
      <c r="AA175" s="343">
        <f t="shared" si="7"/>
        <v>1327716.3204467201</v>
      </c>
    </row>
    <row r="176" spans="1:27" ht="24.95" customHeight="1">
      <c r="A176" s="260" t="str">
        <f>+Pobl_adoptada!A16</f>
        <v>Lanús</v>
      </c>
      <c r="B176" s="70">
        <f>+Pobl_adoptada!B16</f>
        <v>12</v>
      </c>
      <c r="C176" s="71" t="str">
        <f>+Pobl_adoptada!C16</f>
        <v>Lanús</v>
      </c>
      <c r="D176" s="348">
        <v>0.75</v>
      </c>
      <c r="E176" s="278"/>
      <c r="F176" s="263"/>
      <c r="G176" s="322">
        <f t="shared" ref="G176:Z176" si="17">+G16*365/$D176</f>
        <v>308037.79304959998</v>
      </c>
      <c r="H176" s="322">
        <f t="shared" si="17"/>
        <v>290380.08841919998</v>
      </c>
      <c r="I176" s="322">
        <f t="shared" si="17"/>
        <v>272754.50892799994</v>
      </c>
      <c r="J176" s="322">
        <f t="shared" si="17"/>
        <v>247729.72815999997</v>
      </c>
      <c r="K176" s="322">
        <f t="shared" si="17"/>
        <v>222750.730656</v>
      </c>
      <c r="L176" s="322">
        <f t="shared" si="17"/>
        <v>222545.20003199996</v>
      </c>
      <c r="M176" s="322">
        <f t="shared" si="17"/>
        <v>222339.66940799999</v>
      </c>
      <c r="N176" s="322">
        <f t="shared" si="17"/>
        <v>222134.13878399998</v>
      </c>
      <c r="O176" s="322">
        <f t="shared" si="17"/>
        <v>221929.102224</v>
      </c>
      <c r="P176" s="322">
        <f t="shared" si="17"/>
        <v>221724.06566399997</v>
      </c>
      <c r="Q176" s="322">
        <f t="shared" si="17"/>
        <v>221519.52316799996</v>
      </c>
      <c r="R176" s="322">
        <f t="shared" si="17"/>
        <v>221314.98067200001</v>
      </c>
      <c r="S176" s="322">
        <f t="shared" si="17"/>
        <v>221110.438176</v>
      </c>
      <c r="T176" s="322">
        <f t="shared" si="17"/>
        <v>220906.38974400001</v>
      </c>
      <c r="U176" s="322">
        <f t="shared" si="17"/>
        <v>220702.34131199998</v>
      </c>
      <c r="V176" s="322">
        <f t="shared" si="17"/>
        <v>220498.29287999996</v>
      </c>
      <c r="W176" s="322">
        <f t="shared" si="17"/>
        <v>220294.73851199995</v>
      </c>
      <c r="X176" s="322">
        <f t="shared" si="17"/>
        <v>220091.67820800003</v>
      </c>
      <c r="Y176" s="322">
        <f t="shared" si="17"/>
        <v>219888.12383999999</v>
      </c>
      <c r="Z176" s="322">
        <f t="shared" si="17"/>
        <v>219685.06353599997</v>
      </c>
      <c r="AA176" s="343">
        <f t="shared" si="7"/>
        <v>232916.82976863999</v>
      </c>
    </row>
    <row r="177" spans="1:27" ht="24.95" customHeight="1">
      <c r="A177" s="260" t="str">
        <f>+Pobl_adoptada!A17</f>
        <v>Lomas de Zamora</v>
      </c>
      <c r="B177" s="70">
        <f>+Pobl_adoptada!B17</f>
        <v>13</v>
      </c>
      <c r="C177" s="71" t="str">
        <f>+Pobl_adoptada!C17</f>
        <v>Lomas de Zamora</v>
      </c>
      <c r="D177" s="348">
        <v>0.75</v>
      </c>
      <c r="E177" s="278"/>
      <c r="F177" s="263"/>
      <c r="G177" s="322">
        <f t="shared" ref="G177:Z177" si="18">+G17*365/$D177</f>
        <v>471674.44681599998</v>
      </c>
      <c r="H177" s="322">
        <f t="shared" si="18"/>
        <v>448568.01774720004</v>
      </c>
      <c r="I177" s="322">
        <f t="shared" si="18"/>
        <v>425094.09289599996</v>
      </c>
      <c r="J177" s="322">
        <f t="shared" si="18"/>
        <v>389556.83792000002</v>
      </c>
      <c r="K177" s="322">
        <f t="shared" si="18"/>
        <v>353443.50432000001</v>
      </c>
      <c r="L177" s="322">
        <f t="shared" si="18"/>
        <v>356332.29652799992</v>
      </c>
      <c r="M177" s="322">
        <f t="shared" si="18"/>
        <v>359268.51888000005</v>
      </c>
      <c r="N177" s="322">
        <f t="shared" si="18"/>
        <v>362252.17137599993</v>
      </c>
      <c r="O177" s="322">
        <f t="shared" si="18"/>
        <v>365284.73620799999</v>
      </c>
      <c r="P177" s="322">
        <f t="shared" si="18"/>
        <v>368366.70743999997</v>
      </c>
      <c r="Q177" s="322">
        <f t="shared" si="18"/>
        <v>371499.07320000004</v>
      </c>
      <c r="R177" s="322">
        <f t="shared" si="18"/>
        <v>374682.82161600003</v>
      </c>
      <c r="S177" s="322">
        <f t="shared" si="18"/>
        <v>377917.95268799999</v>
      </c>
      <c r="T177" s="322">
        <f t="shared" si="18"/>
        <v>381205.94860800001</v>
      </c>
      <c r="U177" s="322">
        <f t="shared" si="18"/>
        <v>384547.79750400007</v>
      </c>
      <c r="V177" s="322">
        <f t="shared" si="18"/>
        <v>387943.99343999993</v>
      </c>
      <c r="W177" s="322">
        <f t="shared" si="18"/>
        <v>391396.01860799995</v>
      </c>
      <c r="X177" s="322">
        <f t="shared" si="18"/>
        <v>394903.87300799997</v>
      </c>
      <c r="Y177" s="322">
        <f t="shared" si="18"/>
        <v>398469.03883199993</v>
      </c>
      <c r="Z177" s="322">
        <f t="shared" si="18"/>
        <v>402092.50420799997</v>
      </c>
      <c r="AA177" s="343">
        <f t="shared" si="7"/>
        <v>388225.01759216009</v>
      </c>
    </row>
    <row r="178" spans="1:27" ht="24.95" customHeight="1">
      <c r="A178" s="260" t="str">
        <f>+Pobl_adoptada!A18</f>
        <v>Malvinas Argentinas</v>
      </c>
      <c r="B178" s="70">
        <f>+Pobl_adoptada!B18</f>
        <v>14</v>
      </c>
      <c r="C178" s="71" t="str">
        <f>+Pobl_adoptada!C18</f>
        <v>Malvinas Argentinas</v>
      </c>
      <c r="D178" s="348">
        <v>0.75</v>
      </c>
      <c r="E178" s="278"/>
      <c r="F178" s="263"/>
      <c r="G178" s="322">
        <f t="shared" ref="G178:Z178" si="19">+G18*365/$D178</f>
        <v>263754.17797759996</v>
      </c>
      <c r="H178" s="322">
        <f t="shared" si="19"/>
        <v>251741.61567359997</v>
      </c>
      <c r="I178" s="322">
        <f t="shared" si="19"/>
        <v>239416.82687999998</v>
      </c>
      <c r="J178" s="322">
        <f t="shared" si="19"/>
        <v>220167.54448000001</v>
      </c>
      <c r="K178" s="322">
        <f t="shared" si="19"/>
        <v>200441.76480000003</v>
      </c>
      <c r="L178" s="322">
        <f t="shared" si="19"/>
        <v>202759.41902399997</v>
      </c>
      <c r="M178" s="322">
        <f t="shared" si="19"/>
        <v>205103.25863999999</v>
      </c>
      <c r="N178" s="322">
        <f t="shared" si="19"/>
        <v>207474.76584000001</v>
      </c>
      <c r="O178" s="322">
        <f t="shared" si="19"/>
        <v>209873.44655999998</v>
      </c>
      <c r="P178" s="322">
        <f t="shared" si="19"/>
        <v>212299.79486399997</v>
      </c>
      <c r="Q178" s="322">
        <f t="shared" si="19"/>
        <v>214754.30481599996</v>
      </c>
      <c r="R178" s="322">
        <f t="shared" si="19"/>
        <v>217236.97641600002</v>
      </c>
      <c r="S178" s="322">
        <f t="shared" si="19"/>
        <v>219748.79779200003</v>
      </c>
      <c r="T178" s="322">
        <f t="shared" si="19"/>
        <v>222289.27488000001</v>
      </c>
      <c r="U178" s="322">
        <f t="shared" si="19"/>
        <v>224858.901744</v>
      </c>
      <c r="V178" s="322">
        <f t="shared" si="19"/>
        <v>227458.666512</v>
      </c>
      <c r="W178" s="322">
        <f t="shared" si="19"/>
        <v>230088.56918400002</v>
      </c>
      <c r="X178" s="322">
        <f t="shared" si="19"/>
        <v>232748.60975999999</v>
      </c>
      <c r="Y178" s="322">
        <f t="shared" si="19"/>
        <v>235439.28230399999</v>
      </c>
      <c r="Z178" s="322">
        <f t="shared" si="19"/>
        <v>238161.57494399999</v>
      </c>
      <c r="AA178" s="343">
        <f t="shared" si="7"/>
        <v>223790.87865455999</v>
      </c>
    </row>
    <row r="179" spans="1:27" ht="24.95" customHeight="1">
      <c r="A179" s="260" t="str">
        <f>+Pobl_adoptada!A19</f>
        <v>Merlo</v>
      </c>
      <c r="B179" s="70">
        <f>+Pobl_adoptada!B19</f>
        <v>15</v>
      </c>
      <c r="C179" s="71" t="str">
        <f>+Pobl_adoptada!C19</f>
        <v>Merlo</v>
      </c>
      <c r="D179" s="348">
        <v>0.75</v>
      </c>
      <c r="E179" s="278"/>
      <c r="F179" s="263"/>
      <c r="G179" s="322">
        <f t="shared" ref="G179:Z179" si="20">+G19*365/$D179</f>
        <v>440625.20334079996</v>
      </c>
      <c r="H179" s="322">
        <f t="shared" si="20"/>
        <v>420438.58272000001</v>
      </c>
      <c r="I179" s="322">
        <f t="shared" si="20"/>
        <v>399691.07868799992</v>
      </c>
      <c r="J179" s="322">
        <f t="shared" si="20"/>
        <v>367361.28719999996</v>
      </c>
      <c r="K179" s="322">
        <f t="shared" si="20"/>
        <v>334230.83755200001</v>
      </c>
      <c r="L179" s="322">
        <f t="shared" si="20"/>
        <v>337836.51662399998</v>
      </c>
      <c r="M179" s="322">
        <f t="shared" si="20"/>
        <v>341442.19569600001</v>
      </c>
      <c r="N179" s="322">
        <f t="shared" si="20"/>
        <v>345047.38070399995</v>
      </c>
      <c r="O179" s="322">
        <f t="shared" si="20"/>
        <v>348653.05977599998</v>
      </c>
      <c r="P179" s="322">
        <f t="shared" si="20"/>
        <v>352258.73884800001</v>
      </c>
      <c r="Q179" s="322">
        <f t="shared" si="20"/>
        <v>355863.92385599995</v>
      </c>
      <c r="R179" s="322">
        <f t="shared" si="20"/>
        <v>359469.60292799998</v>
      </c>
      <c r="S179" s="322">
        <f t="shared" si="20"/>
        <v>363075.28199999995</v>
      </c>
      <c r="T179" s="322">
        <f t="shared" si="20"/>
        <v>366680.96107199998</v>
      </c>
      <c r="U179" s="322">
        <f t="shared" si="20"/>
        <v>370286.14608000003</v>
      </c>
      <c r="V179" s="322">
        <f t="shared" si="20"/>
        <v>373891.825152</v>
      </c>
      <c r="W179" s="322">
        <f t="shared" si="20"/>
        <v>377497.50422399997</v>
      </c>
      <c r="X179" s="322">
        <f t="shared" si="20"/>
        <v>381102.68923199992</v>
      </c>
      <c r="Y179" s="322">
        <f t="shared" si="20"/>
        <v>384708.368304</v>
      </c>
      <c r="Z179" s="322">
        <f t="shared" si="20"/>
        <v>388314.04737600003</v>
      </c>
      <c r="AA179" s="343">
        <f t="shared" si="7"/>
        <v>370423.76156864001</v>
      </c>
    </row>
    <row r="180" spans="1:27" ht="24.95" customHeight="1">
      <c r="A180" s="260" t="str">
        <f>+Pobl_adoptada!A20</f>
        <v>Moreno</v>
      </c>
      <c r="B180" s="70">
        <f>+Pobl_adoptada!B20</f>
        <v>16</v>
      </c>
      <c r="C180" s="71" t="str">
        <f>+Pobl_adoptada!C20</f>
        <v>Moreno</v>
      </c>
      <c r="D180" s="348">
        <v>0.75</v>
      </c>
      <c r="E180" s="278"/>
      <c r="F180" s="263"/>
      <c r="G180" s="322">
        <f t="shared" ref="G180:Z180" si="21">+G20*365/$D180</f>
        <v>421536.722304</v>
      </c>
      <c r="H180" s="322">
        <f t="shared" si="21"/>
        <v>405616.61331359996</v>
      </c>
      <c r="I180" s="322">
        <f t="shared" si="21"/>
        <v>388900.17196800001</v>
      </c>
      <c r="J180" s="322">
        <f t="shared" si="21"/>
        <v>360545.94879999995</v>
      </c>
      <c r="K180" s="322">
        <f t="shared" si="21"/>
        <v>330916.65623999998</v>
      </c>
      <c r="L180" s="322">
        <f t="shared" si="21"/>
        <v>337469.42707200005</v>
      </c>
      <c r="M180" s="322">
        <f t="shared" si="21"/>
        <v>344151.64267199999</v>
      </c>
      <c r="N180" s="322">
        <f t="shared" si="21"/>
        <v>350966.76148799999</v>
      </c>
      <c r="O180" s="322">
        <f t="shared" si="21"/>
        <v>357916.26571199996</v>
      </c>
      <c r="P180" s="322">
        <f t="shared" si="21"/>
        <v>365003.61379199993</v>
      </c>
      <c r="Q180" s="322">
        <f t="shared" si="21"/>
        <v>372231.27604799997</v>
      </c>
      <c r="R180" s="322">
        <f t="shared" si="21"/>
        <v>379601.72280000005</v>
      </c>
      <c r="S180" s="322">
        <f t="shared" si="21"/>
        <v>387118.412496</v>
      </c>
      <c r="T180" s="322">
        <f t="shared" si="21"/>
        <v>394783.81545599992</v>
      </c>
      <c r="U180" s="322">
        <f t="shared" si="21"/>
        <v>402601.39012799994</v>
      </c>
      <c r="V180" s="322">
        <f t="shared" si="21"/>
        <v>410573.11276799999</v>
      </c>
      <c r="W180" s="322">
        <f t="shared" si="21"/>
        <v>418703.42995200003</v>
      </c>
      <c r="X180" s="322">
        <f t="shared" si="21"/>
        <v>426994.31793599995</v>
      </c>
      <c r="Y180" s="322">
        <f t="shared" si="21"/>
        <v>435449.23516799998</v>
      </c>
      <c r="Z180" s="322">
        <f t="shared" si="21"/>
        <v>444071.64009599993</v>
      </c>
      <c r="AA180" s="343">
        <f t="shared" si="7"/>
        <v>386757.60881047993</v>
      </c>
    </row>
    <row r="181" spans="1:27" ht="24.95" customHeight="1">
      <c r="A181" s="260" t="str">
        <f>+Pobl_adoptada!A21</f>
        <v>Morón</v>
      </c>
      <c r="B181" s="70">
        <f>+Pobl_adoptada!B21</f>
        <v>17</v>
      </c>
      <c r="C181" s="71" t="str">
        <f>+Pobl_adoptada!C21</f>
        <v>Morón</v>
      </c>
      <c r="D181" s="348">
        <v>0.75</v>
      </c>
      <c r="E181" s="278"/>
      <c r="F181" s="263"/>
      <c r="G181" s="322">
        <f t="shared" ref="G181:Z181" si="22">+G21*365/$D181</f>
        <v>243121.84575359998</v>
      </c>
      <c r="H181" s="322">
        <f t="shared" si="22"/>
        <v>231053.03151839998</v>
      </c>
      <c r="I181" s="322">
        <f t="shared" si="22"/>
        <v>218811.44859199997</v>
      </c>
      <c r="J181" s="322">
        <f t="shared" si="22"/>
        <v>200381.37919999997</v>
      </c>
      <c r="K181" s="322">
        <f t="shared" si="22"/>
        <v>181680.178464</v>
      </c>
      <c r="L181" s="322">
        <f t="shared" si="22"/>
        <v>183039.34852799997</v>
      </c>
      <c r="M181" s="322">
        <f t="shared" si="22"/>
        <v>184420.25740799998</v>
      </c>
      <c r="N181" s="322">
        <f t="shared" si="22"/>
        <v>185823.89323199997</v>
      </c>
      <c r="O181" s="322">
        <f t="shared" si="22"/>
        <v>187250.75006399999</v>
      </c>
      <c r="P181" s="322">
        <f t="shared" si="22"/>
        <v>188700.33383999998</v>
      </c>
      <c r="Q181" s="322">
        <f t="shared" si="22"/>
        <v>190173.63268800001</v>
      </c>
      <c r="R181" s="322">
        <f t="shared" si="22"/>
        <v>191671.14067200001</v>
      </c>
      <c r="S181" s="322">
        <f t="shared" si="22"/>
        <v>193193.35185600002</v>
      </c>
      <c r="T181" s="322">
        <f t="shared" si="22"/>
        <v>194739.77217600003</v>
      </c>
      <c r="U181" s="322">
        <f t="shared" si="22"/>
        <v>196311.88382399999</v>
      </c>
      <c r="V181" s="322">
        <f t="shared" si="22"/>
        <v>197909.68680000002</v>
      </c>
      <c r="W181" s="322">
        <f t="shared" si="22"/>
        <v>199533.18110400005</v>
      </c>
      <c r="X181" s="322">
        <f t="shared" si="22"/>
        <v>201183.35486399996</v>
      </c>
      <c r="Y181" s="322">
        <f t="shared" si="22"/>
        <v>202860.20808000001</v>
      </c>
      <c r="Z181" s="322">
        <f t="shared" si="22"/>
        <v>204564.72887999998</v>
      </c>
      <c r="AA181" s="343">
        <f t="shared" si="7"/>
        <v>198821.17037719997</v>
      </c>
    </row>
    <row r="182" spans="1:27" ht="24.95" customHeight="1">
      <c r="A182" s="260" t="str">
        <f>+Pobl_adoptada!A22</f>
        <v>Quilmes</v>
      </c>
      <c r="B182" s="70">
        <f>+Pobl_adoptada!B22</f>
        <v>18</v>
      </c>
      <c r="C182" s="71" t="str">
        <f>+Pobl_adoptada!C22</f>
        <v>Quilmes</v>
      </c>
      <c r="D182" s="348">
        <v>0.75</v>
      </c>
      <c r="E182" s="278"/>
      <c r="F182" s="263"/>
      <c r="G182" s="322">
        <f t="shared" ref="G182:Z182" si="23">+G22*365/$D182</f>
        <v>445460.28931199992</v>
      </c>
      <c r="H182" s="322">
        <f t="shared" si="23"/>
        <v>423362.25584639999</v>
      </c>
      <c r="I182" s="322">
        <f t="shared" si="23"/>
        <v>400919.92564799992</v>
      </c>
      <c r="J182" s="322">
        <f t="shared" si="23"/>
        <v>367116.45103999996</v>
      </c>
      <c r="K182" s="322">
        <f t="shared" si="23"/>
        <v>332801.51039999997</v>
      </c>
      <c r="L182" s="322">
        <f t="shared" si="23"/>
        <v>335215.50710399996</v>
      </c>
      <c r="M182" s="322">
        <f t="shared" si="23"/>
        <v>337646.79604800005</v>
      </c>
      <c r="N182" s="322">
        <f t="shared" si="23"/>
        <v>340095.87129600003</v>
      </c>
      <c r="O182" s="322">
        <f t="shared" si="23"/>
        <v>342562.73284799996</v>
      </c>
      <c r="P182" s="322">
        <f t="shared" si="23"/>
        <v>345047.87476799998</v>
      </c>
      <c r="Q182" s="322">
        <f t="shared" si="23"/>
        <v>347550.30892799998</v>
      </c>
      <c r="R182" s="322">
        <f t="shared" si="23"/>
        <v>350071.51751999994</v>
      </c>
      <c r="S182" s="322">
        <f t="shared" si="23"/>
        <v>352610.51241600001</v>
      </c>
      <c r="T182" s="322">
        <f t="shared" si="23"/>
        <v>355168.28174400004</v>
      </c>
      <c r="U182" s="322">
        <f t="shared" si="23"/>
        <v>357744.82550399989</v>
      </c>
      <c r="V182" s="322">
        <f t="shared" si="23"/>
        <v>360339.64963199996</v>
      </c>
      <c r="W182" s="322">
        <f t="shared" si="23"/>
        <v>362953.24819200003</v>
      </c>
      <c r="X182" s="322">
        <f t="shared" si="23"/>
        <v>365586.11524799996</v>
      </c>
      <c r="Y182" s="322">
        <f t="shared" si="23"/>
        <v>368237.75673600001</v>
      </c>
      <c r="Z182" s="322">
        <f t="shared" si="23"/>
        <v>370908.66672000004</v>
      </c>
      <c r="AA182" s="343">
        <f t="shared" si="7"/>
        <v>363070.00484751997</v>
      </c>
    </row>
    <row r="183" spans="1:27" ht="24.95" customHeight="1">
      <c r="A183" s="260" t="str">
        <f>+Pobl_adoptada!A23</f>
        <v>San Fernando</v>
      </c>
      <c r="B183" s="70">
        <f>+Pobl_adoptada!B23</f>
        <v>19</v>
      </c>
      <c r="C183" s="71" t="str">
        <f>+Pobl_adoptada!C23</f>
        <v>San Fernando</v>
      </c>
      <c r="D183" s="348">
        <v>0.75</v>
      </c>
      <c r="E183" s="278"/>
      <c r="F183" s="263"/>
      <c r="G183" s="322">
        <f t="shared" ref="G183:Z183" si="24">+G23*365/$D183</f>
        <v>86315.874636799999</v>
      </c>
      <c r="H183" s="322">
        <f t="shared" si="24"/>
        <v>81910.622476799996</v>
      </c>
      <c r="I183" s="322">
        <f t="shared" si="24"/>
        <v>77449.439935999995</v>
      </c>
      <c r="J183" s="322">
        <f t="shared" si="24"/>
        <v>70808.084480000005</v>
      </c>
      <c r="K183" s="322">
        <f t="shared" si="24"/>
        <v>64086.828480000004</v>
      </c>
      <c r="L183" s="322">
        <f t="shared" si="24"/>
        <v>64446.023520000017</v>
      </c>
      <c r="M183" s="322">
        <f t="shared" si="24"/>
        <v>64805.575968000012</v>
      </c>
      <c r="N183" s="322">
        <f t="shared" si="24"/>
        <v>65165.128416</v>
      </c>
      <c r="O183" s="322">
        <f t="shared" si="24"/>
        <v>65524.680863999994</v>
      </c>
      <c r="P183" s="322">
        <f t="shared" si="24"/>
        <v>65884.233312000011</v>
      </c>
      <c r="Q183" s="322">
        <f t="shared" si="24"/>
        <v>66243.785759999999</v>
      </c>
      <c r="R183" s="322">
        <f t="shared" si="24"/>
        <v>66603.338207999986</v>
      </c>
      <c r="S183" s="322">
        <f t="shared" si="24"/>
        <v>66962.890656000003</v>
      </c>
      <c r="T183" s="322">
        <f t="shared" si="24"/>
        <v>67322.443104000005</v>
      </c>
      <c r="U183" s="322">
        <f t="shared" si="24"/>
        <v>67681.638144000011</v>
      </c>
      <c r="V183" s="322">
        <f t="shared" si="24"/>
        <v>68041.190592000014</v>
      </c>
      <c r="W183" s="322">
        <f t="shared" si="24"/>
        <v>68400.743040000001</v>
      </c>
      <c r="X183" s="322">
        <f t="shared" si="24"/>
        <v>68760.295488000018</v>
      </c>
      <c r="Y183" s="322">
        <f t="shared" si="24"/>
        <v>69119.847936000006</v>
      </c>
      <c r="Z183" s="322">
        <f t="shared" si="24"/>
        <v>69479.400383999993</v>
      </c>
      <c r="AA183" s="343">
        <f t="shared" si="7"/>
        <v>69250.603270080013</v>
      </c>
    </row>
    <row r="184" spans="1:27" ht="24.95" customHeight="1">
      <c r="A184" s="260" t="str">
        <f>+Pobl_adoptada!A24</f>
        <v>San Isidro</v>
      </c>
      <c r="B184" s="70">
        <f>+Pobl_adoptada!B24</f>
        <v>20</v>
      </c>
      <c r="C184" s="71" t="str">
        <f>+Pobl_adoptada!C24</f>
        <v>San Isidro</v>
      </c>
      <c r="D184" s="348">
        <v>0.75</v>
      </c>
      <c r="E184" s="278"/>
      <c r="F184" s="263"/>
      <c r="G184" s="322">
        <f t="shared" ref="G184:Z184" si="25">+G24*365/$D184</f>
        <v>146299.6116224</v>
      </c>
      <c r="H184" s="322">
        <f t="shared" si="25"/>
        <v>138181.08096000002</v>
      </c>
      <c r="I184" s="322">
        <f t="shared" si="25"/>
        <v>130047.50739200001</v>
      </c>
      <c r="J184" s="322">
        <f t="shared" si="25"/>
        <v>118348.90815999999</v>
      </c>
      <c r="K184" s="322">
        <f t="shared" si="25"/>
        <v>106627.31568</v>
      </c>
      <c r="L184" s="322">
        <f t="shared" si="25"/>
        <v>106742.40105600002</v>
      </c>
      <c r="M184" s="322">
        <f t="shared" si="25"/>
        <v>106859.27347200002</v>
      </c>
      <c r="N184" s="322">
        <f t="shared" si="25"/>
        <v>106978.29033600002</v>
      </c>
      <c r="O184" s="322">
        <f t="shared" si="25"/>
        <v>107099.09424000001</v>
      </c>
      <c r="P184" s="322">
        <f t="shared" si="25"/>
        <v>107221.68518400002</v>
      </c>
      <c r="Q184" s="322">
        <f t="shared" si="25"/>
        <v>107346.420576</v>
      </c>
      <c r="R184" s="322">
        <f t="shared" si="25"/>
        <v>107473.300416</v>
      </c>
      <c r="S184" s="322">
        <f t="shared" si="25"/>
        <v>107602.32470400001</v>
      </c>
      <c r="T184" s="322">
        <f t="shared" si="25"/>
        <v>107733.13603200001</v>
      </c>
      <c r="U184" s="322">
        <f t="shared" si="25"/>
        <v>107866.44921599998</v>
      </c>
      <c r="V184" s="322">
        <f t="shared" si="25"/>
        <v>108001.54943999999</v>
      </c>
      <c r="W184" s="322">
        <f t="shared" si="25"/>
        <v>108139.15152</v>
      </c>
      <c r="X184" s="322">
        <f t="shared" si="25"/>
        <v>108278.898048</v>
      </c>
      <c r="Y184" s="322">
        <f t="shared" si="25"/>
        <v>108420.789024</v>
      </c>
      <c r="Z184" s="322">
        <f t="shared" si="25"/>
        <v>108565.181856</v>
      </c>
      <c r="AA184" s="343">
        <f t="shared" si="7"/>
        <v>112691.61844672002</v>
      </c>
    </row>
    <row r="185" spans="1:27" ht="24.95" customHeight="1">
      <c r="A185" s="260" t="str">
        <f>+Pobl_adoptada!A25</f>
        <v>San Miguel</v>
      </c>
      <c r="B185" s="70">
        <f>+Pobl_adoptada!B25</f>
        <v>21</v>
      </c>
      <c r="C185" s="71" t="str">
        <f>+Pobl_adoptada!C25</f>
        <v>San Miguel</v>
      </c>
      <c r="D185" s="348">
        <v>0.75</v>
      </c>
      <c r="E185" s="278"/>
      <c r="F185" s="263"/>
      <c r="G185" s="322">
        <f t="shared" ref="G185:Z185" si="26">+G25*365/$D185</f>
        <v>236343.33159039999</v>
      </c>
      <c r="H185" s="322">
        <f t="shared" si="26"/>
        <v>226263.52569599997</v>
      </c>
      <c r="I185" s="322">
        <f t="shared" si="26"/>
        <v>215842.89249600001</v>
      </c>
      <c r="J185" s="322">
        <f t="shared" si="26"/>
        <v>199100.65552</v>
      </c>
      <c r="K185" s="322">
        <f t="shared" si="26"/>
        <v>181824.44515199997</v>
      </c>
      <c r="L185" s="322">
        <f t="shared" si="26"/>
        <v>184501.28390399998</v>
      </c>
      <c r="M185" s="322">
        <f t="shared" si="26"/>
        <v>187221.60028799999</v>
      </c>
      <c r="N185" s="322">
        <f t="shared" si="26"/>
        <v>189986.38243200001</v>
      </c>
      <c r="O185" s="322">
        <f t="shared" si="26"/>
        <v>192796.61846399997</v>
      </c>
      <c r="P185" s="322">
        <f t="shared" si="26"/>
        <v>195652.30838399997</v>
      </c>
      <c r="Q185" s="322">
        <f t="shared" si="26"/>
        <v>198554.93438400002</v>
      </c>
      <c r="R185" s="322">
        <f t="shared" si="26"/>
        <v>201504.49646399997</v>
      </c>
      <c r="S185" s="322">
        <f t="shared" si="26"/>
        <v>204502.47681599995</v>
      </c>
      <c r="T185" s="322">
        <f t="shared" si="26"/>
        <v>207549.36950400003</v>
      </c>
      <c r="U185" s="322">
        <f t="shared" si="26"/>
        <v>210645.66859200003</v>
      </c>
      <c r="V185" s="322">
        <f t="shared" si="26"/>
        <v>213792.85627199998</v>
      </c>
      <c r="W185" s="322">
        <f t="shared" si="26"/>
        <v>216990.93254399998</v>
      </c>
      <c r="X185" s="322">
        <f t="shared" si="26"/>
        <v>220241.87366399996</v>
      </c>
      <c r="Y185" s="322">
        <f t="shared" si="26"/>
        <v>223545.18556799999</v>
      </c>
      <c r="Z185" s="322">
        <f t="shared" si="26"/>
        <v>226902.84451199998</v>
      </c>
      <c r="AA185" s="343">
        <f t="shared" si="7"/>
        <v>206688.18411232001</v>
      </c>
    </row>
    <row r="186" spans="1:27" ht="24.95" customHeight="1">
      <c r="A186" s="260" t="str">
        <f>+Pobl_adoptada!A26</f>
        <v>Tigre</v>
      </c>
      <c r="B186" s="70">
        <f>+Pobl_adoptada!B26</f>
        <v>22</v>
      </c>
      <c r="C186" s="71" t="str">
        <f>+Pobl_adoptada!C26</f>
        <v>Tigre</v>
      </c>
      <c r="D186" s="348">
        <v>0.75</v>
      </c>
      <c r="E186" s="278"/>
      <c r="F186" s="263"/>
      <c r="G186" s="322">
        <f t="shared" ref="G186:Z186" si="27">+G26*365/$D186</f>
        <v>313994.68976000004</v>
      </c>
      <c r="H186" s="322">
        <f t="shared" si="27"/>
        <v>300173.6226528</v>
      </c>
      <c r="I186" s="322">
        <f t="shared" si="27"/>
        <v>285885.35764799995</v>
      </c>
      <c r="J186" s="322">
        <f t="shared" si="27"/>
        <v>263232.90752000001</v>
      </c>
      <c r="K186" s="322">
        <f t="shared" si="27"/>
        <v>239913.03182399998</v>
      </c>
      <c r="L186" s="322">
        <f t="shared" si="27"/>
        <v>242916.44687999997</v>
      </c>
      <c r="M186" s="322">
        <f t="shared" si="27"/>
        <v>245919.367872</v>
      </c>
      <c r="N186" s="322">
        <f t="shared" si="27"/>
        <v>248922.78292799997</v>
      </c>
      <c r="O186" s="322">
        <f t="shared" si="27"/>
        <v>251926.197984</v>
      </c>
      <c r="P186" s="322">
        <f t="shared" si="27"/>
        <v>254929.61304</v>
      </c>
      <c r="Q186" s="322">
        <f t="shared" si="27"/>
        <v>257933.02809599997</v>
      </c>
      <c r="R186" s="322">
        <f t="shared" si="27"/>
        <v>260936.44315200005</v>
      </c>
      <c r="S186" s="322">
        <f t="shared" si="27"/>
        <v>263939.85820800002</v>
      </c>
      <c r="T186" s="322">
        <f t="shared" si="27"/>
        <v>266943.27326400002</v>
      </c>
      <c r="U186" s="322">
        <f t="shared" si="27"/>
        <v>269946.68831999996</v>
      </c>
      <c r="V186" s="322">
        <f t="shared" si="27"/>
        <v>272950.10337600001</v>
      </c>
      <c r="W186" s="322">
        <f t="shared" si="27"/>
        <v>275953.51843199995</v>
      </c>
      <c r="X186" s="322">
        <f t="shared" si="27"/>
        <v>278956.93348799995</v>
      </c>
      <c r="Y186" s="322">
        <f t="shared" si="27"/>
        <v>281960.34854400001</v>
      </c>
      <c r="Z186" s="322">
        <f t="shared" si="27"/>
        <v>284963.76360000001</v>
      </c>
      <c r="AA186" s="343">
        <f t="shared" si="7"/>
        <v>268114.89882944</v>
      </c>
    </row>
    <row r="187" spans="1:27" ht="24.95" customHeight="1">
      <c r="A187" s="260" t="str">
        <f>+Pobl_adoptada!A27</f>
        <v>Tres de Febrero</v>
      </c>
      <c r="B187" s="70">
        <f>+Pobl_adoptada!B27</f>
        <v>23</v>
      </c>
      <c r="C187" s="71" t="str">
        <f>+Pobl_adoptada!C27</f>
        <v>Tres de Febrero</v>
      </c>
      <c r="D187" s="348">
        <v>0.75</v>
      </c>
      <c r="E187" s="278"/>
      <c r="F187" s="263"/>
      <c r="G187" s="322">
        <f t="shared" ref="G187:Z187" si="28">+G27*365/$D187</f>
        <v>239030.09553919997</v>
      </c>
      <c r="H187" s="322">
        <f t="shared" si="28"/>
        <v>226045.14940799997</v>
      </c>
      <c r="I187" s="322">
        <f t="shared" si="28"/>
        <v>213007.18471999999</v>
      </c>
      <c r="J187" s="322">
        <f t="shared" si="28"/>
        <v>194092.49343999999</v>
      </c>
      <c r="K187" s="322">
        <f t="shared" si="28"/>
        <v>175093.81128000002</v>
      </c>
      <c r="L187" s="322">
        <f t="shared" si="28"/>
        <v>175511.29535999999</v>
      </c>
      <c r="M187" s="322">
        <f t="shared" si="28"/>
        <v>175935.69633599999</v>
      </c>
      <c r="N187" s="322">
        <f t="shared" si="28"/>
        <v>176367.01420800001</v>
      </c>
      <c r="O187" s="322">
        <f t="shared" si="28"/>
        <v>176805.24897599997</v>
      </c>
      <c r="P187" s="322">
        <f t="shared" si="28"/>
        <v>177250.89470399998</v>
      </c>
      <c r="Q187" s="322">
        <f t="shared" si="28"/>
        <v>177703.95139199999</v>
      </c>
      <c r="R187" s="322">
        <f t="shared" si="28"/>
        <v>178163.92497599998</v>
      </c>
      <c r="S187" s="322">
        <f t="shared" si="28"/>
        <v>178631.30952000001</v>
      </c>
      <c r="T187" s="322">
        <f t="shared" si="28"/>
        <v>179106.59908799999</v>
      </c>
      <c r="U187" s="322">
        <f t="shared" si="28"/>
        <v>179589.79367999997</v>
      </c>
      <c r="V187" s="322">
        <f t="shared" si="28"/>
        <v>180080.89329599999</v>
      </c>
      <c r="W187" s="322">
        <f t="shared" si="28"/>
        <v>180579.40387200002</v>
      </c>
      <c r="X187" s="322">
        <f t="shared" si="28"/>
        <v>181086.80759999997</v>
      </c>
      <c r="Y187" s="322">
        <f t="shared" si="28"/>
        <v>181602.11635200001</v>
      </c>
      <c r="Z187" s="322">
        <f t="shared" si="28"/>
        <v>182125.824192</v>
      </c>
      <c r="AA187" s="343">
        <f t="shared" si="7"/>
        <v>186390.47539696001</v>
      </c>
    </row>
    <row r="188" spans="1:27" ht="24.95" customHeight="1">
      <c r="A188" s="260" t="str">
        <f>+Pobl_adoptada!A28</f>
        <v>Vicente López</v>
      </c>
      <c r="B188" s="70">
        <f>+Pobl_adoptada!B28</f>
        <v>24</v>
      </c>
      <c r="C188" s="71" t="str">
        <f>+Pobl_adoptada!C28</f>
        <v>Vicente López</v>
      </c>
      <c r="D188" s="348">
        <v>0.75</v>
      </c>
      <c r="E188" s="278"/>
      <c r="F188" s="263"/>
      <c r="G188" s="322">
        <f t="shared" ref="G188:Z188" si="29">+G28*365/$D188</f>
        <v>125614.1550208</v>
      </c>
      <c r="H188" s="322">
        <f t="shared" si="29"/>
        <v>118046.7872064</v>
      </c>
      <c r="I188" s="322">
        <f t="shared" si="29"/>
        <v>110529.41680000001</v>
      </c>
      <c r="J188" s="322">
        <f t="shared" si="29"/>
        <v>100060.73792</v>
      </c>
      <c r="K188" s="322">
        <f t="shared" si="29"/>
        <v>89670.450528000001</v>
      </c>
      <c r="L188" s="322">
        <f t="shared" si="29"/>
        <v>89279.446175999998</v>
      </c>
      <c r="M188" s="322">
        <f t="shared" si="29"/>
        <v>88882.365888</v>
      </c>
      <c r="N188" s="322">
        <f t="shared" si="29"/>
        <v>88478.852256000027</v>
      </c>
      <c r="O188" s="322">
        <f t="shared" si="29"/>
        <v>88068.54787200001</v>
      </c>
      <c r="P188" s="322">
        <f t="shared" si="29"/>
        <v>87651.810144000003</v>
      </c>
      <c r="Q188" s="322">
        <f t="shared" si="29"/>
        <v>87228.281664000009</v>
      </c>
      <c r="R188" s="322">
        <f t="shared" si="29"/>
        <v>86797.605024000004</v>
      </c>
      <c r="S188" s="322">
        <f t="shared" si="29"/>
        <v>86360.137632000013</v>
      </c>
      <c r="T188" s="322">
        <f t="shared" si="29"/>
        <v>85915.164671999999</v>
      </c>
      <c r="U188" s="322">
        <f t="shared" si="29"/>
        <v>85463.400960000014</v>
      </c>
      <c r="V188" s="322">
        <f t="shared" si="29"/>
        <v>85003.774271999995</v>
      </c>
      <c r="W188" s="322">
        <f t="shared" si="29"/>
        <v>84536.999423999994</v>
      </c>
      <c r="X188" s="322">
        <f t="shared" si="29"/>
        <v>84062.361600000004</v>
      </c>
      <c r="Y188" s="322">
        <f t="shared" si="29"/>
        <v>83580.21820800002</v>
      </c>
      <c r="Z188" s="322">
        <f t="shared" si="29"/>
        <v>83090.211840000004</v>
      </c>
      <c r="AA188" s="343">
        <f t="shared" si="7"/>
        <v>91916.036255360013</v>
      </c>
    </row>
    <row r="189" spans="1:27" ht="24.95" customHeight="1">
      <c r="A189" s="260" t="str">
        <f>+Pobl_adoptada!A29</f>
        <v>25 de Mayo</v>
      </c>
      <c r="B189" s="70">
        <f>+Pobl_adoptada!B29</f>
        <v>25</v>
      </c>
      <c r="C189" s="71" t="str">
        <f>+Pobl_adoptada!C29</f>
        <v>25 de Mayo</v>
      </c>
      <c r="D189" s="348">
        <v>0.75</v>
      </c>
      <c r="E189" s="278"/>
      <c r="F189" s="263"/>
      <c r="G189" s="322">
        <f t="shared" ref="G189:Z189" si="30">+G29*365/$D189</f>
        <v>12769.9533056</v>
      </c>
      <c r="H189" s="322">
        <f t="shared" si="30"/>
        <v>12097.353964800001</v>
      </c>
      <c r="I189" s="322">
        <f t="shared" si="30"/>
        <v>11418.976917333333</v>
      </c>
      <c r="J189" s="322">
        <f t="shared" si="30"/>
        <v>10422.570133333335</v>
      </c>
      <c r="K189" s="322">
        <f t="shared" si="30"/>
        <v>9417.8269439999985</v>
      </c>
      <c r="L189" s="322">
        <f t="shared" si="30"/>
        <v>9455.3407680000018</v>
      </c>
      <c r="M189" s="322">
        <f t="shared" si="30"/>
        <v>9493.2260160000005</v>
      </c>
      <c r="N189" s="322">
        <f t="shared" si="30"/>
        <v>9531.4826880000019</v>
      </c>
      <c r="O189" s="322">
        <f t="shared" si="30"/>
        <v>9569.3679360000006</v>
      </c>
      <c r="P189" s="322">
        <f t="shared" si="30"/>
        <v>9607.9960320000027</v>
      </c>
      <c r="Q189" s="322">
        <f t="shared" si="30"/>
        <v>9646.2527040000004</v>
      </c>
      <c r="R189" s="322">
        <f t="shared" si="30"/>
        <v>9684.8808000000008</v>
      </c>
      <c r="S189" s="322">
        <f t="shared" si="30"/>
        <v>9723.880320000002</v>
      </c>
      <c r="T189" s="322">
        <f t="shared" si="30"/>
        <v>9762.5084160000006</v>
      </c>
      <c r="U189" s="322">
        <f t="shared" si="30"/>
        <v>9801.879359999999</v>
      </c>
      <c r="V189" s="322">
        <f t="shared" si="30"/>
        <v>9840.8788800000002</v>
      </c>
      <c r="W189" s="322">
        <f t="shared" si="30"/>
        <v>9880.6212480000013</v>
      </c>
      <c r="X189" s="322">
        <f t="shared" si="30"/>
        <v>9919.9921919999997</v>
      </c>
      <c r="Y189" s="322">
        <f t="shared" si="30"/>
        <v>9959.7345600000008</v>
      </c>
      <c r="Z189" s="322">
        <f t="shared" si="30"/>
        <v>9999.4769280000019</v>
      </c>
      <c r="AA189" s="343">
        <f t="shared" si="7"/>
        <v>10100.210005653335</v>
      </c>
    </row>
    <row r="190" spans="1:27" ht="24.95" customHeight="1">
      <c r="A190" s="260" t="str">
        <f>+Pobl_adoptada!A30</f>
        <v>9 de Julio</v>
      </c>
      <c r="B190" s="70">
        <f>+Pobl_adoptada!B30</f>
        <v>26</v>
      </c>
      <c r="C190" s="71" t="str">
        <f>+Pobl_adoptada!C30</f>
        <v>9 de Julio</v>
      </c>
      <c r="D190" s="348">
        <v>0.75</v>
      </c>
      <c r="E190" s="278"/>
      <c r="F190" s="263"/>
      <c r="G190" s="322">
        <f t="shared" ref="G190:Z190" si="31">+G30*365/$D190</f>
        <v>21469.017032533335</v>
      </c>
      <c r="H190" s="322">
        <f t="shared" si="31"/>
        <v>20413.500182399999</v>
      </c>
      <c r="I190" s="322">
        <f t="shared" si="31"/>
        <v>19339.717525333333</v>
      </c>
      <c r="J190" s="322">
        <f t="shared" si="31"/>
        <v>17715.27402666667</v>
      </c>
      <c r="K190" s="322">
        <f t="shared" si="31"/>
        <v>16064.459424000001</v>
      </c>
      <c r="L190" s="322">
        <f t="shared" si="31"/>
        <v>16184.800800000003</v>
      </c>
      <c r="M190" s="322">
        <f t="shared" si="31"/>
        <v>16305.5136</v>
      </c>
      <c r="N190" s="322">
        <f t="shared" si="31"/>
        <v>16425.854976000002</v>
      </c>
      <c r="O190" s="322">
        <f t="shared" si="31"/>
        <v>16546.567776000004</v>
      </c>
      <c r="P190" s="322">
        <f t="shared" si="31"/>
        <v>16666.909152000004</v>
      </c>
      <c r="Q190" s="322">
        <f t="shared" si="31"/>
        <v>16787.621952000001</v>
      </c>
      <c r="R190" s="322">
        <f t="shared" si="31"/>
        <v>16907.963328000002</v>
      </c>
      <c r="S190" s="322">
        <f t="shared" si="31"/>
        <v>17028.676128000003</v>
      </c>
      <c r="T190" s="322">
        <f t="shared" si="31"/>
        <v>17149.017503999999</v>
      </c>
      <c r="U190" s="322">
        <f t="shared" si="31"/>
        <v>17269.35888</v>
      </c>
      <c r="V190" s="322">
        <f t="shared" si="31"/>
        <v>17390.071680000005</v>
      </c>
      <c r="W190" s="322">
        <f t="shared" si="31"/>
        <v>17510.413056000001</v>
      </c>
      <c r="X190" s="322">
        <f t="shared" si="31"/>
        <v>17631.125856000002</v>
      </c>
      <c r="Y190" s="322">
        <f t="shared" si="31"/>
        <v>17751.467231999999</v>
      </c>
      <c r="Z190" s="322">
        <f t="shared" si="31"/>
        <v>17872.180032</v>
      </c>
      <c r="AA190" s="343">
        <f t="shared" si="7"/>
        <v>17521.475507146672</v>
      </c>
    </row>
    <row r="191" spans="1:27" ht="24.95" customHeight="1">
      <c r="A191" s="260" t="str">
        <f>+Pobl_adoptada!A31</f>
        <v>Adolfo Alsina</v>
      </c>
      <c r="B191" s="70">
        <f>+Pobl_adoptada!B31</f>
        <v>27</v>
      </c>
      <c r="C191" s="71" t="str">
        <f>+Pobl_adoptada!C31</f>
        <v>Carhué</v>
      </c>
      <c r="D191" s="348">
        <v>0.75</v>
      </c>
      <c r="E191" s="278"/>
      <c r="F191" s="263"/>
      <c r="G191" s="322">
        <f t="shared" ref="G191:Z191" si="32">+G31*365/$D191</f>
        <v>4615.1778901333337</v>
      </c>
      <c r="H191" s="322">
        <f t="shared" si="32"/>
        <v>4378.5311231999995</v>
      </c>
      <c r="I191" s="322">
        <f t="shared" si="32"/>
        <v>4139.4200320000009</v>
      </c>
      <c r="J191" s="322">
        <f t="shared" si="32"/>
        <v>3783.8839466666668</v>
      </c>
      <c r="K191" s="322">
        <f t="shared" si="32"/>
        <v>3423.8705279999999</v>
      </c>
      <c r="L191" s="322">
        <f t="shared" si="32"/>
        <v>3442.5678720000001</v>
      </c>
      <c r="M191" s="322">
        <f t="shared" si="32"/>
        <v>3461.2652160000002</v>
      </c>
      <c r="N191" s="322">
        <f t="shared" si="32"/>
        <v>3479.6401920000003</v>
      </c>
      <c r="O191" s="322">
        <f t="shared" si="32"/>
        <v>3498.3375360000005</v>
      </c>
      <c r="P191" s="322">
        <f t="shared" si="32"/>
        <v>3517.0348799999997</v>
      </c>
      <c r="Q191" s="322">
        <f t="shared" si="32"/>
        <v>3535.4098560000007</v>
      </c>
      <c r="R191" s="322">
        <f t="shared" si="32"/>
        <v>3554.1072000000004</v>
      </c>
      <c r="S191" s="322">
        <f t="shared" si="32"/>
        <v>3572.8045440000001</v>
      </c>
      <c r="T191" s="322">
        <f t="shared" si="32"/>
        <v>3591.1795200000001</v>
      </c>
      <c r="U191" s="322">
        <f t="shared" si="32"/>
        <v>3609.8768640000003</v>
      </c>
      <c r="V191" s="322">
        <f t="shared" si="32"/>
        <v>3628.574208</v>
      </c>
      <c r="W191" s="322">
        <f t="shared" si="32"/>
        <v>3647.2715520000015</v>
      </c>
      <c r="X191" s="322">
        <f t="shared" si="32"/>
        <v>3665.6465279999993</v>
      </c>
      <c r="Y191" s="322">
        <f t="shared" si="32"/>
        <v>3684.3438719999999</v>
      </c>
      <c r="Z191" s="322">
        <f t="shared" si="32"/>
        <v>3703.041216000001</v>
      </c>
      <c r="AA191" s="343">
        <f t="shared" si="7"/>
        <v>3696.5992287999993</v>
      </c>
    </row>
    <row r="192" spans="1:27" ht="24.95" customHeight="1">
      <c r="A192" s="260" t="str">
        <f>+Pobl_adoptada!A32</f>
        <v>Adolfo Gonzáles Chaves</v>
      </c>
      <c r="B192" s="70">
        <f>+Pobl_adoptada!B32</f>
        <v>28</v>
      </c>
      <c r="C192" s="71" t="str">
        <f>+Pobl_adoptada!C32</f>
        <v>Adolfo Gonzáles Chaves</v>
      </c>
      <c r="D192" s="348">
        <v>0.75</v>
      </c>
      <c r="E192" s="278"/>
      <c r="F192" s="263"/>
      <c r="G192" s="322">
        <f t="shared" ref="G192:Z192" si="33">+G32*365/$D192</f>
        <v>4300.718651733333</v>
      </c>
      <c r="H192" s="322">
        <f t="shared" si="33"/>
        <v>4091.4624191999997</v>
      </c>
      <c r="I192" s="322">
        <f t="shared" si="33"/>
        <v>3878.1944960000001</v>
      </c>
      <c r="J192" s="322">
        <f t="shared" si="33"/>
        <v>3554.286293333334</v>
      </c>
      <c r="K192" s="322">
        <f t="shared" si="33"/>
        <v>3224.6471040000001</v>
      </c>
      <c r="L192" s="322">
        <f t="shared" si="33"/>
        <v>3262.3641599999996</v>
      </c>
      <c r="M192" s="322">
        <f t="shared" si="33"/>
        <v>3300.0812160000005</v>
      </c>
      <c r="N192" s="322">
        <f t="shared" si="33"/>
        <v>3337.798272</v>
      </c>
      <c r="O192" s="322">
        <f t="shared" si="33"/>
        <v>3375.515328</v>
      </c>
      <c r="P192" s="322">
        <f t="shared" si="33"/>
        <v>3413.2323840000008</v>
      </c>
      <c r="Q192" s="322">
        <f t="shared" si="33"/>
        <v>3450.9494400000003</v>
      </c>
      <c r="R192" s="322">
        <f t="shared" si="33"/>
        <v>3488.6664959999998</v>
      </c>
      <c r="S192" s="322">
        <f t="shared" si="33"/>
        <v>3526.3835519999998</v>
      </c>
      <c r="T192" s="322">
        <f t="shared" si="33"/>
        <v>3564.1006080000006</v>
      </c>
      <c r="U192" s="322">
        <f t="shared" si="33"/>
        <v>3601.8176639999997</v>
      </c>
      <c r="V192" s="322">
        <f t="shared" si="33"/>
        <v>3639.534720000001</v>
      </c>
      <c r="W192" s="322">
        <f t="shared" si="33"/>
        <v>3677.2517760000005</v>
      </c>
      <c r="X192" s="322">
        <f t="shared" si="33"/>
        <v>3714.968832</v>
      </c>
      <c r="Y192" s="322">
        <f t="shared" si="33"/>
        <v>3752.685888</v>
      </c>
      <c r="Z192" s="322">
        <f t="shared" si="33"/>
        <v>3790.4029440000008</v>
      </c>
      <c r="AA192" s="343">
        <f t="shared" si="7"/>
        <v>3597.2531122133341</v>
      </c>
    </row>
    <row r="193" spans="1:27" ht="24.95" customHeight="1">
      <c r="A193" s="260" t="str">
        <f>+Pobl_adoptada!A33</f>
        <v>Alberti</v>
      </c>
      <c r="B193" s="70">
        <f>+Pobl_adoptada!B33</f>
        <v>29</v>
      </c>
      <c r="C193" s="71" t="str">
        <f>+Pobl_adoptada!C33</f>
        <v>Alberti</v>
      </c>
      <c r="D193" s="348">
        <v>0.75</v>
      </c>
      <c r="E193" s="278"/>
      <c r="F193" s="263"/>
      <c r="G193" s="322">
        <f t="shared" ref="G193:Z193" si="34">+G33*365/$D193</f>
        <v>4571.6510464000012</v>
      </c>
      <c r="H193" s="322">
        <f t="shared" si="34"/>
        <v>4374.7594175999993</v>
      </c>
      <c r="I193" s="322">
        <f t="shared" si="34"/>
        <v>4170.5464533333343</v>
      </c>
      <c r="J193" s="322">
        <f t="shared" si="34"/>
        <v>3843.3429333333333</v>
      </c>
      <c r="K193" s="322">
        <f t="shared" si="34"/>
        <v>3506.0743679999996</v>
      </c>
      <c r="L193" s="322">
        <f t="shared" si="34"/>
        <v>3564.7453440000004</v>
      </c>
      <c r="M193" s="322">
        <f t="shared" si="34"/>
        <v>3623.0939520000006</v>
      </c>
      <c r="N193" s="322">
        <f t="shared" si="34"/>
        <v>3681.7649280000001</v>
      </c>
      <c r="O193" s="322">
        <f t="shared" si="34"/>
        <v>3740.4359040000004</v>
      </c>
      <c r="P193" s="322">
        <f t="shared" si="34"/>
        <v>3799.1068799999998</v>
      </c>
      <c r="Q193" s="322">
        <f t="shared" si="34"/>
        <v>3857.4554880000001</v>
      </c>
      <c r="R193" s="322">
        <f t="shared" si="34"/>
        <v>3916.1264640000004</v>
      </c>
      <c r="S193" s="322">
        <f t="shared" si="34"/>
        <v>3974.7974400000007</v>
      </c>
      <c r="T193" s="322">
        <f t="shared" si="34"/>
        <v>4033.1460480000005</v>
      </c>
      <c r="U193" s="322">
        <f t="shared" si="34"/>
        <v>4091.8170239999999</v>
      </c>
      <c r="V193" s="322">
        <f t="shared" si="34"/>
        <v>4150.4880000000003</v>
      </c>
      <c r="W193" s="322">
        <f t="shared" si="34"/>
        <v>4208.8366080000005</v>
      </c>
      <c r="X193" s="322">
        <f t="shared" si="34"/>
        <v>4267.5075840000009</v>
      </c>
      <c r="Y193" s="322">
        <f t="shared" si="34"/>
        <v>4326.1785599999994</v>
      </c>
      <c r="Z193" s="322">
        <f t="shared" si="34"/>
        <v>4384.8495359999988</v>
      </c>
      <c r="AA193" s="343">
        <f t="shared" si="7"/>
        <v>4004.3361989333339</v>
      </c>
    </row>
    <row r="194" spans="1:27" ht="24.95" customHeight="1">
      <c r="A194" s="260" t="str">
        <f>+Pobl_adoptada!A34</f>
        <v>Arrecifes</v>
      </c>
      <c r="B194" s="70">
        <f>+Pobl_adoptada!B34</f>
        <v>30</v>
      </c>
      <c r="C194" s="71" t="str">
        <f>+Pobl_adoptada!C34</f>
        <v>Arrecifes</v>
      </c>
      <c r="D194" s="348">
        <v>0.75</v>
      </c>
      <c r="E194" s="278"/>
      <c r="F194" s="263"/>
      <c r="G194" s="322">
        <f t="shared" ref="G194:Z194" si="35">+G34*365/$D194</f>
        <v>15613.691003733331</v>
      </c>
      <c r="H194" s="322">
        <f t="shared" si="35"/>
        <v>14866.022745600001</v>
      </c>
      <c r="I194" s="322">
        <f t="shared" si="35"/>
        <v>14103.712127999999</v>
      </c>
      <c r="J194" s="322">
        <f t="shared" si="35"/>
        <v>12937.936000000002</v>
      </c>
      <c r="K194" s="322">
        <f t="shared" si="35"/>
        <v>11749.998240000001</v>
      </c>
      <c r="L194" s="322">
        <f t="shared" si="35"/>
        <v>11856.968352000002</v>
      </c>
      <c r="M194" s="322">
        <f t="shared" si="35"/>
        <v>11964.681312000001</v>
      </c>
      <c r="N194" s="322">
        <f t="shared" si="35"/>
        <v>12073.137120000001</v>
      </c>
      <c r="O194" s="322">
        <f t="shared" si="35"/>
        <v>12183.078624000002</v>
      </c>
      <c r="P194" s="322">
        <f t="shared" si="35"/>
        <v>12293.762976</v>
      </c>
      <c r="Q194" s="322">
        <f t="shared" si="35"/>
        <v>12405.190176000002</v>
      </c>
      <c r="R194" s="322">
        <f t="shared" si="35"/>
        <v>12518.103072</v>
      </c>
      <c r="S194" s="322">
        <f t="shared" si="35"/>
        <v>12631.758816</v>
      </c>
      <c r="T194" s="322">
        <f t="shared" si="35"/>
        <v>12746.528832000002</v>
      </c>
      <c r="U194" s="322">
        <f t="shared" si="35"/>
        <v>12862.413120000003</v>
      </c>
      <c r="V194" s="322">
        <f t="shared" si="35"/>
        <v>12979.411680000003</v>
      </c>
      <c r="W194" s="322">
        <f t="shared" si="35"/>
        <v>13097.153088000001</v>
      </c>
      <c r="X194" s="322">
        <f t="shared" si="35"/>
        <v>13216.380192000002</v>
      </c>
      <c r="Y194" s="322">
        <f t="shared" si="35"/>
        <v>13336.350144000002</v>
      </c>
      <c r="Z194" s="322">
        <f t="shared" si="35"/>
        <v>13457.434368000002</v>
      </c>
      <c r="AA194" s="343">
        <f t="shared" si="7"/>
        <v>12944.685599466666</v>
      </c>
    </row>
    <row r="195" spans="1:27" ht="24.95" customHeight="1">
      <c r="A195" s="260" t="str">
        <f>+Pobl_adoptada!A35</f>
        <v>Ayacucho</v>
      </c>
      <c r="B195" s="70">
        <f>+Pobl_adoptada!B35</f>
        <v>31</v>
      </c>
      <c r="C195" s="71" t="str">
        <f>+Pobl_adoptada!C35</f>
        <v>Ayacucho</v>
      </c>
      <c r="D195" s="348">
        <v>0.75</v>
      </c>
      <c r="E195" s="278"/>
      <c r="F195" s="263"/>
      <c r="G195" s="322">
        <f t="shared" ref="G195:Z195" si="36">+G35*365/$D195</f>
        <v>9788.557619199999</v>
      </c>
      <c r="H195" s="322">
        <f t="shared" si="36"/>
        <v>9292.4713439999996</v>
      </c>
      <c r="I195" s="322">
        <f t="shared" si="36"/>
        <v>8789.1711893333322</v>
      </c>
      <c r="J195" s="322">
        <f t="shared" si="36"/>
        <v>8038.8534400000017</v>
      </c>
      <c r="K195" s="322">
        <f t="shared" si="36"/>
        <v>7278.7961280000009</v>
      </c>
      <c r="L195" s="322">
        <f t="shared" si="36"/>
        <v>7322.9955840000002</v>
      </c>
      <c r="M195" s="322">
        <f t="shared" si="36"/>
        <v>7367.1950400000014</v>
      </c>
      <c r="N195" s="322">
        <f t="shared" si="36"/>
        <v>7412.1373439999998</v>
      </c>
      <c r="O195" s="322">
        <f t="shared" si="36"/>
        <v>7457.0796480000017</v>
      </c>
      <c r="P195" s="322">
        <f t="shared" si="36"/>
        <v>7502.3933760000009</v>
      </c>
      <c r="Q195" s="322">
        <f t="shared" si="36"/>
        <v>7547.7071040000019</v>
      </c>
      <c r="R195" s="322">
        <f t="shared" si="36"/>
        <v>7593.7636800000009</v>
      </c>
      <c r="S195" s="322">
        <f t="shared" si="36"/>
        <v>7639.820256</v>
      </c>
      <c r="T195" s="322">
        <f t="shared" si="36"/>
        <v>7685.8768320000008</v>
      </c>
      <c r="U195" s="322">
        <f t="shared" si="36"/>
        <v>7732.6762559999997</v>
      </c>
      <c r="V195" s="322">
        <f t="shared" si="36"/>
        <v>7779.4756800000005</v>
      </c>
      <c r="W195" s="322">
        <f t="shared" si="36"/>
        <v>7826.6465280000002</v>
      </c>
      <c r="X195" s="322">
        <f t="shared" si="36"/>
        <v>7874.1888000000008</v>
      </c>
      <c r="Y195" s="322">
        <f t="shared" si="36"/>
        <v>7922.1024959999995</v>
      </c>
      <c r="Z195" s="322">
        <f t="shared" si="36"/>
        <v>7970.016192</v>
      </c>
      <c r="AA195" s="343">
        <f t="shared" si="7"/>
        <v>7891.0962268266694</v>
      </c>
    </row>
    <row r="196" spans="1:27" ht="24.95" customHeight="1">
      <c r="A196" s="260" t="str">
        <f>+Pobl_adoptada!A36</f>
        <v>Azul</v>
      </c>
      <c r="B196" s="70">
        <f>+Pobl_adoptada!B36</f>
        <v>32</v>
      </c>
      <c r="C196" s="71" t="str">
        <f>+Pobl_adoptada!C36</f>
        <v>Azul</v>
      </c>
      <c r="D196" s="348">
        <v>0.75</v>
      </c>
      <c r="E196" s="278"/>
      <c r="F196" s="263"/>
      <c r="G196" s="322">
        <f t="shared" ref="G196:Z196" si="37">+G36*365/$D196</f>
        <v>31956.659404799997</v>
      </c>
      <c r="H196" s="322">
        <f t="shared" si="37"/>
        <v>30515.530780800003</v>
      </c>
      <c r="I196" s="322">
        <f t="shared" si="37"/>
        <v>29030.544224000001</v>
      </c>
      <c r="J196" s="322">
        <f t="shared" si="37"/>
        <v>26701.157440000006</v>
      </c>
      <c r="K196" s="322">
        <f t="shared" si="37"/>
        <v>24309.819936</v>
      </c>
      <c r="L196" s="322">
        <f t="shared" si="37"/>
        <v>24676.163135999999</v>
      </c>
      <c r="M196" s="322">
        <f t="shared" si="37"/>
        <v>25042.148927999999</v>
      </c>
      <c r="N196" s="322">
        <f t="shared" si="37"/>
        <v>25408.492128000002</v>
      </c>
      <c r="O196" s="322">
        <f t="shared" si="37"/>
        <v>25774.477920000005</v>
      </c>
      <c r="P196" s="322">
        <f t="shared" si="37"/>
        <v>26140.821119999997</v>
      </c>
      <c r="Q196" s="322">
        <f t="shared" si="37"/>
        <v>26506.806912</v>
      </c>
      <c r="R196" s="322">
        <f t="shared" si="37"/>
        <v>26873.150111999999</v>
      </c>
      <c r="S196" s="322">
        <f t="shared" si="37"/>
        <v>27239.493312000002</v>
      </c>
      <c r="T196" s="322">
        <f t="shared" si="37"/>
        <v>27605.479103999998</v>
      </c>
      <c r="U196" s="322">
        <f t="shared" si="37"/>
        <v>27971.822304000001</v>
      </c>
      <c r="V196" s="322">
        <f t="shared" si="37"/>
        <v>28337.808096000004</v>
      </c>
      <c r="W196" s="322">
        <f t="shared" si="37"/>
        <v>28704.151296000007</v>
      </c>
      <c r="X196" s="322">
        <f t="shared" si="37"/>
        <v>29070.137088000003</v>
      </c>
      <c r="Y196" s="322">
        <f t="shared" si="37"/>
        <v>29436.480287999995</v>
      </c>
      <c r="Z196" s="322">
        <f t="shared" si="37"/>
        <v>29802.823488000005</v>
      </c>
      <c r="AA196" s="343">
        <f t="shared" si="7"/>
        <v>27555.198350880004</v>
      </c>
    </row>
    <row r="197" spans="1:27" ht="24.95" customHeight="1">
      <c r="A197" s="260" t="str">
        <f>+Pobl_adoptada!A37</f>
        <v>Bahía Blanca</v>
      </c>
      <c r="B197" s="70">
        <f>+Pobl_adoptada!B37</f>
        <v>33</v>
      </c>
      <c r="C197" s="71" t="str">
        <f>+Pobl_adoptada!C37</f>
        <v>Bahía Blanca</v>
      </c>
      <c r="D197" s="348">
        <v>0.75</v>
      </c>
      <c r="E197" s="278"/>
      <c r="F197" s="263"/>
      <c r="G197" s="322">
        <f t="shared" ref="G197:Z197" si="38">+G37*365/$D197</f>
        <v>228788.80757119998</v>
      </c>
      <c r="H197" s="322">
        <f t="shared" si="38"/>
        <v>218346.74297280001</v>
      </c>
      <c r="I197" s="322">
        <f t="shared" si="38"/>
        <v>207608.10822399997</v>
      </c>
      <c r="J197" s="322">
        <f t="shared" si="38"/>
        <v>190848.13983999999</v>
      </c>
      <c r="K197" s="322">
        <f t="shared" si="38"/>
        <v>173665.96631999998</v>
      </c>
      <c r="L197" s="322">
        <f t="shared" si="38"/>
        <v>176180.75207999998</v>
      </c>
      <c r="M197" s="322">
        <f t="shared" si="38"/>
        <v>178696.031904</v>
      </c>
      <c r="N197" s="322">
        <f t="shared" si="38"/>
        <v>181210.81766399997</v>
      </c>
      <c r="O197" s="322">
        <f t="shared" si="38"/>
        <v>183726.09748799997</v>
      </c>
      <c r="P197" s="322">
        <f t="shared" si="38"/>
        <v>186240.88324800003</v>
      </c>
      <c r="Q197" s="322">
        <f t="shared" si="38"/>
        <v>188756.163072</v>
      </c>
      <c r="R197" s="322">
        <f t="shared" si="38"/>
        <v>191270.94883199999</v>
      </c>
      <c r="S197" s="322">
        <f t="shared" si="38"/>
        <v>193785.73459199999</v>
      </c>
      <c r="T197" s="322">
        <f t="shared" si="38"/>
        <v>196301.01441599996</v>
      </c>
      <c r="U197" s="322">
        <f t="shared" si="38"/>
        <v>198815.80017599999</v>
      </c>
      <c r="V197" s="322">
        <f t="shared" si="38"/>
        <v>201331.08000000005</v>
      </c>
      <c r="W197" s="322">
        <f t="shared" si="38"/>
        <v>203845.86575999999</v>
      </c>
      <c r="X197" s="322">
        <f t="shared" si="38"/>
        <v>206361.14558400001</v>
      </c>
      <c r="Y197" s="322">
        <f t="shared" si="38"/>
        <v>208875.93134400001</v>
      </c>
      <c r="Z197" s="322">
        <f t="shared" si="38"/>
        <v>211391.21116799998</v>
      </c>
      <c r="AA197" s="343">
        <f t="shared" si="7"/>
        <v>196302.36211279998</v>
      </c>
    </row>
    <row r="198" spans="1:27" ht="24.95" customHeight="1">
      <c r="A198" s="260" t="str">
        <f>+Pobl_adoptada!A38</f>
        <v>Balcarce</v>
      </c>
      <c r="B198" s="70">
        <f>+Pobl_adoptada!B38</f>
        <v>34</v>
      </c>
      <c r="C198" s="71" t="str">
        <f>+Pobl_adoptada!C38</f>
        <v>Balcarce</v>
      </c>
      <c r="D198" s="348">
        <v>0.75</v>
      </c>
      <c r="E198" s="278"/>
      <c r="F198" s="263"/>
      <c r="G198" s="322">
        <f t="shared" ref="G198:Z198" si="39">+G38*365/$D198</f>
        <v>24712.423462399998</v>
      </c>
      <c r="H198" s="322">
        <f t="shared" si="39"/>
        <v>23659.708799999997</v>
      </c>
      <c r="I198" s="322">
        <f t="shared" si="39"/>
        <v>22571.477749333335</v>
      </c>
      <c r="J198" s="322">
        <f t="shared" si="39"/>
        <v>20821.616746666667</v>
      </c>
      <c r="K198" s="322">
        <f t="shared" si="39"/>
        <v>19016.165951999999</v>
      </c>
      <c r="L198" s="322">
        <f t="shared" si="39"/>
        <v>19296.962496</v>
      </c>
      <c r="M198" s="322">
        <f t="shared" si="39"/>
        <v>19582.587552000001</v>
      </c>
      <c r="N198" s="322">
        <f t="shared" si="39"/>
        <v>19873.041120000002</v>
      </c>
      <c r="O198" s="322">
        <f t="shared" si="39"/>
        <v>20167.951776000005</v>
      </c>
      <c r="P198" s="322">
        <f t="shared" si="39"/>
        <v>20467.690944000002</v>
      </c>
      <c r="Q198" s="322">
        <f t="shared" si="39"/>
        <v>20772.258624000006</v>
      </c>
      <c r="R198" s="322">
        <f t="shared" si="39"/>
        <v>21082.026240000003</v>
      </c>
      <c r="S198" s="322">
        <f t="shared" si="39"/>
        <v>21396.622368000004</v>
      </c>
      <c r="T198" s="322">
        <f t="shared" si="39"/>
        <v>21716.418431999999</v>
      </c>
      <c r="U198" s="322">
        <f t="shared" si="39"/>
        <v>22041.414432000005</v>
      </c>
      <c r="V198" s="322">
        <f t="shared" si="39"/>
        <v>22371.981792000002</v>
      </c>
      <c r="W198" s="322">
        <f t="shared" si="39"/>
        <v>22707.749088</v>
      </c>
      <c r="X198" s="322">
        <f t="shared" si="39"/>
        <v>23048.716320000003</v>
      </c>
      <c r="Y198" s="322">
        <f t="shared" si="39"/>
        <v>23395.626336000001</v>
      </c>
      <c r="Z198" s="322">
        <f t="shared" si="39"/>
        <v>23748.107712000001</v>
      </c>
      <c r="AA198" s="343">
        <f t="shared" si="7"/>
        <v>21622.52739712</v>
      </c>
    </row>
    <row r="199" spans="1:27" ht="24.95" customHeight="1">
      <c r="A199" s="260" t="str">
        <f>+Pobl_adoptada!A39</f>
        <v>Baradero</v>
      </c>
      <c r="B199" s="70">
        <f>+Pobl_adoptada!B39</f>
        <v>35</v>
      </c>
      <c r="C199" s="71" t="str">
        <f>+Pobl_adoptada!C39</f>
        <v>Baradero</v>
      </c>
      <c r="D199" s="348">
        <v>0.75</v>
      </c>
      <c r="E199" s="278"/>
      <c r="F199" s="263"/>
      <c r="G199" s="322">
        <f t="shared" ref="G199:Z199" si="40">+G39*365/$D199</f>
        <v>17158.633258666669</v>
      </c>
      <c r="H199" s="322">
        <f t="shared" si="40"/>
        <v>16354.170144000003</v>
      </c>
      <c r="I199" s="322">
        <f t="shared" si="40"/>
        <v>15531.424714666666</v>
      </c>
      <c r="J199" s="322">
        <f t="shared" si="40"/>
        <v>14262.268906666666</v>
      </c>
      <c r="K199" s="322">
        <f t="shared" si="40"/>
        <v>12966.040416000002</v>
      </c>
      <c r="L199" s="322">
        <f t="shared" si="40"/>
        <v>13097.524512000002</v>
      </c>
      <c r="M199" s="322">
        <f t="shared" si="40"/>
        <v>13230.122880000003</v>
      </c>
      <c r="N199" s="322">
        <f t="shared" si="40"/>
        <v>13364.206944</v>
      </c>
      <c r="O199" s="322">
        <f t="shared" si="40"/>
        <v>13499.405280000004</v>
      </c>
      <c r="P199" s="322">
        <f t="shared" si="40"/>
        <v>13636.089311999998</v>
      </c>
      <c r="Q199" s="322">
        <f t="shared" si="40"/>
        <v>13774.259039999999</v>
      </c>
      <c r="R199" s="322">
        <f t="shared" si="40"/>
        <v>13913.914464000001</v>
      </c>
      <c r="S199" s="322">
        <f t="shared" si="40"/>
        <v>14054.684159999999</v>
      </c>
      <c r="T199" s="322">
        <f t="shared" si="40"/>
        <v>14196.939552000002</v>
      </c>
      <c r="U199" s="322">
        <f t="shared" si="40"/>
        <v>14341.052064000001</v>
      </c>
      <c r="V199" s="322">
        <f t="shared" si="40"/>
        <v>14486.278848</v>
      </c>
      <c r="W199" s="322">
        <f t="shared" si="40"/>
        <v>14632.991328000002</v>
      </c>
      <c r="X199" s="322">
        <f t="shared" si="40"/>
        <v>14781.189504</v>
      </c>
      <c r="Y199" s="322">
        <f t="shared" si="40"/>
        <v>14930.873375999998</v>
      </c>
      <c r="Z199" s="322">
        <f t="shared" si="40"/>
        <v>15082.042944000001</v>
      </c>
      <c r="AA199" s="343">
        <f t="shared" si="7"/>
        <v>14364.705582399998</v>
      </c>
    </row>
    <row r="200" spans="1:27" ht="24.95" customHeight="1">
      <c r="A200" s="260" t="str">
        <f>+Pobl_adoptada!A40</f>
        <v>Benito Juárez</v>
      </c>
      <c r="B200" s="70">
        <f>+Pobl_adoptada!B40</f>
        <v>36</v>
      </c>
      <c r="C200" s="71" t="str">
        <f>+Pobl_adoptada!C40</f>
        <v>Benito Juárez</v>
      </c>
      <c r="D200" s="348">
        <v>0.75</v>
      </c>
      <c r="E200" s="278"/>
      <c r="F200" s="263"/>
      <c r="G200" s="322">
        <f t="shared" ref="G200:Z200" si="41">+G40*365/$D200</f>
        <v>7953.4589354666678</v>
      </c>
      <c r="H200" s="322">
        <f t="shared" si="41"/>
        <v>7548.4128095999995</v>
      </c>
      <c r="I200" s="322">
        <f t="shared" si="41"/>
        <v>7138.108970666668</v>
      </c>
      <c r="J200" s="322">
        <f t="shared" si="41"/>
        <v>6527.9831466666665</v>
      </c>
      <c r="K200" s="322">
        <f t="shared" si="41"/>
        <v>5910.4701120000018</v>
      </c>
      <c r="L200" s="322">
        <f t="shared" si="41"/>
        <v>5946.126816</v>
      </c>
      <c r="M200" s="322">
        <f t="shared" si="41"/>
        <v>5982.5263680000016</v>
      </c>
      <c r="N200" s="322">
        <f t="shared" si="41"/>
        <v>6019.2973439999996</v>
      </c>
      <c r="O200" s="322">
        <f t="shared" si="41"/>
        <v>6057.182592000001</v>
      </c>
      <c r="P200" s="322">
        <f t="shared" si="41"/>
        <v>6095.0678399999997</v>
      </c>
      <c r="Q200" s="322">
        <f t="shared" si="41"/>
        <v>6134.06736</v>
      </c>
      <c r="R200" s="322">
        <f t="shared" si="41"/>
        <v>6173.4383040000021</v>
      </c>
      <c r="S200" s="322">
        <f t="shared" si="41"/>
        <v>6213.5520960000022</v>
      </c>
      <c r="T200" s="322">
        <f t="shared" si="41"/>
        <v>6254.4087360000012</v>
      </c>
      <c r="U200" s="322">
        <f t="shared" si="41"/>
        <v>6295.6368000000002</v>
      </c>
      <c r="V200" s="322">
        <f t="shared" si="41"/>
        <v>6337.9791360000008</v>
      </c>
      <c r="W200" s="322">
        <f t="shared" si="41"/>
        <v>6380.6928960000005</v>
      </c>
      <c r="X200" s="322">
        <f t="shared" si="41"/>
        <v>6424.1495040000009</v>
      </c>
      <c r="Y200" s="322">
        <f t="shared" si="41"/>
        <v>6468.3489600000003</v>
      </c>
      <c r="Z200" s="322">
        <f t="shared" si="41"/>
        <v>6513.2912639999995</v>
      </c>
      <c r="AA200" s="343">
        <f t="shared" si="7"/>
        <v>6418.7099995199997</v>
      </c>
    </row>
    <row r="201" spans="1:27" ht="24.95" customHeight="1">
      <c r="A201" s="260" t="str">
        <f>+Pobl_adoptada!A41</f>
        <v>Berisso</v>
      </c>
      <c r="B201" s="70">
        <f>+Pobl_adoptada!B41</f>
        <v>37</v>
      </c>
      <c r="C201" s="71" t="str">
        <f>+Pobl_adoptada!C41</f>
        <v>Berisso</v>
      </c>
      <c r="D201" s="348">
        <v>0.75</v>
      </c>
      <c r="E201" s="278"/>
      <c r="F201" s="263"/>
      <c r="G201" s="322">
        <f t="shared" ref="G201:Z201" si="42">+G41*365/$D201</f>
        <v>50461.641280000003</v>
      </c>
      <c r="H201" s="322">
        <f t="shared" si="42"/>
        <v>48078.559900799999</v>
      </c>
      <c r="I201" s="322">
        <f t="shared" si="42"/>
        <v>45644.138847999995</v>
      </c>
      <c r="J201" s="322">
        <f t="shared" si="42"/>
        <v>41900.528320000005</v>
      </c>
      <c r="K201" s="322">
        <f t="shared" si="42"/>
        <v>38079.320544000009</v>
      </c>
      <c r="L201" s="322">
        <f t="shared" si="42"/>
        <v>38451.739679999999</v>
      </c>
      <c r="M201" s="322">
        <f t="shared" si="42"/>
        <v>38827.732895999994</v>
      </c>
      <c r="N201" s="322">
        <f t="shared" si="42"/>
        <v>39207.300191999995</v>
      </c>
      <c r="O201" s="322">
        <f t="shared" si="42"/>
        <v>39590.798975999998</v>
      </c>
      <c r="P201" s="322">
        <f t="shared" si="42"/>
        <v>39977.87184</v>
      </c>
      <c r="Q201" s="322">
        <f t="shared" si="42"/>
        <v>40368.876192000003</v>
      </c>
      <c r="R201" s="322">
        <f t="shared" si="42"/>
        <v>40763.812032000002</v>
      </c>
      <c r="S201" s="322">
        <f t="shared" si="42"/>
        <v>41162.321951999991</v>
      </c>
      <c r="T201" s="322">
        <f t="shared" si="42"/>
        <v>41565.120768000008</v>
      </c>
      <c r="U201" s="322">
        <f t="shared" si="42"/>
        <v>41971.493664000001</v>
      </c>
      <c r="V201" s="322">
        <f t="shared" si="42"/>
        <v>42382.155456</v>
      </c>
      <c r="W201" s="322">
        <f t="shared" si="42"/>
        <v>42796.391327999998</v>
      </c>
      <c r="X201" s="322">
        <f t="shared" si="42"/>
        <v>43214.916096000001</v>
      </c>
      <c r="Y201" s="322">
        <f t="shared" si="42"/>
        <v>43637.729760000009</v>
      </c>
      <c r="Z201" s="322">
        <f t="shared" si="42"/>
        <v>44064.474911999998</v>
      </c>
      <c r="AA201" s="343">
        <f t="shared" si="7"/>
        <v>42107.346231839998</v>
      </c>
    </row>
    <row r="202" spans="1:27" ht="24.95" customHeight="1">
      <c r="A202" s="260" t="str">
        <f>+Pobl_adoptada!A42</f>
        <v>Bolívar</v>
      </c>
      <c r="B202" s="70">
        <f>+Pobl_adoptada!B42</f>
        <v>38</v>
      </c>
      <c r="C202" s="71" t="str">
        <f>+Pobl_adoptada!C42</f>
        <v>San Carlos de Bolívar</v>
      </c>
      <c r="D202" s="348">
        <v>0.75</v>
      </c>
      <c r="E202" s="278"/>
      <c r="F202" s="263"/>
      <c r="G202" s="322">
        <f t="shared" ref="G202:Z202" si="43">+G42*365/$D202</f>
        <v>14979.1337344</v>
      </c>
      <c r="H202" s="322">
        <f t="shared" si="43"/>
        <v>14230.107715200002</v>
      </c>
      <c r="I202" s="322">
        <f t="shared" si="43"/>
        <v>13470.434208000001</v>
      </c>
      <c r="J202" s="322">
        <f t="shared" si="43"/>
        <v>12329.62602666667</v>
      </c>
      <c r="K202" s="322">
        <f t="shared" si="43"/>
        <v>11172.805344</v>
      </c>
      <c r="L202" s="322">
        <f t="shared" si="43"/>
        <v>11249.318687999998</v>
      </c>
      <c r="M202" s="322">
        <f t="shared" si="43"/>
        <v>11326.203456000003</v>
      </c>
      <c r="N202" s="322">
        <f t="shared" si="43"/>
        <v>11403.831072000001</v>
      </c>
      <c r="O202" s="322">
        <f t="shared" si="43"/>
        <v>11481.830112000001</v>
      </c>
      <c r="P202" s="322">
        <f t="shared" si="43"/>
        <v>11560.572</v>
      </c>
      <c r="Q202" s="322">
        <f t="shared" si="43"/>
        <v>11639.685312</v>
      </c>
      <c r="R202" s="322">
        <f t="shared" si="43"/>
        <v>11719.541471999999</v>
      </c>
      <c r="S202" s="322">
        <f t="shared" si="43"/>
        <v>11799.769055999999</v>
      </c>
      <c r="T202" s="322">
        <f t="shared" si="43"/>
        <v>11880.739488000001</v>
      </c>
      <c r="U202" s="322">
        <f t="shared" si="43"/>
        <v>11962.081344</v>
      </c>
      <c r="V202" s="322">
        <f t="shared" si="43"/>
        <v>12044.166048000001</v>
      </c>
      <c r="W202" s="322">
        <f t="shared" si="43"/>
        <v>12126.622175999999</v>
      </c>
      <c r="X202" s="322">
        <f t="shared" si="43"/>
        <v>12209.449728</v>
      </c>
      <c r="Y202" s="322">
        <f t="shared" si="43"/>
        <v>12293.020127999998</v>
      </c>
      <c r="Z202" s="322">
        <f t="shared" si="43"/>
        <v>12377.333376000002</v>
      </c>
      <c r="AA202" s="343">
        <f t="shared" si="7"/>
        <v>12162.813524213334</v>
      </c>
    </row>
    <row r="203" spans="1:27" ht="24.95" customHeight="1">
      <c r="A203" s="260" t="str">
        <f>+Pobl_adoptada!A43</f>
        <v>Bragado</v>
      </c>
      <c r="B203" s="70">
        <f>+Pobl_adoptada!B43</f>
        <v>39</v>
      </c>
      <c r="C203" s="71" t="str">
        <f>+Pobl_adoptada!C43</f>
        <v>Bragado</v>
      </c>
      <c r="D203" s="348">
        <v>0.75</v>
      </c>
      <c r="E203" s="278"/>
      <c r="F203" s="263"/>
      <c r="G203" s="322">
        <f t="shared" ref="G203:Z203" si="44">+G43*365/$D203</f>
        <v>17969.740735999996</v>
      </c>
      <c r="H203" s="322">
        <f t="shared" si="44"/>
        <v>17006.502115200001</v>
      </c>
      <c r="I203" s="322">
        <f t="shared" si="44"/>
        <v>16037.593088</v>
      </c>
      <c r="J203" s="322">
        <f t="shared" si="44"/>
        <v>14623.375573333333</v>
      </c>
      <c r="K203" s="322">
        <f t="shared" si="44"/>
        <v>13200.408960000001</v>
      </c>
      <c r="L203" s="322">
        <f t="shared" si="44"/>
        <v>13239.779904000001</v>
      </c>
      <c r="M203" s="322">
        <f t="shared" si="44"/>
        <v>13279.150847999999</v>
      </c>
      <c r="N203" s="322">
        <f t="shared" si="44"/>
        <v>13318.893215999999</v>
      </c>
      <c r="O203" s="322">
        <f t="shared" si="44"/>
        <v>13358.264160000001</v>
      </c>
      <c r="P203" s="322">
        <f t="shared" si="44"/>
        <v>13397.635104000001</v>
      </c>
      <c r="Q203" s="322">
        <f t="shared" si="44"/>
        <v>13437.006048000001</v>
      </c>
      <c r="R203" s="322">
        <f t="shared" si="44"/>
        <v>13476.376992</v>
      </c>
      <c r="S203" s="322">
        <f t="shared" si="44"/>
        <v>13515.747936</v>
      </c>
      <c r="T203" s="322">
        <f t="shared" si="44"/>
        <v>13555.490304000001</v>
      </c>
      <c r="U203" s="322">
        <f t="shared" si="44"/>
        <v>13594.861248000003</v>
      </c>
      <c r="V203" s="322">
        <f t="shared" si="44"/>
        <v>13634.232192000001</v>
      </c>
      <c r="W203" s="322">
        <f t="shared" si="44"/>
        <v>13673.603136</v>
      </c>
      <c r="X203" s="322">
        <f t="shared" si="44"/>
        <v>13712.974080000002</v>
      </c>
      <c r="Y203" s="322">
        <f t="shared" si="44"/>
        <v>13752.716447999999</v>
      </c>
      <c r="Z203" s="322">
        <f t="shared" si="44"/>
        <v>13792.087392000003</v>
      </c>
      <c r="AA203" s="343">
        <f t="shared" si="7"/>
        <v>14078.82197402667</v>
      </c>
    </row>
    <row r="204" spans="1:27" ht="24.95" customHeight="1">
      <c r="A204" s="260" t="str">
        <f>+Pobl_adoptada!A44</f>
        <v>Brandsen</v>
      </c>
      <c r="B204" s="70">
        <f>+Pobl_adoptada!B44</f>
        <v>40</v>
      </c>
      <c r="C204" s="71" t="str">
        <f>+Pobl_adoptada!C44</f>
        <v>Coronel Brandsen</v>
      </c>
      <c r="D204" s="348">
        <v>0.75</v>
      </c>
      <c r="E204" s="278"/>
      <c r="F204" s="263"/>
      <c r="G204" s="322">
        <f t="shared" ref="G204:Z204" si="45">+G44*365/$D204</f>
        <v>13815.949320533335</v>
      </c>
      <c r="H204" s="322">
        <f t="shared" si="45"/>
        <v>13288.065024000001</v>
      </c>
      <c r="I204" s="322">
        <f t="shared" si="45"/>
        <v>12734.560725333335</v>
      </c>
      <c r="J204" s="322">
        <f t="shared" si="45"/>
        <v>11800.553173333334</v>
      </c>
      <c r="K204" s="322">
        <f t="shared" si="45"/>
        <v>10825.523904000003</v>
      </c>
      <c r="L204" s="322">
        <f t="shared" si="45"/>
        <v>11034.635616</v>
      </c>
      <c r="M204" s="322">
        <f t="shared" si="45"/>
        <v>11247.832992000001</v>
      </c>
      <c r="N204" s="322">
        <f t="shared" si="45"/>
        <v>11465.116032000004</v>
      </c>
      <c r="O204" s="322">
        <f t="shared" si="45"/>
        <v>11686.856160000001</v>
      </c>
      <c r="P204" s="322">
        <f t="shared" si="45"/>
        <v>11912.681952000004</v>
      </c>
      <c r="Q204" s="322">
        <f t="shared" si="45"/>
        <v>12142.964832000003</v>
      </c>
      <c r="R204" s="322">
        <f t="shared" si="45"/>
        <v>12377.333376000002</v>
      </c>
      <c r="S204" s="322">
        <f t="shared" si="45"/>
        <v>12616.530432000001</v>
      </c>
      <c r="T204" s="322">
        <f t="shared" si="45"/>
        <v>12860.184576000001</v>
      </c>
      <c r="U204" s="322">
        <f t="shared" si="45"/>
        <v>13108.667232000002</v>
      </c>
      <c r="V204" s="322">
        <f t="shared" si="45"/>
        <v>13361.9784</v>
      </c>
      <c r="W204" s="322">
        <f t="shared" si="45"/>
        <v>13620.489504000003</v>
      </c>
      <c r="X204" s="322">
        <f t="shared" si="45"/>
        <v>13883.457695999999</v>
      </c>
      <c r="Y204" s="322">
        <f t="shared" si="45"/>
        <v>14151.625824000002</v>
      </c>
      <c r="Z204" s="322">
        <f t="shared" si="45"/>
        <v>14425.365312</v>
      </c>
      <c r="AA204" s="343">
        <f t="shared" si="7"/>
        <v>12618.018604159999</v>
      </c>
    </row>
    <row r="205" spans="1:27" ht="24.95" customHeight="1">
      <c r="A205" s="260" t="str">
        <f>+Pobl_adoptada!A45</f>
        <v>Campana</v>
      </c>
      <c r="B205" s="70">
        <f>+Pobl_adoptada!B45</f>
        <v>41</v>
      </c>
      <c r="C205" s="71" t="str">
        <f>+Pobl_adoptada!C45</f>
        <v>Campana</v>
      </c>
      <c r="D205" s="348">
        <v>0.75</v>
      </c>
      <c r="E205" s="278"/>
      <c r="F205" s="263"/>
      <c r="G205" s="322">
        <f t="shared" ref="G205:Z205" si="46">+G45*365/$D205</f>
        <v>50685.696384000003</v>
      </c>
      <c r="H205" s="322">
        <f t="shared" si="46"/>
        <v>48290.895993599996</v>
      </c>
      <c r="I205" s="322">
        <f t="shared" si="46"/>
        <v>45840.713247999993</v>
      </c>
      <c r="J205" s="322">
        <f t="shared" si="46"/>
        <v>42072.084159999991</v>
      </c>
      <c r="K205" s="322">
        <f t="shared" si="46"/>
        <v>38223.713376000007</v>
      </c>
      <c r="L205" s="322">
        <f t="shared" si="46"/>
        <v>38582.551008000009</v>
      </c>
      <c r="M205" s="322">
        <f t="shared" si="46"/>
        <v>38941.388639999997</v>
      </c>
      <c r="N205" s="322">
        <f t="shared" si="46"/>
        <v>39300.226271999993</v>
      </c>
      <c r="O205" s="322">
        <f t="shared" si="46"/>
        <v>39659.063904000002</v>
      </c>
      <c r="P205" s="322">
        <f t="shared" si="46"/>
        <v>40017.901535999998</v>
      </c>
      <c r="Q205" s="322">
        <f t="shared" si="46"/>
        <v>40376.739167999993</v>
      </c>
      <c r="R205" s="322">
        <f t="shared" si="46"/>
        <v>40735.576800000003</v>
      </c>
      <c r="S205" s="322">
        <f t="shared" si="46"/>
        <v>41094.414431999998</v>
      </c>
      <c r="T205" s="322">
        <f t="shared" si="46"/>
        <v>41453.252064</v>
      </c>
      <c r="U205" s="322">
        <f t="shared" si="46"/>
        <v>41812.089696000003</v>
      </c>
      <c r="V205" s="322">
        <f t="shared" si="46"/>
        <v>42171.284735999994</v>
      </c>
      <c r="W205" s="322">
        <f t="shared" si="46"/>
        <v>42530.122368000004</v>
      </c>
      <c r="X205" s="322">
        <f t="shared" si="46"/>
        <v>42888.959999999999</v>
      </c>
      <c r="Y205" s="322">
        <f t="shared" si="46"/>
        <v>43247.797632000002</v>
      </c>
      <c r="Z205" s="322">
        <f t="shared" si="46"/>
        <v>43606.635264000004</v>
      </c>
      <c r="AA205" s="343">
        <f t="shared" si="7"/>
        <v>42076.555334079996</v>
      </c>
    </row>
    <row r="206" spans="1:27" ht="24.95" customHeight="1">
      <c r="A206" s="260" t="str">
        <f>+Pobl_adoptada!A46</f>
        <v>Cañuelas</v>
      </c>
      <c r="B206" s="70">
        <f>+Pobl_adoptada!B46</f>
        <v>42</v>
      </c>
      <c r="C206" s="71" t="str">
        <f>+Pobl_adoptada!C46</f>
        <v>Cañuelas</v>
      </c>
      <c r="D206" s="348">
        <v>0.75</v>
      </c>
      <c r="E206" s="278"/>
      <c r="F206" s="263"/>
      <c r="G206" s="322">
        <f t="shared" ref="G206:Z206" si="47">+G46*365/$D206</f>
        <v>24137.228002133339</v>
      </c>
      <c r="H206" s="322">
        <f t="shared" si="47"/>
        <v>23368.549526400002</v>
      </c>
      <c r="I206" s="322">
        <f t="shared" si="47"/>
        <v>22537.884512000001</v>
      </c>
      <c r="J206" s="322">
        <f t="shared" si="47"/>
        <v>21013.106453333334</v>
      </c>
      <c r="K206" s="322">
        <f t="shared" si="47"/>
        <v>19391.304192</v>
      </c>
      <c r="L206" s="322">
        <f t="shared" si="47"/>
        <v>19878.241055999999</v>
      </c>
      <c r="M206" s="322">
        <f t="shared" si="47"/>
        <v>20373.720671999999</v>
      </c>
      <c r="N206" s="322">
        <f t="shared" si="47"/>
        <v>20877.000192</v>
      </c>
      <c r="O206" s="322">
        <f t="shared" si="47"/>
        <v>21388.45104</v>
      </c>
      <c r="P206" s="322">
        <f t="shared" si="47"/>
        <v>21908.073216000004</v>
      </c>
      <c r="Q206" s="322">
        <f t="shared" si="47"/>
        <v>22436.609568000003</v>
      </c>
      <c r="R206" s="322">
        <f t="shared" si="47"/>
        <v>22973.317248000007</v>
      </c>
      <c r="S206" s="322">
        <f t="shared" si="47"/>
        <v>23518.939104000005</v>
      </c>
      <c r="T206" s="322">
        <f t="shared" si="47"/>
        <v>24073.475135999997</v>
      </c>
      <c r="U206" s="322">
        <f t="shared" si="47"/>
        <v>24637.296768</v>
      </c>
      <c r="V206" s="322">
        <f t="shared" si="47"/>
        <v>25210.032575999998</v>
      </c>
      <c r="W206" s="322">
        <f t="shared" si="47"/>
        <v>25792.425407999999</v>
      </c>
      <c r="X206" s="322">
        <f t="shared" si="47"/>
        <v>26383.732416000003</v>
      </c>
      <c r="Y206" s="322">
        <f t="shared" si="47"/>
        <v>26985.067872000003</v>
      </c>
      <c r="Z206" s="322">
        <f t="shared" si="47"/>
        <v>27596.431776000001</v>
      </c>
      <c r="AA206" s="343">
        <f t="shared" si="7"/>
        <v>23224.044336693332</v>
      </c>
    </row>
    <row r="207" spans="1:27" ht="24.95" customHeight="1">
      <c r="A207" s="260" t="str">
        <f>+Pobl_adoptada!A47</f>
        <v>Capitán Sarmiento</v>
      </c>
      <c r="B207" s="70">
        <f>+Pobl_adoptada!B47</f>
        <v>43</v>
      </c>
      <c r="C207" s="71" t="str">
        <f>+Pobl_adoptada!C47</f>
        <v>Capitán Sarmiento</v>
      </c>
      <c r="D207" s="348">
        <v>0.75</v>
      </c>
      <c r="E207" s="278"/>
      <c r="F207" s="263"/>
      <c r="G207" s="322">
        <f t="shared" ref="G207:Z207" si="48">+G47*365/$D207</f>
        <v>8155.5961301333327</v>
      </c>
      <c r="H207" s="322">
        <f t="shared" si="48"/>
        <v>7782.5956416000008</v>
      </c>
      <c r="I207" s="322">
        <f t="shared" si="48"/>
        <v>7399.1375040000021</v>
      </c>
      <c r="J207" s="322">
        <f t="shared" si="48"/>
        <v>6801.1861333333327</v>
      </c>
      <c r="K207" s="322">
        <f t="shared" si="48"/>
        <v>6188.2952640000003</v>
      </c>
      <c r="L207" s="322">
        <f t="shared" si="48"/>
        <v>6255.523008000001</v>
      </c>
      <c r="M207" s="322">
        <f t="shared" si="48"/>
        <v>6322.7507520000008</v>
      </c>
      <c r="N207" s="322">
        <f t="shared" si="48"/>
        <v>6390.3499199999997</v>
      </c>
      <c r="O207" s="322">
        <f t="shared" si="48"/>
        <v>6457.5776639999995</v>
      </c>
      <c r="P207" s="322">
        <f t="shared" si="48"/>
        <v>6524.8054080000002</v>
      </c>
      <c r="Q207" s="322">
        <f t="shared" si="48"/>
        <v>6592.033152</v>
      </c>
      <c r="R207" s="322">
        <f t="shared" si="48"/>
        <v>6659.2608960000007</v>
      </c>
      <c r="S207" s="322">
        <f t="shared" si="48"/>
        <v>6726.4886400000005</v>
      </c>
      <c r="T207" s="322">
        <f t="shared" si="48"/>
        <v>6793.7163840000003</v>
      </c>
      <c r="U207" s="322">
        <f t="shared" si="48"/>
        <v>6860.9441280000001</v>
      </c>
      <c r="V207" s="322">
        <f t="shared" si="48"/>
        <v>6928.1718719999999</v>
      </c>
      <c r="W207" s="322">
        <f t="shared" si="48"/>
        <v>6995.7710400000024</v>
      </c>
      <c r="X207" s="322">
        <f t="shared" si="48"/>
        <v>7062.9987840000003</v>
      </c>
      <c r="Y207" s="322">
        <f t="shared" si="48"/>
        <v>7130.2265279999992</v>
      </c>
      <c r="Z207" s="322">
        <f t="shared" si="48"/>
        <v>7197.4542720000018</v>
      </c>
      <c r="AA207" s="343">
        <f t="shared" si="7"/>
        <v>6861.2441560533334</v>
      </c>
    </row>
    <row r="208" spans="1:27" ht="24.95" customHeight="1">
      <c r="A208" s="260" t="str">
        <f>+Pobl_adoptada!A48</f>
        <v>Carlos Casares</v>
      </c>
      <c r="B208" s="70">
        <f>+Pobl_adoptada!B48</f>
        <v>44</v>
      </c>
      <c r="C208" s="71" t="str">
        <f>+Pobl_adoptada!C48</f>
        <v>Carlos Casares</v>
      </c>
      <c r="D208" s="348">
        <v>0.75</v>
      </c>
      <c r="E208" s="278"/>
      <c r="F208" s="263"/>
      <c r="G208" s="322">
        <f t="shared" ref="G208:Z208" si="49">+G48*365/$D208</f>
        <v>10579.707246933334</v>
      </c>
      <c r="H208" s="322">
        <f t="shared" si="49"/>
        <v>10057.307644800001</v>
      </c>
      <c r="I208" s="322">
        <f t="shared" si="49"/>
        <v>9526.4065600000013</v>
      </c>
      <c r="J208" s="322">
        <f t="shared" si="49"/>
        <v>8725.1624533333343</v>
      </c>
      <c r="K208" s="322">
        <f t="shared" si="49"/>
        <v>7911.7026240000014</v>
      </c>
      <c r="L208" s="322">
        <f t="shared" si="49"/>
        <v>7970.7590400000008</v>
      </c>
      <c r="M208" s="322">
        <f t="shared" si="49"/>
        <v>8030.558304000001</v>
      </c>
      <c r="N208" s="322">
        <f t="shared" si="49"/>
        <v>8090.7289919999994</v>
      </c>
      <c r="O208" s="322">
        <f t="shared" si="49"/>
        <v>8151.2711040000022</v>
      </c>
      <c r="P208" s="322">
        <f t="shared" si="49"/>
        <v>8212.5560640000003</v>
      </c>
      <c r="Q208" s="322">
        <f t="shared" si="49"/>
        <v>8273.8410240000012</v>
      </c>
      <c r="R208" s="322">
        <f t="shared" si="49"/>
        <v>8335.8688320000019</v>
      </c>
      <c r="S208" s="322">
        <f t="shared" si="49"/>
        <v>8398.6394879999989</v>
      </c>
      <c r="T208" s="322">
        <f t="shared" si="49"/>
        <v>8461.4101439999995</v>
      </c>
      <c r="U208" s="322">
        <f t="shared" si="49"/>
        <v>8524.9236480000018</v>
      </c>
      <c r="V208" s="322">
        <f t="shared" si="49"/>
        <v>8588.8085760000013</v>
      </c>
      <c r="W208" s="322">
        <f t="shared" si="49"/>
        <v>8653.0649280000016</v>
      </c>
      <c r="X208" s="322">
        <f t="shared" si="49"/>
        <v>8717.6927040000028</v>
      </c>
      <c r="Y208" s="322">
        <f t="shared" si="49"/>
        <v>8783.0633280000002</v>
      </c>
      <c r="Z208" s="322">
        <f t="shared" si="49"/>
        <v>8848.8053760000003</v>
      </c>
      <c r="AA208" s="343">
        <f t="shared" si="7"/>
        <v>8642.1139040533344</v>
      </c>
    </row>
    <row r="209" spans="1:27" ht="24.95" customHeight="1">
      <c r="A209" s="260" t="str">
        <f>+Pobl_adoptada!A49</f>
        <v>Carlos Tejedor</v>
      </c>
      <c r="B209" s="70">
        <f>+Pobl_adoptada!B49</f>
        <v>45</v>
      </c>
      <c r="C209" s="71" t="str">
        <f>+Pobl_adoptada!C49</f>
        <v>Carlos Tejedor</v>
      </c>
      <c r="D209" s="348">
        <v>0.75</v>
      </c>
      <c r="E209" s="278"/>
      <c r="F209" s="263"/>
      <c r="G209" s="322">
        <f t="shared" ref="G209:Z209" si="50">+G49*365/$D209</f>
        <v>2463.7081855999995</v>
      </c>
      <c r="H209" s="322">
        <f t="shared" si="50"/>
        <v>2333.0094527999995</v>
      </c>
      <c r="I209" s="322">
        <f t="shared" si="50"/>
        <v>2201.7018026666669</v>
      </c>
      <c r="J209" s="322">
        <f t="shared" si="50"/>
        <v>2008.7108266666671</v>
      </c>
      <c r="K209" s="322">
        <f t="shared" si="50"/>
        <v>1814.287104</v>
      </c>
      <c r="L209" s="322">
        <f t="shared" si="50"/>
        <v>1820.7344640000001</v>
      </c>
      <c r="M209" s="322">
        <f t="shared" si="50"/>
        <v>1827.181824</v>
      </c>
      <c r="N209" s="322">
        <f t="shared" si="50"/>
        <v>1833.9515520000002</v>
      </c>
      <c r="O209" s="322">
        <f t="shared" si="50"/>
        <v>1840.3989120000003</v>
      </c>
      <c r="P209" s="322">
        <f t="shared" si="50"/>
        <v>1846.846272</v>
      </c>
      <c r="Q209" s="322">
        <f t="shared" si="50"/>
        <v>1853.2936320000001</v>
      </c>
      <c r="R209" s="322">
        <f t="shared" si="50"/>
        <v>1860.0633600000003</v>
      </c>
      <c r="S209" s="322">
        <f t="shared" si="50"/>
        <v>1866.5107200000002</v>
      </c>
      <c r="T209" s="322">
        <f t="shared" si="50"/>
        <v>1872.9580800000001</v>
      </c>
      <c r="U209" s="322">
        <f t="shared" si="50"/>
        <v>1879.4054400000002</v>
      </c>
      <c r="V209" s="322">
        <f t="shared" si="50"/>
        <v>1886.1751680000004</v>
      </c>
      <c r="W209" s="322">
        <f t="shared" si="50"/>
        <v>1892.6225280000001</v>
      </c>
      <c r="X209" s="322">
        <f t="shared" si="50"/>
        <v>1899.069888</v>
      </c>
      <c r="Y209" s="322">
        <f t="shared" si="50"/>
        <v>1905.5172480000001</v>
      </c>
      <c r="Z209" s="322">
        <f t="shared" si="50"/>
        <v>1912.2869760000001</v>
      </c>
      <c r="AA209" s="343">
        <f t="shared" si="7"/>
        <v>1940.9216717866664</v>
      </c>
    </row>
    <row r="210" spans="1:27" ht="24.95" customHeight="1">
      <c r="A210" s="260" t="str">
        <f>+Pobl_adoptada!A50</f>
        <v>Carmen de Areco</v>
      </c>
      <c r="B210" s="70">
        <f>+Pobl_adoptada!B50</f>
        <v>46</v>
      </c>
      <c r="C210" s="71" t="str">
        <f>+Pobl_adoptada!C50</f>
        <v>Carmen de Areco</v>
      </c>
      <c r="D210" s="348">
        <v>0.75</v>
      </c>
      <c r="E210" s="278"/>
      <c r="F210" s="263"/>
      <c r="G210" s="322">
        <f t="shared" ref="G210:Z210" si="51">+G50*365/$D210</f>
        <v>8052.7364437333345</v>
      </c>
      <c r="H210" s="322">
        <f t="shared" si="51"/>
        <v>7679.7483359999997</v>
      </c>
      <c r="I210" s="322">
        <f t="shared" si="51"/>
        <v>7296.9959040000003</v>
      </c>
      <c r="J210" s="322">
        <f t="shared" si="51"/>
        <v>6702.9651199999998</v>
      </c>
      <c r="K210" s="322">
        <f t="shared" si="51"/>
        <v>6095.4392640000005</v>
      </c>
      <c r="L210" s="322">
        <f t="shared" si="51"/>
        <v>6158.2099200000002</v>
      </c>
      <c r="M210" s="322">
        <f t="shared" si="51"/>
        <v>6220.9805760000008</v>
      </c>
      <c r="N210" s="322">
        <f t="shared" si="51"/>
        <v>6283.7512319999996</v>
      </c>
      <c r="O210" s="322">
        <f t="shared" si="51"/>
        <v>6346.5218880000002</v>
      </c>
      <c r="P210" s="322">
        <f t="shared" si="51"/>
        <v>6408.9211199999991</v>
      </c>
      <c r="Q210" s="322">
        <f t="shared" si="51"/>
        <v>6471.6917760000006</v>
      </c>
      <c r="R210" s="322">
        <f t="shared" si="51"/>
        <v>6534.4624320000012</v>
      </c>
      <c r="S210" s="322">
        <f t="shared" si="51"/>
        <v>6597.2330880000009</v>
      </c>
      <c r="T210" s="322">
        <f t="shared" si="51"/>
        <v>6660.0037440000006</v>
      </c>
      <c r="U210" s="322">
        <f t="shared" si="51"/>
        <v>6722.7743999999993</v>
      </c>
      <c r="V210" s="322">
        <f t="shared" si="51"/>
        <v>6785.5450559999999</v>
      </c>
      <c r="W210" s="322">
        <f t="shared" si="51"/>
        <v>6847.9442880000015</v>
      </c>
      <c r="X210" s="322">
        <f t="shared" si="51"/>
        <v>6910.7149440000003</v>
      </c>
      <c r="Y210" s="322">
        <f t="shared" si="51"/>
        <v>6973.4856</v>
      </c>
      <c r="Z210" s="322">
        <f t="shared" si="51"/>
        <v>7036.2562560000006</v>
      </c>
      <c r="AA210" s="343">
        <f t="shared" si="7"/>
        <v>6739.3190693866682</v>
      </c>
    </row>
    <row r="211" spans="1:27" ht="24.95" customHeight="1">
      <c r="A211" s="260" t="str">
        <f>+Pobl_adoptada!A51</f>
        <v>Castelli</v>
      </c>
      <c r="B211" s="70">
        <f>+Pobl_adoptada!B51</f>
        <v>47</v>
      </c>
      <c r="C211" s="71" t="str">
        <f>+Pobl_adoptada!C51</f>
        <v>Castelli</v>
      </c>
      <c r="D211" s="348">
        <v>0.75</v>
      </c>
      <c r="E211" s="278"/>
      <c r="F211" s="263"/>
      <c r="G211" s="322">
        <f t="shared" ref="G211:Z211" si="52">+G51*365/$D211</f>
        <v>4125.7229738666674</v>
      </c>
      <c r="H211" s="322">
        <f t="shared" si="52"/>
        <v>3963.2244288000002</v>
      </c>
      <c r="I211" s="322">
        <f t="shared" si="52"/>
        <v>3792.6953386666664</v>
      </c>
      <c r="J211" s="322">
        <f t="shared" si="52"/>
        <v>3508.0802133333327</v>
      </c>
      <c r="K211" s="322">
        <f t="shared" si="52"/>
        <v>3211.4300160000007</v>
      </c>
      <c r="L211" s="322">
        <f t="shared" si="52"/>
        <v>3278.1601919999998</v>
      </c>
      <c r="M211" s="322">
        <f t="shared" si="52"/>
        <v>3344.5679999999998</v>
      </c>
      <c r="N211" s="322">
        <f t="shared" si="52"/>
        <v>3411.2981760000002</v>
      </c>
      <c r="O211" s="322">
        <f t="shared" si="52"/>
        <v>3477.7059840000002</v>
      </c>
      <c r="P211" s="322">
        <f t="shared" si="52"/>
        <v>3544.4361599999997</v>
      </c>
      <c r="Q211" s="322">
        <f t="shared" si="52"/>
        <v>3610.8439679999997</v>
      </c>
      <c r="R211" s="322">
        <f t="shared" si="52"/>
        <v>3677.5741440000002</v>
      </c>
      <c r="S211" s="322">
        <f t="shared" si="52"/>
        <v>3743.9819520000005</v>
      </c>
      <c r="T211" s="322">
        <f t="shared" si="52"/>
        <v>3810.38976</v>
      </c>
      <c r="U211" s="322">
        <f t="shared" si="52"/>
        <v>3877.1199360000005</v>
      </c>
      <c r="V211" s="322">
        <f t="shared" si="52"/>
        <v>3943.5277439999995</v>
      </c>
      <c r="W211" s="322">
        <f t="shared" si="52"/>
        <v>4010.25792</v>
      </c>
      <c r="X211" s="322">
        <f t="shared" si="52"/>
        <v>4076.6657279999999</v>
      </c>
      <c r="Y211" s="322">
        <f t="shared" si="52"/>
        <v>4143.395904</v>
      </c>
      <c r="Z211" s="322">
        <f t="shared" si="52"/>
        <v>4209.8037120000008</v>
      </c>
      <c r="AA211" s="343">
        <f t="shared" si="7"/>
        <v>3738.0441125333336</v>
      </c>
    </row>
    <row r="212" spans="1:27" ht="24.95" customHeight="1">
      <c r="A212" s="260" t="str">
        <f>+Pobl_adoptada!A52</f>
        <v>Chacabuco</v>
      </c>
      <c r="B212" s="70">
        <f>+Pobl_adoptada!B52</f>
        <v>48</v>
      </c>
      <c r="C212" s="71" t="str">
        <f>+Pobl_adoptada!C52</f>
        <v>Chacabuco</v>
      </c>
      <c r="D212" s="348">
        <v>0.75</v>
      </c>
      <c r="E212" s="278"/>
      <c r="F212" s="263"/>
      <c r="G212" s="322">
        <f t="shared" ref="G212:Z212" si="53">+G52*365/$D212</f>
        <v>23110.166357333335</v>
      </c>
      <c r="H212" s="322">
        <f t="shared" si="53"/>
        <v>22006.426291200001</v>
      </c>
      <c r="I212" s="322">
        <f t="shared" si="53"/>
        <v>20878.197002666668</v>
      </c>
      <c r="J212" s="322">
        <f t="shared" si="53"/>
        <v>19151.859520000002</v>
      </c>
      <c r="K212" s="322">
        <f t="shared" si="53"/>
        <v>17390.814528000003</v>
      </c>
      <c r="L212" s="322">
        <f t="shared" si="53"/>
        <v>17544.955488000003</v>
      </c>
      <c r="M212" s="322">
        <f t="shared" si="53"/>
        <v>17699.467872000001</v>
      </c>
      <c r="N212" s="322">
        <f t="shared" si="53"/>
        <v>17853.608832000002</v>
      </c>
      <c r="O212" s="322">
        <f t="shared" si="53"/>
        <v>18008.121216</v>
      </c>
      <c r="P212" s="322">
        <f t="shared" si="53"/>
        <v>18162.262176</v>
      </c>
      <c r="Q212" s="322">
        <f t="shared" si="53"/>
        <v>18316.403136000004</v>
      </c>
      <c r="R212" s="322">
        <f t="shared" si="53"/>
        <v>18470.915519999999</v>
      </c>
      <c r="S212" s="322">
        <f t="shared" si="53"/>
        <v>18625.056480000003</v>
      </c>
      <c r="T212" s="322">
        <f t="shared" si="53"/>
        <v>18779.568864000001</v>
      </c>
      <c r="U212" s="322">
        <f t="shared" si="53"/>
        <v>18933.709824000001</v>
      </c>
      <c r="V212" s="322">
        <f t="shared" si="53"/>
        <v>19087.850784000002</v>
      </c>
      <c r="W212" s="322">
        <f t="shared" si="53"/>
        <v>19242.363168</v>
      </c>
      <c r="X212" s="322">
        <f t="shared" si="53"/>
        <v>19396.504128</v>
      </c>
      <c r="Y212" s="322">
        <f t="shared" si="53"/>
        <v>19551.016511999998</v>
      </c>
      <c r="Z212" s="322">
        <f t="shared" si="53"/>
        <v>19705.157471999999</v>
      </c>
      <c r="AA212" s="343">
        <f t="shared" si="7"/>
        <v>19095.721258560003</v>
      </c>
    </row>
    <row r="213" spans="1:27" ht="24.95" customHeight="1">
      <c r="A213" s="260" t="str">
        <f>+Pobl_adoptada!A53</f>
        <v>Chascomús</v>
      </c>
      <c r="B213" s="70">
        <f>+Pobl_adoptada!B53</f>
        <v>49</v>
      </c>
      <c r="C213" s="71" t="str">
        <f>+Pobl_adoptada!C53</f>
        <v>Chascomús</v>
      </c>
      <c r="D213" s="348">
        <v>0.75</v>
      </c>
      <c r="E213" s="278"/>
      <c r="F213" s="263"/>
      <c r="G213" s="322">
        <f t="shared" ref="G213:Z213" si="54">+G53*365/$D213</f>
        <v>20234.189056000003</v>
      </c>
      <c r="H213" s="322">
        <f t="shared" si="54"/>
        <v>19287.0083328</v>
      </c>
      <c r="I213" s="322">
        <f t="shared" si="54"/>
        <v>18318.301525333336</v>
      </c>
      <c r="J213" s="322">
        <f t="shared" si="54"/>
        <v>16823.031040000002</v>
      </c>
      <c r="K213" s="322">
        <f t="shared" si="54"/>
        <v>15295.240320000003</v>
      </c>
      <c r="L213" s="322">
        <f t="shared" si="54"/>
        <v>15451.609824000005</v>
      </c>
      <c r="M213" s="322">
        <f t="shared" si="54"/>
        <v>15609.465024000003</v>
      </c>
      <c r="N213" s="322">
        <f t="shared" si="54"/>
        <v>15768.805920000001</v>
      </c>
      <c r="O213" s="322">
        <f t="shared" si="54"/>
        <v>15929.632511999998</v>
      </c>
      <c r="P213" s="322">
        <f t="shared" si="54"/>
        <v>16092.316224000002</v>
      </c>
      <c r="Q213" s="322">
        <f t="shared" si="54"/>
        <v>16256.857056000001</v>
      </c>
      <c r="R213" s="322">
        <f t="shared" si="54"/>
        <v>16422.883583999999</v>
      </c>
      <c r="S213" s="322">
        <f t="shared" si="54"/>
        <v>16590.395808000001</v>
      </c>
      <c r="T213" s="322">
        <f t="shared" si="54"/>
        <v>16760.136576000001</v>
      </c>
      <c r="U213" s="322">
        <f t="shared" si="54"/>
        <v>16930.991615999999</v>
      </c>
      <c r="V213" s="322">
        <f t="shared" si="54"/>
        <v>17104.075200000003</v>
      </c>
      <c r="W213" s="322">
        <f t="shared" si="54"/>
        <v>17278.644480000006</v>
      </c>
      <c r="X213" s="322">
        <f t="shared" si="54"/>
        <v>17455.070880000003</v>
      </c>
      <c r="Y213" s="322">
        <f t="shared" si="54"/>
        <v>17633.3544</v>
      </c>
      <c r="Z213" s="322">
        <f t="shared" si="54"/>
        <v>17813.495040000005</v>
      </c>
      <c r="AA213" s="343">
        <f t="shared" si="7"/>
        <v>16952.775220906675</v>
      </c>
    </row>
    <row r="214" spans="1:27" ht="24.95" customHeight="1">
      <c r="A214" s="260" t="str">
        <f>+Pobl_adoptada!A54</f>
        <v>Chivilcoy</v>
      </c>
      <c r="B214" s="70">
        <f>+Pobl_adoptada!B54</f>
        <v>50</v>
      </c>
      <c r="C214" s="71" t="str">
        <f>+Pobl_adoptada!C54</f>
        <v>Chivilcoy</v>
      </c>
      <c r="D214" s="348">
        <v>0.75</v>
      </c>
      <c r="E214" s="278"/>
      <c r="F214" s="263"/>
      <c r="G214" s="322">
        <f t="shared" ref="G214:Z214" si="55">+G54*365/$D214</f>
        <v>32935.115430400001</v>
      </c>
      <c r="H214" s="322">
        <f t="shared" si="55"/>
        <v>31332.351024</v>
      </c>
      <c r="I214" s="322">
        <f t="shared" si="55"/>
        <v>29698.460351999998</v>
      </c>
      <c r="J214" s="322">
        <f t="shared" si="55"/>
        <v>27217.413440000004</v>
      </c>
      <c r="K214" s="322">
        <f t="shared" si="55"/>
        <v>24692.603904</v>
      </c>
      <c r="L214" s="322">
        <f t="shared" si="55"/>
        <v>24889.535711999997</v>
      </c>
      <c r="M214" s="322">
        <f t="shared" si="55"/>
        <v>25086.467520000006</v>
      </c>
      <c r="N214" s="322">
        <f t="shared" si="55"/>
        <v>25283.756735999999</v>
      </c>
      <c r="O214" s="322">
        <f t="shared" si="55"/>
        <v>25480.688544000004</v>
      </c>
      <c r="P214" s="322">
        <f t="shared" si="55"/>
        <v>25677.620352000002</v>
      </c>
      <c r="Q214" s="322">
        <f t="shared" si="55"/>
        <v>25874.552160000003</v>
      </c>
      <c r="R214" s="322">
        <f t="shared" si="55"/>
        <v>26071.483968</v>
      </c>
      <c r="S214" s="322">
        <f t="shared" si="55"/>
        <v>26268.415776000005</v>
      </c>
      <c r="T214" s="322">
        <f t="shared" si="55"/>
        <v>26465.704991999999</v>
      </c>
      <c r="U214" s="322">
        <f t="shared" si="55"/>
        <v>26662.636799999997</v>
      </c>
      <c r="V214" s="322">
        <f t="shared" si="55"/>
        <v>26859.568608000001</v>
      </c>
      <c r="W214" s="322">
        <f t="shared" si="55"/>
        <v>27056.500415999999</v>
      </c>
      <c r="X214" s="322">
        <f t="shared" si="55"/>
        <v>27253.432224</v>
      </c>
      <c r="Y214" s="322">
        <f t="shared" si="55"/>
        <v>27450.364031999998</v>
      </c>
      <c r="Z214" s="322">
        <f t="shared" si="55"/>
        <v>27647.653248000002</v>
      </c>
      <c r="AA214" s="343">
        <f t="shared" si="7"/>
        <v>26995.216261920003</v>
      </c>
    </row>
    <row r="215" spans="1:27" ht="24.95" customHeight="1">
      <c r="A215" s="260" t="str">
        <f>+Pobl_adoptada!A55</f>
        <v>Colón</v>
      </c>
      <c r="B215" s="70">
        <f>+Pobl_adoptada!B55</f>
        <v>51</v>
      </c>
      <c r="C215" s="71" t="str">
        <f>+Pobl_adoptada!C55</f>
        <v>Colón</v>
      </c>
      <c r="D215" s="348">
        <v>0.75</v>
      </c>
      <c r="E215" s="278"/>
      <c r="F215" s="263"/>
      <c r="G215" s="322">
        <f t="shared" ref="G215:Z215" si="56">+G55*365/$D215</f>
        <v>13719.742250666668</v>
      </c>
      <c r="H215" s="322">
        <f t="shared" si="56"/>
        <v>13062.5735136</v>
      </c>
      <c r="I215" s="322">
        <f t="shared" si="56"/>
        <v>12392.272874666667</v>
      </c>
      <c r="J215" s="322">
        <f t="shared" si="56"/>
        <v>11368.050560000001</v>
      </c>
      <c r="K215" s="322">
        <f t="shared" si="56"/>
        <v>10323.730080000001</v>
      </c>
      <c r="L215" s="322">
        <f t="shared" si="56"/>
        <v>10417.328928000001</v>
      </c>
      <c r="M215" s="322">
        <f t="shared" si="56"/>
        <v>10512.042048000001</v>
      </c>
      <c r="N215" s="322">
        <f t="shared" si="56"/>
        <v>10607.126592000001</v>
      </c>
      <c r="O215" s="322">
        <f t="shared" si="56"/>
        <v>10703.325408000001</v>
      </c>
      <c r="P215" s="322">
        <f t="shared" si="56"/>
        <v>10800.267072000001</v>
      </c>
      <c r="Q215" s="322">
        <f t="shared" si="56"/>
        <v>10898.323008000001</v>
      </c>
      <c r="R215" s="322">
        <f t="shared" si="56"/>
        <v>10997.121792</v>
      </c>
      <c r="S215" s="322">
        <f t="shared" si="56"/>
        <v>11096.663424</v>
      </c>
      <c r="T215" s="322">
        <f t="shared" si="56"/>
        <v>11197.319328000003</v>
      </c>
      <c r="U215" s="322">
        <f t="shared" si="56"/>
        <v>11298.718080000001</v>
      </c>
      <c r="V215" s="322">
        <f t="shared" si="56"/>
        <v>11401.231103999999</v>
      </c>
      <c r="W215" s="322">
        <f t="shared" si="56"/>
        <v>11504.486976000002</v>
      </c>
      <c r="X215" s="322">
        <f t="shared" si="56"/>
        <v>11608.857120000002</v>
      </c>
      <c r="Y215" s="322">
        <f t="shared" si="56"/>
        <v>11713.970112000001</v>
      </c>
      <c r="Z215" s="322">
        <f t="shared" si="56"/>
        <v>11820.197376000002</v>
      </c>
      <c r="AA215" s="343">
        <f t="shared" si="7"/>
        <v>11372.16738234667</v>
      </c>
    </row>
    <row r="216" spans="1:27" ht="24.95" customHeight="1">
      <c r="A216" s="260" t="str">
        <f>+Pobl_adoptada!A56</f>
        <v>Coronel de Marina L. Rosales</v>
      </c>
      <c r="B216" s="70">
        <f>+Pobl_adoptada!B56</f>
        <v>52</v>
      </c>
      <c r="C216" s="71" t="str">
        <f>+Pobl_adoptada!C56</f>
        <v>Punta Alta</v>
      </c>
      <c r="D216" s="348">
        <v>0.75</v>
      </c>
      <c r="E216" s="278"/>
      <c r="F216" s="263"/>
      <c r="G216" s="322">
        <f t="shared" ref="G216:Z216" si="57">+G56*365/$D216</f>
        <v>30258.272473599998</v>
      </c>
      <c r="H216" s="322">
        <f t="shared" si="57"/>
        <v>28654.221398400001</v>
      </c>
      <c r="I216" s="322">
        <f t="shared" si="57"/>
        <v>27039.463967999996</v>
      </c>
      <c r="J216" s="322">
        <f t="shared" si="57"/>
        <v>24673.065599999998</v>
      </c>
      <c r="K216" s="322">
        <f t="shared" si="57"/>
        <v>22289.749920000002</v>
      </c>
      <c r="L216" s="322">
        <f t="shared" si="57"/>
        <v>22375.170431999995</v>
      </c>
      <c r="M216" s="322">
        <f t="shared" si="57"/>
        <v>22462.020575999999</v>
      </c>
      <c r="N216" s="322">
        <f t="shared" si="57"/>
        <v>22550.300352000002</v>
      </c>
      <c r="O216" s="322">
        <f t="shared" si="57"/>
        <v>22640.009760000001</v>
      </c>
      <c r="P216" s="322">
        <f t="shared" si="57"/>
        <v>22730.791392000003</v>
      </c>
      <c r="Q216" s="322">
        <f t="shared" si="57"/>
        <v>22823.717472</v>
      </c>
      <c r="R216" s="322">
        <f t="shared" si="57"/>
        <v>22917.715776000001</v>
      </c>
      <c r="S216" s="322">
        <f t="shared" si="57"/>
        <v>23013.501120000001</v>
      </c>
      <c r="T216" s="322">
        <f t="shared" si="57"/>
        <v>23110.716096</v>
      </c>
      <c r="U216" s="322">
        <f t="shared" si="57"/>
        <v>23209.360704000002</v>
      </c>
      <c r="V216" s="322">
        <f t="shared" si="57"/>
        <v>23309.792352</v>
      </c>
      <c r="W216" s="322">
        <f t="shared" si="57"/>
        <v>23411.653632000001</v>
      </c>
      <c r="X216" s="322">
        <f t="shared" si="57"/>
        <v>23515.659360000001</v>
      </c>
      <c r="Y216" s="322">
        <f t="shared" si="57"/>
        <v>23620.737312000001</v>
      </c>
      <c r="Z216" s="322">
        <f t="shared" si="57"/>
        <v>23727.959712</v>
      </c>
      <c r="AA216" s="343">
        <f t="shared" si="7"/>
        <v>23916.6939704</v>
      </c>
    </row>
    <row r="217" spans="1:27" ht="24.95" customHeight="1">
      <c r="A217" s="260" t="str">
        <f>+Pobl_adoptada!A57</f>
        <v>Coronel Dorrego</v>
      </c>
      <c r="B217" s="70">
        <f>+Pobl_adoptada!B57</f>
        <v>53</v>
      </c>
      <c r="C217" s="71" t="str">
        <f>+Pobl_adoptada!C57</f>
        <v>Coronel Dorrego</v>
      </c>
      <c r="D217" s="348">
        <v>0.75</v>
      </c>
      <c r="E217" s="278"/>
      <c r="F217" s="263"/>
      <c r="G217" s="322">
        <f t="shared" ref="G217:Z217" si="58">+G57*365/$D217</f>
        <v>5176.5853440000001</v>
      </c>
      <c r="H217" s="322">
        <f t="shared" si="58"/>
        <v>4886.4541440000003</v>
      </c>
      <c r="I217" s="322">
        <f t="shared" si="58"/>
        <v>4596.0722133333338</v>
      </c>
      <c r="J217" s="322">
        <f t="shared" si="58"/>
        <v>4180.0383999999995</v>
      </c>
      <c r="K217" s="322">
        <f t="shared" si="58"/>
        <v>3763.9687680000002</v>
      </c>
      <c r="L217" s="322">
        <f t="shared" si="58"/>
        <v>3765.5806080000002</v>
      </c>
      <c r="M217" s="322">
        <f t="shared" si="58"/>
        <v>3767.1924480000002</v>
      </c>
      <c r="N217" s="322">
        <f t="shared" si="58"/>
        <v>3768.8042880000007</v>
      </c>
      <c r="O217" s="322">
        <f t="shared" si="58"/>
        <v>3770.4161280000003</v>
      </c>
      <c r="P217" s="322">
        <f t="shared" si="58"/>
        <v>3772.0279680000003</v>
      </c>
      <c r="Q217" s="322">
        <f t="shared" si="58"/>
        <v>3773.9621760000005</v>
      </c>
      <c r="R217" s="322">
        <f t="shared" si="58"/>
        <v>3775.574016</v>
      </c>
      <c r="S217" s="322">
        <f t="shared" si="58"/>
        <v>3777.1858560000005</v>
      </c>
      <c r="T217" s="322">
        <f t="shared" si="58"/>
        <v>3778.797696000001</v>
      </c>
      <c r="U217" s="322">
        <f t="shared" si="58"/>
        <v>3780.4095359999997</v>
      </c>
      <c r="V217" s="322">
        <f t="shared" si="58"/>
        <v>3782.3437440000002</v>
      </c>
      <c r="W217" s="322">
        <f t="shared" si="58"/>
        <v>3783.9555840000007</v>
      </c>
      <c r="X217" s="322">
        <f t="shared" si="58"/>
        <v>3785.5674240000008</v>
      </c>
      <c r="Y217" s="322">
        <f t="shared" si="58"/>
        <v>3787.1792639999999</v>
      </c>
      <c r="Z217" s="322">
        <f t="shared" si="58"/>
        <v>3788.7911040000004</v>
      </c>
      <c r="AA217" s="343">
        <f t="shared" si="7"/>
        <v>3963.0453354666679</v>
      </c>
    </row>
    <row r="218" spans="1:27" ht="24.95" customHeight="1">
      <c r="A218" s="260" t="str">
        <f>+Pobl_adoptada!A58</f>
        <v>Coronel Pringles</v>
      </c>
      <c r="B218" s="70">
        <f>+Pobl_adoptada!B58</f>
        <v>54</v>
      </c>
      <c r="C218" s="71" t="str">
        <f>+Pobl_adoptada!C58</f>
        <v>Coronel Pringles</v>
      </c>
      <c r="D218" s="348">
        <v>0.75</v>
      </c>
      <c r="E218" s="278"/>
      <c r="F218" s="263"/>
      <c r="G218" s="322">
        <f t="shared" ref="G218:Z218" si="59">+G58*365/$D218</f>
        <v>11128.292241066667</v>
      </c>
      <c r="H218" s="322">
        <f t="shared" si="59"/>
        <v>10600.515244800001</v>
      </c>
      <c r="I218" s="322">
        <f t="shared" si="59"/>
        <v>10060.266655999998</v>
      </c>
      <c r="J218" s="322">
        <f t="shared" si="59"/>
        <v>9231.5371733333322</v>
      </c>
      <c r="K218" s="322">
        <f t="shared" si="59"/>
        <v>8385.2682239999995</v>
      </c>
      <c r="L218" s="322">
        <f t="shared" si="59"/>
        <v>8496.6954240000014</v>
      </c>
      <c r="M218" s="322">
        <f t="shared" si="59"/>
        <v>8608.1226240000015</v>
      </c>
      <c r="N218" s="322">
        <f t="shared" si="59"/>
        <v>8719.5498239999997</v>
      </c>
      <c r="O218" s="322">
        <f t="shared" si="59"/>
        <v>8830.6056000000008</v>
      </c>
      <c r="P218" s="322">
        <f t="shared" si="59"/>
        <v>8942.0328000000009</v>
      </c>
      <c r="Q218" s="322">
        <f t="shared" si="59"/>
        <v>9053.4600000000009</v>
      </c>
      <c r="R218" s="322">
        <f t="shared" si="59"/>
        <v>9164.8871999999992</v>
      </c>
      <c r="S218" s="322">
        <f t="shared" si="59"/>
        <v>9276.3144000000011</v>
      </c>
      <c r="T218" s="322">
        <f t="shared" si="59"/>
        <v>9387.3701760000022</v>
      </c>
      <c r="U218" s="322">
        <f t="shared" si="59"/>
        <v>9498.7973760000004</v>
      </c>
      <c r="V218" s="322">
        <f t="shared" si="59"/>
        <v>9610.2245760000023</v>
      </c>
      <c r="W218" s="322">
        <f t="shared" si="59"/>
        <v>9721.6517760000024</v>
      </c>
      <c r="X218" s="322">
        <f t="shared" si="59"/>
        <v>9833.0789760000007</v>
      </c>
      <c r="Y218" s="322">
        <f t="shared" si="59"/>
        <v>9944.1347519999999</v>
      </c>
      <c r="Z218" s="322">
        <f t="shared" si="59"/>
        <v>10055.561952000002</v>
      </c>
      <c r="AA218" s="343">
        <f t="shared" si="7"/>
        <v>9427.4183497599988</v>
      </c>
    </row>
    <row r="219" spans="1:27" ht="24.95" customHeight="1">
      <c r="A219" s="260" t="str">
        <f>+Pobl_adoptada!A59</f>
        <v>Coronel Suárez</v>
      </c>
      <c r="B219" s="70">
        <f>+Pobl_adoptada!B59</f>
        <v>55</v>
      </c>
      <c r="C219" s="71" t="str">
        <f>+Pobl_adoptada!C59</f>
        <v>Coronel Suárez</v>
      </c>
      <c r="D219" s="348">
        <v>0.75</v>
      </c>
      <c r="E219" s="278"/>
      <c r="F219" s="263"/>
      <c r="G219" s="322">
        <f t="shared" ref="G219:Z219" si="60">+G59*365/$D219</f>
        <v>13980.729514666666</v>
      </c>
      <c r="H219" s="322">
        <f t="shared" si="60"/>
        <v>13347.455721600001</v>
      </c>
      <c r="I219" s="322">
        <f t="shared" si="60"/>
        <v>12695.519936000002</v>
      </c>
      <c r="J219" s="322">
        <f t="shared" si="60"/>
        <v>11674.681706666668</v>
      </c>
      <c r="K219" s="322">
        <f t="shared" si="60"/>
        <v>10627.183487999999</v>
      </c>
      <c r="L219" s="322">
        <f t="shared" si="60"/>
        <v>10785.781536</v>
      </c>
      <c r="M219" s="322">
        <f t="shared" si="60"/>
        <v>10944.379584000002</v>
      </c>
      <c r="N219" s="322">
        <f t="shared" si="60"/>
        <v>11102.977632000002</v>
      </c>
      <c r="O219" s="322">
        <f t="shared" si="60"/>
        <v>11261.575680000002</v>
      </c>
      <c r="P219" s="322">
        <f t="shared" si="60"/>
        <v>11420.173728000002</v>
      </c>
      <c r="Q219" s="322">
        <f t="shared" si="60"/>
        <v>11578.771776000001</v>
      </c>
      <c r="R219" s="322">
        <f t="shared" si="60"/>
        <v>11737.741248</v>
      </c>
      <c r="S219" s="322">
        <f t="shared" si="60"/>
        <v>11896.339296000004</v>
      </c>
      <c r="T219" s="322">
        <f t="shared" si="60"/>
        <v>12054.937344</v>
      </c>
      <c r="U219" s="322">
        <f t="shared" si="60"/>
        <v>12213.535392</v>
      </c>
      <c r="V219" s="322">
        <f t="shared" si="60"/>
        <v>12372.13344</v>
      </c>
      <c r="W219" s="322">
        <f t="shared" si="60"/>
        <v>12530.731487999999</v>
      </c>
      <c r="X219" s="322">
        <f t="shared" si="60"/>
        <v>12689.329536000003</v>
      </c>
      <c r="Y219" s="322">
        <f t="shared" si="60"/>
        <v>12847.927583999999</v>
      </c>
      <c r="Z219" s="322">
        <f t="shared" si="60"/>
        <v>13006.525632000003</v>
      </c>
      <c r="AA219" s="343">
        <f t="shared" si="7"/>
        <v>12038.421563146667</v>
      </c>
    </row>
    <row r="220" spans="1:27" ht="24.95" customHeight="1">
      <c r="A220" s="260" t="str">
        <f>+Pobl_adoptada!A60</f>
        <v>Daireaux</v>
      </c>
      <c r="B220" s="70">
        <f>+Pobl_adoptada!B60</f>
        <v>56</v>
      </c>
      <c r="C220" s="71" t="str">
        <f>+Pobl_adoptada!C60</f>
        <v>Daireaux</v>
      </c>
      <c r="D220" s="348">
        <v>0.75</v>
      </c>
      <c r="E220" s="278"/>
      <c r="F220" s="263"/>
      <c r="G220" s="322">
        <f t="shared" ref="G220:Z220" si="61">+G60*365/$D220</f>
        <v>6223.4503509333335</v>
      </c>
      <c r="H220" s="322">
        <f t="shared" si="61"/>
        <v>5922.8350271999998</v>
      </c>
      <c r="I220" s="322">
        <f t="shared" si="61"/>
        <v>5615.7580159999998</v>
      </c>
      <c r="J220" s="322">
        <f t="shared" si="61"/>
        <v>5148.575146666667</v>
      </c>
      <c r="K220" s="322">
        <f t="shared" si="61"/>
        <v>4672.4017919999997</v>
      </c>
      <c r="L220" s="322">
        <f t="shared" si="61"/>
        <v>4711.4083200000005</v>
      </c>
      <c r="M220" s="322">
        <f t="shared" si="61"/>
        <v>4750.0924800000003</v>
      </c>
      <c r="N220" s="322">
        <f t="shared" si="61"/>
        <v>4789.0990080000001</v>
      </c>
      <c r="O220" s="322">
        <f t="shared" si="61"/>
        <v>4827.7831679999999</v>
      </c>
      <c r="P220" s="322">
        <f t="shared" si="61"/>
        <v>4866.4673279999997</v>
      </c>
      <c r="Q220" s="322">
        <f t="shared" si="61"/>
        <v>4905.4738560000005</v>
      </c>
      <c r="R220" s="322">
        <f t="shared" si="61"/>
        <v>4944.1580160000003</v>
      </c>
      <c r="S220" s="322">
        <f t="shared" si="61"/>
        <v>4983.1645440000011</v>
      </c>
      <c r="T220" s="322">
        <f t="shared" si="61"/>
        <v>5021.8487040000009</v>
      </c>
      <c r="U220" s="322">
        <f t="shared" si="61"/>
        <v>5060.8552320000008</v>
      </c>
      <c r="V220" s="322">
        <f t="shared" si="61"/>
        <v>5099.5393920000015</v>
      </c>
      <c r="W220" s="322">
        <f t="shared" si="61"/>
        <v>5138.2235520000004</v>
      </c>
      <c r="X220" s="322">
        <f t="shared" si="61"/>
        <v>5177.2300800000003</v>
      </c>
      <c r="Y220" s="322">
        <f t="shared" si="61"/>
        <v>5215.914240000001</v>
      </c>
      <c r="Z220" s="322">
        <f t="shared" si="61"/>
        <v>5254.920767999999</v>
      </c>
      <c r="AA220" s="343">
        <f t="shared" si="7"/>
        <v>5116.4599510399994</v>
      </c>
    </row>
    <row r="221" spans="1:27" ht="24.95" customHeight="1">
      <c r="A221" s="260" t="str">
        <f>+Pobl_adoptada!A61</f>
        <v>Dolores</v>
      </c>
      <c r="B221" s="70">
        <f>+Pobl_adoptada!B61</f>
        <v>57</v>
      </c>
      <c r="C221" s="71" t="str">
        <f>+Pobl_adoptada!C61</f>
        <v>Dolores</v>
      </c>
      <c r="D221" s="348">
        <v>0.75</v>
      </c>
      <c r="E221" s="278"/>
      <c r="F221" s="263"/>
      <c r="G221" s="322">
        <f t="shared" ref="G221:Z221" si="62">+G61*365/$D221</f>
        <v>16180.698628266668</v>
      </c>
      <c r="H221" s="322">
        <f t="shared" si="62"/>
        <v>15474.898108800002</v>
      </c>
      <c r="I221" s="322">
        <f t="shared" si="62"/>
        <v>14744.253450666671</v>
      </c>
      <c r="J221" s="322">
        <f t="shared" si="62"/>
        <v>13581.7376</v>
      </c>
      <c r="K221" s="322">
        <f t="shared" si="62"/>
        <v>12383.276160000001</v>
      </c>
      <c r="L221" s="322">
        <f t="shared" si="62"/>
        <v>12585.702239999999</v>
      </c>
      <c r="M221" s="322">
        <f t="shared" si="62"/>
        <v>12788.499744000001</v>
      </c>
      <c r="N221" s="322">
        <f t="shared" si="62"/>
        <v>12990.925824</v>
      </c>
      <c r="O221" s="322">
        <f t="shared" si="62"/>
        <v>13193.723328</v>
      </c>
      <c r="P221" s="322">
        <f t="shared" si="62"/>
        <v>13396.149408000003</v>
      </c>
      <c r="Q221" s="322">
        <f t="shared" si="62"/>
        <v>13598.946911999999</v>
      </c>
      <c r="R221" s="322">
        <f t="shared" si="62"/>
        <v>13801.372992000002</v>
      </c>
      <c r="S221" s="322">
        <f t="shared" si="62"/>
        <v>14003.799072</v>
      </c>
      <c r="T221" s="322">
        <f t="shared" si="62"/>
        <v>14206.596575999998</v>
      </c>
      <c r="U221" s="322">
        <f t="shared" si="62"/>
        <v>14409.022656000001</v>
      </c>
      <c r="V221" s="322">
        <f t="shared" si="62"/>
        <v>14611.820160000001</v>
      </c>
      <c r="W221" s="322">
        <f t="shared" si="62"/>
        <v>14814.24624</v>
      </c>
      <c r="X221" s="322">
        <f t="shared" si="62"/>
        <v>15017.043744000001</v>
      </c>
      <c r="Y221" s="322">
        <f t="shared" si="62"/>
        <v>15219.469824000002</v>
      </c>
      <c r="Z221" s="322">
        <f t="shared" si="62"/>
        <v>15422.267328</v>
      </c>
      <c r="AA221" s="343">
        <f t="shared" si="7"/>
        <v>14121.222499786667</v>
      </c>
    </row>
    <row r="222" spans="1:27" ht="24.95" customHeight="1">
      <c r="A222" s="260" t="str">
        <f>+Pobl_adoptada!A62</f>
        <v>Ensenada</v>
      </c>
      <c r="B222" s="70">
        <f>+Pobl_adoptada!B62</f>
        <v>58</v>
      </c>
      <c r="C222" s="71" t="str">
        <f>+Pobl_adoptada!C62</f>
        <v>Ensenada</v>
      </c>
      <c r="D222" s="348">
        <v>0.75</v>
      </c>
      <c r="E222" s="278"/>
      <c r="F222" s="263"/>
      <c r="G222" s="322">
        <f t="shared" ref="G222:Z222" si="63">+G62*365/$D222</f>
        <v>31926.621247999999</v>
      </c>
      <c r="H222" s="322">
        <f t="shared" si="63"/>
        <v>30385.898899200005</v>
      </c>
      <c r="I222" s="322">
        <f t="shared" si="63"/>
        <v>28815.622879999999</v>
      </c>
      <c r="J222" s="322">
        <f t="shared" si="63"/>
        <v>26423.570559999996</v>
      </c>
      <c r="K222" s="322">
        <f t="shared" si="63"/>
        <v>23987.437920000008</v>
      </c>
      <c r="L222" s="322">
        <f t="shared" si="63"/>
        <v>24195.449376</v>
      </c>
      <c r="M222" s="322">
        <f t="shared" si="63"/>
        <v>24405.605280000003</v>
      </c>
      <c r="N222" s="322">
        <f t="shared" si="63"/>
        <v>24617.548224000002</v>
      </c>
      <c r="O222" s="322">
        <f t="shared" si="63"/>
        <v>24830.920800000004</v>
      </c>
      <c r="P222" s="322">
        <f t="shared" si="63"/>
        <v>25046.437824000004</v>
      </c>
      <c r="Q222" s="322">
        <f t="shared" si="63"/>
        <v>25263.741888</v>
      </c>
      <c r="R222" s="322">
        <f t="shared" si="63"/>
        <v>25483.190400000003</v>
      </c>
      <c r="S222" s="322">
        <f t="shared" si="63"/>
        <v>25704.425952000005</v>
      </c>
      <c r="T222" s="322">
        <f t="shared" si="63"/>
        <v>25927.448543999999</v>
      </c>
      <c r="U222" s="322">
        <f t="shared" si="63"/>
        <v>26152.258176000003</v>
      </c>
      <c r="V222" s="322">
        <f t="shared" si="63"/>
        <v>26379.212256000003</v>
      </c>
      <c r="W222" s="322">
        <f t="shared" si="63"/>
        <v>26608.310784000005</v>
      </c>
      <c r="X222" s="322">
        <f t="shared" si="63"/>
        <v>26839.196351999999</v>
      </c>
      <c r="Y222" s="322">
        <f t="shared" si="63"/>
        <v>27072.226368000003</v>
      </c>
      <c r="Z222" s="322">
        <f t="shared" si="63"/>
        <v>27307.043424000003</v>
      </c>
      <c r="AA222" s="343">
        <f t="shared" si="7"/>
        <v>26368.608357760007</v>
      </c>
    </row>
    <row r="223" spans="1:27" ht="24.95" customHeight="1">
      <c r="A223" s="260" t="str">
        <f>+Pobl_adoptada!A63</f>
        <v>Escobar</v>
      </c>
      <c r="B223" s="70">
        <f>+Pobl_adoptada!B63</f>
        <v>59</v>
      </c>
      <c r="C223" s="71" t="str">
        <f>+Pobl_adoptada!C63</f>
        <v>Escobar</v>
      </c>
      <c r="D223" s="348">
        <v>0.75</v>
      </c>
      <c r="E223" s="278"/>
      <c r="F223" s="263"/>
      <c r="G223" s="322">
        <f t="shared" ref="G223:Z223" si="64">+G63*365/$D223</f>
        <v>142676.81294080001</v>
      </c>
      <c r="H223" s="322">
        <f t="shared" si="64"/>
        <v>136835.5113216</v>
      </c>
      <c r="I223" s="322">
        <f t="shared" si="64"/>
        <v>130729.83897599998</v>
      </c>
      <c r="J223" s="322">
        <f t="shared" si="64"/>
        <v>120736.79072</v>
      </c>
      <c r="K223" s="322">
        <f t="shared" si="64"/>
        <v>110365.80336000001</v>
      </c>
      <c r="L223" s="322">
        <f t="shared" si="64"/>
        <v>112068.13766400002</v>
      </c>
      <c r="M223" s="322">
        <f t="shared" si="64"/>
        <v>113770.82937599999</v>
      </c>
      <c r="N223" s="322">
        <f t="shared" si="64"/>
        <v>115473.16368</v>
      </c>
      <c r="O223" s="322">
        <f t="shared" si="64"/>
        <v>117175.855392</v>
      </c>
      <c r="P223" s="322">
        <f t="shared" si="64"/>
        <v>118878.189696</v>
      </c>
      <c r="Q223" s="322">
        <f t="shared" si="64"/>
        <v>120580.88140800002</v>
      </c>
      <c r="R223" s="322">
        <f t="shared" si="64"/>
        <v>122283.57312</v>
      </c>
      <c r="S223" s="322">
        <f t="shared" si="64"/>
        <v>123985.90742399999</v>
      </c>
      <c r="T223" s="322">
        <f t="shared" si="64"/>
        <v>125688.59913600002</v>
      </c>
      <c r="U223" s="322">
        <f t="shared" si="64"/>
        <v>127390.93344000001</v>
      </c>
      <c r="V223" s="322">
        <f t="shared" si="64"/>
        <v>129093.62515200001</v>
      </c>
      <c r="W223" s="322">
        <f t="shared" si="64"/>
        <v>130795.95945600001</v>
      </c>
      <c r="X223" s="322">
        <f t="shared" si="64"/>
        <v>132498.65116800001</v>
      </c>
      <c r="Y223" s="322">
        <f t="shared" si="64"/>
        <v>134200.985472</v>
      </c>
      <c r="Z223" s="322">
        <f t="shared" si="64"/>
        <v>135903.677184</v>
      </c>
      <c r="AA223" s="343">
        <f t="shared" si="7"/>
        <v>125056.68630432004</v>
      </c>
    </row>
    <row r="224" spans="1:27" ht="24.95" customHeight="1">
      <c r="A224" s="260" t="str">
        <f>+Pobl_adoptada!A64</f>
        <v>Exaltación de la Cruz</v>
      </c>
      <c r="B224" s="70">
        <f>+Pobl_adoptada!B64</f>
        <v>60</v>
      </c>
      <c r="C224" s="71" t="str">
        <f>+Pobl_adoptada!C64</f>
        <v>Capilla del Señor</v>
      </c>
      <c r="D224" s="348">
        <v>0.75</v>
      </c>
      <c r="E224" s="278"/>
      <c r="F224" s="263"/>
      <c r="G224" s="322">
        <f t="shared" ref="G224:Z224" si="65">+G64*365/$D224</f>
        <v>5743.7667669333341</v>
      </c>
      <c r="H224" s="322">
        <f t="shared" si="65"/>
        <v>5530.1585663999986</v>
      </c>
      <c r="I224" s="322">
        <f t="shared" si="65"/>
        <v>5304.8878080000004</v>
      </c>
      <c r="J224" s="322">
        <f t="shared" si="65"/>
        <v>4920.4102400000002</v>
      </c>
      <c r="K224" s="322">
        <f t="shared" si="65"/>
        <v>4517.3427840000004</v>
      </c>
      <c r="L224" s="322">
        <f t="shared" si="65"/>
        <v>4608.2505600000004</v>
      </c>
      <c r="M224" s="322">
        <f t="shared" si="65"/>
        <v>4700.4478079999999</v>
      </c>
      <c r="N224" s="322">
        <f t="shared" si="65"/>
        <v>4794.2568959999999</v>
      </c>
      <c r="O224" s="322">
        <f t="shared" si="65"/>
        <v>4889.3554560000002</v>
      </c>
      <c r="P224" s="322">
        <f t="shared" si="65"/>
        <v>4986.0658560000011</v>
      </c>
      <c r="Q224" s="322">
        <f t="shared" si="65"/>
        <v>5084.3880959999997</v>
      </c>
      <c r="R224" s="322">
        <f t="shared" si="65"/>
        <v>5184.3221760000006</v>
      </c>
      <c r="S224" s="322">
        <f t="shared" si="65"/>
        <v>5286.1904640000002</v>
      </c>
      <c r="T224" s="322">
        <f t="shared" si="65"/>
        <v>5389.3482240000003</v>
      </c>
      <c r="U224" s="322">
        <f t="shared" si="65"/>
        <v>5494.1178240000008</v>
      </c>
      <c r="V224" s="322">
        <f t="shared" si="65"/>
        <v>5600.8216320000001</v>
      </c>
      <c r="W224" s="322">
        <f t="shared" si="65"/>
        <v>5709.1372800000017</v>
      </c>
      <c r="X224" s="322">
        <f t="shared" si="65"/>
        <v>5819.3871360000003</v>
      </c>
      <c r="Y224" s="322">
        <f t="shared" si="65"/>
        <v>5931.2488320000002</v>
      </c>
      <c r="Z224" s="322">
        <f t="shared" si="65"/>
        <v>6045.0447360000007</v>
      </c>
      <c r="AA224" s="343">
        <f t="shared" si="7"/>
        <v>5276.9474570666671</v>
      </c>
    </row>
    <row r="225" spans="1:27" ht="24.95" customHeight="1">
      <c r="A225" s="260" t="str">
        <f>+Pobl_adoptada!A65</f>
        <v>Florentino Ameghino</v>
      </c>
      <c r="B225" s="70">
        <f>+Pobl_adoptada!B65</f>
        <v>61</v>
      </c>
      <c r="C225" s="71" t="str">
        <f>+Pobl_adoptada!C65</f>
        <v>Florentino Ameghino</v>
      </c>
      <c r="D225" s="348">
        <v>0.75</v>
      </c>
      <c r="E225" s="278"/>
      <c r="F225" s="263"/>
      <c r="G225" s="322">
        <f t="shared" ref="G225:Z225" si="66">+G65*365/$D225</f>
        <v>3959.6103253333335</v>
      </c>
      <c r="H225" s="322">
        <f t="shared" si="66"/>
        <v>3780.5062464000002</v>
      </c>
      <c r="I225" s="322">
        <f t="shared" si="66"/>
        <v>3596.4806826666663</v>
      </c>
      <c r="J225" s="322">
        <f t="shared" si="66"/>
        <v>3307.8538666666664</v>
      </c>
      <c r="K225" s="322">
        <f t="shared" si="66"/>
        <v>3011.2394880000011</v>
      </c>
      <c r="L225" s="322">
        <f t="shared" si="66"/>
        <v>3045.7328639999996</v>
      </c>
      <c r="M225" s="322">
        <f t="shared" si="66"/>
        <v>3080.22624</v>
      </c>
      <c r="N225" s="322">
        <f t="shared" si="66"/>
        <v>3114.3972479999998</v>
      </c>
      <c r="O225" s="322">
        <f t="shared" si="66"/>
        <v>3148.8906239999997</v>
      </c>
      <c r="P225" s="322">
        <f t="shared" si="66"/>
        <v>3183.3840000000005</v>
      </c>
      <c r="Q225" s="322">
        <f t="shared" si="66"/>
        <v>3217.5550079999998</v>
      </c>
      <c r="R225" s="322">
        <f t="shared" si="66"/>
        <v>3252.0483839999997</v>
      </c>
      <c r="S225" s="322">
        <f t="shared" si="66"/>
        <v>3286.5417600000001</v>
      </c>
      <c r="T225" s="322">
        <f t="shared" si="66"/>
        <v>3320.7127679999999</v>
      </c>
      <c r="U225" s="322">
        <f t="shared" si="66"/>
        <v>3355.2061439999998</v>
      </c>
      <c r="V225" s="322">
        <f t="shared" si="66"/>
        <v>3389.6995200000006</v>
      </c>
      <c r="W225" s="322">
        <f t="shared" si="66"/>
        <v>3423.8705279999999</v>
      </c>
      <c r="X225" s="322">
        <f t="shared" si="66"/>
        <v>3458.3639039999998</v>
      </c>
      <c r="Y225" s="322">
        <f t="shared" si="66"/>
        <v>3492.5349120000005</v>
      </c>
      <c r="Z225" s="322">
        <f t="shared" si="66"/>
        <v>3527.0282880000009</v>
      </c>
      <c r="AA225" s="343">
        <f t="shared" si="7"/>
        <v>3347.5941400533329</v>
      </c>
    </row>
    <row r="226" spans="1:27" ht="24.95" customHeight="1">
      <c r="A226" s="260" t="str">
        <f>+Pobl_adoptada!A66</f>
        <v>General Alvarado</v>
      </c>
      <c r="B226" s="70">
        <f>+Pobl_adoptada!B66</f>
        <v>62</v>
      </c>
      <c r="C226" s="71" t="str">
        <f>+Pobl_adoptada!C66</f>
        <v>Miramar</v>
      </c>
      <c r="D226" s="348">
        <v>0.75</v>
      </c>
      <c r="E226" s="278"/>
      <c r="F226" s="263"/>
      <c r="G226" s="322">
        <f t="shared" ref="G226:Z226" si="67">+G66*365/$D226</f>
        <v>26429.822007466664</v>
      </c>
      <c r="H226" s="322">
        <f t="shared" si="67"/>
        <v>25281.605980800003</v>
      </c>
      <c r="I226" s="322">
        <f t="shared" si="67"/>
        <v>24093.160608000006</v>
      </c>
      <c r="J226" s="322">
        <f t="shared" si="67"/>
        <v>22196.710933333336</v>
      </c>
      <c r="K226" s="322">
        <f t="shared" si="67"/>
        <v>20241.493728000001</v>
      </c>
      <c r="L226" s="322">
        <f t="shared" si="67"/>
        <v>20506.319040000002</v>
      </c>
      <c r="M226" s="322">
        <f t="shared" si="67"/>
        <v>20770.772928000002</v>
      </c>
      <c r="N226" s="322">
        <f t="shared" si="67"/>
        <v>21035.598240000003</v>
      </c>
      <c r="O226" s="322">
        <f t="shared" si="67"/>
        <v>21300.423552000004</v>
      </c>
      <c r="P226" s="322">
        <f t="shared" si="67"/>
        <v>21564.877440000007</v>
      </c>
      <c r="Q226" s="322">
        <f t="shared" si="67"/>
        <v>21829.331328</v>
      </c>
      <c r="R226" s="322">
        <f t="shared" si="67"/>
        <v>22094.156640000005</v>
      </c>
      <c r="S226" s="322">
        <f t="shared" si="67"/>
        <v>22358.610528000001</v>
      </c>
      <c r="T226" s="322">
        <f t="shared" si="67"/>
        <v>22623.435840000006</v>
      </c>
      <c r="U226" s="322">
        <f t="shared" si="67"/>
        <v>22888.261152000003</v>
      </c>
      <c r="V226" s="322">
        <f t="shared" si="67"/>
        <v>23152.715040000006</v>
      </c>
      <c r="W226" s="322">
        <f t="shared" si="67"/>
        <v>23417.168928000003</v>
      </c>
      <c r="X226" s="322">
        <f t="shared" si="67"/>
        <v>23681.99424</v>
      </c>
      <c r="Y226" s="322">
        <f t="shared" si="67"/>
        <v>23946.819552000001</v>
      </c>
      <c r="Z226" s="322">
        <f t="shared" si="67"/>
        <v>24211.273440000004</v>
      </c>
      <c r="AA226" s="343">
        <f t="shared" si="7"/>
        <v>22681.227557280003</v>
      </c>
    </row>
    <row r="227" spans="1:27" ht="24.95" customHeight="1">
      <c r="A227" s="264" t="e">
        <f>+Pobl_adoptada!#REF!</f>
        <v>#REF!</v>
      </c>
      <c r="B227" s="265" t="e">
        <f>+Pobl_adoptada!#REF!</f>
        <v>#REF!</v>
      </c>
      <c r="C227" s="266" t="e">
        <f>+Pobl_adoptada!#REF!</f>
        <v>#REF!</v>
      </c>
      <c r="D227" s="348">
        <v>0.75</v>
      </c>
      <c r="E227" s="267"/>
      <c r="F227" s="268"/>
      <c r="G227" s="322" t="e">
        <f>+#REF!*365/$D227</f>
        <v>#REF!</v>
      </c>
      <c r="H227" s="322" t="e">
        <f>+#REF!*365/$D227</f>
        <v>#REF!</v>
      </c>
      <c r="I227" s="322" t="e">
        <f>+#REF!*365/$D227</f>
        <v>#REF!</v>
      </c>
      <c r="J227" s="322" t="e">
        <f>+#REF!*365/$D227</f>
        <v>#REF!</v>
      </c>
      <c r="K227" s="322" t="e">
        <f>+#REF!*365/$D227</f>
        <v>#REF!</v>
      </c>
      <c r="L227" s="322" t="e">
        <f>+#REF!*365/$D227</f>
        <v>#REF!</v>
      </c>
      <c r="M227" s="322" t="e">
        <f>+#REF!*365/$D227</f>
        <v>#REF!</v>
      </c>
      <c r="N227" s="322" t="e">
        <f>+#REF!*365/$D227</f>
        <v>#REF!</v>
      </c>
      <c r="O227" s="322" t="e">
        <f>+#REF!*365/$D227</f>
        <v>#REF!</v>
      </c>
      <c r="P227" s="322" t="e">
        <f>+#REF!*365/$D227</f>
        <v>#REF!</v>
      </c>
      <c r="Q227" s="322" t="e">
        <f>+#REF!*365/$D227</f>
        <v>#REF!</v>
      </c>
      <c r="R227" s="322" t="e">
        <f>+#REF!*365/$D227</f>
        <v>#REF!</v>
      </c>
      <c r="S227" s="322" t="e">
        <f>+#REF!*365/$D227</f>
        <v>#REF!</v>
      </c>
      <c r="T227" s="322" t="e">
        <f>+#REF!*365/$D227</f>
        <v>#REF!</v>
      </c>
      <c r="U227" s="322" t="e">
        <f>+#REF!*365/$D227</f>
        <v>#REF!</v>
      </c>
      <c r="V227" s="322" t="e">
        <f>+#REF!*365/$D227</f>
        <v>#REF!</v>
      </c>
      <c r="W227" s="322" t="e">
        <f>+#REF!*365/$D227</f>
        <v>#REF!</v>
      </c>
      <c r="X227" s="322" t="e">
        <f>+#REF!*365/$D227</f>
        <v>#REF!</v>
      </c>
      <c r="Y227" s="322" t="e">
        <f>+#REF!*365/$D227</f>
        <v>#REF!</v>
      </c>
      <c r="Z227" s="322" t="e">
        <f>+#REF!*365/$D227</f>
        <v>#REF!</v>
      </c>
      <c r="AA227" s="343" t="e">
        <f t="shared" si="7"/>
        <v>#REF!</v>
      </c>
    </row>
    <row r="228" spans="1:27" ht="24.95" customHeight="1">
      <c r="A228" s="260" t="str">
        <f>+Pobl_adoptada!A67</f>
        <v>General Alvear</v>
      </c>
      <c r="B228" s="70">
        <f>+Pobl_adoptada!B67</f>
        <v>63</v>
      </c>
      <c r="C228" s="71" t="str">
        <f>+Pobl_adoptada!C67</f>
        <v>General Alvear</v>
      </c>
      <c r="D228" s="348">
        <v>0.75</v>
      </c>
      <c r="E228" s="278"/>
      <c r="F228" s="263"/>
      <c r="G228" s="322">
        <f t="shared" ref="G228:Z228" si="68">+G67*365/$D228</f>
        <v>4574.3159551999997</v>
      </c>
      <c r="H228" s="322">
        <f t="shared" si="68"/>
        <v>4329.4989504000014</v>
      </c>
      <c r="I228" s="322">
        <f t="shared" si="68"/>
        <v>4082.6832640000007</v>
      </c>
      <c r="J228" s="322">
        <f t="shared" si="68"/>
        <v>3722.992213333333</v>
      </c>
      <c r="K228" s="322">
        <f t="shared" si="68"/>
        <v>3360.6864</v>
      </c>
      <c r="L228" s="322">
        <f t="shared" si="68"/>
        <v>3371.0021760000004</v>
      </c>
      <c r="M228" s="322">
        <f t="shared" si="68"/>
        <v>3380.9955840000002</v>
      </c>
      <c r="N228" s="322">
        <f t="shared" si="68"/>
        <v>3391.3113600000001</v>
      </c>
      <c r="O228" s="322">
        <f t="shared" si="68"/>
        <v>3401.6271360000005</v>
      </c>
      <c r="P228" s="322">
        <f t="shared" si="68"/>
        <v>3411.942912</v>
      </c>
      <c r="Q228" s="322">
        <f t="shared" si="68"/>
        <v>3422.2586880000003</v>
      </c>
      <c r="R228" s="322">
        <f t="shared" si="68"/>
        <v>3432.8968319999999</v>
      </c>
      <c r="S228" s="322">
        <f t="shared" si="68"/>
        <v>3443.2126079999998</v>
      </c>
      <c r="T228" s="322">
        <f t="shared" si="68"/>
        <v>3453.5283840000006</v>
      </c>
      <c r="U228" s="322">
        <f t="shared" si="68"/>
        <v>3464.1665279999997</v>
      </c>
      <c r="V228" s="322">
        <f t="shared" si="68"/>
        <v>3474.4823040000006</v>
      </c>
      <c r="W228" s="322">
        <f t="shared" si="68"/>
        <v>3485.1204480000001</v>
      </c>
      <c r="X228" s="322">
        <f t="shared" si="68"/>
        <v>3495.7585919999997</v>
      </c>
      <c r="Y228" s="322">
        <f t="shared" si="68"/>
        <v>3506.3967360000001</v>
      </c>
      <c r="Z228" s="322">
        <f t="shared" si="68"/>
        <v>3517.0348799999997</v>
      </c>
      <c r="AA228" s="343">
        <f t="shared" si="7"/>
        <v>3586.0955975466668</v>
      </c>
    </row>
    <row r="229" spans="1:27" ht="24.95" customHeight="1">
      <c r="A229" s="260" t="str">
        <f>+Pobl_adoptada!A68</f>
        <v>General Arenales</v>
      </c>
      <c r="B229" s="70">
        <f>+Pobl_adoptada!B68</f>
        <v>64</v>
      </c>
      <c r="C229" s="71" t="str">
        <f>+Pobl_adoptada!C68</f>
        <v>General Arenales</v>
      </c>
      <c r="D229" s="348">
        <v>0.75</v>
      </c>
      <c r="E229" s="278"/>
      <c r="F229" s="263"/>
      <c r="G229" s="322">
        <f t="shared" ref="G229:Z229" si="69">+G68*365/$D229</f>
        <v>2215.4275157333336</v>
      </c>
      <c r="H229" s="322">
        <f t="shared" si="69"/>
        <v>2107.5452736000002</v>
      </c>
      <c r="I229" s="322">
        <f t="shared" si="69"/>
        <v>1997.6070400000006</v>
      </c>
      <c r="J229" s="322">
        <f t="shared" si="69"/>
        <v>1831.0502399999998</v>
      </c>
      <c r="K229" s="322">
        <f t="shared" si="69"/>
        <v>1661.1623040000002</v>
      </c>
      <c r="L229" s="322">
        <f t="shared" si="69"/>
        <v>1674.3793920000001</v>
      </c>
      <c r="M229" s="322">
        <f t="shared" si="69"/>
        <v>1687.5964800000002</v>
      </c>
      <c r="N229" s="322">
        <f t="shared" si="69"/>
        <v>1700.8135680000003</v>
      </c>
      <c r="O229" s="322">
        <f t="shared" si="69"/>
        <v>1714.3530240000002</v>
      </c>
      <c r="P229" s="322">
        <f t="shared" si="69"/>
        <v>1727.5701120000001</v>
      </c>
      <c r="Q229" s="322">
        <f t="shared" si="69"/>
        <v>1740.7872</v>
      </c>
      <c r="R229" s="322">
        <f t="shared" si="69"/>
        <v>1754.0042880000001</v>
      </c>
      <c r="S229" s="322">
        <f t="shared" si="69"/>
        <v>1767.2213760000004</v>
      </c>
      <c r="T229" s="322">
        <f t="shared" si="69"/>
        <v>1780.7608319999999</v>
      </c>
      <c r="U229" s="322">
        <f t="shared" si="69"/>
        <v>1793.9779200000003</v>
      </c>
      <c r="V229" s="322">
        <f t="shared" si="69"/>
        <v>1807.1950080000004</v>
      </c>
      <c r="W229" s="322">
        <f t="shared" si="69"/>
        <v>1820.412096</v>
      </c>
      <c r="X229" s="322">
        <f t="shared" si="69"/>
        <v>1833.6291840000004</v>
      </c>
      <c r="Y229" s="322">
        <f t="shared" si="69"/>
        <v>1847.1686400000001</v>
      </c>
      <c r="Z229" s="322">
        <f t="shared" si="69"/>
        <v>1860.3857280000002</v>
      </c>
      <c r="AA229" s="343">
        <f t="shared" si="7"/>
        <v>1816.152361066667</v>
      </c>
    </row>
    <row r="230" spans="1:27" ht="24.95" customHeight="1">
      <c r="A230" s="260" t="str">
        <f>+Pobl_adoptada!A69</f>
        <v>General Belgrano</v>
      </c>
      <c r="B230" s="70">
        <f>+Pobl_adoptada!B69</f>
        <v>65</v>
      </c>
      <c r="C230" s="71" t="str">
        <f>+Pobl_adoptada!C69</f>
        <v>General Belgrano</v>
      </c>
      <c r="D230" s="348">
        <v>0.75</v>
      </c>
      <c r="E230" s="278"/>
      <c r="F230" s="263"/>
      <c r="G230" s="322">
        <f t="shared" ref="G230:Z230" si="70">+G69*365/$D230</f>
        <v>9927.7508266666682</v>
      </c>
      <c r="H230" s="322">
        <f t="shared" si="70"/>
        <v>9503.4773184000005</v>
      </c>
      <c r="I230" s="322">
        <f t="shared" si="70"/>
        <v>9065.1804906666675</v>
      </c>
      <c r="J230" s="322">
        <f t="shared" si="70"/>
        <v>8361.1669333333357</v>
      </c>
      <c r="K230" s="322">
        <f t="shared" si="70"/>
        <v>7634.6203200000018</v>
      </c>
      <c r="L230" s="322">
        <f t="shared" si="70"/>
        <v>7745.676096000002</v>
      </c>
      <c r="M230" s="322">
        <f t="shared" si="70"/>
        <v>7858.588992</v>
      </c>
      <c r="N230" s="322">
        <f t="shared" si="70"/>
        <v>7972.9875840000013</v>
      </c>
      <c r="O230" s="322">
        <f t="shared" si="70"/>
        <v>8088.8718719999997</v>
      </c>
      <c r="P230" s="322">
        <f t="shared" si="70"/>
        <v>8206.9847040000004</v>
      </c>
      <c r="Q230" s="322">
        <f t="shared" si="70"/>
        <v>8326.211808</v>
      </c>
      <c r="R230" s="322">
        <f t="shared" si="70"/>
        <v>8447.667456000001</v>
      </c>
      <c r="S230" s="322">
        <f t="shared" si="70"/>
        <v>8570.6088</v>
      </c>
      <c r="T230" s="322">
        <f t="shared" si="70"/>
        <v>8695.4072640000013</v>
      </c>
      <c r="U230" s="322">
        <f t="shared" si="70"/>
        <v>8822.0628479999996</v>
      </c>
      <c r="V230" s="322">
        <f t="shared" si="70"/>
        <v>8950.5755520000002</v>
      </c>
      <c r="W230" s="322">
        <f t="shared" si="70"/>
        <v>9080.5739520000006</v>
      </c>
      <c r="X230" s="322">
        <f t="shared" si="70"/>
        <v>9212.8008959999988</v>
      </c>
      <c r="Y230" s="322">
        <f t="shared" si="70"/>
        <v>9347.2563840000003</v>
      </c>
      <c r="Z230" s="322">
        <f t="shared" si="70"/>
        <v>9483.1975680000014</v>
      </c>
      <c r="AA230" s="343">
        <f t="shared" ref="AA230:AA293" si="71">AVERAGE(G230:Z230)</f>
        <v>8665.0833832533353</v>
      </c>
    </row>
    <row r="231" spans="1:27" ht="24.95" customHeight="1">
      <c r="A231" s="260" t="str">
        <f>+Pobl_adoptada!A70</f>
        <v>General Guido</v>
      </c>
      <c r="B231" s="70">
        <f>+Pobl_adoptada!B70</f>
        <v>66</v>
      </c>
      <c r="C231" s="71" t="str">
        <f>+Pobl_adoptada!C70</f>
        <v>General Guido</v>
      </c>
      <c r="D231" s="348">
        <v>0.75</v>
      </c>
      <c r="E231" s="278"/>
      <c r="F231" s="263"/>
      <c r="G231" s="322">
        <f t="shared" ref="G231:Z231" si="72">+G70*365/$D231</f>
        <v>686.65816746666678</v>
      </c>
      <c r="H231" s="322">
        <f t="shared" si="72"/>
        <v>655.43861760000004</v>
      </c>
      <c r="I231" s="322">
        <f t="shared" si="72"/>
        <v>622.92243199999996</v>
      </c>
      <c r="J231" s="322">
        <f t="shared" si="72"/>
        <v>572.74048000000005</v>
      </c>
      <c r="K231" s="322">
        <f t="shared" si="72"/>
        <v>521.26905600000009</v>
      </c>
      <c r="L231" s="322">
        <f t="shared" si="72"/>
        <v>527.39404800000011</v>
      </c>
      <c r="M231" s="322">
        <f t="shared" si="72"/>
        <v>533.19667200000015</v>
      </c>
      <c r="N231" s="322">
        <f t="shared" si="72"/>
        <v>539.32166399999994</v>
      </c>
      <c r="O231" s="322">
        <f t="shared" si="72"/>
        <v>545.44665600000008</v>
      </c>
      <c r="P231" s="322">
        <f t="shared" si="72"/>
        <v>551.57164799999998</v>
      </c>
      <c r="Q231" s="322">
        <f t="shared" si="72"/>
        <v>557.69664000000012</v>
      </c>
      <c r="R231" s="322">
        <f t="shared" si="72"/>
        <v>564.14400000000001</v>
      </c>
      <c r="S231" s="322">
        <f t="shared" si="72"/>
        <v>570.59136000000001</v>
      </c>
      <c r="T231" s="322">
        <f t="shared" si="72"/>
        <v>577.03872000000013</v>
      </c>
      <c r="U231" s="322">
        <f t="shared" si="72"/>
        <v>583.48608000000002</v>
      </c>
      <c r="V231" s="322">
        <f t="shared" si="72"/>
        <v>590.255808</v>
      </c>
      <c r="W231" s="322">
        <f t="shared" si="72"/>
        <v>596.70316800000012</v>
      </c>
      <c r="X231" s="322">
        <f t="shared" si="72"/>
        <v>603.47289599999999</v>
      </c>
      <c r="Y231" s="322">
        <f t="shared" si="72"/>
        <v>610.56499199999996</v>
      </c>
      <c r="Z231" s="322">
        <f t="shared" si="72"/>
        <v>617.33472000000017</v>
      </c>
      <c r="AA231" s="343">
        <f t="shared" si="71"/>
        <v>581.36239125333339</v>
      </c>
    </row>
    <row r="232" spans="1:27" ht="24.95" customHeight="1">
      <c r="A232" s="260" t="str">
        <f>+Pobl_adoptada!A71</f>
        <v>General Juan Madariaga</v>
      </c>
      <c r="B232" s="70">
        <f>+Pobl_adoptada!B71</f>
        <v>67</v>
      </c>
      <c r="C232" s="71" t="str">
        <f>+Pobl_adoptada!C71</f>
        <v>General Juan Madariaga</v>
      </c>
      <c r="D232" s="348">
        <v>0.75</v>
      </c>
      <c r="E232" s="278"/>
      <c r="F232" s="263"/>
      <c r="G232" s="322">
        <f t="shared" ref="G232:Z232" si="73">+G71*365/$D232</f>
        <v>11342.711189333333</v>
      </c>
      <c r="H232" s="322">
        <f t="shared" si="73"/>
        <v>10842.906547200002</v>
      </c>
      <c r="I232" s="322">
        <f t="shared" si="73"/>
        <v>10328.558592000001</v>
      </c>
      <c r="J232" s="322">
        <f t="shared" si="73"/>
        <v>9513.8194133333327</v>
      </c>
      <c r="K232" s="322">
        <f t="shared" si="73"/>
        <v>8676.0932160000029</v>
      </c>
      <c r="L232" s="322">
        <f t="shared" si="73"/>
        <v>8791.6060799999996</v>
      </c>
      <c r="M232" s="322">
        <f t="shared" si="73"/>
        <v>8908.9760639999986</v>
      </c>
      <c r="N232" s="322">
        <f t="shared" si="73"/>
        <v>9028.2031680000018</v>
      </c>
      <c r="O232" s="322">
        <f t="shared" si="73"/>
        <v>9149.658816000001</v>
      </c>
      <c r="P232" s="322">
        <f t="shared" si="73"/>
        <v>9272.9715840000008</v>
      </c>
      <c r="Q232" s="322">
        <f t="shared" si="73"/>
        <v>9398.1414720000012</v>
      </c>
      <c r="R232" s="322">
        <f t="shared" si="73"/>
        <v>9525.1684800000003</v>
      </c>
      <c r="S232" s="322">
        <f t="shared" si="73"/>
        <v>9654.7954560000016</v>
      </c>
      <c r="T232" s="322">
        <f t="shared" si="73"/>
        <v>9786.2795519999981</v>
      </c>
      <c r="U232" s="322">
        <f t="shared" si="73"/>
        <v>9919.6207680000025</v>
      </c>
      <c r="V232" s="322">
        <f t="shared" si="73"/>
        <v>10055.561952000002</v>
      </c>
      <c r="W232" s="322">
        <f t="shared" si="73"/>
        <v>10193.360256000004</v>
      </c>
      <c r="X232" s="322">
        <f t="shared" si="73"/>
        <v>10333.758528</v>
      </c>
      <c r="Y232" s="322">
        <f t="shared" si="73"/>
        <v>10476.385344</v>
      </c>
      <c r="Z232" s="322">
        <f t="shared" si="73"/>
        <v>10621.240704000002</v>
      </c>
      <c r="AA232" s="343">
        <f t="shared" si="71"/>
        <v>9790.9908590933355</v>
      </c>
    </row>
    <row r="233" spans="1:27" ht="24.95" customHeight="1">
      <c r="A233" s="260" t="str">
        <f>+Pobl_adoptada!A72</f>
        <v>General La Madrid</v>
      </c>
      <c r="B233" s="70">
        <f>+Pobl_adoptada!B72</f>
        <v>68</v>
      </c>
      <c r="C233" s="71" t="str">
        <f>+Pobl_adoptada!C72</f>
        <v>General La Madrid</v>
      </c>
      <c r="D233" s="348">
        <v>0.75</v>
      </c>
      <c r="E233" s="278"/>
      <c r="F233" s="263"/>
      <c r="G233" s="322">
        <f t="shared" ref="G233:Z233" si="74">+G72*365/$D233</f>
        <v>4140.3799722666672</v>
      </c>
      <c r="H233" s="322">
        <f t="shared" si="74"/>
        <v>3954.0047040000004</v>
      </c>
      <c r="I233" s="322">
        <f t="shared" si="74"/>
        <v>3761.9629226666661</v>
      </c>
      <c r="J233" s="322">
        <f t="shared" si="74"/>
        <v>3460.4413866666669</v>
      </c>
      <c r="K233" s="322">
        <f t="shared" si="74"/>
        <v>3150.8248319999998</v>
      </c>
      <c r="L233" s="322">
        <f t="shared" si="74"/>
        <v>3199.1800319999998</v>
      </c>
      <c r="M233" s="322">
        <f t="shared" si="74"/>
        <v>3247.8576000000007</v>
      </c>
      <c r="N233" s="322">
        <f t="shared" si="74"/>
        <v>3296.2127999999998</v>
      </c>
      <c r="O233" s="322">
        <f t="shared" si="74"/>
        <v>3344.5679999999998</v>
      </c>
      <c r="P233" s="322">
        <f t="shared" si="74"/>
        <v>3393.2455680000003</v>
      </c>
      <c r="Q233" s="322">
        <f t="shared" si="74"/>
        <v>3441.6007680000002</v>
      </c>
      <c r="R233" s="322">
        <f t="shared" si="74"/>
        <v>3489.9559680000002</v>
      </c>
      <c r="S233" s="322">
        <f t="shared" si="74"/>
        <v>3538.3111680000002</v>
      </c>
      <c r="T233" s="322">
        <f t="shared" si="74"/>
        <v>3586.9887360000007</v>
      </c>
      <c r="U233" s="322">
        <f t="shared" si="74"/>
        <v>3635.3439360000007</v>
      </c>
      <c r="V233" s="322">
        <f t="shared" si="74"/>
        <v>3683.6991360000006</v>
      </c>
      <c r="W233" s="322">
        <f t="shared" si="74"/>
        <v>3732.3767039999998</v>
      </c>
      <c r="X233" s="322">
        <f t="shared" si="74"/>
        <v>3780.7319040000002</v>
      </c>
      <c r="Y233" s="322">
        <f t="shared" si="74"/>
        <v>3829.0871040000002</v>
      </c>
      <c r="Z233" s="322">
        <f t="shared" si="74"/>
        <v>3877.7646719999998</v>
      </c>
      <c r="AA233" s="343">
        <f t="shared" si="71"/>
        <v>3577.2268956800008</v>
      </c>
    </row>
    <row r="234" spans="1:27" ht="24.95" customHeight="1">
      <c r="A234" s="260" t="str">
        <f>+Pobl_adoptada!A73</f>
        <v>General Las Heras</v>
      </c>
      <c r="B234" s="70">
        <f>+Pobl_adoptada!B73</f>
        <v>69</v>
      </c>
      <c r="C234" s="71" t="str">
        <f>+Pobl_adoptada!C73</f>
        <v>General Las Heras</v>
      </c>
      <c r="D234" s="348">
        <v>0.75</v>
      </c>
      <c r="E234" s="278"/>
      <c r="F234" s="263"/>
      <c r="G234" s="322">
        <f t="shared" ref="G234:Z234" si="75">+G73*365/$D234</f>
        <v>6358.9165482666676</v>
      </c>
      <c r="H234" s="322">
        <f t="shared" si="75"/>
        <v>6077.4749567999997</v>
      </c>
      <c r="I234" s="322">
        <f t="shared" si="75"/>
        <v>5786.7563306666671</v>
      </c>
      <c r="J234" s="322">
        <f t="shared" si="75"/>
        <v>5327.310293333333</v>
      </c>
      <c r="K234" s="322">
        <f t="shared" si="75"/>
        <v>4854.2173440000006</v>
      </c>
      <c r="L234" s="322">
        <f t="shared" si="75"/>
        <v>4913.8554240000003</v>
      </c>
      <c r="M234" s="322">
        <f t="shared" si="75"/>
        <v>4973.4935040000009</v>
      </c>
      <c r="N234" s="322">
        <f t="shared" si="75"/>
        <v>5033.1315839999997</v>
      </c>
      <c r="O234" s="322">
        <f t="shared" si="75"/>
        <v>5092.7696640000004</v>
      </c>
      <c r="P234" s="322">
        <f t="shared" si="75"/>
        <v>5152.407744000001</v>
      </c>
      <c r="Q234" s="322">
        <f t="shared" si="75"/>
        <v>5212.0458239999998</v>
      </c>
      <c r="R234" s="322">
        <f t="shared" si="75"/>
        <v>5272.0062720000005</v>
      </c>
      <c r="S234" s="322">
        <f t="shared" si="75"/>
        <v>5331.6443520000003</v>
      </c>
      <c r="T234" s="322">
        <f t="shared" si="75"/>
        <v>5391.282432</v>
      </c>
      <c r="U234" s="322">
        <f t="shared" si="75"/>
        <v>5450.9205120000006</v>
      </c>
      <c r="V234" s="322">
        <f t="shared" si="75"/>
        <v>5510.5585920000012</v>
      </c>
      <c r="W234" s="322">
        <f t="shared" si="75"/>
        <v>5570.1966719999991</v>
      </c>
      <c r="X234" s="322">
        <f t="shared" si="75"/>
        <v>5629.8347519999998</v>
      </c>
      <c r="Y234" s="322">
        <f t="shared" si="75"/>
        <v>5689.7951999999996</v>
      </c>
      <c r="Z234" s="322">
        <f t="shared" si="75"/>
        <v>5749.4332800000002</v>
      </c>
      <c r="AA234" s="343">
        <f t="shared" si="71"/>
        <v>5418.9025640533328</v>
      </c>
    </row>
    <row r="235" spans="1:27" ht="24.95" customHeight="1">
      <c r="A235" s="260" t="str">
        <f>+Pobl_adoptada!A74</f>
        <v>General Lavalle</v>
      </c>
      <c r="B235" s="70">
        <f>+Pobl_adoptada!B74</f>
        <v>70</v>
      </c>
      <c r="C235" s="71" t="str">
        <f>+Pobl_adoptada!C74</f>
        <v>General Lavalle</v>
      </c>
      <c r="D235" s="348">
        <v>0.75</v>
      </c>
      <c r="E235" s="278"/>
      <c r="F235" s="263"/>
      <c r="G235" s="322">
        <f t="shared" ref="G235:Z235" si="76">+G74*365/$D235</f>
        <v>1191.6583850666668</v>
      </c>
      <c r="H235" s="322">
        <f t="shared" si="76"/>
        <v>1151.6274432</v>
      </c>
      <c r="I235" s="322">
        <f t="shared" si="76"/>
        <v>1108.731008</v>
      </c>
      <c r="J235" s="322">
        <f t="shared" si="76"/>
        <v>1032.6521600000001</v>
      </c>
      <c r="K235" s="322">
        <f t="shared" si="76"/>
        <v>951.95270400000015</v>
      </c>
      <c r="L235" s="322">
        <f t="shared" si="76"/>
        <v>975.16320000000007</v>
      </c>
      <c r="M235" s="322">
        <f t="shared" si="76"/>
        <v>998.69606400000009</v>
      </c>
      <c r="N235" s="322">
        <f t="shared" si="76"/>
        <v>1022.8736640000001</v>
      </c>
      <c r="O235" s="322">
        <f t="shared" si="76"/>
        <v>1048.018368</v>
      </c>
      <c r="P235" s="322">
        <f t="shared" si="76"/>
        <v>1073.4854400000002</v>
      </c>
      <c r="Q235" s="322">
        <f t="shared" si="76"/>
        <v>1099.2748800000002</v>
      </c>
      <c r="R235" s="322">
        <f t="shared" si="76"/>
        <v>1126.0314240000002</v>
      </c>
      <c r="S235" s="322">
        <f t="shared" si="76"/>
        <v>1153.4327040000001</v>
      </c>
      <c r="T235" s="322">
        <f t="shared" si="76"/>
        <v>1181.4787200000001</v>
      </c>
      <c r="U235" s="322">
        <f t="shared" si="76"/>
        <v>1210.169472</v>
      </c>
      <c r="V235" s="322">
        <f t="shared" si="76"/>
        <v>1239.5049600000002</v>
      </c>
      <c r="W235" s="322">
        <f t="shared" si="76"/>
        <v>1269.807552</v>
      </c>
      <c r="X235" s="322">
        <f t="shared" si="76"/>
        <v>1300.4325120000001</v>
      </c>
      <c r="Y235" s="322">
        <f t="shared" si="76"/>
        <v>1332.024576</v>
      </c>
      <c r="Z235" s="322">
        <f t="shared" si="76"/>
        <v>1364.5837440000003</v>
      </c>
      <c r="AA235" s="343">
        <f t="shared" si="71"/>
        <v>1141.5799490133334</v>
      </c>
    </row>
    <row r="236" spans="1:27" ht="24.95" customHeight="1">
      <c r="A236" s="260" t="str">
        <f>+Pobl_adoptada!A75</f>
        <v>General Paz</v>
      </c>
      <c r="B236" s="70">
        <f>+Pobl_adoptada!B75</f>
        <v>71</v>
      </c>
      <c r="C236" s="71" t="str">
        <f>+Pobl_adoptada!C75</f>
        <v>Ranchos</v>
      </c>
      <c r="D236" s="348">
        <v>0.75</v>
      </c>
      <c r="E236" s="278"/>
      <c r="F236" s="263"/>
      <c r="G236" s="322">
        <f t="shared" ref="G236:Z236" si="77">+G75*365/$D236</f>
        <v>4640.4945237333332</v>
      </c>
      <c r="H236" s="322">
        <f t="shared" si="77"/>
        <v>4452.7079999999996</v>
      </c>
      <c r="I236" s="322">
        <f t="shared" si="77"/>
        <v>4256.045610666667</v>
      </c>
      <c r="J236" s="322">
        <f t="shared" si="77"/>
        <v>3932.5314133333336</v>
      </c>
      <c r="K236" s="322">
        <f t="shared" si="77"/>
        <v>3596.3374079999999</v>
      </c>
      <c r="L236" s="322">
        <f t="shared" si="77"/>
        <v>3666.6136320000001</v>
      </c>
      <c r="M236" s="322">
        <f t="shared" si="77"/>
        <v>3736.5674880000006</v>
      </c>
      <c r="N236" s="322">
        <f t="shared" si="77"/>
        <v>3806.5213440000002</v>
      </c>
      <c r="O236" s="322">
        <f t="shared" si="77"/>
        <v>3876.797568</v>
      </c>
      <c r="P236" s="322">
        <f t="shared" si="77"/>
        <v>3946.7514240000005</v>
      </c>
      <c r="Q236" s="322">
        <f t="shared" si="77"/>
        <v>4017.0276480000007</v>
      </c>
      <c r="R236" s="322">
        <f t="shared" si="77"/>
        <v>4086.9815039999999</v>
      </c>
      <c r="S236" s="322">
        <f t="shared" si="77"/>
        <v>4157.2577279999996</v>
      </c>
      <c r="T236" s="322">
        <f t="shared" si="77"/>
        <v>4227.2115840000006</v>
      </c>
      <c r="U236" s="322">
        <f t="shared" si="77"/>
        <v>4297.4878080000008</v>
      </c>
      <c r="V236" s="322">
        <f t="shared" si="77"/>
        <v>4367.4416639999999</v>
      </c>
      <c r="W236" s="322">
        <f t="shared" si="77"/>
        <v>4437.717888000001</v>
      </c>
      <c r="X236" s="322">
        <f t="shared" si="77"/>
        <v>4507.6717440000002</v>
      </c>
      <c r="Y236" s="322">
        <f t="shared" si="77"/>
        <v>4577.6255999999994</v>
      </c>
      <c r="Z236" s="322">
        <f t="shared" si="77"/>
        <v>4647.9018240000014</v>
      </c>
      <c r="AA236" s="343">
        <f t="shared" si="71"/>
        <v>4161.7846701866674</v>
      </c>
    </row>
    <row r="237" spans="1:27" ht="24.95" customHeight="1">
      <c r="A237" s="260" t="str">
        <f>+Pobl_adoptada!A76</f>
        <v>General Pinto</v>
      </c>
      <c r="B237" s="70">
        <f>+Pobl_adoptada!B76</f>
        <v>72</v>
      </c>
      <c r="C237" s="71" t="str">
        <f>+Pobl_adoptada!C76</f>
        <v>General Pinto</v>
      </c>
      <c r="D237" s="348">
        <v>0.75</v>
      </c>
      <c r="E237" s="278"/>
      <c r="F237" s="263"/>
      <c r="G237" s="322">
        <f t="shared" ref="G237:Z237" si="78">+G76*365/$D237</f>
        <v>3227.6487082666667</v>
      </c>
      <c r="H237" s="322">
        <f t="shared" si="78"/>
        <v>3063.8821824000001</v>
      </c>
      <c r="I237" s="322">
        <f t="shared" si="78"/>
        <v>2897.9092266666667</v>
      </c>
      <c r="J237" s="322">
        <f t="shared" si="78"/>
        <v>2650.5813333333331</v>
      </c>
      <c r="K237" s="322">
        <f t="shared" si="78"/>
        <v>2399.7073920000007</v>
      </c>
      <c r="L237" s="322">
        <f t="shared" si="78"/>
        <v>2414.2139520000001</v>
      </c>
      <c r="M237" s="322">
        <f t="shared" si="78"/>
        <v>2428.3981440000002</v>
      </c>
      <c r="N237" s="322">
        <f t="shared" si="78"/>
        <v>2442.5823359999999</v>
      </c>
      <c r="O237" s="322">
        <f t="shared" si="78"/>
        <v>2457.0888960000002</v>
      </c>
      <c r="P237" s="322">
        <f t="shared" si="78"/>
        <v>2471.2730879999999</v>
      </c>
      <c r="Q237" s="322">
        <f t="shared" si="78"/>
        <v>2485.7796480000002</v>
      </c>
      <c r="R237" s="322">
        <f t="shared" si="78"/>
        <v>2499.9638400000003</v>
      </c>
      <c r="S237" s="322">
        <f t="shared" si="78"/>
        <v>2514.1480320000001</v>
      </c>
      <c r="T237" s="322">
        <f t="shared" si="78"/>
        <v>2528.6545920000003</v>
      </c>
      <c r="U237" s="322">
        <f t="shared" si="78"/>
        <v>2542.838784</v>
      </c>
      <c r="V237" s="322">
        <f t="shared" si="78"/>
        <v>2557.3453440000003</v>
      </c>
      <c r="W237" s="322">
        <f t="shared" si="78"/>
        <v>2571.5295360000005</v>
      </c>
      <c r="X237" s="322">
        <f t="shared" si="78"/>
        <v>2586.0360960000003</v>
      </c>
      <c r="Y237" s="322">
        <f t="shared" si="78"/>
        <v>2600.220288</v>
      </c>
      <c r="Z237" s="322">
        <f t="shared" si="78"/>
        <v>2614.4044800000006</v>
      </c>
      <c r="AA237" s="343">
        <f t="shared" si="71"/>
        <v>2597.7102949333334</v>
      </c>
    </row>
    <row r="238" spans="1:27" ht="24.95" customHeight="1">
      <c r="A238" s="260" t="str">
        <f>+Pobl_adoptada!A77</f>
        <v>General Pueyrredón</v>
      </c>
      <c r="B238" s="70">
        <f>+Pobl_adoptada!B77</f>
        <v>73</v>
      </c>
      <c r="C238" s="71" t="str">
        <f>+Pobl_adoptada!C77</f>
        <v>Mar del Plata</v>
      </c>
      <c r="D238" s="348">
        <v>0.75</v>
      </c>
      <c r="E238" s="278"/>
      <c r="F238" s="263"/>
      <c r="G238" s="322">
        <f t="shared" ref="G238:Z238" si="79">+G77*365/$D238</f>
        <v>518086.6433088</v>
      </c>
      <c r="H238" s="322">
        <f t="shared" si="79"/>
        <v>492667.18225919991</v>
      </c>
      <c r="I238" s="322">
        <f t="shared" si="79"/>
        <v>466819.33478400001</v>
      </c>
      <c r="J238" s="322">
        <f t="shared" si="79"/>
        <v>427704.61727999995</v>
      </c>
      <c r="K238" s="322">
        <f t="shared" si="79"/>
        <v>387948.93408000004</v>
      </c>
      <c r="L238" s="322">
        <f t="shared" si="79"/>
        <v>390987.42767999996</v>
      </c>
      <c r="M238" s="322">
        <f t="shared" si="79"/>
        <v>394049.14228799992</v>
      </c>
      <c r="N238" s="322">
        <f t="shared" si="79"/>
        <v>397135.56009600003</v>
      </c>
      <c r="O238" s="322">
        <f t="shared" si="79"/>
        <v>400245.69297600002</v>
      </c>
      <c r="P238" s="322">
        <f t="shared" si="79"/>
        <v>403380.03499200003</v>
      </c>
      <c r="Q238" s="322">
        <f t="shared" si="79"/>
        <v>406539.08020799997</v>
      </c>
      <c r="R238" s="322">
        <f t="shared" si="79"/>
        <v>409722.8286239999</v>
      </c>
      <c r="S238" s="322">
        <f t="shared" si="79"/>
        <v>412931.77430400002</v>
      </c>
      <c r="T238" s="322">
        <f t="shared" si="79"/>
        <v>416165.42318399996</v>
      </c>
      <c r="U238" s="322">
        <f t="shared" si="79"/>
        <v>419424.76339199999</v>
      </c>
      <c r="V238" s="322">
        <f t="shared" si="79"/>
        <v>422709.30086399993</v>
      </c>
      <c r="W238" s="322">
        <f t="shared" si="79"/>
        <v>426020.02372799994</v>
      </c>
      <c r="X238" s="322">
        <f t="shared" si="79"/>
        <v>429356.93198399997</v>
      </c>
      <c r="Y238" s="322">
        <f t="shared" si="79"/>
        <v>432719.03750399995</v>
      </c>
      <c r="Z238" s="322">
        <f t="shared" si="79"/>
        <v>436107.82248000003</v>
      </c>
      <c r="AA238" s="343">
        <f t="shared" si="71"/>
        <v>424536.07780079992</v>
      </c>
    </row>
    <row r="239" spans="1:27" ht="24.95" customHeight="1">
      <c r="A239" s="264" t="e">
        <f>+Pobl_adoptada!#REF!</f>
        <v>#REF!</v>
      </c>
      <c r="B239" s="265" t="e">
        <f>+Pobl_adoptada!#REF!</f>
        <v>#REF!</v>
      </c>
      <c r="C239" s="266" t="e">
        <f>+Pobl_adoptada!#REF!</f>
        <v>#REF!</v>
      </c>
      <c r="D239" s="348">
        <v>0.75</v>
      </c>
      <c r="E239" s="267"/>
      <c r="F239" s="268"/>
      <c r="G239" s="322" t="e">
        <f>+#REF!*365/$D239</f>
        <v>#REF!</v>
      </c>
      <c r="H239" s="322" t="e">
        <f>+#REF!*365/$D239</f>
        <v>#REF!</v>
      </c>
      <c r="I239" s="322" t="e">
        <f>+#REF!*365/$D239</f>
        <v>#REF!</v>
      </c>
      <c r="J239" s="322" t="e">
        <f>+#REF!*365/$D239</f>
        <v>#REF!</v>
      </c>
      <c r="K239" s="322" t="e">
        <f>+#REF!*365/$D239</f>
        <v>#REF!</v>
      </c>
      <c r="L239" s="322" t="e">
        <f>+#REF!*365/$D239</f>
        <v>#REF!</v>
      </c>
      <c r="M239" s="322" t="e">
        <f>+#REF!*365/$D239</f>
        <v>#REF!</v>
      </c>
      <c r="N239" s="322" t="e">
        <f>+#REF!*365/$D239</f>
        <v>#REF!</v>
      </c>
      <c r="O239" s="322" t="e">
        <f>+#REF!*365/$D239</f>
        <v>#REF!</v>
      </c>
      <c r="P239" s="322" t="e">
        <f>+#REF!*365/$D239</f>
        <v>#REF!</v>
      </c>
      <c r="Q239" s="322" t="e">
        <f>+#REF!*365/$D239</f>
        <v>#REF!</v>
      </c>
      <c r="R239" s="322" t="e">
        <f>+#REF!*365/$D239</f>
        <v>#REF!</v>
      </c>
      <c r="S239" s="322" t="e">
        <f>+#REF!*365/$D239</f>
        <v>#REF!</v>
      </c>
      <c r="T239" s="322" t="e">
        <f>+#REF!*365/$D239</f>
        <v>#REF!</v>
      </c>
      <c r="U239" s="322" t="e">
        <f>+#REF!*365/$D239</f>
        <v>#REF!</v>
      </c>
      <c r="V239" s="322" t="e">
        <f>+#REF!*365/$D239</f>
        <v>#REF!</v>
      </c>
      <c r="W239" s="322" t="e">
        <f>+#REF!*365/$D239</f>
        <v>#REF!</v>
      </c>
      <c r="X239" s="322" t="e">
        <f>+#REF!*365/$D239</f>
        <v>#REF!</v>
      </c>
      <c r="Y239" s="322" t="e">
        <f>+#REF!*365/$D239</f>
        <v>#REF!</v>
      </c>
      <c r="Z239" s="322" t="e">
        <f>+#REF!*365/$D239</f>
        <v>#REF!</v>
      </c>
      <c r="AA239" s="343" t="e">
        <f t="shared" si="71"/>
        <v>#REF!</v>
      </c>
    </row>
    <row r="240" spans="1:27" ht="24.95" customHeight="1">
      <c r="A240" s="260" t="str">
        <f>+Pobl_adoptada!A78</f>
        <v>General Rodríguez</v>
      </c>
      <c r="B240" s="70">
        <f>+Pobl_adoptada!B78</f>
        <v>74</v>
      </c>
      <c r="C240" s="71" t="str">
        <f>+Pobl_adoptada!C78</f>
        <v>General Rodríguez</v>
      </c>
      <c r="D240" s="348">
        <v>0.75</v>
      </c>
      <c r="E240" s="278"/>
      <c r="F240" s="263"/>
      <c r="G240" s="322">
        <f t="shared" ref="G240:Z240" si="80">+G78*365/$D240</f>
        <v>75305.659097600015</v>
      </c>
      <c r="H240" s="322">
        <f t="shared" si="80"/>
        <v>73301.021164799997</v>
      </c>
      <c r="I240" s="322">
        <f t="shared" si="80"/>
        <v>71062.082431999996</v>
      </c>
      <c r="J240" s="322">
        <f t="shared" si="80"/>
        <v>66585.507520000014</v>
      </c>
      <c r="K240" s="322">
        <f t="shared" si="80"/>
        <v>61741.159775999993</v>
      </c>
      <c r="L240" s="322">
        <f t="shared" si="80"/>
        <v>63584.670240000007</v>
      </c>
      <c r="M240" s="322">
        <f t="shared" si="80"/>
        <v>65458.560384000004</v>
      </c>
      <c r="N240" s="322">
        <f t="shared" si="80"/>
        <v>67363.187615999996</v>
      </c>
      <c r="O240" s="322">
        <f t="shared" si="80"/>
        <v>69298.551935999989</v>
      </c>
      <c r="P240" s="322">
        <f t="shared" si="80"/>
        <v>71265.368160000013</v>
      </c>
      <c r="Q240" s="322">
        <f t="shared" si="80"/>
        <v>73264.708511999997</v>
      </c>
      <c r="R240" s="322">
        <f t="shared" si="80"/>
        <v>75296.215584000005</v>
      </c>
      <c r="S240" s="322">
        <f t="shared" si="80"/>
        <v>77361.319007999991</v>
      </c>
      <c r="T240" s="322">
        <f t="shared" si="80"/>
        <v>79459.661376000018</v>
      </c>
      <c r="U240" s="322">
        <f t="shared" si="80"/>
        <v>81592.672319999998</v>
      </c>
      <c r="V240" s="322">
        <f t="shared" si="80"/>
        <v>83760.351840000003</v>
      </c>
      <c r="W240" s="322">
        <f t="shared" si="80"/>
        <v>85963.057344000001</v>
      </c>
      <c r="X240" s="322">
        <f t="shared" si="80"/>
        <v>88201.861055999994</v>
      </c>
      <c r="Y240" s="322">
        <f t="shared" si="80"/>
        <v>90477.477791999991</v>
      </c>
      <c r="Z240" s="322">
        <f t="shared" si="80"/>
        <v>92789.907552000004</v>
      </c>
      <c r="AA240" s="343">
        <f t="shared" si="71"/>
        <v>75656.650035519997</v>
      </c>
    </row>
    <row r="241" spans="1:27" ht="24.95" customHeight="1">
      <c r="A241" s="260" t="str">
        <f>+Pobl_adoptada!A79</f>
        <v>General Viamonte</v>
      </c>
      <c r="B241" s="70">
        <f>+Pobl_adoptada!B79</f>
        <v>75</v>
      </c>
      <c r="C241" s="71" t="str">
        <f>+Pobl_adoptada!C79</f>
        <v>Los Toldos</v>
      </c>
      <c r="D241" s="348">
        <v>0.75</v>
      </c>
      <c r="E241" s="278"/>
      <c r="F241" s="263"/>
      <c r="G241" s="322">
        <f t="shared" ref="G241:Z241" si="81">+G79*365/$D241</f>
        <v>8422.724270933335</v>
      </c>
      <c r="H241" s="322">
        <f t="shared" si="81"/>
        <v>8005.672896</v>
      </c>
      <c r="I241" s="322">
        <f t="shared" si="81"/>
        <v>7582.0844586666681</v>
      </c>
      <c r="J241" s="322">
        <f t="shared" si="81"/>
        <v>6942.7399466666675</v>
      </c>
      <c r="K241" s="322">
        <f t="shared" si="81"/>
        <v>6293.7796800000006</v>
      </c>
      <c r="L241" s="322">
        <f t="shared" si="81"/>
        <v>6338.7219839999998</v>
      </c>
      <c r="M241" s="322">
        <f t="shared" si="81"/>
        <v>6384.0357120000008</v>
      </c>
      <c r="N241" s="322">
        <f t="shared" si="81"/>
        <v>6428.9780160000009</v>
      </c>
      <c r="O241" s="322">
        <f t="shared" si="81"/>
        <v>6473.9203200000002</v>
      </c>
      <c r="P241" s="322">
        <f t="shared" si="81"/>
        <v>6519.2340480000012</v>
      </c>
      <c r="Q241" s="322">
        <f t="shared" si="81"/>
        <v>6564.1763520000013</v>
      </c>
      <c r="R241" s="322">
        <f t="shared" si="81"/>
        <v>6609.4900799999996</v>
      </c>
      <c r="S241" s="322">
        <f t="shared" si="81"/>
        <v>6654.4323840000006</v>
      </c>
      <c r="T241" s="322">
        <f t="shared" si="81"/>
        <v>6699.7461120000007</v>
      </c>
      <c r="U241" s="322">
        <f t="shared" si="81"/>
        <v>6744.688416</v>
      </c>
      <c r="V241" s="322">
        <f t="shared" si="81"/>
        <v>6789.6307200000001</v>
      </c>
      <c r="W241" s="322">
        <f t="shared" si="81"/>
        <v>6834.944448000002</v>
      </c>
      <c r="X241" s="322">
        <f t="shared" si="81"/>
        <v>6879.8867519999994</v>
      </c>
      <c r="Y241" s="322">
        <f t="shared" si="81"/>
        <v>6925.2004800000004</v>
      </c>
      <c r="Z241" s="322">
        <f t="shared" si="81"/>
        <v>6970.1427840000024</v>
      </c>
      <c r="AA241" s="343">
        <f t="shared" si="71"/>
        <v>6853.2114930133339</v>
      </c>
    </row>
    <row r="242" spans="1:27" ht="24.95" customHeight="1">
      <c r="A242" s="260" t="str">
        <f>+Pobl_adoptada!A80</f>
        <v>General Villegas</v>
      </c>
      <c r="B242" s="70">
        <f>+Pobl_adoptada!B80</f>
        <v>76</v>
      </c>
      <c r="C242" s="71" t="str">
        <f>+Pobl_adoptada!C80</f>
        <v>General Villegas</v>
      </c>
      <c r="D242" s="348">
        <v>0.75</v>
      </c>
      <c r="E242" s="278"/>
      <c r="F242" s="263"/>
      <c r="G242" s="322">
        <f t="shared" ref="G242:Z242" si="82">+G80*365/$D242</f>
        <v>11498.280068266666</v>
      </c>
      <c r="H242" s="322">
        <f t="shared" si="82"/>
        <v>10990.1761632</v>
      </c>
      <c r="I242" s="322">
        <f t="shared" si="82"/>
        <v>10467.017205333335</v>
      </c>
      <c r="J242" s="322">
        <f t="shared" si="82"/>
        <v>9638.8654933333328</v>
      </c>
      <c r="K242" s="322">
        <f t="shared" si="82"/>
        <v>8787.891840000002</v>
      </c>
      <c r="L242" s="322">
        <f t="shared" si="82"/>
        <v>8901.9190079999989</v>
      </c>
      <c r="M242" s="322">
        <f t="shared" si="82"/>
        <v>9017.803296</v>
      </c>
      <c r="N242" s="322">
        <f t="shared" si="82"/>
        <v>9134.8018560000019</v>
      </c>
      <c r="O242" s="322">
        <f t="shared" si="82"/>
        <v>9253.6575360000006</v>
      </c>
      <c r="P242" s="322">
        <f t="shared" si="82"/>
        <v>9373.9989120000009</v>
      </c>
      <c r="Q242" s="322">
        <f t="shared" si="82"/>
        <v>9495.8259840000028</v>
      </c>
      <c r="R242" s="322">
        <f t="shared" si="82"/>
        <v>9619.1387520000026</v>
      </c>
      <c r="S242" s="322">
        <f t="shared" si="82"/>
        <v>9744.3086400000011</v>
      </c>
      <c r="T242" s="322">
        <f t="shared" si="82"/>
        <v>9870.9642240000012</v>
      </c>
      <c r="U242" s="322">
        <f t="shared" si="82"/>
        <v>9999.105504000001</v>
      </c>
      <c r="V242" s="322">
        <f t="shared" si="82"/>
        <v>10129.103904</v>
      </c>
      <c r="W242" s="322">
        <f t="shared" si="82"/>
        <v>10260.588000000002</v>
      </c>
      <c r="X242" s="322">
        <f t="shared" si="82"/>
        <v>10393.929216000002</v>
      </c>
      <c r="Y242" s="322">
        <f t="shared" si="82"/>
        <v>10529.127552</v>
      </c>
      <c r="Z242" s="322">
        <f t="shared" si="82"/>
        <v>10665.811584000001</v>
      </c>
      <c r="AA242" s="343">
        <f t="shared" si="71"/>
        <v>9888.6157369066659</v>
      </c>
    </row>
    <row r="243" spans="1:27" ht="24.95" customHeight="1">
      <c r="A243" s="260" t="str">
        <f>+Pobl_adoptada!A81</f>
        <v>Guaminí</v>
      </c>
      <c r="B243" s="70">
        <f>+Pobl_adoptada!B81</f>
        <v>77</v>
      </c>
      <c r="C243" s="71" t="str">
        <f>+Pobl_adoptada!C81</f>
        <v>Guaminí</v>
      </c>
      <c r="D243" s="348">
        <v>0.75</v>
      </c>
      <c r="E243" s="278"/>
      <c r="F243" s="263"/>
      <c r="G243" s="322">
        <f t="shared" ref="G243:Z243" si="83">+G81*365/$D243</f>
        <v>1290.7041621333333</v>
      </c>
      <c r="H243" s="322">
        <f t="shared" si="83"/>
        <v>1220.3563008000001</v>
      </c>
      <c r="I243" s="322">
        <f t="shared" si="83"/>
        <v>1149.3135573333334</v>
      </c>
      <c r="J243" s="322">
        <f t="shared" si="83"/>
        <v>1046.9796266666665</v>
      </c>
      <c r="K243" s="322">
        <f t="shared" si="83"/>
        <v>944.21587200000022</v>
      </c>
      <c r="L243" s="322">
        <f t="shared" si="83"/>
        <v>946.15008000000023</v>
      </c>
      <c r="M243" s="322">
        <f t="shared" si="83"/>
        <v>947.76192000000003</v>
      </c>
      <c r="N243" s="322">
        <f t="shared" si="83"/>
        <v>949.69612800000004</v>
      </c>
      <c r="O243" s="322">
        <f t="shared" si="83"/>
        <v>951.63033600000006</v>
      </c>
      <c r="P243" s="322">
        <f t="shared" si="83"/>
        <v>953.24217599999986</v>
      </c>
      <c r="Q243" s="322">
        <f t="shared" si="83"/>
        <v>955.17638399999998</v>
      </c>
      <c r="R243" s="322">
        <f t="shared" si="83"/>
        <v>957.110592</v>
      </c>
      <c r="S243" s="322">
        <f t="shared" si="83"/>
        <v>959.04480000000012</v>
      </c>
      <c r="T243" s="322">
        <f t="shared" si="83"/>
        <v>960.65664000000004</v>
      </c>
      <c r="U243" s="322">
        <f t="shared" si="83"/>
        <v>962.59084800000016</v>
      </c>
      <c r="V243" s="322">
        <f t="shared" si="83"/>
        <v>964.52505600000029</v>
      </c>
      <c r="W243" s="322">
        <f t="shared" si="83"/>
        <v>966.45926400000008</v>
      </c>
      <c r="X243" s="322">
        <f t="shared" si="83"/>
        <v>968.0711040000001</v>
      </c>
      <c r="Y243" s="322">
        <f t="shared" si="83"/>
        <v>970.00531200000012</v>
      </c>
      <c r="Z243" s="322">
        <f t="shared" si="83"/>
        <v>971.93952000000002</v>
      </c>
      <c r="AA243" s="343">
        <f t="shared" si="71"/>
        <v>1001.7814839466666</v>
      </c>
    </row>
    <row r="244" spans="1:27" ht="24.95" customHeight="1">
      <c r="A244" s="260" t="str">
        <f>+Pobl_adoptada!A82</f>
        <v>Hipólito Yrigoyen</v>
      </c>
      <c r="B244" s="70">
        <f>+Pobl_adoptada!B82</f>
        <v>78</v>
      </c>
      <c r="C244" s="71" t="str">
        <f>+Pobl_adoptada!C82</f>
        <v>Henderson</v>
      </c>
      <c r="D244" s="348">
        <v>0.75</v>
      </c>
      <c r="E244" s="278"/>
      <c r="F244" s="263"/>
      <c r="G244" s="322">
        <f t="shared" ref="G244:Z244" si="84">+G82*365/$D244</f>
        <v>4210.1117525333329</v>
      </c>
      <c r="H244" s="322">
        <f t="shared" si="84"/>
        <v>3995.4934656000005</v>
      </c>
      <c r="I244" s="322">
        <f t="shared" si="84"/>
        <v>3778.1171413333336</v>
      </c>
      <c r="J244" s="322">
        <f t="shared" si="84"/>
        <v>3454.3522133333331</v>
      </c>
      <c r="K244" s="322">
        <f t="shared" si="84"/>
        <v>3126.9695999999999</v>
      </c>
      <c r="L244" s="322">
        <f t="shared" si="84"/>
        <v>3145.0222080000008</v>
      </c>
      <c r="M244" s="322">
        <f t="shared" si="84"/>
        <v>3163.0748160000007</v>
      </c>
      <c r="N244" s="322">
        <f t="shared" si="84"/>
        <v>3181.4497919999999</v>
      </c>
      <c r="O244" s="322">
        <f t="shared" si="84"/>
        <v>3199.8247680000004</v>
      </c>
      <c r="P244" s="322">
        <f t="shared" si="84"/>
        <v>3218.199744</v>
      </c>
      <c r="Q244" s="322">
        <f t="shared" si="84"/>
        <v>3236.8970880000002</v>
      </c>
      <c r="R244" s="322">
        <f t="shared" si="84"/>
        <v>3255.5944319999999</v>
      </c>
      <c r="S244" s="322">
        <f t="shared" si="84"/>
        <v>3274.291776</v>
      </c>
      <c r="T244" s="322">
        <f t="shared" si="84"/>
        <v>3293.3114880000007</v>
      </c>
      <c r="U244" s="322">
        <f t="shared" si="84"/>
        <v>3312.3312000000001</v>
      </c>
      <c r="V244" s="322">
        <f t="shared" si="84"/>
        <v>3331.3509120000003</v>
      </c>
      <c r="W244" s="322">
        <f t="shared" si="84"/>
        <v>3350.6929920000002</v>
      </c>
      <c r="X244" s="322">
        <f t="shared" si="84"/>
        <v>3370.0350720000006</v>
      </c>
      <c r="Y244" s="322">
        <f t="shared" si="84"/>
        <v>3389.3771520000009</v>
      </c>
      <c r="Z244" s="322">
        <f t="shared" si="84"/>
        <v>3409.0416</v>
      </c>
      <c r="AA244" s="343">
        <f t="shared" si="71"/>
        <v>3384.7769606399997</v>
      </c>
    </row>
    <row r="245" spans="1:27" ht="24.95" customHeight="1">
      <c r="A245" s="260" t="str">
        <f>+Pobl_adoptada!A83</f>
        <v>Junín</v>
      </c>
      <c r="B245" s="70">
        <f>+Pobl_adoptada!B83</f>
        <v>79</v>
      </c>
      <c r="C245" s="71" t="str">
        <f>+Pobl_adoptada!C83</f>
        <v>Junín</v>
      </c>
      <c r="D245" s="348">
        <v>0.75</v>
      </c>
      <c r="E245" s="278"/>
      <c r="F245" s="263"/>
      <c r="G245" s="322">
        <f t="shared" ref="G245:Z245" si="85">+G83*365/$D245</f>
        <v>48438.251340799994</v>
      </c>
      <c r="H245" s="322">
        <f t="shared" si="85"/>
        <v>46010.95462080001</v>
      </c>
      <c r="I245" s="322">
        <f t="shared" si="85"/>
        <v>43546.471583999999</v>
      </c>
      <c r="J245" s="322">
        <f t="shared" si="85"/>
        <v>39849.800640000009</v>
      </c>
      <c r="K245" s="322">
        <f t="shared" si="85"/>
        <v>36100.709856000009</v>
      </c>
      <c r="L245" s="322">
        <f t="shared" si="85"/>
        <v>36336.599135999997</v>
      </c>
      <c r="M245" s="322">
        <f t="shared" si="85"/>
        <v>36572.488416000007</v>
      </c>
      <c r="N245" s="322">
        <f t="shared" si="85"/>
        <v>36808.377696000003</v>
      </c>
      <c r="O245" s="322">
        <f t="shared" si="85"/>
        <v>37044.266975999999</v>
      </c>
      <c r="P245" s="322">
        <f t="shared" si="85"/>
        <v>37280.156255999995</v>
      </c>
      <c r="Q245" s="322">
        <f t="shared" si="85"/>
        <v>37516.045535999998</v>
      </c>
      <c r="R245" s="322">
        <f t="shared" si="85"/>
        <v>37751.934816000001</v>
      </c>
      <c r="S245" s="322">
        <f t="shared" si="85"/>
        <v>37988.181503999993</v>
      </c>
      <c r="T245" s="322">
        <f t="shared" si="85"/>
        <v>38224.070784000003</v>
      </c>
      <c r="U245" s="322">
        <f t="shared" si="85"/>
        <v>38459.960064000006</v>
      </c>
      <c r="V245" s="322">
        <f t="shared" si="85"/>
        <v>38695.849344000009</v>
      </c>
      <c r="W245" s="322">
        <f t="shared" si="85"/>
        <v>38931.738623999998</v>
      </c>
      <c r="X245" s="322">
        <f t="shared" si="85"/>
        <v>39167.627904000008</v>
      </c>
      <c r="Y245" s="322">
        <f t="shared" si="85"/>
        <v>39403.517184000004</v>
      </c>
      <c r="Z245" s="322">
        <f t="shared" si="85"/>
        <v>39639.406464</v>
      </c>
      <c r="AA245" s="343">
        <f t="shared" si="71"/>
        <v>39188.320437279996</v>
      </c>
    </row>
    <row r="246" spans="1:27" ht="24.95" customHeight="1">
      <c r="A246" s="260" t="str">
        <f>+Pobl_adoptada!A84</f>
        <v>La Costa</v>
      </c>
      <c r="B246" s="70">
        <f>+Pobl_adoptada!B84</f>
        <v>80</v>
      </c>
      <c r="C246" s="71" t="str">
        <f>+Pobl_adoptada!C84</f>
        <v>Mar de Ajó - San Bernardo</v>
      </c>
      <c r="D246" s="348">
        <v>0.75</v>
      </c>
      <c r="E246" s="278"/>
      <c r="F246" s="263"/>
      <c r="G246" s="322">
        <f t="shared" ref="G246:Z246" si="86">+G84*365/$D246</f>
        <v>49103.030220800014</v>
      </c>
      <c r="H246" s="322">
        <f t="shared" si="86"/>
        <v>47617.181913600005</v>
      </c>
      <c r="I246" s="322">
        <f t="shared" si="86"/>
        <v>45976.567999999999</v>
      </c>
      <c r="J246" s="322">
        <f t="shared" si="86"/>
        <v>42896.108159999996</v>
      </c>
      <c r="K246" s="322">
        <f t="shared" si="86"/>
        <v>39595.445280000007</v>
      </c>
      <c r="L246" s="322">
        <f t="shared" si="86"/>
        <v>40807.415807999998</v>
      </c>
      <c r="M246" s="322">
        <f t="shared" si="86"/>
        <v>42019.743744000007</v>
      </c>
      <c r="N246" s="322">
        <f t="shared" si="86"/>
        <v>43231.714272000005</v>
      </c>
      <c r="O246" s="322">
        <f t="shared" si="86"/>
        <v>44443.68480000001</v>
      </c>
      <c r="P246" s="322">
        <f t="shared" si="86"/>
        <v>45656.012736000004</v>
      </c>
      <c r="Q246" s="322">
        <f t="shared" si="86"/>
        <v>46867.983264000002</v>
      </c>
      <c r="R246" s="322">
        <f t="shared" si="86"/>
        <v>48080.311200000004</v>
      </c>
      <c r="S246" s="322">
        <f t="shared" si="86"/>
        <v>49292.281728000002</v>
      </c>
      <c r="T246" s="322">
        <f t="shared" si="86"/>
        <v>50504.252256000007</v>
      </c>
      <c r="U246" s="322">
        <f t="shared" si="86"/>
        <v>51716.580192000001</v>
      </c>
      <c r="V246" s="322">
        <f t="shared" si="86"/>
        <v>52928.550719999999</v>
      </c>
      <c r="W246" s="322">
        <f t="shared" si="86"/>
        <v>54140.878656000008</v>
      </c>
      <c r="X246" s="322">
        <f t="shared" si="86"/>
        <v>55352.849183999999</v>
      </c>
      <c r="Y246" s="322">
        <f t="shared" si="86"/>
        <v>56565.17712</v>
      </c>
      <c r="Z246" s="322">
        <f t="shared" si="86"/>
        <v>57777.147648000006</v>
      </c>
      <c r="AA246" s="343">
        <f t="shared" si="71"/>
        <v>48228.645845120016</v>
      </c>
    </row>
    <row r="247" spans="1:27" ht="24.95" customHeight="1">
      <c r="A247" s="264" t="e">
        <f>+Pobl_adoptada!#REF!</f>
        <v>#REF!</v>
      </c>
      <c r="B247" s="265" t="e">
        <f>+Pobl_adoptada!#REF!</f>
        <v>#REF!</v>
      </c>
      <c r="C247" s="266" t="e">
        <f>+Pobl_adoptada!#REF!</f>
        <v>#REF!</v>
      </c>
      <c r="D247" s="348">
        <v>0.75</v>
      </c>
      <c r="E247" s="267"/>
      <c r="F247" s="268"/>
      <c r="G247" s="322" t="e">
        <f>+#REF!*365/$D247</f>
        <v>#REF!</v>
      </c>
      <c r="H247" s="322" t="e">
        <f>+#REF!*365/$D247</f>
        <v>#REF!</v>
      </c>
      <c r="I247" s="322" t="e">
        <f>+#REF!*365/$D247</f>
        <v>#REF!</v>
      </c>
      <c r="J247" s="322" t="e">
        <f>+#REF!*365/$D247</f>
        <v>#REF!</v>
      </c>
      <c r="K247" s="322" t="e">
        <f>+#REF!*365/$D247</f>
        <v>#REF!</v>
      </c>
      <c r="L247" s="322" t="e">
        <f>+#REF!*365/$D247</f>
        <v>#REF!</v>
      </c>
      <c r="M247" s="322" t="e">
        <f>+#REF!*365/$D247</f>
        <v>#REF!</v>
      </c>
      <c r="N247" s="322" t="e">
        <f>+#REF!*365/$D247</f>
        <v>#REF!</v>
      </c>
      <c r="O247" s="322" t="e">
        <f>+#REF!*365/$D247</f>
        <v>#REF!</v>
      </c>
      <c r="P247" s="322" t="e">
        <f>+#REF!*365/$D247</f>
        <v>#REF!</v>
      </c>
      <c r="Q247" s="322" t="e">
        <f>+#REF!*365/$D247</f>
        <v>#REF!</v>
      </c>
      <c r="R247" s="322" t="e">
        <f>+#REF!*365/$D247</f>
        <v>#REF!</v>
      </c>
      <c r="S247" s="322" t="e">
        <f>+#REF!*365/$D247</f>
        <v>#REF!</v>
      </c>
      <c r="T247" s="322" t="e">
        <f>+#REF!*365/$D247</f>
        <v>#REF!</v>
      </c>
      <c r="U247" s="322" t="e">
        <f>+#REF!*365/$D247</f>
        <v>#REF!</v>
      </c>
      <c r="V247" s="322" t="e">
        <f>+#REF!*365/$D247</f>
        <v>#REF!</v>
      </c>
      <c r="W247" s="322" t="e">
        <f>+#REF!*365/$D247</f>
        <v>#REF!</v>
      </c>
      <c r="X247" s="322" t="e">
        <f>+#REF!*365/$D247</f>
        <v>#REF!</v>
      </c>
      <c r="Y247" s="322" t="e">
        <f>+#REF!*365/$D247</f>
        <v>#REF!</v>
      </c>
      <c r="Z247" s="322" t="e">
        <f>+#REF!*365/$D247</f>
        <v>#REF!</v>
      </c>
      <c r="AA247" s="343" t="e">
        <f t="shared" si="71"/>
        <v>#REF!</v>
      </c>
    </row>
    <row r="248" spans="1:27" ht="24.95" customHeight="1">
      <c r="A248" s="260" t="str">
        <f>+Pobl_adoptada!A85</f>
        <v>La Costa</v>
      </c>
      <c r="B248" s="70">
        <f>+Pobl_adoptada!B85</f>
        <v>81</v>
      </c>
      <c r="C248" s="71" t="str">
        <f>+Pobl_adoptada!C85</f>
        <v>Santa Teresita - Mar del Tuyú</v>
      </c>
      <c r="D248" s="348">
        <v>0.75</v>
      </c>
      <c r="E248" s="278"/>
      <c r="F248" s="263"/>
      <c r="G248" s="322">
        <f t="shared" ref="G248:Z248" si="87">+G85*365/$D248</f>
        <v>31260.857510400005</v>
      </c>
      <c r="H248" s="322">
        <f t="shared" si="87"/>
        <v>30031.8505344</v>
      </c>
      <c r="I248" s="322">
        <f t="shared" si="87"/>
        <v>28737.866784000009</v>
      </c>
      <c r="J248" s="322">
        <f t="shared" si="87"/>
        <v>26582.815679999996</v>
      </c>
      <c r="K248" s="322">
        <f t="shared" si="87"/>
        <v>24336.625536000003</v>
      </c>
      <c r="L248" s="322">
        <f t="shared" si="87"/>
        <v>24748.359552000005</v>
      </c>
      <c r="M248" s="322">
        <f t="shared" si="87"/>
        <v>25159.73616</v>
      </c>
      <c r="N248" s="322">
        <f t="shared" si="87"/>
        <v>25571.827583999999</v>
      </c>
      <c r="O248" s="322">
        <f t="shared" si="87"/>
        <v>25983.561599999997</v>
      </c>
      <c r="P248" s="322">
        <f t="shared" si="87"/>
        <v>26395.295616000003</v>
      </c>
      <c r="Q248" s="322">
        <f t="shared" si="87"/>
        <v>26807.387040000001</v>
      </c>
      <c r="R248" s="322">
        <f t="shared" si="87"/>
        <v>27218.763647999996</v>
      </c>
      <c r="S248" s="322">
        <f t="shared" si="87"/>
        <v>27630.497664000006</v>
      </c>
      <c r="T248" s="322">
        <f t="shared" si="87"/>
        <v>28042.589088000004</v>
      </c>
      <c r="U248" s="322">
        <f t="shared" si="87"/>
        <v>28454.323103999999</v>
      </c>
      <c r="V248" s="322">
        <f t="shared" si="87"/>
        <v>28866.057120000001</v>
      </c>
      <c r="W248" s="322">
        <f t="shared" si="87"/>
        <v>29277.791136</v>
      </c>
      <c r="X248" s="322">
        <f t="shared" si="87"/>
        <v>29689.525152000002</v>
      </c>
      <c r="Y248" s="322">
        <f t="shared" si="87"/>
        <v>30101.259167999993</v>
      </c>
      <c r="Z248" s="322">
        <f t="shared" si="87"/>
        <v>30513.350592000003</v>
      </c>
      <c r="AA248" s="343">
        <f t="shared" si="71"/>
        <v>27770.517013440003</v>
      </c>
    </row>
    <row r="249" spans="1:27" ht="24.95" customHeight="1">
      <c r="A249" s="264" t="e">
        <f>+Pobl_adoptada!#REF!</f>
        <v>#REF!</v>
      </c>
      <c r="B249" s="265" t="e">
        <f>+Pobl_adoptada!#REF!</f>
        <v>#REF!</v>
      </c>
      <c r="C249" s="266" t="e">
        <f>+Pobl_adoptada!#REF!</f>
        <v>#REF!</v>
      </c>
      <c r="D249" s="348">
        <v>0.75</v>
      </c>
      <c r="E249" s="267"/>
      <c r="F249" s="268"/>
      <c r="G249" s="322" t="e">
        <f>+#REF!*365/$D249</f>
        <v>#REF!</v>
      </c>
      <c r="H249" s="322" t="e">
        <f>+#REF!*365/$D249</f>
        <v>#REF!</v>
      </c>
      <c r="I249" s="322" t="e">
        <f>+#REF!*365/$D249</f>
        <v>#REF!</v>
      </c>
      <c r="J249" s="322" t="e">
        <f>+#REF!*365/$D249</f>
        <v>#REF!</v>
      </c>
      <c r="K249" s="322" t="e">
        <f>+#REF!*365/$D249</f>
        <v>#REF!</v>
      </c>
      <c r="L249" s="322" t="e">
        <f>+#REF!*365/$D249</f>
        <v>#REF!</v>
      </c>
      <c r="M249" s="322" t="e">
        <f>+#REF!*365/$D249</f>
        <v>#REF!</v>
      </c>
      <c r="N249" s="322" t="e">
        <f>+#REF!*365/$D249</f>
        <v>#REF!</v>
      </c>
      <c r="O249" s="322" t="e">
        <f>+#REF!*365/$D249</f>
        <v>#REF!</v>
      </c>
      <c r="P249" s="322" t="e">
        <f>+#REF!*365/$D249</f>
        <v>#REF!</v>
      </c>
      <c r="Q249" s="322" t="e">
        <f>+#REF!*365/$D249</f>
        <v>#REF!</v>
      </c>
      <c r="R249" s="322" t="e">
        <f>+#REF!*365/$D249</f>
        <v>#REF!</v>
      </c>
      <c r="S249" s="322" t="e">
        <f>+#REF!*365/$D249</f>
        <v>#REF!</v>
      </c>
      <c r="T249" s="322" t="e">
        <f>+#REF!*365/$D249</f>
        <v>#REF!</v>
      </c>
      <c r="U249" s="322" t="e">
        <f>+#REF!*365/$D249</f>
        <v>#REF!</v>
      </c>
      <c r="V249" s="322" t="e">
        <f>+#REF!*365/$D249</f>
        <v>#REF!</v>
      </c>
      <c r="W249" s="322" t="e">
        <f>+#REF!*365/$D249</f>
        <v>#REF!</v>
      </c>
      <c r="X249" s="322" t="e">
        <f>+#REF!*365/$D249</f>
        <v>#REF!</v>
      </c>
      <c r="Y249" s="322" t="e">
        <f>+#REF!*365/$D249</f>
        <v>#REF!</v>
      </c>
      <c r="Z249" s="322" t="e">
        <f>+#REF!*365/$D249</f>
        <v>#REF!</v>
      </c>
      <c r="AA249" s="343" t="e">
        <f t="shared" si="71"/>
        <v>#REF!</v>
      </c>
    </row>
    <row r="250" spans="1:27" ht="24.95" customHeight="1">
      <c r="A250" s="260" t="str">
        <f>+Pobl_adoptada!A86</f>
        <v>La Plata</v>
      </c>
      <c r="B250" s="70">
        <f>+Pobl_adoptada!B86</f>
        <v>82</v>
      </c>
      <c r="C250" s="71" t="str">
        <f>+Pobl_adoptada!C86</f>
        <v>La Plata</v>
      </c>
      <c r="D250" s="348">
        <v>0.75</v>
      </c>
      <c r="E250" s="278"/>
      <c r="F250" s="263"/>
      <c r="G250" s="322">
        <f t="shared" ref="G250:Z250" si="88">+G86*365/$D250</f>
        <v>523408.43721599993</v>
      </c>
      <c r="H250" s="322">
        <f t="shared" si="88"/>
        <v>499406.01759360003</v>
      </c>
      <c r="I250" s="322">
        <f t="shared" si="88"/>
        <v>474798.08411199995</v>
      </c>
      <c r="J250" s="322">
        <f t="shared" si="88"/>
        <v>436480.84080000006</v>
      </c>
      <c r="K250" s="322">
        <f t="shared" si="88"/>
        <v>397242.77198399999</v>
      </c>
      <c r="L250" s="322">
        <f t="shared" si="88"/>
        <v>401702.68771200016</v>
      </c>
      <c r="M250" s="322">
        <f t="shared" si="88"/>
        <v>406212.50390399992</v>
      </c>
      <c r="N250" s="322">
        <f t="shared" si="88"/>
        <v>410773.20868800004</v>
      </c>
      <c r="O250" s="322">
        <f t="shared" si="88"/>
        <v>415384.80206399993</v>
      </c>
      <c r="P250" s="322">
        <f t="shared" si="88"/>
        <v>420048.27215999993</v>
      </c>
      <c r="Q250" s="322">
        <f t="shared" si="88"/>
        <v>424764.11303999997</v>
      </c>
      <c r="R250" s="322">
        <f t="shared" si="88"/>
        <v>429532.818768</v>
      </c>
      <c r="S250" s="322">
        <f t="shared" si="88"/>
        <v>434354.88340799999</v>
      </c>
      <c r="T250" s="322">
        <f t="shared" si="88"/>
        <v>439231.29508800007</v>
      </c>
      <c r="U250" s="322">
        <f t="shared" si="88"/>
        <v>444162.54787199997</v>
      </c>
      <c r="V250" s="322">
        <f t="shared" si="88"/>
        <v>449149.135824</v>
      </c>
      <c r="W250" s="322">
        <f t="shared" si="88"/>
        <v>454192.04707199993</v>
      </c>
      <c r="X250" s="322">
        <f t="shared" si="88"/>
        <v>459290.78755200002</v>
      </c>
      <c r="Y250" s="322">
        <f t="shared" si="88"/>
        <v>464447.33351999993</v>
      </c>
      <c r="Z250" s="322">
        <f t="shared" si="88"/>
        <v>469661.68497600005</v>
      </c>
      <c r="AA250" s="343">
        <f t="shared" si="71"/>
        <v>442712.21366768004</v>
      </c>
    </row>
    <row r="251" spans="1:27" ht="24.95" customHeight="1">
      <c r="A251" s="260" t="str">
        <f>+Pobl_adoptada!A87</f>
        <v>Laprida</v>
      </c>
      <c r="B251" s="70">
        <f>+Pobl_adoptada!B87</f>
        <v>83</v>
      </c>
      <c r="C251" s="71" t="str">
        <f>+Pobl_adoptada!C87</f>
        <v>Laprida</v>
      </c>
      <c r="D251" s="348">
        <v>0.75</v>
      </c>
      <c r="E251" s="278"/>
      <c r="F251" s="263"/>
      <c r="G251" s="322">
        <f t="shared" ref="G251:Z251" si="89">+G87*365/$D251</f>
        <v>4509.0256896000001</v>
      </c>
      <c r="H251" s="322">
        <f t="shared" si="89"/>
        <v>4291.3628160000007</v>
      </c>
      <c r="I251" s="322">
        <f t="shared" si="89"/>
        <v>4069.6810879999998</v>
      </c>
      <c r="J251" s="322">
        <f t="shared" si="89"/>
        <v>3731.94688</v>
      </c>
      <c r="K251" s="322">
        <f t="shared" si="89"/>
        <v>3387.765312</v>
      </c>
      <c r="L251" s="322">
        <f t="shared" si="89"/>
        <v>3417.4231679999998</v>
      </c>
      <c r="M251" s="322">
        <f t="shared" si="89"/>
        <v>3447.081024000001</v>
      </c>
      <c r="N251" s="322">
        <f t="shared" si="89"/>
        <v>3477.0612480000004</v>
      </c>
      <c r="O251" s="322">
        <f t="shared" si="89"/>
        <v>3507.0414719999994</v>
      </c>
      <c r="P251" s="322">
        <f t="shared" si="89"/>
        <v>3537.6664320000004</v>
      </c>
      <c r="Q251" s="322">
        <f t="shared" si="89"/>
        <v>3568.2913920000005</v>
      </c>
      <c r="R251" s="322">
        <f t="shared" si="89"/>
        <v>3599.2387200000007</v>
      </c>
      <c r="S251" s="322">
        <f t="shared" si="89"/>
        <v>3630.5084160000001</v>
      </c>
      <c r="T251" s="322">
        <f t="shared" si="89"/>
        <v>3662.1004799999996</v>
      </c>
      <c r="U251" s="322">
        <f t="shared" si="89"/>
        <v>3694.0149120000001</v>
      </c>
      <c r="V251" s="322">
        <f t="shared" si="89"/>
        <v>3725.9293440000001</v>
      </c>
      <c r="W251" s="322">
        <f t="shared" si="89"/>
        <v>3758.4885119999999</v>
      </c>
      <c r="X251" s="322">
        <f t="shared" si="89"/>
        <v>3791.0476800000001</v>
      </c>
      <c r="Y251" s="322">
        <f t="shared" si="89"/>
        <v>3823.9292160000005</v>
      </c>
      <c r="Z251" s="322">
        <f t="shared" si="89"/>
        <v>3857.1331200000009</v>
      </c>
      <c r="AA251" s="343">
        <f t="shared" si="71"/>
        <v>3724.3368460800002</v>
      </c>
    </row>
    <row r="252" spans="1:27" ht="24.95" customHeight="1">
      <c r="A252" s="260" t="str">
        <f>+Pobl_adoptada!A88</f>
        <v>Las Flores</v>
      </c>
      <c r="B252" s="70">
        <f>+Pobl_adoptada!B88</f>
        <v>84</v>
      </c>
      <c r="C252" s="71" t="str">
        <f>+Pobl_adoptada!C88</f>
        <v>Las Flores</v>
      </c>
      <c r="D252" s="348">
        <v>0.75</v>
      </c>
      <c r="E252" s="278"/>
      <c r="F252" s="263"/>
      <c r="G252" s="322">
        <f t="shared" ref="G252:Z252" si="90">+G88*365/$D252</f>
        <v>12679.887112533337</v>
      </c>
      <c r="H252" s="322">
        <f t="shared" si="90"/>
        <v>12106.5281376</v>
      </c>
      <c r="I252" s="322">
        <f t="shared" si="90"/>
        <v>11516.124927999999</v>
      </c>
      <c r="J252" s="322">
        <f t="shared" si="90"/>
        <v>10590.536320000001</v>
      </c>
      <c r="K252" s="322">
        <f t="shared" si="90"/>
        <v>9641.0527680000014</v>
      </c>
      <c r="L252" s="322">
        <f t="shared" si="90"/>
        <v>9785.9081280000009</v>
      </c>
      <c r="M252" s="322">
        <f t="shared" si="90"/>
        <v>9931.1349119999995</v>
      </c>
      <c r="N252" s="322">
        <f t="shared" si="90"/>
        <v>10075.990272000001</v>
      </c>
      <c r="O252" s="322">
        <f t="shared" si="90"/>
        <v>10221.217056</v>
      </c>
      <c r="P252" s="322">
        <f t="shared" si="90"/>
        <v>10366.072415999999</v>
      </c>
      <c r="Q252" s="322">
        <f t="shared" si="90"/>
        <v>10511.299199999999</v>
      </c>
      <c r="R252" s="322">
        <f t="shared" si="90"/>
        <v>10656.154560000001</v>
      </c>
      <c r="S252" s="322">
        <f t="shared" si="90"/>
        <v>10801.381344000001</v>
      </c>
      <c r="T252" s="322">
        <f t="shared" si="90"/>
        <v>10946.236704000003</v>
      </c>
      <c r="U252" s="322">
        <f t="shared" si="90"/>
        <v>11091.463488000001</v>
      </c>
      <c r="V252" s="322">
        <f t="shared" si="90"/>
        <v>11236.318848000003</v>
      </c>
      <c r="W252" s="322">
        <f t="shared" si="90"/>
        <v>11381.545632000001</v>
      </c>
      <c r="X252" s="322">
        <f t="shared" si="90"/>
        <v>11526.400992000001</v>
      </c>
      <c r="Y252" s="322">
        <f t="shared" si="90"/>
        <v>11671.627776000001</v>
      </c>
      <c r="Z252" s="322">
        <f t="shared" si="90"/>
        <v>11816.483136000003</v>
      </c>
      <c r="AA252" s="343">
        <f t="shared" si="71"/>
        <v>10927.668186506668</v>
      </c>
    </row>
    <row r="253" spans="1:27" ht="24.95" customHeight="1">
      <c r="A253" s="260" t="str">
        <f>+Pobl_adoptada!A89</f>
        <v>Leandro N. Alem</v>
      </c>
      <c r="B253" s="70">
        <f>+Pobl_adoptada!B89</f>
        <v>85</v>
      </c>
      <c r="C253" s="71" t="str">
        <f>+Pobl_adoptada!C89</f>
        <v>Vedia</v>
      </c>
      <c r="D253" s="348">
        <v>0.75</v>
      </c>
      <c r="E253" s="278"/>
      <c r="F253" s="263"/>
      <c r="G253" s="322">
        <f t="shared" ref="G253:Z253" si="91">+G89*365/$D253</f>
        <v>4515.6879615999997</v>
      </c>
      <c r="H253" s="322">
        <f t="shared" si="91"/>
        <v>4295.5536000000002</v>
      </c>
      <c r="I253" s="322">
        <f t="shared" si="91"/>
        <v>4071.2571093333336</v>
      </c>
      <c r="J253" s="322">
        <f t="shared" si="91"/>
        <v>3731.2305066666668</v>
      </c>
      <c r="K253" s="322">
        <f t="shared" si="91"/>
        <v>3384.8639999999996</v>
      </c>
      <c r="L253" s="322">
        <f t="shared" si="91"/>
        <v>3411.942912</v>
      </c>
      <c r="M253" s="322">
        <f t="shared" si="91"/>
        <v>3438.6994560000003</v>
      </c>
      <c r="N253" s="322">
        <f t="shared" si="91"/>
        <v>3465.7783679999998</v>
      </c>
      <c r="O253" s="322">
        <f t="shared" si="91"/>
        <v>3492.5349120000005</v>
      </c>
      <c r="P253" s="322">
        <f t="shared" si="91"/>
        <v>3519.613824</v>
      </c>
      <c r="Q253" s="322">
        <f t="shared" si="91"/>
        <v>3546.3703679999999</v>
      </c>
      <c r="R253" s="322">
        <f t="shared" si="91"/>
        <v>3573.1269120000002</v>
      </c>
      <c r="S253" s="322">
        <f t="shared" si="91"/>
        <v>3600.2058240000006</v>
      </c>
      <c r="T253" s="322">
        <f t="shared" si="91"/>
        <v>3626.9623680000004</v>
      </c>
      <c r="U253" s="322">
        <f t="shared" si="91"/>
        <v>3654.0412799999999</v>
      </c>
      <c r="V253" s="322">
        <f t="shared" si="91"/>
        <v>3680.7978240000007</v>
      </c>
      <c r="W253" s="322">
        <f t="shared" si="91"/>
        <v>3707.8767360000002</v>
      </c>
      <c r="X253" s="322">
        <f t="shared" si="91"/>
        <v>3734.63328</v>
      </c>
      <c r="Y253" s="322">
        <f t="shared" si="91"/>
        <v>3761.7121919999995</v>
      </c>
      <c r="Z253" s="322">
        <f t="shared" si="91"/>
        <v>3788.4687360000003</v>
      </c>
      <c r="AA253" s="343">
        <f t="shared" si="71"/>
        <v>3700.0679084799995</v>
      </c>
    </row>
    <row r="254" spans="1:27" ht="24.95" customHeight="1">
      <c r="A254" s="260" t="str">
        <f>+Pobl_adoptada!A90</f>
        <v>Lincoln</v>
      </c>
      <c r="B254" s="70">
        <f>+Pobl_adoptada!B90</f>
        <v>86</v>
      </c>
      <c r="C254" s="71" t="str">
        <f>+Pobl_adoptada!C90</f>
        <v>Lincoln</v>
      </c>
      <c r="D254" s="348">
        <v>0.75</v>
      </c>
      <c r="E254" s="278"/>
      <c r="F254" s="263"/>
      <c r="G254" s="322">
        <f t="shared" ref="G254:Z254" si="92">+G90*365/$D254</f>
        <v>15445.328631466668</v>
      </c>
      <c r="H254" s="322">
        <f t="shared" si="92"/>
        <v>14640.531235200004</v>
      </c>
      <c r="I254" s="322">
        <f t="shared" si="92"/>
        <v>13827.702826666668</v>
      </c>
      <c r="J254" s="322">
        <f t="shared" si="92"/>
        <v>12628.415999999999</v>
      </c>
      <c r="K254" s="322">
        <f t="shared" si="92"/>
        <v>11417.573760000001</v>
      </c>
      <c r="L254" s="322">
        <f t="shared" si="92"/>
        <v>11469.944544</v>
      </c>
      <c r="M254" s="322">
        <f t="shared" si="92"/>
        <v>11522.686752000001</v>
      </c>
      <c r="N254" s="322">
        <f t="shared" si="92"/>
        <v>11575.428959999999</v>
      </c>
      <c r="O254" s="322">
        <f t="shared" si="92"/>
        <v>11628.542592000003</v>
      </c>
      <c r="P254" s="322">
        <f t="shared" si="92"/>
        <v>11681.656224000004</v>
      </c>
      <c r="Q254" s="322">
        <f t="shared" si="92"/>
        <v>11735.512704000001</v>
      </c>
      <c r="R254" s="322">
        <f t="shared" si="92"/>
        <v>11789.369184000001</v>
      </c>
      <c r="S254" s="322">
        <f t="shared" si="92"/>
        <v>11843.225664</v>
      </c>
      <c r="T254" s="322">
        <f t="shared" si="92"/>
        <v>11897.824992000002</v>
      </c>
      <c r="U254" s="322">
        <f t="shared" si="92"/>
        <v>11952.42432</v>
      </c>
      <c r="V254" s="322">
        <f t="shared" si="92"/>
        <v>12007.023648000002</v>
      </c>
      <c r="W254" s="322">
        <f t="shared" si="92"/>
        <v>12061.994400000001</v>
      </c>
      <c r="X254" s="322">
        <f t="shared" si="92"/>
        <v>12117.336576</v>
      </c>
      <c r="Y254" s="322">
        <f t="shared" si="92"/>
        <v>12173.050175999999</v>
      </c>
      <c r="Z254" s="322">
        <f t="shared" si="92"/>
        <v>12228.763776000002</v>
      </c>
      <c r="AA254" s="343">
        <f t="shared" si="71"/>
        <v>12282.216848266668</v>
      </c>
    </row>
    <row r="255" spans="1:27" ht="24.95" customHeight="1">
      <c r="A255" s="260" t="str">
        <f>+Pobl_adoptada!A91</f>
        <v>Lobería</v>
      </c>
      <c r="B255" s="70">
        <f>+Pobl_adoptada!B91</f>
        <v>87</v>
      </c>
      <c r="C255" s="71" t="str">
        <f>+Pobl_adoptada!C91</f>
        <v>Lobería</v>
      </c>
      <c r="D255" s="348">
        <v>0.75</v>
      </c>
      <c r="E255" s="278"/>
      <c r="F255" s="263"/>
      <c r="G255" s="322">
        <f t="shared" ref="G255:Z255" si="93">+G91*365/$D255</f>
        <v>6472.1751722666668</v>
      </c>
      <c r="H255" s="322">
        <f t="shared" si="93"/>
        <v>6150.3945983999993</v>
      </c>
      <c r="I255" s="322">
        <f t="shared" si="93"/>
        <v>5823.3988266666665</v>
      </c>
      <c r="J255" s="322">
        <f t="shared" si="93"/>
        <v>5331.9667200000004</v>
      </c>
      <c r="K255" s="322">
        <f t="shared" si="93"/>
        <v>4832.9410560000006</v>
      </c>
      <c r="L255" s="322">
        <f t="shared" si="93"/>
        <v>4867.4344320000009</v>
      </c>
      <c r="M255" s="322">
        <f t="shared" si="93"/>
        <v>4902.2501760000005</v>
      </c>
      <c r="N255" s="322">
        <f t="shared" si="93"/>
        <v>4937.06592</v>
      </c>
      <c r="O255" s="322">
        <f t="shared" si="93"/>
        <v>4972.2040320000006</v>
      </c>
      <c r="P255" s="322">
        <f t="shared" si="93"/>
        <v>5007.6645120000003</v>
      </c>
      <c r="Q255" s="322">
        <f t="shared" si="93"/>
        <v>5043.447360000001</v>
      </c>
      <c r="R255" s="322">
        <f t="shared" si="93"/>
        <v>5079.552576</v>
      </c>
      <c r="S255" s="322">
        <f t="shared" si="93"/>
        <v>5115.657792</v>
      </c>
      <c r="T255" s="322">
        <f t="shared" si="93"/>
        <v>5152.085376</v>
      </c>
      <c r="U255" s="322">
        <f t="shared" si="93"/>
        <v>5188.835328000001</v>
      </c>
      <c r="V255" s="322">
        <f t="shared" si="93"/>
        <v>5225.9076480000003</v>
      </c>
      <c r="W255" s="322">
        <f t="shared" si="93"/>
        <v>5263.3023359999997</v>
      </c>
      <c r="X255" s="322">
        <f t="shared" si="93"/>
        <v>5300.6970240000001</v>
      </c>
      <c r="Y255" s="322">
        <f t="shared" si="93"/>
        <v>5338.7364480000006</v>
      </c>
      <c r="Z255" s="322">
        <f t="shared" si="93"/>
        <v>5376.7758720000011</v>
      </c>
      <c r="AA255" s="343">
        <f t="shared" si="71"/>
        <v>5269.1246602666661</v>
      </c>
    </row>
    <row r="256" spans="1:27" ht="24.95" customHeight="1">
      <c r="A256" s="260" t="str">
        <f>+Pobl_adoptada!A92</f>
        <v>Lobos</v>
      </c>
      <c r="B256" s="70">
        <f>+Pobl_adoptada!B92</f>
        <v>88</v>
      </c>
      <c r="C256" s="71" t="str">
        <f>+Pobl_adoptada!C92</f>
        <v>Lobos</v>
      </c>
      <c r="D256" s="348">
        <v>0.75</v>
      </c>
      <c r="E256" s="278"/>
      <c r="F256" s="263"/>
      <c r="G256" s="322">
        <f t="shared" ref="G256:Z256" si="94">+G92*365/$D256</f>
        <v>18365.315549866667</v>
      </c>
      <c r="H256" s="322">
        <f t="shared" si="94"/>
        <v>17528.464262400001</v>
      </c>
      <c r="I256" s="322">
        <f t="shared" si="94"/>
        <v>16669.963082666669</v>
      </c>
      <c r="J256" s="322">
        <f t="shared" si="94"/>
        <v>15329.493866666669</v>
      </c>
      <c r="K256" s="322">
        <f t="shared" si="94"/>
        <v>13955.885376</v>
      </c>
      <c r="L256" s="322">
        <f t="shared" si="94"/>
        <v>14117.083392</v>
      </c>
      <c r="M256" s="322">
        <f t="shared" si="94"/>
        <v>14279.767104</v>
      </c>
      <c r="N256" s="322">
        <f t="shared" si="94"/>
        <v>14444.67936</v>
      </c>
      <c r="O256" s="322">
        <f t="shared" si="94"/>
        <v>14611.448736000004</v>
      </c>
      <c r="P256" s="322">
        <f t="shared" si="94"/>
        <v>14780.075232000001</v>
      </c>
      <c r="Q256" s="322">
        <f t="shared" si="94"/>
        <v>14950.558848000002</v>
      </c>
      <c r="R256" s="322">
        <f t="shared" si="94"/>
        <v>15123.271008000002</v>
      </c>
      <c r="S256" s="322">
        <f t="shared" si="94"/>
        <v>15297.840287999999</v>
      </c>
      <c r="T256" s="322">
        <f t="shared" si="94"/>
        <v>15474.266688000002</v>
      </c>
      <c r="U256" s="322">
        <f t="shared" si="94"/>
        <v>15652.921632</v>
      </c>
      <c r="V256" s="322">
        <f t="shared" si="94"/>
        <v>15833.805119999999</v>
      </c>
      <c r="W256" s="322">
        <f t="shared" si="94"/>
        <v>16016.545727999999</v>
      </c>
      <c r="X256" s="322">
        <f t="shared" si="94"/>
        <v>16201.514880000001</v>
      </c>
      <c r="Y256" s="322">
        <f t="shared" si="94"/>
        <v>16388.341152000005</v>
      </c>
      <c r="Z256" s="322">
        <f t="shared" si="94"/>
        <v>16577.395968000001</v>
      </c>
      <c r="AA256" s="343">
        <f t="shared" si="71"/>
        <v>15579.931863680002</v>
      </c>
    </row>
    <row r="257" spans="1:27" ht="24.95" customHeight="1">
      <c r="A257" s="260" t="str">
        <f>+Pobl_adoptada!A93</f>
        <v>Luján</v>
      </c>
      <c r="B257" s="70">
        <f>+Pobl_adoptada!B93</f>
        <v>89</v>
      </c>
      <c r="C257" s="71" t="str">
        <f>+Pobl_adoptada!C93</f>
        <v>Luján</v>
      </c>
      <c r="D257" s="348">
        <v>0.75</v>
      </c>
      <c r="E257" s="278"/>
      <c r="F257" s="263"/>
      <c r="G257" s="322">
        <f t="shared" ref="G257:Z257" si="95">+G93*365/$D257</f>
        <v>61973.641766399996</v>
      </c>
      <c r="H257" s="322">
        <f t="shared" si="95"/>
        <v>59420.187964799989</v>
      </c>
      <c r="I257" s="322">
        <f t="shared" si="95"/>
        <v>56754.087104000006</v>
      </c>
      <c r="J257" s="322">
        <f t="shared" si="95"/>
        <v>52402.763840000007</v>
      </c>
      <c r="K257" s="322">
        <f t="shared" si="95"/>
        <v>47889.455328000011</v>
      </c>
      <c r="L257" s="322">
        <f t="shared" si="95"/>
        <v>48616.780607999994</v>
      </c>
      <c r="M257" s="322">
        <f t="shared" si="95"/>
        <v>49343.748480000002</v>
      </c>
      <c r="N257" s="322">
        <f t="shared" si="95"/>
        <v>50071.073759999992</v>
      </c>
      <c r="O257" s="322">
        <f t="shared" si="95"/>
        <v>50798.399039999997</v>
      </c>
      <c r="P257" s="322">
        <f t="shared" si="95"/>
        <v>51525.366912000005</v>
      </c>
      <c r="Q257" s="322">
        <f t="shared" si="95"/>
        <v>52252.692191999995</v>
      </c>
      <c r="R257" s="322">
        <f t="shared" si="95"/>
        <v>52980.017472000007</v>
      </c>
      <c r="S257" s="322">
        <f t="shared" si="95"/>
        <v>53706.985344000008</v>
      </c>
      <c r="T257" s="322">
        <f t="shared" si="95"/>
        <v>54434.310623999998</v>
      </c>
      <c r="U257" s="322">
        <f t="shared" si="95"/>
        <v>55161.278495999984</v>
      </c>
      <c r="V257" s="322">
        <f t="shared" si="95"/>
        <v>55888.603775999996</v>
      </c>
      <c r="W257" s="322">
        <f t="shared" si="95"/>
        <v>56615.929056000001</v>
      </c>
      <c r="X257" s="322">
        <f t="shared" si="95"/>
        <v>57342.896928000002</v>
      </c>
      <c r="Y257" s="322">
        <f t="shared" si="95"/>
        <v>58070.222207999999</v>
      </c>
      <c r="Z257" s="322">
        <f t="shared" si="95"/>
        <v>58797.19008</v>
      </c>
      <c r="AA257" s="343">
        <f t="shared" si="71"/>
        <v>54202.281548960003</v>
      </c>
    </row>
    <row r="258" spans="1:27" ht="24.95" customHeight="1">
      <c r="A258" s="260" t="str">
        <f>+Pobl_adoptada!A94</f>
        <v>Magdalena</v>
      </c>
      <c r="B258" s="70">
        <f>+Pobl_adoptada!B94</f>
        <v>90</v>
      </c>
      <c r="C258" s="71" t="str">
        <f>+Pobl_adoptada!C94</f>
        <v>Magdalena</v>
      </c>
      <c r="D258" s="348">
        <v>0.75</v>
      </c>
      <c r="E258" s="278"/>
      <c r="F258" s="263"/>
      <c r="G258" s="322">
        <f t="shared" ref="G258:Z258" si="96">+G94*365/$D258</f>
        <v>6186.5857791999997</v>
      </c>
      <c r="H258" s="322">
        <f t="shared" si="96"/>
        <v>5913.1962240000003</v>
      </c>
      <c r="I258" s="322">
        <f t="shared" si="96"/>
        <v>5630.7302186666675</v>
      </c>
      <c r="J258" s="322">
        <f t="shared" si="96"/>
        <v>5183.6774400000004</v>
      </c>
      <c r="K258" s="322">
        <f t="shared" si="96"/>
        <v>4723.6583039999996</v>
      </c>
      <c r="L258" s="322">
        <f t="shared" si="96"/>
        <v>4782.0069119999998</v>
      </c>
      <c r="M258" s="322">
        <f t="shared" si="96"/>
        <v>4840.3555200000001</v>
      </c>
      <c r="N258" s="322">
        <f t="shared" si="96"/>
        <v>4898.7041280000003</v>
      </c>
      <c r="O258" s="322">
        <f t="shared" si="96"/>
        <v>4957.0527360000006</v>
      </c>
      <c r="P258" s="322">
        <f t="shared" si="96"/>
        <v>5015.4013440000008</v>
      </c>
      <c r="Q258" s="322">
        <f t="shared" si="96"/>
        <v>5073.7499520000001</v>
      </c>
      <c r="R258" s="322">
        <f t="shared" si="96"/>
        <v>5132.0985599999995</v>
      </c>
      <c r="S258" s="322">
        <f t="shared" si="96"/>
        <v>5190.4471679999997</v>
      </c>
      <c r="T258" s="322">
        <f t="shared" si="96"/>
        <v>5248.7957760000008</v>
      </c>
      <c r="U258" s="322">
        <f t="shared" si="96"/>
        <v>5307.1443840000002</v>
      </c>
      <c r="V258" s="322">
        <f t="shared" si="96"/>
        <v>5365.4929920000004</v>
      </c>
      <c r="W258" s="322">
        <f t="shared" si="96"/>
        <v>5423.8416000000007</v>
      </c>
      <c r="X258" s="322">
        <f t="shared" si="96"/>
        <v>5482.190208</v>
      </c>
      <c r="Y258" s="322">
        <f t="shared" si="96"/>
        <v>5540.5388160000011</v>
      </c>
      <c r="Z258" s="322">
        <f t="shared" si="96"/>
        <v>5598.8874240000005</v>
      </c>
      <c r="AA258" s="343">
        <f t="shared" si="71"/>
        <v>5274.7277742933329</v>
      </c>
    </row>
    <row r="259" spans="1:27" ht="24.95" customHeight="1">
      <c r="A259" s="260" t="str">
        <f>+Pobl_adoptada!A95</f>
        <v>Maipú</v>
      </c>
      <c r="B259" s="70">
        <f>+Pobl_adoptada!B95</f>
        <v>91</v>
      </c>
      <c r="C259" s="71" t="str">
        <f>+Pobl_adoptada!C95</f>
        <v>Maipú</v>
      </c>
      <c r="D259" s="348">
        <v>0.75</v>
      </c>
      <c r="E259" s="278"/>
      <c r="F259" s="263"/>
      <c r="G259" s="322">
        <f t="shared" ref="G259:Z259" si="97">+G95*365/$D259</f>
        <v>4326.9235882666662</v>
      </c>
      <c r="H259" s="322">
        <f t="shared" si="97"/>
        <v>4101.5203007999999</v>
      </c>
      <c r="I259" s="322">
        <f t="shared" si="97"/>
        <v>3873.8604373333333</v>
      </c>
      <c r="J259" s="322">
        <f t="shared" si="97"/>
        <v>3538.1678933333333</v>
      </c>
      <c r="K259" s="322">
        <f t="shared" si="97"/>
        <v>3198.8576640000006</v>
      </c>
      <c r="L259" s="322">
        <f t="shared" si="97"/>
        <v>3213.3642240000004</v>
      </c>
      <c r="M259" s="322">
        <f t="shared" si="97"/>
        <v>3228.1931519999998</v>
      </c>
      <c r="N259" s="322">
        <f t="shared" si="97"/>
        <v>3242.6997120000001</v>
      </c>
      <c r="O259" s="322">
        <f t="shared" si="97"/>
        <v>3257.2062720000008</v>
      </c>
      <c r="P259" s="322">
        <f t="shared" si="97"/>
        <v>3271.7128320000006</v>
      </c>
      <c r="Q259" s="322">
        <f t="shared" si="97"/>
        <v>3286.5417600000001</v>
      </c>
      <c r="R259" s="322">
        <f t="shared" si="97"/>
        <v>3301.0483200000003</v>
      </c>
      <c r="S259" s="322">
        <f t="shared" si="97"/>
        <v>3315.5548800000001</v>
      </c>
      <c r="T259" s="322">
        <f t="shared" si="97"/>
        <v>3330.3838080000005</v>
      </c>
      <c r="U259" s="322">
        <f t="shared" si="97"/>
        <v>3344.8903680000003</v>
      </c>
      <c r="V259" s="322">
        <f t="shared" si="97"/>
        <v>3359.3969280000001</v>
      </c>
      <c r="W259" s="322">
        <f t="shared" si="97"/>
        <v>3373.9034880000004</v>
      </c>
      <c r="X259" s="322">
        <f t="shared" si="97"/>
        <v>3388.7324160000003</v>
      </c>
      <c r="Y259" s="322">
        <f t="shared" si="97"/>
        <v>3403.2389760000001</v>
      </c>
      <c r="Z259" s="322">
        <f t="shared" si="97"/>
        <v>3417.7455359999999</v>
      </c>
      <c r="AA259" s="343">
        <f t="shared" si="71"/>
        <v>3438.6971277866674</v>
      </c>
    </row>
    <row r="260" spans="1:27" ht="24.95" customHeight="1">
      <c r="A260" s="260" t="str">
        <f>+Pobl_adoptada!A96</f>
        <v>Mar Chiquita</v>
      </c>
      <c r="B260" s="70">
        <f>+Pobl_adoptada!B96</f>
        <v>92</v>
      </c>
      <c r="C260" s="71" t="str">
        <f>+Pobl_adoptada!C96</f>
        <v>Coronel Vidal</v>
      </c>
      <c r="D260" s="348">
        <v>0.75</v>
      </c>
      <c r="E260" s="278"/>
      <c r="F260" s="263"/>
      <c r="G260" s="322">
        <f t="shared" ref="G260:Z260" si="98">+G96*365/$D260</f>
        <v>3423.0753535999997</v>
      </c>
      <c r="H260" s="322">
        <f t="shared" si="98"/>
        <v>3269.2305984</v>
      </c>
      <c r="I260" s="322">
        <f t="shared" si="98"/>
        <v>3110.2781013333333</v>
      </c>
      <c r="J260" s="322">
        <f t="shared" si="98"/>
        <v>2861.1950933333333</v>
      </c>
      <c r="K260" s="322">
        <f t="shared" si="98"/>
        <v>2605.0558080000001</v>
      </c>
      <c r="L260" s="322">
        <f t="shared" si="98"/>
        <v>2644.7070720000006</v>
      </c>
      <c r="M260" s="322">
        <f t="shared" si="98"/>
        <v>2684.3583360000002</v>
      </c>
      <c r="N260" s="322">
        <f t="shared" si="98"/>
        <v>2724.0096000000003</v>
      </c>
      <c r="O260" s="322">
        <f t="shared" si="98"/>
        <v>2763.6608639999999</v>
      </c>
      <c r="P260" s="322">
        <f t="shared" si="98"/>
        <v>2802.9897600000004</v>
      </c>
      <c r="Q260" s="322">
        <f t="shared" si="98"/>
        <v>2842.6410240000005</v>
      </c>
      <c r="R260" s="322">
        <f t="shared" si="98"/>
        <v>2882.2922880000006</v>
      </c>
      <c r="S260" s="322">
        <f t="shared" si="98"/>
        <v>2921.9435520000006</v>
      </c>
      <c r="T260" s="322">
        <f t="shared" si="98"/>
        <v>2961.5948160000003</v>
      </c>
      <c r="U260" s="322">
        <f t="shared" si="98"/>
        <v>3000.9237119999998</v>
      </c>
      <c r="V260" s="322">
        <f t="shared" si="98"/>
        <v>3040.5749759999999</v>
      </c>
      <c r="W260" s="322">
        <f t="shared" si="98"/>
        <v>3080.22624</v>
      </c>
      <c r="X260" s="322">
        <f t="shared" si="98"/>
        <v>3119.8775040000005</v>
      </c>
      <c r="Y260" s="322">
        <f t="shared" si="98"/>
        <v>3159.5287680000001</v>
      </c>
      <c r="Z260" s="322">
        <f t="shared" si="98"/>
        <v>3198.8576640000006</v>
      </c>
      <c r="AA260" s="343">
        <f t="shared" si="71"/>
        <v>2954.851056533334</v>
      </c>
    </row>
    <row r="261" spans="1:27" ht="24.95" customHeight="1">
      <c r="A261" s="260" t="str">
        <f>+Pobl_adoptada!A97</f>
        <v>Marcos Paz</v>
      </c>
      <c r="B261" s="70">
        <f>+Pobl_adoptada!B97</f>
        <v>93</v>
      </c>
      <c r="C261" s="71" t="str">
        <f>+Pobl_adoptada!C97</f>
        <v>Marcos Paz</v>
      </c>
      <c r="D261" s="348">
        <v>0.75</v>
      </c>
      <c r="E261" s="278"/>
      <c r="F261" s="263"/>
      <c r="G261" s="322">
        <f t="shared" ref="G261:Z261" si="99">+G97*365/$D261</f>
        <v>35472.601036800006</v>
      </c>
      <c r="H261" s="322">
        <f t="shared" si="99"/>
        <v>34089.932447999992</v>
      </c>
      <c r="I261" s="322">
        <f t="shared" si="99"/>
        <v>32632.660895999998</v>
      </c>
      <c r="J261" s="322">
        <f t="shared" si="99"/>
        <v>30195.813440000002</v>
      </c>
      <c r="K261" s="322">
        <f t="shared" si="99"/>
        <v>27652.656960000004</v>
      </c>
      <c r="L261" s="322">
        <f t="shared" si="99"/>
        <v>28129.439232000001</v>
      </c>
      <c r="M261" s="322">
        <f t="shared" si="99"/>
        <v>28606.221503999997</v>
      </c>
      <c r="N261" s="322">
        <f t="shared" si="99"/>
        <v>29082.646367999998</v>
      </c>
      <c r="O261" s="322">
        <f t="shared" si="99"/>
        <v>29559.428640000009</v>
      </c>
      <c r="P261" s="322">
        <f t="shared" si="99"/>
        <v>30035.853503999999</v>
      </c>
      <c r="Q261" s="322">
        <f t="shared" si="99"/>
        <v>30512.635776000006</v>
      </c>
      <c r="R261" s="322">
        <f t="shared" si="99"/>
        <v>30989.418048000003</v>
      </c>
      <c r="S261" s="322">
        <f t="shared" si="99"/>
        <v>31465.842912000004</v>
      </c>
      <c r="T261" s="322">
        <f t="shared" si="99"/>
        <v>31942.625184</v>
      </c>
      <c r="U261" s="322">
        <f t="shared" si="99"/>
        <v>32419.050047999994</v>
      </c>
      <c r="V261" s="322">
        <f t="shared" si="99"/>
        <v>32895.832320000001</v>
      </c>
      <c r="W261" s="322">
        <f t="shared" si="99"/>
        <v>33372.257184000002</v>
      </c>
      <c r="X261" s="322">
        <f t="shared" si="99"/>
        <v>33849.039456000006</v>
      </c>
      <c r="Y261" s="322">
        <f t="shared" si="99"/>
        <v>34325.821728000003</v>
      </c>
      <c r="Z261" s="322">
        <f t="shared" si="99"/>
        <v>34802.246592000003</v>
      </c>
      <c r="AA261" s="343">
        <f t="shared" si="71"/>
        <v>31601.601163839998</v>
      </c>
    </row>
    <row r="262" spans="1:27" ht="24.95" customHeight="1">
      <c r="A262" s="260" t="str">
        <f>+Pobl_adoptada!A98</f>
        <v>Mercedes</v>
      </c>
      <c r="B262" s="70">
        <f>+Pobl_adoptada!B98</f>
        <v>94</v>
      </c>
      <c r="C262" s="71" t="str">
        <f>+Pobl_adoptada!C98</f>
        <v>Mercedes</v>
      </c>
      <c r="D262" s="348">
        <v>0.75</v>
      </c>
      <c r="E262" s="278"/>
      <c r="F262" s="263"/>
      <c r="G262" s="322">
        <f t="shared" ref="G262:Z262" si="100">+G98*365/$D262</f>
        <v>31633.133683200005</v>
      </c>
      <c r="H262" s="322">
        <f t="shared" si="100"/>
        <v>30100.615833600008</v>
      </c>
      <c r="I262" s="322">
        <f t="shared" si="100"/>
        <v>28539.981887999998</v>
      </c>
      <c r="J262" s="322">
        <f t="shared" si="100"/>
        <v>26165.839680000001</v>
      </c>
      <c r="K262" s="322">
        <f t="shared" si="100"/>
        <v>23749.046784000002</v>
      </c>
      <c r="L262" s="322">
        <f t="shared" si="100"/>
        <v>23950.267487999998</v>
      </c>
      <c r="M262" s="322">
        <f t="shared" si="100"/>
        <v>24153.632640000007</v>
      </c>
      <c r="N262" s="322">
        <f t="shared" si="100"/>
        <v>24358.784832000001</v>
      </c>
      <c r="O262" s="322">
        <f t="shared" si="100"/>
        <v>24565.366655999998</v>
      </c>
      <c r="P262" s="322">
        <f t="shared" si="100"/>
        <v>24773.735520000002</v>
      </c>
      <c r="Q262" s="322">
        <f t="shared" si="100"/>
        <v>24983.891423999998</v>
      </c>
      <c r="R262" s="322">
        <f t="shared" si="100"/>
        <v>25195.834367999996</v>
      </c>
      <c r="S262" s="322">
        <f t="shared" si="100"/>
        <v>25409.921759999997</v>
      </c>
      <c r="T262" s="322">
        <f t="shared" si="100"/>
        <v>25625.438784000002</v>
      </c>
      <c r="U262" s="322">
        <f t="shared" si="100"/>
        <v>25842.742847999998</v>
      </c>
      <c r="V262" s="322">
        <f t="shared" si="100"/>
        <v>26062.191360000001</v>
      </c>
      <c r="W262" s="322">
        <f t="shared" si="100"/>
        <v>26283.426911999995</v>
      </c>
      <c r="X262" s="322">
        <f t="shared" si="100"/>
        <v>26506.449504</v>
      </c>
      <c r="Y262" s="322">
        <f t="shared" si="100"/>
        <v>26731.259136000004</v>
      </c>
      <c r="Z262" s="322">
        <f t="shared" si="100"/>
        <v>26957.855808000004</v>
      </c>
      <c r="AA262" s="343">
        <f t="shared" si="71"/>
        <v>26079.470845440002</v>
      </c>
    </row>
    <row r="263" spans="1:27" ht="24.95" customHeight="1">
      <c r="A263" s="260" t="str">
        <f>+Pobl_adoptada!A99</f>
        <v>Monte</v>
      </c>
      <c r="B263" s="70">
        <f>+Pobl_adoptada!B99</f>
        <v>95</v>
      </c>
      <c r="C263" s="71" t="str">
        <f>+Pobl_adoptada!C99</f>
        <v>San Miguel del Monte</v>
      </c>
      <c r="D263" s="348">
        <v>0.75</v>
      </c>
      <c r="E263" s="278"/>
      <c r="F263" s="263"/>
      <c r="G263" s="322">
        <f t="shared" ref="G263:Z263" si="101">+G99*365/$D263</f>
        <v>11255.715434666667</v>
      </c>
      <c r="H263" s="322">
        <f t="shared" si="101"/>
        <v>10777.721635200001</v>
      </c>
      <c r="I263" s="322">
        <f t="shared" si="101"/>
        <v>10281.346474666667</v>
      </c>
      <c r="J263" s="322">
        <f t="shared" si="101"/>
        <v>9481.2166400000006</v>
      </c>
      <c r="K263" s="322">
        <f t="shared" si="101"/>
        <v>8654.5506240000013</v>
      </c>
      <c r="L263" s="322">
        <f t="shared" si="101"/>
        <v>8775.6348480000015</v>
      </c>
      <c r="M263" s="322">
        <f t="shared" si="101"/>
        <v>8897.0904960000007</v>
      </c>
      <c r="N263" s="322">
        <f t="shared" si="101"/>
        <v>9018.5461440000017</v>
      </c>
      <c r="O263" s="322">
        <f t="shared" si="101"/>
        <v>9139.6303680000001</v>
      </c>
      <c r="P263" s="322">
        <f t="shared" si="101"/>
        <v>9261.0860160000029</v>
      </c>
      <c r="Q263" s="322">
        <f t="shared" si="101"/>
        <v>9382.1702400000013</v>
      </c>
      <c r="R263" s="322">
        <f t="shared" si="101"/>
        <v>9503.6258880000005</v>
      </c>
      <c r="S263" s="322">
        <f t="shared" si="101"/>
        <v>9624.7101120000007</v>
      </c>
      <c r="T263" s="322">
        <f t="shared" si="101"/>
        <v>9746.1657600000017</v>
      </c>
      <c r="U263" s="322">
        <f t="shared" si="101"/>
        <v>9867.2499840000019</v>
      </c>
      <c r="V263" s="322">
        <f t="shared" si="101"/>
        <v>9988.7056320000011</v>
      </c>
      <c r="W263" s="322">
        <f t="shared" si="101"/>
        <v>10109.789856000001</v>
      </c>
      <c r="X263" s="322">
        <f t="shared" si="101"/>
        <v>10231.245504</v>
      </c>
      <c r="Y263" s="322">
        <f t="shared" si="101"/>
        <v>10352.701152000003</v>
      </c>
      <c r="Z263" s="322">
        <f t="shared" si="101"/>
        <v>10473.785376000002</v>
      </c>
      <c r="AA263" s="343">
        <f t="shared" si="71"/>
        <v>9741.1344092266663</v>
      </c>
    </row>
    <row r="264" spans="1:27" ht="24.95" customHeight="1">
      <c r="A264" s="260" t="str">
        <f>+Pobl_adoptada!A100</f>
        <v>Monte Hermoso</v>
      </c>
      <c r="B264" s="70">
        <f>+Pobl_adoptada!B100</f>
        <v>96</v>
      </c>
      <c r="C264" s="71" t="str">
        <f>+Pobl_adoptada!C100</f>
        <v>Monte Hermoso</v>
      </c>
      <c r="D264" s="348">
        <v>0.75</v>
      </c>
      <c r="E264" s="278"/>
      <c r="F264" s="263"/>
      <c r="G264" s="322">
        <f t="shared" ref="G264:Z264" si="102">+G100*365/$D264</f>
        <v>10873.957593600002</v>
      </c>
      <c r="H264" s="322">
        <f t="shared" si="102"/>
        <v>10492.839427200002</v>
      </c>
      <c r="I264" s="322">
        <f t="shared" si="102"/>
        <v>10087.050453333335</v>
      </c>
      <c r="J264" s="322">
        <f t="shared" si="102"/>
        <v>9374.7417600000026</v>
      </c>
      <c r="K264" s="322">
        <f t="shared" si="102"/>
        <v>8624.8367039999994</v>
      </c>
      <c r="L264" s="322">
        <f t="shared" si="102"/>
        <v>8815.3772160000008</v>
      </c>
      <c r="M264" s="322">
        <f t="shared" si="102"/>
        <v>9009.2605439999988</v>
      </c>
      <c r="N264" s="322">
        <f t="shared" si="102"/>
        <v>9206.115264</v>
      </c>
      <c r="O264" s="322">
        <f t="shared" si="102"/>
        <v>9406.3128000000015</v>
      </c>
      <c r="P264" s="322">
        <f t="shared" si="102"/>
        <v>9609.4817279999988</v>
      </c>
      <c r="Q264" s="322">
        <f t="shared" si="102"/>
        <v>9815.9934720000001</v>
      </c>
      <c r="R264" s="322">
        <f t="shared" si="102"/>
        <v>10026.59088</v>
      </c>
      <c r="S264" s="322">
        <f t="shared" si="102"/>
        <v>10239.788256000002</v>
      </c>
      <c r="T264" s="322">
        <f t="shared" si="102"/>
        <v>10456.699871999999</v>
      </c>
      <c r="U264" s="322">
        <f t="shared" si="102"/>
        <v>10677.325728000002</v>
      </c>
      <c r="V264" s="322">
        <f t="shared" si="102"/>
        <v>10901.294399999999</v>
      </c>
      <c r="W264" s="322">
        <f t="shared" si="102"/>
        <v>11128.977312000003</v>
      </c>
      <c r="X264" s="322">
        <f t="shared" si="102"/>
        <v>11360.374464</v>
      </c>
      <c r="Y264" s="322">
        <f t="shared" si="102"/>
        <v>11595.485856000001</v>
      </c>
      <c r="Z264" s="322">
        <f t="shared" si="102"/>
        <v>11834.682911999998</v>
      </c>
      <c r="AA264" s="343">
        <f t="shared" si="71"/>
        <v>10176.859332106669</v>
      </c>
    </row>
    <row r="265" spans="1:27" ht="24.95" customHeight="1">
      <c r="A265" s="264" t="e">
        <f>+Pobl_adoptada!#REF!</f>
        <v>#REF!</v>
      </c>
      <c r="B265" s="265" t="e">
        <f>+Pobl_adoptada!#REF!</f>
        <v>#REF!</v>
      </c>
      <c r="C265" s="266" t="e">
        <f>+Pobl_adoptada!#REF!</f>
        <v>#REF!</v>
      </c>
      <c r="D265" s="348">
        <v>0.75</v>
      </c>
      <c r="E265" s="267"/>
      <c r="F265" s="268"/>
      <c r="G265" s="322" t="e">
        <f>+#REF!*365/$D265</f>
        <v>#REF!</v>
      </c>
      <c r="H265" s="322" t="e">
        <f>+#REF!*365/$D265</f>
        <v>#REF!</v>
      </c>
      <c r="I265" s="322" t="e">
        <f>+#REF!*365/$D265</f>
        <v>#REF!</v>
      </c>
      <c r="J265" s="322" t="e">
        <f>+#REF!*365/$D265</f>
        <v>#REF!</v>
      </c>
      <c r="K265" s="322" t="e">
        <f>+#REF!*365/$D265</f>
        <v>#REF!</v>
      </c>
      <c r="L265" s="322" t="e">
        <f>+#REF!*365/$D265</f>
        <v>#REF!</v>
      </c>
      <c r="M265" s="322" t="e">
        <f>+#REF!*365/$D265</f>
        <v>#REF!</v>
      </c>
      <c r="N265" s="322" t="e">
        <f>+#REF!*365/$D265</f>
        <v>#REF!</v>
      </c>
      <c r="O265" s="322" t="e">
        <f>+#REF!*365/$D265</f>
        <v>#REF!</v>
      </c>
      <c r="P265" s="322" t="e">
        <f>+#REF!*365/$D265</f>
        <v>#REF!</v>
      </c>
      <c r="Q265" s="322" t="e">
        <f>+#REF!*365/$D265</f>
        <v>#REF!</v>
      </c>
      <c r="R265" s="322" t="e">
        <f>+#REF!*365/$D265</f>
        <v>#REF!</v>
      </c>
      <c r="S265" s="322" t="e">
        <f>+#REF!*365/$D265</f>
        <v>#REF!</v>
      </c>
      <c r="T265" s="322" t="e">
        <f>+#REF!*365/$D265</f>
        <v>#REF!</v>
      </c>
      <c r="U265" s="322" t="e">
        <f>+#REF!*365/$D265</f>
        <v>#REF!</v>
      </c>
      <c r="V265" s="322" t="e">
        <f>+#REF!*365/$D265</f>
        <v>#REF!</v>
      </c>
      <c r="W265" s="322" t="e">
        <f>+#REF!*365/$D265</f>
        <v>#REF!</v>
      </c>
      <c r="X265" s="322" t="e">
        <f>+#REF!*365/$D265</f>
        <v>#REF!</v>
      </c>
      <c r="Y265" s="322" t="e">
        <f>+#REF!*365/$D265</f>
        <v>#REF!</v>
      </c>
      <c r="Z265" s="322" t="e">
        <f>+#REF!*365/$D265</f>
        <v>#REF!</v>
      </c>
      <c r="AA265" s="343" t="e">
        <f t="shared" si="71"/>
        <v>#REF!</v>
      </c>
    </row>
    <row r="266" spans="1:27" ht="24.95" customHeight="1">
      <c r="A266" s="260" t="str">
        <f>+Pobl_adoptada!A101</f>
        <v>Navarro</v>
      </c>
      <c r="B266" s="70">
        <f>+Pobl_adoptada!B101</f>
        <v>97</v>
      </c>
      <c r="C266" s="71" t="str">
        <f>+Pobl_adoptada!C101</f>
        <v>Navarro</v>
      </c>
      <c r="D266" s="348">
        <v>0.75</v>
      </c>
      <c r="E266" s="278"/>
      <c r="F266" s="263"/>
      <c r="G266" s="322">
        <f t="shared" ref="G266:Z266" si="103">+G101*365/$D266</f>
        <v>8592.1101226666669</v>
      </c>
      <c r="H266" s="322">
        <f t="shared" si="103"/>
        <v>8229.2330016000014</v>
      </c>
      <c r="I266" s="322">
        <f t="shared" si="103"/>
        <v>7853.1001706666675</v>
      </c>
      <c r="J266" s="322">
        <f t="shared" si="103"/>
        <v>7246.4822400000003</v>
      </c>
      <c r="K266" s="322">
        <f t="shared" si="103"/>
        <v>6619.8899520000004</v>
      </c>
      <c r="L266" s="322">
        <f t="shared" si="103"/>
        <v>6719.4315840000017</v>
      </c>
      <c r="M266" s="322">
        <f t="shared" si="103"/>
        <v>6820.458912000001</v>
      </c>
      <c r="N266" s="322">
        <f t="shared" si="103"/>
        <v>6922.9719360000008</v>
      </c>
      <c r="O266" s="322">
        <f t="shared" si="103"/>
        <v>7026.9706560000004</v>
      </c>
      <c r="P266" s="322">
        <f t="shared" si="103"/>
        <v>7132.8264960000015</v>
      </c>
      <c r="Q266" s="322">
        <f t="shared" si="103"/>
        <v>7240.1680320000014</v>
      </c>
      <c r="R266" s="322">
        <f t="shared" si="103"/>
        <v>7348.995264000001</v>
      </c>
      <c r="S266" s="322">
        <f t="shared" si="103"/>
        <v>7459.3081920000004</v>
      </c>
      <c r="T266" s="322">
        <f t="shared" si="103"/>
        <v>7571.4782400000031</v>
      </c>
      <c r="U266" s="322">
        <f t="shared" si="103"/>
        <v>7685.505408</v>
      </c>
      <c r="V266" s="322">
        <f t="shared" si="103"/>
        <v>7801.0182720000012</v>
      </c>
      <c r="W266" s="322">
        <f t="shared" si="103"/>
        <v>7918.3882560000011</v>
      </c>
      <c r="X266" s="322">
        <f t="shared" si="103"/>
        <v>8037.2439359999998</v>
      </c>
      <c r="Y266" s="322">
        <f t="shared" si="103"/>
        <v>8157.9567360000001</v>
      </c>
      <c r="Z266" s="322">
        <f t="shared" si="103"/>
        <v>8280.898079999999</v>
      </c>
      <c r="AA266" s="343">
        <f t="shared" si="71"/>
        <v>7533.2217743466663</v>
      </c>
    </row>
    <row r="267" spans="1:27" ht="24.95" customHeight="1">
      <c r="A267" s="260" t="str">
        <f>+Pobl_adoptada!A102</f>
        <v>Necochea</v>
      </c>
      <c r="B267" s="70">
        <f>+Pobl_adoptada!B102</f>
        <v>98</v>
      </c>
      <c r="C267" s="71" t="str">
        <f>+Pobl_adoptada!C102</f>
        <v>Necochea - Quequén</v>
      </c>
      <c r="D267" s="348">
        <v>0.75</v>
      </c>
      <c r="E267" s="278"/>
      <c r="F267" s="263"/>
      <c r="G267" s="322">
        <f t="shared" ref="G267:Z267" si="104">+G102*365/$D267</f>
        <v>53477.275251199993</v>
      </c>
      <c r="H267" s="322">
        <f t="shared" si="104"/>
        <v>50993.186399999999</v>
      </c>
      <c r="I267" s="322">
        <f t="shared" si="104"/>
        <v>48453.842272000002</v>
      </c>
      <c r="J267" s="322">
        <f t="shared" si="104"/>
        <v>44521.123200000002</v>
      </c>
      <c r="K267" s="322">
        <f t="shared" si="104"/>
        <v>40501.117152000006</v>
      </c>
      <c r="L267" s="322">
        <f t="shared" si="104"/>
        <v>40940.371584</v>
      </c>
      <c r="M267" s="322">
        <f t="shared" si="104"/>
        <v>41386.416768000003</v>
      </c>
      <c r="N267" s="322">
        <f t="shared" si="104"/>
        <v>41839.967519999998</v>
      </c>
      <c r="O267" s="322">
        <f t="shared" si="104"/>
        <v>42301.023840000002</v>
      </c>
      <c r="P267" s="322">
        <f t="shared" si="104"/>
        <v>42769.228320000002</v>
      </c>
      <c r="Q267" s="322">
        <f t="shared" si="104"/>
        <v>43244.938367999996</v>
      </c>
      <c r="R267" s="322">
        <f t="shared" si="104"/>
        <v>43728.868800000004</v>
      </c>
      <c r="S267" s="322">
        <f t="shared" si="104"/>
        <v>44220.662208000002</v>
      </c>
      <c r="T267" s="322">
        <f t="shared" si="104"/>
        <v>44719.961183999992</v>
      </c>
      <c r="U267" s="322">
        <f t="shared" si="104"/>
        <v>45228.195360000005</v>
      </c>
      <c r="V267" s="322">
        <f t="shared" si="104"/>
        <v>45743.935104000004</v>
      </c>
      <c r="W267" s="322">
        <f t="shared" si="104"/>
        <v>46268.967456000006</v>
      </c>
      <c r="X267" s="322">
        <f t="shared" si="104"/>
        <v>46801.862783999997</v>
      </c>
      <c r="Y267" s="322">
        <f t="shared" si="104"/>
        <v>47343.335904000007</v>
      </c>
      <c r="Z267" s="322">
        <f t="shared" si="104"/>
        <v>47894.101632000013</v>
      </c>
      <c r="AA267" s="343">
        <f t="shared" si="71"/>
        <v>45118.919055360006</v>
      </c>
    </row>
    <row r="268" spans="1:27" ht="24.95" customHeight="1">
      <c r="A268" s="264" t="e">
        <f>+Pobl_adoptada!#REF!</f>
        <v>#REF!</v>
      </c>
      <c r="B268" s="265" t="e">
        <f>+Pobl_adoptada!#REF!</f>
        <v>#REF!</v>
      </c>
      <c r="C268" s="266" t="e">
        <f>+Pobl_adoptada!#REF!</f>
        <v>#REF!</v>
      </c>
      <c r="D268" s="348">
        <v>0.75</v>
      </c>
      <c r="E268" s="267"/>
      <c r="F268" s="268"/>
      <c r="G268" s="322" t="e">
        <f>+#REF!*365/$D268</f>
        <v>#REF!</v>
      </c>
      <c r="H268" s="322" t="e">
        <f>+#REF!*365/$D268</f>
        <v>#REF!</v>
      </c>
      <c r="I268" s="322" t="e">
        <f>+#REF!*365/$D268</f>
        <v>#REF!</v>
      </c>
      <c r="J268" s="322" t="e">
        <f>+#REF!*365/$D268</f>
        <v>#REF!</v>
      </c>
      <c r="K268" s="322" t="e">
        <f>+#REF!*365/$D268</f>
        <v>#REF!</v>
      </c>
      <c r="L268" s="322" t="e">
        <f>+#REF!*365/$D268</f>
        <v>#REF!</v>
      </c>
      <c r="M268" s="322" t="e">
        <f>+#REF!*365/$D268</f>
        <v>#REF!</v>
      </c>
      <c r="N268" s="322" t="e">
        <f>+#REF!*365/$D268</f>
        <v>#REF!</v>
      </c>
      <c r="O268" s="322" t="e">
        <f>+#REF!*365/$D268</f>
        <v>#REF!</v>
      </c>
      <c r="P268" s="322" t="e">
        <f>+#REF!*365/$D268</f>
        <v>#REF!</v>
      </c>
      <c r="Q268" s="322" t="e">
        <f>+#REF!*365/$D268</f>
        <v>#REF!</v>
      </c>
      <c r="R268" s="322" t="e">
        <f>+#REF!*365/$D268</f>
        <v>#REF!</v>
      </c>
      <c r="S268" s="322" t="e">
        <f>+#REF!*365/$D268</f>
        <v>#REF!</v>
      </c>
      <c r="T268" s="322" t="e">
        <f>+#REF!*365/$D268</f>
        <v>#REF!</v>
      </c>
      <c r="U268" s="322" t="e">
        <f>+#REF!*365/$D268</f>
        <v>#REF!</v>
      </c>
      <c r="V268" s="322" t="e">
        <f>+#REF!*365/$D268</f>
        <v>#REF!</v>
      </c>
      <c r="W268" s="322" t="e">
        <f>+#REF!*365/$D268</f>
        <v>#REF!</v>
      </c>
      <c r="X268" s="322" t="e">
        <f>+#REF!*365/$D268</f>
        <v>#REF!</v>
      </c>
      <c r="Y268" s="322" t="e">
        <f>+#REF!*365/$D268</f>
        <v>#REF!</v>
      </c>
      <c r="Z268" s="322" t="e">
        <f>+#REF!*365/$D268</f>
        <v>#REF!</v>
      </c>
      <c r="AA268" s="343" t="e">
        <f t="shared" si="71"/>
        <v>#REF!</v>
      </c>
    </row>
    <row r="269" spans="1:27" ht="24.95" customHeight="1">
      <c r="A269" s="260" t="str">
        <f>+Pobl_adoptada!A103</f>
        <v>Olavarría</v>
      </c>
      <c r="B269" s="70">
        <f>+Pobl_adoptada!B103</f>
        <v>99</v>
      </c>
      <c r="C269" s="71" t="str">
        <f>+Pobl_adoptada!C103</f>
        <v>Olavarría</v>
      </c>
      <c r="D269" s="348">
        <v>0.75</v>
      </c>
      <c r="E269" s="278"/>
      <c r="F269" s="263"/>
      <c r="G269" s="322">
        <f t="shared" ref="G269:Z269" si="105">+G103*365/$D269</f>
        <v>49948.038041599997</v>
      </c>
      <c r="H269" s="322">
        <f t="shared" si="105"/>
        <v>47491.26707519999</v>
      </c>
      <c r="I269" s="322">
        <f t="shared" si="105"/>
        <v>44993.695999999996</v>
      </c>
      <c r="J269" s="322">
        <f t="shared" si="105"/>
        <v>41218.276160000001</v>
      </c>
      <c r="K269" s="322">
        <f t="shared" si="105"/>
        <v>37382.017536000007</v>
      </c>
      <c r="L269" s="322">
        <f t="shared" si="105"/>
        <v>37669.730975999999</v>
      </c>
      <c r="M269" s="322">
        <f t="shared" si="105"/>
        <v>37959.588864000012</v>
      </c>
      <c r="N269" s="322">
        <f t="shared" si="105"/>
        <v>38251.948608000006</v>
      </c>
      <c r="O269" s="322">
        <f t="shared" si="105"/>
        <v>38546.452800000006</v>
      </c>
      <c r="P269" s="322">
        <f t="shared" si="105"/>
        <v>38843.101440000006</v>
      </c>
      <c r="Q269" s="322">
        <f t="shared" si="105"/>
        <v>39141.894528000004</v>
      </c>
      <c r="R269" s="322">
        <f t="shared" si="105"/>
        <v>39443.189471999998</v>
      </c>
      <c r="S269" s="322">
        <f t="shared" si="105"/>
        <v>39746.986272000009</v>
      </c>
      <c r="T269" s="322">
        <f t="shared" si="105"/>
        <v>40052.927520000005</v>
      </c>
      <c r="U269" s="322">
        <f t="shared" si="105"/>
        <v>40361.013216000007</v>
      </c>
      <c r="V269" s="322">
        <f t="shared" si="105"/>
        <v>40671.958176</v>
      </c>
      <c r="W269" s="322">
        <f t="shared" si="105"/>
        <v>40985.047584</v>
      </c>
      <c r="X269" s="322">
        <f t="shared" si="105"/>
        <v>41300.281439999999</v>
      </c>
      <c r="Y269" s="322">
        <f t="shared" si="105"/>
        <v>41618.374559999997</v>
      </c>
      <c r="Z269" s="322">
        <f t="shared" si="105"/>
        <v>41938.612128000001</v>
      </c>
      <c r="AA269" s="343">
        <f t="shared" si="71"/>
        <v>40878.220119840014</v>
      </c>
    </row>
    <row r="270" spans="1:27" ht="24.95" customHeight="1">
      <c r="A270" s="260" t="str">
        <f>+Pobl_adoptada!A104</f>
        <v>Patagones</v>
      </c>
      <c r="B270" s="70">
        <f>+Pobl_adoptada!B104</f>
        <v>100</v>
      </c>
      <c r="C270" s="71" t="str">
        <f>+Pobl_adoptada!C104</f>
        <v>Carmen de Patagones</v>
      </c>
      <c r="D270" s="348">
        <v>0.75</v>
      </c>
      <c r="E270" s="278"/>
      <c r="F270" s="263"/>
      <c r="G270" s="322">
        <f t="shared" ref="G270:Z270" si="106">+G104*365/$D270</f>
        <v>14194.124983466667</v>
      </c>
      <c r="H270" s="322">
        <f t="shared" si="106"/>
        <v>13641.9949536</v>
      </c>
      <c r="I270" s="322">
        <f t="shared" si="106"/>
        <v>13063.229696000002</v>
      </c>
      <c r="J270" s="322">
        <f t="shared" si="106"/>
        <v>12095.216213333335</v>
      </c>
      <c r="K270" s="322">
        <f t="shared" si="106"/>
        <v>11086.634976000001</v>
      </c>
      <c r="L270" s="322">
        <f t="shared" si="106"/>
        <v>11290.918176000001</v>
      </c>
      <c r="M270" s="322">
        <f t="shared" si="106"/>
        <v>11498.544192000001</v>
      </c>
      <c r="N270" s="322">
        <f t="shared" si="106"/>
        <v>11709.141600000001</v>
      </c>
      <c r="O270" s="322">
        <f t="shared" si="106"/>
        <v>11923.453248</v>
      </c>
      <c r="P270" s="322">
        <f t="shared" si="106"/>
        <v>12141.479136000002</v>
      </c>
      <c r="Q270" s="322">
        <f t="shared" si="106"/>
        <v>12362.84784</v>
      </c>
      <c r="R270" s="322">
        <f t="shared" si="106"/>
        <v>12587.930783999998</v>
      </c>
      <c r="S270" s="322">
        <f t="shared" si="106"/>
        <v>12816.356544</v>
      </c>
      <c r="T270" s="322">
        <f t="shared" si="106"/>
        <v>13048.867967999999</v>
      </c>
      <c r="U270" s="322">
        <f t="shared" si="106"/>
        <v>13285.093631999998</v>
      </c>
      <c r="V270" s="322">
        <f t="shared" si="106"/>
        <v>13525.033536000003</v>
      </c>
      <c r="W270" s="322">
        <f t="shared" si="106"/>
        <v>13769.059104</v>
      </c>
      <c r="X270" s="322">
        <f t="shared" si="106"/>
        <v>14016.798912</v>
      </c>
      <c r="Y270" s="322">
        <f t="shared" si="106"/>
        <v>14268.995808</v>
      </c>
      <c r="Z270" s="322">
        <f t="shared" si="106"/>
        <v>14524.906944000002</v>
      </c>
      <c r="AA270" s="343">
        <f t="shared" si="71"/>
        <v>12842.531412320002</v>
      </c>
    </row>
    <row r="271" spans="1:27" ht="24.95" customHeight="1">
      <c r="A271" s="260" t="str">
        <f>+Pobl_adoptada!A105</f>
        <v>Pehuajó</v>
      </c>
      <c r="B271" s="70">
        <f>+Pobl_adoptada!B105</f>
        <v>101</v>
      </c>
      <c r="C271" s="71" t="str">
        <f>+Pobl_adoptada!C105</f>
        <v>Pehuajó</v>
      </c>
      <c r="D271" s="348">
        <v>0.75</v>
      </c>
      <c r="E271" s="278"/>
      <c r="F271" s="263"/>
      <c r="G271" s="322">
        <f t="shared" ref="G271:Z271" si="107">+G105*365/$D271</f>
        <v>17780.908774400003</v>
      </c>
      <c r="H271" s="322">
        <f t="shared" si="107"/>
        <v>16875.166588800003</v>
      </c>
      <c r="I271" s="322">
        <f t="shared" si="107"/>
        <v>15957.241695999999</v>
      </c>
      <c r="J271" s="322">
        <f t="shared" si="107"/>
        <v>14590.360106666667</v>
      </c>
      <c r="K271" s="322">
        <f t="shared" si="107"/>
        <v>13206.351744</v>
      </c>
      <c r="L271" s="322">
        <f t="shared" si="107"/>
        <v>13281.379392000001</v>
      </c>
      <c r="M271" s="322">
        <f t="shared" si="107"/>
        <v>13356.778464000001</v>
      </c>
      <c r="N271" s="322">
        <f t="shared" si="107"/>
        <v>13431.806112</v>
      </c>
      <c r="O271" s="322">
        <f t="shared" si="107"/>
        <v>13506.833760000001</v>
      </c>
      <c r="P271" s="322">
        <f t="shared" si="107"/>
        <v>13582.232832000002</v>
      </c>
      <c r="Q271" s="322">
        <f t="shared" si="107"/>
        <v>13657.260480000003</v>
      </c>
      <c r="R271" s="322">
        <f t="shared" si="107"/>
        <v>13732.659552000003</v>
      </c>
      <c r="S271" s="322">
        <f t="shared" si="107"/>
        <v>13807.687200000002</v>
      </c>
      <c r="T271" s="322">
        <f t="shared" si="107"/>
        <v>13882.714848000003</v>
      </c>
      <c r="U271" s="322">
        <f t="shared" si="107"/>
        <v>13958.113920000002</v>
      </c>
      <c r="V271" s="322">
        <f t="shared" si="107"/>
        <v>14033.141568000001</v>
      </c>
      <c r="W271" s="322">
        <f t="shared" si="107"/>
        <v>14108.540640000001</v>
      </c>
      <c r="X271" s="322">
        <f t="shared" si="107"/>
        <v>14183.568288000002</v>
      </c>
      <c r="Y271" s="322">
        <f t="shared" si="107"/>
        <v>14258.595936</v>
      </c>
      <c r="Z271" s="322">
        <f t="shared" si="107"/>
        <v>14333.995008</v>
      </c>
      <c r="AA271" s="343">
        <f t="shared" si="71"/>
        <v>14276.266845493335</v>
      </c>
    </row>
    <row r="272" spans="1:27" ht="24.95" customHeight="1">
      <c r="A272" s="260" t="str">
        <f>+Pobl_adoptada!A106</f>
        <v>Pellegrini</v>
      </c>
      <c r="B272" s="70">
        <f>+Pobl_adoptada!B106</f>
        <v>102</v>
      </c>
      <c r="C272" s="71" t="str">
        <f>+Pobl_adoptada!C106</f>
        <v>Pellegrini</v>
      </c>
      <c r="D272" s="348">
        <v>0.75</v>
      </c>
      <c r="E272" s="278"/>
      <c r="F272" s="263"/>
      <c r="G272" s="322">
        <f t="shared" ref="G272:Z272" si="108">+G106*365/$D272</f>
        <v>2504.125969066667</v>
      </c>
      <c r="H272" s="322">
        <f t="shared" si="108"/>
        <v>2374.9172928000007</v>
      </c>
      <c r="I272" s="322">
        <f t="shared" si="108"/>
        <v>2244.254378666667</v>
      </c>
      <c r="J272" s="322">
        <f t="shared" si="108"/>
        <v>2050.6186666666667</v>
      </c>
      <c r="K272" s="322">
        <f t="shared" si="108"/>
        <v>1854.9054720000001</v>
      </c>
      <c r="L272" s="322">
        <f t="shared" si="108"/>
        <v>1864.2541440000005</v>
      </c>
      <c r="M272" s="322">
        <f t="shared" si="108"/>
        <v>1873.2804479999998</v>
      </c>
      <c r="N272" s="322">
        <f t="shared" si="108"/>
        <v>1882.6291200000003</v>
      </c>
      <c r="O272" s="322">
        <f t="shared" si="108"/>
        <v>1891.9777920000004</v>
      </c>
      <c r="P272" s="322">
        <f t="shared" si="108"/>
        <v>1901.3264639999998</v>
      </c>
      <c r="Q272" s="322">
        <f t="shared" si="108"/>
        <v>1910.6751360000001</v>
      </c>
      <c r="R272" s="322">
        <f t="shared" si="108"/>
        <v>1920.0238080000001</v>
      </c>
      <c r="S272" s="322">
        <f t="shared" si="108"/>
        <v>1929.37248</v>
      </c>
      <c r="T272" s="322">
        <f t="shared" si="108"/>
        <v>1938.7211520000001</v>
      </c>
      <c r="U272" s="322">
        <f t="shared" si="108"/>
        <v>1948.0698240000002</v>
      </c>
      <c r="V272" s="322">
        <f t="shared" si="108"/>
        <v>1957.4184960000005</v>
      </c>
      <c r="W272" s="322">
        <f t="shared" si="108"/>
        <v>1966.4448</v>
      </c>
      <c r="X272" s="322">
        <f t="shared" si="108"/>
        <v>1975.7934720000003</v>
      </c>
      <c r="Y272" s="322">
        <f t="shared" si="108"/>
        <v>1985.1421440000004</v>
      </c>
      <c r="Z272" s="322">
        <f t="shared" si="108"/>
        <v>1994.4908159999998</v>
      </c>
      <c r="AA272" s="343">
        <f t="shared" si="71"/>
        <v>1998.4220937599998</v>
      </c>
    </row>
    <row r="273" spans="1:27" ht="24.95" customHeight="1">
      <c r="A273" s="260" t="str">
        <f>+Pobl_adoptada!A107</f>
        <v>Pergamino</v>
      </c>
      <c r="B273" s="70">
        <f>+Pobl_adoptada!B107</f>
        <v>103</v>
      </c>
      <c r="C273" s="71" t="str">
        <f>+Pobl_adoptada!C107</f>
        <v>Pergamino</v>
      </c>
      <c r="D273" s="348">
        <v>0.75</v>
      </c>
      <c r="E273" s="278"/>
      <c r="F273" s="263"/>
      <c r="G273" s="322">
        <f t="shared" ref="G273:Z273" si="109">+G107*365/$D273</f>
        <v>50020.917504000005</v>
      </c>
      <c r="H273" s="322">
        <f t="shared" si="109"/>
        <v>47494.519487999998</v>
      </c>
      <c r="I273" s="322">
        <f t="shared" si="109"/>
        <v>44932.539519999998</v>
      </c>
      <c r="J273" s="322">
        <f t="shared" si="109"/>
        <v>41101.522879999997</v>
      </c>
      <c r="K273" s="322">
        <f t="shared" si="109"/>
        <v>37220.111711999998</v>
      </c>
      <c r="L273" s="322">
        <f t="shared" si="109"/>
        <v>37448.852832000004</v>
      </c>
      <c r="M273" s="322">
        <f t="shared" si="109"/>
        <v>37677.236543999999</v>
      </c>
      <c r="N273" s="322">
        <f t="shared" si="109"/>
        <v>37905.977664000005</v>
      </c>
      <c r="O273" s="322">
        <f t="shared" si="109"/>
        <v>38134.718784000004</v>
      </c>
      <c r="P273" s="322">
        <f t="shared" si="109"/>
        <v>38363.102496000007</v>
      </c>
      <c r="Q273" s="322">
        <f t="shared" si="109"/>
        <v>38591.843615999998</v>
      </c>
      <c r="R273" s="322">
        <f t="shared" si="109"/>
        <v>38820.584735999997</v>
      </c>
      <c r="S273" s="322">
        <f t="shared" si="109"/>
        <v>39048.968448</v>
      </c>
      <c r="T273" s="322">
        <f t="shared" si="109"/>
        <v>39277.709567999998</v>
      </c>
      <c r="U273" s="322">
        <f t="shared" si="109"/>
        <v>39506.450688000004</v>
      </c>
      <c r="V273" s="322">
        <f t="shared" si="109"/>
        <v>39734.8344</v>
      </c>
      <c r="W273" s="322">
        <f t="shared" si="109"/>
        <v>39963.575519999999</v>
      </c>
      <c r="X273" s="322">
        <f t="shared" si="109"/>
        <v>40192.316640000005</v>
      </c>
      <c r="Y273" s="322">
        <f t="shared" si="109"/>
        <v>40420.700352000007</v>
      </c>
      <c r="Z273" s="322">
        <f t="shared" si="109"/>
        <v>40649.441471999999</v>
      </c>
      <c r="AA273" s="343">
        <f t="shared" si="71"/>
        <v>40325.296243199999</v>
      </c>
    </row>
    <row r="274" spans="1:27" ht="24.95" customHeight="1">
      <c r="A274" s="260" t="str">
        <f>+Pobl_adoptada!A108</f>
        <v>Pila</v>
      </c>
      <c r="B274" s="70">
        <f>+Pobl_adoptada!B108</f>
        <v>104</v>
      </c>
      <c r="C274" s="71" t="str">
        <f>+Pobl_adoptada!C108</f>
        <v>Pila</v>
      </c>
      <c r="D274" s="348">
        <v>0.75</v>
      </c>
      <c r="E274" s="278"/>
      <c r="F274" s="263"/>
      <c r="G274" s="322">
        <f t="shared" ref="G274:Z274" si="110">+G108*365/$D274</f>
        <v>1536.7640746666668</v>
      </c>
      <c r="H274" s="322">
        <f t="shared" si="110"/>
        <v>1479.7658303999999</v>
      </c>
      <c r="I274" s="322">
        <f t="shared" si="110"/>
        <v>1419.601216</v>
      </c>
      <c r="J274" s="322">
        <f t="shared" si="110"/>
        <v>1317.0523733333334</v>
      </c>
      <c r="K274" s="322">
        <f t="shared" si="110"/>
        <v>1209.5247360000001</v>
      </c>
      <c r="L274" s="322">
        <f t="shared" si="110"/>
        <v>1234.347072</v>
      </c>
      <c r="M274" s="322">
        <f t="shared" si="110"/>
        <v>1259.4917760000001</v>
      </c>
      <c r="N274" s="322">
        <f t="shared" si="110"/>
        <v>1285.2812160000001</v>
      </c>
      <c r="O274" s="322">
        <f t="shared" si="110"/>
        <v>1311.7153920000001</v>
      </c>
      <c r="P274" s="322">
        <f t="shared" si="110"/>
        <v>1338.4719360000001</v>
      </c>
      <c r="Q274" s="322">
        <f t="shared" si="110"/>
        <v>1365.873216</v>
      </c>
      <c r="R274" s="322">
        <f t="shared" si="110"/>
        <v>1393.5968640000001</v>
      </c>
      <c r="S274" s="322">
        <f t="shared" si="110"/>
        <v>1422.2876159999998</v>
      </c>
      <c r="T274" s="322">
        <f t="shared" si="110"/>
        <v>1451.3007360000001</v>
      </c>
      <c r="U274" s="322">
        <f t="shared" si="110"/>
        <v>1480.9585920000002</v>
      </c>
      <c r="V274" s="322">
        <f t="shared" si="110"/>
        <v>1511.2611840000002</v>
      </c>
      <c r="W274" s="322">
        <f t="shared" si="110"/>
        <v>1542.2085119999999</v>
      </c>
      <c r="X274" s="322">
        <f t="shared" si="110"/>
        <v>1573.8005760000003</v>
      </c>
      <c r="Y274" s="322">
        <f t="shared" si="110"/>
        <v>1606.0373760000002</v>
      </c>
      <c r="Z274" s="322">
        <f t="shared" si="110"/>
        <v>1638.9189120000003</v>
      </c>
      <c r="AA274" s="343">
        <f t="shared" si="71"/>
        <v>1418.9129603200004</v>
      </c>
    </row>
    <row r="275" spans="1:27" ht="24.95" customHeight="1">
      <c r="A275" s="260" t="str">
        <f>+Pobl_adoptada!A109</f>
        <v>Pilar</v>
      </c>
      <c r="B275" s="70">
        <f>+Pobl_adoptada!B109</f>
        <v>105</v>
      </c>
      <c r="C275" s="71" t="str">
        <f>+Pobl_adoptada!C109</f>
        <v>Pilar</v>
      </c>
      <c r="D275" s="348">
        <v>0.75</v>
      </c>
      <c r="E275" s="278"/>
      <c r="F275" s="263"/>
      <c r="G275" s="322">
        <f t="shared" ref="G275:Z275" si="111">+G109*365/$D275</f>
        <v>295366.3689536</v>
      </c>
      <c r="H275" s="322">
        <f t="shared" si="111"/>
        <v>284115.90036959999</v>
      </c>
      <c r="I275" s="322">
        <f t="shared" si="111"/>
        <v>272217.07708799996</v>
      </c>
      <c r="J275" s="322">
        <f t="shared" si="111"/>
        <v>252106.03728000002</v>
      </c>
      <c r="K275" s="322">
        <f t="shared" si="111"/>
        <v>231067.80403200001</v>
      </c>
      <c r="L275" s="322">
        <f t="shared" si="111"/>
        <v>235240.17451199997</v>
      </c>
      <c r="M275" s="322">
        <f t="shared" si="111"/>
        <v>239412.54499199998</v>
      </c>
      <c r="N275" s="322">
        <f t="shared" si="111"/>
        <v>243584.91547199999</v>
      </c>
      <c r="O275" s="322">
        <f t="shared" si="111"/>
        <v>247757.28595199998</v>
      </c>
      <c r="P275" s="322">
        <f t="shared" si="111"/>
        <v>251929.65643200002</v>
      </c>
      <c r="Q275" s="322">
        <f t="shared" si="111"/>
        <v>256102.02691199994</v>
      </c>
      <c r="R275" s="322">
        <f t="shared" si="111"/>
        <v>260274.39739199998</v>
      </c>
      <c r="S275" s="322">
        <f t="shared" si="111"/>
        <v>264446.27380799997</v>
      </c>
      <c r="T275" s="322">
        <f t="shared" si="111"/>
        <v>268618.64428800001</v>
      </c>
      <c r="U275" s="322">
        <f t="shared" si="111"/>
        <v>272791.01476799999</v>
      </c>
      <c r="V275" s="322">
        <f t="shared" si="111"/>
        <v>276963.38524799998</v>
      </c>
      <c r="W275" s="322">
        <f t="shared" si="111"/>
        <v>281135.75572800002</v>
      </c>
      <c r="X275" s="322">
        <f t="shared" si="111"/>
        <v>285308.12620799994</v>
      </c>
      <c r="Y275" s="322">
        <f t="shared" si="111"/>
        <v>289480.49668800004</v>
      </c>
      <c r="Z275" s="322">
        <f t="shared" si="111"/>
        <v>293652.86716799997</v>
      </c>
      <c r="AA275" s="343">
        <f t="shared" si="71"/>
        <v>265078.53766456002</v>
      </c>
    </row>
    <row r="276" spans="1:27" ht="24.95" customHeight="1">
      <c r="A276" s="260" t="str">
        <f>+Pobl_adoptada!A110</f>
        <v>Pinamar</v>
      </c>
      <c r="B276" s="70">
        <f>+Pobl_adoptada!B110</f>
        <v>106</v>
      </c>
      <c r="C276" s="71" t="str">
        <f>+Pobl_adoptada!C110</f>
        <v>Pinamar</v>
      </c>
      <c r="D276" s="348">
        <v>0.75</v>
      </c>
      <c r="E276" s="278"/>
      <c r="F276" s="263"/>
      <c r="G276" s="322">
        <f t="shared" ref="G276:Z276" si="112">+G110*365/$D276</f>
        <v>31941.394111999998</v>
      </c>
      <c r="H276" s="322">
        <f t="shared" si="112"/>
        <v>30931.374988800002</v>
      </c>
      <c r="I276" s="322">
        <f t="shared" si="112"/>
        <v>29837.809760000004</v>
      </c>
      <c r="J276" s="322">
        <f t="shared" si="112"/>
        <v>27825.007039999997</v>
      </c>
      <c r="K276" s="322">
        <f t="shared" si="112"/>
        <v>25682.624064000003</v>
      </c>
      <c r="L276" s="322">
        <f t="shared" si="112"/>
        <v>26332.749216</v>
      </c>
      <c r="M276" s="322">
        <f t="shared" si="112"/>
        <v>26993.954016000003</v>
      </c>
      <c r="N276" s="322">
        <f t="shared" si="112"/>
        <v>27665.523648000002</v>
      </c>
      <c r="O276" s="322">
        <f t="shared" si="112"/>
        <v>28348.172928000004</v>
      </c>
      <c r="P276" s="322">
        <f t="shared" si="112"/>
        <v>29041.901855999997</v>
      </c>
      <c r="Q276" s="322">
        <f t="shared" si="112"/>
        <v>29747.425248</v>
      </c>
      <c r="R276" s="322">
        <f t="shared" si="112"/>
        <v>30464.028288000001</v>
      </c>
      <c r="S276" s="322">
        <f t="shared" si="112"/>
        <v>31192.425791999998</v>
      </c>
      <c r="T276" s="322">
        <f t="shared" si="112"/>
        <v>31932.617760000005</v>
      </c>
      <c r="U276" s="322">
        <f t="shared" si="112"/>
        <v>32685.319008000002</v>
      </c>
      <c r="V276" s="322">
        <f t="shared" si="112"/>
        <v>33449.814720000002</v>
      </c>
      <c r="W276" s="322">
        <f t="shared" si="112"/>
        <v>34226.819712000004</v>
      </c>
      <c r="X276" s="322">
        <f t="shared" si="112"/>
        <v>35016.691392000001</v>
      </c>
      <c r="Y276" s="322">
        <f t="shared" si="112"/>
        <v>35819.429760000006</v>
      </c>
      <c r="Z276" s="322">
        <f t="shared" si="112"/>
        <v>36635.034816000007</v>
      </c>
      <c r="AA276" s="343">
        <f t="shared" si="71"/>
        <v>30788.505906240007</v>
      </c>
    </row>
    <row r="277" spans="1:27" ht="24.95" customHeight="1">
      <c r="A277" s="264" t="e">
        <f>+Pobl_adoptada!#REF!</f>
        <v>#REF!</v>
      </c>
      <c r="B277" s="265" t="e">
        <f>+Pobl_adoptada!#REF!</f>
        <v>#REF!</v>
      </c>
      <c r="C277" s="266" t="e">
        <f>+Pobl_adoptada!#REF!</f>
        <v>#REF!</v>
      </c>
      <c r="D277" s="348">
        <v>0.75</v>
      </c>
      <c r="E277" s="267"/>
      <c r="F277" s="268"/>
      <c r="G277" s="322" t="e">
        <f>+#REF!*365/$D277</f>
        <v>#REF!</v>
      </c>
      <c r="H277" s="322" t="e">
        <f>+#REF!*365/$D277</f>
        <v>#REF!</v>
      </c>
      <c r="I277" s="322" t="e">
        <f>+#REF!*365/$D277</f>
        <v>#REF!</v>
      </c>
      <c r="J277" s="322" t="e">
        <f>+#REF!*365/$D277</f>
        <v>#REF!</v>
      </c>
      <c r="K277" s="322" t="e">
        <f>+#REF!*365/$D277</f>
        <v>#REF!</v>
      </c>
      <c r="L277" s="322" t="e">
        <f>+#REF!*365/$D277</f>
        <v>#REF!</v>
      </c>
      <c r="M277" s="322" t="e">
        <f>+#REF!*365/$D277</f>
        <v>#REF!</v>
      </c>
      <c r="N277" s="322" t="e">
        <f>+#REF!*365/$D277</f>
        <v>#REF!</v>
      </c>
      <c r="O277" s="322" t="e">
        <f>+#REF!*365/$D277</f>
        <v>#REF!</v>
      </c>
      <c r="P277" s="322" t="e">
        <f>+#REF!*365/$D277</f>
        <v>#REF!</v>
      </c>
      <c r="Q277" s="322" t="e">
        <f>+#REF!*365/$D277</f>
        <v>#REF!</v>
      </c>
      <c r="R277" s="322" t="e">
        <f>+#REF!*365/$D277</f>
        <v>#REF!</v>
      </c>
      <c r="S277" s="322" t="e">
        <f>+#REF!*365/$D277</f>
        <v>#REF!</v>
      </c>
      <c r="T277" s="322" t="e">
        <f>+#REF!*365/$D277</f>
        <v>#REF!</v>
      </c>
      <c r="U277" s="322" t="e">
        <f>+#REF!*365/$D277</f>
        <v>#REF!</v>
      </c>
      <c r="V277" s="322" t="e">
        <f>+#REF!*365/$D277</f>
        <v>#REF!</v>
      </c>
      <c r="W277" s="322" t="e">
        <f>+#REF!*365/$D277</f>
        <v>#REF!</v>
      </c>
      <c r="X277" s="322" t="e">
        <f>+#REF!*365/$D277</f>
        <v>#REF!</v>
      </c>
      <c r="Y277" s="322" t="e">
        <f>+#REF!*365/$D277</f>
        <v>#REF!</v>
      </c>
      <c r="Z277" s="322" t="e">
        <f>+#REF!*365/$D277</f>
        <v>#REF!</v>
      </c>
      <c r="AA277" s="343" t="e">
        <f t="shared" si="71"/>
        <v>#REF!</v>
      </c>
    </row>
    <row r="278" spans="1:27" ht="24.95" customHeight="1">
      <c r="A278" s="260" t="str">
        <f>+Pobl_adoptada!A111</f>
        <v>Presidente Perón</v>
      </c>
      <c r="B278" s="70">
        <f>+Pobl_adoptada!B111</f>
        <v>107</v>
      </c>
      <c r="C278" s="71" t="str">
        <f>+Pobl_adoptada!C111</f>
        <v>Presidente Perón</v>
      </c>
      <c r="D278" s="348">
        <v>0.75</v>
      </c>
      <c r="E278" s="278"/>
      <c r="F278" s="263"/>
      <c r="G278" s="322">
        <f t="shared" ref="G278:Z278" si="113">+G111*365/$D278</f>
        <v>56116.693619200007</v>
      </c>
      <c r="H278" s="322">
        <f t="shared" si="113"/>
        <v>53931.509049599998</v>
      </c>
      <c r="I278" s="322">
        <f t="shared" si="113"/>
        <v>51628.737247999998</v>
      </c>
      <c r="J278" s="322">
        <f t="shared" si="113"/>
        <v>47775.124479999999</v>
      </c>
      <c r="K278" s="322">
        <f t="shared" si="113"/>
        <v>43753.887360000001</v>
      </c>
      <c r="L278" s="322">
        <f t="shared" si="113"/>
        <v>44509.80528</v>
      </c>
      <c r="M278" s="322">
        <f t="shared" si="113"/>
        <v>45265.723200000008</v>
      </c>
      <c r="N278" s="322">
        <f t="shared" si="113"/>
        <v>46021.641119999993</v>
      </c>
      <c r="O278" s="322">
        <f t="shared" si="113"/>
        <v>46777.55904</v>
      </c>
      <c r="P278" s="322">
        <f t="shared" si="113"/>
        <v>47533.47696</v>
      </c>
      <c r="Q278" s="322">
        <f t="shared" si="113"/>
        <v>48289.394880000007</v>
      </c>
      <c r="R278" s="322">
        <f t="shared" si="113"/>
        <v>49045.312800000007</v>
      </c>
      <c r="S278" s="322">
        <f t="shared" si="113"/>
        <v>49801.588128000003</v>
      </c>
      <c r="T278" s="322">
        <f t="shared" si="113"/>
        <v>50557.50604800001</v>
      </c>
      <c r="U278" s="322">
        <f t="shared" si="113"/>
        <v>51313.42396800001</v>
      </c>
      <c r="V278" s="322">
        <f t="shared" si="113"/>
        <v>52069.341887999995</v>
      </c>
      <c r="W278" s="322">
        <f t="shared" si="113"/>
        <v>52825.259808000003</v>
      </c>
      <c r="X278" s="322">
        <f t="shared" si="113"/>
        <v>53581.177728000002</v>
      </c>
      <c r="Y278" s="322">
        <f t="shared" si="113"/>
        <v>54337.09564800001</v>
      </c>
      <c r="Z278" s="322">
        <f t="shared" si="113"/>
        <v>55093.013568000002</v>
      </c>
      <c r="AA278" s="343">
        <f t="shared" si="71"/>
        <v>50011.363591040004</v>
      </c>
    </row>
    <row r="279" spans="1:27" ht="24.95" customHeight="1">
      <c r="A279" s="260" t="str">
        <f>+Pobl_adoptada!A112</f>
        <v>Puán</v>
      </c>
      <c r="B279" s="70">
        <f>+Pobl_adoptada!B112</f>
        <v>108</v>
      </c>
      <c r="C279" s="71" t="str">
        <f>+Pobl_adoptada!C112</f>
        <v>Puán</v>
      </c>
      <c r="D279" s="348">
        <v>0.75</v>
      </c>
      <c r="E279" s="278"/>
      <c r="F279" s="263"/>
      <c r="G279" s="322">
        <f t="shared" ref="G279:Z279" si="114">+G112*365/$D279</f>
        <v>2249.1830271999997</v>
      </c>
      <c r="H279" s="322">
        <f t="shared" si="114"/>
        <v>2141.490624</v>
      </c>
      <c r="I279" s="322">
        <f t="shared" si="114"/>
        <v>2031.4914986666665</v>
      </c>
      <c r="J279" s="322">
        <f t="shared" si="114"/>
        <v>1862.9288533333338</v>
      </c>
      <c r="K279" s="322">
        <f t="shared" si="114"/>
        <v>1691.4648959999997</v>
      </c>
      <c r="L279" s="322">
        <f t="shared" si="114"/>
        <v>1713.0635520000003</v>
      </c>
      <c r="M279" s="322">
        <f t="shared" si="114"/>
        <v>1734.3398400000003</v>
      </c>
      <c r="N279" s="322">
        <f t="shared" si="114"/>
        <v>1755.9384959999998</v>
      </c>
      <c r="O279" s="322">
        <f t="shared" si="114"/>
        <v>1777.5371520000001</v>
      </c>
      <c r="P279" s="322">
        <f t="shared" si="114"/>
        <v>1798.8134400000001</v>
      </c>
      <c r="Q279" s="322">
        <f t="shared" si="114"/>
        <v>1820.412096</v>
      </c>
      <c r="R279" s="322">
        <f t="shared" si="114"/>
        <v>1842.0107519999999</v>
      </c>
      <c r="S279" s="322">
        <f t="shared" si="114"/>
        <v>1863.2870400000002</v>
      </c>
      <c r="T279" s="322">
        <f t="shared" si="114"/>
        <v>1884.8856959999996</v>
      </c>
      <c r="U279" s="322">
        <f t="shared" si="114"/>
        <v>1906.1619840000003</v>
      </c>
      <c r="V279" s="322">
        <f t="shared" si="114"/>
        <v>1927.7606400000004</v>
      </c>
      <c r="W279" s="322">
        <f t="shared" si="114"/>
        <v>1949.3592959999999</v>
      </c>
      <c r="X279" s="322">
        <f t="shared" si="114"/>
        <v>1970.6355840000003</v>
      </c>
      <c r="Y279" s="322">
        <f t="shared" si="114"/>
        <v>1992.23424</v>
      </c>
      <c r="Z279" s="322">
        <f t="shared" si="114"/>
        <v>2013.8328960000001</v>
      </c>
      <c r="AA279" s="343">
        <f t="shared" si="71"/>
        <v>1896.3415801599999</v>
      </c>
    </row>
    <row r="280" spans="1:27" ht="24.95" customHeight="1">
      <c r="A280" s="260" t="str">
        <f>+Pobl_adoptada!A113</f>
        <v>Punta Indio</v>
      </c>
      <c r="B280" s="70">
        <f>+Pobl_adoptada!B113</f>
        <v>109</v>
      </c>
      <c r="C280" s="71" t="str">
        <f>+Pobl_adoptada!C113</f>
        <v>Verónica</v>
      </c>
      <c r="D280" s="348">
        <v>0.75</v>
      </c>
      <c r="E280" s="278"/>
      <c r="F280" s="263"/>
      <c r="G280" s="322">
        <f t="shared" ref="G280:Z280" si="115">+G113*365/$D280</f>
        <v>3964.0518400000001</v>
      </c>
      <c r="H280" s="322">
        <f t="shared" si="115"/>
        <v>3811.5180479999999</v>
      </c>
      <c r="I280" s="322">
        <f t="shared" si="115"/>
        <v>3651.6414293333332</v>
      </c>
      <c r="J280" s="322">
        <f t="shared" si="115"/>
        <v>3382.71488</v>
      </c>
      <c r="K280" s="322">
        <f t="shared" si="115"/>
        <v>3101.8248960000001</v>
      </c>
      <c r="L280" s="322">
        <f t="shared" si="115"/>
        <v>3160.4958720000009</v>
      </c>
      <c r="M280" s="322">
        <f t="shared" si="115"/>
        <v>3219.8115840000005</v>
      </c>
      <c r="N280" s="322">
        <f t="shared" si="115"/>
        <v>3280.4167679999996</v>
      </c>
      <c r="O280" s="322">
        <f t="shared" si="115"/>
        <v>3341.6666880000007</v>
      </c>
      <c r="P280" s="322">
        <f t="shared" si="115"/>
        <v>3404.2060799999999</v>
      </c>
      <c r="Q280" s="322">
        <f t="shared" si="115"/>
        <v>3467.7125759999999</v>
      </c>
      <c r="R280" s="322">
        <f t="shared" si="115"/>
        <v>3532.1861759999997</v>
      </c>
      <c r="S280" s="322">
        <f t="shared" si="115"/>
        <v>3597.6268800000003</v>
      </c>
      <c r="T280" s="322">
        <f t="shared" si="115"/>
        <v>3664.3570560000007</v>
      </c>
      <c r="U280" s="322">
        <f t="shared" si="115"/>
        <v>3732.0543360000006</v>
      </c>
      <c r="V280" s="322">
        <f t="shared" si="115"/>
        <v>3800.7187200000003</v>
      </c>
      <c r="W280" s="322">
        <f t="shared" si="115"/>
        <v>3870.6725760000004</v>
      </c>
      <c r="X280" s="322">
        <f t="shared" si="115"/>
        <v>3941.5935359999989</v>
      </c>
      <c r="Y280" s="322">
        <f t="shared" si="115"/>
        <v>4013.8039680000002</v>
      </c>
      <c r="Z280" s="322">
        <f t="shared" si="115"/>
        <v>4087.303872</v>
      </c>
      <c r="AA280" s="343">
        <f t="shared" si="71"/>
        <v>3601.3188890666665</v>
      </c>
    </row>
    <row r="281" spans="1:27" ht="24.95" customHeight="1">
      <c r="A281" s="260" t="str">
        <f>+Pobl_adoptada!A114</f>
        <v>Ramallo</v>
      </c>
      <c r="B281" s="70">
        <f>+Pobl_adoptada!B114</f>
        <v>110</v>
      </c>
      <c r="C281" s="71" t="str">
        <f>+Pobl_adoptada!C114</f>
        <v>Ramallo</v>
      </c>
      <c r="D281" s="348">
        <v>0.75</v>
      </c>
      <c r="E281" s="278"/>
      <c r="F281" s="263"/>
      <c r="G281" s="322">
        <f t="shared" ref="G281:Z281" si="116">+G114*365/$D281</f>
        <v>8517.3961216000007</v>
      </c>
      <c r="H281" s="322">
        <f t="shared" si="116"/>
        <v>8149.0797024000021</v>
      </c>
      <c r="I281" s="322">
        <f t="shared" si="116"/>
        <v>7769.1170773333333</v>
      </c>
      <c r="J281" s="322">
        <f t="shared" si="116"/>
        <v>7161.8801066666674</v>
      </c>
      <c r="K281" s="322">
        <f t="shared" si="116"/>
        <v>6535.948128</v>
      </c>
      <c r="L281" s="322">
        <f t="shared" si="116"/>
        <v>6627.689856</v>
      </c>
      <c r="M281" s="322">
        <f t="shared" si="116"/>
        <v>6720.5458559999997</v>
      </c>
      <c r="N281" s="322">
        <f t="shared" si="116"/>
        <v>6814.8875520000011</v>
      </c>
      <c r="O281" s="322">
        <f t="shared" si="116"/>
        <v>6910.3435199999994</v>
      </c>
      <c r="P281" s="322">
        <f t="shared" si="116"/>
        <v>7007.2851840000003</v>
      </c>
      <c r="Q281" s="322">
        <f t="shared" si="116"/>
        <v>7105.7125440000009</v>
      </c>
      <c r="R281" s="322">
        <f t="shared" si="116"/>
        <v>7205.2541759999995</v>
      </c>
      <c r="S281" s="322">
        <f t="shared" si="116"/>
        <v>7306.2815040000014</v>
      </c>
      <c r="T281" s="322">
        <f t="shared" si="116"/>
        <v>7408.7945279999994</v>
      </c>
      <c r="U281" s="322">
        <f t="shared" si="116"/>
        <v>7512.7932480000018</v>
      </c>
      <c r="V281" s="322">
        <f t="shared" si="116"/>
        <v>7617.9062399999993</v>
      </c>
      <c r="W281" s="322">
        <f t="shared" si="116"/>
        <v>7724.8763519999993</v>
      </c>
      <c r="X281" s="322">
        <f t="shared" si="116"/>
        <v>7833.3321600000008</v>
      </c>
      <c r="Y281" s="322">
        <f t="shared" si="116"/>
        <v>7942.9022400000003</v>
      </c>
      <c r="Z281" s="322">
        <f t="shared" si="116"/>
        <v>8054.3294400000004</v>
      </c>
      <c r="AA281" s="343">
        <f t="shared" si="71"/>
        <v>7396.3177767999996</v>
      </c>
    </row>
    <row r="282" spans="1:27" ht="24.95" customHeight="1">
      <c r="A282" s="260" t="str">
        <f>+Pobl_adoptada!A115</f>
        <v>Rauch</v>
      </c>
      <c r="B282" s="70">
        <f>+Pobl_adoptada!B115</f>
        <v>111</v>
      </c>
      <c r="C282" s="71" t="str">
        <f>+Pobl_adoptada!C115</f>
        <v>Rauch</v>
      </c>
      <c r="D282" s="348">
        <v>0.75</v>
      </c>
      <c r="E282" s="278"/>
      <c r="F282" s="263"/>
      <c r="G282" s="322">
        <f t="shared" ref="G282:Z282" si="117">+G115*365/$D282</f>
        <v>6537.9095893333333</v>
      </c>
      <c r="H282" s="322">
        <f t="shared" si="117"/>
        <v>6222.4760832000002</v>
      </c>
      <c r="I282" s="322">
        <f t="shared" si="117"/>
        <v>5900.2298666666657</v>
      </c>
      <c r="J282" s="322">
        <f t="shared" si="117"/>
        <v>5409.6932266666672</v>
      </c>
      <c r="K282" s="322">
        <f t="shared" si="117"/>
        <v>4909.66464</v>
      </c>
      <c r="L282" s="322">
        <f t="shared" si="117"/>
        <v>4950.9277439999996</v>
      </c>
      <c r="M282" s="322">
        <f t="shared" si="117"/>
        <v>4992.1908480000002</v>
      </c>
      <c r="N282" s="322">
        <f t="shared" si="117"/>
        <v>5033.1315839999997</v>
      </c>
      <c r="O282" s="322">
        <f t="shared" si="117"/>
        <v>5074.3946880000003</v>
      </c>
      <c r="P282" s="322">
        <f t="shared" si="117"/>
        <v>5115.3354239999999</v>
      </c>
      <c r="Q282" s="322">
        <f t="shared" si="117"/>
        <v>5156.5985280000014</v>
      </c>
      <c r="R282" s="322">
        <f t="shared" si="117"/>
        <v>5197.539264</v>
      </c>
      <c r="S282" s="322">
        <f t="shared" si="117"/>
        <v>5238.8023680000006</v>
      </c>
      <c r="T282" s="322">
        <f t="shared" si="117"/>
        <v>5279.7431040000001</v>
      </c>
      <c r="U282" s="322">
        <f t="shared" si="117"/>
        <v>5321.0062080000007</v>
      </c>
      <c r="V282" s="322">
        <f t="shared" si="117"/>
        <v>5362.2693120000004</v>
      </c>
      <c r="W282" s="322">
        <f t="shared" si="117"/>
        <v>5403.2100480000008</v>
      </c>
      <c r="X282" s="322">
        <f t="shared" si="117"/>
        <v>5444.4731520000005</v>
      </c>
      <c r="Y282" s="322">
        <f t="shared" si="117"/>
        <v>5485.4138880000019</v>
      </c>
      <c r="Z282" s="322">
        <f t="shared" si="117"/>
        <v>5526.6769919999997</v>
      </c>
      <c r="AA282" s="343">
        <f t="shared" si="71"/>
        <v>5378.0843278933335</v>
      </c>
    </row>
    <row r="283" spans="1:27" ht="24.95" customHeight="1">
      <c r="A283" s="260" t="str">
        <f>+Pobl_adoptada!A116</f>
        <v>Rivadavia</v>
      </c>
      <c r="B283" s="70">
        <f>+Pobl_adoptada!B116</f>
        <v>112</v>
      </c>
      <c r="C283" s="71" t="str">
        <f>+Pobl_adoptada!C116</f>
        <v>América</v>
      </c>
      <c r="D283" s="348">
        <v>0.75</v>
      </c>
      <c r="E283" s="278"/>
      <c r="F283" s="263"/>
      <c r="G283" s="322">
        <f t="shared" ref="G283:Z283" si="118">+G116*365/$D283</f>
        <v>6174.1495381333334</v>
      </c>
      <c r="H283" s="322">
        <f t="shared" si="118"/>
        <v>5884.2798144000008</v>
      </c>
      <c r="I283" s="322">
        <f t="shared" si="118"/>
        <v>5586.9956266666668</v>
      </c>
      <c r="J283" s="322">
        <f t="shared" si="118"/>
        <v>5129.2330666666676</v>
      </c>
      <c r="K283" s="322">
        <f t="shared" si="118"/>
        <v>4661.44128</v>
      </c>
      <c r="L283" s="322">
        <f t="shared" si="118"/>
        <v>4706.5727999999999</v>
      </c>
      <c r="M283" s="322">
        <f t="shared" si="118"/>
        <v>4751.7043200000007</v>
      </c>
      <c r="N283" s="322">
        <f t="shared" si="118"/>
        <v>4796.8358400000006</v>
      </c>
      <c r="O283" s="322">
        <f t="shared" si="118"/>
        <v>4841.9673600000006</v>
      </c>
      <c r="P283" s="322">
        <f t="shared" si="118"/>
        <v>4887.0988800000005</v>
      </c>
      <c r="Q283" s="322">
        <f t="shared" si="118"/>
        <v>4931.9080320000003</v>
      </c>
      <c r="R283" s="322">
        <f t="shared" si="118"/>
        <v>4977.0395520000002</v>
      </c>
      <c r="S283" s="322">
        <f t="shared" si="118"/>
        <v>5022.1710720000001</v>
      </c>
      <c r="T283" s="322">
        <f t="shared" si="118"/>
        <v>5067.3025920000009</v>
      </c>
      <c r="U283" s="322">
        <f t="shared" si="118"/>
        <v>5112.4341119999999</v>
      </c>
      <c r="V283" s="322">
        <f t="shared" si="118"/>
        <v>5157.5656320000007</v>
      </c>
      <c r="W283" s="322">
        <f t="shared" si="118"/>
        <v>5202.6971519999997</v>
      </c>
      <c r="X283" s="322">
        <f t="shared" si="118"/>
        <v>5247.8286720000006</v>
      </c>
      <c r="Y283" s="322">
        <f t="shared" si="118"/>
        <v>5292.9601920000005</v>
      </c>
      <c r="Z283" s="322">
        <f t="shared" si="118"/>
        <v>5337.7693440000003</v>
      </c>
      <c r="AA283" s="343">
        <f t="shared" si="71"/>
        <v>5138.4977438933338</v>
      </c>
    </row>
    <row r="284" spans="1:27" ht="24.95" customHeight="1">
      <c r="A284" s="260" t="str">
        <f>+Pobl_adoptada!A117</f>
        <v>Rojas</v>
      </c>
      <c r="B284" s="70">
        <f>+Pobl_adoptada!B117</f>
        <v>113</v>
      </c>
      <c r="C284" s="71" t="str">
        <f>+Pobl_adoptada!C117</f>
        <v>Rojas</v>
      </c>
      <c r="D284" s="348">
        <v>0.75</v>
      </c>
      <c r="E284" s="278"/>
      <c r="F284" s="263"/>
      <c r="G284" s="322">
        <f t="shared" ref="G284:Z284" si="119">+G117*365/$D284</f>
        <v>11154.390967466667</v>
      </c>
      <c r="H284" s="322">
        <f t="shared" si="119"/>
        <v>10588.926816000001</v>
      </c>
      <c r="I284" s="322">
        <f t="shared" si="119"/>
        <v>10016.686240000003</v>
      </c>
      <c r="J284" s="322">
        <f t="shared" si="119"/>
        <v>9161.7920000000013</v>
      </c>
      <c r="K284" s="322">
        <f t="shared" si="119"/>
        <v>8296.126463999999</v>
      </c>
      <c r="L284" s="322">
        <f t="shared" si="119"/>
        <v>8347.0115520000018</v>
      </c>
      <c r="M284" s="322">
        <f t="shared" si="119"/>
        <v>8398.2680639999999</v>
      </c>
      <c r="N284" s="322">
        <f t="shared" si="119"/>
        <v>8449.8959999999988</v>
      </c>
      <c r="O284" s="322">
        <f t="shared" si="119"/>
        <v>8501.5239359999996</v>
      </c>
      <c r="P284" s="322">
        <f t="shared" si="119"/>
        <v>8553.5232960000012</v>
      </c>
      <c r="Q284" s="322">
        <f t="shared" si="119"/>
        <v>8606.2655040000009</v>
      </c>
      <c r="R284" s="322">
        <f t="shared" si="119"/>
        <v>8659.0077120000005</v>
      </c>
      <c r="S284" s="322">
        <f t="shared" si="119"/>
        <v>8712.1213439999992</v>
      </c>
      <c r="T284" s="322">
        <f t="shared" si="119"/>
        <v>8765.2349760000016</v>
      </c>
      <c r="U284" s="322">
        <f t="shared" si="119"/>
        <v>8819.0914560000019</v>
      </c>
      <c r="V284" s="322">
        <f t="shared" si="119"/>
        <v>8873.3193600000031</v>
      </c>
      <c r="W284" s="322">
        <f t="shared" si="119"/>
        <v>8927.5472639999989</v>
      </c>
      <c r="X284" s="322">
        <f t="shared" si="119"/>
        <v>8982.518016</v>
      </c>
      <c r="Y284" s="322">
        <f t="shared" si="119"/>
        <v>9037.4887680000011</v>
      </c>
      <c r="Z284" s="322">
        <f t="shared" si="119"/>
        <v>9092.8309440000012</v>
      </c>
      <c r="AA284" s="343">
        <f t="shared" si="71"/>
        <v>8997.1785339733324</v>
      </c>
    </row>
    <row r="285" spans="1:27" ht="24.95" customHeight="1">
      <c r="A285" s="260" t="str">
        <f>+Pobl_adoptada!A118</f>
        <v>Roque Pérez</v>
      </c>
      <c r="B285" s="70">
        <f>+Pobl_adoptada!B118</f>
        <v>114</v>
      </c>
      <c r="C285" s="71" t="str">
        <f>+Pobl_adoptada!C118</f>
        <v>Roque Pérez</v>
      </c>
      <c r="D285" s="348">
        <v>0.75</v>
      </c>
      <c r="E285" s="278"/>
      <c r="F285" s="263"/>
      <c r="G285" s="322">
        <f t="shared" ref="G285:Z285" si="120">+G118*365/$D285</f>
        <v>6227.0035626666677</v>
      </c>
      <c r="H285" s="322">
        <f t="shared" si="120"/>
        <v>5971.0290432000002</v>
      </c>
      <c r="I285" s="322">
        <f t="shared" si="120"/>
        <v>5703.6212053333338</v>
      </c>
      <c r="J285" s="322">
        <f t="shared" si="120"/>
        <v>5266.7767466666664</v>
      </c>
      <c r="K285" s="322">
        <f t="shared" si="120"/>
        <v>4813.5989760000002</v>
      </c>
      <c r="L285" s="322">
        <f t="shared" si="120"/>
        <v>4887.0988800000005</v>
      </c>
      <c r="M285" s="322">
        <f t="shared" si="120"/>
        <v>4960.2764160000006</v>
      </c>
      <c r="N285" s="322">
        <f t="shared" si="120"/>
        <v>5033.7763200000018</v>
      </c>
      <c r="O285" s="322">
        <f t="shared" si="120"/>
        <v>5107.2762240000002</v>
      </c>
      <c r="P285" s="322">
        <f t="shared" si="120"/>
        <v>5180.7761280000013</v>
      </c>
      <c r="Q285" s="322">
        <f t="shared" si="120"/>
        <v>5254.2760319999988</v>
      </c>
      <c r="R285" s="322">
        <f t="shared" si="120"/>
        <v>5327.775936</v>
      </c>
      <c r="S285" s="322">
        <f t="shared" si="120"/>
        <v>5401.2758400000012</v>
      </c>
      <c r="T285" s="322">
        <f t="shared" si="120"/>
        <v>5474.7757440000014</v>
      </c>
      <c r="U285" s="322">
        <f t="shared" si="120"/>
        <v>5547.9532800000006</v>
      </c>
      <c r="V285" s="322">
        <f t="shared" si="120"/>
        <v>5621.4531840000009</v>
      </c>
      <c r="W285" s="322">
        <f t="shared" si="120"/>
        <v>5694.9530880000011</v>
      </c>
      <c r="X285" s="322">
        <f t="shared" si="120"/>
        <v>5768.4529919999995</v>
      </c>
      <c r="Y285" s="322">
        <f t="shared" si="120"/>
        <v>5841.9528960000016</v>
      </c>
      <c r="Z285" s="322">
        <f t="shared" si="120"/>
        <v>5915.4528</v>
      </c>
      <c r="AA285" s="343">
        <f t="shared" si="71"/>
        <v>5449.9777646933344</v>
      </c>
    </row>
    <row r="286" spans="1:27" ht="24.95" customHeight="1">
      <c r="A286" s="260" t="str">
        <f>+Pobl_adoptada!A119</f>
        <v>Saavedra</v>
      </c>
      <c r="B286" s="70">
        <f>+Pobl_adoptada!B119</f>
        <v>115</v>
      </c>
      <c r="C286" s="71" t="str">
        <f>+Pobl_adoptada!C119</f>
        <v>Pigüé</v>
      </c>
      <c r="D286" s="348">
        <v>0.75</v>
      </c>
      <c r="E286" s="278"/>
      <c r="F286" s="263"/>
      <c r="G286" s="322">
        <f t="shared" ref="G286:Z286" si="121">+G119*365/$D286</f>
        <v>7899.7262634666686</v>
      </c>
      <c r="H286" s="322">
        <f t="shared" si="121"/>
        <v>7487.0907072000009</v>
      </c>
      <c r="I286" s="322">
        <f t="shared" si="121"/>
        <v>7070.014570666669</v>
      </c>
      <c r="J286" s="322">
        <f t="shared" si="121"/>
        <v>6455.7618133333344</v>
      </c>
      <c r="K286" s="322">
        <f t="shared" si="121"/>
        <v>5836.1853120000014</v>
      </c>
      <c r="L286" s="322">
        <f t="shared" si="121"/>
        <v>5861.8135680000005</v>
      </c>
      <c r="M286" s="322">
        <f t="shared" si="121"/>
        <v>5887.8132480000013</v>
      </c>
      <c r="N286" s="322">
        <f t="shared" si="121"/>
        <v>5913.8129280000003</v>
      </c>
      <c r="O286" s="322">
        <f t="shared" si="121"/>
        <v>5940.184032000001</v>
      </c>
      <c r="P286" s="322">
        <f t="shared" si="121"/>
        <v>5966.5551359999999</v>
      </c>
      <c r="Q286" s="322">
        <f t="shared" si="121"/>
        <v>5992.9262400000007</v>
      </c>
      <c r="R286" s="322">
        <f t="shared" si="121"/>
        <v>6019.2973439999996</v>
      </c>
      <c r="S286" s="322">
        <f t="shared" si="121"/>
        <v>6046.0398720000003</v>
      </c>
      <c r="T286" s="322">
        <f t="shared" si="121"/>
        <v>6072.7824000000001</v>
      </c>
      <c r="U286" s="322">
        <f t="shared" si="121"/>
        <v>6099.8963520000007</v>
      </c>
      <c r="V286" s="322">
        <f t="shared" si="121"/>
        <v>6126.6388800000013</v>
      </c>
      <c r="W286" s="322">
        <f t="shared" si="121"/>
        <v>6154.1242560000001</v>
      </c>
      <c r="X286" s="322">
        <f t="shared" si="121"/>
        <v>6181.2382080000016</v>
      </c>
      <c r="Y286" s="322">
        <f t="shared" si="121"/>
        <v>6208.7235839999994</v>
      </c>
      <c r="Z286" s="322">
        <f t="shared" si="121"/>
        <v>6236.2089600000008</v>
      </c>
      <c r="AA286" s="343">
        <f t="shared" si="71"/>
        <v>6272.8416837333334</v>
      </c>
    </row>
    <row r="287" spans="1:27" ht="24.95" customHeight="1">
      <c r="A287" s="260" t="str">
        <f>+Pobl_adoptada!A120</f>
        <v>Saladillo</v>
      </c>
      <c r="B287" s="70">
        <f>+Pobl_adoptada!B120</f>
        <v>116</v>
      </c>
      <c r="C287" s="71" t="str">
        <f>+Pobl_adoptada!C120</f>
        <v>Saladillo</v>
      </c>
      <c r="D287" s="348">
        <v>0.75</v>
      </c>
      <c r="E287" s="278"/>
      <c r="F287" s="263"/>
      <c r="G287" s="322">
        <f t="shared" ref="G287:Z287" si="122">+G120*365/$D287</f>
        <v>17036.327462400001</v>
      </c>
      <c r="H287" s="322">
        <f t="shared" si="122"/>
        <v>16269.671183999999</v>
      </c>
      <c r="I287" s="322">
        <f t="shared" si="122"/>
        <v>15479.219008</v>
      </c>
      <c r="J287" s="322">
        <f t="shared" si="122"/>
        <v>14238.745386666669</v>
      </c>
      <c r="K287" s="322">
        <f t="shared" si="122"/>
        <v>12964.926144000003</v>
      </c>
      <c r="L287" s="322">
        <f t="shared" si="122"/>
        <v>13114.981439999998</v>
      </c>
      <c r="M287" s="322">
        <f t="shared" si="122"/>
        <v>13265.036736000002</v>
      </c>
      <c r="N287" s="322">
        <f t="shared" si="122"/>
        <v>13415.092032</v>
      </c>
      <c r="O287" s="322">
        <f t="shared" si="122"/>
        <v>13565.147328000001</v>
      </c>
      <c r="P287" s="322">
        <f t="shared" si="122"/>
        <v>13715.202624000003</v>
      </c>
      <c r="Q287" s="322">
        <f t="shared" si="122"/>
        <v>13865.257920000002</v>
      </c>
      <c r="R287" s="322">
        <f t="shared" si="122"/>
        <v>14015.313216000002</v>
      </c>
      <c r="S287" s="322">
        <f t="shared" si="122"/>
        <v>14165.368512000001</v>
      </c>
      <c r="T287" s="322">
        <f t="shared" si="122"/>
        <v>14315.423808000001</v>
      </c>
      <c r="U287" s="322">
        <f t="shared" si="122"/>
        <v>14465.479104000004</v>
      </c>
      <c r="V287" s="322">
        <f t="shared" si="122"/>
        <v>14615.534399999999</v>
      </c>
      <c r="W287" s="322">
        <f t="shared" si="122"/>
        <v>14765.589696000003</v>
      </c>
      <c r="X287" s="322">
        <f t="shared" si="122"/>
        <v>14915.644992000001</v>
      </c>
      <c r="Y287" s="322">
        <f t="shared" si="122"/>
        <v>15065.700288</v>
      </c>
      <c r="Z287" s="322">
        <f t="shared" si="122"/>
        <v>15215.755584</v>
      </c>
      <c r="AA287" s="343">
        <f t="shared" si="71"/>
        <v>14423.470843253337</v>
      </c>
    </row>
    <row r="288" spans="1:27" ht="24.95" customHeight="1">
      <c r="A288" s="260" t="str">
        <f>+Pobl_adoptada!A121</f>
        <v>Salliqueló</v>
      </c>
      <c r="B288" s="70">
        <f>+Pobl_adoptada!B121</f>
        <v>117</v>
      </c>
      <c r="C288" s="71" t="str">
        <f>+Pobl_adoptada!C121</f>
        <v>Salliqueló</v>
      </c>
      <c r="D288" s="348">
        <v>0.75</v>
      </c>
      <c r="E288" s="278"/>
      <c r="F288" s="263"/>
      <c r="G288" s="322">
        <f t="shared" ref="G288:Z288" si="123">+G121*365/$D288</f>
        <v>3644.262784</v>
      </c>
      <c r="H288" s="322">
        <f t="shared" si="123"/>
        <v>3452.3678592000001</v>
      </c>
      <c r="I288" s="322">
        <f t="shared" si="123"/>
        <v>3258.4241066666673</v>
      </c>
      <c r="J288" s="322">
        <f t="shared" si="123"/>
        <v>2974.023893333333</v>
      </c>
      <c r="K288" s="322">
        <f t="shared" si="123"/>
        <v>2686.9372800000001</v>
      </c>
      <c r="L288" s="322">
        <f t="shared" si="123"/>
        <v>2697.5754240000006</v>
      </c>
      <c r="M288" s="322">
        <f t="shared" si="123"/>
        <v>2708.2135680000006</v>
      </c>
      <c r="N288" s="322">
        <f t="shared" si="123"/>
        <v>2718.5293440000005</v>
      </c>
      <c r="O288" s="322">
        <f t="shared" si="123"/>
        <v>2729.1674880000005</v>
      </c>
      <c r="P288" s="322">
        <f t="shared" si="123"/>
        <v>2739.483264</v>
      </c>
      <c r="Q288" s="322">
        <f t="shared" si="123"/>
        <v>2750.1214080000004</v>
      </c>
      <c r="R288" s="322">
        <f t="shared" si="123"/>
        <v>2760.4371839999999</v>
      </c>
      <c r="S288" s="322">
        <f t="shared" si="123"/>
        <v>2771.0753280000004</v>
      </c>
      <c r="T288" s="322">
        <f t="shared" si="123"/>
        <v>2781.3911040000003</v>
      </c>
      <c r="U288" s="322">
        <f t="shared" si="123"/>
        <v>2792.0292480000003</v>
      </c>
      <c r="V288" s="322">
        <f t="shared" si="123"/>
        <v>2802.3450240000002</v>
      </c>
      <c r="W288" s="322">
        <f t="shared" si="123"/>
        <v>2812.9831680000002</v>
      </c>
      <c r="X288" s="322">
        <f t="shared" si="123"/>
        <v>2823.2989440000001</v>
      </c>
      <c r="Y288" s="322">
        <f t="shared" si="123"/>
        <v>2833.9370880000001</v>
      </c>
      <c r="Z288" s="322">
        <f t="shared" si="123"/>
        <v>2844.252864</v>
      </c>
      <c r="AA288" s="343">
        <f t="shared" si="71"/>
        <v>2879.0428185600003</v>
      </c>
    </row>
    <row r="289" spans="1:27" ht="24.95" customHeight="1">
      <c r="A289" s="260" t="str">
        <f>+Pobl_adoptada!A122</f>
        <v>Salto</v>
      </c>
      <c r="B289" s="70">
        <f>+Pobl_adoptada!B122</f>
        <v>118</v>
      </c>
      <c r="C289" s="71" t="str">
        <f>+Pobl_adoptada!C122</f>
        <v>Salto</v>
      </c>
      <c r="D289" s="348">
        <v>0.75</v>
      </c>
      <c r="E289" s="278"/>
      <c r="F289" s="263"/>
      <c r="G289" s="322">
        <f t="shared" ref="G289:Z289" si="124">+G122*365/$D289</f>
        <v>17679.072567466665</v>
      </c>
      <c r="H289" s="322">
        <f t="shared" si="124"/>
        <v>16922.003155200004</v>
      </c>
      <c r="I289" s="322">
        <f t="shared" si="124"/>
        <v>16139.280725333336</v>
      </c>
      <c r="J289" s="322">
        <f t="shared" si="124"/>
        <v>14884.197760000001</v>
      </c>
      <c r="K289" s="322">
        <f t="shared" si="124"/>
        <v>13588.918464000002</v>
      </c>
      <c r="L289" s="322">
        <f t="shared" si="124"/>
        <v>13785.401760000001</v>
      </c>
      <c r="M289" s="322">
        <f t="shared" si="124"/>
        <v>13984.113599999999</v>
      </c>
      <c r="N289" s="322">
        <f t="shared" si="124"/>
        <v>14186.168255999999</v>
      </c>
      <c r="O289" s="322">
        <f t="shared" si="124"/>
        <v>14391.194303999999</v>
      </c>
      <c r="P289" s="322">
        <f t="shared" si="124"/>
        <v>14598.820319999999</v>
      </c>
      <c r="Q289" s="322">
        <f t="shared" si="124"/>
        <v>14809.789152000003</v>
      </c>
      <c r="R289" s="322">
        <f t="shared" si="124"/>
        <v>15023.357952</v>
      </c>
      <c r="S289" s="322">
        <f t="shared" si="124"/>
        <v>15240.269568000002</v>
      </c>
      <c r="T289" s="322">
        <f t="shared" si="124"/>
        <v>15460.523999999999</v>
      </c>
      <c r="U289" s="322">
        <f t="shared" si="124"/>
        <v>15683.749824</v>
      </c>
      <c r="V289" s="322">
        <f t="shared" si="124"/>
        <v>15910.318464000004</v>
      </c>
      <c r="W289" s="322">
        <f t="shared" si="124"/>
        <v>16139.858496000003</v>
      </c>
      <c r="X289" s="322">
        <f t="shared" si="124"/>
        <v>16373.112768000005</v>
      </c>
      <c r="Y289" s="322">
        <f t="shared" si="124"/>
        <v>16609.338432</v>
      </c>
      <c r="Z289" s="322">
        <f t="shared" si="124"/>
        <v>16849.278336000003</v>
      </c>
      <c r="AA289" s="343">
        <f t="shared" si="71"/>
        <v>15412.938395200001</v>
      </c>
    </row>
    <row r="290" spans="1:27" ht="24.95" customHeight="1">
      <c r="A290" s="260" t="str">
        <f>+Pobl_adoptada!A123</f>
        <v>San Andrés de Giles</v>
      </c>
      <c r="B290" s="70">
        <f>+Pobl_adoptada!B123</f>
        <v>119</v>
      </c>
      <c r="C290" s="71" t="str">
        <f>+Pobl_adoptada!C123</f>
        <v>San Andrés de Giles</v>
      </c>
      <c r="D290" s="348">
        <v>0.75</v>
      </c>
      <c r="E290" s="278"/>
      <c r="F290" s="263"/>
      <c r="G290" s="322">
        <f t="shared" ref="G290:Z290" si="125">+G123*365/$D290</f>
        <v>10426.697066666668</v>
      </c>
      <c r="H290" s="322">
        <f t="shared" si="125"/>
        <v>9962.1859583999994</v>
      </c>
      <c r="I290" s="322">
        <f t="shared" si="125"/>
        <v>9483.2801066666671</v>
      </c>
      <c r="J290" s="322">
        <f t="shared" si="125"/>
        <v>8727.6386133333344</v>
      </c>
      <c r="K290" s="322">
        <f t="shared" si="125"/>
        <v>7950.7021440000017</v>
      </c>
      <c r="L290" s="322">
        <f t="shared" si="125"/>
        <v>8046.5295360000018</v>
      </c>
      <c r="M290" s="322">
        <f t="shared" si="125"/>
        <v>8141.9855040000011</v>
      </c>
      <c r="N290" s="322">
        <f t="shared" si="125"/>
        <v>8237.8128959999995</v>
      </c>
      <c r="O290" s="322">
        <f t="shared" si="125"/>
        <v>8333.6402880000005</v>
      </c>
      <c r="P290" s="322">
        <f t="shared" si="125"/>
        <v>8429.4676799999997</v>
      </c>
      <c r="Q290" s="322">
        <f t="shared" si="125"/>
        <v>8525.295071999999</v>
      </c>
      <c r="R290" s="322">
        <f t="shared" si="125"/>
        <v>8621.122464</v>
      </c>
      <c r="S290" s="322">
        <f t="shared" si="125"/>
        <v>8716.5784320000002</v>
      </c>
      <c r="T290" s="322">
        <f t="shared" si="125"/>
        <v>8812.4058239999995</v>
      </c>
      <c r="U290" s="322">
        <f t="shared" si="125"/>
        <v>8908.2332160000005</v>
      </c>
      <c r="V290" s="322">
        <f t="shared" si="125"/>
        <v>9004.0606079999998</v>
      </c>
      <c r="W290" s="322">
        <f t="shared" si="125"/>
        <v>9099.8880000000008</v>
      </c>
      <c r="X290" s="322">
        <f t="shared" si="125"/>
        <v>9195.7153920000001</v>
      </c>
      <c r="Y290" s="322">
        <f t="shared" si="125"/>
        <v>9291.1713600000021</v>
      </c>
      <c r="Z290" s="322">
        <f t="shared" si="125"/>
        <v>9386.9987520000013</v>
      </c>
      <c r="AA290" s="343">
        <f t="shared" si="71"/>
        <v>8865.0704456533349</v>
      </c>
    </row>
    <row r="291" spans="1:27" ht="24.95" customHeight="1">
      <c r="A291" s="260" t="str">
        <f>+Pobl_adoptada!A124</f>
        <v>San Antonio de Areco</v>
      </c>
      <c r="B291" s="70">
        <f>+Pobl_adoptada!B124</f>
        <v>120</v>
      </c>
      <c r="C291" s="71" t="str">
        <f>+Pobl_adoptada!C124</f>
        <v>San Antonio de Areco</v>
      </c>
      <c r="D291" s="348">
        <v>0.75</v>
      </c>
      <c r="E291" s="278"/>
      <c r="F291" s="263"/>
      <c r="G291" s="322">
        <f t="shared" ref="G291:Z291" si="126">+G124*365/$D291</f>
        <v>12013.09024</v>
      </c>
      <c r="H291" s="322">
        <f t="shared" si="126"/>
        <v>11445.987696000002</v>
      </c>
      <c r="I291" s="322">
        <f t="shared" si="126"/>
        <v>10866.050389333333</v>
      </c>
      <c r="J291" s="322">
        <f t="shared" si="126"/>
        <v>9973.1470933333349</v>
      </c>
      <c r="K291" s="322">
        <f t="shared" si="126"/>
        <v>9061.2599040000005</v>
      </c>
      <c r="L291" s="322">
        <f t="shared" si="126"/>
        <v>9146.6874240000016</v>
      </c>
      <c r="M291" s="322">
        <f t="shared" si="126"/>
        <v>9232.4863679999999</v>
      </c>
      <c r="N291" s="322">
        <f t="shared" si="126"/>
        <v>9317.913888000001</v>
      </c>
      <c r="O291" s="322">
        <f t="shared" si="126"/>
        <v>9403.3414080000002</v>
      </c>
      <c r="P291" s="322">
        <f t="shared" si="126"/>
        <v>9488.7689279999995</v>
      </c>
      <c r="Q291" s="322">
        <f t="shared" si="126"/>
        <v>9574.1964480000006</v>
      </c>
      <c r="R291" s="322">
        <f t="shared" si="126"/>
        <v>9659.9953920000025</v>
      </c>
      <c r="S291" s="322">
        <f t="shared" si="126"/>
        <v>9745.422912</v>
      </c>
      <c r="T291" s="322">
        <f t="shared" si="126"/>
        <v>9830.8504319999993</v>
      </c>
      <c r="U291" s="322">
        <f t="shared" si="126"/>
        <v>9916.2779520000004</v>
      </c>
      <c r="V291" s="322">
        <f t="shared" si="126"/>
        <v>10002.076896</v>
      </c>
      <c r="W291" s="322">
        <f t="shared" si="126"/>
        <v>10087.504416</v>
      </c>
      <c r="X291" s="322">
        <f t="shared" si="126"/>
        <v>10172.931935999999</v>
      </c>
      <c r="Y291" s="322">
        <f t="shared" si="126"/>
        <v>10258.359456</v>
      </c>
      <c r="Z291" s="322">
        <f t="shared" si="126"/>
        <v>10343.786976000001</v>
      </c>
      <c r="AA291" s="343">
        <f t="shared" si="71"/>
        <v>9977.0068077333362</v>
      </c>
    </row>
    <row r="292" spans="1:27" ht="24.95" customHeight="1">
      <c r="A292" s="260" t="str">
        <f>+Pobl_adoptada!A125</f>
        <v>San Cayetano</v>
      </c>
      <c r="B292" s="70">
        <f>+Pobl_adoptada!B125</f>
        <v>121</v>
      </c>
      <c r="C292" s="71" t="str">
        <f>+Pobl_adoptada!C125</f>
        <v>San Cayetano</v>
      </c>
      <c r="D292" s="348">
        <v>0.75</v>
      </c>
      <c r="E292" s="278"/>
      <c r="F292" s="263"/>
      <c r="G292" s="322">
        <f t="shared" ref="G292:Z292" si="127">+G125*365/$D292</f>
        <v>3797.0508885333334</v>
      </c>
      <c r="H292" s="322">
        <f t="shared" si="127"/>
        <v>3616.2275136000003</v>
      </c>
      <c r="I292" s="322">
        <f t="shared" si="127"/>
        <v>3432.1804586666663</v>
      </c>
      <c r="J292" s="322">
        <f t="shared" si="127"/>
        <v>3149.5353600000003</v>
      </c>
      <c r="K292" s="322">
        <f t="shared" si="127"/>
        <v>2861.3383680000002</v>
      </c>
      <c r="L292" s="322">
        <f t="shared" si="127"/>
        <v>2888.4172800000001</v>
      </c>
      <c r="M292" s="322">
        <f t="shared" si="127"/>
        <v>2915.8185599999997</v>
      </c>
      <c r="N292" s="322">
        <f t="shared" si="127"/>
        <v>2943.2198399999997</v>
      </c>
      <c r="O292" s="322">
        <f t="shared" si="127"/>
        <v>2971.2658560000004</v>
      </c>
      <c r="P292" s="322">
        <f t="shared" si="127"/>
        <v>2999.3118720000002</v>
      </c>
      <c r="Q292" s="322">
        <f t="shared" si="127"/>
        <v>3027.680256000001</v>
      </c>
      <c r="R292" s="322">
        <f t="shared" si="127"/>
        <v>3056.3710080000005</v>
      </c>
      <c r="S292" s="322">
        <f t="shared" si="127"/>
        <v>3085.06176</v>
      </c>
      <c r="T292" s="322">
        <f t="shared" si="127"/>
        <v>3114.3972479999998</v>
      </c>
      <c r="U292" s="322">
        <f t="shared" si="127"/>
        <v>3143.7327360000004</v>
      </c>
      <c r="V292" s="322">
        <f t="shared" si="127"/>
        <v>3173.3905919999997</v>
      </c>
      <c r="W292" s="322">
        <f t="shared" si="127"/>
        <v>3203.3708160000006</v>
      </c>
      <c r="X292" s="322">
        <f t="shared" si="127"/>
        <v>3233.6734080000001</v>
      </c>
      <c r="Y292" s="322">
        <f t="shared" si="127"/>
        <v>3264.2983680000002</v>
      </c>
      <c r="Z292" s="322">
        <f t="shared" si="127"/>
        <v>3295.245696</v>
      </c>
      <c r="AA292" s="343">
        <f t="shared" si="71"/>
        <v>3158.5793942400005</v>
      </c>
    </row>
    <row r="293" spans="1:27" ht="24.95" customHeight="1">
      <c r="A293" s="260" t="str">
        <f>+Pobl_adoptada!A126</f>
        <v>San Nicolás</v>
      </c>
      <c r="B293" s="70">
        <f>+Pobl_adoptada!B126</f>
        <v>122</v>
      </c>
      <c r="C293" s="71" t="str">
        <f>+Pobl_adoptada!C126</f>
        <v>San Nicolás de los Arroyos</v>
      </c>
      <c r="D293" s="348">
        <v>0.75</v>
      </c>
      <c r="E293" s="278"/>
      <c r="F293" s="263"/>
      <c r="G293" s="322">
        <f t="shared" ref="G293:Z293" si="128">+G126*365/$D293</f>
        <v>78191.291865599997</v>
      </c>
      <c r="H293" s="322">
        <f t="shared" si="128"/>
        <v>74614.066675199996</v>
      </c>
      <c r="I293" s="322">
        <f t="shared" si="128"/>
        <v>70949.379776000016</v>
      </c>
      <c r="J293" s="322">
        <f t="shared" si="128"/>
        <v>65238.476480000012</v>
      </c>
      <c r="K293" s="322">
        <f t="shared" si="128"/>
        <v>59390.12995200001</v>
      </c>
      <c r="L293" s="322">
        <f t="shared" si="128"/>
        <v>60077.068128000006</v>
      </c>
      <c r="M293" s="322">
        <f t="shared" si="128"/>
        <v>60775.085952000001</v>
      </c>
      <c r="N293" s="322">
        <f t="shared" si="128"/>
        <v>61484.540831999999</v>
      </c>
      <c r="O293" s="322">
        <f t="shared" si="128"/>
        <v>62205.432768000006</v>
      </c>
      <c r="P293" s="322">
        <f t="shared" si="128"/>
        <v>62938.119168000005</v>
      </c>
      <c r="Q293" s="322">
        <f t="shared" si="128"/>
        <v>63682.600031999995</v>
      </c>
      <c r="R293" s="322">
        <f t="shared" si="128"/>
        <v>64439.590175999998</v>
      </c>
      <c r="S293" s="322">
        <f t="shared" si="128"/>
        <v>65208.732192000003</v>
      </c>
      <c r="T293" s="322">
        <f t="shared" si="128"/>
        <v>65990.383488000007</v>
      </c>
      <c r="U293" s="322">
        <f t="shared" si="128"/>
        <v>66784.544064000002</v>
      </c>
      <c r="V293" s="322">
        <f t="shared" si="128"/>
        <v>67592.286144000012</v>
      </c>
      <c r="W293" s="322">
        <f t="shared" si="128"/>
        <v>68412.537503999993</v>
      </c>
      <c r="X293" s="322">
        <f t="shared" si="128"/>
        <v>69246.727776</v>
      </c>
      <c r="Y293" s="322">
        <f t="shared" si="128"/>
        <v>70094.142143999998</v>
      </c>
      <c r="Z293" s="322">
        <f t="shared" si="128"/>
        <v>70955.495424000008</v>
      </c>
      <c r="AA293" s="343">
        <f t="shared" si="71"/>
        <v>66413.531527040002</v>
      </c>
    </row>
    <row r="294" spans="1:27" ht="24.95" customHeight="1">
      <c r="A294" s="260" t="str">
        <f>+Pobl_adoptada!A127</f>
        <v>San Pedro</v>
      </c>
      <c r="B294" s="70">
        <f>+Pobl_adoptada!B127</f>
        <v>123</v>
      </c>
      <c r="C294" s="71" t="str">
        <f>+Pobl_adoptada!C127</f>
        <v>San Pedro</v>
      </c>
      <c r="D294" s="348">
        <v>0.75</v>
      </c>
      <c r="E294" s="278"/>
      <c r="F294" s="263"/>
      <c r="G294" s="322">
        <f t="shared" ref="G294:Z294" si="129">+G127*365/$D294</f>
        <v>28844.016959999997</v>
      </c>
      <c r="H294" s="322">
        <f t="shared" si="129"/>
        <v>27576.278870400001</v>
      </c>
      <c r="I294" s="322">
        <f t="shared" si="129"/>
        <v>26270.202816000001</v>
      </c>
      <c r="J294" s="322">
        <f t="shared" si="129"/>
        <v>24198.507200000004</v>
      </c>
      <c r="K294" s="322">
        <f t="shared" si="129"/>
        <v>22067.084736000004</v>
      </c>
      <c r="L294" s="322">
        <f t="shared" si="129"/>
        <v>22359.444480000006</v>
      </c>
      <c r="M294" s="322">
        <f t="shared" si="129"/>
        <v>22655.735711999998</v>
      </c>
      <c r="N294" s="322">
        <f t="shared" si="129"/>
        <v>22955.958431999999</v>
      </c>
      <c r="O294" s="322">
        <f t="shared" si="129"/>
        <v>23260.112640000007</v>
      </c>
      <c r="P294" s="322">
        <f t="shared" si="129"/>
        <v>23568.198336000001</v>
      </c>
      <c r="Q294" s="322">
        <f t="shared" si="129"/>
        <v>23880.572927999998</v>
      </c>
      <c r="R294" s="322">
        <f t="shared" si="129"/>
        <v>24196.879008</v>
      </c>
      <c r="S294" s="322">
        <f t="shared" si="129"/>
        <v>24517.473984</v>
      </c>
      <c r="T294" s="322">
        <f t="shared" si="129"/>
        <v>24842.357855999999</v>
      </c>
      <c r="U294" s="322">
        <f t="shared" si="129"/>
        <v>25171.530623999995</v>
      </c>
      <c r="V294" s="322">
        <f t="shared" si="129"/>
        <v>25504.992287999998</v>
      </c>
      <c r="W294" s="322">
        <f t="shared" si="129"/>
        <v>25842.742847999998</v>
      </c>
      <c r="X294" s="322">
        <f t="shared" si="129"/>
        <v>26185.139712</v>
      </c>
      <c r="Y294" s="322">
        <f t="shared" si="129"/>
        <v>26532.182879999997</v>
      </c>
      <c r="Z294" s="322">
        <f t="shared" si="129"/>
        <v>26883.872352000002</v>
      </c>
      <c r="AA294" s="343">
        <f t="shared" ref="AA294:AA329" si="130">AVERAGE(G294:Z294)</f>
        <v>24865.664233119998</v>
      </c>
    </row>
    <row r="295" spans="1:27" ht="24.95" customHeight="1">
      <c r="A295" s="260" t="str">
        <f>+Pobl_adoptada!A128</f>
        <v>San Vicente</v>
      </c>
      <c r="B295" s="70">
        <f>+Pobl_adoptada!B128</f>
        <v>124</v>
      </c>
      <c r="C295" s="71" t="str">
        <f>+Pobl_adoptada!C128</f>
        <v>San Vicente</v>
      </c>
      <c r="D295" s="348">
        <v>0.75</v>
      </c>
      <c r="E295" s="278"/>
      <c r="F295" s="263"/>
      <c r="G295" s="322">
        <f t="shared" ref="G295:Z295" si="131">+G128*365/$D295</f>
        <v>54627.588928000005</v>
      </c>
      <c r="H295" s="322">
        <f t="shared" si="131"/>
        <v>53297.288553600003</v>
      </c>
      <c r="I295" s="322">
        <f t="shared" si="131"/>
        <v>51783.812608000007</v>
      </c>
      <c r="J295" s="322">
        <f t="shared" si="131"/>
        <v>48624.167039999993</v>
      </c>
      <c r="K295" s="322">
        <f t="shared" si="131"/>
        <v>45177.800832000008</v>
      </c>
      <c r="L295" s="322">
        <f t="shared" si="131"/>
        <v>46616.725440000002</v>
      </c>
      <c r="M295" s="322">
        <f t="shared" si="131"/>
        <v>48079.238976000001</v>
      </c>
      <c r="N295" s="322">
        <f t="shared" si="131"/>
        <v>49565.698848</v>
      </c>
      <c r="O295" s="322">
        <f t="shared" si="131"/>
        <v>51076.105056</v>
      </c>
      <c r="P295" s="322">
        <f t="shared" si="131"/>
        <v>52611.529824000005</v>
      </c>
      <c r="Q295" s="322">
        <f t="shared" si="131"/>
        <v>54171.61574400001</v>
      </c>
      <c r="R295" s="322">
        <f t="shared" si="131"/>
        <v>55757.435040000004</v>
      </c>
      <c r="S295" s="322">
        <f t="shared" si="131"/>
        <v>57368.987712000002</v>
      </c>
      <c r="T295" s="322">
        <f t="shared" si="131"/>
        <v>59006.988576000003</v>
      </c>
      <c r="U295" s="322">
        <f t="shared" si="131"/>
        <v>60671.437632000016</v>
      </c>
      <c r="V295" s="322">
        <f t="shared" si="131"/>
        <v>62363.049696000002</v>
      </c>
      <c r="W295" s="322">
        <f t="shared" si="131"/>
        <v>64082.539584000006</v>
      </c>
      <c r="X295" s="322">
        <f t="shared" si="131"/>
        <v>65829.90729599999</v>
      </c>
      <c r="Y295" s="322">
        <f t="shared" si="131"/>
        <v>67605.867647999999</v>
      </c>
      <c r="Z295" s="322">
        <f t="shared" si="131"/>
        <v>69410.778048000007</v>
      </c>
      <c r="AA295" s="343">
        <f t="shared" si="130"/>
        <v>55886.42815408</v>
      </c>
    </row>
    <row r="296" spans="1:27" ht="24.95" customHeight="1">
      <c r="A296" s="260" t="str">
        <f>+Pobl_adoptada!A129</f>
        <v>Suipacha</v>
      </c>
      <c r="B296" s="70">
        <f>+Pobl_adoptada!B129</f>
        <v>125</v>
      </c>
      <c r="C296" s="71" t="str">
        <f>+Pobl_adoptada!C129</f>
        <v>Suipacha</v>
      </c>
      <c r="D296" s="348">
        <v>0.75</v>
      </c>
      <c r="E296" s="278"/>
      <c r="F296" s="263"/>
      <c r="G296" s="322">
        <f t="shared" ref="G296:Z296" si="132">+G129*365/$D296</f>
        <v>4652.9307648000004</v>
      </c>
      <c r="H296" s="322">
        <f t="shared" si="132"/>
        <v>4445.1645888000012</v>
      </c>
      <c r="I296" s="322">
        <f t="shared" si="132"/>
        <v>4230.8292693333333</v>
      </c>
      <c r="J296" s="322">
        <f t="shared" si="132"/>
        <v>3893.1308800000002</v>
      </c>
      <c r="K296" s="322">
        <f t="shared" si="132"/>
        <v>3546.0480000000002</v>
      </c>
      <c r="L296" s="322">
        <f t="shared" si="132"/>
        <v>3588.2782079999997</v>
      </c>
      <c r="M296" s="322">
        <f t="shared" si="132"/>
        <v>3630.5084160000001</v>
      </c>
      <c r="N296" s="322">
        <f t="shared" si="132"/>
        <v>3673.0609919999993</v>
      </c>
      <c r="O296" s="322">
        <f t="shared" si="132"/>
        <v>3715.2911999999997</v>
      </c>
      <c r="P296" s="322">
        <f t="shared" si="132"/>
        <v>3757.5214080000001</v>
      </c>
      <c r="Q296" s="322">
        <f t="shared" si="132"/>
        <v>3799.7516160000009</v>
      </c>
      <c r="R296" s="322">
        <f t="shared" si="132"/>
        <v>3841.9818240000004</v>
      </c>
      <c r="S296" s="322">
        <f t="shared" si="132"/>
        <v>3884.2120319999995</v>
      </c>
      <c r="T296" s="322">
        <f t="shared" si="132"/>
        <v>3926.4422400000003</v>
      </c>
      <c r="U296" s="322">
        <f t="shared" si="132"/>
        <v>3968.6724479999998</v>
      </c>
      <c r="V296" s="322">
        <f t="shared" si="132"/>
        <v>4011.2250240000008</v>
      </c>
      <c r="W296" s="322">
        <f t="shared" si="132"/>
        <v>4053.4552320000003</v>
      </c>
      <c r="X296" s="322">
        <f t="shared" si="132"/>
        <v>4095.6854400000007</v>
      </c>
      <c r="Y296" s="322">
        <f t="shared" si="132"/>
        <v>4137.9156479999992</v>
      </c>
      <c r="Z296" s="322">
        <f t="shared" si="132"/>
        <v>4180.1458560000001</v>
      </c>
      <c r="AA296" s="343">
        <f t="shared" si="130"/>
        <v>3951.6125543466674</v>
      </c>
    </row>
    <row r="297" spans="1:27" ht="24.95" customHeight="1">
      <c r="A297" s="260" t="str">
        <f>+Pobl_adoptada!A130</f>
        <v>Tandil</v>
      </c>
      <c r="B297" s="70">
        <f>+Pobl_adoptada!B130</f>
        <v>126</v>
      </c>
      <c r="C297" s="71" t="str">
        <f>+Pobl_adoptada!C130</f>
        <v>Tandil</v>
      </c>
      <c r="D297" s="348">
        <v>0.75</v>
      </c>
      <c r="E297" s="278"/>
      <c r="F297" s="263"/>
      <c r="G297" s="322">
        <f t="shared" ref="G297:Z297" si="133">+G130*365/$D297</f>
        <v>71215.545484799994</v>
      </c>
      <c r="H297" s="322">
        <f t="shared" si="133"/>
        <v>68094.372902400006</v>
      </c>
      <c r="I297" s="322">
        <f t="shared" si="133"/>
        <v>64876.978144000001</v>
      </c>
      <c r="J297" s="322">
        <f t="shared" si="133"/>
        <v>59768.148479999996</v>
      </c>
      <c r="K297" s="322">
        <f t="shared" si="133"/>
        <v>54510.795936000002</v>
      </c>
      <c r="L297" s="322">
        <f t="shared" si="133"/>
        <v>55240.265663999999</v>
      </c>
      <c r="M297" s="322">
        <f t="shared" si="133"/>
        <v>55979.385407999995</v>
      </c>
      <c r="N297" s="322">
        <f t="shared" si="133"/>
        <v>56728.512576000008</v>
      </c>
      <c r="O297" s="322">
        <f t="shared" si="133"/>
        <v>57487.289759999992</v>
      </c>
      <c r="P297" s="322">
        <f t="shared" si="133"/>
        <v>58256.431776000005</v>
      </c>
      <c r="Q297" s="322">
        <f t="shared" si="133"/>
        <v>59035.938623999995</v>
      </c>
      <c r="R297" s="322">
        <f t="shared" si="133"/>
        <v>59825.810304000006</v>
      </c>
      <c r="S297" s="322">
        <f t="shared" si="133"/>
        <v>60626.404223999998</v>
      </c>
      <c r="T297" s="322">
        <f t="shared" si="133"/>
        <v>61437.720384000007</v>
      </c>
      <c r="U297" s="322">
        <f t="shared" si="133"/>
        <v>62259.758784000005</v>
      </c>
      <c r="V297" s="322">
        <f t="shared" si="133"/>
        <v>63092.519423999998</v>
      </c>
      <c r="W297" s="322">
        <f t="shared" si="133"/>
        <v>63936.717120000008</v>
      </c>
      <c r="X297" s="322">
        <f t="shared" si="133"/>
        <v>64792.351871999992</v>
      </c>
      <c r="Y297" s="322">
        <f t="shared" si="133"/>
        <v>65659.066271999996</v>
      </c>
      <c r="Z297" s="322">
        <f t="shared" si="133"/>
        <v>66537.575136000014</v>
      </c>
      <c r="AA297" s="343">
        <f t="shared" si="130"/>
        <v>61468.079413760002</v>
      </c>
    </row>
    <row r="298" spans="1:27" ht="24.95" customHeight="1">
      <c r="A298" s="260" t="str">
        <f>+Pobl_adoptada!A131</f>
        <v>Tapalqué</v>
      </c>
      <c r="B298" s="70">
        <f>+Pobl_adoptada!B131</f>
        <v>127</v>
      </c>
      <c r="C298" s="71" t="str">
        <f>+Pobl_adoptada!C131</f>
        <v>Tapalqué</v>
      </c>
      <c r="D298" s="348">
        <v>0.75</v>
      </c>
      <c r="E298" s="278"/>
      <c r="F298" s="263"/>
      <c r="G298" s="322">
        <f t="shared" ref="G298:Z298" si="134">+G131*365/$D298</f>
        <v>4089.3025536</v>
      </c>
      <c r="H298" s="322">
        <f t="shared" si="134"/>
        <v>3910.0014720000004</v>
      </c>
      <c r="I298" s="322">
        <f t="shared" si="134"/>
        <v>3725.3204266666671</v>
      </c>
      <c r="J298" s="322">
        <f t="shared" si="134"/>
        <v>3432.14464</v>
      </c>
      <c r="K298" s="322">
        <f t="shared" si="134"/>
        <v>3130.19328</v>
      </c>
      <c r="L298" s="322">
        <f t="shared" si="134"/>
        <v>3172.1011200000007</v>
      </c>
      <c r="M298" s="322">
        <f t="shared" si="134"/>
        <v>3214.3313280000002</v>
      </c>
      <c r="N298" s="322">
        <f t="shared" si="134"/>
        <v>3257.5286400000005</v>
      </c>
      <c r="O298" s="322">
        <f t="shared" si="134"/>
        <v>3301.0483200000003</v>
      </c>
      <c r="P298" s="322">
        <f t="shared" si="134"/>
        <v>3345.2127359999999</v>
      </c>
      <c r="Q298" s="322">
        <f t="shared" si="134"/>
        <v>3390.0218880000007</v>
      </c>
      <c r="R298" s="322">
        <f t="shared" si="134"/>
        <v>3435.1534080000006</v>
      </c>
      <c r="S298" s="322">
        <f t="shared" si="134"/>
        <v>3481.2520319999999</v>
      </c>
      <c r="T298" s="322">
        <f t="shared" si="134"/>
        <v>3527.6730240000011</v>
      </c>
      <c r="U298" s="322">
        <f t="shared" si="134"/>
        <v>3575.0611200000008</v>
      </c>
      <c r="V298" s="322">
        <f t="shared" si="134"/>
        <v>3622.7715840000001</v>
      </c>
      <c r="W298" s="322">
        <f t="shared" si="134"/>
        <v>3671.1267840000014</v>
      </c>
      <c r="X298" s="322">
        <f t="shared" si="134"/>
        <v>3720.4490880000008</v>
      </c>
      <c r="Y298" s="322">
        <f t="shared" si="134"/>
        <v>3770.0937600000002</v>
      </c>
      <c r="Z298" s="322">
        <f t="shared" si="134"/>
        <v>3820.3831679999998</v>
      </c>
      <c r="AA298" s="343">
        <f t="shared" si="130"/>
        <v>3529.5585186133335</v>
      </c>
    </row>
    <row r="299" spans="1:27" ht="24.95" customHeight="1">
      <c r="A299" s="260" t="str">
        <f>+Pobl_adoptada!A132</f>
        <v>Tordillo</v>
      </c>
      <c r="B299" s="70">
        <f>+Pobl_adoptada!B132</f>
        <v>128</v>
      </c>
      <c r="C299" s="71" t="str">
        <f>+Pobl_adoptada!C132</f>
        <v>General Conesa</v>
      </c>
      <c r="D299" s="348">
        <v>0.75</v>
      </c>
      <c r="E299" s="278"/>
      <c r="F299" s="263"/>
      <c r="G299" s="322">
        <f t="shared" ref="G299:Z299" si="135">+G132*365/$D299</f>
        <v>965.1411370666666</v>
      </c>
      <c r="H299" s="322">
        <f t="shared" si="135"/>
        <v>934.96391039999992</v>
      </c>
      <c r="I299" s="322">
        <f t="shared" si="135"/>
        <v>901.87820799999997</v>
      </c>
      <c r="J299" s="322">
        <f t="shared" si="135"/>
        <v>840.66410666666661</v>
      </c>
      <c r="K299" s="322">
        <f t="shared" si="135"/>
        <v>774.97267200000022</v>
      </c>
      <c r="L299" s="322">
        <f t="shared" si="135"/>
        <v>798.18316800000002</v>
      </c>
      <c r="M299" s="322">
        <f t="shared" si="135"/>
        <v>821.07129600000019</v>
      </c>
      <c r="N299" s="322">
        <f t="shared" si="135"/>
        <v>844.28179199999988</v>
      </c>
      <c r="O299" s="322">
        <f t="shared" si="135"/>
        <v>867.16992000000016</v>
      </c>
      <c r="P299" s="322">
        <f t="shared" si="135"/>
        <v>890.05804799999999</v>
      </c>
      <c r="Q299" s="322">
        <f t="shared" si="135"/>
        <v>913.26854400000002</v>
      </c>
      <c r="R299" s="322">
        <f t="shared" si="135"/>
        <v>936.15667200000007</v>
      </c>
      <c r="S299" s="322">
        <f t="shared" si="135"/>
        <v>959.04480000000012</v>
      </c>
      <c r="T299" s="322">
        <f t="shared" si="135"/>
        <v>982.25529599999993</v>
      </c>
      <c r="U299" s="322">
        <f t="shared" si="135"/>
        <v>1005.143424</v>
      </c>
      <c r="V299" s="322">
        <f t="shared" si="135"/>
        <v>1028.3539200000002</v>
      </c>
      <c r="W299" s="322">
        <f t="shared" si="135"/>
        <v>1051.2420480000003</v>
      </c>
      <c r="X299" s="322">
        <f t="shared" si="135"/>
        <v>1074.1301760000001</v>
      </c>
      <c r="Y299" s="322">
        <f t="shared" si="135"/>
        <v>1097.340672</v>
      </c>
      <c r="Z299" s="322">
        <f t="shared" si="135"/>
        <v>1120.2288000000001</v>
      </c>
      <c r="AA299" s="343">
        <f t="shared" si="130"/>
        <v>940.27743050666652</v>
      </c>
    </row>
    <row r="300" spans="1:27" ht="24.95" customHeight="1">
      <c r="A300" s="260" t="str">
        <f>+Pobl_adoptada!A133</f>
        <v>Tornquist</v>
      </c>
      <c r="B300" s="70">
        <f>+Pobl_adoptada!B133</f>
        <v>129</v>
      </c>
      <c r="C300" s="71" t="str">
        <f>+Pobl_adoptada!C133</f>
        <v>Tornquist</v>
      </c>
      <c r="D300" s="348">
        <v>0.75</v>
      </c>
      <c r="E300" s="278"/>
      <c r="F300" s="263"/>
      <c r="G300" s="322">
        <f t="shared" ref="G300:Z300" si="136">+G133*365/$D300</f>
        <v>3408.8625066666668</v>
      </c>
      <c r="H300" s="322">
        <f t="shared" si="136"/>
        <v>3257.0773248000005</v>
      </c>
      <c r="I300" s="322">
        <f t="shared" si="136"/>
        <v>3100.0339626666664</v>
      </c>
      <c r="J300" s="322">
        <f t="shared" si="136"/>
        <v>2852.5986133333336</v>
      </c>
      <c r="K300" s="322">
        <f t="shared" si="136"/>
        <v>2598.2860800000003</v>
      </c>
      <c r="L300" s="322">
        <f t="shared" si="136"/>
        <v>2638.5820800000006</v>
      </c>
      <c r="M300" s="322">
        <f t="shared" si="136"/>
        <v>2678.5557120000003</v>
      </c>
      <c r="N300" s="322">
        <f t="shared" si="136"/>
        <v>2718.8517120000001</v>
      </c>
      <c r="O300" s="322">
        <f t="shared" si="136"/>
        <v>2758.8253440000003</v>
      </c>
      <c r="P300" s="322">
        <f t="shared" si="136"/>
        <v>2799.1213440000006</v>
      </c>
      <c r="Q300" s="322">
        <f t="shared" si="136"/>
        <v>2839.0949759999999</v>
      </c>
      <c r="R300" s="322">
        <f t="shared" si="136"/>
        <v>2879.068608</v>
      </c>
      <c r="S300" s="322">
        <f t="shared" si="136"/>
        <v>2919.3646080000003</v>
      </c>
      <c r="T300" s="322">
        <f t="shared" si="136"/>
        <v>2959.3382400000005</v>
      </c>
      <c r="U300" s="322">
        <f t="shared" si="136"/>
        <v>2999.6342400000008</v>
      </c>
      <c r="V300" s="322">
        <f t="shared" si="136"/>
        <v>3039.6078720000005</v>
      </c>
      <c r="W300" s="322">
        <f t="shared" si="136"/>
        <v>3079.9038720000003</v>
      </c>
      <c r="X300" s="322">
        <f t="shared" si="136"/>
        <v>3119.8775040000005</v>
      </c>
      <c r="Y300" s="322">
        <f t="shared" si="136"/>
        <v>3159.8511359999998</v>
      </c>
      <c r="Z300" s="322">
        <f t="shared" si="136"/>
        <v>3200.147136</v>
      </c>
      <c r="AA300" s="343">
        <f t="shared" si="130"/>
        <v>2950.3341435733337</v>
      </c>
    </row>
    <row r="301" spans="1:27" ht="24.95" customHeight="1">
      <c r="A301" s="260" t="str">
        <f>+Pobl_adoptada!A134</f>
        <v>Trenque Lauquen</v>
      </c>
      <c r="B301" s="70">
        <f>+Pobl_adoptada!B134</f>
        <v>130</v>
      </c>
      <c r="C301" s="71" t="str">
        <f>+Pobl_adoptada!C134</f>
        <v>Trenque Lauquen</v>
      </c>
      <c r="D301" s="348">
        <v>0.75</v>
      </c>
      <c r="E301" s="278"/>
      <c r="F301" s="263"/>
      <c r="G301" s="322">
        <f t="shared" ref="G301:Z301" si="137">+G134*365/$D301</f>
        <v>19850.895995733332</v>
      </c>
      <c r="H301" s="322">
        <f t="shared" si="137"/>
        <v>18905.073033600002</v>
      </c>
      <c r="I301" s="322">
        <f t="shared" si="137"/>
        <v>17939.696661333335</v>
      </c>
      <c r="J301" s="322">
        <f t="shared" si="137"/>
        <v>16460.686293333336</v>
      </c>
      <c r="K301" s="322">
        <f t="shared" si="137"/>
        <v>14952.415968000001</v>
      </c>
      <c r="L301" s="322">
        <f t="shared" si="137"/>
        <v>15092.071392000003</v>
      </c>
      <c r="M301" s="322">
        <f t="shared" si="137"/>
        <v>15232.469664000002</v>
      </c>
      <c r="N301" s="322">
        <f t="shared" si="137"/>
        <v>15374.353632</v>
      </c>
      <c r="O301" s="322">
        <f t="shared" si="137"/>
        <v>15517.723296000004</v>
      </c>
      <c r="P301" s="322">
        <f t="shared" si="137"/>
        <v>15662.207232000001</v>
      </c>
      <c r="Q301" s="322">
        <f t="shared" si="137"/>
        <v>15808.176864000001</v>
      </c>
      <c r="R301" s="322">
        <f t="shared" si="137"/>
        <v>15955.632191999999</v>
      </c>
      <c r="S301" s="322">
        <f t="shared" si="137"/>
        <v>16104.201792000005</v>
      </c>
      <c r="T301" s="322">
        <f t="shared" si="137"/>
        <v>16254.257088000004</v>
      </c>
      <c r="U301" s="322">
        <f t="shared" si="137"/>
        <v>16405.798080000004</v>
      </c>
      <c r="V301" s="322">
        <f t="shared" si="137"/>
        <v>16558.453343999998</v>
      </c>
      <c r="W301" s="322">
        <f t="shared" si="137"/>
        <v>16712.965728000003</v>
      </c>
      <c r="X301" s="322">
        <f t="shared" si="137"/>
        <v>16868.592384</v>
      </c>
      <c r="Y301" s="322">
        <f t="shared" si="137"/>
        <v>17025.704736000003</v>
      </c>
      <c r="Z301" s="322">
        <f t="shared" si="137"/>
        <v>17184.302784</v>
      </c>
      <c r="AA301" s="343">
        <f t="shared" si="130"/>
        <v>16493.283908000005</v>
      </c>
    </row>
    <row r="302" spans="1:27" ht="24.95" customHeight="1">
      <c r="A302" s="260" t="str">
        <f>+Pobl_adoptada!A135</f>
        <v>Tres Arroyos</v>
      </c>
      <c r="B302" s="70">
        <f>+Pobl_adoptada!B135</f>
        <v>131</v>
      </c>
      <c r="C302" s="71" t="str">
        <f>+Pobl_adoptada!C135</f>
        <v>Tres Arroyos</v>
      </c>
      <c r="D302" s="348">
        <v>0.75</v>
      </c>
      <c r="E302" s="278"/>
      <c r="F302" s="263"/>
      <c r="G302" s="322">
        <f t="shared" ref="G302:Z302" si="138">+G135*365/$D302</f>
        <v>25369.49728</v>
      </c>
      <c r="H302" s="322">
        <f t="shared" si="138"/>
        <v>24030.538521600003</v>
      </c>
      <c r="I302" s="322">
        <f t="shared" si="138"/>
        <v>22682.244640000004</v>
      </c>
      <c r="J302" s="322">
        <f t="shared" si="138"/>
        <v>20702.76106666667</v>
      </c>
      <c r="K302" s="322">
        <f t="shared" si="138"/>
        <v>18708.255455999999</v>
      </c>
      <c r="L302" s="322">
        <f t="shared" si="138"/>
        <v>18784.768800000002</v>
      </c>
      <c r="M302" s="322">
        <f t="shared" si="138"/>
        <v>18862.76784</v>
      </c>
      <c r="N302" s="322">
        <f t="shared" si="138"/>
        <v>18942.252575999999</v>
      </c>
      <c r="O302" s="322">
        <f t="shared" si="138"/>
        <v>19022.480160000003</v>
      </c>
      <c r="P302" s="322">
        <f t="shared" si="138"/>
        <v>19104.564864000004</v>
      </c>
      <c r="Q302" s="322">
        <f t="shared" si="138"/>
        <v>19187.76384</v>
      </c>
      <c r="R302" s="322">
        <f t="shared" si="138"/>
        <v>19272.077087999998</v>
      </c>
      <c r="S302" s="322">
        <f t="shared" si="138"/>
        <v>19358.247455999997</v>
      </c>
      <c r="T302" s="322">
        <f t="shared" si="138"/>
        <v>19445.532095999999</v>
      </c>
      <c r="U302" s="322">
        <f t="shared" si="138"/>
        <v>19534.302432</v>
      </c>
      <c r="V302" s="322">
        <f t="shared" si="138"/>
        <v>19624.558464000002</v>
      </c>
      <c r="W302" s="322">
        <f t="shared" si="138"/>
        <v>19716.300191999999</v>
      </c>
      <c r="X302" s="322">
        <f t="shared" si="138"/>
        <v>19809.527615999996</v>
      </c>
      <c r="Y302" s="322">
        <f t="shared" si="138"/>
        <v>19904.240735999996</v>
      </c>
      <c r="Z302" s="322">
        <f t="shared" si="138"/>
        <v>20000.439552000007</v>
      </c>
      <c r="AA302" s="343">
        <f t="shared" si="130"/>
        <v>20103.156033813335</v>
      </c>
    </row>
    <row r="303" spans="1:27" ht="24.95" customHeight="1">
      <c r="A303" s="260" t="str">
        <f>+Pobl_adoptada!A136</f>
        <v>Tres Lomas</v>
      </c>
      <c r="B303" s="70">
        <f>+Pobl_adoptada!B136</f>
        <v>132</v>
      </c>
      <c r="C303" s="71" t="str">
        <f>+Pobl_adoptada!C136</f>
        <v>Tres Lomas</v>
      </c>
      <c r="D303" s="348">
        <v>0.75</v>
      </c>
      <c r="E303" s="278"/>
      <c r="F303" s="263"/>
      <c r="G303" s="322">
        <f t="shared" ref="G303:Z303" si="139">+G136*365/$D303</f>
        <v>4094.6323711999999</v>
      </c>
      <c r="H303" s="322">
        <f t="shared" si="139"/>
        <v>3899.5245120000004</v>
      </c>
      <c r="I303" s="322">
        <f t="shared" si="139"/>
        <v>3699.7100800000007</v>
      </c>
      <c r="J303" s="322">
        <f t="shared" si="139"/>
        <v>3394.1768533333329</v>
      </c>
      <c r="K303" s="322">
        <f t="shared" si="139"/>
        <v>3082.1604480000001</v>
      </c>
      <c r="L303" s="322">
        <f t="shared" si="139"/>
        <v>3109.8840959999998</v>
      </c>
      <c r="M303" s="322">
        <f t="shared" si="139"/>
        <v>3137.2853760000003</v>
      </c>
      <c r="N303" s="322">
        <f t="shared" si="139"/>
        <v>3165.0090240000004</v>
      </c>
      <c r="O303" s="322">
        <f t="shared" si="139"/>
        <v>3192.4103040000005</v>
      </c>
      <c r="P303" s="322">
        <f t="shared" si="139"/>
        <v>3220.1339520000001</v>
      </c>
      <c r="Q303" s="322">
        <f t="shared" si="139"/>
        <v>3247.5352319999997</v>
      </c>
      <c r="R303" s="322">
        <f t="shared" si="139"/>
        <v>3275.2588799999999</v>
      </c>
      <c r="S303" s="322">
        <f t="shared" si="139"/>
        <v>3302.6601599999999</v>
      </c>
      <c r="T303" s="322">
        <f t="shared" si="139"/>
        <v>3330.3838080000005</v>
      </c>
      <c r="U303" s="322">
        <f t="shared" si="139"/>
        <v>3357.785088000001</v>
      </c>
      <c r="V303" s="322">
        <f t="shared" si="139"/>
        <v>3385.5087360000002</v>
      </c>
      <c r="W303" s="322">
        <f t="shared" si="139"/>
        <v>3412.9100160000003</v>
      </c>
      <c r="X303" s="322">
        <f t="shared" si="139"/>
        <v>3440.6336639999995</v>
      </c>
      <c r="Y303" s="322">
        <f t="shared" si="139"/>
        <v>3468.0349440000005</v>
      </c>
      <c r="Z303" s="322">
        <f t="shared" si="139"/>
        <v>3495.7585919999997</v>
      </c>
      <c r="AA303" s="343">
        <f t="shared" si="130"/>
        <v>3385.5698068266674</v>
      </c>
    </row>
    <row r="304" spans="1:27" ht="24.95" customHeight="1">
      <c r="A304" s="260" t="str">
        <f>+Pobl_adoptada!A137</f>
        <v>Villa Gesell</v>
      </c>
      <c r="B304" s="70">
        <f>+Pobl_adoptada!B137</f>
        <v>133</v>
      </c>
      <c r="C304" s="71" t="str">
        <f>+Pobl_adoptada!C137</f>
        <v>Villa Gesell</v>
      </c>
      <c r="D304" s="348">
        <v>0.75</v>
      </c>
      <c r="E304" s="278"/>
      <c r="F304" s="263"/>
      <c r="G304" s="322">
        <f t="shared" ref="G304:Z304" si="140">+G137*365/$D304</f>
        <v>33386.672640000004</v>
      </c>
      <c r="H304" s="322">
        <f t="shared" si="140"/>
        <v>32062.750012799999</v>
      </c>
      <c r="I304" s="322">
        <f t="shared" si="140"/>
        <v>30671.722048</v>
      </c>
      <c r="J304" s="322">
        <f t="shared" si="140"/>
        <v>28362.707519999996</v>
      </c>
      <c r="K304" s="322">
        <f t="shared" si="140"/>
        <v>25957.828223999993</v>
      </c>
      <c r="L304" s="322">
        <f t="shared" si="140"/>
        <v>26389.219680000006</v>
      </c>
      <c r="M304" s="322">
        <f t="shared" si="140"/>
        <v>26820.611136000003</v>
      </c>
      <c r="N304" s="322">
        <f t="shared" si="140"/>
        <v>27252.36</v>
      </c>
      <c r="O304" s="322">
        <f t="shared" si="140"/>
        <v>27683.394047999991</v>
      </c>
      <c r="P304" s="322">
        <f t="shared" si="140"/>
        <v>28114.785504000003</v>
      </c>
      <c r="Q304" s="322">
        <f t="shared" si="140"/>
        <v>28546.534367999997</v>
      </c>
      <c r="R304" s="322">
        <f t="shared" si="140"/>
        <v>28977.568416000006</v>
      </c>
      <c r="S304" s="322">
        <f t="shared" si="140"/>
        <v>29409.317280000003</v>
      </c>
      <c r="T304" s="322">
        <f t="shared" si="140"/>
        <v>29840.351328000004</v>
      </c>
      <c r="U304" s="322">
        <f t="shared" si="140"/>
        <v>30272.100191999998</v>
      </c>
      <c r="V304" s="322">
        <f t="shared" si="140"/>
        <v>30703.491647999996</v>
      </c>
      <c r="W304" s="322">
        <f t="shared" si="140"/>
        <v>31134.525696000001</v>
      </c>
      <c r="X304" s="322">
        <f t="shared" si="140"/>
        <v>31566.274560000005</v>
      </c>
      <c r="Y304" s="322">
        <f t="shared" si="140"/>
        <v>31997.308608000003</v>
      </c>
      <c r="Z304" s="322">
        <f t="shared" si="140"/>
        <v>32429.057472</v>
      </c>
      <c r="AA304" s="343">
        <f t="shared" si="130"/>
        <v>29578.929019040002</v>
      </c>
    </row>
    <row r="305" spans="1:27" ht="24.95" customHeight="1">
      <c r="A305" s="264" t="e">
        <f>+Pobl_adoptada!#REF!</f>
        <v>#REF!</v>
      </c>
      <c r="B305" s="265" t="e">
        <f>+Pobl_adoptada!#REF!</f>
        <v>#REF!</v>
      </c>
      <c r="C305" s="266" t="e">
        <f>+Pobl_adoptada!#REF!</f>
        <v>#REF!</v>
      </c>
      <c r="D305" s="348">
        <v>0.75</v>
      </c>
      <c r="E305" s="267"/>
      <c r="F305" s="268"/>
      <c r="G305" s="322" t="e">
        <f>+#REF!*365/$D305</f>
        <v>#REF!</v>
      </c>
      <c r="H305" s="322" t="e">
        <f>+#REF!*365/$D305</f>
        <v>#REF!</v>
      </c>
      <c r="I305" s="322" t="e">
        <f>+#REF!*365/$D305</f>
        <v>#REF!</v>
      </c>
      <c r="J305" s="322" t="e">
        <f>+#REF!*365/$D305</f>
        <v>#REF!</v>
      </c>
      <c r="K305" s="322" t="e">
        <f>+#REF!*365/$D305</f>
        <v>#REF!</v>
      </c>
      <c r="L305" s="322" t="e">
        <f>+#REF!*365/$D305</f>
        <v>#REF!</v>
      </c>
      <c r="M305" s="322" t="e">
        <f>+#REF!*365/$D305</f>
        <v>#REF!</v>
      </c>
      <c r="N305" s="322" t="e">
        <f>+#REF!*365/$D305</f>
        <v>#REF!</v>
      </c>
      <c r="O305" s="322" t="e">
        <f>+#REF!*365/$D305</f>
        <v>#REF!</v>
      </c>
      <c r="P305" s="322" t="e">
        <f>+#REF!*365/$D305</f>
        <v>#REF!</v>
      </c>
      <c r="Q305" s="322" t="e">
        <f>+#REF!*365/$D305</f>
        <v>#REF!</v>
      </c>
      <c r="R305" s="322" t="e">
        <f>+#REF!*365/$D305</f>
        <v>#REF!</v>
      </c>
      <c r="S305" s="322" t="e">
        <f>+#REF!*365/$D305</f>
        <v>#REF!</v>
      </c>
      <c r="T305" s="322" t="e">
        <f>+#REF!*365/$D305</f>
        <v>#REF!</v>
      </c>
      <c r="U305" s="322" t="e">
        <f>+#REF!*365/$D305</f>
        <v>#REF!</v>
      </c>
      <c r="V305" s="322" t="e">
        <f>+#REF!*365/$D305</f>
        <v>#REF!</v>
      </c>
      <c r="W305" s="322" t="e">
        <f>+#REF!*365/$D305</f>
        <v>#REF!</v>
      </c>
      <c r="X305" s="322" t="e">
        <f>+#REF!*365/$D305</f>
        <v>#REF!</v>
      </c>
      <c r="Y305" s="322" t="e">
        <f>+#REF!*365/$D305</f>
        <v>#REF!</v>
      </c>
      <c r="Z305" s="322" t="e">
        <f>+#REF!*365/$D305</f>
        <v>#REF!</v>
      </c>
      <c r="AA305" s="343" t="e">
        <f t="shared" si="130"/>
        <v>#REF!</v>
      </c>
    </row>
    <row r="306" spans="1:27" ht="24.95" customHeight="1">
      <c r="A306" s="260" t="str">
        <f>+Pobl_adoptada!A138</f>
        <v>Villarino</v>
      </c>
      <c r="B306" s="70">
        <f>+Pobl_adoptada!B138</f>
        <v>134</v>
      </c>
      <c r="C306" s="71" t="str">
        <f>+Pobl_adoptada!C138</f>
        <v>Médanos</v>
      </c>
      <c r="D306" s="348">
        <v>0.75</v>
      </c>
      <c r="E306" s="278"/>
      <c r="F306" s="263"/>
      <c r="G306" s="322">
        <f t="shared" ref="G306:Z306" si="141">+G138*365/$D306</f>
        <v>2586.2939904</v>
      </c>
      <c r="H306" s="322">
        <f t="shared" si="141"/>
        <v>2451.1895615999997</v>
      </c>
      <c r="I306" s="322">
        <f t="shared" si="141"/>
        <v>2315.1753386666664</v>
      </c>
      <c r="J306" s="322">
        <f t="shared" si="141"/>
        <v>2114.017706666667</v>
      </c>
      <c r="K306" s="322">
        <f t="shared" si="141"/>
        <v>1911.3198720000003</v>
      </c>
      <c r="L306" s="322">
        <f t="shared" si="141"/>
        <v>1920.0238080000001</v>
      </c>
      <c r="M306" s="322">
        <f t="shared" si="141"/>
        <v>1928.4053759999999</v>
      </c>
      <c r="N306" s="322">
        <f t="shared" si="141"/>
        <v>1937.1093120000003</v>
      </c>
      <c r="O306" s="322">
        <f t="shared" si="141"/>
        <v>1945.4908800000001</v>
      </c>
      <c r="P306" s="322">
        <f t="shared" si="141"/>
        <v>1954.1948159999999</v>
      </c>
      <c r="Q306" s="322">
        <f t="shared" si="141"/>
        <v>1962.8987520000003</v>
      </c>
      <c r="R306" s="322">
        <f t="shared" si="141"/>
        <v>1971.2803199999998</v>
      </c>
      <c r="S306" s="322">
        <f t="shared" si="141"/>
        <v>1979.9842560000004</v>
      </c>
      <c r="T306" s="322">
        <f t="shared" si="141"/>
        <v>1988.3658240000004</v>
      </c>
      <c r="U306" s="322">
        <f t="shared" si="141"/>
        <v>1997.0697600000005</v>
      </c>
      <c r="V306" s="322">
        <f t="shared" si="141"/>
        <v>2005.4513279999999</v>
      </c>
      <c r="W306" s="322">
        <f t="shared" si="141"/>
        <v>2014.155264</v>
      </c>
      <c r="X306" s="322">
        <f t="shared" si="141"/>
        <v>2022.8591999999999</v>
      </c>
      <c r="Y306" s="322">
        <f t="shared" si="141"/>
        <v>2031.2407680000003</v>
      </c>
      <c r="Z306" s="322">
        <f t="shared" si="141"/>
        <v>2039.9447040000002</v>
      </c>
      <c r="AA306" s="343">
        <f t="shared" si="130"/>
        <v>2053.8235418666673</v>
      </c>
    </row>
    <row r="307" spans="1:27" ht="24.95" customHeight="1">
      <c r="A307" s="260" t="str">
        <f>+Pobl_adoptada!A139</f>
        <v>Zárate</v>
      </c>
      <c r="B307" s="70">
        <f>+Pobl_adoptada!B139</f>
        <v>135</v>
      </c>
      <c r="C307" s="71" t="str">
        <f>+Pobl_adoptada!C139</f>
        <v>Zárate</v>
      </c>
      <c r="D307" s="348">
        <v>0.75</v>
      </c>
      <c r="E307" s="278"/>
      <c r="F307" s="263"/>
      <c r="G307" s="322">
        <f t="shared" ref="G307:Z307" si="142">+G139*365/$D307</f>
        <v>58541.905459200003</v>
      </c>
      <c r="H307" s="322">
        <f t="shared" si="142"/>
        <v>55889.46155520001</v>
      </c>
      <c r="I307" s="322">
        <f t="shared" si="142"/>
        <v>53166.385887999997</v>
      </c>
      <c r="J307" s="322">
        <f t="shared" si="142"/>
        <v>48903.739519999996</v>
      </c>
      <c r="K307" s="322">
        <f t="shared" si="142"/>
        <v>44533.394208000005</v>
      </c>
      <c r="L307" s="322">
        <f t="shared" si="142"/>
        <v>45059.498783999996</v>
      </c>
      <c r="M307" s="322">
        <f t="shared" si="142"/>
        <v>45591.679296000009</v>
      </c>
      <c r="N307" s="322">
        <f t="shared" si="142"/>
        <v>46129.935743999995</v>
      </c>
      <c r="O307" s="322">
        <f t="shared" si="142"/>
        <v>46674.98294400001</v>
      </c>
      <c r="P307" s="322">
        <f t="shared" si="142"/>
        <v>47226.106080000005</v>
      </c>
      <c r="Q307" s="322">
        <f t="shared" si="142"/>
        <v>47784.019968000001</v>
      </c>
      <c r="R307" s="322">
        <f t="shared" si="142"/>
        <v>48348.367200000008</v>
      </c>
      <c r="S307" s="322">
        <f t="shared" si="142"/>
        <v>48919.505184000001</v>
      </c>
      <c r="T307" s="322">
        <f t="shared" si="142"/>
        <v>49497.076512</v>
      </c>
      <c r="U307" s="322">
        <f t="shared" si="142"/>
        <v>50081.796000000002</v>
      </c>
      <c r="V307" s="322">
        <f t="shared" si="142"/>
        <v>50673.306240000005</v>
      </c>
      <c r="W307" s="322">
        <f t="shared" si="142"/>
        <v>51271.607232000002</v>
      </c>
      <c r="X307" s="322">
        <f t="shared" si="142"/>
        <v>51877.413792000007</v>
      </c>
      <c r="Y307" s="322">
        <f t="shared" si="142"/>
        <v>52490.011104000005</v>
      </c>
      <c r="Z307" s="322">
        <f t="shared" si="142"/>
        <v>53110.113983999996</v>
      </c>
      <c r="AA307" s="343">
        <f t="shared" si="130"/>
        <v>49788.515334720003</v>
      </c>
    </row>
    <row r="308" spans="1:27" ht="24.95" customHeight="1">
      <c r="A308" s="260" t="str">
        <f>+Pobl_adoptada!A140</f>
        <v>CABA</v>
      </c>
      <c r="B308" s="70">
        <f>+Pobl_adoptada!B140</f>
        <v>136</v>
      </c>
      <c r="C308" s="71" t="str">
        <f>+Pobl_adoptada!C140</f>
        <v>CABA</v>
      </c>
      <c r="D308" s="348">
        <v>0.75</v>
      </c>
      <c r="E308" s="278"/>
      <c r="F308" s="263"/>
      <c r="G308" s="322">
        <f t="shared" ref="G308:Z308" si="143">+G140*365/$D308</f>
        <v>3843416.8498239997</v>
      </c>
      <c r="H308" s="322">
        <f t="shared" si="143"/>
        <v>3654495.0655200002</v>
      </c>
      <c r="I308" s="322">
        <f t="shared" si="143"/>
        <v>3462647.3793119998</v>
      </c>
      <c r="J308" s="322">
        <f t="shared" si="143"/>
        <v>3172620.44784</v>
      </c>
      <c r="K308" s="322">
        <f t="shared" si="143"/>
        <v>2878004.8146239999</v>
      </c>
      <c r="L308" s="322">
        <f t="shared" si="143"/>
        <v>2901020.2919999999</v>
      </c>
      <c r="M308" s="322">
        <f t="shared" si="143"/>
        <v>2924411.7520799995</v>
      </c>
      <c r="N308" s="322">
        <f t="shared" si="143"/>
        <v>2948184.6295679999</v>
      </c>
      <c r="O308" s="322">
        <f t="shared" si="143"/>
        <v>2972345.347296</v>
      </c>
      <c r="P308" s="322">
        <f t="shared" si="143"/>
        <v>2996899.3399680001</v>
      </c>
      <c r="Q308" s="322">
        <f t="shared" si="143"/>
        <v>3021854.5126079996</v>
      </c>
      <c r="R308" s="322">
        <f t="shared" si="143"/>
        <v>3047217.2880479996</v>
      </c>
      <c r="S308" s="322">
        <f t="shared" si="143"/>
        <v>3072993.1009919997</v>
      </c>
      <c r="T308" s="322">
        <f t="shared" si="143"/>
        <v>3099189.3624000004</v>
      </c>
      <c r="U308" s="322">
        <f t="shared" si="143"/>
        <v>3125813.4832320004</v>
      </c>
      <c r="V308" s="322">
        <f t="shared" si="143"/>
        <v>3152871.8863199991</v>
      </c>
      <c r="W308" s="322">
        <f t="shared" si="143"/>
        <v>3180371.48856</v>
      </c>
      <c r="X308" s="322">
        <f t="shared" si="143"/>
        <v>3208319.2068479997</v>
      </c>
      <c r="Y308" s="322">
        <f t="shared" si="143"/>
        <v>3236723.4402720002</v>
      </c>
      <c r="Z308" s="322">
        <f t="shared" si="143"/>
        <v>3265591.1057279999</v>
      </c>
      <c r="AA308" s="343">
        <f t="shared" si="130"/>
        <v>3158249.5396520002</v>
      </c>
    </row>
    <row r="309" spans="1:27" ht="24.95" customHeight="1">
      <c r="A309" s="264" t="e">
        <f>+Pobl_adoptada!#REF!</f>
        <v>#REF!</v>
      </c>
      <c r="B309" s="265" t="e">
        <f>+Pobl_adoptada!#REF!</f>
        <v>#REF!</v>
      </c>
      <c r="C309" s="266" t="e">
        <f>+Pobl_adoptada!#REF!</f>
        <v>#REF!</v>
      </c>
      <c r="D309" s="348">
        <v>0.75</v>
      </c>
      <c r="E309" s="267"/>
      <c r="F309" s="268"/>
      <c r="G309" s="322" t="e">
        <f>+#REF!*365/$D309</f>
        <v>#REF!</v>
      </c>
      <c r="H309" s="322" t="e">
        <f>+#REF!*365/$D309</f>
        <v>#REF!</v>
      </c>
      <c r="I309" s="322" t="e">
        <f>+#REF!*365/$D309</f>
        <v>#REF!</v>
      </c>
      <c r="J309" s="322" t="e">
        <f>+#REF!*365/$D309</f>
        <v>#REF!</v>
      </c>
      <c r="K309" s="322" t="e">
        <f>+#REF!*365/$D309</f>
        <v>#REF!</v>
      </c>
      <c r="L309" s="322" t="e">
        <f>+#REF!*365/$D309</f>
        <v>#REF!</v>
      </c>
      <c r="M309" s="322" t="e">
        <f>+#REF!*365/$D309</f>
        <v>#REF!</v>
      </c>
      <c r="N309" s="322" t="e">
        <f>+#REF!*365/$D309</f>
        <v>#REF!</v>
      </c>
      <c r="O309" s="322" t="e">
        <f>+#REF!*365/$D309</f>
        <v>#REF!</v>
      </c>
      <c r="P309" s="322" t="e">
        <f>+#REF!*365/$D309</f>
        <v>#REF!</v>
      </c>
      <c r="Q309" s="322" t="e">
        <f>+#REF!*365/$D309</f>
        <v>#REF!</v>
      </c>
      <c r="R309" s="322" t="e">
        <f>+#REF!*365/$D309</f>
        <v>#REF!</v>
      </c>
      <c r="S309" s="322" t="e">
        <f>+#REF!*365/$D309</f>
        <v>#REF!</v>
      </c>
      <c r="T309" s="322" t="e">
        <f>+#REF!*365/$D309</f>
        <v>#REF!</v>
      </c>
      <c r="U309" s="322" t="e">
        <f>+#REF!*365/$D309</f>
        <v>#REF!</v>
      </c>
      <c r="V309" s="322" t="e">
        <f>+#REF!*365/$D309</f>
        <v>#REF!</v>
      </c>
      <c r="W309" s="322" t="e">
        <f>+#REF!*365/$D309</f>
        <v>#REF!</v>
      </c>
      <c r="X309" s="322" t="e">
        <f>+#REF!*365/$D309</f>
        <v>#REF!</v>
      </c>
      <c r="Y309" s="322" t="e">
        <f>+#REF!*365/$D309</f>
        <v>#REF!</v>
      </c>
      <c r="Z309" s="322" t="e">
        <f>+#REF!*365/$D309</f>
        <v>#REF!</v>
      </c>
      <c r="AA309" s="343" t="e">
        <f t="shared" si="130"/>
        <v>#REF!</v>
      </c>
    </row>
    <row r="310" spans="1:27" ht="24.95" customHeight="1">
      <c r="A310" s="260" t="str">
        <f>+Pobl_adoptada!A141</f>
        <v>Adolfo Alsina</v>
      </c>
      <c r="B310" s="70">
        <f>+Pobl_adoptada!B141</f>
        <v>137</v>
      </c>
      <c r="C310" s="71" t="str">
        <f>+Pobl_adoptada!C141</f>
        <v>Rivera</v>
      </c>
      <c r="D310" s="348">
        <v>0.75</v>
      </c>
      <c r="E310" s="278"/>
      <c r="F310" s="263"/>
      <c r="G310" s="322">
        <f t="shared" ref="G310:Z310" si="144">+G141*365/$D310</f>
        <v>1477.2477781333334</v>
      </c>
      <c r="H310" s="322">
        <f t="shared" si="144"/>
        <v>1397.6264640000002</v>
      </c>
      <c r="I310" s="322">
        <f t="shared" si="144"/>
        <v>1317.5538346666667</v>
      </c>
      <c r="J310" s="322">
        <f t="shared" si="144"/>
        <v>1201.3580800000002</v>
      </c>
      <c r="K310" s="322">
        <f t="shared" si="144"/>
        <v>1084.1235839999999</v>
      </c>
      <c r="L310" s="322">
        <f t="shared" si="144"/>
        <v>1087.0248960000001</v>
      </c>
      <c r="M310" s="322">
        <f t="shared" si="144"/>
        <v>1089.9262080000001</v>
      </c>
      <c r="N310" s="322">
        <f t="shared" si="144"/>
        <v>1093.1498879999999</v>
      </c>
      <c r="O310" s="322">
        <f t="shared" si="144"/>
        <v>1096.0512000000001</v>
      </c>
      <c r="P310" s="322">
        <f t="shared" si="144"/>
        <v>1098.9525120000001</v>
      </c>
      <c r="Q310" s="322">
        <f t="shared" si="144"/>
        <v>1102.1761919999999</v>
      </c>
      <c r="R310" s="322">
        <f t="shared" si="144"/>
        <v>1105.0775040000001</v>
      </c>
      <c r="S310" s="322">
        <f t="shared" si="144"/>
        <v>1107.9788160000001</v>
      </c>
      <c r="T310" s="322">
        <f t="shared" si="144"/>
        <v>1111.2024959999999</v>
      </c>
      <c r="U310" s="322">
        <f t="shared" si="144"/>
        <v>1114.1038080000001</v>
      </c>
      <c r="V310" s="322">
        <f t="shared" si="144"/>
        <v>1117.00512</v>
      </c>
      <c r="W310" s="322">
        <f t="shared" si="144"/>
        <v>1120.2288000000001</v>
      </c>
      <c r="X310" s="322">
        <f t="shared" si="144"/>
        <v>1123.1301120000001</v>
      </c>
      <c r="Y310" s="322">
        <f t="shared" si="144"/>
        <v>1126.0314240000002</v>
      </c>
      <c r="Z310" s="322">
        <f t="shared" si="144"/>
        <v>1129.2551040000001</v>
      </c>
      <c r="AA310" s="343">
        <f t="shared" si="130"/>
        <v>1154.9601910400002</v>
      </c>
    </row>
    <row r="311" spans="1:27" ht="24.95" customHeight="1">
      <c r="A311" s="260" t="str">
        <f>+Pobl_adoptada!A142</f>
        <v>Carlos Tejedor</v>
      </c>
      <c r="B311" s="70">
        <f>+Pobl_adoptada!B142</f>
        <v>138</v>
      </c>
      <c r="C311" s="71" t="str">
        <f>+Pobl_adoptada!C142</f>
        <v>Tres Algarrobos</v>
      </c>
      <c r="D311" s="348">
        <v>0.75</v>
      </c>
      <c r="E311" s="278"/>
      <c r="F311" s="263"/>
      <c r="G311" s="322">
        <f t="shared" ref="G311:Z311" si="145">+G142*365/$D311</f>
        <v>1559.8599509333333</v>
      </c>
      <c r="H311" s="322">
        <f t="shared" si="145"/>
        <v>1480.1849087999999</v>
      </c>
      <c r="I311" s="322">
        <f t="shared" si="145"/>
        <v>1399.506944</v>
      </c>
      <c r="J311" s="322">
        <f t="shared" si="145"/>
        <v>1279.4427733333334</v>
      </c>
      <c r="K311" s="322">
        <f t="shared" si="145"/>
        <v>1157.945856</v>
      </c>
      <c r="L311" s="322">
        <f t="shared" si="145"/>
        <v>1164.3932159999999</v>
      </c>
      <c r="M311" s="322">
        <f t="shared" si="145"/>
        <v>1170.8405759999998</v>
      </c>
      <c r="N311" s="322">
        <f t="shared" si="145"/>
        <v>1177.2879360000002</v>
      </c>
      <c r="O311" s="322">
        <f t="shared" si="145"/>
        <v>1183.7352960000001</v>
      </c>
      <c r="P311" s="322">
        <f t="shared" si="145"/>
        <v>1190.1826560000002</v>
      </c>
      <c r="Q311" s="322">
        <f t="shared" si="145"/>
        <v>1196.6300160000001</v>
      </c>
      <c r="R311" s="322">
        <f t="shared" si="145"/>
        <v>1203.077376</v>
      </c>
      <c r="S311" s="322">
        <f t="shared" si="145"/>
        <v>1209.5247360000001</v>
      </c>
      <c r="T311" s="322">
        <f t="shared" si="145"/>
        <v>1215.9720960000002</v>
      </c>
      <c r="U311" s="322">
        <f t="shared" si="145"/>
        <v>1222.4194560000001</v>
      </c>
      <c r="V311" s="322">
        <f t="shared" si="145"/>
        <v>1228.866816</v>
      </c>
      <c r="W311" s="322">
        <f t="shared" si="145"/>
        <v>1235.3141760000001</v>
      </c>
      <c r="X311" s="322">
        <f t="shared" si="145"/>
        <v>1241.761536</v>
      </c>
      <c r="Y311" s="322">
        <f t="shared" si="145"/>
        <v>1248.2088960000001</v>
      </c>
      <c r="Z311" s="322">
        <f t="shared" si="145"/>
        <v>1254.656256</v>
      </c>
      <c r="AA311" s="343">
        <f t="shared" si="130"/>
        <v>1250.9905736533333</v>
      </c>
    </row>
    <row r="312" spans="1:27" ht="24.95" customHeight="1">
      <c r="A312" s="260" t="str">
        <f>+Pobl_adoptada!A143</f>
        <v>Exaltación de la Cruz</v>
      </c>
      <c r="B312" s="70">
        <f>+Pobl_adoptada!B143</f>
        <v>139</v>
      </c>
      <c r="C312" s="71" t="str">
        <f>+Pobl_adoptada!C143</f>
        <v>Los Cardales</v>
      </c>
      <c r="D312" s="348">
        <v>0.75</v>
      </c>
      <c r="E312" s="278"/>
      <c r="F312" s="263"/>
      <c r="G312" s="322">
        <f t="shared" ref="G312:Z312" si="146">+G143*365/$D312</f>
        <v>5687.3595306666657</v>
      </c>
      <c r="H312" s="322">
        <f t="shared" si="146"/>
        <v>5534.7684287999991</v>
      </c>
      <c r="I312" s="322">
        <f t="shared" si="146"/>
        <v>5365.1706240000012</v>
      </c>
      <c r="J312" s="322">
        <f t="shared" si="146"/>
        <v>5026.4334933333339</v>
      </c>
      <c r="K312" s="322">
        <f t="shared" si="146"/>
        <v>4659.8294400000004</v>
      </c>
      <c r="L312" s="322">
        <f t="shared" si="146"/>
        <v>4798.4476800000002</v>
      </c>
      <c r="M312" s="322">
        <f t="shared" si="146"/>
        <v>4939.3224959999998</v>
      </c>
      <c r="N312" s="322">
        <f t="shared" si="146"/>
        <v>5082.1315200000008</v>
      </c>
      <c r="O312" s="322">
        <f t="shared" si="146"/>
        <v>5227.5194880000008</v>
      </c>
      <c r="P312" s="322">
        <f t="shared" si="146"/>
        <v>5375.4863999999998</v>
      </c>
      <c r="Q312" s="322">
        <f t="shared" si="146"/>
        <v>5525.3875200000002</v>
      </c>
      <c r="R312" s="322">
        <f t="shared" si="146"/>
        <v>5678.1899519999997</v>
      </c>
      <c r="S312" s="322">
        <f t="shared" si="146"/>
        <v>5833.2489600000008</v>
      </c>
      <c r="T312" s="322">
        <f t="shared" si="146"/>
        <v>5990.8869120000008</v>
      </c>
      <c r="U312" s="322">
        <f t="shared" si="146"/>
        <v>6151.1038079999998</v>
      </c>
      <c r="V312" s="322">
        <f t="shared" si="146"/>
        <v>6313.8996479999996</v>
      </c>
      <c r="W312" s="322">
        <f t="shared" si="146"/>
        <v>6479.2744320000011</v>
      </c>
      <c r="X312" s="322">
        <f t="shared" si="146"/>
        <v>6647.5505279999998</v>
      </c>
      <c r="Y312" s="322">
        <f t="shared" si="146"/>
        <v>6818.4055680000019</v>
      </c>
      <c r="Z312" s="322">
        <f t="shared" si="146"/>
        <v>6992.1619199999996</v>
      </c>
      <c r="AA312" s="343">
        <f t="shared" si="130"/>
        <v>5706.3289174400006</v>
      </c>
    </row>
    <row r="313" spans="1:27" ht="24.95" customHeight="1">
      <c r="A313" s="260" t="str">
        <f>+Pobl_adoptada!A144</f>
        <v>Exaltación de la Cruz</v>
      </c>
      <c r="B313" s="70">
        <f>+Pobl_adoptada!B144</f>
        <v>140</v>
      </c>
      <c r="C313" s="71" t="str">
        <f>+Pobl_adoptada!C144</f>
        <v>Parada Robles - Pavón</v>
      </c>
      <c r="D313" s="348">
        <v>0.75</v>
      </c>
      <c r="E313" s="278"/>
      <c r="F313" s="263"/>
      <c r="G313" s="322">
        <f t="shared" ref="G313:Z313" si="147">+G144*365/$D313</f>
        <v>9205.1743232000008</v>
      </c>
      <c r="H313" s="322">
        <f t="shared" si="147"/>
        <v>9030.2831424000015</v>
      </c>
      <c r="I313" s="322">
        <f t="shared" si="147"/>
        <v>8819.1327253333366</v>
      </c>
      <c r="J313" s="322">
        <f t="shared" si="147"/>
        <v>8321.5483733333331</v>
      </c>
      <c r="K313" s="322">
        <f t="shared" si="147"/>
        <v>7767.5901120000017</v>
      </c>
      <c r="L313" s="322">
        <f t="shared" si="147"/>
        <v>8050.6151999999993</v>
      </c>
      <c r="M313" s="322">
        <f t="shared" si="147"/>
        <v>8338.0973759999997</v>
      </c>
      <c r="N313" s="322">
        <f t="shared" si="147"/>
        <v>8630.0366400000003</v>
      </c>
      <c r="O313" s="322">
        <f t="shared" si="147"/>
        <v>8926.8044160000009</v>
      </c>
      <c r="P313" s="322">
        <f t="shared" si="147"/>
        <v>9228.7721280000005</v>
      </c>
      <c r="Q313" s="322">
        <f t="shared" si="147"/>
        <v>9535.1969279999994</v>
      </c>
      <c r="R313" s="322">
        <f t="shared" si="147"/>
        <v>9846.8216639999991</v>
      </c>
      <c r="S313" s="322">
        <f t="shared" si="147"/>
        <v>10163.646336000002</v>
      </c>
      <c r="T313" s="322">
        <f t="shared" si="147"/>
        <v>10485.670944</v>
      </c>
      <c r="U313" s="322">
        <f t="shared" si="147"/>
        <v>10812.895488</v>
      </c>
      <c r="V313" s="322">
        <f t="shared" si="147"/>
        <v>11145.319968000002</v>
      </c>
      <c r="W313" s="322">
        <f t="shared" si="147"/>
        <v>11483.315808000001</v>
      </c>
      <c r="X313" s="322">
        <f t="shared" si="147"/>
        <v>11826.511584000002</v>
      </c>
      <c r="Y313" s="322">
        <f t="shared" si="147"/>
        <v>12175.650144000001</v>
      </c>
      <c r="Z313" s="322">
        <f t="shared" si="147"/>
        <v>12530.360064000002</v>
      </c>
      <c r="AA313" s="343">
        <f t="shared" si="130"/>
        <v>9816.1721682133357</v>
      </c>
    </row>
    <row r="314" spans="1:27" ht="24.95" customHeight="1">
      <c r="A314" s="260" t="str">
        <f>+Pobl_adoptada!A145</f>
        <v>General Alvarado</v>
      </c>
      <c r="B314" s="70">
        <f>+Pobl_adoptada!B145</f>
        <v>141</v>
      </c>
      <c r="C314" s="71" t="str">
        <f>+Pobl_adoptada!C145</f>
        <v>Comandante Nicanor Otamendi</v>
      </c>
      <c r="D314" s="348">
        <v>0.75</v>
      </c>
      <c r="E314" s="278"/>
      <c r="F314" s="263"/>
      <c r="G314" s="322">
        <f t="shared" ref="G314:Z314" si="148">+G145*365/$D314</f>
        <v>3289.8299136000001</v>
      </c>
      <c r="H314" s="322">
        <f t="shared" si="148"/>
        <v>3125.9057856000004</v>
      </c>
      <c r="I314" s="322">
        <f t="shared" si="148"/>
        <v>2959.7680639999999</v>
      </c>
      <c r="J314" s="322">
        <f t="shared" si="148"/>
        <v>2709.6821333333332</v>
      </c>
      <c r="K314" s="322">
        <f t="shared" si="148"/>
        <v>2455.7994240000003</v>
      </c>
      <c r="L314" s="322">
        <f t="shared" si="148"/>
        <v>2472.5625599999998</v>
      </c>
      <c r="M314" s="322">
        <f t="shared" si="148"/>
        <v>2489.6480640000004</v>
      </c>
      <c r="N314" s="322">
        <f t="shared" si="148"/>
        <v>2506.7335680000001</v>
      </c>
      <c r="O314" s="322">
        <f t="shared" si="148"/>
        <v>2523.4967040000001</v>
      </c>
      <c r="P314" s="322">
        <f t="shared" si="148"/>
        <v>2540.5822080000003</v>
      </c>
      <c r="Q314" s="322">
        <f t="shared" si="148"/>
        <v>2557.6677119999999</v>
      </c>
      <c r="R314" s="322">
        <f t="shared" si="148"/>
        <v>2574.4308480000004</v>
      </c>
      <c r="S314" s="322">
        <f t="shared" si="148"/>
        <v>2591.5163520000001</v>
      </c>
      <c r="T314" s="322">
        <f t="shared" si="148"/>
        <v>2608.6018560000007</v>
      </c>
      <c r="U314" s="322">
        <f t="shared" si="148"/>
        <v>2625.3649920000003</v>
      </c>
      <c r="V314" s="322">
        <f t="shared" si="148"/>
        <v>2642.4504960000004</v>
      </c>
      <c r="W314" s="322">
        <f t="shared" si="148"/>
        <v>2659.5360000000001</v>
      </c>
      <c r="X314" s="322">
        <f t="shared" si="148"/>
        <v>2676.2991360000001</v>
      </c>
      <c r="Y314" s="322">
        <f t="shared" si="148"/>
        <v>2693.3846400000002</v>
      </c>
      <c r="Z314" s="322">
        <f t="shared" si="148"/>
        <v>2710.4701440000003</v>
      </c>
      <c r="AA314" s="343">
        <f t="shared" si="130"/>
        <v>2670.6865300266663</v>
      </c>
    </row>
    <row r="315" spans="1:27" ht="24.95" customHeight="1">
      <c r="A315" s="260" t="str">
        <f>+Pobl_adoptada!A146</f>
        <v>General Arenales</v>
      </c>
      <c r="B315" s="70">
        <f>+Pobl_adoptada!B146</f>
        <v>142</v>
      </c>
      <c r="C315" s="71" t="str">
        <f>+Pobl_adoptada!C146</f>
        <v>Arribeños</v>
      </c>
      <c r="D315" s="348">
        <v>0.75</v>
      </c>
      <c r="E315" s="278"/>
      <c r="F315" s="263"/>
      <c r="G315" s="322">
        <f t="shared" ref="G315:Z315" si="149">+G146*365/$D315</f>
        <v>1330.2336426666668</v>
      </c>
      <c r="H315" s="322">
        <f t="shared" si="149"/>
        <v>1257.6542784000001</v>
      </c>
      <c r="I315" s="322">
        <f t="shared" si="149"/>
        <v>1185.1680426666667</v>
      </c>
      <c r="J315" s="322">
        <f t="shared" si="149"/>
        <v>1079.5746133333334</v>
      </c>
      <c r="K315" s="322">
        <f t="shared" si="149"/>
        <v>973.87372800000014</v>
      </c>
      <c r="L315" s="322">
        <f t="shared" si="149"/>
        <v>975.80793600000004</v>
      </c>
      <c r="M315" s="322">
        <f t="shared" si="149"/>
        <v>978.06451200000004</v>
      </c>
      <c r="N315" s="322">
        <f t="shared" si="149"/>
        <v>979.99872000000016</v>
      </c>
      <c r="O315" s="322">
        <f t="shared" si="149"/>
        <v>982.25529599999993</v>
      </c>
      <c r="P315" s="322">
        <f t="shared" si="149"/>
        <v>984.18950400000006</v>
      </c>
      <c r="Q315" s="322">
        <f t="shared" si="149"/>
        <v>986.44608000000017</v>
      </c>
      <c r="R315" s="322">
        <f t="shared" si="149"/>
        <v>988.70265600000027</v>
      </c>
      <c r="S315" s="322">
        <f t="shared" si="149"/>
        <v>990.63686400000006</v>
      </c>
      <c r="T315" s="322">
        <f t="shared" si="149"/>
        <v>992.89344000000017</v>
      </c>
      <c r="U315" s="322">
        <f t="shared" si="149"/>
        <v>994.82764800000029</v>
      </c>
      <c r="V315" s="322">
        <f t="shared" si="149"/>
        <v>997.08422400000006</v>
      </c>
      <c r="W315" s="322">
        <f t="shared" si="149"/>
        <v>999.01843200000019</v>
      </c>
      <c r="X315" s="322">
        <f t="shared" si="149"/>
        <v>1001.275008</v>
      </c>
      <c r="Y315" s="322">
        <f t="shared" si="149"/>
        <v>1003.2092160000001</v>
      </c>
      <c r="Z315" s="322">
        <f t="shared" si="149"/>
        <v>1005.4657920000001</v>
      </c>
      <c r="AA315" s="343">
        <f t="shared" si="130"/>
        <v>1034.3189816533334</v>
      </c>
    </row>
    <row r="316" spans="1:27" ht="24.95" customHeight="1">
      <c r="A316" s="260" t="str">
        <f>+Pobl_adoptada!A147</f>
        <v>General Arenales</v>
      </c>
      <c r="B316" s="70">
        <f>+Pobl_adoptada!B147</f>
        <v>143</v>
      </c>
      <c r="C316" s="71" t="str">
        <f>+Pobl_adoptada!C147</f>
        <v>Ascensión</v>
      </c>
      <c r="D316" s="348">
        <v>0.75</v>
      </c>
      <c r="E316" s="278"/>
      <c r="F316" s="263"/>
      <c r="G316" s="322">
        <f t="shared" ref="G316:Z316" si="150">+G147*365/$D316</f>
        <v>1954.2664533333336</v>
      </c>
      <c r="H316" s="322">
        <f t="shared" si="150"/>
        <v>1849.3929792000001</v>
      </c>
      <c r="I316" s="322">
        <f t="shared" si="150"/>
        <v>1743.4736</v>
      </c>
      <c r="J316" s="322">
        <f t="shared" si="150"/>
        <v>1589.6324266666668</v>
      </c>
      <c r="K316" s="322">
        <f t="shared" si="150"/>
        <v>1434.8599680000004</v>
      </c>
      <c r="L316" s="322">
        <f t="shared" si="150"/>
        <v>1439.0507520000001</v>
      </c>
      <c r="M316" s="322">
        <f t="shared" si="150"/>
        <v>1443.2415360000002</v>
      </c>
      <c r="N316" s="322">
        <f t="shared" si="150"/>
        <v>1447.109952</v>
      </c>
      <c r="O316" s="322">
        <f t="shared" si="150"/>
        <v>1451.3007360000001</v>
      </c>
      <c r="P316" s="322">
        <f t="shared" si="150"/>
        <v>1455.4915200000003</v>
      </c>
      <c r="Q316" s="322">
        <f t="shared" si="150"/>
        <v>1459.6823040000002</v>
      </c>
      <c r="R316" s="322">
        <f t="shared" si="150"/>
        <v>1463.8730880000001</v>
      </c>
      <c r="S316" s="322">
        <f t="shared" si="150"/>
        <v>1468.0638719999999</v>
      </c>
      <c r="T316" s="322">
        <f t="shared" si="150"/>
        <v>1471.9322880000002</v>
      </c>
      <c r="U316" s="322">
        <f t="shared" si="150"/>
        <v>1476.1230720000003</v>
      </c>
      <c r="V316" s="322">
        <f t="shared" si="150"/>
        <v>1480.313856</v>
      </c>
      <c r="W316" s="322">
        <f t="shared" si="150"/>
        <v>1484.5046400000001</v>
      </c>
      <c r="X316" s="322">
        <f t="shared" si="150"/>
        <v>1488.6954240000002</v>
      </c>
      <c r="Y316" s="322">
        <f t="shared" si="150"/>
        <v>1492.5638400000005</v>
      </c>
      <c r="Z316" s="322">
        <f t="shared" si="150"/>
        <v>1496.7546240000001</v>
      </c>
      <c r="AA316" s="343">
        <f t="shared" si="130"/>
        <v>1529.5163465600003</v>
      </c>
    </row>
    <row r="317" spans="1:27" ht="24.95" customHeight="1">
      <c r="A317" s="260" t="str">
        <f>+Pobl_adoptada!A148</f>
        <v>General Guido</v>
      </c>
      <c r="B317" s="70">
        <f>+Pobl_adoptada!B148</f>
        <v>144</v>
      </c>
      <c r="C317" s="71" t="str">
        <f>+Pobl_adoptada!C148</f>
        <v>Labarden</v>
      </c>
      <c r="D317" s="348">
        <v>0.75</v>
      </c>
      <c r="E317" s="278"/>
      <c r="F317" s="263"/>
      <c r="G317" s="322">
        <f t="shared" ref="G317:Z317" si="151">+G148*365/$D317</f>
        <v>339.77587199999999</v>
      </c>
      <c r="H317" s="322">
        <f t="shared" si="151"/>
        <v>319.75681920000005</v>
      </c>
      <c r="I317" s="322">
        <f t="shared" si="151"/>
        <v>299.44405333333333</v>
      </c>
      <c r="J317" s="322">
        <f t="shared" si="151"/>
        <v>271.50549333333339</v>
      </c>
      <c r="K317" s="322">
        <f t="shared" si="151"/>
        <v>243.71020800000005</v>
      </c>
      <c r="L317" s="322">
        <f t="shared" si="151"/>
        <v>243.06547200000003</v>
      </c>
      <c r="M317" s="322">
        <f t="shared" si="151"/>
        <v>242.42073600000001</v>
      </c>
      <c r="N317" s="322">
        <f t="shared" si="151"/>
        <v>241.77599999999998</v>
      </c>
      <c r="O317" s="322">
        <f t="shared" si="151"/>
        <v>241.13126400000007</v>
      </c>
      <c r="P317" s="322">
        <f t="shared" si="151"/>
        <v>240.48652800000002</v>
      </c>
      <c r="Q317" s="322">
        <f t="shared" si="151"/>
        <v>239.84179199999997</v>
      </c>
      <c r="R317" s="322">
        <f t="shared" si="151"/>
        <v>239.197056</v>
      </c>
      <c r="S317" s="322">
        <f t="shared" si="151"/>
        <v>238.55232000000001</v>
      </c>
      <c r="T317" s="322">
        <f t="shared" si="151"/>
        <v>237.90758400000001</v>
      </c>
      <c r="U317" s="322">
        <f t="shared" si="151"/>
        <v>237.26284800000005</v>
      </c>
      <c r="V317" s="322">
        <f t="shared" si="151"/>
        <v>236.618112</v>
      </c>
      <c r="W317" s="322">
        <f t="shared" si="151"/>
        <v>235.973376</v>
      </c>
      <c r="X317" s="322">
        <f t="shared" si="151"/>
        <v>235.32864000000004</v>
      </c>
      <c r="Y317" s="322">
        <f t="shared" si="151"/>
        <v>234.68390400000001</v>
      </c>
      <c r="Z317" s="322">
        <f t="shared" si="151"/>
        <v>234.03916800000002</v>
      </c>
      <c r="AA317" s="343">
        <f t="shared" si="130"/>
        <v>252.62386229333339</v>
      </c>
    </row>
    <row r="318" spans="1:27" ht="24.95" customHeight="1">
      <c r="A318" s="260" t="str">
        <f>+Pobl_adoptada!A149</f>
        <v>General Lavalle</v>
      </c>
      <c r="B318" s="70">
        <f>+Pobl_adoptada!B149</f>
        <v>145</v>
      </c>
      <c r="C318" s="71" t="str">
        <f>+Pobl_adoptada!C149</f>
        <v>Pavón</v>
      </c>
      <c r="D318" s="348">
        <v>0.75</v>
      </c>
      <c r="E318" s="278"/>
      <c r="F318" s="263"/>
      <c r="G318" s="322">
        <f t="shared" ref="G318:Z318" si="152">+G149*365/$D318</f>
        <v>609.81996373333345</v>
      </c>
      <c r="H318" s="322">
        <f t="shared" si="152"/>
        <v>589.22423040000001</v>
      </c>
      <c r="I318" s="322">
        <f t="shared" si="152"/>
        <v>567.36767999999995</v>
      </c>
      <c r="J318" s="322">
        <f t="shared" si="152"/>
        <v>527.96714666666674</v>
      </c>
      <c r="K318" s="322">
        <f t="shared" si="152"/>
        <v>486.45331200000004</v>
      </c>
      <c r="L318" s="322">
        <f t="shared" si="152"/>
        <v>498.05856</v>
      </c>
      <c r="M318" s="322">
        <f t="shared" si="152"/>
        <v>509.98617600000006</v>
      </c>
      <c r="N318" s="322">
        <f t="shared" si="152"/>
        <v>522.23616000000015</v>
      </c>
      <c r="O318" s="322">
        <f t="shared" si="152"/>
        <v>534.48614399999997</v>
      </c>
      <c r="P318" s="322">
        <f t="shared" si="152"/>
        <v>547.38086400000009</v>
      </c>
      <c r="Q318" s="322">
        <f t="shared" si="152"/>
        <v>560.27558400000009</v>
      </c>
      <c r="R318" s="322">
        <f t="shared" si="152"/>
        <v>573.81504000000018</v>
      </c>
      <c r="S318" s="322">
        <f t="shared" si="152"/>
        <v>587.35449599999993</v>
      </c>
      <c r="T318" s="322">
        <f t="shared" si="152"/>
        <v>601.53868799999998</v>
      </c>
      <c r="U318" s="322">
        <f t="shared" si="152"/>
        <v>615.72288000000003</v>
      </c>
      <c r="V318" s="322">
        <f t="shared" si="152"/>
        <v>630.55180800000005</v>
      </c>
      <c r="W318" s="322">
        <f t="shared" si="152"/>
        <v>645.38073600000007</v>
      </c>
      <c r="X318" s="322">
        <f t="shared" si="152"/>
        <v>660.85440000000006</v>
      </c>
      <c r="Y318" s="322">
        <f t="shared" si="152"/>
        <v>676.65043200000002</v>
      </c>
      <c r="Z318" s="322">
        <f t="shared" si="152"/>
        <v>692.76883200000009</v>
      </c>
      <c r="AA318" s="343">
        <f t="shared" si="130"/>
        <v>581.89465663999999</v>
      </c>
    </row>
    <row r="319" spans="1:27" ht="24.95" customHeight="1">
      <c r="A319" s="260" t="str">
        <f>+Pobl_adoptada!A150</f>
        <v>Guaminí</v>
      </c>
      <c r="B319" s="70">
        <f>+Pobl_adoptada!B150</f>
        <v>146</v>
      </c>
      <c r="C319" s="71" t="str">
        <f>+Pobl_adoptada!C150</f>
        <v>Casbas</v>
      </c>
      <c r="D319" s="348">
        <v>0.75</v>
      </c>
      <c r="E319" s="278"/>
      <c r="F319" s="263"/>
      <c r="G319" s="322">
        <f t="shared" ref="G319:Z319" si="153">+G150*365/$D319</f>
        <v>2156.7995221333335</v>
      </c>
      <c r="H319" s="322">
        <f t="shared" si="153"/>
        <v>2046.3598271999999</v>
      </c>
      <c r="I319" s="322">
        <f t="shared" si="153"/>
        <v>1934.5661866666667</v>
      </c>
      <c r="J319" s="322">
        <f t="shared" si="153"/>
        <v>1768.72576</v>
      </c>
      <c r="K319" s="322">
        <f t="shared" si="153"/>
        <v>1600.5571200000002</v>
      </c>
      <c r="L319" s="322">
        <f t="shared" si="153"/>
        <v>1609.5834240000002</v>
      </c>
      <c r="M319" s="322">
        <f t="shared" si="153"/>
        <v>1618.28736</v>
      </c>
      <c r="N319" s="322">
        <f t="shared" si="153"/>
        <v>1626.9912959999995</v>
      </c>
      <c r="O319" s="322">
        <f t="shared" si="153"/>
        <v>1636.0175999999999</v>
      </c>
      <c r="P319" s="322">
        <f t="shared" si="153"/>
        <v>1644.721536</v>
      </c>
      <c r="Q319" s="322">
        <f t="shared" si="153"/>
        <v>1653.7478400000002</v>
      </c>
      <c r="R319" s="322">
        <f t="shared" si="153"/>
        <v>1662.4517760000006</v>
      </c>
      <c r="S319" s="322">
        <f t="shared" si="153"/>
        <v>1671.1557120000004</v>
      </c>
      <c r="T319" s="322">
        <f t="shared" si="153"/>
        <v>1680.182016</v>
      </c>
      <c r="U319" s="322">
        <f t="shared" si="153"/>
        <v>1688.8859520000003</v>
      </c>
      <c r="V319" s="322">
        <f t="shared" si="153"/>
        <v>1697.9122560000003</v>
      </c>
      <c r="W319" s="322">
        <f t="shared" si="153"/>
        <v>1706.6161920000004</v>
      </c>
      <c r="X319" s="322">
        <f t="shared" si="153"/>
        <v>1715.6424960000002</v>
      </c>
      <c r="Y319" s="322">
        <f t="shared" si="153"/>
        <v>1724.346432</v>
      </c>
      <c r="Z319" s="322">
        <f t="shared" si="153"/>
        <v>1733.0503679999999</v>
      </c>
      <c r="AA319" s="343">
        <f t="shared" si="130"/>
        <v>1728.8300336</v>
      </c>
    </row>
    <row r="320" spans="1:27" ht="24.95" customHeight="1">
      <c r="A320" s="260" t="str">
        <f>+Pobl_adoptada!A151</f>
        <v>La Costa</v>
      </c>
      <c r="B320" s="70">
        <f>+Pobl_adoptada!B151</f>
        <v>147</v>
      </c>
      <c r="C320" s="71" t="str">
        <f>+Pobl_adoptada!C151</f>
        <v>San Clemente del Tuyú</v>
      </c>
      <c r="D320" s="348">
        <v>0.75</v>
      </c>
      <c r="E320" s="278"/>
      <c r="F320" s="263"/>
      <c r="G320" s="322">
        <f t="shared" ref="G320:Z320" si="154">+G151*365/$D320</f>
        <v>17087.501435733335</v>
      </c>
      <c r="H320" s="322">
        <f t="shared" si="154"/>
        <v>16502.888313599997</v>
      </c>
      <c r="I320" s="322">
        <f t="shared" si="154"/>
        <v>15872.80464</v>
      </c>
      <c r="J320" s="322">
        <f t="shared" si="154"/>
        <v>14754.612053333332</v>
      </c>
      <c r="K320" s="322">
        <f t="shared" si="154"/>
        <v>13571.83296</v>
      </c>
      <c r="L320" s="322">
        <f t="shared" si="154"/>
        <v>13927.657152</v>
      </c>
      <c r="M320" s="322">
        <f t="shared" si="154"/>
        <v>14283.852768000004</v>
      </c>
      <c r="N320" s="322">
        <f t="shared" si="154"/>
        <v>14640.048384</v>
      </c>
      <c r="O320" s="322">
        <f t="shared" si="154"/>
        <v>14995.872576000002</v>
      </c>
      <c r="P320" s="322">
        <f t="shared" si="154"/>
        <v>15352.068192000001</v>
      </c>
      <c r="Q320" s="322">
        <f t="shared" si="154"/>
        <v>15707.892384000001</v>
      </c>
      <c r="R320" s="322">
        <f t="shared" si="154"/>
        <v>16064.088000000002</v>
      </c>
      <c r="S320" s="322">
        <f t="shared" si="154"/>
        <v>16419.912192000003</v>
      </c>
      <c r="T320" s="322">
        <f t="shared" si="154"/>
        <v>16776.479232000002</v>
      </c>
      <c r="U320" s="322">
        <f t="shared" si="154"/>
        <v>17132.303424000002</v>
      </c>
      <c r="V320" s="322">
        <f t="shared" si="154"/>
        <v>17488.499040000002</v>
      </c>
      <c r="W320" s="322">
        <f t="shared" si="154"/>
        <v>17844.323232000006</v>
      </c>
      <c r="X320" s="322">
        <f t="shared" si="154"/>
        <v>18200.518848000003</v>
      </c>
      <c r="Y320" s="322">
        <f t="shared" si="154"/>
        <v>18556.343040000003</v>
      </c>
      <c r="Z320" s="322">
        <f t="shared" si="154"/>
        <v>18912.910080000001</v>
      </c>
      <c r="AA320" s="343">
        <f t="shared" si="130"/>
        <v>16204.620397333332</v>
      </c>
    </row>
    <row r="321" spans="1:27" ht="24.95" customHeight="1">
      <c r="A321" s="264" t="e">
        <f>+Pobl_adoptada!#REF!</f>
        <v>#REF!</v>
      </c>
      <c r="B321" s="265" t="e">
        <f>+Pobl_adoptada!#REF!</f>
        <v>#REF!</v>
      </c>
      <c r="C321" s="266" t="e">
        <f>+Pobl_adoptada!#REF!</f>
        <v>#REF!</v>
      </c>
      <c r="D321" s="348">
        <v>0.75</v>
      </c>
      <c r="E321" s="267"/>
      <c r="F321" s="268"/>
      <c r="G321" s="322" t="e">
        <f>+#REF!*365/$D321</f>
        <v>#REF!</v>
      </c>
      <c r="H321" s="322" t="e">
        <f>+#REF!*365/$D321</f>
        <v>#REF!</v>
      </c>
      <c r="I321" s="322" t="e">
        <f>+#REF!*365/$D321</f>
        <v>#REF!</v>
      </c>
      <c r="J321" s="322" t="e">
        <f>+#REF!*365/$D321</f>
        <v>#REF!</v>
      </c>
      <c r="K321" s="322" t="e">
        <f>+#REF!*365/$D321</f>
        <v>#REF!</v>
      </c>
      <c r="L321" s="322" t="e">
        <f>+#REF!*365/$D321</f>
        <v>#REF!</v>
      </c>
      <c r="M321" s="322" t="e">
        <f>+#REF!*365/$D321</f>
        <v>#REF!</v>
      </c>
      <c r="N321" s="322" t="e">
        <f>+#REF!*365/$D321</f>
        <v>#REF!</v>
      </c>
      <c r="O321" s="322" t="e">
        <f>+#REF!*365/$D321</f>
        <v>#REF!</v>
      </c>
      <c r="P321" s="322" t="e">
        <f>+#REF!*365/$D321</f>
        <v>#REF!</v>
      </c>
      <c r="Q321" s="322" t="e">
        <f>+#REF!*365/$D321</f>
        <v>#REF!</v>
      </c>
      <c r="R321" s="322" t="e">
        <f>+#REF!*365/$D321</f>
        <v>#REF!</v>
      </c>
      <c r="S321" s="322" t="e">
        <f>+#REF!*365/$D321</f>
        <v>#REF!</v>
      </c>
      <c r="T321" s="322" t="e">
        <f>+#REF!*365/$D321</f>
        <v>#REF!</v>
      </c>
      <c r="U321" s="322" t="e">
        <f>+#REF!*365/$D321</f>
        <v>#REF!</v>
      </c>
      <c r="V321" s="322" t="e">
        <f>+#REF!*365/$D321</f>
        <v>#REF!</v>
      </c>
      <c r="W321" s="322" t="e">
        <f>+#REF!*365/$D321</f>
        <v>#REF!</v>
      </c>
      <c r="X321" s="322" t="e">
        <f>+#REF!*365/$D321</f>
        <v>#REF!</v>
      </c>
      <c r="Y321" s="322" t="e">
        <f>+#REF!*365/$D321</f>
        <v>#REF!</v>
      </c>
      <c r="Z321" s="322" t="e">
        <f>+#REF!*365/$D321</f>
        <v>#REF!</v>
      </c>
      <c r="AA321" s="343" t="e">
        <f t="shared" si="130"/>
        <v>#REF!</v>
      </c>
    </row>
    <row r="322" spans="1:27" ht="24.95" customHeight="1">
      <c r="A322" s="260" t="str">
        <f>+Pobl_adoptada!A152</f>
        <v>Leandro N. Alem</v>
      </c>
      <c r="B322" s="70">
        <f>+Pobl_adoptada!B152</f>
        <v>148</v>
      </c>
      <c r="C322" s="71" t="str">
        <f>+Pobl_adoptada!C152</f>
        <v>Juan Bautista Alberdi</v>
      </c>
      <c r="D322" s="348">
        <v>0.75</v>
      </c>
      <c r="E322" s="278"/>
      <c r="F322" s="263"/>
      <c r="G322" s="322">
        <f t="shared" ref="G322:Z322" si="155">+G152*365/$D322</f>
        <v>1512.335744</v>
      </c>
      <c r="H322" s="322">
        <f t="shared" si="155"/>
        <v>1426.5428736000001</v>
      </c>
      <c r="I322" s="322">
        <f t="shared" si="155"/>
        <v>1341.1941546666669</v>
      </c>
      <c r="J322" s="322">
        <f t="shared" si="155"/>
        <v>1218.9092266666669</v>
      </c>
      <c r="K322" s="322">
        <f t="shared" si="155"/>
        <v>1097.0183040000002</v>
      </c>
      <c r="L322" s="322">
        <f t="shared" si="155"/>
        <v>1097.0183040000002</v>
      </c>
      <c r="M322" s="322">
        <f t="shared" si="155"/>
        <v>1096.6959360000001</v>
      </c>
      <c r="N322" s="322">
        <f t="shared" si="155"/>
        <v>1096.6959360000001</v>
      </c>
      <c r="O322" s="322">
        <f t="shared" si="155"/>
        <v>1096.373568</v>
      </c>
      <c r="P322" s="322">
        <f t="shared" si="155"/>
        <v>1096.373568</v>
      </c>
      <c r="Q322" s="322">
        <f t="shared" si="155"/>
        <v>1096.0512000000001</v>
      </c>
      <c r="R322" s="322">
        <f t="shared" si="155"/>
        <v>1096.0512000000001</v>
      </c>
      <c r="S322" s="322">
        <f t="shared" si="155"/>
        <v>1095.7288319999998</v>
      </c>
      <c r="T322" s="322">
        <f t="shared" si="155"/>
        <v>1095.7288319999998</v>
      </c>
      <c r="U322" s="322">
        <f t="shared" si="155"/>
        <v>1095.7288319999998</v>
      </c>
      <c r="V322" s="322">
        <f t="shared" si="155"/>
        <v>1095.4064640000004</v>
      </c>
      <c r="W322" s="322">
        <f t="shared" si="155"/>
        <v>1095.4064640000004</v>
      </c>
      <c r="X322" s="322">
        <f t="shared" si="155"/>
        <v>1095.0840960000003</v>
      </c>
      <c r="Y322" s="322">
        <f t="shared" si="155"/>
        <v>1095.0840960000003</v>
      </c>
      <c r="Z322" s="322">
        <f t="shared" si="155"/>
        <v>1094.7617280000002</v>
      </c>
      <c r="AA322" s="343">
        <f t="shared" si="130"/>
        <v>1151.7094679466668</v>
      </c>
    </row>
    <row r="323" spans="1:27" ht="24.95" customHeight="1">
      <c r="A323" s="260" t="str">
        <f>+Pobl_adoptada!A153</f>
        <v>Mar Chiquita</v>
      </c>
      <c r="B323" s="70">
        <f>+Pobl_adoptada!B153</f>
        <v>149</v>
      </c>
      <c r="C323" s="71" t="str">
        <f>+Pobl_adoptada!C153</f>
        <v>Santa Clara del Mar</v>
      </c>
      <c r="D323" s="348">
        <v>0.75</v>
      </c>
      <c r="E323" s="278"/>
      <c r="F323" s="263"/>
      <c r="G323" s="322">
        <f t="shared" ref="G323:Z323" si="156">+G153*365/$D323</f>
        <v>12132.325597866666</v>
      </c>
      <c r="H323" s="322">
        <f t="shared" si="156"/>
        <v>11958.292819200002</v>
      </c>
      <c r="I323" s="322">
        <f t="shared" si="156"/>
        <v>11745.376074666669</v>
      </c>
      <c r="J323" s="322">
        <f t="shared" si="156"/>
        <v>11154.688106666668</v>
      </c>
      <c r="K323" s="322">
        <f t="shared" si="156"/>
        <v>10487.899487999999</v>
      </c>
      <c r="L323" s="322">
        <f t="shared" si="156"/>
        <v>10957.008</v>
      </c>
      <c r="M323" s="322">
        <f t="shared" si="156"/>
        <v>11446.544832</v>
      </c>
      <c r="N323" s="322">
        <f t="shared" si="156"/>
        <v>11957.995680000002</v>
      </c>
      <c r="O323" s="322">
        <f t="shared" si="156"/>
        <v>12492.103392000003</v>
      </c>
      <c r="P323" s="322">
        <f t="shared" si="156"/>
        <v>13050.353664</v>
      </c>
      <c r="Q323" s="322">
        <f t="shared" si="156"/>
        <v>13634.232192000001</v>
      </c>
      <c r="R323" s="322">
        <f t="shared" si="156"/>
        <v>14243.367552000003</v>
      </c>
      <c r="S323" s="322">
        <f t="shared" si="156"/>
        <v>14879.616864000001</v>
      </c>
      <c r="T323" s="322">
        <f t="shared" si="156"/>
        <v>15544.837248000002</v>
      </c>
      <c r="U323" s="322">
        <f t="shared" si="156"/>
        <v>16239.400128000001</v>
      </c>
      <c r="V323" s="322">
        <f t="shared" si="156"/>
        <v>16965.162624000001</v>
      </c>
      <c r="W323" s="322">
        <f t="shared" si="156"/>
        <v>17723.610431999998</v>
      </c>
      <c r="X323" s="322">
        <f t="shared" si="156"/>
        <v>18515.114976000001</v>
      </c>
      <c r="Y323" s="322">
        <f t="shared" si="156"/>
        <v>19342.647648000006</v>
      </c>
      <c r="Z323" s="322">
        <f t="shared" si="156"/>
        <v>20207.32272</v>
      </c>
      <c r="AA323" s="343">
        <f t="shared" si="130"/>
        <v>14233.895001920002</v>
      </c>
    </row>
    <row r="324" spans="1:27" ht="24.95" customHeight="1">
      <c r="A324" s="264" t="e">
        <f>+Pobl_adoptada!#REF!</f>
        <v>#REF!</v>
      </c>
      <c r="B324" s="265" t="e">
        <f>+Pobl_adoptada!#REF!</f>
        <v>#REF!</v>
      </c>
      <c r="C324" s="266" t="e">
        <f>+Pobl_adoptada!#REF!</f>
        <v>#REF!</v>
      </c>
      <c r="D324" s="348">
        <v>0.75</v>
      </c>
      <c r="E324" s="267"/>
      <c r="F324" s="268"/>
      <c r="G324" s="322" t="e">
        <f>+#REF!*365/$D324</f>
        <v>#REF!</v>
      </c>
      <c r="H324" s="322" t="e">
        <f>+#REF!*365/$D324</f>
        <v>#REF!</v>
      </c>
      <c r="I324" s="322" t="e">
        <f>+#REF!*365/$D324</f>
        <v>#REF!</v>
      </c>
      <c r="J324" s="322" t="e">
        <f>+#REF!*365/$D324</f>
        <v>#REF!</v>
      </c>
      <c r="K324" s="322" t="e">
        <f>+#REF!*365/$D324</f>
        <v>#REF!</v>
      </c>
      <c r="L324" s="322" t="e">
        <f>+#REF!*365/$D324</f>
        <v>#REF!</v>
      </c>
      <c r="M324" s="322" t="e">
        <f>+#REF!*365/$D324</f>
        <v>#REF!</v>
      </c>
      <c r="N324" s="322" t="e">
        <f>+#REF!*365/$D324</f>
        <v>#REF!</v>
      </c>
      <c r="O324" s="322" t="e">
        <f>+#REF!*365/$D324</f>
        <v>#REF!</v>
      </c>
      <c r="P324" s="322" t="e">
        <f>+#REF!*365/$D324</f>
        <v>#REF!</v>
      </c>
      <c r="Q324" s="322" t="e">
        <f>+#REF!*365/$D324</f>
        <v>#REF!</v>
      </c>
      <c r="R324" s="322" t="e">
        <f>+#REF!*365/$D324</f>
        <v>#REF!</v>
      </c>
      <c r="S324" s="322" t="e">
        <f>+#REF!*365/$D324</f>
        <v>#REF!</v>
      </c>
      <c r="T324" s="322" t="e">
        <f>+#REF!*365/$D324</f>
        <v>#REF!</v>
      </c>
      <c r="U324" s="322" t="e">
        <f>+#REF!*365/$D324</f>
        <v>#REF!</v>
      </c>
      <c r="V324" s="322" t="e">
        <f>+#REF!*365/$D324</f>
        <v>#REF!</v>
      </c>
      <c r="W324" s="322" t="e">
        <f>+#REF!*365/$D324</f>
        <v>#REF!</v>
      </c>
      <c r="X324" s="322" t="e">
        <f>+#REF!*365/$D324</f>
        <v>#REF!</v>
      </c>
      <c r="Y324" s="322" t="e">
        <f>+#REF!*365/$D324</f>
        <v>#REF!</v>
      </c>
      <c r="Z324" s="322" t="e">
        <f>+#REF!*365/$D324</f>
        <v>#REF!</v>
      </c>
      <c r="AA324" s="343" t="e">
        <f t="shared" si="130"/>
        <v>#REF!</v>
      </c>
    </row>
    <row r="325" spans="1:27" ht="24.95" customHeight="1">
      <c r="A325" s="260" t="str">
        <f>+Pobl_adoptada!A154</f>
        <v>Puán</v>
      </c>
      <c r="B325" s="70">
        <f>+Pobl_adoptada!B154</f>
        <v>150</v>
      </c>
      <c r="C325" s="71" t="str">
        <f>+Pobl_adoptada!C154</f>
        <v>Darregueira</v>
      </c>
      <c r="D325" s="348">
        <v>0.75</v>
      </c>
      <c r="E325" s="278"/>
      <c r="F325" s="263"/>
      <c r="G325" s="322">
        <f t="shared" ref="G325:Z325" si="157">+G154*365/$D325</f>
        <v>2528.1101482666668</v>
      </c>
      <c r="H325" s="322">
        <f t="shared" si="157"/>
        <v>2389.1659584000004</v>
      </c>
      <c r="I325" s="322">
        <f t="shared" si="157"/>
        <v>2250.1644586666666</v>
      </c>
      <c r="J325" s="322">
        <f t="shared" si="157"/>
        <v>2048.8277333333335</v>
      </c>
      <c r="K325" s="322">
        <f t="shared" si="157"/>
        <v>1846.846272</v>
      </c>
      <c r="L325" s="322">
        <f t="shared" si="157"/>
        <v>1849.747584</v>
      </c>
      <c r="M325" s="322">
        <f t="shared" si="157"/>
        <v>1852.9712639999998</v>
      </c>
      <c r="N325" s="322">
        <f t="shared" si="157"/>
        <v>1855.872576</v>
      </c>
      <c r="O325" s="322">
        <f t="shared" si="157"/>
        <v>1858.7738880000004</v>
      </c>
      <c r="P325" s="322">
        <f t="shared" si="157"/>
        <v>1861.997568</v>
      </c>
      <c r="Q325" s="322">
        <f t="shared" si="157"/>
        <v>1864.89888</v>
      </c>
      <c r="R325" s="322">
        <f t="shared" si="157"/>
        <v>1867.8001919999999</v>
      </c>
      <c r="S325" s="322">
        <f t="shared" si="157"/>
        <v>1871.023872</v>
      </c>
      <c r="T325" s="322">
        <f t="shared" si="157"/>
        <v>1873.9251839999999</v>
      </c>
      <c r="U325" s="322">
        <f t="shared" si="157"/>
        <v>1877.1488639999998</v>
      </c>
      <c r="V325" s="322">
        <f t="shared" si="157"/>
        <v>1880.050176</v>
      </c>
      <c r="W325" s="322">
        <f t="shared" si="157"/>
        <v>1882.9514879999999</v>
      </c>
      <c r="X325" s="322">
        <f t="shared" si="157"/>
        <v>1886.1751680000004</v>
      </c>
      <c r="Y325" s="322">
        <f t="shared" si="157"/>
        <v>1889.0764799999999</v>
      </c>
      <c r="Z325" s="322">
        <f t="shared" si="157"/>
        <v>1892.3001600000005</v>
      </c>
      <c r="AA325" s="343">
        <f t="shared" si="130"/>
        <v>1956.3913957333339</v>
      </c>
    </row>
    <row r="326" spans="1:27" ht="24.95" customHeight="1">
      <c r="A326" s="260" t="str">
        <f>+Pobl_adoptada!A155</f>
        <v>Ramallo</v>
      </c>
      <c r="B326" s="70">
        <f>+Pobl_adoptada!B155</f>
        <v>151</v>
      </c>
      <c r="C326" s="71" t="str">
        <f>+Pobl_adoptada!C155</f>
        <v>Villa Ramallo</v>
      </c>
      <c r="D326" s="348">
        <v>0.75</v>
      </c>
      <c r="E326" s="278"/>
      <c r="F326" s="263"/>
      <c r="G326" s="322">
        <f t="shared" ref="G326:Z326" si="158">+G155*365/$D326</f>
        <v>5647.3858986666673</v>
      </c>
      <c r="H326" s="322">
        <f t="shared" si="158"/>
        <v>5368.3943040000004</v>
      </c>
      <c r="I326" s="322">
        <f t="shared" si="158"/>
        <v>5085.4268373333334</v>
      </c>
      <c r="J326" s="322">
        <f t="shared" si="158"/>
        <v>4657.5012266666663</v>
      </c>
      <c r="K326" s="322">
        <f t="shared" si="158"/>
        <v>4223.3431680000003</v>
      </c>
      <c r="L326" s="322">
        <f t="shared" si="158"/>
        <v>4255.2575999999999</v>
      </c>
      <c r="M326" s="322">
        <f t="shared" si="158"/>
        <v>4287.1720320000004</v>
      </c>
      <c r="N326" s="322">
        <f t="shared" si="158"/>
        <v>4319.4088320000001</v>
      </c>
      <c r="O326" s="322">
        <f t="shared" si="158"/>
        <v>4351.6456319999998</v>
      </c>
      <c r="P326" s="322">
        <f t="shared" si="158"/>
        <v>4384.5271679999996</v>
      </c>
      <c r="Q326" s="322">
        <f t="shared" si="158"/>
        <v>4417.4087039999995</v>
      </c>
      <c r="R326" s="322">
        <f t="shared" si="158"/>
        <v>4450.6126080000004</v>
      </c>
      <c r="S326" s="322">
        <f t="shared" si="158"/>
        <v>4483.8165120000012</v>
      </c>
      <c r="T326" s="322">
        <f t="shared" si="158"/>
        <v>4517.6651520000005</v>
      </c>
      <c r="U326" s="322">
        <f t="shared" si="158"/>
        <v>4551.5137920000006</v>
      </c>
      <c r="V326" s="322">
        <f t="shared" si="158"/>
        <v>4585.6848</v>
      </c>
      <c r="W326" s="322">
        <f t="shared" si="158"/>
        <v>4620.1781760000003</v>
      </c>
      <c r="X326" s="322">
        <f t="shared" si="158"/>
        <v>4654.9939199999999</v>
      </c>
      <c r="Y326" s="322">
        <f t="shared" si="158"/>
        <v>4689.8096640000003</v>
      </c>
      <c r="Z326" s="322">
        <f t="shared" si="158"/>
        <v>4724.947776</v>
      </c>
      <c r="AA326" s="343">
        <f t="shared" si="130"/>
        <v>4613.8346901333334</v>
      </c>
    </row>
    <row r="327" spans="1:27" ht="24.95" customHeight="1">
      <c r="A327" s="260" t="str">
        <f>+Pobl_adoptada!A156</f>
        <v>Tornquist</v>
      </c>
      <c r="B327" s="70">
        <f>+Pobl_adoptada!B156</f>
        <v>152</v>
      </c>
      <c r="C327" s="71" t="str">
        <f>+Pobl_adoptada!C156</f>
        <v>Sierra de la Ventana</v>
      </c>
      <c r="D327" s="348">
        <v>0.75</v>
      </c>
      <c r="E327" s="278"/>
      <c r="F327" s="263"/>
      <c r="G327" s="322">
        <f t="shared" ref="G327:Z327" si="159">+G156*365/$D327</f>
        <v>1816.1353472000001</v>
      </c>
      <c r="H327" s="322">
        <f t="shared" si="159"/>
        <v>1783.1785920000002</v>
      </c>
      <c r="I327" s="322">
        <f t="shared" si="159"/>
        <v>1744.2616106666667</v>
      </c>
      <c r="J327" s="322">
        <f t="shared" si="159"/>
        <v>1650.1659733333336</v>
      </c>
      <c r="K327" s="322">
        <f t="shared" si="159"/>
        <v>1545.1098240000003</v>
      </c>
      <c r="L327" s="322">
        <f t="shared" si="159"/>
        <v>1607.9715839999999</v>
      </c>
      <c r="M327" s="322">
        <f t="shared" si="159"/>
        <v>1673.0899200000001</v>
      </c>
      <c r="N327" s="322">
        <f t="shared" si="159"/>
        <v>1740.7872</v>
      </c>
      <c r="O327" s="322">
        <f t="shared" si="159"/>
        <v>1811.385792</v>
      </c>
      <c r="P327" s="322">
        <f t="shared" si="159"/>
        <v>1884.8856959999996</v>
      </c>
      <c r="Q327" s="322">
        <f t="shared" si="159"/>
        <v>1961.2869120000003</v>
      </c>
      <c r="R327" s="322">
        <f t="shared" si="159"/>
        <v>2040.9118080000005</v>
      </c>
      <c r="S327" s="322">
        <f t="shared" si="159"/>
        <v>2123.4380160000001</v>
      </c>
      <c r="T327" s="322">
        <f t="shared" si="159"/>
        <v>2209.5102720000004</v>
      </c>
      <c r="U327" s="322">
        <f t="shared" si="159"/>
        <v>2299.1285760000005</v>
      </c>
      <c r="V327" s="322">
        <f t="shared" si="159"/>
        <v>2392.2929280000003</v>
      </c>
      <c r="W327" s="322">
        <f t="shared" si="159"/>
        <v>2489.3256960000003</v>
      </c>
      <c r="X327" s="322">
        <f t="shared" si="159"/>
        <v>2590.2268800000002</v>
      </c>
      <c r="Y327" s="322">
        <f t="shared" si="159"/>
        <v>2695.3188480000003</v>
      </c>
      <c r="Z327" s="322">
        <f t="shared" si="159"/>
        <v>2804.6016</v>
      </c>
      <c r="AA327" s="343">
        <f t="shared" si="130"/>
        <v>2043.1506537600005</v>
      </c>
    </row>
    <row r="328" spans="1:27" ht="24.95" customHeight="1">
      <c r="A328" s="260" t="str">
        <f>+Pobl_adoptada!A157</f>
        <v>Villarino</v>
      </c>
      <c r="B328" s="70">
        <f>+Pobl_adoptada!B157</f>
        <v>153</v>
      </c>
      <c r="C328" s="71" t="str">
        <f>+Pobl_adoptada!C157</f>
        <v>Mayor Buratovich</v>
      </c>
      <c r="D328" s="348">
        <v>0.75</v>
      </c>
      <c r="E328" s="278"/>
      <c r="F328" s="263"/>
      <c r="G328" s="322">
        <f t="shared" ref="G328:Z328" si="160">+G157*365/$D328</f>
        <v>3308.9284266666673</v>
      </c>
      <c r="H328" s="322">
        <f t="shared" si="160"/>
        <v>3186.6721536</v>
      </c>
      <c r="I328" s="322">
        <f t="shared" si="160"/>
        <v>3057.8753919999999</v>
      </c>
      <c r="J328" s="322">
        <f t="shared" si="160"/>
        <v>2837.1965866666669</v>
      </c>
      <c r="K328" s="322">
        <f t="shared" si="160"/>
        <v>2606.0229119999999</v>
      </c>
      <c r="L328" s="322">
        <f t="shared" si="160"/>
        <v>2659.8583680000006</v>
      </c>
      <c r="M328" s="322">
        <f t="shared" si="160"/>
        <v>2714.9832960000003</v>
      </c>
      <c r="N328" s="322">
        <f t="shared" si="160"/>
        <v>2771.0753280000004</v>
      </c>
      <c r="O328" s="322">
        <f t="shared" si="160"/>
        <v>2828.1344640000002</v>
      </c>
      <c r="P328" s="322">
        <f t="shared" si="160"/>
        <v>2886.4830720000004</v>
      </c>
      <c r="Q328" s="322">
        <f t="shared" si="160"/>
        <v>2946.1211520000002</v>
      </c>
      <c r="R328" s="322">
        <f t="shared" si="160"/>
        <v>3007.0487040000007</v>
      </c>
      <c r="S328" s="322">
        <f t="shared" si="160"/>
        <v>3068.9433600000007</v>
      </c>
      <c r="T328" s="322">
        <f t="shared" si="160"/>
        <v>3132.4498560000006</v>
      </c>
      <c r="U328" s="322">
        <f t="shared" si="160"/>
        <v>3197.2458239999996</v>
      </c>
      <c r="V328" s="322">
        <f t="shared" si="160"/>
        <v>3263.0088959999998</v>
      </c>
      <c r="W328" s="322">
        <f t="shared" si="160"/>
        <v>3330.3838080000005</v>
      </c>
      <c r="X328" s="322">
        <f t="shared" si="160"/>
        <v>3399.3705599999998</v>
      </c>
      <c r="Y328" s="322">
        <f t="shared" si="160"/>
        <v>3469.3244159999999</v>
      </c>
      <c r="Z328" s="322">
        <f t="shared" si="160"/>
        <v>3541.2124800000006</v>
      </c>
      <c r="AA328" s="343">
        <f t="shared" si="130"/>
        <v>3060.6169527466668</v>
      </c>
    </row>
    <row r="329" spans="1:27" ht="24.95" customHeight="1">
      <c r="A329" s="260" t="str">
        <f>+Pobl_adoptada!A158</f>
        <v>Villarino</v>
      </c>
      <c r="B329" s="70">
        <f>+Pobl_adoptada!B158</f>
        <v>154</v>
      </c>
      <c r="C329" s="71" t="str">
        <f>+Pobl_adoptada!C158</f>
        <v>Pedro Luro</v>
      </c>
      <c r="D329" s="348">
        <v>0.75</v>
      </c>
      <c r="E329" s="278"/>
      <c r="F329" s="263"/>
      <c r="G329" s="322">
        <f t="shared" ref="G329:Z329" si="161">+G158*365/$D329</f>
        <v>9208.2447616000009</v>
      </c>
      <c r="H329" s="322">
        <f t="shared" si="161"/>
        <v>9042.8372736000001</v>
      </c>
      <c r="I329" s="322">
        <f t="shared" si="161"/>
        <v>8848.1863360000007</v>
      </c>
      <c r="J329" s="322">
        <f t="shared" si="161"/>
        <v>8371.89696</v>
      </c>
      <c r="K329" s="322">
        <f t="shared" si="161"/>
        <v>7841.8749120000002</v>
      </c>
      <c r="L329" s="322">
        <f t="shared" si="161"/>
        <v>8161.6709760000012</v>
      </c>
      <c r="M329" s="322">
        <f t="shared" si="161"/>
        <v>8494.4668799999999</v>
      </c>
      <c r="N329" s="322">
        <f t="shared" si="161"/>
        <v>8840.6340480000017</v>
      </c>
      <c r="O329" s="322">
        <f t="shared" si="161"/>
        <v>9201.2867520000018</v>
      </c>
      <c r="P329" s="322">
        <f t="shared" si="161"/>
        <v>9576.4249920000002</v>
      </c>
      <c r="Q329" s="322">
        <f t="shared" si="161"/>
        <v>9966.7916160000023</v>
      </c>
      <c r="R329" s="322">
        <f t="shared" si="161"/>
        <v>10373.129472000002</v>
      </c>
      <c r="S329" s="322">
        <f t="shared" si="161"/>
        <v>10796.181408</v>
      </c>
      <c r="T329" s="322">
        <f t="shared" si="161"/>
        <v>11236.318848000003</v>
      </c>
      <c r="U329" s="322">
        <f t="shared" si="161"/>
        <v>11694.28464</v>
      </c>
      <c r="V329" s="322">
        <f t="shared" si="161"/>
        <v>12171.193055999998</v>
      </c>
      <c r="W329" s="322">
        <f t="shared" si="161"/>
        <v>12667.415520000002</v>
      </c>
      <c r="X329" s="322">
        <f t="shared" si="161"/>
        <v>13184.066304</v>
      </c>
      <c r="Y329" s="322">
        <f t="shared" si="161"/>
        <v>13721.516832000001</v>
      </c>
      <c r="Z329" s="322">
        <f t="shared" si="161"/>
        <v>14280.881376000003</v>
      </c>
      <c r="AA329" s="343">
        <f t="shared" si="130"/>
        <v>10383.965148160001</v>
      </c>
    </row>
    <row r="330" spans="1:27" ht="24.95" customHeight="1">
      <c r="D330" s="325"/>
      <c r="G330" s="326"/>
      <c r="H330" s="326"/>
      <c r="I330" s="326"/>
      <c r="J330" s="326"/>
      <c r="K330" s="326"/>
      <c r="L330" s="326"/>
      <c r="M330" s="326"/>
      <c r="N330" s="326"/>
      <c r="O330" s="326"/>
      <c r="P330" s="326"/>
      <c r="Q330" s="326"/>
      <c r="R330" s="326"/>
      <c r="S330" s="326"/>
      <c r="T330" s="326"/>
      <c r="U330" s="326"/>
      <c r="V330" s="326"/>
      <c r="W330" s="326"/>
      <c r="X330" s="326"/>
      <c r="Y330" s="326"/>
      <c r="Z330" s="326"/>
    </row>
  </sheetData>
  <autoFilter ref="A4:Z158" xr:uid="{00000000-0009-0000-0000-00001A000000}">
    <filterColumn colId="1" showButton="0"/>
  </autoFilter>
  <mergeCells count="4">
    <mergeCell ref="F2:AA2"/>
    <mergeCell ref="B4:C4"/>
    <mergeCell ref="F162:AA162"/>
    <mergeCell ref="B164:C164"/>
  </mergeCells>
  <pageMargins left="0.70866141732283472" right="0.70866141732283472" top="0.55118110236220474" bottom="0.55118110236220474" header="0.31496062992125984" footer="0.31496062992125984"/>
  <pageSetup paperSize="9" scale="63" orientation="landscape" r:id="rId1"/>
  <rowBreaks count="1" manualBreakCount="1">
    <brk id="115" max="26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B1:N16"/>
  <sheetViews>
    <sheetView zoomScaleNormal="100" workbookViewId="0">
      <pane xSplit="3" ySplit="5" topLeftCell="D6" activePane="bottomRight" state="frozen"/>
      <selection pane="topRight" activeCell="D1" sqref="D1"/>
      <selection pane="bottomLeft" activeCell="A4" sqref="A4"/>
      <selection pane="bottomRight" activeCell="K12" sqref="K12"/>
    </sheetView>
  </sheetViews>
  <sheetFormatPr baseColWidth="10" defaultColWidth="12.5703125" defaultRowHeight="14.25"/>
  <cols>
    <col min="1" max="1" width="3.5703125" style="775" customWidth="1"/>
    <col min="2" max="2" width="5.7109375" style="775" customWidth="1"/>
    <col min="3" max="3" width="31.5703125" style="775" customWidth="1"/>
    <col min="4" max="4" width="16.140625" style="776" customWidth="1"/>
    <col min="5" max="7" width="13.42578125" style="776" customWidth="1"/>
    <col min="8" max="8" width="15" style="775" customWidth="1"/>
    <col min="9" max="9" width="13.42578125" style="775" customWidth="1"/>
    <col min="10" max="10" width="13.5703125" style="775" customWidth="1"/>
    <col min="11" max="16384" width="12.5703125" style="775"/>
  </cols>
  <sheetData>
    <row r="1" spans="2:14" ht="15">
      <c r="C1" s="827">
        <v>1</v>
      </c>
      <c r="D1" s="827">
        <v>2</v>
      </c>
      <c r="E1" s="827">
        <v>3</v>
      </c>
      <c r="F1" s="827">
        <v>4</v>
      </c>
      <c r="G1" s="827">
        <v>5</v>
      </c>
      <c r="H1" s="827">
        <v>6</v>
      </c>
      <c r="I1" s="827">
        <v>7</v>
      </c>
      <c r="J1" s="827">
        <v>8</v>
      </c>
    </row>
    <row r="2" spans="2:14">
      <c r="E2" s="776" t="s">
        <v>756</v>
      </c>
      <c r="F2" s="776" t="s">
        <v>758</v>
      </c>
      <c r="G2" s="776" t="s">
        <v>760</v>
      </c>
      <c r="H2" s="776" t="s">
        <v>761</v>
      </c>
      <c r="J2" s="814" t="s">
        <v>755</v>
      </c>
    </row>
    <row r="3" spans="2:14" ht="15" thickBot="1">
      <c r="F3" s="776" t="s">
        <v>757</v>
      </c>
      <c r="G3" s="776" t="s">
        <v>759</v>
      </c>
      <c r="H3" s="776" t="s">
        <v>762</v>
      </c>
      <c r="I3" s="776" t="s">
        <v>763</v>
      </c>
    </row>
    <row r="4" spans="2:14" ht="44.25" customHeight="1">
      <c r="B4" s="979" t="s">
        <v>734</v>
      </c>
      <c r="C4" s="980"/>
      <c r="D4" s="777" t="s">
        <v>735</v>
      </c>
      <c r="E4" s="778" t="s">
        <v>736</v>
      </c>
      <c r="F4" s="778" t="s">
        <v>737</v>
      </c>
      <c r="G4" s="779" t="s">
        <v>738</v>
      </c>
      <c r="H4" s="779" t="s">
        <v>739</v>
      </c>
      <c r="I4" s="780" t="s">
        <v>740</v>
      </c>
      <c r="J4" s="804" t="s">
        <v>754</v>
      </c>
    </row>
    <row r="5" spans="2:14" ht="15.75" thickBot="1">
      <c r="B5" s="981" t="s">
        <v>741</v>
      </c>
      <c r="C5" s="982"/>
      <c r="D5" s="781">
        <v>2022</v>
      </c>
      <c r="E5" s="782">
        <v>2022</v>
      </c>
      <c r="F5" s="782">
        <v>2022</v>
      </c>
      <c r="G5" s="782">
        <v>2022</v>
      </c>
      <c r="H5" s="782">
        <v>2022</v>
      </c>
      <c r="I5" s="783">
        <v>2022</v>
      </c>
      <c r="J5" s="805">
        <v>45139</v>
      </c>
    </row>
    <row r="6" spans="2:14" ht="15" thickBot="1">
      <c r="B6" s="983" t="s">
        <v>742</v>
      </c>
      <c r="C6" s="984"/>
      <c r="D6" s="810">
        <v>42.762819955706064</v>
      </c>
      <c r="E6" s="811">
        <v>50.634596844117411</v>
      </c>
      <c r="F6" s="811">
        <v>50.861847152914827</v>
      </c>
      <c r="G6" s="812">
        <v>47.33680307088278</v>
      </c>
      <c r="H6" s="812">
        <v>47.671237152777906</v>
      </c>
      <c r="I6" s="813">
        <v>58</v>
      </c>
    </row>
    <row r="7" spans="2:14" ht="15">
      <c r="B7" s="985" t="s">
        <v>743</v>
      </c>
      <c r="C7" s="784" t="s">
        <v>744</v>
      </c>
      <c r="D7" s="785">
        <v>4.7585661977037113</v>
      </c>
      <c r="E7" s="786">
        <v>5.451271347706439</v>
      </c>
      <c r="F7" s="786">
        <v>5.471232037274631</v>
      </c>
      <c r="G7" s="787">
        <v>5.0944811463748252</v>
      </c>
      <c r="H7" s="787">
        <v>6.3576075694443857</v>
      </c>
      <c r="I7" s="788">
        <v>5</v>
      </c>
      <c r="J7" s="775">
        <v>41.67</v>
      </c>
      <c r="K7" s="855" t="s">
        <v>783</v>
      </c>
      <c r="L7" s="857"/>
      <c r="M7" s="857"/>
      <c r="N7" s="857"/>
    </row>
    <row r="8" spans="2:14" ht="15">
      <c r="B8" s="986"/>
      <c r="C8" s="789" t="s">
        <v>745</v>
      </c>
      <c r="D8" s="790">
        <v>18.450712703756722</v>
      </c>
      <c r="E8" s="791">
        <v>17.862967276575926</v>
      </c>
      <c r="F8" s="791">
        <v>17.846067485264378</v>
      </c>
      <c r="G8" s="792">
        <v>17.647404529651318</v>
      </c>
      <c r="H8" s="792">
        <v>19.857028624999995</v>
      </c>
      <c r="I8" s="793">
        <v>16</v>
      </c>
      <c r="J8" s="775">
        <v>136</v>
      </c>
      <c r="K8" s="855" t="s">
        <v>784</v>
      </c>
      <c r="L8" s="857"/>
      <c r="M8" s="857"/>
      <c r="N8" s="857"/>
    </row>
    <row r="9" spans="2:14" ht="15">
      <c r="B9" s="986"/>
      <c r="C9" s="794" t="s">
        <v>746</v>
      </c>
      <c r="D9" s="790">
        <v>14.590555502944165</v>
      </c>
      <c r="E9" s="791">
        <v>10.946733874072363</v>
      </c>
      <c r="F9" s="791">
        <v>10.840619014960032</v>
      </c>
      <c r="G9" s="792">
        <v>15.698195415822433</v>
      </c>
      <c r="H9" s="792">
        <v>8.6582911527777497</v>
      </c>
      <c r="I9" s="793">
        <v>8</v>
      </c>
      <c r="J9" s="775">
        <v>49.5</v>
      </c>
      <c r="K9" s="856"/>
      <c r="L9" s="857"/>
      <c r="M9" s="857"/>
      <c r="N9" s="857"/>
    </row>
    <row r="10" spans="2:14" ht="15">
      <c r="B10" s="986"/>
      <c r="C10" s="789" t="s">
        <v>747</v>
      </c>
      <c r="D10" s="790">
        <v>1.9699324061444028</v>
      </c>
      <c r="E10" s="791">
        <v>3.591913781633354</v>
      </c>
      <c r="F10" s="791">
        <v>3.6383622767001427</v>
      </c>
      <c r="G10" s="792">
        <v>3.8268589077338007</v>
      </c>
      <c r="H10" s="792">
        <v>4.1876249722221894</v>
      </c>
      <c r="I10" s="793">
        <v>3</v>
      </c>
      <c r="J10" s="775">
        <v>500</v>
      </c>
      <c r="K10" s="855" t="s">
        <v>785</v>
      </c>
      <c r="L10" s="857"/>
      <c r="M10" s="857"/>
      <c r="N10" s="857"/>
    </row>
    <row r="11" spans="2:14" ht="15">
      <c r="B11" s="986"/>
      <c r="C11" s="795" t="s">
        <v>748</v>
      </c>
      <c r="D11" s="790">
        <v>2.8527652470952565</v>
      </c>
      <c r="E11" s="791">
        <v>3.837975571262076</v>
      </c>
      <c r="F11" s="791">
        <v>3.8664796975684159</v>
      </c>
      <c r="G11" s="792">
        <v>3.0800758591467732</v>
      </c>
      <c r="H11" s="792">
        <v>4.5702066666666639</v>
      </c>
      <c r="I11" s="793">
        <v>4</v>
      </c>
      <c r="J11" s="775">
        <v>1</v>
      </c>
      <c r="K11" s="827"/>
    </row>
    <row r="12" spans="2:14" ht="15.75" thickBot="1">
      <c r="B12" s="987"/>
      <c r="C12" s="796" t="s">
        <v>749</v>
      </c>
      <c r="D12" s="797">
        <v>3.253160128072524</v>
      </c>
      <c r="E12" s="798">
        <v>1.293964147847313</v>
      </c>
      <c r="F12" s="798">
        <v>1.2376362933618228</v>
      </c>
      <c r="G12" s="799">
        <v>1.5926203591089496</v>
      </c>
      <c r="H12" s="799">
        <v>1.0075228333333328</v>
      </c>
      <c r="I12" s="800">
        <v>1</v>
      </c>
    </row>
    <row r="13" spans="2:14">
      <c r="B13" s="988" t="s">
        <v>750</v>
      </c>
      <c r="C13" s="989"/>
      <c r="D13" s="806">
        <v>7.8721042242955566</v>
      </c>
      <c r="E13" s="807">
        <v>3.0544330441287095</v>
      </c>
      <c r="F13" s="807">
        <v>2.915993417142825</v>
      </c>
      <c r="G13" s="808">
        <v>3.3136346307330999</v>
      </c>
      <c r="H13" s="808">
        <v>4.1547333333333309</v>
      </c>
      <c r="I13" s="809">
        <v>1</v>
      </c>
    </row>
    <row r="14" spans="2:14" ht="15" thickBot="1">
      <c r="B14" s="990" t="s">
        <v>751</v>
      </c>
      <c r="C14" s="991"/>
      <c r="D14" s="797">
        <v>2.6492915038818681</v>
      </c>
      <c r="E14" s="798">
        <v>1.7127334427083825</v>
      </c>
      <c r="F14" s="798">
        <v>1.6862057544676112</v>
      </c>
      <c r="G14" s="799">
        <v>0.74521834042551871</v>
      </c>
      <c r="H14" s="799">
        <v>1.2464199999999994</v>
      </c>
      <c r="I14" s="800">
        <v>3</v>
      </c>
    </row>
    <row r="15" spans="2:14" ht="15" thickBot="1">
      <c r="B15" s="975" t="s">
        <v>752</v>
      </c>
      <c r="C15" s="976"/>
      <c r="D15" s="810">
        <v>0.83776269837139639</v>
      </c>
      <c r="E15" s="811">
        <v>1.6123968185086983</v>
      </c>
      <c r="F15" s="811">
        <v>1.6345801201457828</v>
      </c>
      <c r="G15" s="812">
        <v>1.6661012504587569</v>
      </c>
      <c r="H15" s="812">
        <v>2.2851033333333319</v>
      </c>
      <c r="I15" s="813">
        <v>1</v>
      </c>
    </row>
    <row r="16" spans="2:14" ht="15.75" thickBot="1">
      <c r="B16" s="977" t="s">
        <v>753</v>
      </c>
      <c r="C16" s="978"/>
      <c r="D16" s="801">
        <v>99.997670567971682</v>
      </c>
      <c r="E16" s="802">
        <v>99.998986148560689</v>
      </c>
      <c r="F16" s="802">
        <v>99.999023249800473</v>
      </c>
      <c r="G16" s="802">
        <v>100.00139351033826</v>
      </c>
      <c r="H16" s="802">
        <v>99.995775638888887</v>
      </c>
      <c r="I16" s="803">
        <v>100</v>
      </c>
    </row>
  </sheetData>
  <mergeCells count="8">
    <mergeCell ref="B15:C15"/>
    <mergeCell ref="B16:C16"/>
    <mergeCell ref="B4:C4"/>
    <mergeCell ref="B5:C5"/>
    <mergeCell ref="B6:C6"/>
    <mergeCell ref="B7:B12"/>
    <mergeCell ref="B13:C13"/>
    <mergeCell ref="B14:C14"/>
  </mergeCells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>
    <tabColor rgb="FF00B0F0"/>
  </sheetPr>
  <dimension ref="A1:T165"/>
  <sheetViews>
    <sheetView view="pageBreakPreview" zoomScale="80" zoomScaleSheetLayoutView="80" workbookViewId="0">
      <pane xSplit="5" ySplit="4" topLeftCell="F5" activePane="bottomRight" state="frozen"/>
      <selection activeCell="F10" sqref="F10"/>
      <selection pane="topRight" activeCell="F10" sqref="F10"/>
      <selection pane="bottomLeft" activeCell="F10" sqref="F10"/>
      <selection pane="bottomRight" activeCell="D5" sqref="D5"/>
    </sheetView>
  </sheetViews>
  <sheetFormatPr baseColWidth="10" defaultColWidth="11.42578125" defaultRowHeight="15"/>
  <cols>
    <col min="1" max="2" width="11.42578125" style="42"/>
    <col min="3" max="3" width="25.7109375" style="42" customWidth="1"/>
    <col min="4" max="4" width="8.7109375" style="42" customWidth="1"/>
    <col min="5" max="5" width="43.7109375" style="42" bestFit="1" customWidth="1"/>
    <col min="6" max="7" width="20.7109375" style="42" customWidth="1"/>
    <col min="8" max="8" width="13.28515625" style="42" customWidth="1"/>
    <col min="9" max="9" width="13" style="42" customWidth="1"/>
    <col min="10" max="16" width="11.42578125" style="42"/>
    <col min="17" max="17" width="12.28515625" style="42" bestFit="1" customWidth="1"/>
    <col min="18" max="18" width="11.42578125" style="42"/>
    <col min="19" max="19" width="12.28515625" style="42" bestFit="1" customWidth="1"/>
    <col min="20" max="16384" width="11.42578125" style="42"/>
  </cols>
  <sheetData>
    <row r="1" spans="1:20" ht="26.25">
      <c r="A1" s="816" t="s">
        <v>767</v>
      </c>
      <c r="C1" s="251"/>
      <c r="H1" s="771"/>
      <c r="I1" s="43"/>
    </row>
    <row r="2" spans="1:20" ht="39" customHeight="1" thickBot="1">
      <c r="A2" s="825">
        <v>1</v>
      </c>
      <c r="B2" s="825">
        <v>2</v>
      </c>
      <c r="C2" s="837">
        <v>3</v>
      </c>
      <c r="D2" s="825">
        <v>4</v>
      </c>
      <c r="E2" s="825">
        <v>5</v>
      </c>
      <c r="F2" s="825">
        <v>6</v>
      </c>
      <c r="G2" s="825">
        <v>7</v>
      </c>
      <c r="H2" s="826">
        <v>8</v>
      </c>
      <c r="I2" s="826">
        <v>9</v>
      </c>
      <c r="J2" s="825">
        <v>10</v>
      </c>
      <c r="K2" s="825">
        <v>11</v>
      </c>
      <c r="L2" s="825">
        <v>12</v>
      </c>
      <c r="M2" s="825">
        <v>13</v>
      </c>
      <c r="N2" s="825">
        <v>14</v>
      </c>
      <c r="P2" s="828" t="s">
        <v>771</v>
      </c>
    </row>
    <row r="3" spans="1:20" ht="62.25" customHeight="1" thickBot="1">
      <c r="C3" s="45"/>
      <c r="D3" s="44"/>
      <c r="E3" s="45"/>
      <c r="F3" s="819" t="s">
        <v>769</v>
      </c>
      <c r="G3" s="820" t="s">
        <v>770</v>
      </c>
      <c r="H3" s="48" t="s">
        <v>764</v>
      </c>
      <c r="I3" s="48" t="s">
        <v>765</v>
      </c>
      <c r="J3" s="992" t="s">
        <v>768</v>
      </c>
      <c r="K3" s="993"/>
      <c r="L3" s="993"/>
      <c r="M3" s="993"/>
      <c r="N3" s="993"/>
      <c r="P3" s="854">
        <f>VLOOKUP(CARACTERIZACIÓN!P4,Datos_caracteriz!$C$7:$J$11,Datos_caracteriz!$J$1,FALSE)*1000</f>
        <v>41670</v>
      </c>
      <c r="Q3" s="854">
        <f>VLOOKUP(CARACTERIZACIÓN!Q4,Datos_caracteriz!$C$7:$J$11,Datos_caracteriz!$J$1,FALSE)*1000</f>
        <v>136000</v>
      </c>
      <c r="R3" s="854">
        <f>VLOOKUP(CARACTERIZACIÓN!R4,Datos_caracteriz!$C$7:$J$11,Datos_caracteriz!$J$1,FALSE)*1000</f>
        <v>49500</v>
      </c>
      <c r="S3" s="854">
        <f>VLOOKUP(CARACTERIZACIÓN!S4,Datos_caracteriz!$C$7:$J$11,Datos_caracteriz!$J$1,FALSE)*1000</f>
        <v>500000</v>
      </c>
      <c r="T3" s="854">
        <f>VLOOKUP(CARACTERIZACIÓN!T4,Datos_caracteriz!$C$7:$J$11,Datos_caracteriz!$J$1,FALSE)*1000</f>
        <v>1000</v>
      </c>
    </row>
    <row r="4" spans="1:20" ht="27" customHeight="1" thickBot="1">
      <c r="A4" s="832" t="s">
        <v>775</v>
      </c>
      <c r="B4" s="833" t="s">
        <v>766</v>
      </c>
      <c r="C4" s="772" t="s">
        <v>28</v>
      </c>
      <c r="D4" s="967" t="s">
        <v>22</v>
      </c>
      <c r="E4" s="967"/>
      <c r="F4" s="818">
        <f>Pobl_adoptada!Q4</f>
        <v>2035</v>
      </c>
      <c r="G4" s="818">
        <f>+Pobl_adoptada!AA4</f>
        <v>2045</v>
      </c>
      <c r="H4" s="818">
        <f>+'PROYECCIÓN GENERACIÓN'!P4</f>
        <v>2035</v>
      </c>
      <c r="I4" s="818">
        <f>+'PROYECCIÓN GENERACIÓN'!Z4</f>
        <v>2045</v>
      </c>
      <c r="J4" s="821" t="s">
        <v>744</v>
      </c>
      <c r="K4" s="821" t="s">
        <v>745</v>
      </c>
      <c r="L4" s="822" t="s">
        <v>746</v>
      </c>
      <c r="M4" s="821" t="s">
        <v>747</v>
      </c>
      <c r="N4" s="823" t="s">
        <v>748</v>
      </c>
      <c r="P4" s="821" t="s">
        <v>744</v>
      </c>
      <c r="Q4" s="821" t="s">
        <v>745</v>
      </c>
      <c r="R4" s="822" t="s">
        <v>746</v>
      </c>
      <c r="S4" s="821" t="s">
        <v>747</v>
      </c>
      <c r="T4" s="823" t="s">
        <v>748</v>
      </c>
    </row>
    <row r="5" spans="1:20" ht="24.95" customHeight="1">
      <c r="A5" s="834">
        <f>+D5</f>
        <v>1</v>
      </c>
      <c r="B5" s="835" t="s">
        <v>735</v>
      </c>
      <c r="C5" s="356" t="str">
        <f>+Pobl_adoptada!A5</f>
        <v>Almirante Brown</v>
      </c>
      <c r="D5" s="355">
        <f>+Pobl_adoptada!B5</f>
        <v>1</v>
      </c>
      <c r="E5" s="815" t="str">
        <f>+Pobl_adoptada!C5</f>
        <v>Almirante Brown</v>
      </c>
      <c r="F5" s="817">
        <f>Pobl_adoptada!Q5</f>
        <v>675321</v>
      </c>
      <c r="G5" s="817">
        <f>Pobl_adoptada!AA5</f>
        <v>731569</v>
      </c>
      <c r="H5" s="259">
        <f>+'PROYECCIÓN GENERACIÓN'!P5</f>
        <v>952.20260999999994</v>
      </c>
      <c r="I5" s="259">
        <f>+'PROYECCIÓN GENERACIÓN'!Z5</f>
        <v>1031.5122899999999</v>
      </c>
      <c r="J5" s="824">
        <f>IF($B5="AMBA",Datos_caracteriz!$D$7,IF($F5&lt;=15000,Datos_caracteriz!$I$7,IF($F5&lt;=50000,Datos_caracteriz!$H$7,IF($F5&lt;=300000,Datos_caracteriz!$G$7,IF($F5&lt;=500000,Datos_caracteriz!$F$7,Datos_caracteriz!$E$7)))))</f>
        <v>4.7585661977037113</v>
      </c>
      <c r="K5" s="824">
        <f>IF($B5="AMBA",Datos_caracteriz!$D$8,IF($F5&lt;=15000,Datos_caracteriz!$I$8,IF($F5&lt;=50000,Datos_caracteriz!$H$8,IF($F5&lt;=300000,Datos_caracteriz!$G$8,IF($F5&lt;=500000,Datos_caracteriz!$F$8,Datos_caracteriz!$E$8)))))</f>
        <v>18.450712703756722</v>
      </c>
      <c r="L5" s="824">
        <f>IF($B5="AMBA",Datos_caracteriz!$D$9,IF($F5&lt;=15000,Datos_caracteriz!$I$9,IF($F5&lt;=50000,Datos_caracteriz!$H$9,IF($F5&lt;=300000,Datos_caracteriz!$G$9,IF($F5&lt;=500000,Datos_caracteriz!$F$9,Datos_caracteriz!$E$9)))))</f>
        <v>14.590555502944165</v>
      </c>
      <c r="M5" s="824">
        <f>IF($B5="AMBA",Datos_caracteriz!$D$10,IF($F5&lt;=15000,Datos_caracteriz!$I$10,IF($F5&lt;=50000,Datos_caracteriz!$H$10,IF($F5&lt;=300000,Datos_caracteriz!$G$10,IF($F5&lt;=500000,Datos_caracteriz!$F$10,Datos_caracteriz!$E$10)))))</f>
        <v>1.9699324061444028</v>
      </c>
      <c r="N5" s="824">
        <f>IF($B5="AMBA",Datos_caracteriz!$D$11,IF($F5&lt;=15000,Datos_caracteriz!$I$11,IF($F5&lt;=50000,Datos_caracteriz!$H$11,IF($F5&lt;=300000,Datos_caracteriz!$G$11,IF($F5&lt;=500000,Datos_caracteriz!$F$11,Datos_caracteriz!$E$11)))))</f>
        <v>2.8527652470952565</v>
      </c>
    </row>
    <row r="6" spans="1:20" ht="24.95" customHeight="1">
      <c r="A6" s="834">
        <f t="shared" ref="A6:A69" si="0">+D6</f>
        <v>2</v>
      </c>
      <c r="B6" s="835" t="s">
        <v>735</v>
      </c>
      <c r="C6" s="71" t="str">
        <f>+Pobl_adoptada!A6</f>
        <v>Avellaneda</v>
      </c>
      <c r="D6" s="70">
        <f>+Pobl_adoptada!B6</f>
        <v>2</v>
      </c>
      <c r="E6" s="353" t="str">
        <f>+Pobl_adoptada!C6</f>
        <v>Avellaneda</v>
      </c>
      <c r="F6" s="817">
        <f>Pobl_adoptada!Q6</f>
        <v>413709</v>
      </c>
      <c r="G6" s="817">
        <f>Pobl_adoptada!AA6</f>
        <v>451207</v>
      </c>
      <c r="H6" s="263">
        <f>+'PROYECCIÓN GENERACIÓN'!P6</f>
        <v>583.32968999999991</v>
      </c>
      <c r="I6" s="263">
        <f>+'PROYECCIÓN GENERACIÓN'!Z6</f>
        <v>636.20186999999999</v>
      </c>
      <c r="J6" s="824">
        <f>IF($B6="AMBA",Datos_caracteriz!$D$7,IF($F6&lt;=15000,Datos_caracteriz!$I$7,IF($F6&lt;=50000,Datos_caracteriz!$H$7,IF($F6&lt;=300000,Datos_caracteriz!$G$7,IF($F6&lt;=500000,Datos_caracteriz!$F$7,Datos_caracteriz!$E$7)))))</f>
        <v>4.7585661977037113</v>
      </c>
      <c r="K6" s="824">
        <f>IF($B6="AMBA",Datos_caracteriz!$D$8,IF($F6&lt;=15000,Datos_caracteriz!$I$8,IF($F6&lt;=50000,Datos_caracteriz!$H$8,IF($F6&lt;=300000,Datos_caracteriz!$G$8,IF($F6&lt;=500000,Datos_caracteriz!$F$8,Datos_caracteriz!$E$8)))))</f>
        <v>18.450712703756722</v>
      </c>
      <c r="L6" s="824">
        <f>IF($B6="AMBA",Datos_caracteriz!$D$9,IF($F6&lt;=15000,Datos_caracteriz!$I$9,IF($F6&lt;=50000,Datos_caracteriz!$H$9,IF($F6&lt;=300000,Datos_caracteriz!$G$9,IF($F6&lt;=500000,Datos_caracteriz!$F$9,Datos_caracteriz!$E$9)))))</f>
        <v>14.590555502944165</v>
      </c>
      <c r="M6" s="824">
        <f>IF($B6="AMBA",Datos_caracteriz!$D$10,IF($F6&lt;=15000,Datos_caracteriz!$I$10,IF($F6&lt;=50000,Datos_caracteriz!$H$10,IF($F6&lt;=300000,Datos_caracteriz!$G$10,IF($F6&lt;=500000,Datos_caracteriz!$F$10,Datos_caracteriz!$E$10)))))</f>
        <v>1.9699324061444028</v>
      </c>
      <c r="N6" s="824">
        <f>IF($B6="AMBA",Datos_caracteriz!$D$11,IF($F6&lt;=15000,Datos_caracteriz!$I$11,IF($F6&lt;=50000,Datos_caracteriz!$H$11,IF($F6&lt;=300000,Datos_caracteriz!$G$11,IF($F6&lt;=500000,Datos_caracteriz!$F$11,Datos_caracteriz!$E$11)))))</f>
        <v>2.8527652470952565</v>
      </c>
    </row>
    <row r="7" spans="1:20" ht="24.95" customHeight="1">
      <c r="A7" s="834">
        <f t="shared" si="0"/>
        <v>3</v>
      </c>
      <c r="B7" s="835" t="s">
        <v>735</v>
      </c>
      <c r="C7" s="71" t="str">
        <f>+Pobl_adoptada!A7</f>
        <v>Berazategui</v>
      </c>
      <c r="D7" s="70">
        <f>+Pobl_adoptada!B7</f>
        <v>3</v>
      </c>
      <c r="E7" s="353" t="str">
        <f>+Pobl_adoptada!C7</f>
        <v>Berazategui</v>
      </c>
      <c r="F7" s="817">
        <f>Pobl_adoptada!Q7</f>
        <v>429902</v>
      </c>
      <c r="G7" s="817">
        <f>Pobl_adoptada!AA7</f>
        <v>472101</v>
      </c>
      <c r="H7" s="263">
        <f>+'PROYECCIÓN GENERACIÓN'!P7</f>
        <v>606.16181999999992</v>
      </c>
      <c r="I7" s="263">
        <f>+'PROYECCIÓN GENERACIÓN'!Z7</f>
        <v>665.66240999999991</v>
      </c>
      <c r="J7" s="824">
        <f>IF($B7="AMBA",Datos_caracteriz!$D$7,IF($F7&lt;=15000,Datos_caracteriz!$I$7,IF($F7&lt;=50000,Datos_caracteriz!$H$7,IF($F7&lt;=300000,Datos_caracteriz!$G$7,IF($F7&lt;=500000,Datos_caracteriz!$F$7,Datos_caracteriz!$E$7)))))</f>
        <v>4.7585661977037113</v>
      </c>
      <c r="K7" s="824">
        <f>IF($B7="AMBA",Datos_caracteriz!$D$8,IF($F7&lt;=15000,Datos_caracteriz!$I$8,IF($F7&lt;=50000,Datos_caracteriz!$H$8,IF($F7&lt;=300000,Datos_caracteriz!$G$8,IF($F7&lt;=500000,Datos_caracteriz!$F$8,Datos_caracteriz!$E$8)))))</f>
        <v>18.450712703756722</v>
      </c>
      <c r="L7" s="824">
        <f>IF($B7="AMBA",Datos_caracteriz!$D$9,IF($F7&lt;=15000,Datos_caracteriz!$I$9,IF($F7&lt;=50000,Datos_caracteriz!$H$9,IF($F7&lt;=300000,Datos_caracteriz!$G$9,IF($F7&lt;=500000,Datos_caracteriz!$F$9,Datos_caracteriz!$E$9)))))</f>
        <v>14.590555502944165</v>
      </c>
      <c r="M7" s="824">
        <f>IF($B7="AMBA",Datos_caracteriz!$D$10,IF($F7&lt;=15000,Datos_caracteriz!$I$10,IF($F7&lt;=50000,Datos_caracteriz!$H$10,IF($F7&lt;=300000,Datos_caracteriz!$G$10,IF($F7&lt;=500000,Datos_caracteriz!$F$10,Datos_caracteriz!$E$10)))))</f>
        <v>1.9699324061444028</v>
      </c>
      <c r="N7" s="824">
        <f>IF($B7="AMBA",Datos_caracteriz!$D$11,IF($F7&lt;=15000,Datos_caracteriz!$I$11,IF($F7&lt;=50000,Datos_caracteriz!$H$11,IF($F7&lt;=300000,Datos_caracteriz!$G$11,IF($F7&lt;=500000,Datos_caracteriz!$F$11,Datos_caracteriz!$E$11)))))</f>
        <v>2.8527652470952565</v>
      </c>
      <c r="O7" s="828"/>
    </row>
    <row r="8" spans="1:20" ht="24.95" customHeight="1">
      <c r="A8" s="834">
        <f t="shared" si="0"/>
        <v>4</v>
      </c>
      <c r="B8" s="835" t="s">
        <v>735</v>
      </c>
      <c r="C8" s="71" t="str">
        <f>+Pobl_adoptada!A8</f>
        <v>Esteban Echeverría</v>
      </c>
      <c r="D8" s="70">
        <f>+Pobl_adoptada!B8</f>
        <v>4</v>
      </c>
      <c r="E8" s="353" t="str">
        <f>+Pobl_adoptada!C8</f>
        <v>Esteban Echeverría</v>
      </c>
      <c r="F8" s="817">
        <f>Pobl_adoptada!Q8</f>
        <v>434101</v>
      </c>
      <c r="G8" s="817">
        <f>Pobl_adoptada!AA8</f>
        <v>488615</v>
      </c>
      <c r="H8" s="263">
        <f>+'PROYECCIÓN GENERACIÓN'!P8</f>
        <v>612.08240999999987</v>
      </c>
      <c r="I8" s="263">
        <f>+'PROYECCIÓN GENERACIÓN'!Z8</f>
        <v>688.94714999999985</v>
      </c>
      <c r="J8" s="824">
        <f>IF($B8="AMBA",Datos_caracteriz!$D$7,IF($F8&lt;=15000,Datos_caracteriz!$I$7,IF($F8&lt;=50000,Datos_caracteriz!$H$7,IF($F8&lt;=300000,Datos_caracteriz!$G$7,IF($F8&lt;=500000,Datos_caracteriz!$F$7,Datos_caracteriz!$E$7)))))</f>
        <v>4.7585661977037113</v>
      </c>
      <c r="K8" s="824">
        <f>IF($B8="AMBA",Datos_caracteriz!$D$8,IF($F8&lt;=15000,Datos_caracteriz!$I$8,IF($F8&lt;=50000,Datos_caracteriz!$H$8,IF($F8&lt;=300000,Datos_caracteriz!$G$8,IF($F8&lt;=500000,Datos_caracteriz!$F$8,Datos_caracteriz!$E$8)))))</f>
        <v>18.450712703756722</v>
      </c>
      <c r="L8" s="824">
        <f>IF($B8="AMBA",Datos_caracteriz!$D$9,IF($F8&lt;=15000,Datos_caracteriz!$I$9,IF($F8&lt;=50000,Datos_caracteriz!$H$9,IF($F8&lt;=300000,Datos_caracteriz!$G$9,IF($F8&lt;=500000,Datos_caracteriz!$F$9,Datos_caracteriz!$E$9)))))</f>
        <v>14.590555502944165</v>
      </c>
      <c r="M8" s="824">
        <f>IF($B8="AMBA",Datos_caracteriz!$D$10,IF($F8&lt;=15000,Datos_caracteriz!$I$10,IF($F8&lt;=50000,Datos_caracteriz!$H$10,IF($F8&lt;=300000,Datos_caracteriz!$G$10,IF($F8&lt;=500000,Datos_caracteriz!$F$10,Datos_caracteriz!$E$10)))))</f>
        <v>1.9699324061444028</v>
      </c>
      <c r="N8" s="824">
        <f>IF($B8="AMBA",Datos_caracteriz!$D$11,IF($F8&lt;=15000,Datos_caracteriz!$I$11,IF($F8&lt;=50000,Datos_caracteriz!$H$11,IF($F8&lt;=300000,Datos_caracteriz!$G$11,IF($F8&lt;=500000,Datos_caracteriz!$F$11,Datos_caracteriz!$E$11)))))</f>
        <v>2.8527652470952565</v>
      </c>
      <c r="O8" s="828"/>
    </row>
    <row r="9" spans="1:20" ht="24.95" customHeight="1">
      <c r="A9" s="834">
        <f t="shared" si="0"/>
        <v>5</v>
      </c>
      <c r="B9" s="835" t="s">
        <v>735</v>
      </c>
      <c r="C9" s="71" t="str">
        <f>+Pobl_adoptada!A9</f>
        <v>Ezeiza</v>
      </c>
      <c r="D9" s="70">
        <f>+Pobl_adoptada!B9</f>
        <v>5</v>
      </c>
      <c r="E9" s="353" t="str">
        <f>+Pobl_adoptada!C9</f>
        <v>Ezeiza</v>
      </c>
      <c r="F9" s="817">
        <f>Pobl_adoptada!Q9</f>
        <v>280311</v>
      </c>
      <c r="G9" s="817">
        <f>Pobl_adoptada!AA9</f>
        <v>327398</v>
      </c>
      <c r="H9" s="263">
        <f>+'PROYECCIÓN GENERACIÓN'!P9</f>
        <v>285.91722000000004</v>
      </c>
      <c r="I9" s="263">
        <f>+'PROYECCIÓN GENERACIÓN'!Z9</f>
        <v>333.94596000000001</v>
      </c>
      <c r="J9" s="824">
        <f>IF($B9="AMBA",Datos_caracteriz!$D$7,IF($F9&lt;=15000,Datos_caracteriz!$I$7,IF($F9&lt;=50000,Datos_caracteriz!$H$7,IF($F9&lt;=300000,Datos_caracteriz!$G$7,IF($F9&lt;=500000,Datos_caracteriz!$F$7,Datos_caracteriz!$E$7)))))</f>
        <v>4.7585661977037113</v>
      </c>
      <c r="K9" s="824">
        <f>IF($B9="AMBA",Datos_caracteriz!$D$8,IF($F9&lt;=15000,Datos_caracteriz!$I$8,IF($F9&lt;=50000,Datos_caracteriz!$H$8,IF($F9&lt;=300000,Datos_caracteriz!$G$8,IF($F9&lt;=500000,Datos_caracteriz!$F$8,Datos_caracteriz!$E$8)))))</f>
        <v>18.450712703756722</v>
      </c>
      <c r="L9" s="824">
        <f>IF($B9="AMBA",Datos_caracteriz!$D$9,IF($F9&lt;=15000,Datos_caracteriz!$I$9,IF($F9&lt;=50000,Datos_caracteriz!$H$9,IF($F9&lt;=300000,Datos_caracteriz!$G$9,IF($F9&lt;=500000,Datos_caracteriz!$F$9,Datos_caracteriz!$E$9)))))</f>
        <v>14.590555502944165</v>
      </c>
      <c r="M9" s="824">
        <f>IF($B9="AMBA",Datos_caracteriz!$D$10,IF($F9&lt;=15000,Datos_caracteriz!$I$10,IF($F9&lt;=50000,Datos_caracteriz!$H$10,IF($F9&lt;=300000,Datos_caracteriz!$G$10,IF($F9&lt;=500000,Datos_caracteriz!$F$10,Datos_caracteriz!$E$10)))))</f>
        <v>1.9699324061444028</v>
      </c>
      <c r="N9" s="824">
        <f>IF($B9="AMBA",Datos_caracteriz!$D$11,IF($F9&lt;=15000,Datos_caracteriz!$I$11,IF($F9&lt;=50000,Datos_caracteriz!$H$11,IF($F9&lt;=300000,Datos_caracteriz!$G$11,IF($F9&lt;=500000,Datos_caracteriz!$F$11,Datos_caracteriz!$E$11)))))</f>
        <v>2.8527652470952565</v>
      </c>
      <c r="O9" s="828"/>
    </row>
    <row r="10" spans="1:20" ht="24.95" customHeight="1">
      <c r="A10" s="834">
        <f t="shared" si="0"/>
        <v>6</v>
      </c>
      <c r="B10" s="835" t="s">
        <v>735</v>
      </c>
      <c r="C10" s="71" t="str">
        <f>+Pobl_adoptada!A10</f>
        <v>Florencio Varela</v>
      </c>
      <c r="D10" s="70">
        <f>+Pobl_adoptada!B10</f>
        <v>6</v>
      </c>
      <c r="E10" s="353" t="str">
        <f>+Pobl_adoptada!C10</f>
        <v>Florencio Varela</v>
      </c>
      <c r="F10" s="817">
        <f>Pobl_adoptada!Q10</f>
        <v>657707</v>
      </c>
      <c r="G10" s="817">
        <f>Pobl_adoptada!AA10</f>
        <v>750521</v>
      </c>
      <c r="H10" s="263">
        <f>+'PROYECCIÓN GENERACIÓN'!P10</f>
        <v>927.36686999999995</v>
      </c>
      <c r="I10" s="263">
        <f>+'PROYECCIÓN GENERACIÓN'!Z10</f>
        <v>1058.23461</v>
      </c>
      <c r="J10" s="824">
        <f>IF($B10="AMBA",Datos_caracteriz!$D$7,IF($F10&lt;=15000,Datos_caracteriz!$I$7,IF($F10&lt;=50000,Datos_caracteriz!$H$7,IF($F10&lt;=300000,Datos_caracteriz!$G$7,IF($F10&lt;=500000,Datos_caracteriz!$F$7,Datos_caracteriz!$E$7)))))</f>
        <v>4.7585661977037113</v>
      </c>
      <c r="K10" s="824">
        <f>IF($B10="AMBA",Datos_caracteriz!$D$8,IF($F10&lt;=15000,Datos_caracteriz!$I$8,IF($F10&lt;=50000,Datos_caracteriz!$H$8,IF($F10&lt;=300000,Datos_caracteriz!$G$8,IF($F10&lt;=500000,Datos_caracteriz!$F$8,Datos_caracteriz!$E$8)))))</f>
        <v>18.450712703756722</v>
      </c>
      <c r="L10" s="824">
        <f>IF($B10="AMBA",Datos_caracteriz!$D$9,IF($F10&lt;=15000,Datos_caracteriz!$I$9,IF($F10&lt;=50000,Datos_caracteriz!$H$9,IF($F10&lt;=300000,Datos_caracteriz!$G$9,IF($F10&lt;=500000,Datos_caracteriz!$F$9,Datos_caracteriz!$E$9)))))</f>
        <v>14.590555502944165</v>
      </c>
      <c r="M10" s="824">
        <f>IF($B10="AMBA",Datos_caracteriz!$D$10,IF($F10&lt;=15000,Datos_caracteriz!$I$10,IF($F10&lt;=50000,Datos_caracteriz!$H$10,IF($F10&lt;=300000,Datos_caracteriz!$G$10,IF($F10&lt;=500000,Datos_caracteriz!$F$10,Datos_caracteriz!$E$10)))))</f>
        <v>1.9699324061444028</v>
      </c>
      <c r="N10" s="824">
        <f>IF($B10="AMBA",Datos_caracteriz!$D$11,IF($F10&lt;=15000,Datos_caracteriz!$I$11,IF($F10&lt;=50000,Datos_caracteriz!$H$11,IF($F10&lt;=300000,Datos_caracteriz!$G$11,IF($F10&lt;=500000,Datos_caracteriz!$F$11,Datos_caracteriz!$E$11)))))</f>
        <v>2.8527652470952565</v>
      </c>
      <c r="P10" s="830"/>
      <c r="Q10" s="829"/>
      <c r="R10" s="828"/>
    </row>
    <row r="11" spans="1:20" ht="24.95" customHeight="1">
      <c r="A11" s="834">
        <f t="shared" si="0"/>
        <v>7</v>
      </c>
      <c r="B11" s="835" t="s">
        <v>735</v>
      </c>
      <c r="C11" s="71" t="str">
        <f>+Pobl_adoptada!A11</f>
        <v>General San Martín</v>
      </c>
      <c r="D11" s="70">
        <f>+Pobl_adoptada!B11</f>
        <v>7</v>
      </c>
      <c r="E11" s="353" t="str">
        <f>+Pobl_adoptada!C11</f>
        <v>General San Martín</v>
      </c>
      <c r="F11" s="817">
        <f>Pobl_adoptada!Q11</f>
        <v>471703</v>
      </c>
      <c r="G11" s="817">
        <f>Pobl_adoptada!AA11</f>
        <v>502061</v>
      </c>
      <c r="H11" s="263">
        <f>+'PROYECCIÓN GENERACIÓN'!P11</f>
        <v>665.10122999999999</v>
      </c>
      <c r="I11" s="263">
        <f>+'PROYECCIÓN GENERACIÓN'!Z11</f>
        <v>707.90601000000004</v>
      </c>
      <c r="J11" s="824">
        <f>IF($B11="AMBA",Datos_caracteriz!$D$7,IF($F11&lt;=15000,Datos_caracteriz!$I$7,IF($F11&lt;=50000,Datos_caracteriz!$H$7,IF($F11&lt;=300000,Datos_caracteriz!$G$7,IF($F11&lt;=500000,Datos_caracteriz!$F$7,Datos_caracteriz!$E$7)))))</f>
        <v>4.7585661977037113</v>
      </c>
      <c r="K11" s="824">
        <f>IF($B11="AMBA",Datos_caracteriz!$D$8,IF($F11&lt;=15000,Datos_caracteriz!$I$8,IF($F11&lt;=50000,Datos_caracteriz!$H$8,IF($F11&lt;=300000,Datos_caracteriz!$G$8,IF($F11&lt;=500000,Datos_caracteriz!$F$8,Datos_caracteriz!$E$8)))))</f>
        <v>18.450712703756722</v>
      </c>
      <c r="L11" s="824">
        <f>IF($B11="AMBA",Datos_caracteriz!$D$9,IF($F11&lt;=15000,Datos_caracteriz!$I$9,IF($F11&lt;=50000,Datos_caracteriz!$H$9,IF($F11&lt;=300000,Datos_caracteriz!$G$9,IF($F11&lt;=500000,Datos_caracteriz!$F$9,Datos_caracteriz!$E$9)))))</f>
        <v>14.590555502944165</v>
      </c>
      <c r="M11" s="824">
        <f>IF($B11="AMBA",Datos_caracteriz!$D$10,IF($F11&lt;=15000,Datos_caracteriz!$I$10,IF($F11&lt;=50000,Datos_caracteriz!$H$10,IF($F11&lt;=300000,Datos_caracteriz!$G$10,IF($F11&lt;=500000,Datos_caracteriz!$F$10,Datos_caracteriz!$E$10)))))</f>
        <v>1.9699324061444028</v>
      </c>
      <c r="N11" s="824">
        <f>IF($B11="AMBA",Datos_caracteriz!$D$11,IF($F11&lt;=15000,Datos_caracteriz!$I$11,IF($F11&lt;=50000,Datos_caracteriz!$H$11,IF($F11&lt;=300000,Datos_caracteriz!$G$11,IF($F11&lt;=500000,Datos_caracteriz!$F$11,Datos_caracteriz!$E$11)))))</f>
        <v>2.8527652470952565</v>
      </c>
      <c r="R11" s="828"/>
    </row>
    <row r="12" spans="1:20" ht="24.95" customHeight="1">
      <c r="A12" s="834">
        <f t="shared" si="0"/>
        <v>8</v>
      </c>
      <c r="B12" s="835" t="s">
        <v>735</v>
      </c>
      <c r="C12" s="71" t="str">
        <f>+Pobl_adoptada!A12</f>
        <v>Hurlingham</v>
      </c>
      <c r="D12" s="70">
        <f>+Pobl_adoptada!B12</f>
        <v>8</v>
      </c>
      <c r="E12" s="353" t="str">
        <f>+Pobl_adoptada!C12</f>
        <v>Hurlingham</v>
      </c>
      <c r="F12" s="817">
        <f>Pobl_adoptada!Q12</f>
        <v>199184</v>
      </c>
      <c r="G12" s="817">
        <f>Pobl_adoptada!AA12</f>
        <v>206673</v>
      </c>
      <c r="H12" s="263">
        <f>+'PROYECCIÓN GENERACIÓN'!P12</f>
        <v>203.16767999999999</v>
      </c>
      <c r="I12" s="263">
        <f>+'PROYECCIÓN GENERACIÓN'!Z12</f>
        <v>210.80645999999999</v>
      </c>
      <c r="J12" s="824">
        <f>IF($B12="AMBA",Datos_caracteriz!$D$7,IF($F12&lt;=15000,Datos_caracteriz!$I$7,IF($F12&lt;=50000,Datos_caracteriz!$H$7,IF($F12&lt;=300000,Datos_caracteriz!$G$7,IF($F12&lt;=500000,Datos_caracteriz!$F$7,Datos_caracteriz!$E$7)))))</f>
        <v>4.7585661977037113</v>
      </c>
      <c r="K12" s="824">
        <f>IF($B12="AMBA",Datos_caracteriz!$D$8,IF($F12&lt;=15000,Datos_caracteriz!$I$8,IF($F12&lt;=50000,Datos_caracteriz!$H$8,IF($F12&lt;=300000,Datos_caracteriz!$G$8,IF($F12&lt;=500000,Datos_caracteriz!$F$8,Datos_caracteriz!$E$8)))))</f>
        <v>18.450712703756722</v>
      </c>
      <c r="L12" s="824">
        <f>IF($B12="AMBA",Datos_caracteriz!$D$9,IF($F12&lt;=15000,Datos_caracteriz!$I$9,IF($F12&lt;=50000,Datos_caracteriz!$H$9,IF($F12&lt;=300000,Datos_caracteriz!$G$9,IF($F12&lt;=500000,Datos_caracteriz!$F$9,Datos_caracteriz!$E$9)))))</f>
        <v>14.590555502944165</v>
      </c>
      <c r="M12" s="824">
        <f>IF($B12="AMBA",Datos_caracteriz!$D$10,IF($F12&lt;=15000,Datos_caracteriz!$I$10,IF($F12&lt;=50000,Datos_caracteriz!$H$10,IF($F12&lt;=300000,Datos_caracteriz!$G$10,IF($F12&lt;=500000,Datos_caracteriz!$F$10,Datos_caracteriz!$E$10)))))</f>
        <v>1.9699324061444028</v>
      </c>
      <c r="N12" s="824">
        <f>IF($B12="AMBA",Datos_caracteriz!$D$11,IF($F12&lt;=15000,Datos_caracteriz!$I$11,IF($F12&lt;=50000,Datos_caracteriz!$H$11,IF($F12&lt;=300000,Datos_caracteriz!$G$11,IF($F12&lt;=500000,Datos_caracteriz!$F$11,Datos_caracteriz!$E$11)))))</f>
        <v>2.8527652470952565</v>
      </c>
    </row>
    <row r="13" spans="1:20" ht="24.95" customHeight="1">
      <c r="A13" s="834">
        <f t="shared" si="0"/>
        <v>9</v>
      </c>
      <c r="B13" s="835" t="s">
        <v>735</v>
      </c>
      <c r="C13" s="71" t="str">
        <f>+Pobl_adoptada!A13</f>
        <v>Ituzaingó</v>
      </c>
      <c r="D13" s="70">
        <f>+Pobl_adoptada!B13</f>
        <v>9</v>
      </c>
      <c r="E13" s="353" t="str">
        <f>+Pobl_adoptada!C13</f>
        <v>Ituzaingó</v>
      </c>
      <c r="F13" s="817">
        <f>Pobl_adoptada!Q13</f>
        <v>198016</v>
      </c>
      <c r="G13" s="817">
        <f>Pobl_adoptada!AA13</f>
        <v>211562</v>
      </c>
      <c r="H13" s="263">
        <f>+'PROYECCIÓN GENERACIÓN'!P13</f>
        <v>201.97632000000002</v>
      </c>
      <c r="I13" s="263">
        <f>+'PROYECCIÓN GENERACIÓN'!Z13</f>
        <v>215.79324</v>
      </c>
      <c r="J13" s="824">
        <f>IF($B13="AMBA",Datos_caracteriz!$D$7,IF($F13&lt;=15000,Datos_caracteriz!$I$7,IF($F13&lt;=50000,Datos_caracteriz!$H$7,IF($F13&lt;=300000,Datos_caracteriz!$G$7,IF($F13&lt;=500000,Datos_caracteriz!$F$7,Datos_caracteriz!$E$7)))))</f>
        <v>4.7585661977037113</v>
      </c>
      <c r="K13" s="824">
        <f>IF($B13="AMBA",Datos_caracteriz!$D$8,IF($F13&lt;=15000,Datos_caracteriz!$I$8,IF($F13&lt;=50000,Datos_caracteriz!$H$8,IF($F13&lt;=300000,Datos_caracteriz!$G$8,IF($F13&lt;=500000,Datos_caracteriz!$F$8,Datos_caracteriz!$E$8)))))</f>
        <v>18.450712703756722</v>
      </c>
      <c r="L13" s="824">
        <f>IF($B13="AMBA",Datos_caracteriz!$D$9,IF($F13&lt;=15000,Datos_caracteriz!$I$9,IF($F13&lt;=50000,Datos_caracteriz!$H$9,IF($F13&lt;=300000,Datos_caracteriz!$G$9,IF($F13&lt;=500000,Datos_caracteriz!$F$9,Datos_caracteriz!$E$9)))))</f>
        <v>14.590555502944165</v>
      </c>
      <c r="M13" s="824">
        <f>IF($B13="AMBA",Datos_caracteriz!$D$10,IF($F13&lt;=15000,Datos_caracteriz!$I$10,IF($F13&lt;=50000,Datos_caracteriz!$H$10,IF($F13&lt;=300000,Datos_caracteriz!$G$10,IF($F13&lt;=500000,Datos_caracteriz!$F$10,Datos_caracteriz!$E$10)))))</f>
        <v>1.9699324061444028</v>
      </c>
      <c r="N13" s="824">
        <f>IF($B13="AMBA",Datos_caracteriz!$D$11,IF($F13&lt;=15000,Datos_caracteriz!$I$11,IF($F13&lt;=50000,Datos_caracteriz!$H$11,IF($F13&lt;=300000,Datos_caracteriz!$G$11,IF($F13&lt;=500000,Datos_caracteriz!$F$11,Datos_caracteriz!$E$11)))))</f>
        <v>2.8527652470952565</v>
      </c>
    </row>
    <row r="14" spans="1:20" ht="24.95" customHeight="1">
      <c r="A14" s="834">
        <f t="shared" si="0"/>
        <v>10</v>
      </c>
      <c r="B14" s="835" t="s">
        <v>735</v>
      </c>
      <c r="C14" s="71" t="str">
        <f>+Pobl_adoptada!A14</f>
        <v>José C. Paz</v>
      </c>
      <c r="D14" s="70">
        <f>+Pobl_adoptada!B14</f>
        <v>10</v>
      </c>
      <c r="E14" s="353" t="str">
        <f>+Pobl_adoptada!C14</f>
        <v>José C. Paz</v>
      </c>
      <c r="F14" s="817">
        <f>Pobl_adoptada!Q14</f>
        <v>397284</v>
      </c>
      <c r="G14" s="817">
        <f>Pobl_adoptada!AA14</f>
        <v>466446</v>
      </c>
      <c r="H14" s="263">
        <f>+'PROYECCIÓN GENERACIÓN'!P14</f>
        <v>560.17043999999999</v>
      </c>
      <c r="I14" s="263">
        <f>+'PROYECCIÓN GENERACIÓN'!Z14</f>
        <v>657.68885999999998</v>
      </c>
      <c r="J14" s="824">
        <f>IF($B14="AMBA",Datos_caracteriz!$D$7,IF($F14&lt;=15000,Datos_caracteriz!$I$7,IF($F14&lt;=50000,Datos_caracteriz!$H$7,IF($F14&lt;=300000,Datos_caracteriz!$G$7,IF($F14&lt;=500000,Datos_caracteriz!$F$7,Datos_caracteriz!$E$7)))))</f>
        <v>4.7585661977037113</v>
      </c>
      <c r="K14" s="824">
        <f>IF($B14="AMBA",Datos_caracteriz!$D$8,IF($F14&lt;=15000,Datos_caracteriz!$I$8,IF($F14&lt;=50000,Datos_caracteriz!$H$8,IF($F14&lt;=300000,Datos_caracteriz!$G$8,IF($F14&lt;=500000,Datos_caracteriz!$F$8,Datos_caracteriz!$E$8)))))</f>
        <v>18.450712703756722</v>
      </c>
      <c r="L14" s="824">
        <f>IF($B14="AMBA",Datos_caracteriz!$D$9,IF($F14&lt;=15000,Datos_caracteriz!$I$9,IF($F14&lt;=50000,Datos_caracteriz!$H$9,IF($F14&lt;=300000,Datos_caracteriz!$G$9,IF($F14&lt;=500000,Datos_caracteriz!$F$9,Datos_caracteriz!$E$9)))))</f>
        <v>14.590555502944165</v>
      </c>
      <c r="M14" s="824">
        <f>IF($B14="AMBA",Datos_caracteriz!$D$10,IF($F14&lt;=15000,Datos_caracteriz!$I$10,IF($F14&lt;=50000,Datos_caracteriz!$H$10,IF($F14&lt;=300000,Datos_caracteriz!$G$10,IF($F14&lt;=500000,Datos_caracteriz!$F$10,Datos_caracteriz!$E$10)))))</f>
        <v>1.9699324061444028</v>
      </c>
      <c r="N14" s="824">
        <f>IF($B14="AMBA",Datos_caracteriz!$D$11,IF($F14&lt;=15000,Datos_caracteriz!$I$11,IF($F14&lt;=50000,Datos_caracteriz!$H$11,IF($F14&lt;=300000,Datos_caracteriz!$G$11,IF($F14&lt;=500000,Datos_caracteriz!$F$11,Datos_caracteriz!$E$11)))))</f>
        <v>2.8527652470952565</v>
      </c>
    </row>
    <row r="15" spans="1:20" ht="24.95" customHeight="1">
      <c r="A15" s="834">
        <f t="shared" si="0"/>
        <v>11</v>
      </c>
      <c r="B15" s="835" t="s">
        <v>735</v>
      </c>
      <c r="C15" s="71" t="str">
        <f>+Pobl_adoptada!A15</f>
        <v>La Matanza</v>
      </c>
      <c r="D15" s="70">
        <f>+Pobl_adoptada!B15</f>
        <v>11</v>
      </c>
      <c r="E15" s="353" t="str">
        <f>+Pobl_adoptada!C15</f>
        <v>La Matanza</v>
      </c>
      <c r="F15" s="817">
        <f>Pobl_adoptada!Q15</f>
        <v>2554803</v>
      </c>
      <c r="G15" s="817">
        <f>Pobl_adoptada!AA15</f>
        <v>2896025</v>
      </c>
      <c r="H15" s="263">
        <f>+'PROYECCIÓN GENERACIÓN'!P15</f>
        <v>3602.27223</v>
      </c>
      <c r="I15" s="263">
        <f>+'PROYECCIÓN GENERACIÓN'!Z15</f>
        <v>4083.39525</v>
      </c>
      <c r="J15" s="824">
        <f>IF($B15="AMBA",Datos_caracteriz!$D$7,IF($F15&lt;=15000,Datos_caracteriz!$I$7,IF($F15&lt;=50000,Datos_caracteriz!$H$7,IF($F15&lt;=300000,Datos_caracteriz!$G$7,IF($F15&lt;=500000,Datos_caracteriz!$F$7,Datos_caracteriz!$E$7)))))</f>
        <v>4.7585661977037113</v>
      </c>
      <c r="K15" s="824">
        <f>IF($B15="AMBA",Datos_caracteriz!$D$8,IF($F15&lt;=15000,Datos_caracteriz!$I$8,IF($F15&lt;=50000,Datos_caracteriz!$H$8,IF($F15&lt;=300000,Datos_caracteriz!$G$8,IF($F15&lt;=500000,Datos_caracteriz!$F$8,Datos_caracteriz!$E$8)))))</f>
        <v>18.450712703756722</v>
      </c>
      <c r="L15" s="824">
        <f>IF($B15="AMBA",Datos_caracteriz!$D$9,IF($F15&lt;=15000,Datos_caracteriz!$I$9,IF($F15&lt;=50000,Datos_caracteriz!$H$9,IF($F15&lt;=300000,Datos_caracteriz!$G$9,IF($F15&lt;=500000,Datos_caracteriz!$F$9,Datos_caracteriz!$E$9)))))</f>
        <v>14.590555502944165</v>
      </c>
      <c r="M15" s="824">
        <f>IF($B15="AMBA",Datos_caracteriz!$D$10,IF($F15&lt;=15000,Datos_caracteriz!$I$10,IF($F15&lt;=50000,Datos_caracteriz!$H$10,IF($F15&lt;=300000,Datos_caracteriz!$G$10,IF($F15&lt;=500000,Datos_caracteriz!$F$10,Datos_caracteriz!$E$10)))))</f>
        <v>1.9699324061444028</v>
      </c>
      <c r="N15" s="824">
        <f>IF($B15="AMBA",Datos_caracteriz!$D$11,IF($F15&lt;=15000,Datos_caracteriz!$I$11,IF($F15&lt;=50000,Datos_caracteriz!$H$11,IF($F15&lt;=300000,Datos_caracteriz!$G$11,IF($F15&lt;=500000,Datos_caracteriz!$F$11,Datos_caracteriz!$E$11)))))</f>
        <v>2.8527652470952565</v>
      </c>
    </row>
    <row r="16" spans="1:20" ht="24.95" customHeight="1">
      <c r="A16" s="834">
        <f t="shared" si="0"/>
        <v>12</v>
      </c>
      <c r="B16" s="835" t="s">
        <v>735</v>
      </c>
      <c r="C16" s="71" t="str">
        <f>+Pobl_adoptada!A16</f>
        <v>Lanús</v>
      </c>
      <c r="D16" s="70">
        <f>+Pobl_adoptada!B16</f>
        <v>12</v>
      </c>
      <c r="E16" s="353" t="str">
        <f>+Pobl_adoptada!C16</f>
        <v>Lanús</v>
      </c>
      <c r="F16" s="817">
        <f>Pobl_adoptada!Q16</f>
        <v>448776</v>
      </c>
      <c r="G16" s="817">
        <f>Pobl_adoptada!AA16</f>
        <v>444649</v>
      </c>
      <c r="H16" s="263">
        <f>+'PROYECCIÓN GENERACIÓN'!P16</f>
        <v>632.77415999999994</v>
      </c>
      <c r="I16" s="263">
        <f>+'PROYECCIÓN GENERACIÓN'!Z16</f>
        <v>626.95508999999993</v>
      </c>
      <c r="J16" s="824">
        <f>IF($B16="AMBA",Datos_caracteriz!$D$7,IF($F16&lt;=15000,Datos_caracteriz!$I$7,IF($F16&lt;=50000,Datos_caracteriz!$H$7,IF($F16&lt;=300000,Datos_caracteriz!$G$7,IF($F16&lt;=500000,Datos_caracteriz!$F$7,Datos_caracteriz!$E$7)))))</f>
        <v>4.7585661977037113</v>
      </c>
      <c r="K16" s="824">
        <f>IF($B16="AMBA",Datos_caracteriz!$D$8,IF($F16&lt;=15000,Datos_caracteriz!$I$8,IF($F16&lt;=50000,Datos_caracteriz!$H$8,IF($F16&lt;=300000,Datos_caracteriz!$G$8,IF($F16&lt;=500000,Datos_caracteriz!$F$8,Datos_caracteriz!$E$8)))))</f>
        <v>18.450712703756722</v>
      </c>
      <c r="L16" s="824">
        <f>IF($B16="AMBA",Datos_caracteriz!$D$9,IF($F16&lt;=15000,Datos_caracteriz!$I$9,IF($F16&lt;=50000,Datos_caracteriz!$H$9,IF($F16&lt;=300000,Datos_caracteriz!$G$9,IF($F16&lt;=500000,Datos_caracteriz!$F$9,Datos_caracteriz!$E$9)))))</f>
        <v>14.590555502944165</v>
      </c>
      <c r="M16" s="824">
        <f>IF($B16="AMBA",Datos_caracteriz!$D$10,IF($F16&lt;=15000,Datos_caracteriz!$I$10,IF($F16&lt;=50000,Datos_caracteriz!$H$10,IF($F16&lt;=300000,Datos_caracteriz!$G$10,IF($F16&lt;=500000,Datos_caracteriz!$F$10,Datos_caracteriz!$E$10)))))</f>
        <v>1.9699324061444028</v>
      </c>
      <c r="N16" s="824">
        <f>IF($B16="AMBA",Datos_caracteriz!$D$11,IF($F16&lt;=15000,Datos_caracteriz!$I$11,IF($F16&lt;=50000,Datos_caracteriz!$H$11,IF($F16&lt;=300000,Datos_caracteriz!$G$11,IF($F16&lt;=500000,Datos_caracteriz!$F$11,Datos_caracteriz!$E$11)))))</f>
        <v>2.8527652470952565</v>
      </c>
      <c r="Q16" s="831"/>
    </row>
    <row r="17" spans="1:14" ht="24.95" customHeight="1">
      <c r="A17" s="834">
        <f t="shared" si="0"/>
        <v>13</v>
      </c>
      <c r="B17" s="835" t="s">
        <v>735</v>
      </c>
      <c r="C17" s="71" t="str">
        <f>+Pobl_adoptada!A17</f>
        <v>Lomas de Zamora</v>
      </c>
      <c r="D17" s="70">
        <f>+Pobl_adoptada!B17</f>
        <v>13</v>
      </c>
      <c r="E17" s="353" t="str">
        <f>+Pobl_adoptada!C17</f>
        <v>Lomas de Zamora</v>
      </c>
      <c r="F17" s="817">
        <f>Pobl_adoptada!Q17</f>
        <v>745585</v>
      </c>
      <c r="G17" s="817">
        <f>Pobl_adoptada!AA17</f>
        <v>813847</v>
      </c>
      <c r="H17" s="263">
        <f>+'PROYECCIÓN GENERACIÓN'!P17</f>
        <v>1051.2748499999998</v>
      </c>
      <c r="I17" s="263">
        <f>+'PROYECCIÓN GENERACIÓN'!Z17</f>
        <v>1147.5242700000001</v>
      </c>
      <c r="J17" s="824">
        <f>IF($B17="AMBA",Datos_caracteriz!$D$7,IF($F17&lt;=15000,Datos_caracteriz!$I$7,IF($F17&lt;=50000,Datos_caracteriz!$H$7,IF($F17&lt;=300000,Datos_caracteriz!$G$7,IF($F17&lt;=500000,Datos_caracteriz!$F$7,Datos_caracteriz!$E$7)))))</f>
        <v>4.7585661977037113</v>
      </c>
      <c r="K17" s="824">
        <f>IF($B17="AMBA",Datos_caracteriz!$D$8,IF($F17&lt;=15000,Datos_caracteriz!$I$8,IF($F17&lt;=50000,Datos_caracteriz!$H$8,IF($F17&lt;=300000,Datos_caracteriz!$G$8,IF($F17&lt;=500000,Datos_caracteriz!$F$8,Datos_caracteriz!$E$8)))))</f>
        <v>18.450712703756722</v>
      </c>
      <c r="L17" s="824">
        <f>IF($B17="AMBA",Datos_caracteriz!$D$9,IF($F17&lt;=15000,Datos_caracteriz!$I$9,IF($F17&lt;=50000,Datos_caracteriz!$H$9,IF($F17&lt;=300000,Datos_caracteriz!$G$9,IF($F17&lt;=500000,Datos_caracteriz!$F$9,Datos_caracteriz!$E$9)))))</f>
        <v>14.590555502944165</v>
      </c>
      <c r="M17" s="824">
        <f>IF($B17="AMBA",Datos_caracteriz!$D$10,IF($F17&lt;=15000,Datos_caracteriz!$I$10,IF($F17&lt;=50000,Datos_caracteriz!$H$10,IF($F17&lt;=300000,Datos_caracteriz!$G$10,IF($F17&lt;=500000,Datos_caracteriz!$F$10,Datos_caracteriz!$E$10)))))</f>
        <v>1.9699324061444028</v>
      </c>
      <c r="N17" s="824">
        <f>IF($B17="AMBA",Datos_caracteriz!$D$11,IF($F17&lt;=15000,Datos_caracteriz!$I$11,IF($F17&lt;=50000,Datos_caracteriz!$H$11,IF($F17&lt;=300000,Datos_caracteriz!$G$11,IF($F17&lt;=500000,Datos_caracteriz!$F$11,Datos_caracteriz!$E$11)))))</f>
        <v>2.8527652470952565</v>
      </c>
    </row>
    <row r="18" spans="1:14" ht="24.95" customHeight="1">
      <c r="A18" s="834">
        <f t="shared" si="0"/>
        <v>14</v>
      </c>
      <c r="B18" s="835" t="s">
        <v>735</v>
      </c>
      <c r="C18" s="71" t="str">
        <f>+Pobl_adoptada!A18</f>
        <v>Malvinas Argentinas</v>
      </c>
      <c r="D18" s="70">
        <f>+Pobl_adoptada!B18</f>
        <v>14</v>
      </c>
      <c r="E18" s="353" t="str">
        <f>+Pobl_adoptada!C18</f>
        <v>Malvinas Argentinas</v>
      </c>
      <c r="F18" s="817">
        <f>Pobl_adoptada!Q18</f>
        <v>429701</v>
      </c>
      <c r="G18" s="817">
        <f>Pobl_adoptada!AA18</f>
        <v>482046</v>
      </c>
      <c r="H18" s="263">
        <f>+'PROYECCIÓN GENERACIÓN'!P18</f>
        <v>605.87840999999992</v>
      </c>
      <c r="I18" s="263">
        <f>+'PROYECCIÓN GENERACIÓN'!Z18</f>
        <v>679.68485999999996</v>
      </c>
      <c r="J18" s="824">
        <f>IF($B18="AMBA",Datos_caracteriz!$D$7,IF($F18&lt;=15000,Datos_caracteriz!$I$7,IF($F18&lt;=50000,Datos_caracteriz!$H$7,IF($F18&lt;=300000,Datos_caracteriz!$G$7,IF($F18&lt;=500000,Datos_caracteriz!$F$7,Datos_caracteriz!$E$7)))))</f>
        <v>4.7585661977037113</v>
      </c>
      <c r="K18" s="824">
        <f>IF($B18="AMBA",Datos_caracteriz!$D$8,IF($F18&lt;=15000,Datos_caracteriz!$I$8,IF($F18&lt;=50000,Datos_caracteriz!$H$8,IF($F18&lt;=300000,Datos_caracteriz!$G$8,IF($F18&lt;=500000,Datos_caracteriz!$F$8,Datos_caracteriz!$E$8)))))</f>
        <v>18.450712703756722</v>
      </c>
      <c r="L18" s="824">
        <f>IF($B18="AMBA",Datos_caracteriz!$D$9,IF($F18&lt;=15000,Datos_caracteriz!$I$9,IF($F18&lt;=50000,Datos_caracteriz!$H$9,IF($F18&lt;=300000,Datos_caracteriz!$G$9,IF($F18&lt;=500000,Datos_caracteriz!$F$9,Datos_caracteriz!$E$9)))))</f>
        <v>14.590555502944165</v>
      </c>
      <c r="M18" s="824">
        <f>IF($B18="AMBA",Datos_caracteriz!$D$10,IF($F18&lt;=15000,Datos_caracteriz!$I$10,IF($F18&lt;=50000,Datos_caracteriz!$H$10,IF($F18&lt;=300000,Datos_caracteriz!$G$10,IF($F18&lt;=500000,Datos_caracteriz!$F$10,Datos_caracteriz!$E$10)))))</f>
        <v>1.9699324061444028</v>
      </c>
      <c r="N18" s="824">
        <f>IF($B18="AMBA",Datos_caracteriz!$D$11,IF($F18&lt;=15000,Datos_caracteriz!$I$11,IF($F18&lt;=50000,Datos_caracteriz!$H$11,IF($F18&lt;=300000,Datos_caracteriz!$G$11,IF($F18&lt;=500000,Datos_caracteriz!$F$11,Datos_caracteriz!$E$11)))))</f>
        <v>2.8527652470952565</v>
      </c>
    </row>
    <row r="19" spans="1:14" ht="24.95" customHeight="1">
      <c r="A19" s="834">
        <f t="shared" si="0"/>
        <v>15</v>
      </c>
      <c r="B19" s="835" t="s">
        <v>735</v>
      </c>
      <c r="C19" s="71" t="str">
        <f>+Pobl_adoptada!A19</f>
        <v>Merlo</v>
      </c>
      <c r="D19" s="70">
        <f>+Pobl_adoptada!B19</f>
        <v>15</v>
      </c>
      <c r="E19" s="353" t="str">
        <f>+Pobl_adoptada!C19</f>
        <v>Merlo</v>
      </c>
      <c r="F19" s="817">
        <f>Pobl_adoptada!Q19</f>
        <v>712982</v>
      </c>
      <c r="G19" s="817">
        <f>Pobl_adoptada!AA19</f>
        <v>785959</v>
      </c>
      <c r="H19" s="263">
        <f>+'PROYECCIÓN GENERACIÓN'!P19</f>
        <v>1005.30462</v>
      </c>
      <c r="I19" s="263">
        <f>+'PROYECCIÓN GENERACIÓN'!Z19</f>
        <v>1108.20219</v>
      </c>
      <c r="J19" s="824">
        <f>IF($B19="AMBA",Datos_caracteriz!$D$7,IF($F19&lt;=15000,Datos_caracteriz!$I$7,IF($F19&lt;=50000,Datos_caracteriz!$H$7,IF($F19&lt;=300000,Datos_caracteriz!$G$7,IF($F19&lt;=500000,Datos_caracteriz!$F$7,Datos_caracteriz!$E$7)))))</f>
        <v>4.7585661977037113</v>
      </c>
      <c r="K19" s="824">
        <f>IF($B19="AMBA",Datos_caracteriz!$D$8,IF($F19&lt;=15000,Datos_caracteriz!$I$8,IF($F19&lt;=50000,Datos_caracteriz!$H$8,IF($F19&lt;=300000,Datos_caracteriz!$G$8,IF($F19&lt;=500000,Datos_caracteriz!$F$8,Datos_caracteriz!$E$8)))))</f>
        <v>18.450712703756722</v>
      </c>
      <c r="L19" s="824">
        <f>IF($B19="AMBA",Datos_caracteriz!$D$9,IF($F19&lt;=15000,Datos_caracteriz!$I$9,IF($F19&lt;=50000,Datos_caracteriz!$H$9,IF($F19&lt;=300000,Datos_caracteriz!$G$9,IF($F19&lt;=500000,Datos_caracteriz!$F$9,Datos_caracteriz!$E$9)))))</f>
        <v>14.590555502944165</v>
      </c>
      <c r="M19" s="824">
        <f>IF($B19="AMBA",Datos_caracteriz!$D$10,IF($F19&lt;=15000,Datos_caracteriz!$I$10,IF($F19&lt;=50000,Datos_caracteriz!$H$10,IF($F19&lt;=300000,Datos_caracteriz!$G$10,IF($F19&lt;=500000,Datos_caracteriz!$F$10,Datos_caracteriz!$E$10)))))</f>
        <v>1.9699324061444028</v>
      </c>
      <c r="N19" s="824">
        <f>IF($B19="AMBA",Datos_caracteriz!$D$11,IF($F19&lt;=15000,Datos_caracteriz!$I$11,IF($F19&lt;=50000,Datos_caracteriz!$H$11,IF($F19&lt;=300000,Datos_caracteriz!$G$11,IF($F19&lt;=500000,Datos_caracteriz!$F$11,Datos_caracteriz!$E$11)))))</f>
        <v>2.8527652470952565</v>
      </c>
    </row>
    <row r="20" spans="1:14" ht="24.95" customHeight="1">
      <c r="A20" s="834">
        <f t="shared" si="0"/>
        <v>16</v>
      </c>
      <c r="B20" s="835" t="s">
        <v>735</v>
      </c>
      <c r="C20" s="71" t="str">
        <f>+Pobl_adoptada!A20</f>
        <v>Moreno</v>
      </c>
      <c r="D20" s="70">
        <f>+Pobl_adoptada!B20</f>
        <v>16</v>
      </c>
      <c r="E20" s="353" t="str">
        <f>+Pobl_adoptada!C20</f>
        <v>Moreno</v>
      </c>
      <c r="F20" s="817">
        <f>Pobl_adoptada!Q20</f>
        <v>738778</v>
      </c>
      <c r="G20" s="817">
        <f>Pobl_adoptada!AA20</f>
        <v>898814</v>
      </c>
      <c r="H20" s="263">
        <f>+'PROYECCIÓN GENERACIÓN'!P20</f>
        <v>1041.67698</v>
      </c>
      <c r="I20" s="263">
        <f>+'PROYECCIÓN GENERACIÓN'!Z20</f>
        <v>1267.3277399999999</v>
      </c>
      <c r="J20" s="824">
        <f>IF($B20="AMBA",Datos_caracteriz!$D$7,IF($F20&lt;=15000,Datos_caracteriz!$I$7,IF($F20&lt;=50000,Datos_caracteriz!$H$7,IF($F20&lt;=300000,Datos_caracteriz!$G$7,IF($F20&lt;=500000,Datos_caracteriz!$F$7,Datos_caracteriz!$E$7)))))</f>
        <v>4.7585661977037113</v>
      </c>
      <c r="K20" s="824">
        <f>IF($B20="AMBA",Datos_caracteriz!$D$8,IF($F20&lt;=15000,Datos_caracteriz!$I$8,IF($F20&lt;=50000,Datos_caracteriz!$H$8,IF($F20&lt;=300000,Datos_caracteriz!$G$8,IF($F20&lt;=500000,Datos_caracteriz!$F$8,Datos_caracteriz!$E$8)))))</f>
        <v>18.450712703756722</v>
      </c>
      <c r="L20" s="824">
        <f>IF($B20="AMBA",Datos_caracteriz!$D$9,IF($F20&lt;=15000,Datos_caracteriz!$I$9,IF($F20&lt;=50000,Datos_caracteriz!$H$9,IF($F20&lt;=300000,Datos_caracteriz!$G$9,IF($F20&lt;=500000,Datos_caracteriz!$F$9,Datos_caracteriz!$E$9)))))</f>
        <v>14.590555502944165</v>
      </c>
      <c r="M20" s="824">
        <f>IF($B20="AMBA",Datos_caracteriz!$D$10,IF($F20&lt;=15000,Datos_caracteriz!$I$10,IF($F20&lt;=50000,Datos_caracteriz!$H$10,IF($F20&lt;=300000,Datos_caracteriz!$G$10,IF($F20&lt;=500000,Datos_caracteriz!$F$10,Datos_caracteriz!$E$10)))))</f>
        <v>1.9699324061444028</v>
      </c>
      <c r="N20" s="824">
        <f>IF($B20="AMBA",Datos_caracteriz!$D$11,IF($F20&lt;=15000,Datos_caracteriz!$I$11,IF($F20&lt;=50000,Datos_caracteriz!$H$11,IF($F20&lt;=300000,Datos_caracteriz!$G$11,IF($F20&lt;=500000,Datos_caracteriz!$F$11,Datos_caracteriz!$E$11)))))</f>
        <v>2.8527652470952565</v>
      </c>
    </row>
    <row r="21" spans="1:14" ht="24.95" customHeight="1">
      <c r="A21" s="834">
        <f t="shared" si="0"/>
        <v>17</v>
      </c>
      <c r="B21" s="835" t="s">
        <v>735</v>
      </c>
      <c r="C21" s="71" t="str">
        <f>+Pobl_adoptada!A21</f>
        <v>Morón</v>
      </c>
      <c r="D21" s="70">
        <f>+Pobl_adoptada!B21</f>
        <v>17</v>
      </c>
      <c r="E21" s="353" t="str">
        <f>+Pobl_adoptada!C21</f>
        <v>Morón</v>
      </c>
      <c r="F21" s="817">
        <f>Pobl_adoptada!Q21</f>
        <v>381935</v>
      </c>
      <c r="G21" s="817">
        <f>Pobl_adoptada!AA21</f>
        <v>414045</v>
      </c>
      <c r="H21" s="263">
        <f>+'PROYECCIÓN GENERACIÓN'!P21</f>
        <v>538.52834999999993</v>
      </c>
      <c r="I21" s="263">
        <f>+'PROYECCIÓN GENERACIÓN'!Z21</f>
        <v>583.80345</v>
      </c>
      <c r="J21" s="824">
        <f>IF($B21="AMBA",Datos_caracteriz!$D$7,IF($F21&lt;=15000,Datos_caracteriz!$I$7,IF($F21&lt;=50000,Datos_caracteriz!$H$7,IF($F21&lt;=300000,Datos_caracteriz!$G$7,IF($F21&lt;=500000,Datos_caracteriz!$F$7,Datos_caracteriz!$E$7)))))</f>
        <v>4.7585661977037113</v>
      </c>
      <c r="K21" s="824">
        <f>IF($B21="AMBA",Datos_caracteriz!$D$8,IF($F21&lt;=15000,Datos_caracteriz!$I$8,IF($F21&lt;=50000,Datos_caracteriz!$H$8,IF($F21&lt;=300000,Datos_caracteriz!$G$8,IF($F21&lt;=500000,Datos_caracteriz!$F$8,Datos_caracteriz!$E$8)))))</f>
        <v>18.450712703756722</v>
      </c>
      <c r="L21" s="824">
        <f>IF($B21="AMBA",Datos_caracteriz!$D$9,IF($F21&lt;=15000,Datos_caracteriz!$I$9,IF($F21&lt;=50000,Datos_caracteriz!$H$9,IF($F21&lt;=300000,Datos_caracteriz!$G$9,IF($F21&lt;=500000,Datos_caracteriz!$F$9,Datos_caracteriz!$E$9)))))</f>
        <v>14.590555502944165</v>
      </c>
      <c r="M21" s="824">
        <f>IF($B21="AMBA",Datos_caracteriz!$D$10,IF($F21&lt;=15000,Datos_caracteriz!$I$10,IF($F21&lt;=50000,Datos_caracteriz!$H$10,IF($F21&lt;=300000,Datos_caracteriz!$G$10,IF($F21&lt;=500000,Datos_caracteriz!$F$10,Datos_caracteriz!$E$10)))))</f>
        <v>1.9699324061444028</v>
      </c>
      <c r="N21" s="824">
        <f>IF($B21="AMBA",Datos_caracteriz!$D$11,IF($F21&lt;=15000,Datos_caracteriz!$I$11,IF($F21&lt;=50000,Datos_caracteriz!$H$11,IF($F21&lt;=300000,Datos_caracteriz!$G$11,IF($F21&lt;=500000,Datos_caracteriz!$F$11,Datos_caracteriz!$E$11)))))</f>
        <v>2.8527652470952565</v>
      </c>
    </row>
    <row r="22" spans="1:14" ht="24.95" customHeight="1">
      <c r="A22" s="834">
        <f t="shared" si="0"/>
        <v>18</v>
      </c>
      <c r="B22" s="835" t="s">
        <v>735</v>
      </c>
      <c r="C22" s="71" t="str">
        <f>+Pobl_adoptada!A22</f>
        <v>Quilmes</v>
      </c>
      <c r="D22" s="70">
        <f>+Pobl_adoptada!B22</f>
        <v>18</v>
      </c>
      <c r="E22" s="353" t="str">
        <f>+Pobl_adoptada!C22</f>
        <v>Quilmes</v>
      </c>
      <c r="F22" s="817">
        <f>Pobl_adoptada!Q22</f>
        <v>698387</v>
      </c>
      <c r="G22" s="817">
        <f>Pobl_adoptada!AA22</f>
        <v>750730</v>
      </c>
      <c r="H22" s="263">
        <f>+'PROYECCIÓN GENERACIÓN'!P22</f>
        <v>984.72566999999992</v>
      </c>
      <c r="I22" s="263">
        <f>+'PROYECCIÓN GENERACIÓN'!Z22</f>
        <v>1058.5293000000001</v>
      </c>
      <c r="J22" s="824">
        <f>IF($B22="AMBA",Datos_caracteriz!$D$7,IF($F22&lt;=15000,Datos_caracteriz!$I$7,IF($F22&lt;=50000,Datos_caracteriz!$H$7,IF($F22&lt;=300000,Datos_caracteriz!$G$7,IF($F22&lt;=500000,Datos_caracteriz!$F$7,Datos_caracteriz!$E$7)))))</f>
        <v>4.7585661977037113</v>
      </c>
      <c r="K22" s="824">
        <f>IF($B22="AMBA",Datos_caracteriz!$D$8,IF($F22&lt;=15000,Datos_caracteriz!$I$8,IF($F22&lt;=50000,Datos_caracteriz!$H$8,IF($F22&lt;=300000,Datos_caracteriz!$G$8,IF($F22&lt;=500000,Datos_caracteriz!$F$8,Datos_caracteriz!$E$8)))))</f>
        <v>18.450712703756722</v>
      </c>
      <c r="L22" s="824">
        <f>IF($B22="AMBA",Datos_caracteriz!$D$9,IF($F22&lt;=15000,Datos_caracteriz!$I$9,IF($F22&lt;=50000,Datos_caracteriz!$H$9,IF($F22&lt;=300000,Datos_caracteriz!$G$9,IF($F22&lt;=500000,Datos_caracteriz!$F$9,Datos_caracteriz!$E$9)))))</f>
        <v>14.590555502944165</v>
      </c>
      <c r="M22" s="824">
        <f>IF($B22="AMBA",Datos_caracteriz!$D$10,IF($F22&lt;=15000,Datos_caracteriz!$I$10,IF($F22&lt;=50000,Datos_caracteriz!$H$10,IF($F22&lt;=300000,Datos_caracteriz!$G$10,IF($F22&lt;=500000,Datos_caracteriz!$F$10,Datos_caracteriz!$E$10)))))</f>
        <v>1.9699324061444028</v>
      </c>
      <c r="N22" s="824">
        <f>IF($B22="AMBA",Datos_caracteriz!$D$11,IF($F22&lt;=15000,Datos_caracteriz!$I$11,IF($F22&lt;=50000,Datos_caracteriz!$H$11,IF($F22&lt;=300000,Datos_caracteriz!$G$11,IF($F22&lt;=500000,Datos_caracteriz!$F$11,Datos_caracteriz!$E$11)))))</f>
        <v>2.8527652470952565</v>
      </c>
    </row>
    <row r="23" spans="1:14" ht="24.95" customHeight="1">
      <c r="A23" s="834">
        <f t="shared" si="0"/>
        <v>19</v>
      </c>
      <c r="B23" s="835" t="s">
        <v>735</v>
      </c>
      <c r="C23" s="71" t="str">
        <f>+Pobl_adoptada!A23</f>
        <v>San Fernando</v>
      </c>
      <c r="D23" s="70">
        <f>+Pobl_adoptada!B23</f>
        <v>19</v>
      </c>
      <c r="E23" s="353" t="str">
        <f>+Pobl_adoptada!C23</f>
        <v>San Fernando</v>
      </c>
      <c r="F23" s="817">
        <f>Pobl_adoptada!Q23</f>
        <v>184339</v>
      </c>
      <c r="G23" s="817">
        <f>Pobl_adoptada!AA23</f>
        <v>194398</v>
      </c>
      <c r="H23" s="263">
        <f>+'PROYECCIÓN GENERACIÓN'!P23</f>
        <v>188.02578</v>
      </c>
      <c r="I23" s="263">
        <f>+'PROYECCIÓN GENERACIÓN'!Z23</f>
        <v>198.28595999999999</v>
      </c>
      <c r="J23" s="824">
        <f>IF($B23="AMBA",Datos_caracteriz!$D$7,IF($F23&lt;=15000,Datos_caracteriz!$I$7,IF($F23&lt;=50000,Datos_caracteriz!$H$7,IF($F23&lt;=300000,Datos_caracteriz!$G$7,IF($F23&lt;=500000,Datos_caracteriz!$F$7,Datos_caracteriz!$E$7)))))</f>
        <v>4.7585661977037113</v>
      </c>
      <c r="K23" s="824">
        <f>IF($B23="AMBA",Datos_caracteriz!$D$8,IF($F23&lt;=15000,Datos_caracteriz!$I$8,IF($F23&lt;=50000,Datos_caracteriz!$H$8,IF($F23&lt;=300000,Datos_caracteriz!$G$8,IF($F23&lt;=500000,Datos_caracteriz!$F$8,Datos_caracteriz!$E$8)))))</f>
        <v>18.450712703756722</v>
      </c>
      <c r="L23" s="824">
        <f>IF($B23="AMBA",Datos_caracteriz!$D$9,IF($F23&lt;=15000,Datos_caracteriz!$I$9,IF($F23&lt;=50000,Datos_caracteriz!$H$9,IF($F23&lt;=300000,Datos_caracteriz!$G$9,IF($F23&lt;=500000,Datos_caracteriz!$F$9,Datos_caracteriz!$E$9)))))</f>
        <v>14.590555502944165</v>
      </c>
      <c r="M23" s="824">
        <f>IF($B23="AMBA",Datos_caracteriz!$D$10,IF($F23&lt;=15000,Datos_caracteriz!$I$10,IF($F23&lt;=50000,Datos_caracteriz!$H$10,IF($F23&lt;=300000,Datos_caracteriz!$G$10,IF($F23&lt;=500000,Datos_caracteriz!$F$10,Datos_caracteriz!$E$10)))))</f>
        <v>1.9699324061444028</v>
      </c>
      <c r="N23" s="824">
        <f>IF($B23="AMBA",Datos_caracteriz!$D$11,IF($F23&lt;=15000,Datos_caracteriz!$I$11,IF($F23&lt;=50000,Datos_caracteriz!$H$11,IF($F23&lt;=300000,Datos_caracteriz!$G$11,IF($F23&lt;=500000,Datos_caracteriz!$F$11,Datos_caracteriz!$E$11)))))</f>
        <v>2.8527652470952565</v>
      </c>
    </row>
    <row r="24" spans="1:14" ht="24.95" customHeight="1">
      <c r="A24" s="834">
        <f t="shared" si="0"/>
        <v>20</v>
      </c>
      <c r="B24" s="835" t="s">
        <v>735</v>
      </c>
      <c r="C24" s="71" t="str">
        <f>+Pobl_adoptada!A24</f>
        <v>San Isidro</v>
      </c>
      <c r="D24" s="70">
        <f>+Pobl_adoptada!B24</f>
        <v>20</v>
      </c>
      <c r="E24" s="353" t="str">
        <f>+Pobl_adoptada!C24</f>
        <v>San Isidro</v>
      </c>
      <c r="F24" s="817">
        <f>Pobl_adoptada!Q24</f>
        <v>299998</v>
      </c>
      <c r="G24" s="817">
        <f>Pobl_adoptada!AA24</f>
        <v>303757</v>
      </c>
      <c r="H24" s="263">
        <f>+'PROYECCIÓN GENERACIÓN'!P24</f>
        <v>305.99796000000003</v>
      </c>
      <c r="I24" s="263">
        <f>+'PROYECCIÓN GENERACIÓN'!Z24</f>
        <v>309.83214000000004</v>
      </c>
      <c r="J24" s="824">
        <f>IF($B24="AMBA",Datos_caracteriz!$D$7,IF($F24&lt;=15000,Datos_caracteriz!$I$7,IF($F24&lt;=50000,Datos_caracteriz!$H$7,IF($F24&lt;=300000,Datos_caracteriz!$G$7,IF($F24&lt;=500000,Datos_caracteriz!$F$7,Datos_caracteriz!$E$7)))))</f>
        <v>4.7585661977037113</v>
      </c>
      <c r="K24" s="824">
        <f>IF($B24="AMBA",Datos_caracteriz!$D$8,IF($F24&lt;=15000,Datos_caracteriz!$I$8,IF($F24&lt;=50000,Datos_caracteriz!$H$8,IF($F24&lt;=300000,Datos_caracteriz!$G$8,IF($F24&lt;=500000,Datos_caracteriz!$F$8,Datos_caracteriz!$E$8)))))</f>
        <v>18.450712703756722</v>
      </c>
      <c r="L24" s="824">
        <f>IF($B24="AMBA",Datos_caracteriz!$D$9,IF($F24&lt;=15000,Datos_caracteriz!$I$9,IF($F24&lt;=50000,Datos_caracteriz!$H$9,IF($F24&lt;=300000,Datos_caracteriz!$G$9,IF($F24&lt;=500000,Datos_caracteriz!$F$9,Datos_caracteriz!$E$9)))))</f>
        <v>14.590555502944165</v>
      </c>
      <c r="M24" s="824">
        <f>IF($B24="AMBA",Datos_caracteriz!$D$10,IF($F24&lt;=15000,Datos_caracteriz!$I$10,IF($F24&lt;=50000,Datos_caracteriz!$H$10,IF($F24&lt;=300000,Datos_caracteriz!$G$10,IF($F24&lt;=500000,Datos_caracteriz!$F$10,Datos_caracteriz!$E$10)))))</f>
        <v>1.9699324061444028</v>
      </c>
      <c r="N24" s="824">
        <f>IF($B24="AMBA",Datos_caracteriz!$D$11,IF($F24&lt;=15000,Datos_caracteriz!$I$11,IF($F24&lt;=50000,Datos_caracteriz!$H$11,IF($F24&lt;=300000,Datos_caracteriz!$G$11,IF($F24&lt;=500000,Datos_caracteriz!$F$11,Datos_caracteriz!$E$11)))))</f>
        <v>2.8527652470952565</v>
      </c>
    </row>
    <row r="25" spans="1:14" ht="24.95" customHeight="1">
      <c r="A25" s="834">
        <f t="shared" si="0"/>
        <v>21</v>
      </c>
      <c r="B25" s="835" t="s">
        <v>735</v>
      </c>
      <c r="C25" s="71" t="str">
        <f>+Pobl_adoptada!A25</f>
        <v>San Miguel</v>
      </c>
      <c r="D25" s="70">
        <f>+Pobl_adoptada!B25</f>
        <v>21</v>
      </c>
      <c r="E25" s="353" t="str">
        <f>+Pobl_adoptada!C25</f>
        <v>San Miguel</v>
      </c>
      <c r="F25" s="817">
        <f>Pobl_adoptada!Q25</f>
        <v>396006</v>
      </c>
      <c r="G25" s="817">
        <f>Pobl_adoptada!AA25</f>
        <v>459258</v>
      </c>
      <c r="H25" s="263">
        <f>+'PROYECCIÓN GENERACIÓN'!P25</f>
        <v>558.36845999999991</v>
      </c>
      <c r="I25" s="263">
        <f>+'PROYECCIÓN GENERACIÓN'!Z25</f>
        <v>647.55377999999996</v>
      </c>
      <c r="J25" s="824">
        <f>IF($B25="AMBA",Datos_caracteriz!$D$7,IF($F25&lt;=15000,Datos_caracteriz!$I$7,IF($F25&lt;=50000,Datos_caracteriz!$H$7,IF($F25&lt;=300000,Datos_caracteriz!$G$7,IF($F25&lt;=500000,Datos_caracteriz!$F$7,Datos_caracteriz!$E$7)))))</f>
        <v>4.7585661977037113</v>
      </c>
      <c r="K25" s="824">
        <f>IF($B25="AMBA",Datos_caracteriz!$D$8,IF($F25&lt;=15000,Datos_caracteriz!$I$8,IF($F25&lt;=50000,Datos_caracteriz!$H$8,IF($F25&lt;=300000,Datos_caracteriz!$G$8,IF($F25&lt;=500000,Datos_caracteriz!$F$8,Datos_caracteriz!$E$8)))))</f>
        <v>18.450712703756722</v>
      </c>
      <c r="L25" s="824">
        <f>IF($B25="AMBA",Datos_caracteriz!$D$9,IF($F25&lt;=15000,Datos_caracteriz!$I$9,IF($F25&lt;=50000,Datos_caracteriz!$H$9,IF($F25&lt;=300000,Datos_caracteriz!$G$9,IF($F25&lt;=500000,Datos_caracteriz!$F$9,Datos_caracteriz!$E$9)))))</f>
        <v>14.590555502944165</v>
      </c>
      <c r="M25" s="824">
        <f>IF($B25="AMBA",Datos_caracteriz!$D$10,IF($F25&lt;=15000,Datos_caracteriz!$I$10,IF($F25&lt;=50000,Datos_caracteriz!$H$10,IF($F25&lt;=300000,Datos_caracteriz!$G$10,IF($F25&lt;=500000,Datos_caracteriz!$F$10,Datos_caracteriz!$E$10)))))</f>
        <v>1.9699324061444028</v>
      </c>
      <c r="N25" s="824">
        <f>IF($B25="AMBA",Datos_caracteriz!$D$11,IF($F25&lt;=15000,Datos_caracteriz!$I$11,IF($F25&lt;=50000,Datos_caracteriz!$H$11,IF($F25&lt;=300000,Datos_caracteriz!$G$11,IF($F25&lt;=500000,Datos_caracteriz!$F$11,Datos_caracteriz!$E$11)))))</f>
        <v>2.8527652470952565</v>
      </c>
    </row>
    <row r="26" spans="1:14" ht="24.95" customHeight="1">
      <c r="A26" s="834">
        <f t="shared" si="0"/>
        <v>22</v>
      </c>
      <c r="B26" s="835" t="s">
        <v>735</v>
      </c>
      <c r="C26" s="71" t="str">
        <f>+Pobl_adoptada!A26</f>
        <v>Tigre</v>
      </c>
      <c r="D26" s="70">
        <f>+Pobl_adoptada!B26</f>
        <v>22</v>
      </c>
      <c r="E26" s="353" t="str">
        <f>+Pobl_adoptada!C26</f>
        <v>Tigre</v>
      </c>
      <c r="F26" s="817">
        <f>Pobl_adoptada!Q26</f>
        <v>515985</v>
      </c>
      <c r="G26" s="817">
        <f>Pobl_adoptada!AA26</f>
        <v>576775</v>
      </c>
      <c r="H26" s="263">
        <f>+'PROYECCIÓN GENERACIÓN'!P26</f>
        <v>727.53885000000002</v>
      </c>
      <c r="I26" s="263">
        <f>+'PROYECCIÓN GENERACIÓN'!Z26</f>
        <v>813.25274999999999</v>
      </c>
      <c r="J26" s="824">
        <f>IF($B26="AMBA",Datos_caracteriz!$D$7,IF($F26&lt;=15000,Datos_caracteriz!$I$7,IF($F26&lt;=50000,Datos_caracteriz!$H$7,IF($F26&lt;=300000,Datos_caracteriz!$G$7,IF($F26&lt;=500000,Datos_caracteriz!$F$7,Datos_caracteriz!$E$7)))))</f>
        <v>4.7585661977037113</v>
      </c>
      <c r="K26" s="824">
        <f>IF($B26="AMBA",Datos_caracteriz!$D$8,IF($F26&lt;=15000,Datos_caracteriz!$I$8,IF($F26&lt;=50000,Datos_caracteriz!$H$8,IF($F26&lt;=300000,Datos_caracteriz!$G$8,IF($F26&lt;=500000,Datos_caracteriz!$F$8,Datos_caracteriz!$E$8)))))</f>
        <v>18.450712703756722</v>
      </c>
      <c r="L26" s="824">
        <f>IF($B26="AMBA",Datos_caracteriz!$D$9,IF($F26&lt;=15000,Datos_caracteriz!$I$9,IF($F26&lt;=50000,Datos_caracteriz!$H$9,IF($F26&lt;=300000,Datos_caracteriz!$G$9,IF($F26&lt;=500000,Datos_caracteriz!$F$9,Datos_caracteriz!$E$9)))))</f>
        <v>14.590555502944165</v>
      </c>
      <c r="M26" s="824">
        <f>IF($B26="AMBA",Datos_caracteriz!$D$10,IF($F26&lt;=15000,Datos_caracteriz!$I$10,IF($F26&lt;=50000,Datos_caracteriz!$H$10,IF($F26&lt;=300000,Datos_caracteriz!$G$10,IF($F26&lt;=500000,Datos_caracteriz!$F$10,Datos_caracteriz!$E$10)))))</f>
        <v>1.9699324061444028</v>
      </c>
      <c r="N26" s="824">
        <f>IF($B26="AMBA",Datos_caracteriz!$D$11,IF($F26&lt;=15000,Datos_caracteriz!$I$11,IF($F26&lt;=50000,Datos_caracteriz!$H$11,IF($F26&lt;=300000,Datos_caracteriz!$G$11,IF($F26&lt;=500000,Datos_caracteriz!$F$11,Datos_caracteriz!$E$11)))))</f>
        <v>2.8527652470952565</v>
      </c>
    </row>
    <row r="27" spans="1:14" ht="24.95" customHeight="1">
      <c r="A27" s="834">
        <f t="shared" si="0"/>
        <v>23</v>
      </c>
      <c r="B27" s="835" t="s">
        <v>735</v>
      </c>
      <c r="C27" s="71" t="str">
        <f>+Pobl_adoptada!A27</f>
        <v>Tres de Febrero</v>
      </c>
      <c r="D27" s="70">
        <f>+Pobl_adoptada!B27</f>
        <v>23</v>
      </c>
      <c r="E27" s="353" t="str">
        <f>+Pobl_adoptada!C27</f>
        <v>Tres de Febrero</v>
      </c>
      <c r="F27" s="817">
        <f>Pobl_adoptada!Q27</f>
        <v>358761</v>
      </c>
      <c r="G27" s="817">
        <f>Pobl_adoptada!AA27</f>
        <v>368628</v>
      </c>
      <c r="H27" s="263">
        <f>+'PROYECCIÓN GENERACIÓN'!P27</f>
        <v>505.85300999999993</v>
      </c>
      <c r="I27" s="263">
        <f>+'PROYECCIÓN GENERACIÓN'!Z27</f>
        <v>519.76548000000003</v>
      </c>
      <c r="J27" s="824">
        <f>IF($B27="AMBA",Datos_caracteriz!$D$7,IF($F27&lt;=15000,Datos_caracteriz!$I$7,IF($F27&lt;=50000,Datos_caracteriz!$H$7,IF($F27&lt;=300000,Datos_caracteriz!$G$7,IF($F27&lt;=500000,Datos_caracteriz!$F$7,Datos_caracteriz!$E$7)))))</f>
        <v>4.7585661977037113</v>
      </c>
      <c r="K27" s="824">
        <f>IF($B27="AMBA",Datos_caracteriz!$D$8,IF($F27&lt;=15000,Datos_caracteriz!$I$8,IF($F27&lt;=50000,Datos_caracteriz!$H$8,IF($F27&lt;=300000,Datos_caracteriz!$G$8,IF($F27&lt;=500000,Datos_caracteriz!$F$8,Datos_caracteriz!$E$8)))))</f>
        <v>18.450712703756722</v>
      </c>
      <c r="L27" s="824">
        <f>IF($B27="AMBA",Datos_caracteriz!$D$9,IF($F27&lt;=15000,Datos_caracteriz!$I$9,IF($F27&lt;=50000,Datos_caracteriz!$H$9,IF($F27&lt;=300000,Datos_caracteriz!$G$9,IF($F27&lt;=500000,Datos_caracteriz!$F$9,Datos_caracteriz!$E$9)))))</f>
        <v>14.590555502944165</v>
      </c>
      <c r="M27" s="824">
        <f>IF($B27="AMBA",Datos_caracteriz!$D$10,IF($F27&lt;=15000,Datos_caracteriz!$I$10,IF($F27&lt;=50000,Datos_caracteriz!$H$10,IF($F27&lt;=300000,Datos_caracteriz!$G$10,IF($F27&lt;=500000,Datos_caracteriz!$F$10,Datos_caracteriz!$E$10)))))</f>
        <v>1.9699324061444028</v>
      </c>
      <c r="N27" s="824">
        <f>IF($B27="AMBA",Datos_caracteriz!$D$11,IF($F27&lt;=15000,Datos_caracteriz!$I$11,IF($F27&lt;=50000,Datos_caracteriz!$H$11,IF($F27&lt;=300000,Datos_caracteriz!$G$11,IF($F27&lt;=500000,Datos_caracteriz!$F$11,Datos_caracteriz!$E$11)))))</f>
        <v>2.8527652470952565</v>
      </c>
    </row>
    <row r="28" spans="1:14" ht="24.95" customHeight="1">
      <c r="A28" s="834">
        <f t="shared" si="0"/>
        <v>24</v>
      </c>
      <c r="B28" s="835" t="s">
        <v>735</v>
      </c>
      <c r="C28" s="71" t="str">
        <f>+Pobl_adoptada!A28</f>
        <v>Vicente López</v>
      </c>
      <c r="D28" s="70">
        <f>+Pobl_adoptada!B28</f>
        <v>24</v>
      </c>
      <c r="E28" s="353" t="str">
        <f>+Pobl_adoptada!C28</f>
        <v>Vicente López</v>
      </c>
      <c r="F28" s="817">
        <f>Pobl_adoptada!Q28</f>
        <v>245243</v>
      </c>
      <c r="G28" s="817">
        <f>Pobl_adoptada!AA28</f>
        <v>232480</v>
      </c>
      <c r="H28" s="263">
        <f>+'PROYECCIÓN GENERACIÓN'!P28</f>
        <v>250.14786000000001</v>
      </c>
      <c r="I28" s="263">
        <f>+'PROYECCIÓN GENERACIÓN'!Z28</f>
        <v>237.12960000000001</v>
      </c>
      <c r="J28" s="824">
        <f>IF($B28="AMBA",Datos_caracteriz!$D$7,IF($F28&lt;=15000,Datos_caracteriz!$I$7,IF($F28&lt;=50000,Datos_caracteriz!$H$7,IF($F28&lt;=300000,Datos_caracteriz!$G$7,IF($F28&lt;=500000,Datos_caracteriz!$F$7,Datos_caracteriz!$E$7)))))</f>
        <v>4.7585661977037113</v>
      </c>
      <c r="K28" s="824">
        <f>IF($B28="AMBA",Datos_caracteriz!$D$8,IF($F28&lt;=15000,Datos_caracteriz!$I$8,IF($F28&lt;=50000,Datos_caracteriz!$H$8,IF($F28&lt;=300000,Datos_caracteriz!$G$8,IF($F28&lt;=500000,Datos_caracteriz!$F$8,Datos_caracteriz!$E$8)))))</f>
        <v>18.450712703756722</v>
      </c>
      <c r="L28" s="824">
        <f>IF($B28="AMBA",Datos_caracteriz!$D$9,IF($F28&lt;=15000,Datos_caracteriz!$I$9,IF($F28&lt;=50000,Datos_caracteriz!$H$9,IF($F28&lt;=300000,Datos_caracteriz!$G$9,IF($F28&lt;=500000,Datos_caracteriz!$F$9,Datos_caracteriz!$E$9)))))</f>
        <v>14.590555502944165</v>
      </c>
      <c r="M28" s="824">
        <f>IF($B28="AMBA",Datos_caracteriz!$D$10,IF($F28&lt;=15000,Datos_caracteriz!$I$10,IF($F28&lt;=50000,Datos_caracteriz!$H$10,IF($F28&lt;=300000,Datos_caracteriz!$G$10,IF($F28&lt;=500000,Datos_caracteriz!$F$10,Datos_caracteriz!$E$10)))))</f>
        <v>1.9699324061444028</v>
      </c>
      <c r="N28" s="824">
        <f>IF($B28="AMBA",Datos_caracteriz!$D$11,IF($F28&lt;=15000,Datos_caracteriz!$I$11,IF($F28&lt;=50000,Datos_caracteriz!$H$11,IF($F28&lt;=300000,Datos_caracteriz!$G$11,IF($F28&lt;=500000,Datos_caracteriz!$F$11,Datos_caracteriz!$E$11)))))</f>
        <v>2.8527652470952565</v>
      </c>
    </row>
    <row r="29" spans="1:14" ht="24.95" customHeight="1">
      <c r="A29" s="834">
        <f t="shared" si="0"/>
        <v>25</v>
      </c>
      <c r="B29" s="836"/>
      <c r="C29" s="71" t="str">
        <f>+Pobl_adoptada!A29</f>
        <v>25 de Mayo</v>
      </c>
      <c r="D29" s="70">
        <f>+Pobl_adoptada!B29</f>
        <v>25</v>
      </c>
      <c r="E29" s="353" t="str">
        <f>+Pobl_adoptada!C29</f>
        <v>25 de Mayo</v>
      </c>
      <c r="F29" s="817">
        <f>Pobl_adoptada!Q29</f>
        <v>25868</v>
      </c>
      <c r="G29" s="817">
        <f>Pobl_adoptada!AA29</f>
        <v>26922</v>
      </c>
      <c r="H29" s="263">
        <f>+'PROYECCIÓN GENERACIÓN'!P29</f>
        <v>27.420080000000002</v>
      </c>
      <c r="I29" s="263">
        <f>+'PROYECCIÓN GENERACIÓN'!Z29</f>
        <v>28.537320000000001</v>
      </c>
      <c r="J29" s="824">
        <f>IF($B29="AMBA",Datos_caracteriz!$D$7,IF($F29&lt;=15000,Datos_caracteriz!$I$7,IF($F29&lt;=50000,Datos_caracteriz!$H$7,IF($F29&lt;=300000,Datos_caracteriz!$G$7,IF($F29&lt;=500000,Datos_caracteriz!$F$7,Datos_caracteriz!$E$7)))))</f>
        <v>6.3576075694443857</v>
      </c>
      <c r="K29" s="824">
        <f>IF($B29="AMBA",Datos_caracteriz!$D$8,IF($F29&lt;=15000,Datos_caracteriz!$I$8,IF($F29&lt;=50000,Datos_caracteriz!$H$8,IF($F29&lt;=300000,Datos_caracteriz!$G$8,IF($F29&lt;=500000,Datos_caracteriz!$F$8,Datos_caracteriz!$E$8)))))</f>
        <v>19.857028624999995</v>
      </c>
      <c r="L29" s="824">
        <f>IF($B29="AMBA",Datos_caracteriz!$D$9,IF($F29&lt;=15000,Datos_caracteriz!$I$9,IF($F29&lt;=50000,Datos_caracteriz!$H$9,IF($F29&lt;=300000,Datos_caracteriz!$G$9,IF($F29&lt;=500000,Datos_caracteriz!$F$9,Datos_caracteriz!$E$9)))))</f>
        <v>8.6582911527777497</v>
      </c>
      <c r="M29" s="824">
        <f>IF($B29="AMBA",Datos_caracteriz!$D$10,IF($F29&lt;=15000,Datos_caracteriz!$I$10,IF($F29&lt;=50000,Datos_caracteriz!$H$10,IF($F29&lt;=300000,Datos_caracteriz!$G$10,IF($F29&lt;=500000,Datos_caracteriz!$F$10,Datos_caracteriz!$E$10)))))</f>
        <v>4.1876249722221894</v>
      </c>
      <c r="N29" s="824">
        <f>IF($B29="AMBA",Datos_caracteriz!$D$11,IF($F29&lt;=15000,Datos_caracteriz!$I$11,IF($F29&lt;=50000,Datos_caracteriz!$H$11,IF($F29&lt;=300000,Datos_caracteriz!$G$11,IF($F29&lt;=500000,Datos_caracteriz!$F$11,Datos_caracteriz!$E$11)))))</f>
        <v>4.5702066666666639</v>
      </c>
    </row>
    <row r="30" spans="1:14" ht="24.95" customHeight="1">
      <c r="A30" s="834">
        <f t="shared" si="0"/>
        <v>26</v>
      </c>
      <c r="B30" s="836"/>
      <c r="C30" s="71" t="str">
        <f>+Pobl_adoptada!A30</f>
        <v>9 de Julio</v>
      </c>
      <c r="D30" s="70">
        <f>+Pobl_adoptada!B30</f>
        <v>26</v>
      </c>
      <c r="E30" s="353" t="str">
        <f>+Pobl_adoptada!C30</f>
        <v>9 de Julio</v>
      </c>
      <c r="F30" s="817">
        <f>Pobl_adoptada!Q30</f>
        <v>44873</v>
      </c>
      <c r="G30" s="817">
        <f>Pobl_adoptada!AA30</f>
        <v>48118</v>
      </c>
      <c r="H30" s="263">
        <f>+'PROYECCIÓN GENERACIÓN'!P30</f>
        <v>47.565380000000005</v>
      </c>
      <c r="I30" s="263">
        <f>+'PROYECCIÓN GENERACIÓN'!Z30</f>
        <v>51.00508</v>
      </c>
      <c r="J30" s="824">
        <f>IF($B30="AMBA",Datos_caracteriz!$D$7,IF($F30&lt;=15000,Datos_caracteriz!$I$7,IF($F30&lt;=50000,Datos_caracteriz!$H$7,IF($F30&lt;=300000,Datos_caracteriz!$G$7,IF($F30&lt;=500000,Datos_caracteriz!$F$7,Datos_caracteriz!$E$7)))))</f>
        <v>6.3576075694443857</v>
      </c>
      <c r="K30" s="824">
        <f>IF($B30="AMBA",Datos_caracteriz!$D$8,IF($F30&lt;=15000,Datos_caracteriz!$I$8,IF($F30&lt;=50000,Datos_caracteriz!$H$8,IF($F30&lt;=300000,Datos_caracteriz!$G$8,IF($F30&lt;=500000,Datos_caracteriz!$F$8,Datos_caracteriz!$E$8)))))</f>
        <v>19.857028624999995</v>
      </c>
      <c r="L30" s="824">
        <f>IF($B30="AMBA",Datos_caracteriz!$D$9,IF($F30&lt;=15000,Datos_caracteriz!$I$9,IF($F30&lt;=50000,Datos_caracteriz!$H$9,IF($F30&lt;=300000,Datos_caracteriz!$G$9,IF($F30&lt;=500000,Datos_caracteriz!$F$9,Datos_caracteriz!$E$9)))))</f>
        <v>8.6582911527777497</v>
      </c>
      <c r="M30" s="824">
        <f>IF($B30="AMBA",Datos_caracteriz!$D$10,IF($F30&lt;=15000,Datos_caracteriz!$I$10,IF($F30&lt;=50000,Datos_caracteriz!$H$10,IF($F30&lt;=300000,Datos_caracteriz!$G$10,IF($F30&lt;=500000,Datos_caracteriz!$F$10,Datos_caracteriz!$E$10)))))</f>
        <v>4.1876249722221894</v>
      </c>
      <c r="N30" s="824">
        <f>IF($B30="AMBA",Datos_caracteriz!$D$11,IF($F30&lt;=15000,Datos_caracteriz!$I$11,IF($F30&lt;=50000,Datos_caracteriz!$H$11,IF($F30&lt;=300000,Datos_caracteriz!$G$11,IF($F30&lt;=500000,Datos_caracteriz!$F$11,Datos_caracteriz!$E$11)))))</f>
        <v>4.5702066666666639</v>
      </c>
    </row>
    <row r="31" spans="1:14" ht="24.95" customHeight="1">
      <c r="A31" s="834">
        <f t="shared" si="0"/>
        <v>27</v>
      </c>
      <c r="B31" s="836"/>
      <c r="C31" s="71" t="str">
        <f>+Pobl_adoptada!A31</f>
        <v>Adolfo Alsina</v>
      </c>
      <c r="D31" s="70">
        <f>+Pobl_adoptada!B31</f>
        <v>27</v>
      </c>
      <c r="E31" s="353" t="str">
        <f>+Pobl_adoptada!C31</f>
        <v>Carhué</v>
      </c>
      <c r="F31" s="817">
        <f>Pobl_adoptada!Q31</f>
        <v>10910</v>
      </c>
      <c r="G31" s="817">
        <f>Pobl_adoptada!AA31</f>
        <v>11487</v>
      </c>
      <c r="H31" s="263">
        <f>+'PROYECCIÓN GENERACIÓN'!P31</f>
        <v>10.0372</v>
      </c>
      <c r="I31" s="263">
        <f>+'PROYECCIÓN GENERACIÓN'!Z31</f>
        <v>10.568040000000002</v>
      </c>
      <c r="J31" s="824">
        <f>IF($B31="AMBA",Datos_caracteriz!$D$7,IF($F31&lt;=15000,Datos_caracteriz!$I$7,IF($F31&lt;=50000,Datos_caracteriz!$H$7,IF($F31&lt;=300000,Datos_caracteriz!$G$7,IF($F31&lt;=500000,Datos_caracteriz!$F$7,Datos_caracteriz!$E$7)))))</f>
        <v>5</v>
      </c>
      <c r="K31" s="824">
        <f>IF($B31="AMBA",Datos_caracteriz!$D$8,IF($F31&lt;=15000,Datos_caracteriz!$I$8,IF($F31&lt;=50000,Datos_caracteriz!$H$8,IF($F31&lt;=300000,Datos_caracteriz!$G$8,IF($F31&lt;=500000,Datos_caracteriz!$F$8,Datos_caracteriz!$E$8)))))</f>
        <v>16</v>
      </c>
      <c r="L31" s="824">
        <f>IF($B31="AMBA",Datos_caracteriz!$D$9,IF($F31&lt;=15000,Datos_caracteriz!$I$9,IF($F31&lt;=50000,Datos_caracteriz!$H$9,IF($F31&lt;=300000,Datos_caracteriz!$G$9,IF($F31&lt;=500000,Datos_caracteriz!$F$9,Datos_caracteriz!$E$9)))))</f>
        <v>8</v>
      </c>
      <c r="M31" s="824">
        <f>IF($B31="AMBA",Datos_caracteriz!$D$10,IF($F31&lt;=15000,Datos_caracteriz!$I$10,IF($F31&lt;=50000,Datos_caracteriz!$H$10,IF($F31&lt;=300000,Datos_caracteriz!$G$10,IF($F31&lt;=500000,Datos_caracteriz!$F$10,Datos_caracteriz!$E$10)))))</f>
        <v>3</v>
      </c>
      <c r="N31" s="824">
        <f>IF($B31="AMBA",Datos_caracteriz!$D$11,IF($F31&lt;=15000,Datos_caracteriz!$I$11,IF($F31&lt;=50000,Datos_caracteriz!$H$11,IF($F31&lt;=300000,Datos_caracteriz!$G$11,IF($F31&lt;=500000,Datos_caracteriz!$F$11,Datos_caracteriz!$E$11)))))</f>
        <v>4</v>
      </c>
    </row>
    <row r="32" spans="1:14" ht="24.95" customHeight="1">
      <c r="A32" s="834">
        <f t="shared" si="0"/>
        <v>28</v>
      </c>
      <c r="B32" s="836"/>
      <c r="C32" s="71" t="str">
        <f>+Pobl_adoptada!A32</f>
        <v>Adolfo Gonzáles Chaves</v>
      </c>
      <c r="D32" s="70">
        <f>+Pobl_adoptada!B32</f>
        <v>28</v>
      </c>
      <c r="E32" s="353" t="str">
        <f>+Pobl_adoptada!C32</f>
        <v>Adolfo Gonzáles Chaves</v>
      </c>
      <c r="F32" s="817">
        <f>Pobl_adoptada!Q32</f>
        <v>10588</v>
      </c>
      <c r="G32" s="817">
        <f>Pobl_adoptada!AA32</f>
        <v>11758</v>
      </c>
      <c r="H32" s="263">
        <f>+'PROYECCIÓN GENERACIÓN'!P32</f>
        <v>9.7409600000000012</v>
      </c>
      <c r="I32" s="263">
        <f>+'PROYECCIÓN GENERACIÓN'!Z32</f>
        <v>10.817360000000001</v>
      </c>
      <c r="J32" s="824">
        <f>IF($B32="AMBA",Datos_caracteriz!$D$7,IF($F32&lt;=15000,Datos_caracteriz!$I$7,IF($F32&lt;=50000,Datos_caracteriz!$H$7,IF($F32&lt;=300000,Datos_caracteriz!$G$7,IF($F32&lt;=500000,Datos_caracteriz!$F$7,Datos_caracteriz!$E$7)))))</f>
        <v>5</v>
      </c>
      <c r="K32" s="824">
        <f>IF($B32="AMBA",Datos_caracteriz!$D$8,IF($F32&lt;=15000,Datos_caracteriz!$I$8,IF($F32&lt;=50000,Datos_caracteriz!$H$8,IF($F32&lt;=300000,Datos_caracteriz!$G$8,IF($F32&lt;=500000,Datos_caracteriz!$F$8,Datos_caracteriz!$E$8)))))</f>
        <v>16</v>
      </c>
      <c r="L32" s="824">
        <f>IF($B32="AMBA",Datos_caracteriz!$D$9,IF($F32&lt;=15000,Datos_caracteriz!$I$9,IF($F32&lt;=50000,Datos_caracteriz!$H$9,IF($F32&lt;=300000,Datos_caracteriz!$G$9,IF($F32&lt;=500000,Datos_caracteriz!$F$9,Datos_caracteriz!$E$9)))))</f>
        <v>8</v>
      </c>
      <c r="M32" s="824">
        <f>IF($B32="AMBA",Datos_caracteriz!$D$10,IF($F32&lt;=15000,Datos_caracteriz!$I$10,IF($F32&lt;=50000,Datos_caracteriz!$H$10,IF($F32&lt;=300000,Datos_caracteriz!$G$10,IF($F32&lt;=500000,Datos_caracteriz!$F$10,Datos_caracteriz!$E$10)))))</f>
        <v>3</v>
      </c>
      <c r="N32" s="824">
        <f>IF($B32="AMBA",Datos_caracteriz!$D$11,IF($F32&lt;=15000,Datos_caracteriz!$I$11,IF($F32&lt;=50000,Datos_caracteriz!$H$11,IF($F32&lt;=300000,Datos_caracteriz!$G$11,IF($F32&lt;=500000,Datos_caracteriz!$F$11,Datos_caracteriz!$E$11)))))</f>
        <v>4</v>
      </c>
    </row>
    <row r="33" spans="1:14" ht="24.95" customHeight="1">
      <c r="A33" s="834">
        <f t="shared" si="0"/>
        <v>29</v>
      </c>
      <c r="B33" s="836"/>
      <c r="C33" s="71" t="str">
        <f>+Pobl_adoptada!A33</f>
        <v>Alberti</v>
      </c>
      <c r="D33" s="70">
        <f>+Pobl_adoptada!B33</f>
        <v>29</v>
      </c>
      <c r="E33" s="353" t="str">
        <f>+Pobl_adoptada!C33</f>
        <v>Alberti</v>
      </c>
      <c r="F33" s="817">
        <f>Pobl_adoptada!Q33</f>
        <v>11785</v>
      </c>
      <c r="G33" s="817">
        <f>Pobl_adoptada!AA33</f>
        <v>13602</v>
      </c>
      <c r="H33" s="263">
        <f>+'PROYECCIÓN GENERACIÓN'!P33</f>
        <v>10.8422</v>
      </c>
      <c r="I33" s="263">
        <f>+'PROYECCIÓN GENERACIÓN'!Z33</f>
        <v>12.51384</v>
      </c>
      <c r="J33" s="824">
        <f>IF($B33="AMBA",Datos_caracteriz!$D$7,IF($F33&lt;=15000,Datos_caracteriz!$I$7,IF($F33&lt;=50000,Datos_caracteriz!$H$7,IF($F33&lt;=300000,Datos_caracteriz!$G$7,IF($F33&lt;=500000,Datos_caracteriz!$F$7,Datos_caracteriz!$E$7)))))</f>
        <v>5</v>
      </c>
      <c r="K33" s="824">
        <f>IF($B33="AMBA",Datos_caracteriz!$D$8,IF($F33&lt;=15000,Datos_caracteriz!$I$8,IF($F33&lt;=50000,Datos_caracteriz!$H$8,IF($F33&lt;=300000,Datos_caracteriz!$G$8,IF($F33&lt;=500000,Datos_caracteriz!$F$8,Datos_caracteriz!$E$8)))))</f>
        <v>16</v>
      </c>
      <c r="L33" s="824">
        <f>IF($B33="AMBA",Datos_caracteriz!$D$9,IF($F33&lt;=15000,Datos_caracteriz!$I$9,IF($F33&lt;=50000,Datos_caracteriz!$H$9,IF($F33&lt;=300000,Datos_caracteriz!$G$9,IF($F33&lt;=500000,Datos_caracteriz!$F$9,Datos_caracteriz!$E$9)))))</f>
        <v>8</v>
      </c>
      <c r="M33" s="824">
        <f>IF($B33="AMBA",Datos_caracteriz!$D$10,IF($F33&lt;=15000,Datos_caracteriz!$I$10,IF($F33&lt;=50000,Datos_caracteriz!$H$10,IF($F33&lt;=300000,Datos_caracteriz!$G$10,IF($F33&lt;=500000,Datos_caracteriz!$F$10,Datos_caracteriz!$E$10)))))</f>
        <v>3</v>
      </c>
      <c r="N33" s="824">
        <f>IF($B33="AMBA",Datos_caracteriz!$D$11,IF($F33&lt;=15000,Datos_caracteriz!$I$11,IF($F33&lt;=50000,Datos_caracteriz!$H$11,IF($F33&lt;=300000,Datos_caracteriz!$G$11,IF($F33&lt;=500000,Datos_caracteriz!$F$11,Datos_caracteriz!$E$11)))))</f>
        <v>4</v>
      </c>
    </row>
    <row r="34" spans="1:14" ht="24.95" customHeight="1">
      <c r="A34" s="834">
        <f t="shared" si="0"/>
        <v>30</v>
      </c>
      <c r="B34" s="836"/>
      <c r="C34" s="71" t="str">
        <f>+Pobl_adoptada!A34</f>
        <v>Arrecifes</v>
      </c>
      <c r="D34" s="70">
        <f>+Pobl_adoptada!B34</f>
        <v>30</v>
      </c>
      <c r="E34" s="353" t="str">
        <f>+Pobl_adoptada!C34</f>
        <v>Arrecifes</v>
      </c>
      <c r="F34" s="817">
        <f>Pobl_adoptada!Q34</f>
        <v>33099</v>
      </c>
      <c r="G34" s="817">
        <f>Pobl_adoptada!AA34</f>
        <v>36232</v>
      </c>
      <c r="H34" s="263">
        <f>+'PROYECCIÓN GENERACIÓN'!P34</f>
        <v>35.084940000000003</v>
      </c>
      <c r="I34" s="263">
        <f>+'PROYECCIÓN GENERACIÓN'!Z34</f>
        <v>38.405920000000009</v>
      </c>
      <c r="J34" s="824">
        <f>IF($B34="AMBA",Datos_caracteriz!$D$7,IF($F34&lt;=15000,Datos_caracteriz!$I$7,IF($F34&lt;=50000,Datos_caracteriz!$H$7,IF($F34&lt;=300000,Datos_caracteriz!$G$7,IF($F34&lt;=500000,Datos_caracteriz!$F$7,Datos_caracteriz!$E$7)))))</f>
        <v>6.3576075694443857</v>
      </c>
      <c r="K34" s="824">
        <f>IF($B34="AMBA",Datos_caracteriz!$D$8,IF($F34&lt;=15000,Datos_caracteriz!$I$8,IF($F34&lt;=50000,Datos_caracteriz!$H$8,IF($F34&lt;=300000,Datos_caracteriz!$G$8,IF($F34&lt;=500000,Datos_caracteriz!$F$8,Datos_caracteriz!$E$8)))))</f>
        <v>19.857028624999995</v>
      </c>
      <c r="L34" s="824">
        <f>IF($B34="AMBA",Datos_caracteriz!$D$9,IF($F34&lt;=15000,Datos_caracteriz!$I$9,IF($F34&lt;=50000,Datos_caracteriz!$H$9,IF($F34&lt;=300000,Datos_caracteriz!$G$9,IF($F34&lt;=500000,Datos_caracteriz!$F$9,Datos_caracteriz!$E$9)))))</f>
        <v>8.6582911527777497</v>
      </c>
      <c r="M34" s="824">
        <f>IF($B34="AMBA",Datos_caracteriz!$D$10,IF($F34&lt;=15000,Datos_caracteriz!$I$10,IF($F34&lt;=50000,Datos_caracteriz!$H$10,IF($F34&lt;=300000,Datos_caracteriz!$G$10,IF($F34&lt;=500000,Datos_caracteriz!$F$10,Datos_caracteriz!$E$10)))))</f>
        <v>4.1876249722221894</v>
      </c>
      <c r="N34" s="824">
        <f>IF($B34="AMBA",Datos_caracteriz!$D$11,IF($F34&lt;=15000,Datos_caracteriz!$I$11,IF($F34&lt;=50000,Datos_caracteriz!$H$11,IF($F34&lt;=300000,Datos_caracteriz!$G$11,IF($F34&lt;=500000,Datos_caracteriz!$F$11,Datos_caracteriz!$E$11)))))</f>
        <v>4.5702066666666639</v>
      </c>
    </row>
    <row r="35" spans="1:14" ht="24.95" customHeight="1">
      <c r="A35" s="834">
        <f t="shared" si="0"/>
        <v>31</v>
      </c>
      <c r="B35" s="836"/>
      <c r="C35" s="71" t="str">
        <f>+Pobl_adoptada!A35</f>
        <v>Ayacucho</v>
      </c>
      <c r="D35" s="70">
        <f>+Pobl_adoptada!B35</f>
        <v>31</v>
      </c>
      <c r="E35" s="353" t="str">
        <f>+Pobl_adoptada!C35</f>
        <v>Ayacucho</v>
      </c>
      <c r="F35" s="817">
        <f>Pobl_adoptada!Q35</f>
        <v>20199</v>
      </c>
      <c r="G35" s="817">
        <f>Pobl_adoptada!AA35</f>
        <v>21458</v>
      </c>
      <c r="H35" s="263">
        <f>+'PROYECCIÓN GENERACIÓN'!P35</f>
        <v>21.410940000000004</v>
      </c>
      <c r="I35" s="263">
        <f>+'PROYECCIÓN GENERACIÓN'!Z35</f>
        <v>22.745480000000001</v>
      </c>
      <c r="J35" s="824">
        <f>IF($B35="AMBA",Datos_caracteriz!$D$7,IF($F35&lt;=15000,Datos_caracteriz!$I$7,IF($F35&lt;=50000,Datos_caracteriz!$H$7,IF($F35&lt;=300000,Datos_caracteriz!$G$7,IF($F35&lt;=500000,Datos_caracteriz!$F$7,Datos_caracteriz!$E$7)))))</f>
        <v>6.3576075694443857</v>
      </c>
      <c r="K35" s="824">
        <f>IF($B35="AMBA",Datos_caracteriz!$D$8,IF($F35&lt;=15000,Datos_caracteriz!$I$8,IF($F35&lt;=50000,Datos_caracteriz!$H$8,IF($F35&lt;=300000,Datos_caracteriz!$G$8,IF($F35&lt;=500000,Datos_caracteriz!$F$8,Datos_caracteriz!$E$8)))))</f>
        <v>19.857028624999995</v>
      </c>
      <c r="L35" s="824">
        <f>IF($B35="AMBA",Datos_caracteriz!$D$9,IF($F35&lt;=15000,Datos_caracteriz!$I$9,IF($F35&lt;=50000,Datos_caracteriz!$H$9,IF($F35&lt;=300000,Datos_caracteriz!$G$9,IF($F35&lt;=500000,Datos_caracteriz!$F$9,Datos_caracteriz!$E$9)))))</f>
        <v>8.6582911527777497</v>
      </c>
      <c r="M35" s="824">
        <f>IF($B35="AMBA",Datos_caracteriz!$D$10,IF($F35&lt;=15000,Datos_caracteriz!$I$10,IF($F35&lt;=50000,Datos_caracteriz!$H$10,IF($F35&lt;=300000,Datos_caracteriz!$G$10,IF($F35&lt;=500000,Datos_caracteriz!$F$10,Datos_caracteriz!$E$10)))))</f>
        <v>4.1876249722221894</v>
      </c>
      <c r="N35" s="824">
        <f>IF($B35="AMBA",Datos_caracteriz!$D$11,IF($F35&lt;=15000,Datos_caracteriz!$I$11,IF($F35&lt;=50000,Datos_caracteriz!$H$11,IF($F35&lt;=300000,Datos_caracteriz!$G$11,IF($F35&lt;=500000,Datos_caracteriz!$F$11,Datos_caracteriz!$E$11)))))</f>
        <v>4.5702066666666639</v>
      </c>
    </row>
    <row r="36" spans="1:14" ht="24.95" customHeight="1">
      <c r="A36" s="834">
        <f t="shared" si="0"/>
        <v>32</v>
      </c>
      <c r="B36" s="836"/>
      <c r="C36" s="71" t="str">
        <f>+Pobl_adoptada!A36</f>
        <v>Azul</v>
      </c>
      <c r="D36" s="70">
        <f>+Pobl_adoptada!B36</f>
        <v>32</v>
      </c>
      <c r="E36" s="353" t="str">
        <f>+Pobl_adoptada!C36</f>
        <v>Azul</v>
      </c>
      <c r="F36" s="817">
        <f>Pobl_adoptada!Q36</f>
        <v>73140</v>
      </c>
      <c r="G36" s="817">
        <f>Pobl_adoptada!AA36</f>
        <v>83386</v>
      </c>
      <c r="H36" s="263">
        <f>+'PROYECCIÓN GENERACIÓN'!P36</f>
        <v>74.602800000000002</v>
      </c>
      <c r="I36" s="263">
        <f>+'PROYECCIÓN GENERACIÓN'!Z36</f>
        <v>85.053719999999998</v>
      </c>
      <c r="J36" s="824">
        <f>IF($B36="AMBA",Datos_caracteriz!$D$7,IF($F36&lt;=15000,Datos_caracteriz!$I$7,IF($F36&lt;=50000,Datos_caracteriz!$H$7,IF($F36&lt;=300000,Datos_caracteriz!$G$7,IF($F36&lt;=500000,Datos_caracteriz!$F$7,Datos_caracteriz!$E$7)))))</f>
        <v>5.0944811463748252</v>
      </c>
      <c r="K36" s="824">
        <f>IF($B36="AMBA",Datos_caracteriz!$D$8,IF($F36&lt;=15000,Datos_caracteriz!$I$8,IF($F36&lt;=50000,Datos_caracteriz!$H$8,IF($F36&lt;=300000,Datos_caracteriz!$G$8,IF($F36&lt;=500000,Datos_caracteriz!$F$8,Datos_caracteriz!$E$8)))))</f>
        <v>17.647404529651318</v>
      </c>
      <c r="L36" s="824">
        <f>IF($B36="AMBA",Datos_caracteriz!$D$9,IF($F36&lt;=15000,Datos_caracteriz!$I$9,IF($F36&lt;=50000,Datos_caracteriz!$H$9,IF($F36&lt;=300000,Datos_caracteriz!$G$9,IF($F36&lt;=500000,Datos_caracteriz!$F$9,Datos_caracteriz!$E$9)))))</f>
        <v>15.698195415822433</v>
      </c>
      <c r="M36" s="824">
        <f>IF($B36="AMBA",Datos_caracteriz!$D$10,IF($F36&lt;=15000,Datos_caracteriz!$I$10,IF($F36&lt;=50000,Datos_caracteriz!$H$10,IF($F36&lt;=300000,Datos_caracteriz!$G$10,IF($F36&lt;=500000,Datos_caracteriz!$F$10,Datos_caracteriz!$E$10)))))</f>
        <v>3.8268589077338007</v>
      </c>
      <c r="N36" s="824">
        <f>IF($B36="AMBA",Datos_caracteriz!$D$11,IF($F36&lt;=15000,Datos_caracteriz!$I$11,IF($F36&lt;=50000,Datos_caracteriz!$H$11,IF($F36&lt;=300000,Datos_caracteriz!$G$11,IF($F36&lt;=500000,Datos_caracteriz!$F$11,Datos_caracteriz!$E$11)))))</f>
        <v>3.0800758591467732</v>
      </c>
    </row>
    <row r="37" spans="1:14" ht="24.95" customHeight="1">
      <c r="A37" s="834">
        <f t="shared" si="0"/>
        <v>33</v>
      </c>
      <c r="B37" s="836"/>
      <c r="C37" s="71" t="str">
        <f>+Pobl_adoptada!A37</f>
        <v>Bahía Blanca</v>
      </c>
      <c r="D37" s="70">
        <f>+Pobl_adoptada!B37</f>
        <v>33</v>
      </c>
      <c r="E37" s="353" t="str">
        <f>+Pobl_adoptada!C37</f>
        <v>Bahía Blanca</v>
      </c>
      <c r="F37" s="817">
        <f>Pobl_adoptada!Q37</f>
        <v>376957</v>
      </c>
      <c r="G37" s="817">
        <f>Pobl_adoptada!AA37</f>
        <v>427862</v>
      </c>
      <c r="H37" s="263">
        <f>+'PROYECCIÓN GENERACIÓN'!P37</f>
        <v>531.50936999999999</v>
      </c>
      <c r="I37" s="263">
        <f>+'PROYECCIÓN GENERACIÓN'!Z37</f>
        <v>603.28541999999993</v>
      </c>
      <c r="J37" s="824">
        <f>IF($B37="AMBA",Datos_caracteriz!$D$7,IF($F37&lt;=15000,Datos_caracteriz!$I$7,IF($F37&lt;=50000,Datos_caracteriz!$H$7,IF($F37&lt;=300000,Datos_caracteriz!$G$7,IF($F37&lt;=500000,Datos_caracteriz!$F$7,Datos_caracteriz!$E$7)))))</f>
        <v>5.471232037274631</v>
      </c>
      <c r="K37" s="824">
        <f>IF($B37="AMBA",Datos_caracteriz!$D$8,IF($F37&lt;=15000,Datos_caracteriz!$I$8,IF($F37&lt;=50000,Datos_caracteriz!$H$8,IF($F37&lt;=300000,Datos_caracteriz!$G$8,IF($F37&lt;=500000,Datos_caracteriz!$F$8,Datos_caracteriz!$E$8)))))</f>
        <v>17.846067485264378</v>
      </c>
      <c r="L37" s="824">
        <f>IF($B37="AMBA",Datos_caracteriz!$D$9,IF($F37&lt;=15000,Datos_caracteriz!$I$9,IF($F37&lt;=50000,Datos_caracteriz!$H$9,IF($F37&lt;=300000,Datos_caracteriz!$G$9,IF($F37&lt;=500000,Datos_caracteriz!$F$9,Datos_caracteriz!$E$9)))))</f>
        <v>10.840619014960032</v>
      </c>
      <c r="M37" s="824">
        <f>IF($B37="AMBA",Datos_caracteriz!$D$10,IF($F37&lt;=15000,Datos_caracteriz!$I$10,IF($F37&lt;=50000,Datos_caracteriz!$H$10,IF($F37&lt;=300000,Datos_caracteriz!$G$10,IF($F37&lt;=500000,Datos_caracteriz!$F$10,Datos_caracteriz!$E$10)))))</f>
        <v>3.6383622767001427</v>
      </c>
      <c r="N37" s="824">
        <f>IF($B37="AMBA",Datos_caracteriz!$D$11,IF($F37&lt;=15000,Datos_caracteriz!$I$11,IF($F37&lt;=50000,Datos_caracteriz!$H$11,IF($F37&lt;=300000,Datos_caracteriz!$G$11,IF($F37&lt;=500000,Datos_caracteriz!$F$11,Datos_caracteriz!$E$11)))))</f>
        <v>3.8664796975684159</v>
      </c>
    </row>
    <row r="38" spans="1:14" ht="24.95" customHeight="1">
      <c r="A38" s="834">
        <f t="shared" si="0"/>
        <v>34</v>
      </c>
      <c r="B38" s="836"/>
      <c r="C38" s="71" t="str">
        <f>+Pobl_adoptada!A38</f>
        <v>Balcarce</v>
      </c>
      <c r="D38" s="70">
        <f>+Pobl_adoptada!B38</f>
        <v>34</v>
      </c>
      <c r="E38" s="353" t="str">
        <f>+Pobl_adoptada!C38</f>
        <v>Balcarce</v>
      </c>
      <c r="F38" s="817">
        <f>Pobl_adoptada!Q38</f>
        <v>55106</v>
      </c>
      <c r="G38" s="817">
        <f>Pobl_adoptada!AA38</f>
        <v>63938</v>
      </c>
      <c r="H38" s="263">
        <f>+'PROYECCIÓN GENERACIÓN'!P38</f>
        <v>58.41236</v>
      </c>
      <c r="I38" s="263">
        <f>+'PROYECCIÓN GENERACIÓN'!Z38</f>
        <v>67.774280000000005</v>
      </c>
      <c r="J38" s="824">
        <f>IF($B38="AMBA",Datos_caracteriz!$D$7,IF($F38&lt;=15000,Datos_caracteriz!$I$7,IF($F38&lt;=50000,Datos_caracteriz!$H$7,IF($F38&lt;=300000,Datos_caracteriz!$G$7,IF($F38&lt;=500000,Datos_caracteriz!$F$7,Datos_caracteriz!$E$7)))))</f>
        <v>5.0944811463748252</v>
      </c>
      <c r="K38" s="824">
        <f>IF($B38="AMBA",Datos_caracteriz!$D$8,IF($F38&lt;=15000,Datos_caracteriz!$I$8,IF($F38&lt;=50000,Datos_caracteriz!$H$8,IF($F38&lt;=300000,Datos_caracteriz!$G$8,IF($F38&lt;=500000,Datos_caracteriz!$F$8,Datos_caracteriz!$E$8)))))</f>
        <v>17.647404529651318</v>
      </c>
      <c r="L38" s="824">
        <f>IF($B38="AMBA",Datos_caracteriz!$D$9,IF($F38&lt;=15000,Datos_caracteriz!$I$9,IF($F38&lt;=50000,Datos_caracteriz!$H$9,IF($F38&lt;=300000,Datos_caracteriz!$G$9,IF($F38&lt;=500000,Datos_caracteriz!$F$9,Datos_caracteriz!$E$9)))))</f>
        <v>15.698195415822433</v>
      </c>
      <c r="M38" s="824">
        <f>IF($B38="AMBA",Datos_caracteriz!$D$10,IF($F38&lt;=15000,Datos_caracteriz!$I$10,IF($F38&lt;=50000,Datos_caracteriz!$H$10,IF($F38&lt;=300000,Datos_caracteriz!$G$10,IF($F38&lt;=500000,Datos_caracteriz!$F$10,Datos_caracteriz!$E$10)))))</f>
        <v>3.8268589077338007</v>
      </c>
      <c r="N38" s="824">
        <f>IF($B38="AMBA",Datos_caracteriz!$D$11,IF($F38&lt;=15000,Datos_caracteriz!$I$11,IF($F38&lt;=50000,Datos_caracteriz!$H$11,IF($F38&lt;=300000,Datos_caracteriz!$G$11,IF($F38&lt;=500000,Datos_caracteriz!$F$11,Datos_caracteriz!$E$11)))))</f>
        <v>3.0800758591467732</v>
      </c>
    </row>
    <row r="39" spans="1:14" ht="24.95" customHeight="1">
      <c r="A39" s="834">
        <f t="shared" si="0"/>
        <v>35</v>
      </c>
      <c r="B39" s="836"/>
      <c r="C39" s="71" t="str">
        <f>+Pobl_adoptada!A39</f>
        <v>Baradero</v>
      </c>
      <c r="D39" s="70">
        <f>+Pobl_adoptada!B39</f>
        <v>35</v>
      </c>
      <c r="E39" s="353" t="str">
        <f>+Pobl_adoptada!C39</f>
        <v>Baradero</v>
      </c>
      <c r="F39" s="817">
        <f>Pobl_adoptada!Q39</f>
        <v>36713</v>
      </c>
      <c r="G39" s="817">
        <f>Pobl_adoptada!AA39</f>
        <v>40606</v>
      </c>
      <c r="H39" s="263">
        <f>+'PROYECCIÓN GENERACIÓN'!P39</f>
        <v>38.915779999999998</v>
      </c>
      <c r="I39" s="263">
        <f>+'PROYECCIÓN GENERACIÓN'!Z39</f>
        <v>43.042360000000002</v>
      </c>
      <c r="J39" s="824">
        <f>IF($B39="AMBA",Datos_caracteriz!$D$7,IF($F39&lt;=15000,Datos_caracteriz!$I$7,IF($F39&lt;=50000,Datos_caracteriz!$H$7,IF($F39&lt;=300000,Datos_caracteriz!$G$7,IF($F39&lt;=500000,Datos_caracteriz!$F$7,Datos_caracteriz!$E$7)))))</f>
        <v>6.3576075694443857</v>
      </c>
      <c r="K39" s="824">
        <f>IF($B39="AMBA",Datos_caracteriz!$D$8,IF($F39&lt;=15000,Datos_caracteriz!$I$8,IF($F39&lt;=50000,Datos_caracteriz!$H$8,IF($F39&lt;=300000,Datos_caracteriz!$G$8,IF($F39&lt;=500000,Datos_caracteriz!$F$8,Datos_caracteriz!$E$8)))))</f>
        <v>19.857028624999995</v>
      </c>
      <c r="L39" s="824">
        <f>IF($B39="AMBA",Datos_caracteriz!$D$9,IF($F39&lt;=15000,Datos_caracteriz!$I$9,IF($F39&lt;=50000,Datos_caracteriz!$H$9,IF($F39&lt;=300000,Datos_caracteriz!$G$9,IF($F39&lt;=500000,Datos_caracteriz!$F$9,Datos_caracteriz!$E$9)))))</f>
        <v>8.6582911527777497</v>
      </c>
      <c r="M39" s="824">
        <f>IF($B39="AMBA",Datos_caracteriz!$D$10,IF($F39&lt;=15000,Datos_caracteriz!$I$10,IF($F39&lt;=50000,Datos_caracteriz!$H$10,IF($F39&lt;=300000,Datos_caracteriz!$G$10,IF($F39&lt;=500000,Datos_caracteriz!$F$10,Datos_caracteriz!$E$10)))))</f>
        <v>4.1876249722221894</v>
      </c>
      <c r="N39" s="824">
        <f>IF($B39="AMBA",Datos_caracteriz!$D$11,IF($F39&lt;=15000,Datos_caracteriz!$I$11,IF($F39&lt;=50000,Datos_caracteriz!$H$11,IF($F39&lt;=300000,Datos_caracteriz!$G$11,IF($F39&lt;=500000,Datos_caracteriz!$F$11,Datos_caracteriz!$E$11)))))</f>
        <v>4.5702066666666639</v>
      </c>
    </row>
    <row r="40" spans="1:14" ht="24.95" customHeight="1">
      <c r="A40" s="834">
        <f t="shared" si="0"/>
        <v>36</v>
      </c>
      <c r="B40" s="836"/>
      <c r="C40" s="71" t="str">
        <f>+Pobl_adoptada!A40</f>
        <v>Benito Juárez</v>
      </c>
      <c r="D40" s="70">
        <f>+Pobl_adoptada!B40</f>
        <v>36</v>
      </c>
      <c r="E40" s="353" t="str">
        <f>+Pobl_adoptada!C40</f>
        <v>Benito Juárez</v>
      </c>
      <c r="F40" s="817">
        <f>Pobl_adoptada!Q40</f>
        <v>16410</v>
      </c>
      <c r="G40" s="817">
        <f>Pobl_adoptada!AA40</f>
        <v>17536</v>
      </c>
      <c r="H40" s="263">
        <f>+'PROYECCIÓN GENERACIÓN'!P40</f>
        <v>17.394600000000001</v>
      </c>
      <c r="I40" s="263">
        <f>+'PROYECCIÓN GENERACIÓN'!Z40</f>
        <v>18.588159999999998</v>
      </c>
      <c r="J40" s="824">
        <f>IF($B40="AMBA",Datos_caracteriz!$D$7,IF($F40&lt;=15000,Datos_caracteriz!$I$7,IF($F40&lt;=50000,Datos_caracteriz!$H$7,IF($F40&lt;=300000,Datos_caracteriz!$G$7,IF($F40&lt;=500000,Datos_caracteriz!$F$7,Datos_caracteriz!$E$7)))))</f>
        <v>6.3576075694443857</v>
      </c>
      <c r="K40" s="824">
        <f>IF($B40="AMBA",Datos_caracteriz!$D$8,IF($F40&lt;=15000,Datos_caracteriz!$I$8,IF($F40&lt;=50000,Datos_caracteriz!$H$8,IF($F40&lt;=300000,Datos_caracteriz!$G$8,IF($F40&lt;=500000,Datos_caracteriz!$F$8,Datos_caracteriz!$E$8)))))</f>
        <v>19.857028624999995</v>
      </c>
      <c r="L40" s="824">
        <f>IF($B40="AMBA",Datos_caracteriz!$D$9,IF($F40&lt;=15000,Datos_caracteriz!$I$9,IF($F40&lt;=50000,Datos_caracteriz!$H$9,IF($F40&lt;=300000,Datos_caracteriz!$G$9,IF($F40&lt;=500000,Datos_caracteriz!$F$9,Datos_caracteriz!$E$9)))))</f>
        <v>8.6582911527777497</v>
      </c>
      <c r="M40" s="824">
        <f>IF($B40="AMBA",Datos_caracteriz!$D$10,IF($F40&lt;=15000,Datos_caracteriz!$I$10,IF($F40&lt;=50000,Datos_caracteriz!$H$10,IF($F40&lt;=300000,Datos_caracteriz!$G$10,IF($F40&lt;=500000,Datos_caracteriz!$F$10,Datos_caracteriz!$E$10)))))</f>
        <v>4.1876249722221894</v>
      </c>
      <c r="N40" s="824">
        <f>IF($B40="AMBA",Datos_caracteriz!$D$11,IF($F40&lt;=15000,Datos_caracteriz!$I$11,IF($F40&lt;=50000,Datos_caracteriz!$H$11,IF($F40&lt;=300000,Datos_caracteriz!$G$11,IF($F40&lt;=500000,Datos_caracteriz!$F$11,Datos_caracteriz!$E$11)))))</f>
        <v>4.5702066666666639</v>
      </c>
    </row>
    <row r="41" spans="1:14" ht="24.95" customHeight="1">
      <c r="A41" s="834">
        <f t="shared" si="0"/>
        <v>37</v>
      </c>
      <c r="B41" s="836"/>
      <c r="C41" s="71" t="str">
        <f>+Pobl_adoptada!A41</f>
        <v>Berisso</v>
      </c>
      <c r="D41" s="70">
        <f>+Pobl_adoptada!B41</f>
        <v>37</v>
      </c>
      <c r="E41" s="353" t="str">
        <f>+Pobl_adoptada!C41</f>
        <v>Berisso</v>
      </c>
      <c r="F41" s="817">
        <f>Pobl_adoptada!Q41</f>
        <v>111855</v>
      </c>
      <c r="G41" s="817">
        <f>Pobl_adoptada!AA41</f>
        <v>123289</v>
      </c>
      <c r="H41" s="263">
        <f>+'PROYECCIÓN GENERACIÓN'!P41</f>
        <v>114.0921</v>
      </c>
      <c r="I41" s="263">
        <f>+'PROYECCIÓN GENERACIÓN'!Z41</f>
        <v>125.75478</v>
      </c>
      <c r="J41" s="824">
        <f>IF($B41="AMBA",Datos_caracteriz!$D$7,IF($F41&lt;=15000,Datos_caracteriz!$I$7,IF($F41&lt;=50000,Datos_caracteriz!$H$7,IF($F41&lt;=300000,Datos_caracteriz!$G$7,IF($F41&lt;=500000,Datos_caracteriz!$F$7,Datos_caracteriz!$E$7)))))</f>
        <v>5.0944811463748252</v>
      </c>
      <c r="K41" s="824">
        <f>IF($B41="AMBA",Datos_caracteriz!$D$8,IF($F41&lt;=15000,Datos_caracteriz!$I$8,IF($F41&lt;=50000,Datos_caracteriz!$H$8,IF($F41&lt;=300000,Datos_caracteriz!$G$8,IF($F41&lt;=500000,Datos_caracteriz!$F$8,Datos_caracteriz!$E$8)))))</f>
        <v>17.647404529651318</v>
      </c>
      <c r="L41" s="824">
        <f>IF($B41="AMBA",Datos_caracteriz!$D$9,IF($F41&lt;=15000,Datos_caracteriz!$I$9,IF($F41&lt;=50000,Datos_caracteriz!$H$9,IF($F41&lt;=300000,Datos_caracteriz!$G$9,IF($F41&lt;=500000,Datos_caracteriz!$F$9,Datos_caracteriz!$E$9)))))</f>
        <v>15.698195415822433</v>
      </c>
      <c r="M41" s="824">
        <f>IF($B41="AMBA",Datos_caracteriz!$D$10,IF($F41&lt;=15000,Datos_caracteriz!$I$10,IF($F41&lt;=50000,Datos_caracteriz!$H$10,IF($F41&lt;=300000,Datos_caracteriz!$G$10,IF($F41&lt;=500000,Datos_caracteriz!$F$10,Datos_caracteriz!$E$10)))))</f>
        <v>3.8268589077338007</v>
      </c>
      <c r="N41" s="824">
        <f>IF($B41="AMBA",Datos_caracteriz!$D$11,IF($F41&lt;=15000,Datos_caracteriz!$I$11,IF($F41&lt;=50000,Datos_caracteriz!$H$11,IF($F41&lt;=300000,Datos_caracteriz!$G$11,IF($F41&lt;=500000,Datos_caracteriz!$F$11,Datos_caracteriz!$E$11)))))</f>
        <v>3.0800758591467732</v>
      </c>
    </row>
    <row r="42" spans="1:14" ht="24.95" customHeight="1">
      <c r="A42" s="834">
        <f t="shared" si="0"/>
        <v>38</v>
      </c>
      <c r="B42" s="836"/>
      <c r="C42" s="71" t="str">
        <f>+Pobl_adoptada!A42</f>
        <v>Bolívar</v>
      </c>
      <c r="D42" s="70">
        <f>+Pobl_adoptada!B42</f>
        <v>38</v>
      </c>
      <c r="E42" s="353" t="str">
        <f>+Pobl_adoptada!C42</f>
        <v>San Carlos de Bolívar</v>
      </c>
      <c r="F42" s="817">
        <f>Pobl_adoptada!Q42</f>
        <v>31125</v>
      </c>
      <c r="G42" s="817">
        <f>Pobl_adoptada!AA42</f>
        <v>33324</v>
      </c>
      <c r="H42" s="263">
        <f>+'PROYECCIÓN GENERACIÓN'!P42</f>
        <v>32.9925</v>
      </c>
      <c r="I42" s="263">
        <f>+'PROYECCIÓN GENERACIÓN'!Z42</f>
        <v>35.323440000000005</v>
      </c>
      <c r="J42" s="824">
        <f>IF($B42="AMBA",Datos_caracteriz!$D$7,IF($F42&lt;=15000,Datos_caracteriz!$I$7,IF($F42&lt;=50000,Datos_caracteriz!$H$7,IF($F42&lt;=300000,Datos_caracteriz!$G$7,IF($F42&lt;=500000,Datos_caracteriz!$F$7,Datos_caracteriz!$E$7)))))</f>
        <v>6.3576075694443857</v>
      </c>
      <c r="K42" s="824">
        <f>IF($B42="AMBA",Datos_caracteriz!$D$8,IF($F42&lt;=15000,Datos_caracteriz!$I$8,IF($F42&lt;=50000,Datos_caracteriz!$H$8,IF($F42&lt;=300000,Datos_caracteriz!$G$8,IF($F42&lt;=500000,Datos_caracteriz!$F$8,Datos_caracteriz!$E$8)))))</f>
        <v>19.857028624999995</v>
      </c>
      <c r="L42" s="824">
        <f>IF($B42="AMBA",Datos_caracteriz!$D$9,IF($F42&lt;=15000,Datos_caracteriz!$I$9,IF($F42&lt;=50000,Datos_caracteriz!$H$9,IF($F42&lt;=300000,Datos_caracteriz!$G$9,IF($F42&lt;=500000,Datos_caracteriz!$F$9,Datos_caracteriz!$E$9)))))</f>
        <v>8.6582911527777497</v>
      </c>
      <c r="M42" s="824">
        <f>IF($B42="AMBA",Datos_caracteriz!$D$10,IF($F42&lt;=15000,Datos_caracteriz!$I$10,IF($F42&lt;=50000,Datos_caracteriz!$H$10,IF($F42&lt;=300000,Datos_caracteriz!$G$10,IF($F42&lt;=500000,Datos_caracteriz!$F$10,Datos_caracteriz!$E$10)))))</f>
        <v>4.1876249722221894</v>
      </c>
      <c r="N42" s="824">
        <f>IF($B42="AMBA",Datos_caracteriz!$D$11,IF($F42&lt;=15000,Datos_caracteriz!$I$11,IF($F42&lt;=50000,Datos_caracteriz!$H$11,IF($F42&lt;=300000,Datos_caracteriz!$G$11,IF($F42&lt;=500000,Datos_caracteriz!$F$11,Datos_caracteriz!$E$11)))))</f>
        <v>4.5702066666666639</v>
      </c>
    </row>
    <row r="43" spans="1:14" ht="24.95" customHeight="1">
      <c r="A43" s="834">
        <f t="shared" si="0"/>
        <v>39</v>
      </c>
      <c r="B43" s="836"/>
      <c r="C43" s="71" t="str">
        <f>+Pobl_adoptada!A43</f>
        <v>Bragado</v>
      </c>
      <c r="D43" s="70">
        <f>+Pobl_adoptada!B43</f>
        <v>39</v>
      </c>
      <c r="E43" s="353" t="str">
        <f>+Pobl_adoptada!C43</f>
        <v>Bragado</v>
      </c>
      <c r="F43" s="817">
        <f>Pobl_adoptada!Q43</f>
        <v>36071</v>
      </c>
      <c r="G43" s="817">
        <f>Pobl_adoptada!AA43</f>
        <v>37133</v>
      </c>
      <c r="H43" s="263">
        <f>+'PROYECCIÓN GENERACIÓN'!P43</f>
        <v>38.235260000000004</v>
      </c>
      <c r="I43" s="263">
        <f>+'PROYECCIÓN GENERACIÓN'!Z43</f>
        <v>39.360980000000005</v>
      </c>
      <c r="J43" s="824">
        <f>IF($B43="AMBA",Datos_caracteriz!$D$7,IF($F43&lt;=15000,Datos_caracteriz!$I$7,IF($F43&lt;=50000,Datos_caracteriz!$H$7,IF($F43&lt;=300000,Datos_caracteriz!$G$7,IF($F43&lt;=500000,Datos_caracteriz!$F$7,Datos_caracteriz!$E$7)))))</f>
        <v>6.3576075694443857</v>
      </c>
      <c r="K43" s="824">
        <f>IF($B43="AMBA",Datos_caracteriz!$D$8,IF($F43&lt;=15000,Datos_caracteriz!$I$8,IF($F43&lt;=50000,Datos_caracteriz!$H$8,IF($F43&lt;=300000,Datos_caracteriz!$G$8,IF($F43&lt;=500000,Datos_caracteriz!$F$8,Datos_caracteriz!$E$8)))))</f>
        <v>19.857028624999995</v>
      </c>
      <c r="L43" s="824">
        <f>IF($B43="AMBA",Datos_caracteriz!$D$9,IF($F43&lt;=15000,Datos_caracteriz!$I$9,IF($F43&lt;=50000,Datos_caracteriz!$H$9,IF($F43&lt;=300000,Datos_caracteriz!$G$9,IF($F43&lt;=500000,Datos_caracteriz!$F$9,Datos_caracteriz!$E$9)))))</f>
        <v>8.6582911527777497</v>
      </c>
      <c r="M43" s="824">
        <f>IF($B43="AMBA",Datos_caracteriz!$D$10,IF($F43&lt;=15000,Datos_caracteriz!$I$10,IF($F43&lt;=50000,Datos_caracteriz!$H$10,IF($F43&lt;=300000,Datos_caracteriz!$G$10,IF($F43&lt;=500000,Datos_caracteriz!$F$10,Datos_caracteriz!$E$10)))))</f>
        <v>4.1876249722221894</v>
      </c>
      <c r="N43" s="824">
        <f>IF($B43="AMBA",Datos_caracteriz!$D$11,IF($F43&lt;=15000,Datos_caracteriz!$I$11,IF($F43&lt;=50000,Datos_caracteriz!$H$11,IF($F43&lt;=300000,Datos_caracteriz!$G$11,IF($F43&lt;=500000,Datos_caracteriz!$F$11,Datos_caracteriz!$E$11)))))</f>
        <v>4.5702066666666639</v>
      </c>
    </row>
    <row r="44" spans="1:14" ht="24.95" customHeight="1">
      <c r="A44" s="834">
        <f t="shared" si="0"/>
        <v>40</v>
      </c>
      <c r="B44" s="836"/>
      <c r="C44" s="71" t="str">
        <f>+Pobl_adoptada!A44</f>
        <v>Brandsen</v>
      </c>
      <c r="D44" s="70">
        <f>+Pobl_adoptada!B44</f>
        <v>40</v>
      </c>
      <c r="E44" s="353" t="str">
        <f>+Pobl_adoptada!C44</f>
        <v>Coronel Brandsen</v>
      </c>
      <c r="F44" s="817">
        <f>Pobl_adoptada!Q44</f>
        <v>32073</v>
      </c>
      <c r="G44" s="817">
        <f>Pobl_adoptada!AA44</f>
        <v>38838</v>
      </c>
      <c r="H44" s="263">
        <f>+'PROYECCIÓN GENERACIÓN'!P44</f>
        <v>33.997380000000007</v>
      </c>
      <c r="I44" s="263">
        <f>+'PROYECCIÓN GENERACIÓN'!Z44</f>
        <v>41.168279999999996</v>
      </c>
      <c r="J44" s="824">
        <f>IF($B44="AMBA",Datos_caracteriz!$D$7,IF($F44&lt;=15000,Datos_caracteriz!$I$7,IF($F44&lt;=50000,Datos_caracteriz!$H$7,IF($F44&lt;=300000,Datos_caracteriz!$G$7,IF($F44&lt;=500000,Datos_caracteriz!$F$7,Datos_caracteriz!$E$7)))))</f>
        <v>6.3576075694443857</v>
      </c>
      <c r="K44" s="824">
        <f>IF($B44="AMBA",Datos_caracteriz!$D$8,IF($F44&lt;=15000,Datos_caracteriz!$I$8,IF($F44&lt;=50000,Datos_caracteriz!$H$8,IF($F44&lt;=300000,Datos_caracteriz!$G$8,IF($F44&lt;=500000,Datos_caracteriz!$F$8,Datos_caracteriz!$E$8)))))</f>
        <v>19.857028624999995</v>
      </c>
      <c r="L44" s="824">
        <f>IF($B44="AMBA",Datos_caracteriz!$D$9,IF($F44&lt;=15000,Datos_caracteriz!$I$9,IF($F44&lt;=50000,Datos_caracteriz!$H$9,IF($F44&lt;=300000,Datos_caracteriz!$G$9,IF($F44&lt;=500000,Datos_caracteriz!$F$9,Datos_caracteriz!$E$9)))))</f>
        <v>8.6582911527777497</v>
      </c>
      <c r="M44" s="824">
        <f>IF($B44="AMBA",Datos_caracteriz!$D$10,IF($F44&lt;=15000,Datos_caracteriz!$I$10,IF($F44&lt;=50000,Datos_caracteriz!$H$10,IF($F44&lt;=300000,Datos_caracteriz!$G$10,IF($F44&lt;=500000,Datos_caracteriz!$F$10,Datos_caracteriz!$E$10)))))</f>
        <v>4.1876249722221894</v>
      </c>
      <c r="N44" s="824">
        <f>IF($B44="AMBA",Datos_caracteriz!$D$11,IF($F44&lt;=15000,Datos_caracteriz!$I$11,IF($F44&lt;=50000,Datos_caracteriz!$H$11,IF($F44&lt;=300000,Datos_caracteriz!$G$11,IF($F44&lt;=500000,Datos_caracteriz!$F$11,Datos_caracteriz!$E$11)))))</f>
        <v>4.5702066666666639</v>
      </c>
    </row>
    <row r="45" spans="1:14" ht="24.95" customHeight="1">
      <c r="A45" s="834">
        <f t="shared" si="0"/>
        <v>41</v>
      </c>
      <c r="B45" s="836"/>
      <c r="C45" s="71" t="str">
        <f>+Pobl_adoptada!A45</f>
        <v>Campana</v>
      </c>
      <c r="D45" s="70">
        <f>+Pobl_adoptada!B45</f>
        <v>41</v>
      </c>
      <c r="E45" s="353" t="str">
        <f>+Pobl_adoptada!C45</f>
        <v>Campana</v>
      </c>
      <c r="F45" s="817">
        <f>Pobl_adoptada!Q45</f>
        <v>111967</v>
      </c>
      <c r="G45" s="817">
        <f>Pobl_adoptada!AA45</f>
        <v>122008</v>
      </c>
      <c r="H45" s="263">
        <f>+'PROYECCIÓN GENERACIÓN'!P45</f>
        <v>114.20634</v>
      </c>
      <c r="I45" s="263">
        <f>+'PROYECCIÓN GENERACIÓN'!Z45</f>
        <v>124.44816</v>
      </c>
      <c r="J45" s="824">
        <f>IF($B45="AMBA",Datos_caracteriz!$D$7,IF($F45&lt;=15000,Datos_caracteriz!$I$7,IF($F45&lt;=50000,Datos_caracteriz!$H$7,IF($F45&lt;=300000,Datos_caracteriz!$G$7,IF($F45&lt;=500000,Datos_caracteriz!$F$7,Datos_caracteriz!$E$7)))))</f>
        <v>5.0944811463748252</v>
      </c>
      <c r="K45" s="824">
        <f>IF($B45="AMBA",Datos_caracteriz!$D$8,IF($F45&lt;=15000,Datos_caracteriz!$I$8,IF($F45&lt;=50000,Datos_caracteriz!$H$8,IF($F45&lt;=300000,Datos_caracteriz!$G$8,IF($F45&lt;=500000,Datos_caracteriz!$F$8,Datos_caracteriz!$E$8)))))</f>
        <v>17.647404529651318</v>
      </c>
      <c r="L45" s="824">
        <f>IF($B45="AMBA",Datos_caracteriz!$D$9,IF($F45&lt;=15000,Datos_caracteriz!$I$9,IF($F45&lt;=50000,Datos_caracteriz!$H$9,IF($F45&lt;=300000,Datos_caracteriz!$G$9,IF($F45&lt;=500000,Datos_caracteriz!$F$9,Datos_caracteriz!$E$9)))))</f>
        <v>15.698195415822433</v>
      </c>
      <c r="M45" s="824">
        <f>IF($B45="AMBA",Datos_caracteriz!$D$10,IF($F45&lt;=15000,Datos_caracteriz!$I$10,IF($F45&lt;=50000,Datos_caracteriz!$H$10,IF($F45&lt;=300000,Datos_caracteriz!$G$10,IF($F45&lt;=500000,Datos_caracteriz!$F$10,Datos_caracteriz!$E$10)))))</f>
        <v>3.8268589077338007</v>
      </c>
      <c r="N45" s="824">
        <f>IF($B45="AMBA",Datos_caracteriz!$D$11,IF($F45&lt;=15000,Datos_caracteriz!$I$11,IF($F45&lt;=50000,Datos_caracteriz!$H$11,IF($F45&lt;=300000,Datos_caracteriz!$G$11,IF($F45&lt;=500000,Datos_caracteriz!$F$11,Datos_caracteriz!$E$11)))))</f>
        <v>3.0800758591467732</v>
      </c>
    </row>
    <row r="46" spans="1:14" ht="24.95" customHeight="1">
      <c r="A46" s="834">
        <f t="shared" si="0"/>
        <v>42</v>
      </c>
      <c r="B46" s="836"/>
      <c r="C46" s="71" t="str">
        <f>+Pobl_adoptada!A46</f>
        <v>Cañuelas</v>
      </c>
      <c r="D46" s="70">
        <f>+Pobl_adoptada!B46</f>
        <v>42</v>
      </c>
      <c r="E46" s="353" t="str">
        <f>+Pobl_adoptada!C46</f>
        <v>Cañuelas</v>
      </c>
      <c r="F46" s="817">
        <f>Pobl_adoptada!Q46</f>
        <v>58984</v>
      </c>
      <c r="G46" s="817">
        <f>Pobl_adoptada!AA46</f>
        <v>74299</v>
      </c>
      <c r="H46" s="263">
        <f>+'PROYECCIÓN GENERACIÓN'!P46</f>
        <v>62.523040000000002</v>
      </c>
      <c r="I46" s="263">
        <f>+'PROYECCIÓN GENERACIÓN'!Z46</f>
        <v>78.75694</v>
      </c>
      <c r="J46" s="824">
        <f>IF($B46="AMBA",Datos_caracteriz!$D$7,IF($F46&lt;=15000,Datos_caracteriz!$I$7,IF($F46&lt;=50000,Datos_caracteriz!$H$7,IF($F46&lt;=300000,Datos_caracteriz!$G$7,IF($F46&lt;=500000,Datos_caracteriz!$F$7,Datos_caracteriz!$E$7)))))</f>
        <v>5.0944811463748252</v>
      </c>
      <c r="K46" s="824">
        <f>IF($B46="AMBA",Datos_caracteriz!$D$8,IF($F46&lt;=15000,Datos_caracteriz!$I$8,IF($F46&lt;=50000,Datos_caracteriz!$H$8,IF($F46&lt;=300000,Datos_caracteriz!$G$8,IF($F46&lt;=500000,Datos_caracteriz!$F$8,Datos_caracteriz!$E$8)))))</f>
        <v>17.647404529651318</v>
      </c>
      <c r="L46" s="824">
        <f>IF($B46="AMBA",Datos_caracteriz!$D$9,IF($F46&lt;=15000,Datos_caracteriz!$I$9,IF($F46&lt;=50000,Datos_caracteriz!$H$9,IF($F46&lt;=300000,Datos_caracteriz!$G$9,IF($F46&lt;=500000,Datos_caracteriz!$F$9,Datos_caracteriz!$E$9)))))</f>
        <v>15.698195415822433</v>
      </c>
      <c r="M46" s="824">
        <f>IF($B46="AMBA",Datos_caracteriz!$D$10,IF($F46&lt;=15000,Datos_caracteriz!$I$10,IF($F46&lt;=50000,Datos_caracteriz!$H$10,IF($F46&lt;=300000,Datos_caracteriz!$G$10,IF($F46&lt;=500000,Datos_caracteriz!$F$10,Datos_caracteriz!$E$10)))))</f>
        <v>3.8268589077338007</v>
      </c>
      <c r="N46" s="824">
        <f>IF($B46="AMBA",Datos_caracteriz!$D$11,IF($F46&lt;=15000,Datos_caracteriz!$I$11,IF($F46&lt;=50000,Datos_caracteriz!$H$11,IF($F46&lt;=300000,Datos_caracteriz!$G$11,IF($F46&lt;=500000,Datos_caracteriz!$F$11,Datos_caracteriz!$E$11)))))</f>
        <v>3.0800758591467732</v>
      </c>
    </row>
    <row r="47" spans="1:14" ht="24.95" customHeight="1">
      <c r="A47" s="834">
        <f t="shared" si="0"/>
        <v>43</v>
      </c>
      <c r="B47" s="836"/>
      <c r="C47" s="71" t="str">
        <f>+Pobl_adoptada!A47</f>
        <v>Capitán Sarmiento</v>
      </c>
      <c r="D47" s="70">
        <f>+Pobl_adoptada!B47</f>
        <v>43</v>
      </c>
      <c r="E47" s="353" t="str">
        <f>+Pobl_adoptada!C47</f>
        <v>Capitán Sarmiento</v>
      </c>
      <c r="F47" s="817">
        <f>Pobl_adoptada!Q47</f>
        <v>17567</v>
      </c>
      <c r="G47" s="817">
        <f>Pobl_adoptada!AA47</f>
        <v>19378</v>
      </c>
      <c r="H47" s="263">
        <f>+'PROYECCIÓN GENERACIÓN'!P47</f>
        <v>18.621020000000001</v>
      </c>
      <c r="I47" s="263">
        <f>+'PROYECCIÓN GENERACIÓN'!Z47</f>
        <v>20.540680000000002</v>
      </c>
      <c r="J47" s="824">
        <f>IF($B47="AMBA",Datos_caracteriz!$D$7,IF($F47&lt;=15000,Datos_caracteriz!$I$7,IF($F47&lt;=50000,Datos_caracteriz!$H$7,IF($F47&lt;=300000,Datos_caracteriz!$G$7,IF($F47&lt;=500000,Datos_caracteriz!$F$7,Datos_caracteriz!$E$7)))))</f>
        <v>6.3576075694443857</v>
      </c>
      <c r="K47" s="824">
        <f>IF($B47="AMBA",Datos_caracteriz!$D$8,IF($F47&lt;=15000,Datos_caracteriz!$I$8,IF($F47&lt;=50000,Datos_caracteriz!$H$8,IF($F47&lt;=300000,Datos_caracteriz!$G$8,IF($F47&lt;=500000,Datos_caracteriz!$F$8,Datos_caracteriz!$E$8)))))</f>
        <v>19.857028624999995</v>
      </c>
      <c r="L47" s="824">
        <f>IF($B47="AMBA",Datos_caracteriz!$D$9,IF($F47&lt;=15000,Datos_caracteriz!$I$9,IF($F47&lt;=50000,Datos_caracteriz!$H$9,IF($F47&lt;=300000,Datos_caracteriz!$G$9,IF($F47&lt;=500000,Datos_caracteriz!$F$9,Datos_caracteriz!$E$9)))))</f>
        <v>8.6582911527777497</v>
      </c>
      <c r="M47" s="824">
        <f>IF($B47="AMBA",Datos_caracteriz!$D$10,IF($F47&lt;=15000,Datos_caracteriz!$I$10,IF($F47&lt;=50000,Datos_caracteriz!$H$10,IF($F47&lt;=300000,Datos_caracteriz!$G$10,IF($F47&lt;=500000,Datos_caracteriz!$F$10,Datos_caracteriz!$E$10)))))</f>
        <v>4.1876249722221894</v>
      </c>
      <c r="N47" s="824">
        <f>IF($B47="AMBA",Datos_caracteriz!$D$11,IF($F47&lt;=15000,Datos_caracteriz!$I$11,IF($F47&lt;=50000,Datos_caracteriz!$H$11,IF($F47&lt;=300000,Datos_caracteriz!$G$11,IF($F47&lt;=500000,Datos_caracteriz!$F$11,Datos_caracteriz!$E$11)))))</f>
        <v>4.5702066666666639</v>
      </c>
    </row>
    <row r="48" spans="1:14" ht="24.95" customHeight="1">
      <c r="A48" s="834">
        <f t="shared" si="0"/>
        <v>44</v>
      </c>
      <c r="B48" s="836"/>
      <c r="C48" s="71" t="str">
        <f>+Pobl_adoptada!A48</f>
        <v>Carlos Casares</v>
      </c>
      <c r="D48" s="70">
        <f>+Pobl_adoptada!B48</f>
        <v>44</v>
      </c>
      <c r="E48" s="353" t="str">
        <f>+Pobl_adoptada!C48</f>
        <v>Carlos Casares</v>
      </c>
      <c r="F48" s="817">
        <f>Pobl_adoptada!Q48</f>
        <v>22111</v>
      </c>
      <c r="G48" s="817">
        <f>Pobl_adoptada!AA48</f>
        <v>23824</v>
      </c>
      <c r="H48" s="263">
        <f>+'PROYECCIÓN GENERACIÓN'!P48</f>
        <v>23.437660000000001</v>
      </c>
      <c r="I48" s="263">
        <f>+'PROYECCIÓN GENERACIÓN'!Z48</f>
        <v>25.253440000000001</v>
      </c>
      <c r="J48" s="824">
        <f>IF($B48="AMBA",Datos_caracteriz!$D$7,IF($F48&lt;=15000,Datos_caracteriz!$I$7,IF($F48&lt;=50000,Datos_caracteriz!$H$7,IF($F48&lt;=300000,Datos_caracteriz!$G$7,IF($F48&lt;=500000,Datos_caracteriz!$F$7,Datos_caracteriz!$E$7)))))</f>
        <v>6.3576075694443857</v>
      </c>
      <c r="K48" s="824">
        <f>IF($B48="AMBA",Datos_caracteriz!$D$8,IF($F48&lt;=15000,Datos_caracteriz!$I$8,IF($F48&lt;=50000,Datos_caracteriz!$H$8,IF($F48&lt;=300000,Datos_caracteriz!$G$8,IF($F48&lt;=500000,Datos_caracteriz!$F$8,Datos_caracteriz!$E$8)))))</f>
        <v>19.857028624999995</v>
      </c>
      <c r="L48" s="824">
        <f>IF($B48="AMBA",Datos_caracteriz!$D$9,IF($F48&lt;=15000,Datos_caracteriz!$I$9,IF($F48&lt;=50000,Datos_caracteriz!$H$9,IF($F48&lt;=300000,Datos_caracteriz!$G$9,IF($F48&lt;=500000,Datos_caracteriz!$F$9,Datos_caracteriz!$E$9)))))</f>
        <v>8.6582911527777497</v>
      </c>
      <c r="M48" s="824">
        <f>IF($B48="AMBA",Datos_caracteriz!$D$10,IF($F48&lt;=15000,Datos_caracteriz!$I$10,IF($F48&lt;=50000,Datos_caracteriz!$H$10,IF($F48&lt;=300000,Datos_caracteriz!$G$10,IF($F48&lt;=500000,Datos_caracteriz!$F$10,Datos_caracteriz!$E$10)))))</f>
        <v>4.1876249722221894</v>
      </c>
      <c r="N48" s="824">
        <f>IF($B48="AMBA",Datos_caracteriz!$D$11,IF($F48&lt;=15000,Datos_caracteriz!$I$11,IF($F48&lt;=50000,Datos_caracteriz!$H$11,IF($F48&lt;=300000,Datos_caracteriz!$G$11,IF($F48&lt;=500000,Datos_caracteriz!$F$11,Datos_caracteriz!$E$11)))))</f>
        <v>4.5702066666666639</v>
      </c>
    </row>
    <row r="49" spans="1:14" ht="24.95" customHeight="1">
      <c r="A49" s="834">
        <f t="shared" si="0"/>
        <v>45</v>
      </c>
      <c r="B49" s="836"/>
      <c r="C49" s="71" t="str">
        <f>+Pobl_adoptada!A49</f>
        <v>Carlos Tejedor</v>
      </c>
      <c r="D49" s="70">
        <f>+Pobl_adoptada!B49</f>
        <v>45</v>
      </c>
      <c r="E49" s="353" t="str">
        <f>+Pobl_adoptada!C49</f>
        <v>Carlos Tejedor</v>
      </c>
      <c r="F49" s="817">
        <f>Pobl_adoptada!Q49</f>
        <v>5729</v>
      </c>
      <c r="G49" s="817">
        <f>Pobl_adoptada!AA49</f>
        <v>5932</v>
      </c>
      <c r="H49" s="263">
        <f>+'PROYECCIÓN GENERACIÓN'!P49</f>
        <v>5.2706800000000005</v>
      </c>
      <c r="I49" s="263">
        <f>+'PROYECCIÓN GENERACIÓN'!Z49</f>
        <v>5.4574400000000001</v>
      </c>
      <c r="J49" s="824">
        <f>IF($B49="AMBA",Datos_caracteriz!$D$7,IF($F49&lt;=15000,Datos_caracteriz!$I$7,IF($F49&lt;=50000,Datos_caracteriz!$H$7,IF($F49&lt;=300000,Datos_caracteriz!$G$7,IF($F49&lt;=500000,Datos_caracteriz!$F$7,Datos_caracteriz!$E$7)))))</f>
        <v>5</v>
      </c>
      <c r="K49" s="824">
        <f>IF($B49="AMBA",Datos_caracteriz!$D$8,IF($F49&lt;=15000,Datos_caracteriz!$I$8,IF($F49&lt;=50000,Datos_caracteriz!$H$8,IF($F49&lt;=300000,Datos_caracteriz!$G$8,IF($F49&lt;=500000,Datos_caracteriz!$F$8,Datos_caracteriz!$E$8)))))</f>
        <v>16</v>
      </c>
      <c r="L49" s="824">
        <f>IF($B49="AMBA",Datos_caracteriz!$D$9,IF($F49&lt;=15000,Datos_caracteriz!$I$9,IF($F49&lt;=50000,Datos_caracteriz!$H$9,IF($F49&lt;=300000,Datos_caracteriz!$G$9,IF($F49&lt;=500000,Datos_caracteriz!$F$9,Datos_caracteriz!$E$9)))))</f>
        <v>8</v>
      </c>
      <c r="M49" s="824">
        <f>IF($B49="AMBA",Datos_caracteriz!$D$10,IF($F49&lt;=15000,Datos_caracteriz!$I$10,IF($F49&lt;=50000,Datos_caracteriz!$H$10,IF($F49&lt;=300000,Datos_caracteriz!$G$10,IF($F49&lt;=500000,Datos_caracteriz!$F$10,Datos_caracteriz!$E$10)))))</f>
        <v>3</v>
      </c>
      <c r="N49" s="824">
        <f>IF($B49="AMBA",Datos_caracteriz!$D$11,IF($F49&lt;=15000,Datos_caracteriz!$I$11,IF($F49&lt;=50000,Datos_caracteriz!$H$11,IF($F49&lt;=300000,Datos_caracteriz!$G$11,IF($F49&lt;=500000,Datos_caracteriz!$F$11,Datos_caracteriz!$E$11)))))</f>
        <v>4</v>
      </c>
    </row>
    <row r="50" spans="1:14" ht="24.95" customHeight="1">
      <c r="A50" s="834">
        <f t="shared" si="0"/>
        <v>46</v>
      </c>
      <c r="B50" s="836"/>
      <c r="C50" s="71" t="str">
        <f>+Pobl_adoptada!A50</f>
        <v>Carmen de Areco</v>
      </c>
      <c r="D50" s="70">
        <f>+Pobl_adoptada!B50</f>
        <v>46</v>
      </c>
      <c r="E50" s="353" t="str">
        <f>+Pobl_adoptada!C50</f>
        <v>Carmen de Areco</v>
      </c>
      <c r="F50" s="817">
        <f>Pobl_adoptada!Q50</f>
        <v>17255</v>
      </c>
      <c r="G50" s="817">
        <f>Pobl_adoptada!AA50</f>
        <v>18944</v>
      </c>
      <c r="H50" s="263">
        <f>+'PROYECCIÓN GENERACIÓN'!P50</f>
        <v>18.290299999999998</v>
      </c>
      <c r="I50" s="263">
        <f>+'PROYECCIÓN GENERACIÓN'!Z50</f>
        <v>20.080639999999999</v>
      </c>
      <c r="J50" s="824">
        <f>IF($B50="AMBA",Datos_caracteriz!$D$7,IF($F50&lt;=15000,Datos_caracteriz!$I$7,IF($F50&lt;=50000,Datos_caracteriz!$H$7,IF($F50&lt;=300000,Datos_caracteriz!$G$7,IF($F50&lt;=500000,Datos_caracteriz!$F$7,Datos_caracteriz!$E$7)))))</f>
        <v>6.3576075694443857</v>
      </c>
      <c r="K50" s="824">
        <f>IF($B50="AMBA",Datos_caracteriz!$D$8,IF($F50&lt;=15000,Datos_caracteriz!$I$8,IF($F50&lt;=50000,Datos_caracteriz!$H$8,IF($F50&lt;=300000,Datos_caracteriz!$G$8,IF($F50&lt;=500000,Datos_caracteriz!$F$8,Datos_caracteriz!$E$8)))))</f>
        <v>19.857028624999995</v>
      </c>
      <c r="L50" s="824">
        <f>IF($B50="AMBA",Datos_caracteriz!$D$9,IF($F50&lt;=15000,Datos_caracteriz!$I$9,IF($F50&lt;=50000,Datos_caracteriz!$H$9,IF($F50&lt;=300000,Datos_caracteriz!$G$9,IF($F50&lt;=500000,Datos_caracteriz!$F$9,Datos_caracteriz!$E$9)))))</f>
        <v>8.6582911527777497</v>
      </c>
      <c r="M50" s="824">
        <f>IF($B50="AMBA",Datos_caracteriz!$D$10,IF($F50&lt;=15000,Datos_caracteriz!$I$10,IF($F50&lt;=50000,Datos_caracteriz!$H$10,IF($F50&lt;=300000,Datos_caracteriz!$G$10,IF($F50&lt;=500000,Datos_caracteriz!$F$10,Datos_caracteriz!$E$10)))))</f>
        <v>4.1876249722221894</v>
      </c>
      <c r="N50" s="824">
        <f>IF($B50="AMBA",Datos_caracteriz!$D$11,IF($F50&lt;=15000,Datos_caracteriz!$I$11,IF($F50&lt;=50000,Datos_caracteriz!$H$11,IF($F50&lt;=300000,Datos_caracteriz!$G$11,IF($F50&lt;=500000,Datos_caracteriz!$F$11,Datos_caracteriz!$E$11)))))</f>
        <v>4.5702066666666639</v>
      </c>
    </row>
    <row r="51" spans="1:14" ht="24.95" customHeight="1">
      <c r="A51" s="834">
        <f t="shared" si="0"/>
        <v>47</v>
      </c>
      <c r="B51" s="836"/>
      <c r="C51" s="71" t="str">
        <f>+Pobl_adoptada!A51</f>
        <v>Castelli</v>
      </c>
      <c r="D51" s="70">
        <f>+Pobl_adoptada!B51</f>
        <v>47</v>
      </c>
      <c r="E51" s="353" t="str">
        <f>+Pobl_adoptada!C51</f>
        <v>Castelli</v>
      </c>
      <c r="F51" s="817">
        <f>Pobl_adoptada!Q51</f>
        <v>10995</v>
      </c>
      <c r="G51" s="817">
        <f>Pobl_adoptada!AA51</f>
        <v>13059</v>
      </c>
      <c r="H51" s="263">
        <f>+'PROYECCIÓN GENERACIÓN'!P51</f>
        <v>10.115399999999999</v>
      </c>
      <c r="I51" s="263">
        <f>+'PROYECCIÓN GENERACIÓN'!Z51</f>
        <v>12.014280000000001</v>
      </c>
      <c r="J51" s="824">
        <f>IF($B51="AMBA",Datos_caracteriz!$D$7,IF($F51&lt;=15000,Datos_caracteriz!$I$7,IF($F51&lt;=50000,Datos_caracteriz!$H$7,IF($F51&lt;=300000,Datos_caracteriz!$G$7,IF($F51&lt;=500000,Datos_caracteriz!$F$7,Datos_caracteriz!$E$7)))))</f>
        <v>5</v>
      </c>
      <c r="K51" s="824">
        <f>IF($B51="AMBA",Datos_caracteriz!$D$8,IF($F51&lt;=15000,Datos_caracteriz!$I$8,IF($F51&lt;=50000,Datos_caracteriz!$H$8,IF($F51&lt;=300000,Datos_caracteriz!$G$8,IF($F51&lt;=500000,Datos_caracteriz!$F$8,Datos_caracteriz!$E$8)))))</f>
        <v>16</v>
      </c>
      <c r="L51" s="824">
        <f>IF($B51="AMBA",Datos_caracteriz!$D$9,IF($F51&lt;=15000,Datos_caracteriz!$I$9,IF($F51&lt;=50000,Datos_caracteriz!$H$9,IF($F51&lt;=300000,Datos_caracteriz!$G$9,IF($F51&lt;=500000,Datos_caracteriz!$F$9,Datos_caracteriz!$E$9)))))</f>
        <v>8</v>
      </c>
      <c r="M51" s="824">
        <f>IF($B51="AMBA",Datos_caracteriz!$D$10,IF($F51&lt;=15000,Datos_caracteriz!$I$10,IF($F51&lt;=50000,Datos_caracteriz!$H$10,IF($F51&lt;=300000,Datos_caracteriz!$G$10,IF($F51&lt;=500000,Datos_caracteriz!$F$10,Datos_caracteriz!$E$10)))))</f>
        <v>3</v>
      </c>
      <c r="N51" s="824">
        <f>IF($B51="AMBA",Datos_caracteriz!$D$11,IF($F51&lt;=15000,Datos_caracteriz!$I$11,IF($F51&lt;=50000,Datos_caracteriz!$H$11,IF($F51&lt;=300000,Datos_caracteriz!$G$11,IF($F51&lt;=500000,Datos_caracteriz!$F$11,Datos_caracteriz!$E$11)))))</f>
        <v>4</v>
      </c>
    </row>
    <row r="52" spans="1:14" ht="24.95" customHeight="1">
      <c r="A52" s="834">
        <f t="shared" si="0"/>
        <v>48</v>
      </c>
      <c r="B52" s="836"/>
      <c r="C52" s="71" t="str">
        <f>+Pobl_adoptada!A52</f>
        <v>Chacabuco</v>
      </c>
      <c r="D52" s="70">
        <f>+Pobl_adoptada!B52</f>
        <v>48</v>
      </c>
      <c r="E52" s="353" t="str">
        <f>+Pobl_adoptada!C52</f>
        <v>Chacabuco</v>
      </c>
      <c r="F52" s="817">
        <f>Pobl_adoptada!Q52</f>
        <v>48899</v>
      </c>
      <c r="G52" s="817">
        <f>Pobl_adoptada!AA52</f>
        <v>53053</v>
      </c>
      <c r="H52" s="263">
        <f>+'PROYECCIÓN GENERACIÓN'!P52</f>
        <v>51.832940000000001</v>
      </c>
      <c r="I52" s="263">
        <f>+'PROYECCIÓN GENERACIÓN'!Z52</f>
        <v>56.236179999999997</v>
      </c>
      <c r="J52" s="824">
        <f>IF($B52="AMBA",Datos_caracteriz!$D$7,IF($F52&lt;=15000,Datos_caracteriz!$I$7,IF($F52&lt;=50000,Datos_caracteriz!$H$7,IF($F52&lt;=300000,Datos_caracteriz!$G$7,IF($F52&lt;=500000,Datos_caracteriz!$F$7,Datos_caracteriz!$E$7)))))</f>
        <v>6.3576075694443857</v>
      </c>
      <c r="K52" s="824">
        <f>IF($B52="AMBA",Datos_caracteriz!$D$8,IF($F52&lt;=15000,Datos_caracteriz!$I$8,IF($F52&lt;=50000,Datos_caracteriz!$H$8,IF($F52&lt;=300000,Datos_caracteriz!$G$8,IF($F52&lt;=500000,Datos_caracteriz!$F$8,Datos_caracteriz!$E$8)))))</f>
        <v>19.857028624999995</v>
      </c>
      <c r="L52" s="824">
        <f>IF($B52="AMBA",Datos_caracteriz!$D$9,IF($F52&lt;=15000,Datos_caracteriz!$I$9,IF($F52&lt;=50000,Datos_caracteriz!$H$9,IF($F52&lt;=300000,Datos_caracteriz!$G$9,IF($F52&lt;=500000,Datos_caracteriz!$F$9,Datos_caracteriz!$E$9)))))</f>
        <v>8.6582911527777497</v>
      </c>
      <c r="M52" s="824">
        <f>IF($B52="AMBA",Datos_caracteriz!$D$10,IF($F52&lt;=15000,Datos_caracteriz!$I$10,IF($F52&lt;=50000,Datos_caracteriz!$H$10,IF($F52&lt;=300000,Datos_caracteriz!$G$10,IF($F52&lt;=500000,Datos_caracteriz!$F$10,Datos_caracteriz!$E$10)))))</f>
        <v>4.1876249722221894</v>
      </c>
      <c r="N52" s="824">
        <f>IF($B52="AMBA",Datos_caracteriz!$D$11,IF($F52&lt;=15000,Datos_caracteriz!$I$11,IF($F52&lt;=50000,Datos_caracteriz!$H$11,IF($F52&lt;=300000,Datos_caracteriz!$G$11,IF($F52&lt;=500000,Datos_caracteriz!$F$11,Datos_caracteriz!$E$11)))))</f>
        <v>4.5702066666666639</v>
      </c>
    </row>
    <row r="53" spans="1:14" ht="24.95" customHeight="1">
      <c r="A53" s="834">
        <f t="shared" si="0"/>
        <v>49</v>
      </c>
      <c r="B53" s="836"/>
      <c r="C53" s="71" t="str">
        <f>+Pobl_adoptada!A53</f>
        <v>Chascomús</v>
      </c>
      <c r="D53" s="70">
        <f>+Pobl_adoptada!B53</f>
        <v>49</v>
      </c>
      <c r="E53" s="353" t="str">
        <f>+Pobl_adoptada!C53</f>
        <v>Chascomús</v>
      </c>
      <c r="F53" s="817">
        <f>Pobl_adoptada!Q53</f>
        <v>43326</v>
      </c>
      <c r="G53" s="817">
        <f>Pobl_adoptada!AA53</f>
        <v>47960</v>
      </c>
      <c r="H53" s="263">
        <f>+'PROYECCIÓN GENERACIÓN'!P53</f>
        <v>45.925560000000004</v>
      </c>
      <c r="I53" s="263">
        <f>+'PROYECCIÓN GENERACIÓN'!Z53</f>
        <v>50.837600000000009</v>
      </c>
      <c r="J53" s="824">
        <f>IF($B53="AMBA",Datos_caracteriz!$D$7,IF($F53&lt;=15000,Datos_caracteriz!$I$7,IF($F53&lt;=50000,Datos_caracteriz!$H$7,IF($F53&lt;=300000,Datos_caracteriz!$G$7,IF($F53&lt;=500000,Datos_caracteriz!$F$7,Datos_caracteriz!$E$7)))))</f>
        <v>6.3576075694443857</v>
      </c>
      <c r="K53" s="824">
        <f>IF($B53="AMBA",Datos_caracteriz!$D$8,IF($F53&lt;=15000,Datos_caracteriz!$I$8,IF($F53&lt;=50000,Datos_caracteriz!$H$8,IF($F53&lt;=300000,Datos_caracteriz!$G$8,IF($F53&lt;=500000,Datos_caracteriz!$F$8,Datos_caracteriz!$E$8)))))</f>
        <v>19.857028624999995</v>
      </c>
      <c r="L53" s="824">
        <f>IF($B53="AMBA",Datos_caracteriz!$D$9,IF($F53&lt;=15000,Datos_caracteriz!$I$9,IF($F53&lt;=50000,Datos_caracteriz!$H$9,IF($F53&lt;=300000,Datos_caracteriz!$G$9,IF($F53&lt;=500000,Datos_caracteriz!$F$9,Datos_caracteriz!$E$9)))))</f>
        <v>8.6582911527777497</v>
      </c>
      <c r="M53" s="824">
        <f>IF($B53="AMBA",Datos_caracteriz!$D$10,IF($F53&lt;=15000,Datos_caracteriz!$I$10,IF($F53&lt;=50000,Datos_caracteriz!$H$10,IF($F53&lt;=300000,Datos_caracteriz!$G$10,IF($F53&lt;=500000,Datos_caracteriz!$F$10,Datos_caracteriz!$E$10)))))</f>
        <v>4.1876249722221894</v>
      </c>
      <c r="N53" s="824">
        <f>IF($B53="AMBA",Datos_caracteriz!$D$11,IF($F53&lt;=15000,Datos_caracteriz!$I$11,IF($F53&lt;=50000,Datos_caracteriz!$H$11,IF($F53&lt;=300000,Datos_caracteriz!$G$11,IF($F53&lt;=500000,Datos_caracteriz!$F$11,Datos_caracteriz!$E$11)))))</f>
        <v>4.5702066666666639</v>
      </c>
    </row>
    <row r="54" spans="1:14" ht="24.95" customHeight="1">
      <c r="A54" s="834">
        <f t="shared" si="0"/>
        <v>50</v>
      </c>
      <c r="B54" s="836"/>
      <c r="C54" s="71" t="str">
        <f>+Pobl_adoptada!A54</f>
        <v>Chivilcoy</v>
      </c>
      <c r="D54" s="70">
        <f>+Pobl_adoptada!B54</f>
        <v>50</v>
      </c>
      <c r="E54" s="353" t="str">
        <f>+Pobl_adoptada!C54</f>
        <v>Chivilcoy</v>
      </c>
      <c r="F54" s="817">
        <f>Pobl_adoptada!Q54</f>
        <v>71844</v>
      </c>
      <c r="G54" s="817">
        <f>Pobl_adoptada!AA54</f>
        <v>77356</v>
      </c>
      <c r="H54" s="263">
        <f>+'PROYECCIÓN GENERACIÓN'!P54</f>
        <v>73.28088000000001</v>
      </c>
      <c r="I54" s="263">
        <f>+'PROYECCIÓN GENERACIÓN'!Z54</f>
        <v>78.903120000000001</v>
      </c>
      <c r="J54" s="824">
        <f>IF($B54="AMBA",Datos_caracteriz!$D$7,IF($F54&lt;=15000,Datos_caracteriz!$I$7,IF($F54&lt;=50000,Datos_caracteriz!$H$7,IF($F54&lt;=300000,Datos_caracteriz!$G$7,IF($F54&lt;=500000,Datos_caracteriz!$F$7,Datos_caracteriz!$E$7)))))</f>
        <v>5.0944811463748252</v>
      </c>
      <c r="K54" s="824">
        <f>IF($B54="AMBA",Datos_caracteriz!$D$8,IF($F54&lt;=15000,Datos_caracteriz!$I$8,IF($F54&lt;=50000,Datos_caracteriz!$H$8,IF($F54&lt;=300000,Datos_caracteriz!$G$8,IF($F54&lt;=500000,Datos_caracteriz!$F$8,Datos_caracteriz!$E$8)))))</f>
        <v>17.647404529651318</v>
      </c>
      <c r="L54" s="824">
        <f>IF($B54="AMBA",Datos_caracteriz!$D$9,IF($F54&lt;=15000,Datos_caracteriz!$I$9,IF($F54&lt;=50000,Datos_caracteriz!$H$9,IF($F54&lt;=300000,Datos_caracteriz!$G$9,IF($F54&lt;=500000,Datos_caracteriz!$F$9,Datos_caracteriz!$E$9)))))</f>
        <v>15.698195415822433</v>
      </c>
      <c r="M54" s="824">
        <f>IF($B54="AMBA",Datos_caracteriz!$D$10,IF($F54&lt;=15000,Datos_caracteriz!$I$10,IF($F54&lt;=50000,Datos_caracteriz!$H$10,IF($F54&lt;=300000,Datos_caracteriz!$G$10,IF($F54&lt;=500000,Datos_caracteriz!$F$10,Datos_caracteriz!$E$10)))))</f>
        <v>3.8268589077338007</v>
      </c>
      <c r="N54" s="824">
        <f>IF($B54="AMBA",Datos_caracteriz!$D$11,IF($F54&lt;=15000,Datos_caracteriz!$I$11,IF($F54&lt;=50000,Datos_caracteriz!$H$11,IF($F54&lt;=300000,Datos_caracteriz!$G$11,IF($F54&lt;=500000,Datos_caracteriz!$F$11,Datos_caracteriz!$E$11)))))</f>
        <v>3.0800758591467732</v>
      </c>
    </row>
    <row r="55" spans="1:14" ht="24.95" customHeight="1">
      <c r="A55" s="834">
        <f t="shared" si="0"/>
        <v>51</v>
      </c>
      <c r="B55" s="836"/>
      <c r="C55" s="71" t="str">
        <f>+Pobl_adoptada!A55</f>
        <v>Colón</v>
      </c>
      <c r="D55" s="70">
        <f>+Pobl_adoptada!B55</f>
        <v>51</v>
      </c>
      <c r="E55" s="353" t="str">
        <f>+Pobl_adoptada!C55</f>
        <v>Colón</v>
      </c>
      <c r="F55" s="817">
        <f>Pobl_adoptada!Q55</f>
        <v>29078</v>
      </c>
      <c r="G55" s="817">
        <f>Pobl_adoptada!AA55</f>
        <v>31824</v>
      </c>
      <c r="H55" s="263">
        <f>+'PROYECCIÓN GENERACIÓN'!P55</f>
        <v>30.822680000000002</v>
      </c>
      <c r="I55" s="263">
        <f>+'PROYECCIÓN GENERACIÓN'!Z55</f>
        <v>33.733440000000002</v>
      </c>
      <c r="J55" s="824">
        <f>IF($B55="AMBA",Datos_caracteriz!$D$7,IF($F55&lt;=15000,Datos_caracteriz!$I$7,IF($F55&lt;=50000,Datos_caracteriz!$H$7,IF($F55&lt;=300000,Datos_caracteriz!$G$7,IF($F55&lt;=500000,Datos_caracteriz!$F$7,Datos_caracteriz!$E$7)))))</f>
        <v>6.3576075694443857</v>
      </c>
      <c r="K55" s="824">
        <f>IF($B55="AMBA",Datos_caracteriz!$D$8,IF($F55&lt;=15000,Datos_caracteriz!$I$8,IF($F55&lt;=50000,Datos_caracteriz!$H$8,IF($F55&lt;=300000,Datos_caracteriz!$G$8,IF($F55&lt;=500000,Datos_caracteriz!$F$8,Datos_caracteriz!$E$8)))))</f>
        <v>19.857028624999995</v>
      </c>
      <c r="L55" s="824">
        <f>IF($B55="AMBA",Datos_caracteriz!$D$9,IF($F55&lt;=15000,Datos_caracteriz!$I$9,IF($F55&lt;=50000,Datos_caracteriz!$H$9,IF($F55&lt;=300000,Datos_caracteriz!$G$9,IF($F55&lt;=500000,Datos_caracteriz!$F$9,Datos_caracteriz!$E$9)))))</f>
        <v>8.6582911527777497</v>
      </c>
      <c r="M55" s="824">
        <f>IF($B55="AMBA",Datos_caracteriz!$D$10,IF($F55&lt;=15000,Datos_caracteriz!$I$10,IF($F55&lt;=50000,Datos_caracteriz!$H$10,IF($F55&lt;=300000,Datos_caracteriz!$G$10,IF($F55&lt;=500000,Datos_caracteriz!$F$10,Datos_caracteriz!$E$10)))))</f>
        <v>4.1876249722221894</v>
      </c>
      <c r="N55" s="824">
        <f>IF($B55="AMBA",Datos_caracteriz!$D$11,IF($F55&lt;=15000,Datos_caracteriz!$I$11,IF($F55&lt;=50000,Datos_caracteriz!$H$11,IF($F55&lt;=300000,Datos_caracteriz!$G$11,IF($F55&lt;=500000,Datos_caracteriz!$F$11,Datos_caracteriz!$E$11)))))</f>
        <v>4.5702066666666639</v>
      </c>
    </row>
    <row r="56" spans="1:14" ht="24.95" customHeight="1">
      <c r="A56" s="834">
        <f t="shared" si="0"/>
        <v>52</v>
      </c>
      <c r="B56" s="836"/>
      <c r="C56" s="71" t="str">
        <f>+Pobl_adoptada!A56</f>
        <v>Coronel de Marina L. Rosales</v>
      </c>
      <c r="D56" s="70">
        <f>+Pobl_adoptada!B56</f>
        <v>52</v>
      </c>
      <c r="E56" s="353" t="str">
        <f>+Pobl_adoptada!C56</f>
        <v>Punta Alta</v>
      </c>
      <c r="F56" s="817">
        <f>Pobl_adoptada!Q56</f>
        <v>63599</v>
      </c>
      <c r="G56" s="817">
        <f>Pobl_adoptada!AA56</f>
        <v>66389</v>
      </c>
      <c r="H56" s="263">
        <f>+'PROYECCIÓN GENERACIÓN'!P56</f>
        <v>64.870980000000003</v>
      </c>
      <c r="I56" s="263">
        <f>+'PROYECCIÓN GENERACIÓN'!Z56</f>
        <v>67.71678</v>
      </c>
      <c r="J56" s="824">
        <f>IF($B56="AMBA",Datos_caracteriz!$D$7,IF($F56&lt;=15000,Datos_caracteriz!$I$7,IF($F56&lt;=50000,Datos_caracteriz!$H$7,IF($F56&lt;=300000,Datos_caracteriz!$G$7,IF($F56&lt;=500000,Datos_caracteriz!$F$7,Datos_caracteriz!$E$7)))))</f>
        <v>5.0944811463748252</v>
      </c>
      <c r="K56" s="824">
        <f>IF($B56="AMBA",Datos_caracteriz!$D$8,IF($F56&lt;=15000,Datos_caracteriz!$I$8,IF($F56&lt;=50000,Datos_caracteriz!$H$8,IF($F56&lt;=300000,Datos_caracteriz!$G$8,IF($F56&lt;=500000,Datos_caracteriz!$F$8,Datos_caracteriz!$E$8)))))</f>
        <v>17.647404529651318</v>
      </c>
      <c r="L56" s="824">
        <f>IF($B56="AMBA",Datos_caracteriz!$D$9,IF($F56&lt;=15000,Datos_caracteriz!$I$9,IF($F56&lt;=50000,Datos_caracteriz!$H$9,IF($F56&lt;=300000,Datos_caracteriz!$G$9,IF($F56&lt;=500000,Datos_caracteriz!$F$9,Datos_caracteriz!$E$9)))))</f>
        <v>15.698195415822433</v>
      </c>
      <c r="M56" s="824">
        <f>IF($B56="AMBA",Datos_caracteriz!$D$10,IF($F56&lt;=15000,Datos_caracteriz!$I$10,IF($F56&lt;=50000,Datos_caracteriz!$H$10,IF($F56&lt;=300000,Datos_caracteriz!$G$10,IF($F56&lt;=500000,Datos_caracteriz!$F$10,Datos_caracteriz!$E$10)))))</f>
        <v>3.8268589077338007</v>
      </c>
      <c r="N56" s="824">
        <f>IF($B56="AMBA",Datos_caracteriz!$D$11,IF($F56&lt;=15000,Datos_caracteriz!$I$11,IF($F56&lt;=50000,Datos_caracteriz!$H$11,IF($F56&lt;=300000,Datos_caracteriz!$G$11,IF($F56&lt;=500000,Datos_caracteriz!$F$11,Datos_caracteriz!$E$11)))))</f>
        <v>3.0800758591467732</v>
      </c>
    </row>
    <row r="57" spans="1:14" ht="24.95" customHeight="1">
      <c r="A57" s="834">
        <f t="shared" si="0"/>
        <v>53</v>
      </c>
      <c r="B57" s="836"/>
      <c r="C57" s="71" t="str">
        <f>+Pobl_adoptada!A57</f>
        <v>Coronel Dorrego</v>
      </c>
      <c r="D57" s="70">
        <f>+Pobl_adoptada!B57</f>
        <v>53</v>
      </c>
      <c r="E57" s="353" t="str">
        <f>+Pobl_adoptada!C57</f>
        <v>Coronel Dorrego</v>
      </c>
      <c r="F57" s="817">
        <f>Pobl_adoptada!Q57</f>
        <v>11701</v>
      </c>
      <c r="G57" s="817">
        <f>Pobl_adoptada!AA57</f>
        <v>11753</v>
      </c>
      <c r="H57" s="263">
        <f>+'PROYECCIÓN GENERACIÓN'!P57</f>
        <v>10.76492</v>
      </c>
      <c r="I57" s="263">
        <f>+'PROYECCIÓN GENERACIÓN'!Z57</f>
        <v>10.812760000000001</v>
      </c>
      <c r="J57" s="824">
        <f>IF($B57="AMBA",Datos_caracteriz!$D$7,IF($F57&lt;=15000,Datos_caracteriz!$I$7,IF($F57&lt;=50000,Datos_caracteriz!$H$7,IF($F57&lt;=300000,Datos_caracteriz!$G$7,IF($F57&lt;=500000,Datos_caracteriz!$F$7,Datos_caracteriz!$E$7)))))</f>
        <v>5</v>
      </c>
      <c r="K57" s="824">
        <f>IF($B57="AMBA",Datos_caracteriz!$D$8,IF($F57&lt;=15000,Datos_caracteriz!$I$8,IF($F57&lt;=50000,Datos_caracteriz!$H$8,IF($F57&lt;=300000,Datos_caracteriz!$G$8,IF($F57&lt;=500000,Datos_caracteriz!$F$8,Datos_caracteriz!$E$8)))))</f>
        <v>16</v>
      </c>
      <c r="L57" s="824">
        <f>IF($B57="AMBA",Datos_caracteriz!$D$9,IF($F57&lt;=15000,Datos_caracteriz!$I$9,IF($F57&lt;=50000,Datos_caracteriz!$H$9,IF($F57&lt;=300000,Datos_caracteriz!$G$9,IF($F57&lt;=500000,Datos_caracteriz!$F$9,Datos_caracteriz!$E$9)))))</f>
        <v>8</v>
      </c>
      <c r="M57" s="824">
        <f>IF($B57="AMBA",Datos_caracteriz!$D$10,IF($F57&lt;=15000,Datos_caracteriz!$I$10,IF($F57&lt;=50000,Datos_caracteriz!$H$10,IF($F57&lt;=300000,Datos_caracteriz!$G$10,IF($F57&lt;=500000,Datos_caracteriz!$F$10,Datos_caracteriz!$E$10)))))</f>
        <v>3</v>
      </c>
      <c r="N57" s="824">
        <f>IF($B57="AMBA",Datos_caracteriz!$D$11,IF($F57&lt;=15000,Datos_caracteriz!$I$11,IF($F57&lt;=50000,Datos_caracteriz!$H$11,IF($F57&lt;=300000,Datos_caracteriz!$G$11,IF($F57&lt;=500000,Datos_caracteriz!$F$11,Datos_caracteriz!$E$11)))))</f>
        <v>4</v>
      </c>
    </row>
    <row r="58" spans="1:14" ht="24.95" customHeight="1">
      <c r="A58" s="834">
        <f t="shared" si="0"/>
        <v>54</v>
      </c>
      <c r="B58" s="836"/>
      <c r="C58" s="71" t="str">
        <f>+Pobl_adoptada!A58</f>
        <v>Coronel Pringles</v>
      </c>
      <c r="D58" s="70">
        <f>+Pobl_adoptada!B58</f>
        <v>54</v>
      </c>
      <c r="E58" s="353" t="str">
        <f>+Pobl_adoptada!C58</f>
        <v>Coronel Pringles</v>
      </c>
      <c r="F58" s="817">
        <f>Pobl_adoptada!Q58</f>
        <v>24075</v>
      </c>
      <c r="G58" s="817">
        <f>Pobl_adoptada!AA58</f>
        <v>27073</v>
      </c>
      <c r="H58" s="263">
        <f>+'PROYECCIÓN GENERACIÓN'!P58</f>
        <v>25.519500000000001</v>
      </c>
      <c r="I58" s="263">
        <f>+'PROYECCIÓN GENERACIÓN'!Z58</f>
        <v>28.697380000000003</v>
      </c>
      <c r="J58" s="824">
        <f>IF($B58="AMBA",Datos_caracteriz!$D$7,IF($F58&lt;=15000,Datos_caracteriz!$I$7,IF($F58&lt;=50000,Datos_caracteriz!$H$7,IF($F58&lt;=300000,Datos_caracteriz!$G$7,IF($F58&lt;=500000,Datos_caracteriz!$F$7,Datos_caracteriz!$E$7)))))</f>
        <v>6.3576075694443857</v>
      </c>
      <c r="K58" s="824">
        <f>IF($B58="AMBA",Datos_caracteriz!$D$8,IF($F58&lt;=15000,Datos_caracteriz!$I$8,IF($F58&lt;=50000,Datos_caracteriz!$H$8,IF($F58&lt;=300000,Datos_caracteriz!$G$8,IF($F58&lt;=500000,Datos_caracteriz!$F$8,Datos_caracteriz!$E$8)))))</f>
        <v>19.857028624999995</v>
      </c>
      <c r="L58" s="824">
        <f>IF($B58="AMBA",Datos_caracteriz!$D$9,IF($F58&lt;=15000,Datos_caracteriz!$I$9,IF($F58&lt;=50000,Datos_caracteriz!$H$9,IF($F58&lt;=300000,Datos_caracteriz!$G$9,IF($F58&lt;=500000,Datos_caracteriz!$F$9,Datos_caracteriz!$E$9)))))</f>
        <v>8.6582911527777497</v>
      </c>
      <c r="M58" s="824">
        <f>IF($B58="AMBA",Datos_caracteriz!$D$10,IF($F58&lt;=15000,Datos_caracteriz!$I$10,IF($F58&lt;=50000,Datos_caracteriz!$H$10,IF($F58&lt;=300000,Datos_caracteriz!$G$10,IF($F58&lt;=500000,Datos_caracteriz!$F$10,Datos_caracteriz!$E$10)))))</f>
        <v>4.1876249722221894</v>
      </c>
      <c r="N58" s="824">
        <f>IF($B58="AMBA",Datos_caracteriz!$D$11,IF($F58&lt;=15000,Datos_caracteriz!$I$11,IF($F58&lt;=50000,Datos_caracteriz!$H$11,IF($F58&lt;=300000,Datos_caracteriz!$G$11,IF($F58&lt;=500000,Datos_caracteriz!$F$11,Datos_caracteriz!$E$11)))))</f>
        <v>4.5702066666666639</v>
      </c>
    </row>
    <row r="59" spans="1:14" ht="24.95" customHeight="1">
      <c r="A59" s="834">
        <f t="shared" si="0"/>
        <v>55</v>
      </c>
      <c r="B59" s="836"/>
      <c r="C59" s="71" t="str">
        <f>+Pobl_adoptada!A59</f>
        <v>Coronel Suárez</v>
      </c>
      <c r="D59" s="70">
        <f>+Pobl_adoptada!B59</f>
        <v>55</v>
      </c>
      <c r="E59" s="353" t="str">
        <f>+Pobl_adoptada!C59</f>
        <v>Coronel Suárez</v>
      </c>
      <c r="F59" s="817">
        <f>Pobl_adoptada!Q59</f>
        <v>30747</v>
      </c>
      <c r="G59" s="817">
        <f>Pobl_adoptada!AA59</f>
        <v>35018</v>
      </c>
      <c r="H59" s="263">
        <f>+'PROYECCIÓN GENERACIÓN'!P59</f>
        <v>32.591820000000006</v>
      </c>
      <c r="I59" s="263">
        <f>+'PROYECCIÓN GENERACIÓN'!Z59</f>
        <v>37.119080000000004</v>
      </c>
      <c r="J59" s="824">
        <f>IF($B59="AMBA",Datos_caracteriz!$D$7,IF($F59&lt;=15000,Datos_caracteriz!$I$7,IF($F59&lt;=50000,Datos_caracteriz!$H$7,IF($F59&lt;=300000,Datos_caracteriz!$G$7,IF($F59&lt;=500000,Datos_caracteriz!$F$7,Datos_caracteriz!$E$7)))))</f>
        <v>6.3576075694443857</v>
      </c>
      <c r="K59" s="824">
        <f>IF($B59="AMBA",Datos_caracteriz!$D$8,IF($F59&lt;=15000,Datos_caracteriz!$I$8,IF($F59&lt;=50000,Datos_caracteriz!$H$8,IF($F59&lt;=300000,Datos_caracteriz!$G$8,IF($F59&lt;=500000,Datos_caracteriz!$F$8,Datos_caracteriz!$E$8)))))</f>
        <v>19.857028624999995</v>
      </c>
      <c r="L59" s="824">
        <f>IF($B59="AMBA",Datos_caracteriz!$D$9,IF($F59&lt;=15000,Datos_caracteriz!$I$9,IF($F59&lt;=50000,Datos_caracteriz!$H$9,IF($F59&lt;=300000,Datos_caracteriz!$G$9,IF($F59&lt;=500000,Datos_caracteriz!$F$9,Datos_caracteriz!$E$9)))))</f>
        <v>8.6582911527777497</v>
      </c>
      <c r="M59" s="824">
        <f>IF($B59="AMBA",Datos_caracteriz!$D$10,IF($F59&lt;=15000,Datos_caracteriz!$I$10,IF($F59&lt;=50000,Datos_caracteriz!$H$10,IF($F59&lt;=300000,Datos_caracteriz!$G$10,IF($F59&lt;=500000,Datos_caracteriz!$F$10,Datos_caracteriz!$E$10)))))</f>
        <v>4.1876249722221894</v>
      </c>
      <c r="N59" s="824">
        <f>IF($B59="AMBA",Datos_caracteriz!$D$11,IF($F59&lt;=15000,Datos_caracteriz!$I$11,IF($F59&lt;=50000,Datos_caracteriz!$H$11,IF($F59&lt;=300000,Datos_caracteriz!$G$11,IF($F59&lt;=500000,Datos_caracteriz!$F$11,Datos_caracteriz!$E$11)))))</f>
        <v>4.5702066666666639</v>
      </c>
    </row>
    <row r="60" spans="1:14" ht="24.95" customHeight="1">
      <c r="A60" s="834">
        <f t="shared" si="0"/>
        <v>56</v>
      </c>
      <c r="B60" s="836"/>
      <c r="C60" s="71" t="str">
        <f>+Pobl_adoptada!A60</f>
        <v>Daireaux</v>
      </c>
      <c r="D60" s="70">
        <f>+Pobl_adoptada!B60</f>
        <v>56</v>
      </c>
      <c r="E60" s="353" t="str">
        <f>+Pobl_adoptada!C60</f>
        <v>Daireaux</v>
      </c>
      <c r="F60" s="817">
        <f>Pobl_adoptada!Q60</f>
        <v>15096</v>
      </c>
      <c r="G60" s="817">
        <f>Pobl_adoptada!AA60</f>
        <v>16301</v>
      </c>
      <c r="H60" s="263">
        <f>+'PROYECCIÓN GENERACIÓN'!P60</f>
        <v>13.88832</v>
      </c>
      <c r="I60" s="263">
        <f>+'PROYECCIÓN GENERACIÓN'!Z60</f>
        <v>14.996919999999999</v>
      </c>
      <c r="J60" s="824">
        <f>IF($B60="AMBA",Datos_caracteriz!$D$7,IF($F60&lt;=15000,Datos_caracteriz!$I$7,IF($F60&lt;=50000,Datos_caracteriz!$H$7,IF($F60&lt;=300000,Datos_caracteriz!$G$7,IF($F60&lt;=500000,Datos_caracteriz!$F$7,Datos_caracteriz!$E$7)))))</f>
        <v>6.3576075694443857</v>
      </c>
      <c r="K60" s="824">
        <f>IF($B60="AMBA",Datos_caracteriz!$D$8,IF($F60&lt;=15000,Datos_caracteriz!$I$8,IF($F60&lt;=50000,Datos_caracteriz!$H$8,IF($F60&lt;=300000,Datos_caracteriz!$G$8,IF($F60&lt;=500000,Datos_caracteriz!$F$8,Datos_caracteriz!$E$8)))))</f>
        <v>19.857028624999995</v>
      </c>
      <c r="L60" s="824">
        <f>IF($B60="AMBA",Datos_caracteriz!$D$9,IF($F60&lt;=15000,Datos_caracteriz!$I$9,IF($F60&lt;=50000,Datos_caracteriz!$H$9,IF($F60&lt;=300000,Datos_caracteriz!$G$9,IF($F60&lt;=500000,Datos_caracteriz!$F$9,Datos_caracteriz!$E$9)))))</f>
        <v>8.6582911527777497</v>
      </c>
      <c r="M60" s="824">
        <f>IF($B60="AMBA",Datos_caracteriz!$D$10,IF($F60&lt;=15000,Datos_caracteriz!$I$10,IF($F60&lt;=50000,Datos_caracteriz!$H$10,IF($F60&lt;=300000,Datos_caracteriz!$G$10,IF($F60&lt;=500000,Datos_caracteriz!$F$10,Datos_caracteriz!$E$10)))))</f>
        <v>4.1876249722221894</v>
      </c>
      <c r="N60" s="824">
        <f>IF($B60="AMBA",Datos_caracteriz!$D$11,IF($F60&lt;=15000,Datos_caracteriz!$I$11,IF($F60&lt;=50000,Datos_caracteriz!$H$11,IF($F60&lt;=300000,Datos_caracteriz!$G$11,IF($F60&lt;=500000,Datos_caracteriz!$F$11,Datos_caracteriz!$E$11)))))</f>
        <v>4.5702066666666639</v>
      </c>
    </row>
    <row r="61" spans="1:14" ht="24.95" customHeight="1">
      <c r="A61" s="834">
        <f t="shared" si="0"/>
        <v>57</v>
      </c>
      <c r="B61" s="836"/>
      <c r="C61" s="71" t="str">
        <f>+Pobl_adoptada!A61</f>
        <v>Dolores</v>
      </c>
      <c r="D61" s="70">
        <f>+Pobl_adoptada!B61</f>
        <v>57</v>
      </c>
      <c r="E61" s="353" t="str">
        <f>+Pobl_adoptada!C61</f>
        <v>Dolores</v>
      </c>
      <c r="F61" s="817">
        <f>Pobl_adoptada!Q61</f>
        <v>36067</v>
      </c>
      <c r="G61" s="817">
        <f>Pobl_adoptada!AA61</f>
        <v>41522</v>
      </c>
      <c r="H61" s="263">
        <f>+'PROYECCIÓN GENERACIÓN'!P61</f>
        <v>38.231020000000001</v>
      </c>
      <c r="I61" s="263">
        <f>+'PROYECCIÓN GENERACIÓN'!Z61</f>
        <v>44.01332</v>
      </c>
      <c r="J61" s="824">
        <f>IF($B61="AMBA",Datos_caracteriz!$D$7,IF($F61&lt;=15000,Datos_caracteriz!$I$7,IF($F61&lt;=50000,Datos_caracteriz!$H$7,IF($F61&lt;=300000,Datos_caracteriz!$G$7,IF($F61&lt;=500000,Datos_caracteriz!$F$7,Datos_caracteriz!$E$7)))))</f>
        <v>6.3576075694443857</v>
      </c>
      <c r="K61" s="824">
        <f>IF($B61="AMBA",Datos_caracteriz!$D$8,IF($F61&lt;=15000,Datos_caracteriz!$I$8,IF($F61&lt;=50000,Datos_caracteriz!$H$8,IF($F61&lt;=300000,Datos_caracteriz!$G$8,IF($F61&lt;=500000,Datos_caracteriz!$F$8,Datos_caracteriz!$E$8)))))</f>
        <v>19.857028624999995</v>
      </c>
      <c r="L61" s="824">
        <f>IF($B61="AMBA",Datos_caracteriz!$D$9,IF($F61&lt;=15000,Datos_caracteriz!$I$9,IF($F61&lt;=50000,Datos_caracteriz!$H$9,IF($F61&lt;=300000,Datos_caracteriz!$G$9,IF($F61&lt;=500000,Datos_caracteriz!$F$9,Datos_caracteriz!$E$9)))))</f>
        <v>8.6582911527777497</v>
      </c>
      <c r="M61" s="824">
        <f>IF($B61="AMBA",Datos_caracteriz!$D$10,IF($F61&lt;=15000,Datos_caracteriz!$I$10,IF($F61&lt;=50000,Datos_caracteriz!$H$10,IF($F61&lt;=300000,Datos_caracteriz!$G$10,IF($F61&lt;=500000,Datos_caracteriz!$F$10,Datos_caracteriz!$E$10)))))</f>
        <v>4.1876249722221894</v>
      </c>
      <c r="N61" s="824">
        <f>IF($B61="AMBA",Datos_caracteriz!$D$11,IF($F61&lt;=15000,Datos_caracteriz!$I$11,IF($F61&lt;=50000,Datos_caracteriz!$H$11,IF($F61&lt;=300000,Datos_caracteriz!$G$11,IF($F61&lt;=500000,Datos_caracteriz!$F$11,Datos_caracteriz!$E$11)))))</f>
        <v>4.5702066666666639</v>
      </c>
    </row>
    <row r="62" spans="1:14" ht="24.95" customHeight="1">
      <c r="A62" s="834">
        <f t="shared" si="0"/>
        <v>58</v>
      </c>
      <c r="B62" s="836"/>
      <c r="C62" s="71" t="str">
        <f>+Pobl_adoptada!A62</f>
        <v>Ensenada</v>
      </c>
      <c r="D62" s="70">
        <f>+Pobl_adoptada!B62</f>
        <v>58</v>
      </c>
      <c r="E62" s="353" t="str">
        <f>+Pobl_adoptada!C62</f>
        <v>Ensenada</v>
      </c>
      <c r="F62" s="817">
        <f>Pobl_adoptada!Q62</f>
        <v>70078</v>
      </c>
      <c r="G62" s="817">
        <f>Pobl_adoptada!AA62</f>
        <v>76403</v>
      </c>
      <c r="H62" s="263">
        <f>+'PROYECCIÓN GENERACIÓN'!P62</f>
        <v>71.479559999999992</v>
      </c>
      <c r="I62" s="263">
        <f>+'PROYECCIÓN GENERACIÓN'!Z62</f>
        <v>77.931060000000002</v>
      </c>
      <c r="J62" s="824">
        <f>IF($B62="AMBA",Datos_caracteriz!$D$7,IF($F62&lt;=15000,Datos_caracteriz!$I$7,IF($F62&lt;=50000,Datos_caracteriz!$H$7,IF($F62&lt;=300000,Datos_caracteriz!$G$7,IF($F62&lt;=500000,Datos_caracteriz!$F$7,Datos_caracteriz!$E$7)))))</f>
        <v>5.0944811463748252</v>
      </c>
      <c r="K62" s="824">
        <f>IF($B62="AMBA",Datos_caracteriz!$D$8,IF($F62&lt;=15000,Datos_caracteriz!$I$8,IF($F62&lt;=50000,Datos_caracteriz!$H$8,IF($F62&lt;=300000,Datos_caracteriz!$G$8,IF($F62&lt;=500000,Datos_caracteriz!$F$8,Datos_caracteriz!$E$8)))))</f>
        <v>17.647404529651318</v>
      </c>
      <c r="L62" s="824">
        <f>IF($B62="AMBA",Datos_caracteriz!$D$9,IF($F62&lt;=15000,Datos_caracteriz!$I$9,IF($F62&lt;=50000,Datos_caracteriz!$H$9,IF($F62&lt;=300000,Datos_caracteriz!$G$9,IF($F62&lt;=500000,Datos_caracteriz!$F$9,Datos_caracteriz!$E$9)))))</f>
        <v>15.698195415822433</v>
      </c>
      <c r="M62" s="824">
        <f>IF($B62="AMBA",Datos_caracteriz!$D$10,IF($F62&lt;=15000,Datos_caracteriz!$I$10,IF($F62&lt;=50000,Datos_caracteriz!$H$10,IF($F62&lt;=300000,Datos_caracteriz!$G$10,IF($F62&lt;=500000,Datos_caracteriz!$F$10,Datos_caracteriz!$E$10)))))</f>
        <v>3.8268589077338007</v>
      </c>
      <c r="N62" s="824">
        <f>IF($B62="AMBA",Datos_caracteriz!$D$11,IF($F62&lt;=15000,Datos_caracteriz!$I$11,IF($F62&lt;=50000,Datos_caracteriz!$H$11,IF($F62&lt;=300000,Datos_caracteriz!$G$11,IF($F62&lt;=500000,Datos_caracteriz!$F$11,Datos_caracteriz!$E$11)))))</f>
        <v>3.0800758591467732</v>
      </c>
    </row>
    <row r="63" spans="1:14" ht="24.95" customHeight="1">
      <c r="A63" s="834">
        <f t="shared" si="0"/>
        <v>59</v>
      </c>
      <c r="B63" s="836"/>
      <c r="C63" s="71" t="str">
        <f>+Pobl_adoptada!A63</f>
        <v>Escobar</v>
      </c>
      <c r="D63" s="70">
        <f>+Pobl_adoptada!B63</f>
        <v>59</v>
      </c>
      <c r="E63" s="353" t="str">
        <f>+Pobl_adoptada!C63</f>
        <v>Escobar</v>
      </c>
      <c r="F63" s="817">
        <f>Pobl_adoptada!Q63</f>
        <v>332612</v>
      </c>
      <c r="G63" s="817">
        <f>Pobl_adoptada!AA63</f>
        <v>380248</v>
      </c>
      <c r="H63" s="263">
        <f>+'PROYECCIÓN GENERACIÓN'!P63</f>
        <v>339.26423999999997</v>
      </c>
      <c r="I63" s="263">
        <f>+'PROYECCIÓN GENERACIÓN'!Z63</f>
        <v>387.85296</v>
      </c>
      <c r="J63" s="824">
        <f>IF($B63="AMBA",Datos_caracteriz!$D$7,IF($F63&lt;=15000,Datos_caracteriz!$I$7,IF($F63&lt;=50000,Datos_caracteriz!$H$7,IF($F63&lt;=300000,Datos_caracteriz!$G$7,IF($F63&lt;=500000,Datos_caracteriz!$F$7,Datos_caracteriz!$E$7)))))</f>
        <v>5.471232037274631</v>
      </c>
      <c r="K63" s="824">
        <f>IF($B63="AMBA",Datos_caracteriz!$D$8,IF($F63&lt;=15000,Datos_caracteriz!$I$8,IF($F63&lt;=50000,Datos_caracteriz!$H$8,IF($F63&lt;=300000,Datos_caracteriz!$G$8,IF($F63&lt;=500000,Datos_caracteriz!$F$8,Datos_caracteriz!$E$8)))))</f>
        <v>17.846067485264378</v>
      </c>
      <c r="L63" s="824">
        <f>IF($B63="AMBA",Datos_caracteriz!$D$9,IF($F63&lt;=15000,Datos_caracteriz!$I$9,IF($F63&lt;=50000,Datos_caracteriz!$H$9,IF($F63&lt;=300000,Datos_caracteriz!$G$9,IF($F63&lt;=500000,Datos_caracteriz!$F$9,Datos_caracteriz!$E$9)))))</f>
        <v>10.840619014960032</v>
      </c>
      <c r="M63" s="824">
        <f>IF($B63="AMBA",Datos_caracteriz!$D$10,IF($F63&lt;=15000,Datos_caracteriz!$I$10,IF($F63&lt;=50000,Datos_caracteriz!$H$10,IF($F63&lt;=300000,Datos_caracteriz!$G$10,IF($F63&lt;=500000,Datos_caracteriz!$F$10,Datos_caracteriz!$E$10)))))</f>
        <v>3.6383622767001427</v>
      </c>
      <c r="N63" s="824">
        <f>IF($B63="AMBA",Datos_caracteriz!$D$11,IF($F63&lt;=15000,Datos_caracteriz!$I$11,IF($F63&lt;=50000,Datos_caracteriz!$H$11,IF($F63&lt;=300000,Datos_caracteriz!$G$11,IF($F63&lt;=500000,Datos_caracteriz!$F$11,Datos_caracteriz!$E$11)))))</f>
        <v>3.8664796975684159</v>
      </c>
    </row>
    <row r="64" spans="1:14" ht="24.95" customHeight="1">
      <c r="A64" s="834">
        <f t="shared" si="0"/>
        <v>60</v>
      </c>
      <c r="B64" s="836"/>
      <c r="C64" s="71" t="str">
        <f>+Pobl_adoptada!A64</f>
        <v>Exaltación de la Cruz</v>
      </c>
      <c r="D64" s="70">
        <f>+Pobl_adoptada!B64</f>
        <v>60</v>
      </c>
      <c r="E64" s="353" t="str">
        <f>+Pobl_adoptada!C64</f>
        <v>Capilla del Señor</v>
      </c>
      <c r="F64" s="817">
        <f>Pobl_adoptada!Q64</f>
        <v>15467</v>
      </c>
      <c r="G64" s="817">
        <f>Pobl_adoptada!AA64</f>
        <v>18752</v>
      </c>
      <c r="H64" s="263">
        <f>+'PROYECCIÓN GENERACIÓN'!P64</f>
        <v>14.229640000000002</v>
      </c>
      <c r="I64" s="263">
        <f>+'PROYECCIÓN GENERACIÓN'!Z64</f>
        <v>17.251840000000001</v>
      </c>
      <c r="J64" s="824">
        <f>IF($B64="AMBA",Datos_caracteriz!$D$7,IF($F64&lt;=15000,Datos_caracteriz!$I$7,IF($F64&lt;=50000,Datos_caracteriz!$H$7,IF($F64&lt;=300000,Datos_caracteriz!$G$7,IF($F64&lt;=500000,Datos_caracteriz!$F$7,Datos_caracteriz!$E$7)))))</f>
        <v>6.3576075694443857</v>
      </c>
      <c r="K64" s="824">
        <f>IF($B64="AMBA",Datos_caracteriz!$D$8,IF($F64&lt;=15000,Datos_caracteriz!$I$8,IF($F64&lt;=50000,Datos_caracteriz!$H$8,IF($F64&lt;=300000,Datos_caracteriz!$G$8,IF($F64&lt;=500000,Datos_caracteriz!$F$8,Datos_caracteriz!$E$8)))))</f>
        <v>19.857028624999995</v>
      </c>
      <c r="L64" s="824">
        <f>IF($B64="AMBA",Datos_caracteriz!$D$9,IF($F64&lt;=15000,Datos_caracteriz!$I$9,IF($F64&lt;=50000,Datos_caracteriz!$H$9,IF($F64&lt;=300000,Datos_caracteriz!$G$9,IF($F64&lt;=500000,Datos_caracteriz!$F$9,Datos_caracteriz!$E$9)))))</f>
        <v>8.6582911527777497</v>
      </c>
      <c r="M64" s="824">
        <f>IF($B64="AMBA",Datos_caracteriz!$D$10,IF($F64&lt;=15000,Datos_caracteriz!$I$10,IF($F64&lt;=50000,Datos_caracteriz!$H$10,IF($F64&lt;=300000,Datos_caracteriz!$G$10,IF($F64&lt;=500000,Datos_caracteriz!$F$10,Datos_caracteriz!$E$10)))))</f>
        <v>4.1876249722221894</v>
      </c>
      <c r="N64" s="824">
        <f>IF($B64="AMBA",Datos_caracteriz!$D$11,IF($F64&lt;=15000,Datos_caracteriz!$I$11,IF($F64&lt;=50000,Datos_caracteriz!$H$11,IF($F64&lt;=300000,Datos_caracteriz!$G$11,IF($F64&lt;=500000,Datos_caracteriz!$F$11,Datos_caracteriz!$E$11)))))</f>
        <v>4.5702066666666639</v>
      </c>
    </row>
    <row r="65" spans="1:14" ht="24.95" customHeight="1">
      <c r="A65" s="834">
        <f t="shared" si="0"/>
        <v>61</v>
      </c>
      <c r="B65" s="836"/>
      <c r="C65" s="71" t="str">
        <f>+Pobl_adoptada!A65</f>
        <v>Florentino Ameghino</v>
      </c>
      <c r="D65" s="70">
        <f>+Pobl_adoptada!B65</f>
        <v>61</v>
      </c>
      <c r="E65" s="353" t="str">
        <f>+Pobl_adoptada!C65</f>
        <v>Florentino Ameghino</v>
      </c>
      <c r="F65" s="817">
        <f>Pobl_adoptada!Q65</f>
        <v>9875</v>
      </c>
      <c r="G65" s="817">
        <f>Pobl_adoptada!AA65</f>
        <v>10941</v>
      </c>
      <c r="H65" s="263">
        <f>+'PROYECCIÓN GENERACIÓN'!P65</f>
        <v>9.0850000000000009</v>
      </c>
      <c r="I65" s="263">
        <f>+'PROYECCIÓN GENERACIÓN'!Z65</f>
        <v>10.065720000000001</v>
      </c>
      <c r="J65" s="824">
        <f>IF($B65="AMBA",Datos_caracteriz!$D$7,IF($F65&lt;=15000,Datos_caracteriz!$I$7,IF($F65&lt;=50000,Datos_caracteriz!$H$7,IF($F65&lt;=300000,Datos_caracteriz!$G$7,IF($F65&lt;=500000,Datos_caracteriz!$F$7,Datos_caracteriz!$E$7)))))</f>
        <v>5</v>
      </c>
      <c r="K65" s="824">
        <f>IF($B65="AMBA",Datos_caracteriz!$D$8,IF($F65&lt;=15000,Datos_caracteriz!$I$8,IF($F65&lt;=50000,Datos_caracteriz!$H$8,IF($F65&lt;=300000,Datos_caracteriz!$G$8,IF($F65&lt;=500000,Datos_caracteriz!$F$8,Datos_caracteriz!$E$8)))))</f>
        <v>16</v>
      </c>
      <c r="L65" s="824">
        <f>IF($B65="AMBA",Datos_caracteriz!$D$9,IF($F65&lt;=15000,Datos_caracteriz!$I$9,IF($F65&lt;=50000,Datos_caracteriz!$H$9,IF($F65&lt;=300000,Datos_caracteriz!$G$9,IF($F65&lt;=500000,Datos_caracteriz!$F$9,Datos_caracteriz!$E$9)))))</f>
        <v>8</v>
      </c>
      <c r="M65" s="824">
        <f>IF($B65="AMBA",Datos_caracteriz!$D$10,IF($F65&lt;=15000,Datos_caracteriz!$I$10,IF($F65&lt;=50000,Datos_caracteriz!$H$10,IF($F65&lt;=300000,Datos_caracteriz!$G$10,IF($F65&lt;=500000,Datos_caracteriz!$F$10,Datos_caracteriz!$E$10)))))</f>
        <v>3</v>
      </c>
      <c r="N65" s="824">
        <f>IF($B65="AMBA",Datos_caracteriz!$D$11,IF($F65&lt;=15000,Datos_caracteriz!$I$11,IF($F65&lt;=50000,Datos_caracteriz!$H$11,IF($F65&lt;=300000,Datos_caracteriz!$G$11,IF($F65&lt;=500000,Datos_caracteriz!$F$11,Datos_caracteriz!$E$11)))))</f>
        <v>4</v>
      </c>
    </row>
    <row r="66" spans="1:14" ht="24.95" customHeight="1">
      <c r="A66" s="834">
        <f t="shared" si="0"/>
        <v>62</v>
      </c>
      <c r="B66" s="836"/>
      <c r="C66" s="71" t="str">
        <f>+Pobl_adoptada!A66</f>
        <v>General Alvarado</v>
      </c>
      <c r="D66" s="70">
        <f>+Pobl_adoptada!B66</f>
        <v>62</v>
      </c>
      <c r="E66" s="353" t="str">
        <f>+Pobl_adoptada!C66</f>
        <v>Miramar</v>
      </c>
      <c r="F66" s="817">
        <f>Pobl_adoptada!Q66</f>
        <v>58060</v>
      </c>
      <c r="G66" s="817">
        <f>Pobl_adoptada!AA66</f>
        <v>65185</v>
      </c>
      <c r="H66" s="263">
        <f>+'PROYECCIÓN GENERACIÓN'!P66</f>
        <v>61.543600000000005</v>
      </c>
      <c r="I66" s="263">
        <f>+'PROYECCIÓN GENERACIÓN'!Z66</f>
        <v>69.096100000000007</v>
      </c>
      <c r="J66" s="824">
        <f>IF($B66="AMBA",Datos_caracteriz!$D$7,IF($F66&lt;=15000,Datos_caracteriz!$I$7,IF($F66&lt;=50000,Datos_caracteriz!$H$7,IF($F66&lt;=300000,Datos_caracteriz!$G$7,IF($F66&lt;=500000,Datos_caracteriz!$F$7,Datos_caracteriz!$E$7)))))</f>
        <v>5.0944811463748252</v>
      </c>
      <c r="K66" s="824">
        <f>IF($B66="AMBA",Datos_caracteriz!$D$8,IF($F66&lt;=15000,Datos_caracteriz!$I$8,IF($F66&lt;=50000,Datos_caracteriz!$H$8,IF($F66&lt;=300000,Datos_caracteriz!$G$8,IF($F66&lt;=500000,Datos_caracteriz!$F$8,Datos_caracteriz!$E$8)))))</f>
        <v>17.647404529651318</v>
      </c>
      <c r="L66" s="824">
        <f>IF($B66="AMBA",Datos_caracteriz!$D$9,IF($F66&lt;=15000,Datos_caracteriz!$I$9,IF($F66&lt;=50000,Datos_caracteriz!$H$9,IF($F66&lt;=300000,Datos_caracteriz!$G$9,IF($F66&lt;=500000,Datos_caracteriz!$F$9,Datos_caracteriz!$E$9)))))</f>
        <v>15.698195415822433</v>
      </c>
      <c r="M66" s="824">
        <f>IF($B66="AMBA",Datos_caracteriz!$D$10,IF($F66&lt;=15000,Datos_caracteriz!$I$10,IF($F66&lt;=50000,Datos_caracteriz!$H$10,IF($F66&lt;=300000,Datos_caracteriz!$G$10,IF($F66&lt;=500000,Datos_caracteriz!$F$10,Datos_caracteriz!$E$10)))))</f>
        <v>3.8268589077338007</v>
      </c>
      <c r="N66" s="824">
        <f>IF($B66="AMBA",Datos_caracteriz!$D$11,IF($F66&lt;=15000,Datos_caracteriz!$I$11,IF($F66&lt;=50000,Datos_caracteriz!$H$11,IF($F66&lt;=300000,Datos_caracteriz!$G$11,IF($F66&lt;=500000,Datos_caracteriz!$F$11,Datos_caracteriz!$E$11)))))</f>
        <v>3.0800758591467732</v>
      </c>
    </row>
    <row r="67" spans="1:14" ht="24.95" customHeight="1">
      <c r="A67" s="834">
        <f t="shared" si="0"/>
        <v>63</v>
      </c>
      <c r="B67" s="836"/>
      <c r="C67" s="71" t="str">
        <f>+Pobl_adoptada!A67</f>
        <v>General Alvear</v>
      </c>
      <c r="D67" s="70">
        <f>+Pobl_adoptada!B67</f>
        <v>63</v>
      </c>
      <c r="E67" s="353" t="str">
        <f>+Pobl_adoptada!C67</f>
        <v>General Alvear</v>
      </c>
      <c r="F67" s="817">
        <f>Pobl_adoptada!Q67</f>
        <v>10584</v>
      </c>
      <c r="G67" s="817">
        <f>Pobl_adoptada!AA67</f>
        <v>10910</v>
      </c>
      <c r="H67" s="263">
        <f>+'PROYECCIÓN GENERACIÓN'!P67</f>
        <v>9.7372800000000002</v>
      </c>
      <c r="I67" s="263">
        <f>+'PROYECCIÓN GENERACIÓN'!Z67</f>
        <v>10.0372</v>
      </c>
      <c r="J67" s="824">
        <f>IF($B67="AMBA",Datos_caracteriz!$D$7,IF($F67&lt;=15000,Datos_caracteriz!$I$7,IF($F67&lt;=50000,Datos_caracteriz!$H$7,IF($F67&lt;=300000,Datos_caracteriz!$G$7,IF($F67&lt;=500000,Datos_caracteriz!$F$7,Datos_caracteriz!$E$7)))))</f>
        <v>5</v>
      </c>
      <c r="K67" s="824">
        <f>IF($B67="AMBA",Datos_caracteriz!$D$8,IF($F67&lt;=15000,Datos_caracteriz!$I$8,IF($F67&lt;=50000,Datos_caracteriz!$H$8,IF($F67&lt;=300000,Datos_caracteriz!$G$8,IF($F67&lt;=500000,Datos_caracteriz!$F$8,Datos_caracteriz!$E$8)))))</f>
        <v>16</v>
      </c>
      <c r="L67" s="824">
        <f>IF($B67="AMBA",Datos_caracteriz!$D$9,IF($F67&lt;=15000,Datos_caracteriz!$I$9,IF($F67&lt;=50000,Datos_caracteriz!$H$9,IF($F67&lt;=300000,Datos_caracteriz!$G$9,IF($F67&lt;=500000,Datos_caracteriz!$F$9,Datos_caracteriz!$E$9)))))</f>
        <v>8</v>
      </c>
      <c r="M67" s="824">
        <f>IF($B67="AMBA",Datos_caracteriz!$D$10,IF($F67&lt;=15000,Datos_caracteriz!$I$10,IF($F67&lt;=50000,Datos_caracteriz!$H$10,IF($F67&lt;=300000,Datos_caracteriz!$G$10,IF($F67&lt;=500000,Datos_caracteriz!$F$10,Datos_caracteriz!$E$10)))))</f>
        <v>3</v>
      </c>
      <c r="N67" s="824">
        <f>IF($B67="AMBA",Datos_caracteriz!$D$11,IF($F67&lt;=15000,Datos_caracteriz!$I$11,IF($F67&lt;=50000,Datos_caracteriz!$H$11,IF($F67&lt;=300000,Datos_caracteriz!$G$11,IF($F67&lt;=500000,Datos_caracteriz!$F$11,Datos_caracteriz!$E$11)))))</f>
        <v>4</v>
      </c>
    </row>
    <row r="68" spans="1:14" ht="24.95" customHeight="1">
      <c r="A68" s="834">
        <f t="shared" si="0"/>
        <v>64</v>
      </c>
      <c r="B68" s="836"/>
      <c r="C68" s="71" t="str">
        <f>+Pobl_adoptada!A68</f>
        <v>General Arenales</v>
      </c>
      <c r="D68" s="70">
        <f>+Pobl_adoptada!B68</f>
        <v>64</v>
      </c>
      <c r="E68" s="353" t="str">
        <f>+Pobl_adoptada!C68</f>
        <v>General Arenales</v>
      </c>
      <c r="F68" s="817">
        <f>Pobl_adoptada!Q68</f>
        <v>5359</v>
      </c>
      <c r="G68" s="817">
        <f>Pobl_adoptada!AA68</f>
        <v>5771</v>
      </c>
      <c r="H68" s="263">
        <f>+'PROYECCIÓN GENERACIÓN'!P68</f>
        <v>4.9302800000000007</v>
      </c>
      <c r="I68" s="263">
        <f>+'PROYECCIÓN GENERACIÓN'!Z68</f>
        <v>5.3093200000000005</v>
      </c>
      <c r="J68" s="824">
        <f>IF($B68="AMBA",Datos_caracteriz!$D$7,IF($F68&lt;=15000,Datos_caracteriz!$I$7,IF($F68&lt;=50000,Datos_caracteriz!$H$7,IF($F68&lt;=300000,Datos_caracteriz!$G$7,IF($F68&lt;=500000,Datos_caracteriz!$F$7,Datos_caracteriz!$E$7)))))</f>
        <v>5</v>
      </c>
      <c r="K68" s="824">
        <f>IF($B68="AMBA",Datos_caracteriz!$D$8,IF($F68&lt;=15000,Datos_caracteriz!$I$8,IF($F68&lt;=50000,Datos_caracteriz!$H$8,IF($F68&lt;=300000,Datos_caracteriz!$G$8,IF($F68&lt;=500000,Datos_caracteriz!$F$8,Datos_caracteriz!$E$8)))))</f>
        <v>16</v>
      </c>
      <c r="L68" s="824">
        <f>IF($B68="AMBA",Datos_caracteriz!$D$9,IF($F68&lt;=15000,Datos_caracteriz!$I$9,IF($F68&lt;=50000,Datos_caracteriz!$H$9,IF($F68&lt;=300000,Datos_caracteriz!$G$9,IF($F68&lt;=500000,Datos_caracteriz!$F$9,Datos_caracteriz!$E$9)))))</f>
        <v>8</v>
      </c>
      <c r="M68" s="824">
        <f>IF($B68="AMBA",Datos_caracteriz!$D$10,IF($F68&lt;=15000,Datos_caracteriz!$I$10,IF($F68&lt;=50000,Datos_caracteriz!$H$10,IF($F68&lt;=300000,Datos_caracteriz!$G$10,IF($F68&lt;=500000,Datos_caracteriz!$F$10,Datos_caracteriz!$E$10)))))</f>
        <v>3</v>
      </c>
      <c r="N68" s="824">
        <f>IF($B68="AMBA",Datos_caracteriz!$D$11,IF($F68&lt;=15000,Datos_caracteriz!$I$11,IF($F68&lt;=50000,Datos_caracteriz!$H$11,IF($F68&lt;=300000,Datos_caracteriz!$G$11,IF($F68&lt;=500000,Datos_caracteriz!$F$11,Datos_caracteriz!$E$11)))))</f>
        <v>4</v>
      </c>
    </row>
    <row r="69" spans="1:14" ht="24.95" customHeight="1">
      <c r="A69" s="834">
        <f t="shared" si="0"/>
        <v>65</v>
      </c>
      <c r="B69" s="836"/>
      <c r="C69" s="71" t="str">
        <f>+Pobl_adoptada!A69</f>
        <v>General Belgrano</v>
      </c>
      <c r="D69" s="70">
        <f>+Pobl_adoptada!B69</f>
        <v>65</v>
      </c>
      <c r="E69" s="353" t="str">
        <f>+Pobl_adoptada!C69</f>
        <v>General Belgrano</v>
      </c>
      <c r="F69" s="817">
        <f>Pobl_adoptada!Q69</f>
        <v>22096</v>
      </c>
      <c r="G69" s="817">
        <f>Pobl_adoptada!AA69</f>
        <v>25532</v>
      </c>
      <c r="H69" s="263">
        <f>+'PROYECCIÓN GENERACIÓN'!P69</f>
        <v>23.421760000000003</v>
      </c>
      <c r="I69" s="263">
        <f>+'PROYECCIÓN GENERACIÓN'!Z69</f>
        <v>27.063920000000003</v>
      </c>
      <c r="J69" s="824">
        <f>IF($B69="AMBA",Datos_caracteriz!$D$7,IF($F69&lt;=15000,Datos_caracteriz!$I$7,IF($F69&lt;=50000,Datos_caracteriz!$H$7,IF($F69&lt;=300000,Datos_caracteriz!$G$7,IF($F69&lt;=500000,Datos_caracteriz!$F$7,Datos_caracteriz!$E$7)))))</f>
        <v>6.3576075694443857</v>
      </c>
      <c r="K69" s="824">
        <f>IF($B69="AMBA",Datos_caracteriz!$D$8,IF($F69&lt;=15000,Datos_caracteriz!$I$8,IF($F69&lt;=50000,Datos_caracteriz!$H$8,IF($F69&lt;=300000,Datos_caracteriz!$G$8,IF($F69&lt;=500000,Datos_caracteriz!$F$8,Datos_caracteriz!$E$8)))))</f>
        <v>19.857028624999995</v>
      </c>
      <c r="L69" s="824">
        <f>IF($B69="AMBA",Datos_caracteriz!$D$9,IF($F69&lt;=15000,Datos_caracteriz!$I$9,IF($F69&lt;=50000,Datos_caracteriz!$H$9,IF($F69&lt;=300000,Datos_caracteriz!$G$9,IF($F69&lt;=500000,Datos_caracteriz!$F$9,Datos_caracteriz!$E$9)))))</f>
        <v>8.6582911527777497</v>
      </c>
      <c r="M69" s="824">
        <f>IF($B69="AMBA",Datos_caracteriz!$D$10,IF($F69&lt;=15000,Datos_caracteriz!$I$10,IF($F69&lt;=50000,Datos_caracteriz!$H$10,IF($F69&lt;=300000,Datos_caracteriz!$G$10,IF($F69&lt;=500000,Datos_caracteriz!$F$10,Datos_caracteriz!$E$10)))))</f>
        <v>4.1876249722221894</v>
      </c>
      <c r="N69" s="824">
        <f>IF($B69="AMBA",Datos_caracteriz!$D$11,IF($F69&lt;=15000,Datos_caracteriz!$I$11,IF($F69&lt;=50000,Datos_caracteriz!$H$11,IF($F69&lt;=300000,Datos_caracteriz!$G$11,IF($F69&lt;=500000,Datos_caracteriz!$F$11,Datos_caracteriz!$E$11)))))</f>
        <v>4.5702066666666639</v>
      </c>
    </row>
    <row r="70" spans="1:14" ht="24.95" customHeight="1">
      <c r="A70" s="834">
        <f t="shared" ref="A70:A133" si="1">+D70</f>
        <v>66</v>
      </c>
      <c r="B70" s="836"/>
      <c r="C70" s="71" t="str">
        <f>+Pobl_adoptada!A70</f>
        <v>General Guido</v>
      </c>
      <c r="D70" s="70">
        <f>+Pobl_adoptada!B70</f>
        <v>66</v>
      </c>
      <c r="E70" s="353" t="str">
        <f>+Pobl_adoptada!C70</f>
        <v>General Guido</v>
      </c>
      <c r="F70" s="817">
        <f>Pobl_adoptada!Q70</f>
        <v>1711</v>
      </c>
      <c r="G70" s="817">
        <f>Pobl_adoptada!AA70</f>
        <v>1915</v>
      </c>
      <c r="H70" s="263">
        <f>+'PROYECCIÓN GENERACIÓN'!P70</f>
        <v>1.5741200000000002</v>
      </c>
      <c r="I70" s="263">
        <f>+'PROYECCIÓN GENERACIÓN'!Z70</f>
        <v>1.7618000000000003</v>
      </c>
      <c r="J70" s="824">
        <f>IF($B70="AMBA",Datos_caracteriz!$D$7,IF($F70&lt;=15000,Datos_caracteriz!$I$7,IF($F70&lt;=50000,Datos_caracteriz!$H$7,IF($F70&lt;=300000,Datos_caracteriz!$G$7,IF($F70&lt;=500000,Datos_caracteriz!$F$7,Datos_caracteriz!$E$7)))))</f>
        <v>5</v>
      </c>
      <c r="K70" s="824">
        <f>IF($B70="AMBA",Datos_caracteriz!$D$8,IF($F70&lt;=15000,Datos_caracteriz!$I$8,IF($F70&lt;=50000,Datos_caracteriz!$H$8,IF($F70&lt;=300000,Datos_caracteriz!$G$8,IF($F70&lt;=500000,Datos_caracteriz!$F$8,Datos_caracteriz!$E$8)))))</f>
        <v>16</v>
      </c>
      <c r="L70" s="824">
        <f>IF($B70="AMBA",Datos_caracteriz!$D$9,IF($F70&lt;=15000,Datos_caracteriz!$I$9,IF($F70&lt;=50000,Datos_caracteriz!$H$9,IF($F70&lt;=300000,Datos_caracteriz!$G$9,IF($F70&lt;=500000,Datos_caracteriz!$F$9,Datos_caracteriz!$E$9)))))</f>
        <v>8</v>
      </c>
      <c r="M70" s="824">
        <f>IF($B70="AMBA",Datos_caracteriz!$D$10,IF($F70&lt;=15000,Datos_caracteriz!$I$10,IF($F70&lt;=50000,Datos_caracteriz!$H$10,IF($F70&lt;=300000,Datos_caracteriz!$G$10,IF($F70&lt;=500000,Datos_caracteriz!$F$10,Datos_caracteriz!$E$10)))))</f>
        <v>3</v>
      </c>
      <c r="N70" s="824">
        <f>IF($B70="AMBA",Datos_caracteriz!$D$11,IF($F70&lt;=15000,Datos_caracteriz!$I$11,IF($F70&lt;=50000,Datos_caracteriz!$H$11,IF($F70&lt;=300000,Datos_caracteriz!$G$11,IF($F70&lt;=500000,Datos_caracteriz!$F$11,Datos_caracteriz!$E$11)))))</f>
        <v>4</v>
      </c>
    </row>
    <row r="71" spans="1:14" ht="24.95" customHeight="1">
      <c r="A71" s="834">
        <f t="shared" si="1"/>
        <v>67</v>
      </c>
      <c r="B71" s="836"/>
      <c r="C71" s="71" t="str">
        <f>+Pobl_adoptada!A71</f>
        <v>General Juan Madariaga</v>
      </c>
      <c r="D71" s="70">
        <f>+Pobl_adoptada!B71</f>
        <v>67</v>
      </c>
      <c r="E71" s="353" t="str">
        <f>+Pobl_adoptada!C71</f>
        <v>General Juan Madariaga</v>
      </c>
      <c r="F71" s="817">
        <f>Pobl_adoptada!Q71</f>
        <v>24966</v>
      </c>
      <c r="G71" s="817">
        <f>Pobl_adoptada!AA71</f>
        <v>28596</v>
      </c>
      <c r="H71" s="263">
        <f>+'PROYECCIÓN GENERACIÓN'!P71</f>
        <v>26.463960000000004</v>
      </c>
      <c r="I71" s="263">
        <f>+'PROYECCIÓN GENERACIÓN'!Z71</f>
        <v>30.311760000000003</v>
      </c>
      <c r="J71" s="824">
        <f>IF($B71="AMBA",Datos_caracteriz!$D$7,IF($F71&lt;=15000,Datos_caracteriz!$I$7,IF($F71&lt;=50000,Datos_caracteriz!$H$7,IF($F71&lt;=300000,Datos_caracteriz!$G$7,IF($F71&lt;=500000,Datos_caracteriz!$F$7,Datos_caracteriz!$E$7)))))</f>
        <v>6.3576075694443857</v>
      </c>
      <c r="K71" s="824">
        <f>IF($B71="AMBA",Datos_caracteriz!$D$8,IF($F71&lt;=15000,Datos_caracteriz!$I$8,IF($F71&lt;=50000,Datos_caracteriz!$H$8,IF($F71&lt;=300000,Datos_caracteriz!$G$8,IF($F71&lt;=500000,Datos_caracteriz!$F$8,Datos_caracteriz!$E$8)))))</f>
        <v>19.857028624999995</v>
      </c>
      <c r="L71" s="824">
        <f>IF($B71="AMBA",Datos_caracteriz!$D$9,IF($F71&lt;=15000,Datos_caracteriz!$I$9,IF($F71&lt;=50000,Datos_caracteriz!$H$9,IF($F71&lt;=300000,Datos_caracteriz!$G$9,IF($F71&lt;=500000,Datos_caracteriz!$F$9,Datos_caracteriz!$E$9)))))</f>
        <v>8.6582911527777497</v>
      </c>
      <c r="M71" s="824">
        <f>IF($B71="AMBA",Datos_caracteriz!$D$10,IF($F71&lt;=15000,Datos_caracteriz!$I$10,IF($F71&lt;=50000,Datos_caracteriz!$H$10,IF($F71&lt;=300000,Datos_caracteriz!$G$10,IF($F71&lt;=500000,Datos_caracteriz!$F$10,Datos_caracteriz!$E$10)))))</f>
        <v>4.1876249722221894</v>
      </c>
      <c r="N71" s="824">
        <f>IF($B71="AMBA",Datos_caracteriz!$D$11,IF($F71&lt;=15000,Datos_caracteriz!$I$11,IF($F71&lt;=50000,Datos_caracteriz!$H$11,IF($F71&lt;=300000,Datos_caracteriz!$G$11,IF($F71&lt;=500000,Datos_caracteriz!$F$11,Datos_caracteriz!$E$11)))))</f>
        <v>4.5702066666666639</v>
      </c>
    </row>
    <row r="72" spans="1:14" ht="24.95" customHeight="1">
      <c r="A72" s="834">
        <f t="shared" si="1"/>
        <v>68</v>
      </c>
      <c r="B72" s="836"/>
      <c r="C72" s="71" t="str">
        <f>+Pobl_adoptada!A72</f>
        <v>General La Madrid</v>
      </c>
      <c r="D72" s="70">
        <f>+Pobl_adoptada!B72</f>
        <v>68</v>
      </c>
      <c r="E72" s="353" t="str">
        <f>+Pobl_adoptada!C72</f>
        <v>General La Madrid</v>
      </c>
      <c r="F72" s="817">
        <f>Pobl_adoptada!Q72</f>
        <v>10526</v>
      </c>
      <c r="G72" s="817">
        <f>Pobl_adoptada!AA72</f>
        <v>12029</v>
      </c>
      <c r="H72" s="263">
        <f>+'PROYECCIÓN GENERACIÓN'!P72</f>
        <v>9.6839200000000005</v>
      </c>
      <c r="I72" s="263">
        <f>+'PROYECCIÓN GENERACIÓN'!Z72</f>
        <v>11.06668</v>
      </c>
      <c r="J72" s="824">
        <f>IF($B72="AMBA",Datos_caracteriz!$D$7,IF($F72&lt;=15000,Datos_caracteriz!$I$7,IF($F72&lt;=50000,Datos_caracteriz!$H$7,IF($F72&lt;=300000,Datos_caracteriz!$G$7,IF($F72&lt;=500000,Datos_caracteriz!$F$7,Datos_caracteriz!$E$7)))))</f>
        <v>5</v>
      </c>
      <c r="K72" s="824">
        <f>IF($B72="AMBA",Datos_caracteriz!$D$8,IF($F72&lt;=15000,Datos_caracteriz!$I$8,IF($F72&lt;=50000,Datos_caracteriz!$H$8,IF($F72&lt;=300000,Datos_caracteriz!$G$8,IF($F72&lt;=500000,Datos_caracteriz!$F$8,Datos_caracteriz!$E$8)))))</f>
        <v>16</v>
      </c>
      <c r="L72" s="824">
        <f>IF($B72="AMBA",Datos_caracteriz!$D$9,IF($F72&lt;=15000,Datos_caracteriz!$I$9,IF($F72&lt;=50000,Datos_caracteriz!$H$9,IF($F72&lt;=300000,Datos_caracteriz!$G$9,IF($F72&lt;=500000,Datos_caracteriz!$F$9,Datos_caracteriz!$E$9)))))</f>
        <v>8</v>
      </c>
      <c r="M72" s="824">
        <f>IF($B72="AMBA",Datos_caracteriz!$D$10,IF($F72&lt;=15000,Datos_caracteriz!$I$10,IF($F72&lt;=50000,Datos_caracteriz!$H$10,IF($F72&lt;=300000,Datos_caracteriz!$G$10,IF($F72&lt;=500000,Datos_caracteriz!$F$10,Datos_caracteriz!$E$10)))))</f>
        <v>3</v>
      </c>
      <c r="N72" s="824">
        <f>IF($B72="AMBA",Datos_caracteriz!$D$11,IF($F72&lt;=15000,Datos_caracteriz!$I$11,IF($F72&lt;=50000,Datos_caracteriz!$H$11,IF($F72&lt;=300000,Datos_caracteriz!$G$11,IF($F72&lt;=500000,Datos_caracteriz!$F$11,Datos_caracteriz!$E$11)))))</f>
        <v>4</v>
      </c>
    </row>
    <row r="73" spans="1:14" ht="24.95" customHeight="1">
      <c r="A73" s="834">
        <f t="shared" si="1"/>
        <v>69</v>
      </c>
      <c r="B73" s="836"/>
      <c r="C73" s="71" t="str">
        <f>+Pobl_adoptada!A73</f>
        <v>General Las Heras</v>
      </c>
      <c r="D73" s="70">
        <f>+Pobl_adoptada!B73</f>
        <v>69</v>
      </c>
      <c r="E73" s="353" t="str">
        <f>+Pobl_adoptada!C73</f>
        <v>General Las Heras</v>
      </c>
      <c r="F73" s="817">
        <f>Pobl_adoptada!Q73</f>
        <v>15983</v>
      </c>
      <c r="G73" s="817">
        <f>Pobl_adoptada!AA73</f>
        <v>17835</v>
      </c>
      <c r="H73" s="263">
        <f>+'PROYECCIÓN GENERACIÓN'!P73</f>
        <v>14.704360000000001</v>
      </c>
      <c r="I73" s="263">
        <f>+'PROYECCIÓN GENERACIÓN'!Z73</f>
        <v>16.408200000000001</v>
      </c>
      <c r="J73" s="824">
        <f>IF($B73="AMBA",Datos_caracteriz!$D$7,IF($F73&lt;=15000,Datos_caracteriz!$I$7,IF($F73&lt;=50000,Datos_caracteriz!$H$7,IF($F73&lt;=300000,Datos_caracteriz!$G$7,IF($F73&lt;=500000,Datos_caracteriz!$F$7,Datos_caracteriz!$E$7)))))</f>
        <v>6.3576075694443857</v>
      </c>
      <c r="K73" s="824">
        <f>IF($B73="AMBA",Datos_caracteriz!$D$8,IF($F73&lt;=15000,Datos_caracteriz!$I$8,IF($F73&lt;=50000,Datos_caracteriz!$H$8,IF($F73&lt;=300000,Datos_caracteriz!$G$8,IF($F73&lt;=500000,Datos_caracteriz!$F$8,Datos_caracteriz!$E$8)))))</f>
        <v>19.857028624999995</v>
      </c>
      <c r="L73" s="824">
        <f>IF($B73="AMBA",Datos_caracteriz!$D$9,IF($F73&lt;=15000,Datos_caracteriz!$I$9,IF($F73&lt;=50000,Datos_caracteriz!$H$9,IF($F73&lt;=300000,Datos_caracteriz!$G$9,IF($F73&lt;=500000,Datos_caracteriz!$F$9,Datos_caracteriz!$E$9)))))</f>
        <v>8.6582911527777497</v>
      </c>
      <c r="M73" s="824">
        <f>IF($B73="AMBA",Datos_caracteriz!$D$10,IF($F73&lt;=15000,Datos_caracteriz!$I$10,IF($F73&lt;=50000,Datos_caracteriz!$H$10,IF($F73&lt;=300000,Datos_caracteriz!$G$10,IF($F73&lt;=500000,Datos_caracteriz!$F$10,Datos_caracteriz!$E$10)))))</f>
        <v>4.1876249722221894</v>
      </c>
      <c r="N73" s="824">
        <f>IF($B73="AMBA",Datos_caracteriz!$D$11,IF($F73&lt;=15000,Datos_caracteriz!$I$11,IF($F73&lt;=50000,Datos_caracteriz!$H$11,IF($F73&lt;=300000,Datos_caracteriz!$G$11,IF($F73&lt;=500000,Datos_caracteriz!$F$11,Datos_caracteriz!$E$11)))))</f>
        <v>4.5702066666666639</v>
      </c>
    </row>
    <row r="74" spans="1:14" ht="24.95" customHeight="1">
      <c r="A74" s="834">
        <f t="shared" si="1"/>
        <v>70</v>
      </c>
      <c r="B74" s="836"/>
      <c r="C74" s="71" t="str">
        <f>+Pobl_adoptada!A74</f>
        <v>General Lavalle</v>
      </c>
      <c r="D74" s="70">
        <f>+Pobl_adoptada!B74</f>
        <v>70</v>
      </c>
      <c r="E74" s="353" t="str">
        <f>+Pobl_adoptada!C74</f>
        <v>General Lavalle</v>
      </c>
      <c r="F74" s="817">
        <f>Pobl_adoptada!Q74</f>
        <v>3330</v>
      </c>
      <c r="G74" s="817">
        <f>Pobl_adoptada!AA74</f>
        <v>4233</v>
      </c>
      <c r="H74" s="263">
        <f>+'PROYECCIÓN GENERACIÓN'!P74</f>
        <v>3.0636000000000001</v>
      </c>
      <c r="I74" s="263">
        <f>+'PROYECCIÓN GENERACIÓN'!Z74</f>
        <v>3.8943600000000003</v>
      </c>
      <c r="J74" s="824">
        <f>IF($B74="AMBA",Datos_caracteriz!$D$7,IF($F74&lt;=15000,Datos_caracteriz!$I$7,IF($F74&lt;=50000,Datos_caracteriz!$H$7,IF($F74&lt;=300000,Datos_caracteriz!$G$7,IF($F74&lt;=500000,Datos_caracteriz!$F$7,Datos_caracteriz!$E$7)))))</f>
        <v>5</v>
      </c>
      <c r="K74" s="824">
        <f>IF($B74="AMBA",Datos_caracteriz!$D$8,IF($F74&lt;=15000,Datos_caracteriz!$I$8,IF($F74&lt;=50000,Datos_caracteriz!$H$8,IF($F74&lt;=300000,Datos_caracteriz!$G$8,IF($F74&lt;=500000,Datos_caracteriz!$F$8,Datos_caracteriz!$E$8)))))</f>
        <v>16</v>
      </c>
      <c r="L74" s="824">
        <f>IF($B74="AMBA",Datos_caracteriz!$D$9,IF($F74&lt;=15000,Datos_caracteriz!$I$9,IF($F74&lt;=50000,Datos_caracteriz!$H$9,IF($F74&lt;=300000,Datos_caracteriz!$G$9,IF($F74&lt;=500000,Datos_caracteriz!$F$9,Datos_caracteriz!$E$9)))))</f>
        <v>8</v>
      </c>
      <c r="M74" s="824">
        <f>IF($B74="AMBA",Datos_caracteriz!$D$10,IF($F74&lt;=15000,Datos_caracteriz!$I$10,IF($F74&lt;=50000,Datos_caracteriz!$H$10,IF($F74&lt;=300000,Datos_caracteriz!$G$10,IF($F74&lt;=500000,Datos_caracteriz!$F$10,Datos_caracteriz!$E$10)))))</f>
        <v>3</v>
      </c>
      <c r="N74" s="824">
        <f>IF($B74="AMBA",Datos_caracteriz!$D$11,IF($F74&lt;=15000,Datos_caracteriz!$I$11,IF($F74&lt;=50000,Datos_caracteriz!$H$11,IF($F74&lt;=300000,Datos_caracteriz!$G$11,IF($F74&lt;=500000,Datos_caracteriz!$F$11,Datos_caracteriz!$E$11)))))</f>
        <v>4</v>
      </c>
    </row>
    <row r="75" spans="1:14" ht="24.95" customHeight="1">
      <c r="A75" s="834">
        <f t="shared" si="1"/>
        <v>71</v>
      </c>
      <c r="B75" s="836"/>
      <c r="C75" s="71" t="str">
        <f>+Pobl_adoptada!A75</f>
        <v>General Paz</v>
      </c>
      <c r="D75" s="70">
        <f>+Pobl_adoptada!B75</f>
        <v>71</v>
      </c>
      <c r="E75" s="353" t="str">
        <f>+Pobl_adoptada!C75</f>
        <v>Ranchos</v>
      </c>
      <c r="F75" s="817">
        <f>Pobl_adoptada!Q75</f>
        <v>12243</v>
      </c>
      <c r="G75" s="817">
        <f>Pobl_adoptada!AA75</f>
        <v>14418</v>
      </c>
      <c r="H75" s="263">
        <f>+'PROYECCIÓN GENERACIÓN'!P75</f>
        <v>11.263560000000002</v>
      </c>
      <c r="I75" s="263">
        <f>+'PROYECCIÓN GENERACIÓN'!Z75</f>
        <v>13.264560000000001</v>
      </c>
      <c r="J75" s="824">
        <f>IF($B75="AMBA",Datos_caracteriz!$D$7,IF($F75&lt;=15000,Datos_caracteriz!$I$7,IF($F75&lt;=50000,Datos_caracteriz!$H$7,IF($F75&lt;=300000,Datos_caracteriz!$G$7,IF($F75&lt;=500000,Datos_caracteriz!$F$7,Datos_caracteriz!$E$7)))))</f>
        <v>5</v>
      </c>
      <c r="K75" s="824">
        <f>IF($B75="AMBA",Datos_caracteriz!$D$8,IF($F75&lt;=15000,Datos_caracteriz!$I$8,IF($F75&lt;=50000,Datos_caracteriz!$H$8,IF($F75&lt;=300000,Datos_caracteriz!$G$8,IF($F75&lt;=500000,Datos_caracteriz!$F$8,Datos_caracteriz!$E$8)))))</f>
        <v>16</v>
      </c>
      <c r="L75" s="824">
        <f>IF($B75="AMBA",Datos_caracteriz!$D$9,IF($F75&lt;=15000,Datos_caracteriz!$I$9,IF($F75&lt;=50000,Datos_caracteriz!$H$9,IF($F75&lt;=300000,Datos_caracteriz!$G$9,IF($F75&lt;=500000,Datos_caracteriz!$F$9,Datos_caracteriz!$E$9)))))</f>
        <v>8</v>
      </c>
      <c r="M75" s="824">
        <f>IF($B75="AMBA",Datos_caracteriz!$D$10,IF($F75&lt;=15000,Datos_caracteriz!$I$10,IF($F75&lt;=50000,Datos_caracteriz!$H$10,IF($F75&lt;=300000,Datos_caracteriz!$G$10,IF($F75&lt;=500000,Datos_caracteriz!$F$10,Datos_caracteriz!$E$10)))))</f>
        <v>3</v>
      </c>
      <c r="N75" s="824">
        <f>IF($B75="AMBA",Datos_caracteriz!$D$11,IF($F75&lt;=15000,Datos_caracteriz!$I$11,IF($F75&lt;=50000,Datos_caracteriz!$H$11,IF($F75&lt;=300000,Datos_caracteriz!$G$11,IF($F75&lt;=500000,Datos_caracteriz!$F$11,Datos_caracteriz!$E$11)))))</f>
        <v>4</v>
      </c>
    </row>
    <row r="76" spans="1:14" ht="24.95" customHeight="1">
      <c r="A76" s="834">
        <f t="shared" si="1"/>
        <v>72</v>
      </c>
      <c r="B76" s="836"/>
      <c r="C76" s="71" t="str">
        <f>+Pobl_adoptada!A76</f>
        <v>General Pinto</v>
      </c>
      <c r="D76" s="70">
        <f>+Pobl_adoptada!B76</f>
        <v>72</v>
      </c>
      <c r="E76" s="353" t="str">
        <f>+Pobl_adoptada!C76</f>
        <v>General Pinto</v>
      </c>
      <c r="F76" s="817">
        <f>Pobl_adoptada!Q76</f>
        <v>7666</v>
      </c>
      <c r="G76" s="817">
        <f>Pobl_adoptada!AA76</f>
        <v>8110</v>
      </c>
      <c r="H76" s="263">
        <f>+'PROYECCIÓN GENERACIÓN'!P76</f>
        <v>7.0527199999999999</v>
      </c>
      <c r="I76" s="263">
        <f>+'PROYECCIÓN GENERACIÓN'!Z76</f>
        <v>7.4612000000000007</v>
      </c>
      <c r="J76" s="824">
        <f>IF($B76="AMBA",Datos_caracteriz!$D$7,IF($F76&lt;=15000,Datos_caracteriz!$I$7,IF($F76&lt;=50000,Datos_caracteriz!$H$7,IF($F76&lt;=300000,Datos_caracteriz!$G$7,IF($F76&lt;=500000,Datos_caracteriz!$F$7,Datos_caracteriz!$E$7)))))</f>
        <v>5</v>
      </c>
      <c r="K76" s="824">
        <f>IF($B76="AMBA",Datos_caracteriz!$D$8,IF($F76&lt;=15000,Datos_caracteriz!$I$8,IF($F76&lt;=50000,Datos_caracteriz!$H$8,IF($F76&lt;=300000,Datos_caracteriz!$G$8,IF($F76&lt;=500000,Datos_caracteriz!$F$8,Datos_caracteriz!$E$8)))))</f>
        <v>16</v>
      </c>
      <c r="L76" s="824">
        <f>IF($B76="AMBA",Datos_caracteriz!$D$9,IF($F76&lt;=15000,Datos_caracteriz!$I$9,IF($F76&lt;=50000,Datos_caracteriz!$H$9,IF($F76&lt;=300000,Datos_caracteriz!$G$9,IF($F76&lt;=500000,Datos_caracteriz!$F$9,Datos_caracteriz!$E$9)))))</f>
        <v>8</v>
      </c>
      <c r="M76" s="824">
        <f>IF($B76="AMBA",Datos_caracteriz!$D$10,IF($F76&lt;=15000,Datos_caracteriz!$I$10,IF($F76&lt;=50000,Datos_caracteriz!$H$10,IF($F76&lt;=300000,Datos_caracteriz!$G$10,IF($F76&lt;=500000,Datos_caracteriz!$F$10,Datos_caracteriz!$E$10)))))</f>
        <v>3</v>
      </c>
      <c r="N76" s="824">
        <f>IF($B76="AMBA",Datos_caracteriz!$D$11,IF($F76&lt;=15000,Datos_caracteriz!$I$11,IF($F76&lt;=50000,Datos_caracteriz!$H$11,IF($F76&lt;=300000,Datos_caracteriz!$G$11,IF($F76&lt;=500000,Datos_caracteriz!$F$11,Datos_caracteriz!$E$11)))))</f>
        <v>4</v>
      </c>
    </row>
    <row r="77" spans="1:14" ht="24.95" customHeight="1">
      <c r="A77" s="834">
        <f t="shared" si="1"/>
        <v>73</v>
      </c>
      <c r="B77" s="836"/>
      <c r="C77" s="71" t="str">
        <f>+Pobl_adoptada!A77</f>
        <v>General Pueyrredón</v>
      </c>
      <c r="D77" s="70">
        <f>+Pobl_adoptada!B77</f>
        <v>73</v>
      </c>
      <c r="E77" s="353" t="str">
        <f>+Pobl_adoptada!C77</f>
        <v>Mar del Plata</v>
      </c>
      <c r="F77" s="817">
        <f>Pobl_adoptada!Q77</f>
        <v>816453</v>
      </c>
      <c r="G77" s="817">
        <f>Pobl_adoptada!AA77</f>
        <v>882695</v>
      </c>
      <c r="H77" s="263">
        <f>+'PROYECCIÓN GENERACIÓN'!P77</f>
        <v>1151.1987300000001</v>
      </c>
      <c r="I77" s="263">
        <f>+'PROYECCIÓN GENERACIÓN'!Z77</f>
        <v>1244.59995</v>
      </c>
      <c r="J77" s="824">
        <f>IF($B77="AMBA",Datos_caracteriz!$D$7,IF($F77&lt;=15000,Datos_caracteriz!$I$7,IF($F77&lt;=50000,Datos_caracteriz!$H$7,IF($F77&lt;=300000,Datos_caracteriz!$G$7,IF($F77&lt;=500000,Datos_caracteriz!$F$7,Datos_caracteriz!$E$7)))))</f>
        <v>5.451271347706439</v>
      </c>
      <c r="K77" s="824">
        <f>IF($B77="AMBA",Datos_caracteriz!$D$8,IF($F77&lt;=15000,Datos_caracteriz!$I$8,IF($F77&lt;=50000,Datos_caracteriz!$H$8,IF($F77&lt;=300000,Datos_caracteriz!$G$8,IF($F77&lt;=500000,Datos_caracteriz!$F$8,Datos_caracteriz!$E$8)))))</f>
        <v>17.862967276575926</v>
      </c>
      <c r="L77" s="824">
        <f>IF($B77="AMBA",Datos_caracteriz!$D$9,IF($F77&lt;=15000,Datos_caracteriz!$I$9,IF($F77&lt;=50000,Datos_caracteriz!$H$9,IF($F77&lt;=300000,Datos_caracteriz!$G$9,IF($F77&lt;=500000,Datos_caracteriz!$F$9,Datos_caracteriz!$E$9)))))</f>
        <v>10.946733874072363</v>
      </c>
      <c r="M77" s="824">
        <f>IF($B77="AMBA",Datos_caracteriz!$D$10,IF($F77&lt;=15000,Datos_caracteriz!$I$10,IF($F77&lt;=50000,Datos_caracteriz!$H$10,IF($F77&lt;=300000,Datos_caracteriz!$G$10,IF($F77&lt;=500000,Datos_caracteriz!$F$10,Datos_caracteriz!$E$10)))))</f>
        <v>3.591913781633354</v>
      </c>
      <c r="N77" s="824">
        <f>IF($B77="AMBA",Datos_caracteriz!$D$11,IF($F77&lt;=15000,Datos_caracteriz!$I$11,IF($F77&lt;=50000,Datos_caracteriz!$H$11,IF($F77&lt;=300000,Datos_caracteriz!$G$11,IF($F77&lt;=500000,Datos_caracteriz!$F$11,Datos_caracteriz!$E$11)))))</f>
        <v>3.837975571262076</v>
      </c>
    </row>
    <row r="78" spans="1:14" ht="24.95" customHeight="1">
      <c r="A78" s="834">
        <f t="shared" si="1"/>
        <v>74</v>
      </c>
      <c r="B78" s="836"/>
      <c r="C78" s="71" t="str">
        <f>+Pobl_adoptada!A78</f>
        <v>General Rodríguez</v>
      </c>
      <c r="D78" s="70">
        <f>+Pobl_adoptada!B78</f>
        <v>74</v>
      </c>
      <c r="E78" s="353" t="str">
        <f>+Pobl_adoptada!C78</f>
        <v>General Rodríguez</v>
      </c>
      <c r="F78" s="817">
        <f>Pobl_adoptada!Q78</f>
        <v>199395</v>
      </c>
      <c r="G78" s="817">
        <f>Pobl_adoptada!AA78</f>
        <v>259619</v>
      </c>
      <c r="H78" s="263">
        <f>+'PROYECCIÓN GENERACIÓN'!P78</f>
        <v>203.38290000000001</v>
      </c>
      <c r="I78" s="263">
        <f>+'PROYECCIÓN GENERACIÓN'!Z78</f>
        <v>264.81137999999999</v>
      </c>
      <c r="J78" s="824">
        <f>IF($B78="AMBA",Datos_caracteriz!$D$7,IF($F78&lt;=15000,Datos_caracteriz!$I$7,IF($F78&lt;=50000,Datos_caracteriz!$H$7,IF($F78&lt;=300000,Datos_caracteriz!$G$7,IF($F78&lt;=500000,Datos_caracteriz!$F$7,Datos_caracteriz!$E$7)))))</f>
        <v>5.0944811463748252</v>
      </c>
      <c r="K78" s="824">
        <f>IF($B78="AMBA",Datos_caracteriz!$D$8,IF($F78&lt;=15000,Datos_caracteriz!$I$8,IF($F78&lt;=50000,Datos_caracteriz!$H$8,IF($F78&lt;=300000,Datos_caracteriz!$G$8,IF($F78&lt;=500000,Datos_caracteriz!$F$8,Datos_caracteriz!$E$8)))))</f>
        <v>17.647404529651318</v>
      </c>
      <c r="L78" s="824">
        <f>IF($B78="AMBA",Datos_caracteriz!$D$9,IF($F78&lt;=15000,Datos_caracteriz!$I$9,IF($F78&lt;=50000,Datos_caracteriz!$H$9,IF($F78&lt;=300000,Datos_caracteriz!$G$9,IF($F78&lt;=500000,Datos_caracteriz!$F$9,Datos_caracteriz!$E$9)))))</f>
        <v>15.698195415822433</v>
      </c>
      <c r="M78" s="824">
        <f>IF($B78="AMBA",Datos_caracteriz!$D$10,IF($F78&lt;=15000,Datos_caracteriz!$I$10,IF($F78&lt;=50000,Datos_caracteriz!$H$10,IF($F78&lt;=300000,Datos_caracteriz!$G$10,IF($F78&lt;=500000,Datos_caracteriz!$F$10,Datos_caracteriz!$E$10)))))</f>
        <v>3.8268589077338007</v>
      </c>
      <c r="N78" s="824">
        <f>IF($B78="AMBA",Datos_caracteriz!$D$11,IF($F78&lt;=15000,Datos_caracteriz!$I$11,IF($F78&lt;=50000,Datos_caracteriz!$H$11,IF($F78&lt;=300000,Datos_caracteriz!$G$11,IF($F78&lt;=500000,Datos_caracteriz!$F$11,Datos_caracteriz!$E$11)))))</f>
        <v>3.0800758591467732</v>
      </c>
    </row>
    <row r="79" spans="1:14" ht="24.95" customHeight="1">
      <c r="A79" s="834">
        <f t="shared" si="1"/>
        <v>75</v>
      </c>
      <c r="B79" s="836"/>
      <c r="C79" s="71" t="str">
        <f>+Pobl_adoptada!A79</f>
        <v>General Viamonte</v>
      </c>
      <c r="D79" s="70">
        <f>+Pobl_adoptada!B79</f>
        <v>75</v>
      </c>
      <c r="E79" s="353" t="str">
        <f>+Pobl_adoptada!C79</f>
        <v>Los Toldos</v>
      </c>
      <c r="F79" s="817">
        <f>Pobl_adoptada!Q79</f>
        <v>17552</v>
      </c>
      <c r="G79" s="817">
        <f>Pobl_adoptada!AA79</f>
        <v>18766</v>
      </c>
      <c r="H79" s="263">
        <f>+'PROYECCIÓN GENERACIÓN'!P79</f>
        <v>18.605120000000003</v>
      </c>
      <c r="I79" s="263">
        <f>+'PROYECCIÓN GENERACIÓN'!Z79</f>
        <v>19.891960000000005</v>
      </c>
      <c r="J79" s="824">
        <f>IF($B79="AMBA",Datos_caracteriz!$D$7,IF($F79&lt;=15000,Datos_caracteriz!$I$7,IF($F79&lt;=50000,Datos_caracteriz!$H$7,IF($F79&lt;=300000,Datos_caracteriz!$G$7,IF($F79&lt;=500000,Datos_caracteriz!$F$7,Datos_caracteriz!$E$7)))))</f>
        <v>6.3576075694443857</v>
      </c>
      <c r="K79" s="824">
        <f>IF($B79="AMBA",Datos_caracteriz!$D$8,IF($F79&lt;=15000,Datos_caracteriz!$I$8,IF($F79&lt;=50000,Datos_caracteriz!$H$8,IF($F79&lt;=300000,Datos_caracteriz!$G$8,IF($F79&lt;=500000,Datos_caracteriz!$F$8,Datos_caracteriz!$E$8)))))</f>
        <v>19.857028624999995</v>
      </c>
      <c r="L79" s="824">
        <f>IF($B79="AMBA",Datos_caracteriz!$D$9,IF($F79&lt;=15000,Datos_caracteriz!$I$9,IF($F79&lt;=50000,Datos_caracteriz!$H$9,IF($F79&lt;=300000,Datos_caracteriz!$G$9,IF($F79&lt;=500000,Datos_caracteriz!$F$9,Datos_caracteriz!$E$9)))))</f>
        <v>8.6582911527777497</v>
      </c>
      <c r="M79" s="824">
        <f>IF($B79="AMBA",Datos_caracteriz!$D$10,IF($F79&lt;=15000,Datos_caracteriz!$I$10,IF($F79&lt;=50000,Datos_caracteriz!$H$10,IF($F79&lt;=300000,Datos_caracteriz!$G$10,IF($F79&lt;=500000,Datos_caracteriz!$F$10,Datos_caracteriz!$E$10)))))</f>
        <v>4.1876249722221894</v>
      </c>
      <c r="N79" s="824">
        <f>IF($B79="AMBA",Datos_caracteriz!$D$11,IF($F79&lt;=15000,Datos_caracteriz!$I$11,IF($F79&lt;=50000,Datos_caracteriz!$H$11,IF($F79&lt;=300000,Datos_caracteriz!$G$11,IF($F79&lt;=500000,Datos_caracteriz!$F$11,Datos_caracteriz!$E$11)))))</f>
        <v>4.5702066666666639</v>
      </c>
    </row>
    <row r="80" spans="1:14" ht="24.95" customHeight="1">
      <c r="A80" s="834">
        <f t="shared" si="1"/>
        <v>76</v>
      </c>
      <c r="B80" s="836"/>
      <c r="C80" s="71" t="str">
        <f>+Pobl_adoptada!A80</f>
        <v>General Villegas</v>
      </c>
      <c r="D80" s="70">
        <f>+Pobl_adoptada!B80</f>
        <v>76</v>
      </c>
      <c r="E80" s="353" t="str">
        <f>+Pobl_adoptada!C80</f>
        <v>General Villegas</v>
      </c>
      <c r="F80" s="817">
        <f>Pobl_adoptada!Q80</f>
        <v>25238</v>
      </c>
      <c r="G80" s="817">
        <f>Pobl_adoptada!AA80</f>
        <v>28716</v>
      </c>
      <c r="H80" s="263">
        <f>+'PROYECCIÓN GENERACIÓN'!P80</f>
        <v>26.752280000000003</v>
      </c>
      <c r="I80" s="263">
        <f>+'PROYECCIÓN GENERACIÓN'!Z80</f>
        <v>30.438960000000002</v>
      </c>
      <c r="J80" s="824">
        <f>IF($B80="AMBA",Datos_caracteriz!$D$7,IF($F80&lt;=15000,Datos_caracteriz!$I$7,IF($F80&lt;=50000,Datos_caracteriz!$H$7,IF($F80&lt;=300000,Datos_caracteriz!$G$7,IF($F80&lt;=500000,Datos_caracteriz!$F$7,Datos_caracteriz!$E$7)))))</f>
        <v>6.3576075694443857</v>
      </c>
      <c r="K80" s="824">
        <f>IF($B80="AMBA",Datos_caracteriz!$D$8,IF($F80&lt;=15000,Datos_caracteriz!$I$8,IF($F80&lt;=50000,Datos_caracteriz!$H$8,IF($F80&lt;=300000,Datos_caracteriz!$G$8,IF($F80&lt;=500000,Datos_caracteriz!$F$8,Datos_caracteriz!$E$8)))))</f>
        <v>19.857028624999995</v>
      </c>
      <c r="L80" s="824">
        <f>IF($B80="AMBA",Datos_caracteriz!$D$9,IF($F80&lt;=15000,Datos_caracteriz!$I$9,IF($F80&lt;=50000,Datos_caracteriz!$H$9,IF($F80&lt;=300000,Datos_caracteriz!$G$9,IF($F80&lt;=500000,Datos_caracteriz!$F$9,Datos_caracteriz!$E$9)))))</f>
        <v>8.6582911527777497</v>
      </c>
      <c r="M80" s="824">
        <f>IF($B80="AMBA",Datos_caracteriz!$D$10,IF($F80&lt;=15000,Datos_caracteriz!$I$10,IF($F80&lt;=50000,Datos_caracteriz!$H$10,IF($F80&lt;=300000,Datos_caracteriz!$G$10,IF($F80&lt;=500000,Datos_caracteriz!$F$10,Datos_caracteriz!$E$10)))))</f>
        <v>4.1876249722221894</v>
      </c>
      <c r="N80" s="824">
        <f>IF($B80="AMBA",Datos_caracteriz!$D$11,IF($F80&lt;=15000,Datos_caracteriz!$I$11,IF($F80&lt;=50000,Datos_caracteriz!$H$11,IF($F80&lt;=300000,Datos_caracteriz!$G$11,IF($F80&lt;=500000,Datos_caracteriz!$F$11,Datos_caracteriz!$E$11)))))</f>
        <v>4.5702066666666639</v>
      </c>
    </row>
    <row r="81" spans="1:14" ht="24.95" customHeight="1">
      <c r="A81" s="834">
        <f t="shared" si="1"/>
        <v>77</v>
      </c>
      <c r="B81" s="836"/>
      <c r="C81" s="71" t="str">
        <f>+Pobl_adoptada!A81</f>
        <v>Guaminí</v>
      </c>
      <c r="D81" s="70">
        <f>+Pobl_adoptada!B81</f>
        <v>77</v>
      </c>
      <c r="E81" s="353" t="str">
        <f>+Pobl_adoptada!C81</f>
        <v>Guaminí</v>
      </c>
      <c r="F81" s="817">
        <f>Pobl_adoptada!Q81</f>
        <v>2957</v>
      </c>
      <c r="G81" s="817">
        <f>Pobl_adoptada!AA81</f>
        <v>3015</v>
      </c>
      <c r="H81" s="263">
        <f>+'PROYECCIÓN GENERACIÓN'!P81</f>
        <v>2.72044</v>
      </c>
      <c r="I81" s="263">
        <f>+'PROYECCIÓN GENERACIÓN'!Z81</f>
        <v>2.7738</v>
      </c>
      <c r="J81" s="824">
        <f>IF($B81="AMBA",Datos_caracteriz!$D$7,IF($F81&lt;=15000,Datos_caracteriz!$I$7,IF($F81&lt;=50000,Datos_caracteriz!$H$7,IF($F81&lt;=300000,Datos_caracteriz!$G$7,IF($F81&lt;=500000,Datos_caracteriz!$F$7,Datos_caracteriz!$E$7)))))</f>
        <v>5</v>
      </c>
      <c r="K81" s="824">
        <f>IF($B81="AMBA",Datos_caracteriz!$D$8,IF($F81&lt;=15000,Datos_caracteriz!$I$8,IF($F81&lt;=50000,Datos_caracteriz!$H$8,IF($F81&lt;=300000,Datos_caracteriz!$G$8,IF($F81&lt;=500000,Datos_caracteriz!$F$8,Datos_caracteriz!$E$8)))))</f>
        <v>16</v>
      </c>
      <c r="L81" s="824">
        <f>IF($B81="AMBA",Datos_caracteriz!$D$9,IF($F81&lt;=15000,Datos_caracteriz!$I$9,IF($F81&lt;=50000,Datos_caracteriz!$H$9,IF($F81&lt;=300000,Datos_caracteriz!$G$9,IF($F81&lt;=500000,Datos_caracteriz!$F$9,Datos_caracteriz!$E$9)))))</f>
        <v>8</v>
      </c>
      <c r="M81" s="824">
        <f>IF($B81="AMBA",Datos_caracteriz!$D$10,IF($F81&lt;=15000,Datos_caracteriz!$I$10,IF($F81&lt;=50000,Datos_caracteriz!$H$10,IF($F81&lt;=300000,Datos_caracteriz!$G$10,IF($F81&lt;=500000,Datos_caracteriz!$F$10,Datos_caracteriz!$E$10)))))</f>
        <v>3</v>
      </c>
      <c r="N81" s="824">
        <f>IF($B81="AMBA",Datos_caracteriz!$D$11,IF($F81&lt;=15000,Datos_caracteriz!$I$11,IF($F81&lt;=50000,Datos_caracteriz!$H$11,IF($F81&lt;=300000,Datos_caracteriz!$G$11,IF($F81&lt;=500000,Datos_caracteriz!$F$11,Datos_caracteriz!$E$11)))))</f>
        <v>4</v>
      </c>
    </row>
    <row r="82" spans="1:14" ht="24.95" customHeight="1">
      <c r="A82" s="834">
        <f t="shared" si="1"/>
        <v>78</v>
      </c>
      <c r="B82" s="836"/>
      <c r="C82" s="71" t="str">
        <f>+Pobl_adoptada!A82</f>
        <v>Hipólito Yrigoyen</v>
      </c>
      <c r="D82" s="70">
        <f>+Pobl_adoptada!B82</f>
        <v>78</v>
      </c>
      <c r="E82" s="353" t="str">
        <f>+Pobl_adoptada!C82</f>
        <v>Henderson</v>
      </c>
      <c r="F82" s="817">
        <f>Pobl_adoptada!Q82</f>
        <v>9983</v>
      </c>
      <c r="G82" s="817">
        <f>Pobl_adoptada!AA82</f>
        <v>10575</v>
      </c>
      <c r="H82" s="263">
        <f>+'PROYECCIÓN GENERACIÓN'!P82</f>
        <v>9.1843599999999999</v>
      </c>
      <c r="I82" s="263">
        <f>+'PROYECCIÓN GENERACIÓN'!Z82</f>
        <v>9.7289999999999992</v>
      </c>
      <c r="J82" s="824">
        <f>IF($B82="AMBA",Datos_caracteriz!$D$7,IF($F82&lt;=15000,Datos_caracteriz!$I$7,IF($F82&lt;=50000,Datos_caracteriz!$H$7,IF($F82&lt;=300000,Datos_caracteriz!$G$7,IF($F82&lt;=500000,Datos_caracteriz!$F$7,Datos_caracteriz!$E$7)))))</f>
        <v>5</v>
      </c>
      <c r="K82" s="824">
        <f>IF($B82="AMBA",Datos_caracteriz!$D$8,IF($F82&lt;=15000,Datos_caracteriz!$I$8,IF($F82&lt;=50000,Datos_caracteriz!$H$8,IF($F82&lt;=300000,Datos_caracteriz!$G$8,IF($F82&lt;=500000,Datos_caracteriz!$F$8,Datos_caracteriz!$E$8)))))</f>
        <v>16</v>
      </c>
      <c r="L82" s="824">
        <f>IF($B82="AMBA",Datos_caracteriz!$D$9,IF($F82&lt;=15000,Datos_caracteriz!$I$9,IF($F82&lt;=50000,Datos_caracteriz!$H$9,IF($F82&lt;=300000,Datos_caracteriz!$G$9,IF($F82&lt;=500000,Datos_caracteriz!$F$9,Datos_caracteriz!$E$9)))))</f>
        <v>8</v>
      </c>
      <c r="M82" s="824">
        <f>IF($B82="AMBA",Datos_caracteriz!$D$10,IF($F82&lt;=15000,Datos_caracteriz!$I$10,IF($F82&lt;=50000,Datos_caracteriz!$H$10,IF($F82&lt;=300000,Datos_caracteriz!$G$10,IF($F82&lt;=500000,Datos_caracteriz!$F$10,Datos_caracteriz!$E$10)))))</f>
        <v>3</v>
      </c>
      <c r="N82" s="824">
        <f>IF($B82="AMBA",Datos_caracteriz!$D$11,IF($F82&lt;=15000,Datos_caracteriz!$I$11,IF($F82&lt;=50000,Datos_caracteriz!$H$11,IF($F82&lt;=300000,Datos_caracteriz!$G$11,IF($F82&lt;=500000,Datos_caracteriz!$F$11,Datos_caracteriz!$E$11)))))</f>
        <v>4</v>
      </c>
    </row>
    <row r="83" spans="1:14" ht="24.95" customHeight="1">
      <c r="A83" s="834">
        <f t="shared" si="1"/>
        <v>79</v>
      </c>
      <c r="B83" s="836"/>
      <c r="C83" s="71" t="str">
        <f>+Pobl_adoptada!A83</f>
        <v>Junín</v>
      </c>
      <c r="D83" s="70">
        <f>+Pobl_adoptada!B83</f>
        <v>79</v>
      </c>
      <c r="E83" s="353" t="str">
        <f>+Pobl_adoptada!C83</f>
        <v>Junín</v>
      </c>
      <c r="F83" s="817">
        <f>Pobl_adoptada!Q83</f>
        <v>104307</v>
      </c>
      <c r="G83" s="817">
        <f>Pobl_adoptada!AA83</f>
        <v>110908</v>
      </c>
      <c r="H83" s="263">
        <f>+'PROYECCIÓN GENERACIÓN'!P83</f>
        <v>106.39314</v>
      </c>
      <c r="I83" s="263">
        <f>+'PROYECCIÓN GENERACIÓN'!Z83</f>
        <v>113.12616</v>
      </c>
      <c r="J83" s="824">
        <f>IF($B83="AMBA",Datos_caracteriz!$D$7,IF($F83&lt;=15000,Datos_caracteriz!$I$7,IF($F83&lt;=50000,Datos_caracteriz!$H$7,IF($F83&lt;=300000,Datos_caracteriz!$G$7,IF($F83&lt;=500000,Datos_caracteriz!$F$7,Datos_caracteriz!$E$7)))))</f>
        <v>5.0944811463748252</v>
      </c>
      <c r="K83" s="824">
        <f>IF($B83="AMBA",Datos_caracteriz!$D$8,IF($F83&lt;=15000,Datos_caracteriz!$I$8,IF($F83&lt;=50000,Datos_caracteriz!$H$8,IF($F83&lt;=300000,Datos_caracteriz!$G$8,IF($F83&lt;=500000,Datos_caracteriz!$F$8,Datos_caracteriz!$E$8)))))</f>
        <v>17.647404529651318</v>
      </c>
      <c r="L83" s="824">
        <f>IF($B83="AMBA",Datos_caracteriz!$D$9,IF($F83&lt;=15000,Datos_caracteriz!$I$9,IF($F83&lt;=50000,Datos_caracteriz!$H$9,IF($F83&lt;=300000,Datos_caracteriz!$G$9,IF($F83&lt;=500000,Datos_caracteriz!$F$9,Datos_caracteriz!$E$9)))))</f>
        <v>15.698195415822433</v>
      </c>
      <c r="M83" s="824">
        <f>IF($B83="AMBA",Datos_caracteriz!$D$10,IF($F83&lt;=15000,Datos_caracteriz!$I$10,IF($F83&lt;=50000,Datos_caracteriz!$H$10,IF($F83&lt;=300000,Datos_caracteriz!$G$10,IF($F83&lt;=500000,Datos_caracteriz!$F$10,Datos_caracteriz!$E$10)))))</f>
        <v>3.8268589077338007</v>
      </c>
      <c r="N83" s="824">
        <f>IF($B83="AMBA",Datos_caracteriz!$D$11,IF($F83&lt;=15000,Datos_caracteriz!$I$11,IF($F83&lt;=50000,Datos_caracteriz!$H$11,IF($F83&lt;=300000,Datos_caracteriz!$G$11,IF($F83&lt;=500000,Datos_caracteriz!$F$11,Datos_caracteriz!$E$11)))))</f>
        <v>3.0800758591467732</v>
      </c>
    </row>
    <row r="84" spans="1:14" ht="24.95" customHeight="1">
      <c r="A84" s="834">
        <f t="shared" si="1"/>
        <v>80</v>
      </c>
      <c r="B84" s="836"/>
      <c r="C84" s="71" t="str">
        <f>+Pobl_adoptada!A84</f>
        <v>La Costa</v>
      </c>
      <c r="D84" s="70">
        <f>+Pobl_adoptada!B84</f>
        <v>80</v>
      </c>
      <c r="E84" s="353" t="str">
        <f>+Pobl_adoptada!C84</f>
        <v>Mar de Ajó - San Bernardo</v>
      </c>
      <c r="F84" s="817">
        <f>Pobl_adoptada!Q84</f>
        <v>127742</v>
      </c>
      <c r="G84" s="817">
        <f>Pobl_adoptada!AA84</f>
        <v>161656</v>
      </c>
      <c r="H84" s="263">
        <f>+'PROYECCIÓN GENERACIÓN'!P84</f>
        <v>130.29684</v>
      </c>
      <c r="I84" s="263">
        <f>+'PROYECCIÓN GENERACIÓN'!Z84</f>
        <v>164.88911999999999</v>
      </c>
      <c r="J84" s="824">
        <f>IF($B84="AMBA",Datos_caracteriz!$D$7,IF($F84&lt;=15000,Datos_caracteriz!$I$7,IF($F84&lt;=50000,Datos_caracteriz!$H$7,IF($F84&lt;=300000,Datos_caracteriz!$G$7,IF($F84&lt;=500000,Datos_caracteriz!$F$7,Datos_caracteriz!$E$7)))))</f>
        <v>5.0944811463748252</v>
      </c>
      <c r="K84" s="824">
        <f>IF($B84="AMBA",Datos_caracteriz!$D$8,IF($F84&lt;=15000,Datos_caracteriz!$I$8,IF($F84&lt;=50000,Datos_caracteriz!$H$8,IF($F84&lt;=300000,Datos_caracteriz!$G$8,IF($F84&lt;=500000,Datos_caracteriz!$F$8,Datos_caracteriz!$E$8)))))</f>
        <v>17.647404529651318</v>
      </c>
      <c r="L84" s="824">
        <f>IF($B84="AMBA",Datos_caracteriz!$D$9,IF($F84&lt;=15000,Datos_caracteriz!$I$9,IF($F84&lt;=50000,Datos_caracteriz!$H$9,IF($F84&lt;=300000,Datos_caracteriz!$G$9,IF($F84&lt;=500000,Datos_caracteriz!$F$9,Datos_caracteriz!$E$9)))))</f>
        <v>15.698195415822433</v>
      </c>
      <c r="M84" s="824">
        <f>IF($B84="AMBA",Datos_caracteriz!$D$10,IF($F84&lt;=15000,Datos_caracteriz!$I$10,IF($F84&lt;=50000,Datos_caracteriz!$H$10,IF($F84&lt;=300000,Datos_caracteriz!$G$10,IF($F84&lt;=500000,Datos_caracteriz!$F$10,Datos_caracteriz!$E$10)))))</f>
        <v>3.8268589077338007</v>
      </c>
      <c r="N84" s="824">
        <f>IF($B84="AMBA",Datos_caracteriz!$D$11,IF($F84&lt;=15000,Datos_caracteriz!$I$11,IF($F84&lt;=50000,Datos_caracteriz!$H$11,IF($F84&lt;=300000,Datos_caracteriz!$G$11,IF($F84&lt;=500000,Datos_caracteriz!$F$11,Datos_caracteriz!$E$11)))))</f>
        <v>3.0800758591467732</v>
      </c>
    </row>
    <row r="85" spans="1:14" ht="24.95" customHeight="1">
      <c r="A85" s="834">
        <f t="shared" si="1"/>
        <v>81</v>
      </c>
      <c r="B85" s="836"/>
      <c r="C85" s="71" t="str">
        <f>+Pobl_adoptada!A85</f>
        <v>La Costa</v>
      </c>
      <c r="D85" s="70">
        <f>+Pobl_adoptada!B85</f>
        <v>81</v>
      </c>
      <c r="E85" s="353" t="str">
        <f>+Pobl_adoptada!C85</f>
        <v>Santa Teresita - Mar del Tuyú</v>
      </c>
      <c r="F85" s="817">
        <f>Pobl_adoptada!Q85</f>
        <v>73852</v>
      </c>
      <c r="G85" s="817">
        <f>Pobl_adoptada!AA85</f>
        <v>85374</v>
      </c>
      <c r="H85" s="263">
        <f>+'PROYECCIÓN GENERACIÓN'!P85</f>
        <v>75.329040000000006</v>
      </c>
      <c r="I85" s="263">
        <f>+'PROYECCIÓN GENERACIÓN'!Z85</f>
        <v>87.081479999999999</v>
      </c>
      <c r="J85" s="824">
        <f>IF($B85="AMBA",Datos_caracteriz!$D$7,IF($F85&lt;=15000,Datos_caracteriz!$I$7,IF($F85&lt;=50000,Datos_caracteriz!$H$7,IF($F85&lt;=300000,Datos_caracteriz!$G$7,IF($F85&lt;=500000,Datos_caracteriz!$F$7,Datos_caracteriz!$E$7)))))</f>
        <v>5.0944811463748252</v>
      </c>
      <c r="K85" s="824">
        <f>IF($B85="AMBA",Datos_caracteriz!$D$8,IF($F85&lt;=15000,Datos_caracteriz!$I$8,IF($F85&lt;=50000,Datos_caracteriz!$H$8,IF($F85&lt;=300000,Datos_caracteriz!$G$8,IF($F85&lt;=500000,Datos_caracteriz!$F$8,Datos_caracteriz!$E$8)))))</f>
        <v>17.647404529651318</v>
      </c>
      <c r="L85" s="824">
        <f>IF($B85="AMBA",Datos_caracteriz!$D$9,IF($F85&lt;=15000,Datos_caracteriz!$I$9,IF($F85&lt;=50000,Datos_caracteriz!$H$9,IF($F85&lt;=300000,Datos_caracteriz!$G$9,IF($F85&lt;=500000,Datos_caracteriz!$F$9,Datos_caracteriz!$E$9)))))</f>
        <v>15.698195415822433</v>
      </c>
      <c r="M85" s="824">
        <f>IF($B85="AMBA",Datos_caracteriz!$D$10,IF($F85&lt;=15000,Datos_caracteriz!$I$10,IF($F85&lt;=50000,Datos_caracteriz!$H$10,IF($F85&lt;=300000,Datos_caracteriz!$G$10,IF($F85&lt;=500000,Datos_caracteriz!$F$10,Datos_caracteriz!$E$10)))))</f>
        <v>3.8268589077338007</v>
      </c>
      <c r="N85" s="824">
        <f>IF($B85="AMBA",Datos_caracteriz!$D$11,IF($F85&lt;=15000,Datos_caracteriz!$I$11,IF($F85&lt;=50000,Datos_caracteriz!$H$11,IF($F85&lt;=300000,Datos_caracteriz!$G$11,IF($F85&lt;=500000,Datos_caracteriz!$F$11,Datos_caracteriz!$E$11)))))</f>
        <v>3.0800758591467732</v>
      </c>
    </row>
    <row r="86" spans="1:14" ht="24.95" customHeight="1">
      <c r="A86" s="834">
        <f t="shared" si="1"/>
        <v>82</v>
      </c>
      <c r="B86" s="836"/>
      <c r="C86" s="71" t="str">
        <f>+Pobl_adoptada!A86</f>
        <v>La Plata</v>
      </c>
      <c r="D86" s="70">
        <f>+Pobl_adoptada!B86</f>
        <v>82</v>
      </c>
      <c r="E86" s="353" t="str">
        <f>+Pobl_adoptada!C86</f>
        <v>La Plata</v>
      </c>
      <c r="F86" s="817">
        <f>Pobl_adoptada!Q86</f>
        <v>850190</v>
      </c>
      <c r="G86" s="817">
        <f>Pobl_adoptada!AA86</f>
        <v>950609</v>
      </c>
      <c r="H86" s="263">
        <f>+'PROYECCIÓN GENERACIÓN'!P86</f>
        <v>1198.7678999999998</v>
      </c>
      <c r="I86" s="263">
        <f>+'PROYECCIÓN GENERACIÓN'!Z86</f>
        <v>1340.35869</v>
      </c>
      <c r="J86" s="824">
        <f>IF($B86="AMBA",Datos_caracteriz!$D$7,IF($F86&lt;=15000,Datos_caracteriz!$I$7,IF($F86&lt;=50000,Datos_caracteriz!$H$7,IF($F86&lt;=300000,Datos_caracteriz!$G$7,IF($F86&lt;=500000,Datos_caracteriz!$F$7,Datos_caracteriz!$E$7)))))</f>
        <v>5.451271347706439</v>
      </c>
      <c r="K86" s="824">
        <f>IF($B86="AMBA",Datos_caracteriz!$D$8,IF($F86&lt;=15000,Datos_caracteriz!$I$8,IF($F86&lt;=50000,Datos_caracteriz!$H$8,IF($F86&lt;=300000,Datos_caracteriz!$G$8,IF($F86&lt;=500000,Datos_caracteriz!$F$8,Datos_caracteriz!$E$8)))))</f>
        <v>17.862967276575926</v>
      </c>
      <c r="L86" s="824">
        <f>IF($B86="AMBA",Datos_caracteriz!$D$9,IF($F86&lt;=15000,Datos_caracteriz!$I$9,IF($F86&lt;=50000,Datos_caracteriz!$H$9,IF($F86&lt;=300000,Datos_caracteriz!$G$9,IF($F86&lt;=500000,Datos_caracteriz!$F$9,Datos_caracteriz!$E$9)))))</f>
        <v>10.946733874072363</v>
      </c>
      <c r="M86" s="824">
        <f>IF($B86="AMBA",Datos_caracteriz!$D$10,IF($F86&lt;=15000,Datos_caracteriz!$I$10,IF($F86&lt;=50000,Datos_caracteriz!$H$10,IF($F86&lt;=300000,Datos_caracteriz!$G$10,IF($F86&lt;=500000,Datos_caracteriz!$F$10,Datos_caracteriz!$E$10)))))</f>
        <v>3.591913781633354</v>
      </c>
      <c r="N86" s="824">
        <f>IF($B86="AMBA",Datos_caracteriz!$D$11,IF($F86&lt;=15000,Datos_caracteriz!$I$11,IF($F86&lt;=50000,Datos_caracteriz!$H$11,IF($F86&lt;=300000,Datos_caracteriz!$G$11,IF($F86&lt;=500000,Datos_caracteriz!$F$11,Datos_caracteriz!$E$11)))))</f>
        <v>3.837975571262076</v>
      </c>
    </row>
    <row r="87" spans="1:14" ht="24.95" customHeight="1">
      <c r="A87" s="834">
        <f t="shared" si="1"/>
        <v>83</v>
      </c>
      <c r="B87" s="836"/>
      <c r="C87" s="71" t="str">
        <f>+Pobl_adoptada!A87</f>
        <v>Laprida</v>
      </c>
      <c r="D87" s="70">
        <f>+Pobl_adoptada!B87</f>
        <v>83</v>
      </c>
      <c r="E87" s="353" t="str">
        <f>+Pobl_adoptada!C87</f>
        <v>Laprida</v>
      </c>
      <c r="F87" s="817">
        <f>Pobl_adoptada!Q87</f>
        <v>10974</v>
      </c>
      <c r="G87" s="817">
        <f>Pobl_adoptada!AA87</f>
        <v>11965</v>
      </c>
      <c r="H87" s="263">
        <f>+'PROYECCIÓN GENERACIÓN'!P87</f>
        <v>10.096080000000001</v>
      </c>
      <c r="I87" s="263">
        <f>+'PROYECCIÓN GENERACIÓN'!Z87</f>
        <v>11.007800000000001</v>
      </c>
      <c r="J87" s="824">
        <f>IF($B87="AMBA",Datos_caracteriz!$D$7,IF($F87&lt;=15000,Datos_caracteriz!$I$7,IF($F87&lt;=50000,Datos_caracteriz!$H$7,IF($F87&lt;=300000,Datos_caracteriz!$G$7,IF($F87&lt;=500000,Datos_caracteriz!$F$7,Datos_caracteriz!$E$7)))))</f>
        <v>5</v>
      </c>
      <c r="K87" s="824">
        <f>IF($B87="AMBA",Datos_caracteriz!$D$8,IF($F87&lt;=15000,Datos_caracteriz!$I$8,IF($F87&lt;=50000,Datos_caracteriz!$H$8,IF($F87&lt;=300000,Datos_caracteriz!$G$8,IF($F87&lt;=500000,Datos_caracteriz!$F$8,Datos_caracteriz!$E$8)))))</f>
        <v>16</v>
      </c>
      <c r="L87" s="824">
        <f>IF($B87="AMBA",Datos_caracteriz!$D$9,IF($F87&lt;=15000,Datos_caracteriz!$I$9,IF($F87&lt;=50000,Datos_caracteriz!$H$9,IF($F87&lt;=300000,Datos_caracteriz!$G$9,IF($F87&lt;=500000,Datos_caracteriz!$F$9,Datos_caracteriz!$E$9)))))</f>
        <v>8</v>
      </c>
      <c r="M87" s="824">
        <f>IF($B87="AMBA",Datos_caracteriz!$D$10,IF($F87&lt;=15000,Datos_caracteriz!$I$10,IF($F87&lt;=50000,Datos_caracteriz!$H$10,IF($F87&lt;=300000,Datos_caracteriz!$G$10,IF($F87&lt;=500000,Datos_caracteriz!$F$10,Datos_caracteriz!$E$10)))))</f>
        <v>3</v>
      </c>
      <c r="N87" s="824">
        <f>IF($B87="AMBA",Datos_caracteriz!$D$11,IF($F87&lt;=15000,Datos_caracteriz!$I$11,IF($F87&lt;=50000,Datos_caracteriz!$H$11,IF($F87&lt;=300000,Datos_caracteriz!$G$11,IF($F87&lt;=500000,Datos_caracteriz!$F$11,Datos_caracteriz!$E$11)))))</f>
        <v>4</v>
      </c>
    </row>
    <row r="88" spans="1:14" ht="24.95" customHeight="1">
      <c r="A88" s="834">
        <f t="shared" si="1"/>
        <v>84</v>
      </c>
      <c r="B88" s="836"/>
      <c r="C88" s="71" t="str">
        <f>+Pobl_adoptada!A88</f>
        <v>Las Flores</v>
      </c>
      <c r="D88" s="70">
        <f>+Pobl_adoptada!B88</f>
        <v>84</v>
      </c>
      <c r="E88" s="353" t="str">
        <f>+Pobl_adoptada!C88</f>
        <v>Las Flores</v>
      </c>
      <c r="F88" s="817">
        <f>Pobl_adoptada!Q88</f>
        <v>27909</v>
      </c>
      <c r="G88" s="817">
        <f>Pobl_adoptada!AA88</f>
        <v>31814</v>
      </c>
      <c r="H88" s="263">
        <f>+'PROYECCIÓN GENERACIÓN'!P88</f>
        <v>29.583539999999999</v>
      </c>
      <c r="I88" s="263">
        <f>+'PROYECCIÓN GENERACIÓN'!Z88</f>
        <v>33.722840000000005</v>
      </c>
      <c r="J88" s="824">
        <f>IF($B88="AMBA",Datos_caracteriz!$D$7,IF($F88&lt;=15000,Datos_caracteriz!$I$7,IF($F88&lt;=50000,Datos_caracteriz!$H$7,IF($F88&lt;=300000,Datos_caracteriz!$G$7,IF($F88&lt;=500000,Datos_caracteriz!$F$7,Datos_caracteriz!$E$7)))))</f>
        <v>6.3576075694443857</v>
      </c>
      <c r="K88" s="824">
        <f>IF($B88="AMBA",Datos_caracteriz!$D$8,IF($F88&lt;=15000,Datos_caracteriz!$I$8,IF($F88&lt;=50000,Datos_caracteriz!$H$8,IF($F88&lt;=300000,Datos_caracteriz!$G$8,IF($F88&lt;=500000,Datos_caracteriz!$F$8,Datos_caracteriz!$E$8)))))</f>
        <v>19.857028624999995</v>
      </c>
      <c r="L88" s="824">
        <f>IF($B88="AMBA",Datos_caracteriz!$D$9,IF($F88&lt;=15000,Datos_caracteriz!$I$9,IF($F88&lt;=50000,Datos_caracteriz!$H$9,IF($F88&lt;=300000,Datos_caracteriz!$G$9,IF($F88&lt;=500000,Datos_caracteriz!$F$9,Datos_caracteriz!$E$9)))))</f>
        <v>8.6582911527777497</v>
      </c>
      <c r="M88" s="824">
        <f>IF($B88="AMBA",Datos_caracteriz!$D$10,IF($F88&lt;=15000,Datos_caracteriz!$I$10,IF($F88&lt;=50000,Datos_caracteriz!$H$10,IF($F88&lt;=300000,Datos_caracteriz!$G$10,IF($F88&lt;=500000,Datos_caracteriz!$F$10,Datos_caracteriz!$E$10)))))</f>
        <v>4.1876249722221894</v>
      </c>
      <c r="N88" s="824">
        <f>IF($B88="AMBA",Datos_caracteriz!$D$11,IF($F88&lt;=15000,Datos_caracteriz!$I$11,IF($F88&lt;=50000,Datos_caracteriz!$H$11,IF($F88&lt;=300000,Datos_caracteriz!$G$11,IF($F88&lt;=500000,Datos_caracteriz!$F$11,Datos_caracteriz!$E$11)))))</f>
        <v>4.5702066666666639</v>
      </c>
    </row>
    <row r="89" spans="1:14" ht="24.95" customHeight="1">
      <c r="A89" s="834">
        <f t="shared" si="1"/>
        <v>85</v>
      </c>
      <c r="B89" s="836"/>
      <c r="C89" s="71" t="str">
        <f>+Pobl_adoptada!A89</f>
        <v>Leandro N. Alem</v>
      </c>
      <c r="D89" s="70">
        <f>+Pobl_adoptada!B89</f>
        <v>85</v>
      </c>
      <c r="E89" s="353" t="str">
        <f>+Pobl_adoptada!C89</f>
        <v>Vedia</v>
      </c>
      <c r="F89" s="817">
        <f>Pobl_adoptada!Q89</f>
        <v>10918</v>
      </c>
      <c r="G89" s="817">
        <f>Pobl_adoptada!AA89</f>
        <v>11752</v>
      </c>
      <c r="H89" s="263">
        <f>+'PROYECCIÓN GENERACIÓN'!P89</f>
        <v>10.044560000000001</v>
      </c>
      <c r="I89" s="263">
        <f>+'PROYECCIÓN GENERACIÓN'!Z89</f>
        <v>10.81184</v>
      </c>
      <c r="J89" s="824">
        <f>IF($B89="AMBA",Datos_caracteriz!$D$7,IF($F89&lt;=15000,Datos_caracteriz!$I$7,IF($F89&lt;=50000,Datos_caracteriz!$H$7,IF($F89&lt;=300000,Datos_caracteriz!$G$7,IF($F89&lt;=500000,Datos_caracteriz!$F$7,Datos_caracteriz!$E$7)))))</f>
        <v>5</v>
      </c>
      <c r="K89" s="824">
        <f>IF($B89="AMBA",Datos_caracteriz!$D$8,IF($F89&lt;=15000,Datos_caracteriz!$I$8,IF($F89&lt;=50000,Datos_caracteriz!$H$8,IF($F89&lt;=300000,Datos_caracteriz!$G$8,IF($F89&lt;=500000,Datos_caracteriz!$F$8,Datos_caracteriz!$E$8)))))</f>
        <v>16</v>
      </c>
      <c r="L89" s="824">
        <f>IF($B89="AMBA",Datos_caracteriz!$D$9,IF($F89&lt;=15000,Datos_caracteriz!$I$9,IF($F89&lt;=50000,Datos_caracteriz!$H$9,IF($F89&lt;=300000,Datos_caracteriz!$G$9,IF($F89&lt;=500000,Datos_caracteriz!$F$9,Datos_caracteriz!$E$9)))))</f>
        <v>8</v>
      </c>
      <c r="M89" s="824">
        <f>IF($B89="AMBA",Datos_caracteriz!$D$10,IF($F89&lt;=15000,Datos_caracteriz!$I$10,IF($F89&lt;=50000,Datos_caracteriz!$H$10,IF($F89&lt;=300000,Datos_caracteriz!$G$10,IF($F89&lt;=500000,Datos_caracteriz!$F$10,Datos_caracteriz!$E$10)))))</f>
        <v>3</v>
      </c>
      <c r="N89" s="824">
        <f>IF($B89="AMBA",Datos_caracteriz!$D$11,IF($F89&lt;=15000,Datos_caracteriz!$I$11,IF($F89&lt;=50000,Datos_caracteriz!$H$11,IF($F89&lt;=300000,Datos_caracteriz!$G$11,IF($F89&lt;=500000,Datos_caracteriz!$F$11,Datos_caracteriz!$E$11)))))</f>
        <v>4</v>
      </c>
    </row>
    <row r="90" spans="1:14" ht="24.95" customHeight="1">
      <c r="A90" s="834">
        <f t="shared" si="1"/>
        <v>86</v>
      </c>
      <c r="B90" s="836"/>
      <c r="C90" s="71" t="str">
        <f>+Pobl_adoptada!A90</f>
        <v>Lincoln</v>
      </c>
      <c r="D90" s="70">
        <f>+Pobl_adoptada!B90</f>
        <v>86</v>
      </c>
      <c r="E90" s="353" t="str">
        <f>+Pobl_adoptada!C90</f>
        <v>Lincoln</v>
      </c>
      <c r="F90" s="817">
        <f>Pobl_adoptada!Q90</f>
        <v>31451</v>
      </c>
      <c r="G90" s="817">
        <f>Pobl_adoptada!AA90</f>
        <v>32924</v>
      </c>
      <c r="H90" s="263">
        <f>+'PROYECCIÓN GENERACIÓN'!P90</f>
        <v>33.338060000000006</v>
      </c>
      <c r="I90" s="263">
        <f>+'PROYECCIÓN GENERACIÓN'!Z90</f>
        <v>34.899440000000006</v>
      </c>
      <c r="J90" s="824">
        <f>IF($B90="AMBA",Datos_caracteriz!$D$7,IF($F90&lt;=15000,Datos_caracteriz!$I$7,IF($F90&lt;=50000,Datos_caracteriz!$H$7,IF($F90&lt;=300000,Datos_caracteriz!$G$7,IF($F90&lt;=500000,Datos_caracteriz!$F$7,Datos_caracteriz!$E$7)))))</f>
        <v>6.3576075694443857</v>
      </c>
      <c r="K90" s="824">
        <f>IF($B90="AMBA",Datos_caracteriz!$D$8,IF($F90&lt;=15000,Datos_caracteriz!$I$8,IF($F90&lt;=50000,Datos_caracteriz!$H$8,IF($F90&lt;=300000,Datos_caracteriz!$G$8,IF($F90&lt;=500000,Datos_caracteriz!$F$8,Datos_caracteriz!$E$8)))))</f>
        <v>19.857028624999995</v>
      </c>
      <c r="L90" s="824">
        <f>IF($B90="AMBA",Datos_caracteriz!$D$9,IF($F90&lt;=15000,Datos_caracteriz!$I$9,IF($F90&lt;=50000,Datos_caracteriz!$H$9,IF($F90&lt;=300000,Datos_caracteriz!$G$9,IF($F90&lt;=500000,Datos_caracteriz!$F$9,Datos_caracteriz!$E$9)))))</f>
        <v>8.6582911527777497</v>
      </c>
      <c r="M90" s="824">
        <f>IF($B90="AMBA",Datos_caracteriz!$D$10,IF($F90&lt;=15000,Datos_caracteriz!$I$10,IF($F90&lt;=50000,Datos_caracteriz!$H$10,IF($F90&lt;=300000,Datos_caracteriz!$G$10,IF($F90&lt;=500000,Datos_caracteriz!$F$10,Datos_caracteriz!$E$10)))))</f>
        <v>4.1876249722221894</v>
      </c>
      <c r="N90" s="824">
        <f>IF($B90="AMBA",Datos_caracteriz!$D$11,IF($F90&lt;=15000,Datos_caracteriz!$I$11,IF($F90&lt;=50000,Datos_caracteriz!$H$11,IF($F90&lt;=300000,Datos_caracteriz!$G$11,IF($F90&lt;=500000,Datos_caracteriz!$F$11,Datos_caracteriz!$E$11)))))</f>
        <v>4.5702066666666639</v>
      </c>
    </row>
    <row r="91" spans="1:14" ht="24.95" customHeight="1">
      <c r="A91" s="834">
        <f t="shared" si="1"/>
        <v>87</v>
      </c>
      <c r="B91" s="836"/>
      <c r="C91" s="71" t="str">
        <f>+Pobl_adoptada!A91</f>
        <v>Lobería</v>
      </c>
      <c r="D91" s="70">
        <f>+Pobl_adoptada!B91</f>
        <v>87</v>
      </c>
      <c r="E91" s="353" t="str">
        <f>+Pobl_adoptada!C91</f>
        <v>Lobería</v>
      </c>
      <c r="F91" s="817">
        <f>Pobl_adoptada!Q91</f>
        <v>15534</v>
      </c>
      <c r="G91" s="817">
        <f>Pobl_adoptada!AA91</f>
        <v>16679</v>
      </c>
      <c r="H91" s="263">
        <f>+'PROYECCIÓN GENERACIÓN'!P91</f>
        <v>14.29128</v>
      </c>
      <c r="I91" s="263">
        <f>+'PROYECCIÓN GENERACIÓN'!Z91</f>
        <v>15.34468</v>
      </c>
      <c r="J91" s="824">
        <f>IF($B91="AMBA",Datos_caracteriz!$D$7,IF($F91&lt;=15000,Datos_caracteriz!$I$7,IF($F91&lt;=50000,Datos_caracteriz!$H$7,IF($F91&lt;=300000,Datos_caracteriz!$G$7,IF($F91&lt;=500000,Datos_caracteriz!$F$7,Datos_caracteriz!$E$7)))))</f>
        <v>6.3576075694443857</v>
      </c>
      <c r="K91" s="824">
        <f>IF($B91="AMBA",Datos_caracteriz!$D$8,IF($F91&lt;=15000,Datos_caracteriz!$I$8,IF($F91&lt;=50000,Datos_caracteriz!$H$8,IF($F91&lt;=300000,Datos_caracteriz!$G$8,IF($F91&lt;=500000,Datos_caracteriz!$F$8,Datos_caracteriz!$E$8)))))</f>
        <v>19.857028624999995</v>
      </c>
      <c r="L91" s="824">
        <f>IF($B91="AMBA",Datos_caracteriz!$D$9,IF($F91&lt;=15000,Datos_caracteriz!$I$9,IF($F91&lt;=50000,Datos_caracteriz!$H$9,IF($F91&lt;=300000,Datos_caracteriz!$G$9,IF($F91&lt;=500000,Datos_caracteriz!$F$9,Datos_caracteriz!$E$9)))))</f>
        <v>8.6582911527777497</v>
      </c>
      <c r="M91" s="824">
        <f>IF($B91="AMBA",Datos_caracteriz!$D$10,IF($F91&lt;=15000,Datos_caracteriz!$I$10,IF($F91&lt;=50000,Datos_caracteriz!$H$10,IF($F91&lt;=300000,Datos_caracteriz!$G$10,IF($F91&lt;=500000,Datos_caracteriz!$F$10,Datos_caracteriz!$E$10)))))</f>
        <v>4.1876249722221894</v>
      </c>
      <c r="N91" s="824">
        <f>IF($B91="AMBA",Datos_caracteriz!$D$11,IF($F91&lt;=15000,Datos_caracteriz!$I$11,IF($F91&lt;=50000,Datos_caracteriz!$H$11,IF($F91&lt;=300000,Datos_caracteriz!$G$11,IF($F91&lt;=500000,Datos_caracteriz!$F$11,Datos_caracteriz!$E$11)))))</f>
        <v>4.5702066666666639</v>
      </c>
    </row>
    <row r="92" spans="1:14" ht="24.95" customHeight="1">
      <c r="A92" s="834">
        <f t="shared" si="1"/>
        <v>88</v>
      </c>
      <c r="B92" s="836"/>
      <c r="C92" s="71" t="str">
        <f>+Pobl_adoptada!A92</f>
        <v>Lobos</v>
      </c>
      <c r="D92" s="70">
        <f>+Pobl_adoptada!B92</f>
        <v>88</v>
      </c>
      <c r="E92" s="353" t="str">
        <f>+Pobl_adoptada!C92</f>
        <v>Lobos</v>
      </c>
      <c r="F92" s="817">
        <f>Pobl_adoptada!Q92</f>
        <v>39793</v>
      </c>
      <c r="G92" s="817">
        <f>Pobl_adoptada!AA92</f>
        <v>44632</v>
      </c>
      <c r="H92" s="263">
        <f>+'PROYECCIÓN GENERACIÓN'!P92</f>
        <v>42.180579999999999</v>
      </c>
      <c r="I92" s="263">
        <f>+'PROYECCIÓN GENERACIÓN'!Z92</f>
        <v>47.309920000000005</v>
      </c>
      <c r="J92" s="824">
        <f>IF($B92="AMBA",Datos_caracteriz!$D$7,IF($F92&lt;=15000,Datos_caracteriz!$I$7,IF($F92&lt;=50000,Datos_caracteriz!$H$7,IF($F92&lt;=300000,Datos_caracteriz!$G$7,IF($F92&lt;=500000,Datos_caracteriz!$F$7,Datos_caracteriz!$E$7)))))</f>
        <v>6.3576075694443857</v>
      </c>
      <c r="K92" s="824">
        <f>IF($B92="AMBA",Datos_caracteriz!$D$8,IF($F92&lt;=15000,Datos_caracteriz!$I$8,IF($F92&lt;=50000,Datos_caracteriz!$H$8,IF($F92&lt;=300000,Datos_caracteriz!$G$8,IF($F92&lt;=500000,Datos_caracteriz!$F$8,Datos_caracteriz!$E$8)))))</f>
        <v>19.857028624999995</v>
      </c>
      <c r="L92" s="824">
        <f>IF($B92="AMBA",Datos_caracteriz!$D$9,IF($F92&lt;=15000,Datos_caracteriz!$I$9,IF($F92&lt;=50000,Datos_caracteriz!$H$9,IF($F92&lt;=300000,Datos_caracteriz!$G$9,IF($F92&lt;=500000,Datos_caracteriz!$F$9,Datos_caracteriz!$E$9)))))</f>
        <v>8.6582911527777497</v>
      </c>
      <c r="M92" s="824">
        <f>IF($B92="AMBA",Datos_caracteriz!$D$10,IF($F92&lt;=15000,Datos_caracteriz!$I$10,IF($F92&lt;=50000,Datos_caracteriz!$H$10,IF($F92&lt;=300000,Datos_caracteriz!$G$10,IF($F92&lt;=500000,Datos_caracteriz!$F$10,Datos_caracteriz!$E$10)))))</f>
        <v>4.1876249722221894</v>
      </c>
      <c r="N92" s="824">
        <f>IF($B92="AMBA",Datos_caracteriz!$D$11,IF($F92&lt;=15000,Datos_caracteriz!$I$11,IF($F92&lt;=50000,Datos_caracteriz!$H$11,IF($F92&lt;=300000,Datos_caracteriz!$G$11,IF($F92&lt;=500000,Datos_caracteriz!$F$11,Datos_caracteriz!$E$11)))))</f>
        <v>4.5702066666666639</v>
      </c>
    </row>
    <row r="93" spans="1:14" ht="24.95" customHeight="1">
      <c r="A93" s="834">
        <f t="shared" si="1"/>
        <v>89</v>
      </c>
      <c r="B93" s="836"/>
      <c r="C93" s="71" t="str">
        <f>+Pobl_adoptada!A93</f>
        <v>Luján</v>
      </c>
      <c r="D93" s="70">
        <f>+Pobl_adoptada!B93</f>
        <v>89</v>
      </c>
      <c r="E93" s="353" t="str">
        <f>+Pobl_adoptada!C93</f>
        <v>Luján</v>
      </c>
      <c r="F93" s="817">
        <f>Pobl_adoptada!Q93</f>
        <v>144164</v>
      </c>
      <c r="G93" s="817">
        <f>Pobl_adoptada!AA93</f>
        <v>164510</v>
      </c>
      <c r="H93" s="263">
        <f>+'PROYECCIÓN GENERACIÓN'!P93</f>
        <v>147.04728</v>
      </c>
      <c r="I93" s="263">
        <f>+'PROYECCIÓN GENERACIÓN'!Z93</f>
        <v>167.80020000000002</v>
      </c>
      <c r="J93" s="824">
        <f>IF($B93="AMBA",Datos_caracteriz!$D$7,IF($F93&lt;=15000,Datos_caracteriz!$I$7,IF($F93&lt;=50000,Datos_caracteriz!$H$7,IF($F93&lt;=300000,Datos_caracteriz!$G$7,IF($F93&lt;=500000,Datos_caracteriz!$F$7,Datos_caracteriz!$E$7)))))</f>
        <v>5.0944811463748252</v>
      </c>
      <c r="K93" s="824">
        <f>IF($B93="AMBA",Datos_caracteriz!$D$8,IF($F93&lt;=15000,Datos_caracteriz!$I$8,IF($F93&lt;=50000,Datos_caracteriz!$H$8,IF($F93&lt;=300000,Datos_caracteriz!$G$8,IF($F93&lt;=500000,Datos_caracteriz!$F$8,Datos_caracteriz!$E$8)))))</f>
        <v>17.647404529651318</v>
      </c>
      <c r="L93" s="824">
        <f>IF($B93="AMBA",Datos_caracteriz!$D$9,IF($F93&lt;=15000,Datos_caracteriz!$I$9,IF($F93&lt;=50000,Datos_caracteriz!$H$9,IF($F93&lt;=300000,Datos_caracteriz!$G$9,IF($F93&lt;=500000,Datos_caracteriz!$F$9,Datos_caracteriz!$E$9)))))</f>
        <v>15.698195415822433</v>
      </c>
      <c r="M93" s="824">
        <f>IF($B93="AMBA",Datos_caracteriz!$D$10,IF($F93&lt;=15000,Datos_caracteriz!$I$10,IF($F93&lt;=50000,Datos_caracteriz!$H$10,IF($F93&lt;=300000,Datos_caracteriz!$G$10,IF($F93&lt;=500000,Datos_caracteriz!$F$10,Datos_caracteriz!$E$10)))))</f>
        <v>3.8268589077338007</v>
      </c>
      <c r="N93" s="824">
        <f>IF($B93="AMBA",Datos_caracteriz!$D$11,IF($F93&lt;=15000,Datos_caracteriz!$I$11,IF($F93&lt;=50000,Datos_caracteriz!$H$11,IF($F93&lt;=300000,Datos_caracteriz!$G$11,IF($F93&lt;=500000,Datos_caracteriz!$F$11,Datos_caracteriz!$E$11)))))</f>
        <v>3.0800758591467732</v>
      </c>
    </row>
    <row r="94" spans="1:14" ht="24.95" customHeight="1">
      <c r="A94" s="834">
        <f t="shared" si="1"/>
        <v>90</v>
      </c>
      <c r="B94" s="836"/>
      <c r="C94" s="71" t="str">
        <f>+Pobl_adoptada!A94</f>
        <v>Magdalena</v>
      </c>
      <c r="D94" s="70">
        <f>+Pobl_adoptada!B94</f>
        <v>90</v>
      </c>
      <c r="E94" s="353" t="str">
        <f>+Pobl_adoptada!C94</f>
        <v>Magdalena</v>
      </c>
      <c r="F94" s="817">
        <f>Pobl_adoptada!Q94</f>
        <v>15558</v>
      </c>
      <c r="G94" s="817">
        <f>Pobl_adoptada!AA94</f>
        <v>17368</v>
      </c>
      <c r="H94" s="263">
        <f>+'PROYECCIÓN GENERACIÓN'!P94</f>
        <v>14.313360000000001</v>
      </c>
      <c r="I94" s="263">
        <f>+'PROYECCIÓN GENERACIÓN'!Z94</f>
        <v>15.978560000000002</v>
      </c>
      <c r="J94" s="824">
        <f>IF($B94="AMBA",Datos_caracteriz!$D$7,IF($F94&lt;=15000,Datos_caracteriz!$I$7,IF($F94&lt;=50000,Datos_caracteriz!$H$7,IF($F94&lt;=300000,Datos_caracteriz!$G$7,IF($F94&lt;=500000,Datos_caracteriz!$F$7,Datos_caracteriz!$E$7)))))</f>
        <v>6.3576075694443857</v>
      </c>
      <c r="K94" s="824">
        <f>IF($B94="AMBA",Datos_caracteriz!$D$8,IF($F94&lt;=15000,Datos_caracteriz!$I$8,IF($F94&lt;=50000,Datos_caracteriz!$H$8,IF($F94&lt;=300000,Datos_caracteriz!$G$8,IF($F94&lt;=500000,Datos_caracteriz!$F$8,Datos_caracteriz!$E$8)))))</f>
        <v>19.857028624999995</v>
      </c>
      <c r="L94" s="824">
        <f>IF($B94="AMBA",Datos_caracteriz!$D$9,IF($F94&lt;=15000,Datos_caracteriz!$I$9,IF($F94&lt;=50000,Datos_caracteriz!$H$9,IF($F94&lt;=300000,Datos_caracteriz!$G$9,IF($F94&lt;=500000,Datos_caracteriz!$F$9,Datos_caracteriz!$E$9)))))</f>
        <v>8.6582911527777497</v>
      </c>
      <c r="M94" s="824">
        <f>IF($B94="AMBA",Datos_caracteriz!$D$10,IF($F94&lt;=15000,Datos_caracteriz!$I$10,IF($F94&lt;=50000,Datos_caracteriz!$H$10,IF($F94&lt;=300000,Datos_caracteriz!$G$10,IF($F94&lt;=500000,Datos_caracteriz!$F$10,Datos_caracteriz!$E$10)))))</f>
        <v>4.1876249722221894</v>
      </c>
      <c r="N94" s="824">
        <f>IF($B94="AMBA",Datos_caracteriz!$D$11,IF($F94&lt;=15000,Datos_caracteriz!$I$11,IF($F94&lt;=50000,Datos_caracteriz!$H$11,IF($F94&lt;=300000,Datos_caracteriz!$G$11,IF($F94&lt;=500000,Datos_caracteriz!$F$11,Datos_caracteriz!$E$11)))))</f>
        <v>4.5702066666666639</v>
      </c>
    </row>
    <row r="95" spans="1:14" ht="24.95" customHeight="1">
      <c r="A95" s="834">
        <f t="shared" si="1"/>
        <v>91</v>
      </c>
      <c r="B95" s="836"/>
      <c r="C95" s="71" t="str">
        <f>+Pobl_adoptada!A95</f>
        <v>Maipú</v>
      </c>
      <c r="D95" s="70">
        <f>+Pobl_adoptada!B95</f>
        <v>91</v>
      </c>
      <c r="E95" s="353" t="str">
        <f>+Pobl_adoptada!C95</f>
        <v>Maipú</v>
      </c>
      <c r="F95" s="817">
        <f>Pobl_adoptada!Q95</f>
        <v>10149</v>
      </c>
      <c r="G95" s="817">
        <f>Pobl_adoptada!AA95</f>
        <v>10602</v>
      </c>
      <c r="H95" s="263">
        <f>+'PROYECCIÓN GENERACIÓN'!P95</f>
        <v>9.3370800000000003</v>
      </c>
      <c r="I95" s="263">
        <f>+'PROYECCIÓN GENERACIÓN'!Z95</f>
        <v>9.7538400000000003</v>
      </c>
      <c r="J95" s="824">
        <f>IF($B95="AMBA",Datos_caracteriz!$D$7,IF($F95&lt;=15000,Datos_caracteriz!$I$7,IF($F95&lt;=50000,Datos_caracteriz!$H$7,IF($F95&lt;=300000,Datos_caracteriz!$G$7,IF($F95&lt;=500000,Datos_caracteriz!$F$7,Datos_caracteriz!$E$7)))))</f>
        <v>5</v>
      </c>
      <c r="K95" s="824">
        <f>IF($B95="AMBA",Datos_caracteriz!$D$8,IF($F95&lt;=15000,Datos_caracteriz!$I$8,IF($F95&lt;=50000,Datos_caracteriz!$H$8,IF($F95&lt;=300000,Datos_caracteriz!$G$8,IF($F95&lt;=500000,Datos_caracteriz!$F$8,Datos_caracteriz!$E$8)))))</f>
        <v>16</v>
      </c>
      <c r="L95" s="824">
        <f>IF($B95="AMBA",Datos_caracteriz!$D$9,IF($F95&lt;=15000,Datos_caracteriz!$I$9,IF($F95&lt;=50000,Datos_caracteriz!$H$9,IF($F95&lt;=300000,Datos_caracteriz!$G$9,IF($F95&lt;=500000,Datos_caracteriz!$F$9,Datos_caracteriz!$E$9)))))</f>
        <v>8</v>
      </c>
      <c r="M95" s="824">
        <f>IF($B95="AMBA",Datos_caracteriz!$D$10,IF($F95&lt;=15000,Datos_caracteriz!$I$10,IF($F95&lt;=50000,Datos_caracteriz!$H$10,IF($F95&lt;=300000,Datos_caracteriz!$G$10,IF($F95&lt;=500000,Datos_caracteriz!$F$10,Datos_caracteriz!$E$10)))))</f>
        <v>3</v>
      </c>
      <c r="N95" s="824">
        <f>IF($B95="AMBA",Datos_caracteriz!$D$11,IF($F95&lt;=15000,Datos_caracteriz!$I$11,IF($F95&lt;=50000,Datos_caracteriz!$H$11,IF($F95&lt;=300000,Datos_caracteriz!$G$11,IF($F95&lt;=500000,Datos_caracteriz!$F$11,Datos_caracteriz!$E$11)))))</f>
        <v>4</v>
      </c>
    </row>
    <row r="96" spans="1:14" ht="24.95" customHeight="1">
      <c r="A96" s="834">
        <f t="shared" si="1"/>
        <v>92</v>
      </c>
      <c r="B96" s="836"/>
      <c r="C96" s="71" t="str">
        <f>+Pobl_adoptada!A96</f>
        <v>Mar Chiquita</v>
      </c>
      <c r="D96" s="70">
        <f>+Pobl_adoptada!B96</f>
        <v>92</v>
      </c>
      <c r="E96" s="353" t="str">
        <f>+Pobl_adoptada!C96</f>
        <v>Coronel Vidal</v>
      </c>
      <c r="F96" s="817">
        <f>Pobl_adoptada!Q96</f>
        <v>8695</v>
      </c>
      <c r="G96" s="817">
        <f>Pobl_adoptada!AA96</f>
        <v>9923</v>
      </c>
      <c r="H96" s="263">
        <f>+'PROYECCIÓN GENERACIÓN'!P96</f>
        <v>7.9994000000000005</v>
      </c>
      <c r="I96" s="263">
        <f>+'PROYECCIÓN GENERACIÓN'!Z96</f>
        <v>9.1291600000000006</v>
      </c>
      <c r="J96" s="824">
        <f>IF($B96="AMBA",Datos_caracteriz!$D$7,IF($F96&lt;=15000,Datos_caracteriz!$I$7,IF($F96&lt;=50000,Datos_caracteriz!$H$7,IF($F96&lt;=300000,Datos_caracteriz!$G$7,IF($F96&lt;=500000,Datos_caracteriz!$F$7,Datos_caracteriz!$E$7)))))</f>
        <v>5</v>
      </c>
      <c r="K96" s="824">
        <f>IF($B96="AMBA",Datos_caracteriz!$D$8,IF($F96&lt;=15000,Datos_caracteriz!$I$8,IF($F96&lt;=50000,Datos_caracteriz!$H$8,IF($F96&lt;=300000,Datos_caracteriz!$G$8,IF($F96&lt;=500000,Datos_caracteriz!$F$8,Datos_caracteriz!$E$8)))))</f>
        <v>16</v>
      </c>
      <c r="L96" s="824">
        <f>IF($B96="AMBA",Datos_caracteriz!$D$9,IF($F96&lt;=15000,Datos_caracteriz!$I$9,IF($F96&lt;=50000,Datos_caracteriz!$H$9,IF($F96&lt;=300000,Datos_caracteriz!$G$9,IF($F96&lt;=500000,Datos_caracteriz!$F$9,Datos_caracteriz!$E$9)))))</f>
        <v>8</v>
      </c>
      <c r="M96" s="824">
        <f>IF($B96="AMBA",Datos_caracteriz!$D$10,IF($F96&lt;=15000,Datos_caracteriz!$I$10,IF($F96&lt;=50000,Datos_caracteriz!$H$10,IF($F96&lt;=300000,Datos_caracteriz!$G$10,IF($F96&lt;=500000,Datos_caracteriz!$F$10,Datos_caracteriz!$E$10)))))</f>
        <v>3</v>
      </c>
      <c r="N96" s="824">
        <f>IF($B96="AMBA",Datos_caracteriz!$D$11,IF($F96&lt;=15000,Datos_caracteriz!$I$11,IF($F96&lt;=50000,Datos_caracteriz!$H$11,IF($F96&lt;=300000,Datos_caracteriz!$G$11,IF($F96&lt;=500000,Datos_caracteriz!$F$11,Datos_caracteriz!$E$11)))))</f>
        <v>4</v>
      </c>
    </row>
    <row r="97" spans="1:14" ht="24.95" customHeight="1">
      <c r="A97" s="834">
        <f t="shared" si="1"/>
        <v>93</v>
      </c>
      <c r="B97" s="836"/>
      <c r="C97" s="71" t="str">
        <f>+Pobl_adoptada!A97</f>
        <v>Marcos Paz</v>
      </c>
      <c r="D97" s="70">
        <f>+Pobl_adoptada!B97</f>
        <v>93</v>
      </c>
      <c r="E97" s="353" t="str">
        <f>+Pobl_adoptada!C97</f>
        <v>Marcos Paz</v>
      </c>
      <c r="F97" s="817">
        <f>Pobl_adoptada!Q97</f>
        <v>84038</v>
      </c>
      <c r="G97" s="817">
        <f>Pobl_adoptada!AA97</f>
        <v>97374</v>
      </c>
      <c r="H97" s="263">
        <f>+'PROYECCIÓN GENERACIÓN'!P97</f>
        <v>85.718759999999989</v>
      </c>
      <c r="I97" s="263">
        <f>+'PROYECCIÓN GENERACIÓN'!Z97</f>
        <v>99.321479999999994</v>
      </c>
      <c r="J97" s="824">
        <f>IF($B97="AMBA",Datos_caracteriz!$D$7,IF($F97&lt;=15000,Datos_caracteriz!$I$7,IF($F97&lt;=50000,Datos_caracteriz!$H$7,IF($F97&lt;=300000,Datos_caracteriz!$G$7,IF($F97&lt;=500000,Datos_caracteriz!$F$7,Datos_caracteriz!$E$7)))))</f>
        <v>5.0944811463748252</v>
      </c>
      <c r="K97" s="824">
        <f>IF($B97="AMBA",Datos_caracteriz!$D$8,IF($F97&lt;=15000,Datos_caracteriz!$I$8,IF($F97&lt;=50000,Datos_caracteriz!$H$8,IF($F97&lt;=300000,Datos_caracteriz!$G$8,IF($F97&lt;=500000,Datos_caracteriz!$F$8,Datos_caracteriz!$E$8)))))</f>
        <v>17.647404529651318</v>
      </c>
      <c r="L97" s="824">
        <f>IF($B97="AMBA",Datos_caracteriz!$D$9,IF($F97&lt;=15000,Datos_caracteriz!$I$9,IF($F97&lt;=50000,Datos_caracteriz!$H$9,IF($F97&lt;=300000,Datos_caracteriz!$G$9,IF($F97&lt;=500000,Datos_caracteriz!$F$9,Datos_caracteriz!$E$9)))))</f>
        <v>15.698195415822433</v>
      </c>
      <c r="M97" s="824">
        <f>IF($B97="AMBA",Datos_caracteriz!$D$10,IF($F97&lt;=15000,Datos_caracteriz!$I$10,IF($F97&lt;=50000,Datos_caracteriz!$H$10,IF($F97&lt;=300000,Datos_caracteriz!$G$10,IF($F97&lt;=500000,Datos_caracteriz!$F$10,Datos_caracteriz!$E$10)))))</f>
        <v>3.8268589077338007</v>
      </c>
      <c r="N97" s="824">
        <f>IF($B97="AMBA",Datos_caracteriz!$D$11,IF($F97&lt;=15000,Datos_caracteriz!$I$11,IF($F97&lt;=50000,Datos_caracteriz!$H$11,IF($F97&lt;=300000,Datos_caracteriz!$G$11,IF($F97&lt;=500000,Datos_caracteriz!$F$11,Datos_caracteriz!$E$11)))))</f>
        <v>3.0800758591467732</v>
      </c>
    </row>
    <row r="98" spans="1:14" ht="24.95" customHeight="1">
      <c r="A98" s="834">
        <f t="shared" si="1"/>
        <v>94</v>
      </c>
      <c r="B98" s="836"/>
      <c r="C98" s="71" t="str">
        <f>+Pobl_adoptada!A98</f>
        <v>Mercedes</v>
      </c>
      <c r="D98" s="70">
        <f>+Pobl_adoptada!B98</f>
        <v>94</v>
      </c>
      <c r="E98" s="353" t="str">
        <f>+Pobl_adoptada!C98</f>
        <v>Mercedes</v>
      </c>
      <c r="F98" s="817">
        <f>Pobl_adoptada!Q98</f>
        <v>69315</v>
      </c>
      <c r="G98" s="817">
        <f>Pobl_adoptada!AA98</f>
        <v>75426</v>
      </c>
      <c r="H98" s="263">
        <f>+'PROYECCIÓN GENERACIÓN'!P98</f>
        <v>70.701300000000003</v>
      </c>
      <c r="I98" s="263">
        <f>+'PROYECCIÓN GENERACIÓN'!Z98</f>
        <v>76.934520000000006</v>
      </c>
      <c r="J98" s="824">
        <f>IF($B98="AMBA",Datos_caracteriz!$D$7,IF($F98&lt;=15000,Datos_caracteriz!$I$7,IF($F98&lt;=50000,Datos_caracteriz!$H$7,IF($F98&lt;=300000,Datos_caracteriz!$G$7,IF($F98&lt;=500000,Datos_caracteriz!$F$7,Datos_caracteriz!$E$7)))))</f>
        <v>5.0944811463748252</v>
      </c>
      <c r="K98" s="824">
        <f>IF($B98="AMBA",Datos_caracteriz!$D$8,IF($F98&lt;=15000,Datos_caracteriz!$I$8,IF($F98&lt;=50000,Datos_caracteriz!$H$8,IF($F98&lt;=300000,Datos_caracteriz!$G$8,IF($F98&lt;=500000,Datos_caracteriz!$F$8,Datos_caracteriz!$E$8)))))</f>
        <v>17.647404529651318</v>
      </c>
      <c r="L98" s="824">
        <f>IF($B98="AMBA",Datos_caracteriz!$D$9,IF($F98&lt;=15000,Datos_caracteriz!$I$9,IF($F98&lt;=50000,Datos_caracteriz!$H$9,IF($F98&lt;=300000,Datos_caracteriz!$G$9,IF($F98&lt;=500000,Datos_caracteriz!$F$9,Datos_caracteriz!$E$9)))))</f>
        <v>15.698195415822433</v>
      </c>
      <c r="M98" s="824">
        <f>IF($B98="AMBA",Datos_caracteriz!$D$10,IF($F98&lt;=15000,Datos_caracteriz!$I$10,IF($F98&lt;=50000,Datos_caracteriz!$H$10,IF($F98&lt;=300000,Datos_caracteriz!$G$10,IF($F98&lt;=500000,Datos_caracteriz!$F$10,Datos_caracteriz!$E$10)))))</f>
        <v>3.8268589077338007</v>
      </c>
      <c r="N98" s="824">
        <f>IF($B98="AMBA",Datos_caracteriz!$D$11,IF($F98&lt;=15000,Datos_caracteriz!$I$11,IF($F98&lt;=50000,Datos_caracteriz!$H$11,IF($F98&lt;=300000,Datos_caracteriz!$G$11,IF($F98&lt;=500000,Datos_caracteriz!$F$11,Datos_caracteriz!$E$11)))))</f>
        <v>3.0800758591467732</v>
      </c>
    </row>
    <row r="99" spans="1:14" ht="24.95" customHeight="1">
      <c r="A99" s="834">
        <f t="shared" si="1"/>
        <v>95</v>
      </c>
      <c r="B99" s="836"/>
      <c r="C99" s="71" t="str">
        <f>+Pobl_adoptada!A99</f>
        <v>Monte</v>
      </c>
      <c r="D99" s="70">
        <f>+Pobl_adoptada!B99</f>
        <v>95</v>
      </c>
      <c r="E99" s="353" t="str">
        <f>+Pobl_adoptada!C99</f>
        <v>San Miguel del Monte</v>
      </c>
      <c r="F99" s="817">
        <f>Pobl_adoptada!Q99</f>
        <v>24934</v>
      </c>
      <c r="G99" s="817">
        <f>Pobl_adoptada!AA99</f>
        <v>28199</v>
      </c>
      <c r="H99" s="263">
        <f>+'PROYECCIÓN GENERACIÓN'!P99</f>
        <v>26.430040000000002</v>
      </c>
      <c r="I99" s="263">
        <f>+'PROYECCIÓN GENERACIÓN'!Z99</f>
        <v>29.890940000000004</v>
      </c>
      <c r="J99" s="824">
        <f>IF($B99="AMBA",Datos_caracteriz!$D$7,IF($F99&lt;=15000,Datos_caracteriz!$I$7,IF($F99&lt;=50000,Datos_caracteriz!$H$7,IF($F99&lt;=300000,Datos_caracteriz!$G$7,IF($F99&lt;=500000,Datos_caracteriz!$F$7,Datos_caracteriz!$E$7)))))</f>
        <v>6.3576075694443857</v>
      </c>
      <c r="K99" s="824">
        <f>IF($B99="AMBA",Datos_caracteriz!$D$8,IF($F99&lt;=15000,Datos_caracteriz!$I$8,IF($F99&lt;=50000,Datos_caracteriz!$H$8,IF($F99&lt;=300000,Datos_caracteriz!$G$8,IF($F99&lt;=500000,Datos_caracteriz!$F$8,Datos_caracteriz!$E$8)))))</f>
        <v>19.857028624999995</v>
      </c>
      <c r="L99" s="824">
        <f>IF($B99="AMBA",Datos_caracteriz!$D$9,IF($F99&lt;=15000,Datos_caracteriz!$I$9,IF($F99&lt;=50000,Datos_caracteriz!$H$9,IF($F99&lt;=300000,Datos_caracteriz!$G$9,IF($F99&lt;=500000,Datos_caracteriz!$F$9,Datos_caracteriz!$E$9)))))</f>
        <v>8.6582911527777497</v>
      </c>
      <c r="M99" s="824">
        <f>IF($B99="AMBA",Datos_caracteriz!$D$10,IF($F99&lt;=15000,Datos_caracteriz!$I$10,IF($F99&lt;=50000,Datos_caracteriz!$H$10,IF($F99&lt;=300000,Datos_caracteriz!$G$10,IF($F99&lt;=500000,Datos_caracteriz!$F$10,Datos_caracteriz!$E$10)))))</f>
        <v>4.1876249722221894</v>
      </c>
      <c r="N99" s="824">
        <f>IF($B99="AMBA",Datos_caracteriz!$D$11,IF($F99&lt;=15000,Datos_caracteriz!$I$11,IF($F99&lt;=50000,Datos_caracteriz!$H$11,IF($F99&lt;=300000,Datos_caracteriz!$G$11,IF($F99&lt;=500000,Datos_caracteriz!$F$11,Datos_caracteriz!$E$11)))))</f>
        <v>4.5702066666666639</v>
      </c>
    </row>
    <row r="100" spans="1:14" ht="24.95" customHeight="1">
      <c r="A100" s="834">
        <f t="shared" si="1"/>
        <v>96</v>
      </c>
      <c r="B100" s="836"/>
      <c r="C100" s="71" t="str">
        <f>+Pobl_adoptada!A100</f>
        <v>Monte Hermoso</v>
      </c>
      <c r="D100" s="70">
        <f>+Pobl_adoptada!B100</f>
        <v>96</v>
      </c>
      <c r="E100" s="353" t="str">
        <f>+Pobl_adoptada!C100</f>
        <v>Monte Hermoso</v>
      </c>
      <c r="F100" s="817">
        <f>Pobl_adoptada!Q100</f>
        <v>25872</v>
      </c>
      <c r="G100" s="817">
        <f>Pobl_adoptada!AA100</f>
        <v>31863</v>
      </c>
      <c r="H100" s="263">
        <f>+'PROYECCIÓN GENERACIÓN'!P100</f>
        <v>27.424319999999998</v>
      </c>
      <c r="I100" s="263">
        <f>+'PROYECCIÓN GENERACIÓN'!Z100</f>
        <v>33.77478</v>
      </c>
      <c r="J100" s="824">
        <f>IF($B100="AMBA",Datos_caracteriz!$D$7,IF($F100&lt;=15000,Datos_caracteriz!$I$7,IF($F100&lt;=50000,Datos_caracteriz!$H$7,IF($F100&lt;=300000,Datos_caracteriz!$G$7,IF($F100&lt;=500000,Datos_caracteriz!$F$7,Datos_caracteriz!$E$7)))))</f>
        <v>6.3576075694443857</v>
      </c>
      <c r="K100" s="824">
        <f>IF($B100="AMBA",Datos_caracteriz!$D$8,IF($F100&lt;=15000,Datos_caracteriz!$I$8,IF($F100&lt;=50000,Datos_caracteriz!$H$8,IF($F100&lt;=300000,Datos_caracteriz!$G$8,IF($F100&lt;=500000,Datos_caracteriz!$F$8,Datos_caracteriz!$E$8)))))</f>
        <v>19.857028624999995</v>
      </c>
      <c r="L100" s="824">
        <f>IF($B100="AMBA",Datos_caracteriz!$D$9,IF($F100&lt;=15000,Datos_caracteriz!$I$9,IF($F100&lt;=50000,Datos_caracteriz!$H$9,IF($F100&lt;=300000,Datos_caracteriz!$G$9,IF($F100&lt;=500000,Datos_caracteriz!$F$9,Datos_caracteriz!$E$9)))))</f>
        <v>8.6582911527777497</v>
      </c>
      <c r="M100" s="824">
        <f>IF($B100="AMBA",Datos_caracteriz!$D$10,IF($F100&lt;=15000,Datos_caracteriz!$I$10,IF($F100&lt;=50000,Datos_caracteriz!$H$10,IF($F100&lt;=300000,Datos_caracteriz!$G$10,IF($F100&lt;=500000,Datos_caracteriz!$F$10,Datos_caracteriz!$E$10)))))</f>
        <v>4.1876249722221894</v>
      </c>
      <c r="N100" s="824">
        <f>IF($B100="AMBA",Datos_caracteriz!$D$11,IF($F100&lt;=15000,Datos_caracteriz!$I$11,IF($F100&lt;=50000,Datos_caracteriz!$H$11,IF($F100&lt;=300000,Datos_caracteriz!$G$11,IF($F100&lt;=500000,Datos_caracteriz!$F$11,Datos_caracteriz!$E$11)))))</f>
        <v>4.5702066666666639</v>
      </c>
    </row>
    <row r="101" spans="1:14" ht="24.95" customHeight="1">
      <c r="A101" s="834">
        <f t="shared" si="1"/>
        <v>97</v>
      </c>
      <c r="B101" s="836"/>
      <c r="C101" s="71" t="str">
        <f>+Pobl_adoptada!A101</f>
        <v>Navarro</v>
      </c>
      <c r="D101" s="70">
        <f>+Pobl_adoptada!B101</f>
        <v>97</v>
      </c>
      <c r="E101" s="353" t="str">
        <f>+Pobl_adoptada!C101</f>
        <v>Navarro</v>
      </c>
      <c r="F101" s="817">
        <f>Pobl_adoptada!Q101</f>
        <v>19204</v>
      </c>
      <c r="G101" s="817">
        <f>Pobl_adoptada!AA101</f>
        <v>22295</v>
      </c>
      <c r="H101" s="263">
        <f>+'PROYECCIÓN GENERACIÓN'!P101</f>
        <v>20.356240000000003</v>
      </c>
      <c r="I101" s="263">
        <f>+'PROYECCIÓN GENERACIÓN'!Z101</f>
        <v>23.6327</v>
      </c>
      <c r="J101" s="824">
        <f>IF($B101="AMBA",Datos_caracteriz!$D$7,IF($F101&lt;=15000,Datos_caracteriz!$I$7,IF($F101&lt;=50000,Datos_caracteriz!$H$7,IF($F101&lt;=300000,Datos_caracteriz!$G$7,IF($F101&lt;=500000,Datos_caracteriz!$F$7,Datos_caracteriz!$E$7)))))</f>
        <v>6.3576075694443857</v>
      </c>
      <c r="K101" s="824">
        <f>IF($B101="AMBA",Datos_caracteriz!$D$8,IF($F101&lt;=15000,Datos_caracteriz!$I$8,IF($F101&lt;=50000,Datos_caracteriz!$H$8,IF($F101&lt;=300000,Datos_caracteriz!$G$8,IF($F101&lt;=500000,Datos_caracteriz!$F$8,Datos_caracteriz!$E$8)))))</f>
        <v>19.857028624999995</v>
      </c>
      <c r="L101" s="824">
        <f>IF($B101="AMBA",Datos_caracteriz!$D$9,IF($F101&lt;=15000,Datos_caracteriz!$I$9,IF($F101&lt;=50000,Datos_caracteriz!$H$9,IF($F101&lt;=300000,Datos_caracteriz!$G$9,IF($F101&lt;=500000,Datos_caracteriz!$F$9,Datos_caracteriz!$E$9)))))</f>
        <v>8.6582911527777497</v>
      </c>
      <c r="M101" s="824">
        <f>IF($B101="AMBA",Datos_caracteriz!$D$10,IF($F101&lt;=15000,Datos_caracteriz!$I$10,IF($F101&lt;=50000,Datos_caracteriz!$H$10,IF($F101&lt;=300000,Datos_caracteriz!$G$10,IF($F101&lt;=500000,Datos_caracteriz!$F$10,Datos_caracteriz!$E$10)))))</f>
        <v>4.1876249722221894</v>
      </c>
      <c r="N101" s="824">
        <f>IF($B101="AMBA",Datos_caracteriz!$D$11,IF($F101&lt;=15000,Datos_caracteriz!$I$11,IF($F101&lt;=50000,Datos_caracteriz!$H$11,IF($F101&lt;=300000,Datos_caracteriz!$G$11,IF($F101&lt;=500000,Datos_caracteriz!$F$11,Datos_caracteriz!$E$11)))))</f>
        <v>4.5702066666666639</v>
      </c>
    </row>
    <row r="102" spans="1:14" ht="24.95" customHeight="1">
      <c r="A102" s="834">
        <f t="shared" si="1"/>
        <v>98</v>
      </c>
      <c r="B102" s="836"/>
      <c r="C102" s="71" t="str">
        <f>+Pobl_adoptada!A102</f>
        <v>Necochea</v>
      </c>
      <c r="D102" s="70">
        <f>+Pobl_adoptada!B102</f>
        <v>98</v>
      </c>
      <c r="E102" s="353" t="str">
        <f>+Pobl_adoptada!C102</f>
        <v>Necochea - Quequén</v>
      </c>
      <c r="F102" s="817">
        <f>Pobl_adoptada!Q102</f>
        <v>119665</v>
      </c>
      <c r="G102" s="817">
        <f>Pobl_adoptada!AA102</f>
        <v>134004</v>
      </c>
      <c r="H102" s="263">
        <f>+'PROYECCIÓN GENERACIÓN'!P102</f>
        <v>122.0583</v>
      </c>
      <c r="I102" s="263">
        <f>+'PROYECCIÓN GENERACIÓN'!Z102</f>
        <v>136.68408000000002</v>
      </c>
      <c r="J102" s="824">
        <f>IF($B102="AMBA",Datos_caracteriz!$D$7,IF($F102&lt;=15000,Datos_caracteriz!$I$7,IF($F102&lt;=50000,Datos_caracteriz!$H$7,IF($F102&lt;=300000,Datos_caracteriz!$G$7,IF($F102&lt;=500000,Datos_caracteriz!$F$7,Datos_caracteriz!$E$7)))))</f>
        <v>5.0944811463748252</v>
      </c>
      <c r="K102" s="824">
        <f>IF($B102="AMBA",Datos_caracteriz!$D$8,IF($F102&lt;=15000,Datos_caracteriz!$I$8,IF($F102&lt;=50000,Datos_caracteriz!$H$8,IF($F102&lt;=300000,Datos_caracteriz!$G$8,IF($F102&lt;=500000,Datos_caracteriz!$F$8,Datos_caracteriz!$E$8)))))</f>
        <v>17.647404529651318</v>
      </c>
      <c r="L102" s="824">
        <f>IF($B102="AMBA",Datos_caracteriz!$D$9,IF($F102&lt;=15000,Datos_caracteriz!$I$9,IF($F102&lt;=50000,Datos_caracteriz!$H$9,IF($F102&lt;=300000,Datos_caracteriz!$G$9,IF($F102&lt;=500000,Datos_caracteriz!$F$9,Datos_caracteriz!$E$9)))))</f>
        <v>15.698195415822433</v>
      </c>
      <c r="M102" s="824">
        <f>IF($B102="AMBA",Datos_caracteriz!$D$10,IF($F102&lt;=15000,Datos_caracteriz!$I$10,IF($F102&lt;=50000,Datos_caracteriz!$H$10,IF($F102&lt;=300000,Datos_caracteriz!$G$10,IF($F102&lt;=500000,Datos_caracteriz!$F$10,Datos_caracteriz!$E$10)))))</f>
        <v>3.8268589077338007</v>
      </c>
      <c r="N102" s="824">
        <f>IF($B102="AMBA",Datos_caracteriz!$D$11,IF($F102&lt;=15000,Datos_caracteriz!$I$11,IF($F102&lt;=50000,Datos_caracteriz!$H$11,IF($F102&lt;=300000,Datos_caracteriz!$G$11,IF($F102&lt;=500000,Datos_caracteriz!$F$11,Datos_caracteriz!$E$11)))))</f>
        <v>3.0800758591467732</v>
      </c>
    </row>
    <row r="103" spans="1:14" ht="24.95" customHeight="1">
      <c r="A103" s="834">
        <f t="shared" si="1"/>
        <v>99</v>
      </c>
      <c r="B103" s="836"/>
      <c r="C103" s="71" t="str">
        <f>+Pobl_adoptada!A103</f>
        <v>Olavarría</v>
      </c>
      <c r="D103" s="70">
        <f>+Pobl_adoptada!B103</f>
        <v>99</v>
      </c>
      <c r="E103" s="353" t="str">
        <f>+Pobl_adoptada!C103</f>
        <v>Olavarría</v>
      </c>
      <c r="F103" s="817">
        <f>Pobl_adoptada!Q103</f>
        <v>108680</v>
      </c>
      <c r="G103" s="817">
        <f>Pobl_adoptada!AA103</f>
        <v>117341</v>
      </c>
      <c r="H103" s="263">
        <f>+'PROYECCIÓN GENERACIÓN'!P103</f>
        <v>110.8536</v>
      </c>
      <c r="I103" s="263">
        <f>+'PROYECCIÓN GENERACIÓN'!Z103</f>
        <v>119.68782</v>
      </c>
      <c r="J103" s="824">
        <f>IF($B103="AMBA",Datos_caracteriz!$D$7,IF($F103&lt;=15000,Datos_caracteriz!$I$7,IF($F103&lt;=50000,Datos_caracteriz!$H$7,IF($F103&lt;=300000,Datos_caracteriz!$G$7,IF($F103&lt;=500000,Datos_caracteriz!$F$7,Datos_caracteriz!$E$7)))))</f>
        <v>5.0944811463748252</v>
      </c>
      <c r="K103" s="824">
        <f>IF($B103="AMBA",Datos_caracteriz!$D$8,IF($F103&lt;=15000,Datos_caracteriz!$I$8,IF($F103&lt;=50000,Datos_caracteriz!$H$8,IF($F103&lt;=300000,Datos_caracteriz!$G$8,IF($F103&lt;=500000,Datos_caracteriz!$F$8,Datos_caracteriz!$E$8)))))</f>
        <v>17.647404529651318</v>
      </c>
      <c r="L103" s="824">
        <f>IF($B103="AMBA",Datos_caracteriz!$D$9,IF($F103&lt;=15000,Datos_caracteriz!$I$9,IF($F103&lt;=50000,Datos_caracteriz!$H$9,IF($F103&lt;=300000,Datos_caracteriz!$G$9,IF($F103&lt;=500000,Datos_caracteriz!$F$9,Datos_caracteriz!$E$9)))))</f>
        <v>15.698195415822433</v>
      </c>
      <c r="M103" s="824">
        <f>IF($B103="AMBA",Datos_caracteriz!$D$10,IF($F103&lt;=15000,Datos_caracteriz!$I$10,IF($F103&lt;=50000,Datos_caracteriz!$H$10,IF($F103&lt;=300000,Datos_caracteriz!$G$10,IF($F103&lt;=500000,Datos_caracteriz!$F$10,Datos_caracteriz!$E$10)))))</f>
        <v>3.8268589077338007</v>
      </c>
      <c r="N103" s="824">
        <f>IF($B103="AMBA",Datos_caracteriz!$D$11,IF($F103&lt;=15000,Datos_caracteriz!$I$11,IF($F103&lt;=50000,Datos_caracteriz!$H$11,IF($F103&lt;=300000,Datos_caracteriz!$G$11,IF($F103&lt;=500000,Datos_caracteriz!$F$11,Datos_caracteriz!$E$11)))))</f>
        <v>3.0800758591467732</v>
      </c>
    </row>
    <row r="104" spans="1:14" ht="24.95" customHeight="1">
      <c r="A104" s="834">
        <f t="shared" si="1"/>
        <v>100</v>
      </c>
      <c r="B104" s="836"/>
      <c r="C104" s="71" t="str">
        <f>+Pobl_adoptada!A104</f>
        <v>Patagones</v>
      </c>
      <c r="D104" s="70">
        <f>+Pobl_adoptada!B104</f>
        <v>100</v>
      </c>
      <c r="E104" s="353" t="str">
        <f>+Pobl_adoptada!C104</f>
        <v>Carmen de Patagones</v>
      </c>
      <c r="F104" s="817">
        <f>Pobl_adoptada!Q104</f>
        <v>32689</v>
      </c>
      <c r="G104" s="817">
        <f>Pobl_adoptada!AA104</f>
        <v>39106</v>
      </c>
      <c r="H104" s="263">
        <f>+'PROYECCIÓN GENERACIÓN'!P104</f>
        <v>34.650340000000007</v>
      </c>
      <c r="I104" s="263">
        <f>+'PROYECCIÓN GENERACIÓN'!Z104</f>
        <v>41.452359999999999</v>
      </c>
      <c r="J104" s="824">
        <f>IF($B104="AMBA",Datos_caracteriz!$D$7,IF($F104&lt;=15000,Datos_caracteriz!$I$7,IF($F104&lt;=50000,Datos_caracteriz!$H$7,IF($F104&lt;=300000,Datos_caracteriz!$G$7,IF($F104&lt;=500000,Datos_caracteriz!$F$7,Datos_caracteriz!$E$7)))))</f>
        <v>6.3576075694443857</v>
      </c>
      <c r="K104" s="824">
        <f>IF($B104="AMBA",Datos_caracteriz!$D$8,IF($F104&lt;=15000,Datos_caracteriz!$I$8,IF($F104&lt;=50000,Datos_caracteriz!$H$8,IF($F104&lt;=300000,Datos_caracteriz!$G$8,IF($F104&lt;=500000,Datos_caracteriz!$F$8,Datos_caracteriz!$E$8)))))</f>
        <v>19.857028624999995</v>
      </c>
      <c r="L104" s="824">
        <f>IF($B104="AMBA",Datos_caracteriz!$D$9,IF($F104&lt;=15000,Datos_caracteriz!$I$9,IF($F104&lt;=50000,Datos_caracteriz!$H$9,IF($F104&lt;=300000,Datos_caracteriz!$G$9,IF($F104&lt;=500000,Datos_caracteriz!$F$9,Datos_caracteriz!$E$9)))))</f>
        <v>8.6582911527777497</v>
      </c>
      <c r="M104" s="824">
        <f>IF($B104="AMBA",Datos_caracteriz!$D$10,IF($F104&lt;=15000,Datos_caracteriz!$I$10,IF($F104&lt;=50000,Datos_caracteriz!$H$10,IF($F104&lt;=300000,Datos_caracteriz!$G$10,IF($F104&lt;=500000,Datos_caracteriz!$F$10,Datos_caracteriz!$E$10)))))</f>
        <v>4.1876249722221894</v>
      </c>
      <c r="N104" s="824">
        <f>IF($B104="AMBA",Datos_caracteriz!$D$11,IF($F104&lt;=15000,Datos_caracteriz!$I$11,IF($F104&lt;=50000,Datos_caracteriz!$H$11,IF($F104&lt;=300000,Datos_caracteriz!$G$11,IF($F104&lt;=500000,Datos_caracteriz!$F$11,Datos_caracteriz!$E$11)))))</f>
        <v>4.5702066666666639</v>
      </c>
    </row>
    <row r="105" spans="1:14" ht="24.95" customHeight="1">
      <c r="A105" s="834">
        <f t="shared" si="1"/>
        <v>101</v>
      </c>
      <c r="B105" s="836"/>
      <c r="C105" s="71" t="str">
        <f>+Pobl_adoptada!A105</f>
        <v>Pehuajó</v>
      </c>
      <c r="D105" s="70">
        <f>+Pobl_adoptada!B105</f>
        <v>101</v>
      </c>
      <c r="E105" s="353" t="str">
        <f>+Pobl_adoptada!C105</f>
        <v>Pehuajó</v>
      </c>
      <c r="F105" s="817">
        <f>Pobl_adoptada!Q105</f>
        <v>36568</v>
      </c>
      <c r="G105" s="817">
        <f>Pobl_adoptada!AA105</f>
        <v>38592</v>
      </c>
      <c r="H105" s="263">
        <f>+'PROYECCIÓN GENERACIÓN'!P105</f>
        <v>38.762080000000005</v>
      </c>
      <c r="I105" s="263">
        <f>+'PROYECCIÓN GENERACIÓN'!Z105</f>
        <v>40.907520000000005</v>
      </c>
      <c r="J105" s="824">
        <f>IF($B105="AMBA",Datos_caracteriz!$D$7,IF($F105&lt;=15000,Datos_caracteriz!$I$7,IF($F105&lt;=50000,Datos_caracteriz!$H$7,IF($F105&lt;=300000,Datos_caracteriz!$G$7,IF($F105&lt;=500000,Datos_caracteriz!$F$7,Datos_caracteriz!$E$7)))))</f>
        <v>6.3576075694443857</v>
      </c>
      <c r="K105" s="824">
        <f>IF($B105="AMBA",Datos_caracteriz!$D$8,IF($F105&lt;=15000,Datos_caracteriz!$I$8,IF($F105&lt;=50000,Datos_caracteriz!$H$8,IF($F105&lt;=300000,Datos_caracteriz!$G$8,IF($F105&lt;=500000,Datos_caracteriz!$F$8,Datos_caracteriz!$E$8)))))</f>
        <v>19.857028624999995</v>
      </c>
      <c r="L105" s="824">
        <f>IF($B105="AMBA",Datos_caracteriz!$D$9,IF($F105&lt;=15000,Datos_caracteriz!$I$9,IF($F105&lt;=50000,Datos_caracteriz!$H$9,IF($F105&lt;=300000,Datos_caracteriz!$G$9,IF($F105&lt;=500000,Datos_caracteriz!$F$9,Datos_caracteriz!$E$9)))))</f>
        <v>8.6582911527777497</v>
      </c>
      <c r="M105" s="824">
        <f>IF($B105="AMBA",Datos_caracteriz!$D$10,IF($F105&lt;=15000,Datos_caracteriz!$I$10,IF($F105&lt;=50000,Datos_caracteriz!$H$10,IF($F105&lt;=300000,Datos_caracteriz!$G$10,IF($F105&lt;=500000,Datos_caracteriz!$F$10,Datos_caracteriz!$E$10)))))</f>
        <v>4.1876249722221894</v>
      </c>
      <c r="N105" s="824">
        <f>IF($B105="AMBA",Datos_caracteriz!$D$11,IF($F105&lt;=15000,Datos_caracteriz!$I$11,IF($F105&lt;=50000,Datos_caracteriz!$H$11,IF($F105&lt;=300000,Datos_caracteriz!$G$11,IF($F105&lt;=500000,Datos_caracteriz!$F$11,Datos_caracteriz!$E$11)))))</f>
        <v>4.5702066666666639</v>
      </c>
    </row>
    <row r="106" spans="1:14" ht="24.95" customHeight="1">
      <c r="A106" s="834">
        <f t="shared" si="1"/>
        <v>102</v>
      </c>
      <c r="B106" s="836"/>
      <c r="C106" s="71" t="str">
        <f>+Pobl_adoptada!A106</f>
        <v>Pellegrini</v>
      </c>
      <c r="D106" s="70">
        <f>+Pobl_adoptada!B106</f>
        <v>102</v>
      </c>
      <c r="E106" s="353" t="str">
        <f>+Pobl_adoptada!C106</f>
        <v>Pellegrini</v>
      </c>
      <c r="F106" s="817">
        <f>Pobl_adoptada!Q106</f>
        <v>5898</v>
      </c>
      <c r="G106" s="817">
        <f>Pobl_adoptada!AA106</f>
        <v>6187</v>
      </c>
      <c r="H106" s="263">
        <f>+'PROYECCIÓN GENERACIÓN'!P106</f>
        <v>5.4261599999999994</v>
      </c>
      <c r="I106" s="263">
        <f>+'PROYECCIÓN GENERACIÓN'!Z106</f>
        <v>5.6920399999999995</v>
      </c>
      <c r="J106" s="824">
        <f>IF($B106="AMBA",Datos_caracteriz!$D$7,IF($F106&lt;=15000,Datos_caracteriz!$I$7,IF($F106&lt;=50000,Datos_caracteriz!$H$7,IF($F106&lt;=300000,Datos_caracteriz!$G$7,IF($F106&lt;=500000,Datos_caracteriz!$F$7,Datos_caracteriz!$E$7)))))</f>
        <v>5</v>
      </c>
      <c r="K106" s="824">
        <f>IF($B106="AMBA",Datos_caracteriz!$D$8,IF($F106&lt;=15000,Datos_caracteriz!$I$8,IF($F106&lt;=50000,Datos_caracteriz!$H$8,IF($F106&lt;=300000,Datos_caracteriz!$G$8,IF($F106&lt;=500000,Datos_caracteriz!$F$8,Datos_caracteriz!$E$8)))))</f>
        <v>16</v>
      </c>
      <c r="L106" s="824">
        <f>IF($B106="AMBA",Datos_caracteriz!$D$9,IF($F106&lt;=15000,Datos_caracteriz!$I$9,IF($F106&lt;=50000,Datos_caracteriz!$H$9,IF($F106&lt;=300000,Datos_caracteriz!$G$9,IF($F106&lt;=500000,Datos_caracteriz!$F$9,Datos_caracteriz!$E$9)))))</f>
        <v>8</v>
      </c>
      <c r="M106" s="824">
        <f>IF($B106="AMBA",Datos_caracteriz!$D$10,IF($F106&lt;=15000,Datos_caracteriz!$I$10,IF($F106&lt;=50000,Datos_caracteriz!$H$10,IF($F106&lt;=300000,Datos_caracteriz!$G$10,IF($F106&lt;=500000,Datos_caracteriz!$F$10,Datos_caracteriz!$E$10)))))</f>
        <v>3</v>
      </c>
      <c r="N106" s="824">
        <f>IF($B106="AMBA",Datos_caracteriz!$D$11,IF($F106&lt;=15000,Datos_caracteriz!$I$11,IF($F106&lt;=50000,Datos_caracteriz!$H$11,IF($F106&lt;=300000,Datos_caracteriz!$G$11,IF($F106&lt;=500000,Datos_caracteriz!$F$11,Datos_caracteriz!$E$11)))))</f>
        <v>4</v>
      </c>
    </row>
    <row r="107" spans="1:14" ht="24.95" customHeight="1">
      <c r="A107" s="834">
        <f t="shared" si="1"/>
        <v>103</v>
      </c>
      <c r="B107" s="836"/>
      <c r="C107" s="71" t="str">
        <f>+Pobl_adoptada!A107</f>
        <v>Pergamino</v>
      </c>
      <c r="D107" s="70">
        <f>+Pobl_adoptada!B107</f>
        <v>103</v>
      </c>
      <c r="E107" s="353" t="str">
        <f>+Pobl_adoptada!C107</f>
        <v>Pergamino</v>
      </c>
      <c r="F107" s="817">
        <f>Pobl_adoptada!Q107</f>
        <v>107337</v>
      </c>
      <c r="G107" s="817">
        <f>Pobl_adoptada!AA107</f>
        <v>113734</v>
      </c>
      <c r="H107" s="263">
        <f>+'PROYECCIÓN GENERACIÓN'!P107</f>
        <v>109.48374000000001</v>
      </c>
      <c r="I107" s="263">
        <f>+'PROYECCIÓN GENERACIÓN'!Z107</f>
        <v>116.00868000000001</v>
      </c>
      <c r="J107" s="824">
        <f>IF($B107="AMBA",Datos_caracteriz!$D$7,IF($F107&lt;=15000,Datos_caracteriz!$I$7,IF($F107&lt;=50000,Datos_caracteriz!$H$7,IF($F107&lt;=300000,Datos_caracteriz!$G$7,IF($F107&lt;=500000,Datos_caracteriz!$F$7,Datos_caracteriz!$E$7)))))</f>
        <v>5.0944811463748252</v>
      </c>
      <c r="K107" s="824">
        <f>IF($B107="AMBA",Datos_caracteriz!$D$8,IF($F107&lt;=15000,Datos_caracteriz!$I$8,IF($F107&lt;=50000,Datos_caracteriz!$H$8,IF($F107&lt;=300000,Datos_caracteriz!$G$8,IF($F107&lt;=500000,Datos_caracteriz!$F$8,Datos_caracteriz!$E$8)))))</f>
        <v>17.647404529651318</v>
      </c>
      <c r="L107" s="824">
        <f>IF($B107="AMBA",Datos_caracteriz!$D$9,IF($F107&lt;=15000,Datos_caracteriz!$I$9,IF($F107&lt;=50000,Datos_caracteriz!$H$9,IF($F107&lt;=300000,Datos_caracteriz!$G$9,IF($F107&lt;=500000,Datos_caracteriz!$F$9,Datos_caracteriz!$E$9)))))</f>
        <v>15.698195415822433</v>
      </c>
      <c r="M107" s="824">
        <f>IF($B107="AMBA",Datos_caracteriz!$D$10,IF($F107&lt;=15000,Datos_caracteriz!$I$10,IF($F107&lt;=50000,Datos_caracteriz!$H$10,IF($F107&lt;=300000,Datos_caracteriz!$G$10,IF($F107&lt;=500000,Datos_caracteriz!$F$10,Datos_caracteriz!$E$10)))))</f>
        <v>3.8268589077338007</v>
      </c>
      <c r="N107" s="824">
        <f>IF($B107="AMBA",Datos_caracteriz!$D$11,IF($F107&lt;=15000,Datos_caracteriz!$I$11,IF($F107&lt;=50000,Datos_caracteriz!$H$11,IF($F107&lt;=300000,Datos_caracteriz!$G$11,IF($F107&lt;=500000,Datos_caracteriz!$F$11,Datos_caracteriz!$E$11)))))</f>
        <v>3.0800758591467732</v>
      </c>
    </row>
    <row r="108" spans="1:14" ht="24.95" customHeight="1">
      <c r="A108" s="834">
        <f t="shared" si="1"/>
        <v>104</v>
      </c>
      <c r="B108" s="836"/>
      <c r="C108" s="71" t="str">
        <f>+Pobl_adoptada!A108</f>
        <v>Pila</v>
      </c>
      <c r="D108" s="70">
        <f>+Pobl_adoptada!B108</f>
        <v>104</v>
      </c>
      <c r="E108" s="353" t="str">
        <f>+Pobl_adoptada!C108</f>
        <v>Pila</v>
      </c>
      <c r="F108" s="817">
        <f>Pobl_adoptada!Q108</f>
        <v>4152</v>
      </c>
      <c r="G108" s="817">
        <f>Pobl_adoptada!AA108</f>
        <v>5084</v>
      </c>
      <c r="H108" s="263">
        <f>+'PROYECCIÓN GENERACIÓN'!P108</f>
        <v>3.8198400000000001</v>
      </c>
      <c r="I108" s="263">
        <f>+'PROYECCIÓN GENERACIÓN'!Z108</f>
        <v>4.6772800000000005</v>
      </c>
      <c r="J108" s="824">
        <f>IF($B108="AMBA",Datos_caracteriz!$D$7,IF($F108&lt;=15000,Datos_caracteriz!$I$7,IF($F108&lt;=50000,Datos_caracteriz!$H$7,IF($F108&lt;=300000,Datos_caracteriz!$G$7,IF($F108&lt;=500000,Datos_caracteriz!$F$7,Datos_caracteriz!$E$7)))))</f>
        <v>5</v>
      </c>
      <c r="K108" s="824">
        <f>IF($B108="AMBA",Datos_caracteriz!$D$8,IF($F108&lt;=15000,Datos_caracteriz!$I$8,IF($F108&lt;=50000,Datos_caracteriz!$H$8,IF($F108&lt;=300000,Datos_caracteriz!$G$8,IF($F108&lt;=500000,Datos_caracteriz!$F$8,Datos_caracteriz!$E$8)))))</f>
        <v>16</v>
      </c>
      <c r="L108" s="824">
        <f>IF($B108="AMBA",Datos_caracteriz!$D$9,IF($F108&lt;=15000,Datos_caracteriz!$I$9,IF($F108&lt;=50000,Datos_caracteriz!$H$9,IF($F108&lt;=300000,Datos_caracteriz!$G$9,IF($F108&lt;=500000,Datos_caracteriz!$F$9,Datos_caracteriz!$E$9)))))</f>
        <v>8</v>
      </c>
      <c r="M108" s="824">
        <f>IF($B108="AMBA",Datos_caracteriz!$D$10,IF($F108&lt;=15000,Datos_caracteriz!$I$10,IF($F108&lt;=50000,Datos_caracteriz!$H$10,IF($F108&lt;=300000,Datos_caracteriz!$G$10,IF($F108&lt;=500000,Datos_caracteriz!$F$10,Datos_caracteriz!$E$10)))))</f>
        <v>3</v>
      </c>
      <c r="N108" s="824">
        <f>IF($B108="AMBA",Datos_caracteriz!$D$11,IF($F108&lt;=15000,Datos_caracteriz!$I$11,IF($F108&lt;=50000,Datos_caracteriz!$H$11,IF($F108&lt;=300000,Datos_caracteriz!$G$11,IF($F108&lt;=500000,Datos_caracteriz!$F$11,Datos_caracteriz!$E$11)))))</f>
        <v>4</v>
      </c>
    </row>
    <row r="109" spans="1:14" ht="24.95" customHeight="1">
      <c r="A109" s="834">
        <f t="shared" si="1"/>
        <v>105</v>
      </c>
      <c r="B109" s="836"/>
      <c r="C109" s="71" t="str">
        <f>+Pobl_adoptada!A109</f>
        <v>Pilar</v>
      </c>
      <c r="D109" s="70">
        <f>+Pobl_adoptada!B109</f>
        <v>105</v>
      </c>
      <c r="E109" s="353" t="str">
        <f>+Pobl_adoptada!C109</f>
        <v>Pilar</v>
      </c>
      <c r="F109" s="817">
        <f>Pobl_adoptada!Q109</f>
        <v>509913</v>
      </c>
      <c r="G109" s="817">
        <f>Pobl_adoptada!AA109</f>
        <v>594362</v>
      </c>
      <c r="H109" s="263">
        <f>+'PROYECCIÓN GENERACIÓN'!P109</f>
        <v>718.97732999999994</v>
      </c>
      <c r="I109" s="263">
        <f>+'PROYECCIÓN GENERACIÓN'!Z109</f>
        <v>838.05041999999992</v>
      </c>
      <c r="J109" s="824">
        <f>IF($B109="AMBA",Datos_caracteriz!$D$7,IF($F109&lt;=15000,Datos_caracteriz!$I$7,IF($F109&lt;=50000,Datos_caracteriz!$H$7,IF($F109&lt;=300000,Datos_caracteriz!$G$7,IF($F109&lt;=500000,Datos_caracteriz!$F$7,Datos_caracteriz!$E$7)))))</f>
        <v>5.451271347706439</v>
      </c>
      <c r="K109" s="824">
        <f>IF($B109="AMBA",Datos_caracteriz!$D$8,IF($F109&lt;=15000,Datos_caracteriz!$I$8,IF($F109&lt;=50000,Datos_caracteriz!$H$8,IF($F109&lt;=300000,Datos_caracteriz!$G$8,IF($F109&lt;=500000,Datos_caracteriz!$F$8,Datos_caracteriz!$E$8)))))</f>
        <v>17.862967276575926</v>
      </c>
      <c r="L109" s="824">
        <f>IF($B109="AMBA",Datos_caracteriz!$D$9,IF($F109&lt;=15000,Datos_caracteriz!$I$9,IF($F109&lt;=50000,Datos_caracteriz!$H$9,IF($F109&lt;=300000,Datos_caracteriz!$G$9,IF($F109&lt;=500000,Datos_caracteriz!$F$9,Datos_caracteriz!$E$9)))))</f>
        <v>10.946733874072363</v>
      </c>
      <c r="M109" s="824">
        <f>IF($B109="AMBA",Datos_caracteriz!$D$10,IF($F109&lt;=15000,Datos_caracteriz!$I$10,IF($F109&lt;=50000,Datos_caracteriz!$H$10,IF($F109&lt;=300000,Datos_caracteriz!$G$10,IF($F109&lt;=500000,Datos_caracteriz!$F$10,Datos_caracteriz!$E$10)))))</f>
        <v>3.591913781633354</v>
      </c>
      <c r="N109" s="824">
        <f>IF($B109="AMBA",Datos_caracteriz!$D$11,IF($F109&lt;=15000,Datos_caracteriz!$I$11,IF($F109&lt;=50000,Datos_caracteriz!$H$11,IF($F109&lt;=300000,Datos_caracteriz!$G$11,IF($F109&lt;=500000,Datos_caracteriz!$F$11,Datos_caracteriz!$E$11)))))</f>
        <v>3.837975571262076</v>
      </c>
    </row>
    <row r="110" spans="1:14" ht="24.95" customHeight="1">
      <c r="A110" s="834">
        <f t="shared" si="1"/>
        <v>106</v>
      </c>
      <c r="B110" s="836"/>
      <c r="C110" s="71" t="str">
        <f>+Pobl_adoptada!A110</f>
        <v>Pinamar</v>
      </c>
      <c r="D110" s="70">
        <f>+Pobl_adoptada!B110</f>
        <v>106</v>
      </c>
      <c r="E110" s="353" t="str">
        <f>+Pobl_adoptada!C110</f>
        <v>Pinamar</v>
      </c>
      <c r="F110" s="817">
        <f>Pobl_adoptada!Q110</f>
        <v>81257</v>
      </c>
      <c r="G110" s="817">
        <f>Pobl_adoptada!AA110</f>
        <v>102502</v>
      </c>
      <c r="H110" s="263">
        <f>+'PROYECCIÓN GENERACIÓN'!P110</f>
        <v>82.882139999999993</v>
      </c>
      <c r="I110" s="263">
        <f>+'PROYECCIÓN GENERACIÓN'!Z110</f>
        <v>104.55204000000001</v>
      </c>
      <c r="J110" s="824">
        <f>IF($B110="AMBA",Datos_caracteriz!$D$7,IF($F110&lt;=15000,Datos_caracteriz!$I$7,IF($F110&lt;=50000,Datos_caracteriz!$H$7,IF($F110&lt;=300000,Datos_caracteriz!$G$7,IF($F110&lt;=500000,Datos_caracteriz!$F$7,Datos_caracteriz!$E$7)))))</f>
        <v>5.0944811463748252</v>
      </c>
      <c r="K110" s="824">
        <f>IF($B110="AMBA",Datos_caracteriz!$D$8,IF($F110&lt;=15000,Datos_caracteriz!$I$8,IF($F110&lt;=50000,Datos_caracteriz!$H$8,IF($F110&lt;=300000,Datos_caracteriz!$G$8,IF($F110&lt;=500000,Datos_caracteriz!$F$8,Datos_caracteriz!$E$8)))))</f>
        <v>17.647404529651318</v>
      </c>
      <c r="L110" s="824">
        <f>IF($B110="AMBA",Datos_caracteriz!$D$9,IF($F110&lt;=15000,Datos_caracteriz!$I$9,IF($F110&lt;=50000,Datos_caracteriz!$H$9,IF($F110&lt;=300000,Datos_caracteriz!$G$9,IF($F110&lt;=500000,Datos_caracteriz!$F$9,Datos_caracteriz!$E$9)))))</f>
        <v>15.698195415822433</v>
      </c>
      <c r="M110" s="824">
        <f>IF($B110="AMBA",Datos_caracteriz!$D$10,IF($F110&lt;=15000,Datos_caracteriz!$I$10,IF($F110&lt;=50000,Datos_caracteriz!$H$10,IF($F110&lt;=300000,Datos_caracteriz!$G$10,IF($F110&lt;=500000,Datos_caracteriz!$F$10,Datos_caracteriz!$E$10)))))</f>
        <v>3.8268589077338007</v>
      </c>
      <c r="N110" s="824">
        <f>IF($B110="AMBA",Datos_caracteriz!$D$11,IF($F110&lt;=15000,Datos_caracteriz!$I$11,IF($F110&lt;=50000,Datos_caracteriz!$H$11,IF($F110&lt;=300000,Datos_caracteriz!$G$11,IF($F110&lt;=500000,Datos_caracteriz!$F$11,Datos_caracteriz!$E$11)))))</f>
        <v>3.0800758591467732</v>
      </c>
    </row>
    <row r="111" spans="1:14" ht="24.95" customHeight="1">
      <c r="A111" s="834">
        <f t="shared" si="1"/>
        <v>107</v>
      </c>
      <c r="B111" s="836"/>
      <c r="C111" s="71" t="str">
        <f>+Pobl_adoptada!A111</f>
        <v>Presidente Perón</v>
      </c>
      <c r="D111" s="70">
        <f>+Pobl_adoptada!B111</f>
        <v>107</v>
      </c>
      <c r="E111" s="353" t="str">
        <f>+Pobl_adoptada!C111</f>
        <v>Presidente Perón</v>
      </c>
      <c r="F111" s="817">
        <f>Pobl_adoptada!Q111</f>
        <v>132995</v>
      </c>
      <c r="G111" s="817">
        <f>Pobl_adoptada!AA111</f>
        <v>154146</v>
      </c>
      <c r="H111" s="263">
        <f>+'PROYECCIÓN GENERACIÓN'!P111</f>
        <v>135.6549</v>
      </c>
      <c r="I111" s="263">
        <f>+'PROYECCIÓN GENERACIÓN'!Z111</f>
        <v>157.22892000000002</v>
      </c>
      <c r="J111" s="824">
        <f>IF($B111="AMBA",Datos_caracteriz!$D$7,IF($F111&lt;=15000,Datos_caracteriz!$I$7,IF($F111&lt;=50000,Datos_caracteriz!$H$7,IF($F111&lt;=300000,Datos_caracteriz!$G$7,IF($F111&lt;=500000,Datos_caracteriz!$F$7,Datos_caracteriz!$E$7)))))</f>
        <v>5.0944811463748252</v>
      </c>
      <c r="K111" s="824">
        <f>IF($B111="AMBA",Datos_caracteriz!$D$8,IF($F111&lt;=15000,Datos_caracteriz!$I$8,IF($F111&lt;=50000,Datos_caracteriz!$H$8,IF($F111&lt;=300000,Datos_caracteriz!$G$8,IF($F111&lt;=500000,Datos_caracteriz!$F$8,Datos_caracteriz!$E$8)))))</f>
        <v>17.647404529651318</v>
      </c>
      <c r="L111" s="824">
        <f>IF($B111="AMBA",Datos_caracteriz!$D$9,IF($F111&lt;=15000,Datos_caracteriz!$I$9,IF($F111&lt;=50000,Datos_caracteriz!$H$9,IF($F111&lt;=300000,Datos_caracteriz!$G$9,IF($F111&lt;=500000,Datos_caracteriz!$F$9,Datos_caracteriz!$E$9)))))</f>
        <v>15.698195415822433</v>
      </c>
      <c r="M111" s="824">
        <f>IF($B111="AMBA",Datos_caracteriz!$D$10,IF($F111&lt;=15000,Datos_caracteriz!$I$10,IF($F111&lt;=50000,Datos_caracteriz!$H$10,IF($F111&lt;=300000,Datos_caracteriz!$G$10,IF($F111&lt;=500000,Datos_caracteriz!$F$10,Datos_caracteriz!$E$10)))))</f>
        <v>3.8268589077338007</v>
      </c>
      <c r="N111" s="824">
        <f>IF($B111="AMBA",Datos_caracteriz!$D$11,IF($F111&lt;=15000,Datos_caracteriz!$I$11,IF($F111&lt;=50000,Datos_caracteriz!$H$11,IF($F111&lt;=300000,Datos_caracteriz!$G$11,IF($F111&lt;=500000,Datos_caracteriz!$F$11,Datos_caracteriz!$E$11)))))</f>
        <v>3.0800758591467732</v>
      </c>
    </row>
    <row r="112" spans="1:14" ht="24.95" customHeight="1">
      <c r="A112" s="834">
        <f t="shared" si="1"/>
        <v>108</v>
      </c>
      <c r="B112" s="836"/>
      <c r="C112" s="71" t="str">
        <f>+Pobl_adoptada!A112</f>
        <v>Puán</v>
      </c>
      <c r="D112" s="70">
        <f>+Pobl_adoptada!B112</f>
        <v>108</v>
      </c>
      <c r="E112" s="353" t="str">
        <f>+Pobl_adoptada!C112</f>
        <v>Puán</v>
      </c>
      <c r="F112" s="817">
        <f>Pobl_adoptada!Q112</f>
        <v>5580</v>
      </c>
      <c r="G112" s="817">
        <f>Pobl_adoptada!AA112</f>
        <v>6247</v>
      </c>
      <c r="H112" s="263">
        <f>+'PROYECCIÓN GENERACIÓN'!P112</f>
        <v>5.1336000000000004</v>
      </c>
      <c r="I112" s="263">
        <f>+'PROYECCIÓN GENERACIÓN'!Z112</f>
        <v>5.7472400000000006</v>
      </c>
      <c r="J112" s="824">
        <f>IF($B112="AMBA",Datos_caracteriz!$D$7,IF($F112&lt;=15000,Datos_caracteriz!$I$7,IF($F112&lt;=50000,Datos_caracteriz!$H$7,IF($F112&lt;=300000,Datos_caracteriz!$G$7,IF($F112&lt;=500000,Datos_caracteriz!$F$7,Datos_caracteriz!$E$7)))))</f>
        <v>5</v>
      </c>
      <c r="K112" s="824">
        <f>IF($B112="AMBA",Datos_caracteriz!$D$8,IF($F112&lt;=15000,Datos_caracteriz!$I$8,IF($F112&lt;=50000,Datos_caracteriz!$H$8,IF($F112&lt;=300000,Datos_caracteriz!$G$8,IF($F112&lt;=500000,Datos_caracteriz!$F$8,Datos_caracteriz!$E$8)))))</f>
        <v>16</v>
      </c>
      <c r="L112" s="824">
        <f>IF($B112="AMBA",Datos_caracteriz!$D$9,IF($F112&lt;=15000,Datos_caracteriz!$I$9,IF($F112&lt;=50000,Datos_caracteriz!$H$9,IF($F112&lt;=300000,Datos_caracteriz!$G$9,IF($F112&lt;=500000,Datos_caracteriz!$F$9,Datos_caracteriz!$E$9)))))</f>
        <v>8</v>
      </c>
      <c r="M112" s="824">
        <f>IF($B112="AMBA",Datos_caracteriz!$D$10,IF($F112&lt;=15000,Datos_caracteriz!$I$10,IF($F112&lt;=50000,Datos_caracteriz!$H$10,IF($F112&lt;=300000,Datos_caracteriz!$G$10,IF($F112&lt;=500000,Datos_caracteriz!$F$10,Datos_caracteriz!$E$10)))))</f>
        <v>3</v>
      </c>
      <c r="N112" s="824">
        <f>IF($B112="AMBA",Datos_caracteriz!$D$11,IF($F112&lt;=15000,Datos_caracteriz!$I$11,IF($F112&lt;=50000,Datos_caracteriz!$H$11,IF($F112&lt;=300000,Datos_caracteriz!$G$11,IF($F112&lt;=500000,Datos_caracteriz!$F$11,Datos_caracteriz!$E$11)))))</f>
        <v>4</v>
      </c>
    </row>
    <row r="113" spans="1:14" ht="24.95" customHeight="1">
      <c r="A113" s="834">
        <f t="shared" si="1"/>
        <v>109</v>
      </c>
      <c r="B113" s="836"/>
      <c r="C113" s="71" t="str">
        <f>+Pobl_adoptada!A113</f>
        <v>Punta Indio</v>
      </c>
      <c r="D113" s="70">
        <f>+Pobl_adoptada!B113</f>
        <v>109</v>
      </c>
      <c r="E113" s="353" t="str">
        <f>+Pobl_adoptada!C113</f>
        <v>Verónica</v>
      </c>
      <c r="F113" s="817">
        <f>Pobl_adoptada!Q113</f>
        <v>10560</v>
      </c>
      <c r="G113" s="817">
        <f>Pobl_adoptada!AA113</f>
        <v>12679</v>
      </c>
      <c r="H113" s="263">
        <f>+'PROYECCIÓN GENERACIÓN'!P113</f>
        <v>9.7152000000000012</v>
      </c>
      <c r="I113" s="263">
        <f>+'PROYECCIÓN GENERACIÓN'!Z113</f>
        <v>11.664680000000001</v>
      </c>
      <c r="J113" s="824">
        <f>IF($B113="AMBA",Datos_caracteriz!$D$7,IF($F113&lt;=15000,Datos_caracteriz!$I$7,IF($F113&lt;=50000,Datos_caracteriz!$H$7,IF($F113&lt;=300000,Datos_caracteriz!$G$7,IF($F113&lt;=500000,Datos_caracteriz!$F$7,Datos_caracteriz!$E$7)))))</f>
        <v>5</v>
      </c>
      <c r="K113" s="824">
        <f>IF($B113="AMBA",Datos_caracteriz!$D$8,IF($F113&lt;=15000,Datos_caracteriz!$I$8,IF($F113&lt;=50000,Datos_caracteriz!$H$8,IF($F113&lt;=300000,Datos_caracteriz!$G$8,IF($F113&lt;=500000,Datos_caracteriz!$F$8,Datos_caracteriz!$E$8)))))</f>
        <v>16</v>
      </c>
      <c r="L113" s="824">
        <f>IF($B113="AMBA",Datos_caracteriz!$D$9,IF($F113&lt;=15000,Datos_caracteriz!$I$9,IF($F113&lt;=50000,Datos_caracteriz!$H$9,IF($F113&lt;=300000,Datos_caracteriz!$G$9,IF($F113&lt;=500000,Datos_caracteriz!$F$9,Datos_caracteriz!$E$9)))))</f>
        <v>8</v>
      </c>
      <c r="M113" s="824">
        <f>IF($B113="AMBA",Datos_caracteriz!$D$10,IF($F113&lt;=15000,Datos_caracteriz!$I$10,IF($F113&lt;=50000,Datos_caracteriz!$H$10,IF($F113&lt;=300000,Datos_caracteriz!$G$10,IF($F113&lt;=500000,Datos_caracteriz!$F$10,Datos_caracteriz!$E$10)))))</f>
        <v>3</v>
      </c>
      <c r="N113" s="824">
        <f>IF($B113="AMBA",Datos_caracteriz!$D$11,IF($F113&lt;=15000,Datos_caracteriz!$I$11,IF($F113&lt;=50000,Datos_caracteriz!$H$11,IF($F113&lt;=300000,Datos_caracteriz!$G$11,IF($F113&lt;=500000,Datos_caracteriz!$F$11,Datos_caracteriz!$E$11)))))</f>
        <v>4</v>
      </c>
    </row>
    <row r="114" spans="1:14" ht="24.95" customHeight="1">
      <c r="A114" s="834">
        <f t="shared" si="1"/>
        <v>110</v>
      </c>
      <c r="B114" s="836"/>
      <c r="C114" s="71" t="str">
        <f>+Pobl_adoptada!A114</f>
        <v>Ramallo</v>
      </c>
      <c r="D114" s="70">
        <f>+Pobl_adoptada!B114</f>
        <v>110</v>
      </c>
      <c r="E114" s="353" t="str">
        <f>+Pobl_adoptada!C114</f>
        <v>Ramallo</v>
      </c>
      <c r="F114" s="817">
        <f>Pobl_adoptada!Q114</f>
        <v>18866</v>
      </c>
      <c r="G114" s="817">
        <f>Pobl_adoptada!AA114</f>
        <v>21685</v>
      </c>
      <c r="H114" s="263">
        <f>+'PROYECCIÓN GENERACIÓN'!P114</f>
        <v>19.997960000000003</v>
      </c>
      <c r="I114" s="263">
        <f>+'PROYECCIÓN GENERACIÓN'!Z114</f>
        <v>22.9861</v>
      </c>
      <c r="J114" s="824">
        <f>IF($B114="AMBA",Datos_caracteriz!$D$7,IF($F114&lt;=15000,Datos_caracteriz!$I$7,IF($F114&lt;=50000,Datos_caracteriz!$H$7,IF($F114&lt;=300000,Datos_caracteriz!$G$7,IF($F114&lt;=500000,Datos_caracteriz!$F$7,Datos_caracteriz!$E$7)))))</f>
        <v>6.3576075694443857</v>
      </c>
      <c r="K114" s="824">
        <f>IF($B114="AMBA",Datos_caracteriz!$D$8,IF($F114&lt;=15000,Datos_caracteriz!$I$8,IF($F114&lt;=50000,Datos_caracteriz!$H$8,IF($F114&lt;=300000,Datos_caracteriz!$G$8,IF($F114&lt;=500000,Datos_caracteriz!$F$8,Datos_caracteriz!$E$8)))))</f>
        <v>19.857028624999995</v>
      </c>
      <c r="L114" s="824">
        <f>IF($B114="AMBA",Datos_caracteriz!$D$9,IF($F114&lt;=15000,Datos_caracteriz!$I$9,IF($F114&lt;=50000,Datos_caracteriz!$H$9,IF($F114&lt;=300000,Datos_caracteriz!$G$9,IF($F114&lt;=500000,Datos_caracteriz!$F$9,Datos_caracteriz!$E$9)))))</f>
        <v>8.6582911527777497</v>
      </c>
      <c r="M114" s="824">
        <f>IF($B114="AMBA",Datos_caracteriz!$D$10,IF($F114&lt;=15000,Datos_caracteriz!$I$10,IF($F114&lt;=50000,Datos_caracteriz!$H$10,IF($F114&lt;=300000,Datos_caracteriz!$G$10,IF($F114&lt;=500000,Datos_caracteriz!$F$10,Datos_caracteriz!$E$10)))))</f>
        <v>4.1876249722221894</v>
      </c>
      <c r="N114" s="824">
        <f>IF($B114="AMBA",Datos_caracteriz!$D$11,IF($F114&lt;=15000,Datos_caracteriz!$I$11,IF($F114&lt;=50000,Datos_caracteriz!$H$11,IF($F114&lt;=300000,Datos_caracteriz!$G$11,IF($F114&lt;=500000,Datos_caracteriz!$F$11,Datos_caracteriz!$E$11)))))</f>
        <v>4.5702066666666639</v>
      </c>
    </row>
    <row r="115" spans="1:14" ht="24.95" customHeight="1">
      <c r="A115" s="834">
        <f t="shared" si="1"/>
        <v>111</v>
      </c>
      <c r="B115" s="836"/>
      <c r="C115" s="71" t="str">
        <f>+Pobl_adoptada!A115</f>
        <v>Rauch</v>
      </c>
      <c r="D115" s="70">
        <f>+Pobl_adoptada!B115</f>
        <v>111</v>
      </c>
      <c r="E115" s="353" t="str">
        <f>+Pobl_adoptada!C115</f>
        <v>Rauch</v>
      </c>
      <c r="F115" s="817">
        <f>Pobl_adoptada!Q115</f>
        <v>15868</v>
      </c>
      <c r="G115" s="817">
        <f>Pobl_adoptada!AA115</f>
        <v>17144</v>
      </c>
      <c r="H115" s="263">
        <f>+'PROYECCIÓN GENERACIÓN'!P115</f>
        <v>14.598560000000001</v>
      </c>
      <c r="I115" s="263">
        <f>+'PROYECCIÓN GENERACIÓN'!Z115</f>
        <v>15.772480000000002</v>
      </c>
      <c r="J115" s="824">
        <f>IF($B115="AMBA",Datos_caracteriz!$D$7,IF($F115&lt;=15000,Datos_caracteriz!$I$7,IF($F115&lt;=50000,Datos_caracteriz!$H$7,IF($F115&lt;=300000,Datos_caracteriz!$G$7,IF($F115&lt;=500000,Datos_caracteriz!$F$7,Datos_caracteriz!$E$7)))))</f>
        <v>6.3576075694443857</v>
      </c>
      <c r="K115" s="824">
        <f>IF($B115="AMBA",Datos_caracteriz!$D$8,IF($F115&lt;=15000,Datos_caracteriz!$I$8,IF($F115&lt;=50000,Datos_caracteriz!$H$8,IF($F115&lt;=300000,Datos_caracteriz!$G$8,IF($F115&lt;=500000,Datos_caracteriz!$F$8,Datos_caracteriz!$E$8)))))</f>
        <v>19.857028624999995</v>
      </c>
      <c r="L115" s="824">
        <f>IF($B115="AMBA",Datos_caracteriz!$D$9,IF($F115&lt;=15000,Datos_caracteriz!$I$9,IF($F115&lt;=50000,Datos_caracteriz!$H$9,IF($F115&lt;=300000,Datos_caracteriz!$G$9,IF($F115&lt;=500000,Datos_caracteriz!$F$9,Datos_caracteriz!$E$9)))))</f>
        <v>8.6582911527777497</v>
      </c>
      <c r="M115" s="824">
        <f>IF($B115="AMBA",Datos_caracteriz!$D$10,IF($F115&lt;=15000,Datos_caracteriz!$I$10,IF($F115&lt;=50000,Datos_caracteriz!$H$10,IF($F115&lt;=300000,Datos_caracteriz!$G$10,IF($F115&lt;=500000,Datos_caracteriz!$F$10,Datos_caracteriz!$E$10)))))</f>
        <v>4.1876249722221894</v>
      </c>
      <c r="N115" s="824">
        <f>IF($B115="AMBA",Datos_caracteriz!$D$11,IF($F115&lt;=15000,Datos_caracteriz!$I$11,IF($F115&lt;=50000,Datos_caracteriz!$H$11,IF($F115&lt;=300000,Datos_caracteriz!$G$11,IF($F115&lt;=500000,Datos_caracteriz!$F$11,Datos_caracteriz!$E$11)))))</f>
        <v>4.5702066666666639</v>
      </c>
    </row>
    <row r="116" spans="1:14" ht="24.95" customHeight="1">
      <c r="A116" s="834">
        <f t="shared" si="1"/>
        <v>112</v>
      </c>
      <c r="B116" s="836"/>
      <c r="C116" s="71" t="str">
        <f>+Pobl_adoptada!A116</f>
        <v>Rivadavia</v>
      </c>
      <c r="D116" s="70">
        <f>+Pobl_adoptada!B116</f>
        <v>112</v>
      </c>
      <c r="E116" s="353" t="str">
        <f>+Pobl_adoptada!C116</f>
        <v>América</v>
      </c>
      <c r="F116" s="817">
        <f>Pobl_adoptada!Q116</f>
        <v>15160</v>
      </c>
      <c r="G116" s="817">
        <f>Pobl_adoptada!AA116</f>
        <v>16558</v>
      </c>
      <c r="H116" s="263">
        <f>+'PROYECCIÓN GENERACIÓN'!P116</f>
        <v>13.9472</v>
      </c>
      <c r="I116" s="263">
        <f>+'PROYECCIÓN GENERACIÓN'!Z116</f>
        <v>15.233360000000001</v>
      </c>
      <c r="J116" s="824">
        <f>IF($B116="AMBA",Datos_caracteriz!$D$7,IF($F116&lt;=15000,Datos_caracteriz!$I$7,IF($F116&lt;=50000,Datos_caracteriz!$H$7,IF($F116&lt;=300000,Datos_caracteriz!$G$7,IF($F116&lt;=500000,Datos_caracteriz!$F$7,Datos_caracteriz!$E$7)))))</f>
        <v>6.3576075694443857</v>
      </c>
      <c r="K116" s="824">
        <f>IF($B116="AMBA",Datos_caracteriz!$D$8,IF($F116&lt;=15000,Datos_caracteriz!$I$8,IF($F116&lt;=50000,Datos_caracteriz!$H$8,IF($F116&lt;=300000,Datos_caracteriz!$G$8,IF($F116&lt;=500000,Datos_caracteriz!$F$8,Datos_caracteriz!$E$8)))))</f>
        <v>19.857028624999995</v>
      </c>
      <c r="L116" s="824">
        <f>IF($B116="AMBA",Datos_caracteriz!$D$9,IF($F116&lt;=15000,Datos_caracteriz!$I$9,IF($F116&lt;=50000,Datos_caracteriz!$H$9,IF($F116&lt;=300000,Datos_caracteriz!$G$9,IF($F116&lt;=500000,Datos_caracteriz!$F$9,Datos_caracteriz!$E$9)))))</f>
        <v>8.6582911527777497</v>
      </c>
      <c r="M116" s="824">
        <f>IF($B116="AMBA",Datos_caracteriz!$D$10,IF($F116&lt;=15000,Datos_caracteriz!$I$10,IF($F116&lt;=50000,Datos_caracteriz!$H$10,IF($F116&lt;=300000,Datos_caracteriz!$G$10,IF($F116&lt;=500000,Datos_caracteriz!$F$10,Datos_caracteriz!$E$10)))))</f>
        <v>4.1876249722221894</v>
      </c>
      <c r="N116" s="824">
        <f>IF($B116="AMBA",Datos_caracteriz!$D$11,IF($F116&lt;=15000,Datos_caracteriz!$I$11,IF($F116&lt;=50000,Datos_caracteriz!$H$11,IF($F116&lt;=300000,Datos_caracteriz!$G$11,IF($F116&lt;=500000,Datos_caracteriz!$F$11,Datos_caracteriz!$E$11)))))</f>
        <v>4.5702066666666639</v>
      </c>
    </row>
    <row r="117" spans="1:14" ht="24.95" customHeight="1">
      <c r="A117" s="834">
        <f t="shared" si="1"/>
        <v>113</v>
      </c>
      <c r="B117" s="836"/>
      <c r="C117" s="71" t="str">
        <f>+Pobl_adoptada!A117</f>
        <v>Rojas</v>
      </c>
      <c r="D117" s="70">
        <f>+Pobl_adoptada!B117</f>
        <v>113</v>
      </c>
      <c r="E117" s="353" t="str">
        <f>+Pobl_adoptada!C117</f>
        <v>Rojas</v>
      </c>
      <c r="F117" s="817">
        <f>Pobl_adoptada!Q117</f>
        <v>23029</v>
      </c>
      <c r="G117" s="817">
        <f>Pobl_adoptada!AA117</f>
        <v>24481</v>
      </c>
      <c r="H117" s="263">
        <f>+'PROYECCIÓN GENERACIÓN'!P117</f>
        <v>24.410740000000001</v>
      </c>
      <c r="I117" s="263">
        <f>+'PROYECCIÓN GENERACIÓN'!Z117</f>
        <v>25.949860000000001</v>
      </c>
      <c r="J117" s="824">
        <f>IF($B117="AMBA",Datos_caracteriz!$D$7,IF($F117&lt;=15000,Datos_caracteriz!$I$7,IF($F117&lt;=50000,Datos_caracteriz!$H$7,IF($F117&lt;=300000,Datos_caracteriz!$G$7,IF($F117&lt;=500000,Datos_caracteriz!$F$7,Datos_caracteriz!$E$7)))))</f>
        <v>6.3576075694443857</v>
      </c>
      <c r="K117" s="824">
        <f>IF($B117="AMBA",Datos_caracteriz!$D$8,IF($F117&lt;=15000,Datos_caracteriz!$I$8,IF($F117&lt;=50000,Datos_caracteriz!$H$8,IF($F117&lt;=300000,Datos_caracteriz!$G$8,IF($F117&lt;=500000,Datos_caracteriz!$F$8,Datos_caracteriz!$E$8)))))</f>
        <v>19.857028624999995</v>
      </c>
      <c r="L117" s="824">
        <f>IF($B117="AMBA",Datos_caracteriz!$D$9,IF($F117&lt;=15000,Datos_caracteriz!$I$9,IF($F117&lt;=50000,Datos_caracteriz!$H$9,IF($F117&lt;=300000,Datos_caracteriz!$G$9,IF($F117&lt;=500000,Datos_caracteriz!$F$9,Datos_caracteriz!$E$9)))))</f>
        <v>8.6582911527777497</v>
      </c>
      <c r="M117" s="824">
        <f>IF($B117="AMBA",Datos_caracteriz!$D$10,IF($F117&lt;=15000,Datos_caracteriz!$I$10,IF($F117&lt;=50000,Datos_caracteriz!$H$10,IF($F117&lt;=300000,Datos_caracteriz!$G$10,IF($F117&lt;=500000,Datos_caracteriz!$F$10,Datos_caracteriz!$E$10)))))</f>
        <v>4.1876249722221894</v>
      </c>
      <c r="N117" s="824">
        <f>IF($B117="AMBA",Datos_caracteriz!$D$11,IF($F117&lt;=15000,Datos_caracteriz!$I$11,IF($F117&lt;=50000,Datos_caracteriz!$H$11,IF($F117&lt;=300000,Datos_caracteriz!$G$11,IF($F117&lt;=500000,Datos_caracteriz!$F$11,Datos_caracteriz!$E$11)))))</f>
        <v>4.5702066666666639</v>
      </c>
    </row>
    <row r="118" spans="1:14" ht="24.95" customHeight="1">
      <c r="A118" s="834">
        <f t="shared" si="1"/>
        <v>114</v>
      </c>
      <c r="B118" s="836"/>
      <c r="C118" s="71" t="str">
        <f>+Pobl_adoptada!A118</f>
        <v>Roque Pérez</v>
      </c>
      <c r="D118" s="70">
        <f>+Pobl_adoptada!B118</f>
        <v>114</v>
      </c>
      <c r="E118" s="353" t="str">
        <f>+Pobl_adoptada!C118</f>
        <v>Roque Pérez</v>
      </c>
      <c r="F118" s="817">
        <f>Pobl_adoptada!Q118</f>
        <v>16071</v>
      </c>
      <c r="G118" s="817">
        <f>Pobl_adoptada!AA118</f>
        <v>18350</v>
      </c>
      <c r="H118" s="263">
        <f>+'PROYECCIÓN GENERACIÓN'!P118</f>
        <v>14.785320000000002</v>
      </c>
      <c r="I118" s="263">
        <f>+'PROYECCIÓN GENERACIÓN'!Z118</f>
        <v>16.882000000000001</v>
      </c>
      <c r="J118" s="824">
        <f>IF($B118="AMBA",Datos_caracteriz!$D$7,IF($F118&lt;=15000,Datos_caracteriz!$I$7,IF($F118&lt;=50000,Datos_caracteriz!$H$7,IF($F118&lt;=300000,Datos_caracteriz!$G$7,IF($F118&lt;=500000,Datos_caracteriz!$F$7,Datos_caracteriz!$E$7)))))</f>
        <v>6.3576075694443857</v>
      </c>
      <c r="K118" s="824">
        <f>IF($B118="AMBA",Datos_caracteriz!$D$8,IF($F118&lt;=15000,Datos_caracteriz!$I$8,IF($F118&lt;=50000,Datos_caracteriz!$H$8,IF($F118&lt;=300000,Datos_caracteriz!$G$8,IF($F118&lt;=500000,Datos_caracteriz!$F$8,Datos_caracteriz!$E$8)))))</f>
        <v>19.857028624999995</v>
      </c>
      <c r="L118" s="824">
        <f>IF($B118="AMBA",Datos_caracteriz!$D$9,IF($F118&lt;=15000,Datos_caracteriz!$I$9,IF($F118&lt;=50000,Datos_caracteriz!$H$9,IF($F118&lt;=300000,Datos_caracteriz!$G$9,IF($F118&lt;=500000,Datos_caracteriz!$F$9,Datos_caracteriz!$E$9)))))</f>
        <v>8.6582911527777497</v>
      </c>
      <c r="M118" s="824">
        <f>IF($B118="AMBA",Datos_caracteriz!$D$10,IF($F118&lt;=15000,Datos_caracteriz!$I$10,IF($F118&lt;=50000,Datos_caracteriz!$H$10,IF($F118&lt;=300000,Datos_caracteriz!$G$10,IF($F118&lt;=500000,Datos_caracteriz!$F$10,Datos_caracteriz!$E$10)))))</f>
        <v>4.1876249722221894</v>
      </c>
      <c r="N118" s="824">
        <f>IF($B118="AMBA",Datos_caracteriz!$D$11,IF($F118&lt;=15000,Datos_caracteriz!$I$11,IF($F118&lt;=50000,Datos_caracteriz!$H$11,IF($F118&lt;=300000,Datos_caracteriz!$G$11,IF($F118&lt;=500000,Datos_caracteriz!$F$11,Datos_caracteriz!$E$11)))))</f>
        <v>4.5702066666666639</v>
      </c>
    </row>
    <row r="119" spans="1:14" ht="24.95" customHeight="1">
      <c r="A119" s="834">
        <f t="shared" si="1"/>
        <v>115</v>
      </c>
      <c r="B119" s="836"/>
      <c r="C119" s="71" t="str">
        <f>+Pobl_adoptada!A119</f>
        <v>Saavedra</v>
      </c>
      <c r="D119" s="70">
        <f>+Pobl_adoptada!B119</f>
        <v>115</v>
      </c>
      <c r="E119" s="353" t="str">
        <f>+Pobl_adoptada!C119</f>
        <v>Pigüé</v>
      </c>
      <c r="F119" s="817">
        <f>Pobl_adoptada!Q119</f>
        <v>16064</v>
      </c>
      <c r="G119" s="817">
        <f>Pobl_adoptada!AA119</f>
        <v>16790</v>
      </c>
      <c r="H119" s="263">
        <f>+'PROYECCIÓN GENERACIÓN'!P119</f>
        <v>17.027840000000001</v>
      </c>
      <c r="I119" s="263">
        <f>+'PROYECCIÓN GENERACIÓN'!Z119</f>
        <v>17.797400000000003</v>
      </c>
      <c r="J119" s="824">
        <f>IF($B119="AMBA",Datos_caracteriz!$D$7,IF($F119&lt;=15000,Datos_caracteriz!$I$7,IF($F119&lt;=50000,Datos_caracteriz!$H$7,IF($F119&lt;=300000,Datos_caracteriz!$G$7,IF($F119&lt;=500000,Datos_caracteriz!$F$7,Datos_caracteriz!$E$7)))))</f>
        <v>6.3576075694443857</v>
      </c>
      <c r="K119" s="824">
        <f>IF($B119="AMBA",Datos_caracteriz!$D$8,IF($F119&lt;=15000,Datos_caracteriz!$I$8,IF($F119&lt;=50000,Datos_caracteriz!$H$8,IF($F119&lt;=300000,Datos_caracteriz!$G$8,IF($F119&lt;=500000,Datos_caracteriz!$F$8,Datos_caracteriz!$E$8)))))</f>
        <v>19.857028624999995</v>
      </c>
      <c r="L119" s="824">
        <f>IF($B119="AMBA",Datos_caracteriz!$D$9,IF($F119&lt;=15000,Datos_caracteriz!$I$9,IF($F119&lt;=50000,Datos_caracteriz!$H$9,IF($F119&lt;=300000,Datos_caracteriz!$G$9,IF($F119&lt;=500000,Datos_caracteriz!$F$9,Datos_caracteriz!$E$9)))))</f>
        <v>8.6582911527777497</v>
      </c>
      <c r="M119" s="824">
        <f>IF($B119="AMBA",Datos_caracteriz!$D$10,IF($F119&lt;=15000,Datos_caracteriz!$I$10,IF($F119&lt;=50000,Datos_caracteriz!$H$10,IF($F119&lt;=300000,Datos_caracteriz!$G$10,IF($F119&lt;=500000,Datos_caracteriz!$F$10,Datos_caracteriz!$E$10)))))</f>
        <v>4.1876249722221894</v>
      </c>
      <c r="N119" s="824">
        <f>IF($B119="AMBA",Datos_caracteriz!$D$11,IF($F119&lt;=15000,Datos_caracteriz!$I$11,IF($F119&lt;=50000,Datos_caracteriz!$H$11,IF($F119&lt;=300000,Datos_caracteriz!$G$11,IF($F119&lt;=500000,Datos_caracteriz!$F$11,Datos_caracteriz!$E$11)))))</f>
        <v>4.5702066666666639</v>
      </c>
    </row>
    <row r="120" spans="1:14" ht="24.95" customHeight="1">
      <c r="A120" s="834">
        <f t="shared" si="1"/>
        <v>116</v>
      </c>
      <c r="B120" s="836"/>
      <c r="C120" s="71" t="str">
        <f>+Pobl_adoptada!A120</f>
        <v>Saladillo</v>
      </c>
      <c r="D120" s="70">
        <f>+Pobl_adoptada!B120</f>
        <v>116</v>
      </c>
      <c r="E120" s="353" t="str">
        <f>+Pobl_adoptada!C120</f>
        <v>Saladillo</v>
      </c>
      <c r="F120" s="817">
        <f>Pobl_adoptada!Q120</f>
        <v>36926</v>
      </c>
      <c r="G120" s="817">
        <f>Pobl_adoptada!AA120</f>
        <v>40966</v>
      </c>
      <c r="H120" s="263">
        <f>+'PROYECCIÓN GENERACIÓN'!P120</f>
        <v>39.141560000000005</v>
      </c>
      <c r="I120" s="263">
        <f>+'PROYECCIÓN GENERACIÓN'!Z120</f>
        <v>43.423960000000001</v>
      </c>
      <c r="J120" s="824">
        <f>IF($B120="AMBA",Datos_caracteriz!$D$7,IF($F120&lt;=15000,Datos_caracteriz!$I$7,IF($F120&lt;=50000,Datos_caracteriz!$H$7,IF($F120&lt;=300000,Datos_caracteriz!$G$7,IF($F120&lt;=500000,Datos_caracteriz!$F$7,Datos_caracteriz!$E$7)))))</f>
        <v>6.3576075694443857</v>
      </c>
      <c r="K120" s="824">
        <f>IF($B120="AMBA",Datos_caracteriz!$D$8,IF($F120&lt;=15000,Datos_caracteriz!$I$8,IF($F120&lt;=50000,Datos_caracteriz!$H$8,IF($F120&lt;=300000,Datos_caracteriz!$G$8,IF($F120&lt;=500000,Datos_caracteriz!$F$8,Datos_caracteriz!$E$8)))))</f>
        <v>19.857028624999995</v>
      </c>
      <c r="L120" s="824">
        <f>IF($B120="AMBA",Datos_caracteriz!$D$9,IF($F120&lt;=15000,Datos_caracteriz!$I$9,IF($F120&lt;=50000,Datos_caracteriz!$H$9,IF($F120&lt;=300000,Datos_caracteriz!$G$9,IF($F120&lt;=500000,Datos_caracteriz!$F$9,Datos_caracteriz!$E$9)))))</f>
        <v>8.6582911527777497</v>
      </c>
      <c r="M120" s="824">
        <f>IF($B120="AMBA",Datos_caracteriz!$D$10,IF($F120&lt;=15000,Datos_caracteriz!$I$10,IF($F120&lt;=50000,Datos_caracteriz!$H$10,IF($F120&lt;=300000,Datos_caracteriz!$G$10,IF($F120&lt;=500000,Datos_caracteriz!$F$10,Datos_caracteriz!$E$10)))))</f>
        <v>4.1876249722221894</v>
      </c>
      <c r="N120" s="824">
        <f>IF($B120="AMBA",Datos_caracteriz!$D$11,IF($F120&lt;=15000,Datos_caracteriz!$I$11,IF($F120&lt;=50000,Datos_caracteriz!$H$11,IF($F120&lt;=300000,Datos_caracteriz!$G$11,IF($F120&lt;=500000,Datos_caracteriz!$F$11,Datos_caracteriz!$E$11)))))</f>
        <v>4.5702066666666639</v>
      </c>
    </row>
    <row r="121" spans="1:14" ht="24.95" customHeight="1">
      <c r="A121" s="834">
        <f t="shared" si="1"/>
        <v>117</v>
      </c>
      <c r="B121" s="836"/>
      <c r="C121" s="71" t="str">
        <f>+Pobl_adoptada!A121</f>
        <v>Salliqueló</v>
      </c>
      <c r="D121" s="70">
        <f>+Pobl_adoptada!B121</f>
        <v>117</v>
      </c>
      <c r="E121" s="353" t="str">
        <f>+Pobl_adoptada!C121</f>
        <v>Salliqueló</v>
      </c>
      <c r="F121" s="817">
        <f>Pobl_adoptada!Q121</f>
        <v>8498</v>
      </c>
      <c r="G121" s="817">
        <f>Pobl_adoptada!AA121</f>
        <v>8823</v>
      </c>
      <c r="H121" s="263">
        <f>+'PROYECCIÓN GENERACIÓN'!P121</f>
        <v>7.8181600000000007</v>
      </c>
      <c r="I121" s="263">
        <f>+'PROYECCIÓN GENERACIÓN'!Z121</f>
        <v>8.1171600000000002</v>
      </c>
      <c r="J121" s="824">
        <f>IF($B121="AMBA",Datos_caracteriz!$D$7,IF($F121&lt;=15000,Datos_caracteriz!$I$7,IF($F121&lt;=50000,Datos_caracteriz!$H$7,IF($F121&lt;=300000,Datos_caracteriz!$G$7,IF($F121&lt;=500000,Datos_caracteriz!$F$7,Datos_caracteriz!$E$7)))))</f>
        <v>5</v>
      </c>
      <c r="K121" s="824">
        <f>IF($B121="AMBA",Datos_caracteriz!$D$8,IF($F121&lt;=15000,Datos_caracteriz!$I$8,IF($F121&lt;=50000,Datos_caracteriz!$H$8,IF($F121&lt;=300000,Datos_caracteriz!$G$8,IF($F121&lt;=500000,Datos_caracteriz!$F$8,Datos_caracteriz!$E$8)))))</f>
        <v>16</v>
      </c>
      <c r="L121" s="824">
        <f>IF($B121="AMBA",Datos_caracteriz!$D$9,IF($F121&lt;=15000,Datos_caracteriz!$I$9,IF($F121&lt;=50000,Datos_caracteriz!$H$9,IF($F121&lt;=300000,Datos_caracteriz!$G$9,IF($F121&lt;=500000,Datos_caracteriz!$F$9,Datos_caracteriz!$E$9)))))</f>
        <v>8</v>
      </c>
      <c r="M121" s="824">
        <f>IF($B121="AMBA",Datos_caracteriz!$D$10,IF($F121&lt;=15000,Datos_caracteriz!$I$10,IF($F121&lt;=50000,Datos_caracteriz!$H$10,IF($F121&lt;=300000,Datos_caracteriz!$G$10,IF($F121&lt;=500000,Datos_caracteriz!$F$10,Datos_caracteriz!$E$10)))))</f>
        <v>3</v>
      </c>
      <c r="N121" s="824">
        <f>IF($B121="AMBA",Datos_caracteriz!$D$11,IF($F121&lt;=15000,Datos_caracteriz!$I$11,IF($F121&lt;=50000,Datos_caracteriz!$H$11,IF($F121&lt;=300000,Datos_caracteriz!$G$11,IF($F121&lt;=500000,Datos_caracteriz!$F$11,Datos_caracteriz!$E$11)))))</f>
        <v>4</v>
      </c>
    </row>
    <row r="122" spans="1:14" ht="24.95" customHeight="1">
      <c r="A122" s="834">
        <f t="shared" si="1"/>
        <v>118</v>
      </c>
      <c r="B122" s="836"/>
      <c r="C122" s="71" t="str">
        <f>+Pobl_adoptada!A122</f>
        <v>Salto</v>
      </c>
      <c r="D122" s="70">
        <f>+Pobl_adoptada!B122</f>
        <v>118</v>
      </c>
      <c r="E122" s="353" t="str">
        <f>+Pobl_adoptada!C122</f>
        <v>Salto</v>
      </c>
      <c r="F122" s="817">
        <f>Pobl_adoptada!Q122</f>
        <v>39305</v>
      </c>
      <c r="G122" s="817">
        <f>Pobl_adoptada!AA122</f>
        <v>45364</v>
      </c>
      <c r="H122" s="263">
        <f>+'PROYECCIÓN GENERACIÓN'!P122</f>
        <v>41.6633</v>
      </c>
      <c r="I122" s="263">
        <f>+'PROYECCIÓN GENERACIÓN'!Z122</f>
        <v>48.085840000000005</v>
      </c>
      <c r="J122" s="824">
        <f>IF($B122="AMBA",Datos_caracteriz!$D$7,IF($F122&lt;=15000,Datos_caracteriz!$I$7,IF($F122&lt;=50000,Datos_caracteriz!$H$7,IF($F122&lt;=300000,Datos_caracteriz!$G$7,IF($F122&lt;=500000,Datos_caracteriz!$F$7,Datos_caracteriz!$E$7)))))</f>
        <v>6.3576075694443857</v>
      </c>
      <c r="K122" s="824">
        <f>IF($B122="AMBA",Datos_caracteriz!$D$8,IF($F122&lt;=15000,Datos_caracteriz!$I$8,IF($F122&lt;=50000,Datos_caracteriz!$H$8,IF($F122&lt;=300000,Datos_caracteriz!$G$8,IF($F122&lt;=500000,Datos_caracteriz!$F$8,Datos_caracteriz!$E$8)))))</f>
        <v>19.857028624999995</v>
      </c>
      <c r="L122" s="824">
        <f>IF($B122="AMBA",Datos_caracteriz!$D$9,IF($F122&lt;=15000,Datos_caracteriz!$I$9,IF($F122&lt;=50000,Datos_caracteriz!$H$9,IF($F122&lt;=300000,Datos_caracteriz!$G$9,IF($F122&lt;=500000,Datos_caracteriz!$F$9,Datos_caracteriz!$E$9)))))</f>
        <v>8.6582911527777497</v>
      </c>
      <c r="M122" s="824">
        <f>IF($B122="AMBA",Datos_caracteriz!$D$10,IF($F122&lt;=15000,Datos_caracteriz!$I$10,IF($F122&lt;=50000,Datos_caracteriz!$H$10,IF($F122&lt;=300000,Datos_caracteriz!$G$10,IF($F122&lt;=500000,Datos_caracteriz!$F$10,Datos_caracteriz!$E$10)))))</f>
        <v>4.1876249722221894</v>
      </c>
      <c r="N122" s="824">
        <f>IF($B122="AMBA",Datos_caracteriz!$D$11,IF($F122&lt;=15000,Datos_caracteriz!$I$11,IF($F122&lt;=50000,Datos_caracteriz!$H$11,IF($F122&lt;=300000,Datos_caracteriz!$G$11,IF($F122&lt;=500000,Datos_caracteriz!$F$11,Datos_caracteriz!$E$11)))))</f>
        <v>4.5702066666666639</v>
      </c>
    </row>
    <row r="123" spans="1:14" ht="24.95" customHeight="1">
      <c r="A123" s="834">
        <f t="shared" si="1"/>
        <v>119</v>
      </c>
      <c r="B123" s="836"/>
      <c r="C123" s="71" t="str">
        <f>+Pobl_adoptada!A123</f>
        <v>San Andrés de Giles</v>
      </c>
      <c r="D123" s="70">
        <f>+Pobl_adoptada!B123</f>
        <v>119</v>
      </c>
      <c r="E123" s="353" t="str">
        <f>+Pobl_adoptada!C123</f>
        <v>San Andrés de Giles</v>
      </c>
      <c r="F123" s="817">
        <f>Pobl_adoptada!Q123</f>
        <v>22695</v>
      </c>
      <c r="G123" s="817">
        <f>Pobl_adoptada!AA123</f>
        <v>25273</v>
      </c>
      <c r="H123" s="263">
        <f>+'PROYECCIÓN GENERACIÓN'!P123</f>
        <v>24.056699999999999</v>
      </c>
      <c r="I123" s="263">
        <f>+'PROYECCIÓN GENERACIÓN'!Z123</f>
        <v>26.789380000000001</v>
      </c>
      <c r="J123" s="824">
        <f>IF($B123="AMBA",Datos_caracteriz!$D$7,IF($F123&lt;=15000,Datos_caracteriz!$I$7,IF($F123&lt;=50000,Datos_caracteriz!$H$7,IF($F123&lt;=300000,Datos_caracteriz!$G$7,IF($F123&lt;=500000,Datos_caracteriz!$F$7,Datos_caracteriz!$E$7)))))</f>
        <v>6.3576075694443857</v>
      </c>
      <c r="K123" s="824">
        <f>IF($B123="AMBA",Datos_caracteriz!$D$8,IF($F123&lt;=15000,Datos_caracteriz!$I$8,IF($F123&lt;=50000,Datos_caracteriz!$H$8,IF($F123&lt;=300000,Datos_caracteriz!$G$8,IF($F123&lt;=500000,Datos_caracteriz!$F$8,Datos_caracteriz!$E$8)))))</f>
        <v>19.857028624999995</v>
      </c>
      <c r="L123" s="824">
        <f>IF($B123="AMBA",Datos_caracteriz!$D$9,IF($F123&lt;=15000,Datos_caracteriz!$I$9,IF($F123&lt;=50000,Datos_caracteriz!$H$9,IF($F123&lt;=300000,Datos_caracteriz!$G$9,IF($F123&lt;=500000,Datos_caracteriz!$F$9,Datos_caracteriz!$E$9)))))</f>
        <v>8.6582911527777497</v>
      </c>
      <c r="M123" s="824">
        <f>IF($B123="AMBA",Datos_caracteriz!$D$10,IF($F123&lt;=15000,Datos_caracteriz!$I$10,IF($F123&lt;=50000,Datos_caracteriz!$H$10,IF($F123&lt;=300000,Datos_caracteriz!$G$10,IF($F123&lt;=500000,Datos_caracteriz!$F$10,Datos_caracteriz!$E$10)))))</f>
        <v>4.1876249722221894</v>
      </c>
      <c r="N123" s="824">
        <f>IF($B123="AMBA",Datos_caracteriz!$D$11,IF($F123&lt;=15000,Datos_caracteriz!$I$11,IF($F123&lt;=50000,Datos_caracteriz!$H$11,IF($F123&lt;=300000,Datos_caracteriz!$G$11,IF($F123&lt;=500000,Datos_caracteriz!$F$11,Datos_caracteriz!$E$11)))))</f>
        <v>4.5702066666666639</v>
      </c>
    </row>
    <row r="124" spans="1:14" ht="24.95" customHeight="1">
      <c r="A124" s="834">
        <f t="shared" si="1"/>
        <v>120</v>
      </c>
      <c r="B124" s="836"/>
      <c r="C124" s="71" t="str">
        <f>+Pobl_adoptada!A124</f>
        <v>San Antonio de Areco</v>
      </c>
      <c r="D124" s="70">
        <f>+Pobl_adoptada!B124</f>
        <v>120</v>
      </c>
      <c r="E124" s="353" t="str">
        <f>+Pobl_adoptada!C124</f>
        <v>San Antonio de Areco</v>
      </c>
      <c r="F124" s="817">
        <f>Pobl_adoptada!Q124</f>
        <v>25547</v>
      </c>
      <c r="G124" s="817">
        <f>Pobl_adoptada!AA124</f>
        <v>27849</v>
      </c>
      <c r="H124" s="263">
        <f>+'PROYECCIÓN GENERACIÓN'!P124</f>
        <v>27.079819999999998</v>
      </c>
      <c r="I124" s="263">
        <f>+'PROYECCIÓN GENERACIÓN'!Z124</f>
        <v>29.519940000000002</v>
      </c>
      <c r="J124" s="824">
        <f>IF($B124="AMBA",Datos_caracteriz!$D$7,IF($F124&lt;=15000,Datos_caracteriz!$I$7,IF($F124&lt;=50000,Datos_caracteriz!$H$7,IF($F124&lt;=300000,Datos_caracteriz!$G$7,IF($F124&lt;=500000,Datos_caracteriz!$F$7,Datos_caracteriz!$E$7)))))</f>
        <v>6.3576075694443857</v>
      </c>
      <c r="K124" s="824">
        <f>IF($B124="AMBA",Datos_caracteriz!$D$8,IF($F124&lt;=15000,Datos_caracteriz!$I$8,IF($F124&lt;=50000,Datos_caracteriz!$H$8,IF($F124&lt;=300000,Datos_caracteriz!$G$8,IF($F124&lt;=500000,Datos_caracteriz!$F$8,Datos_caracteriz!$E$8)))))</f>
        <v>19.857028624999995</v>
      </c>
      <c r="L124" s="824">
        <f>IF($B124="AMBA",Datos_caracteriz!$D$9,IF($F124&lt;=15000,Datos_caracteriz!$I$9,IF($F124&lt;=50000,Datos_caracteriz!$H$9,IF($F124&lt;=300000,Datos_caracteriz!$G$9,IF($F124&lt;=500000,Datos_caracteriz!$F$9,Datos_caracteriz!$E$9)))))</f>
        <v>8.6582911527777497</v>
      </c>
      <c r="M124" s="824">
        <f>IF($B124="AMBA",Datos_caracteriz!$D$10,IF($F124&lt;=15000,Datos_caracteriz!$I$10,IF($F124&lt;=50000,Datos_caracteriz!$H$10,IF($F124&lt;=300000,Datos_caracteriz!$G$10,IF($F124&lt;=500000,Datos_caracteriz!$F$10,Datos_caracteriz!$E$10)))))</f>
        <v>4.1876249722221894</v>
      </c>
      <c r="N124" s="824">
        <f>IF($B124="AMBA",Datos_caracteriz!$D$11,IF($F124&lt;=15000,Datos_caracteriz!$I$11,IF($F124&lt;=50000,Datos_caracteriz!$H$11,IF($F124&lt;=300000,Datos_caracteriz!$G$11,IF($F124&lt;=500000,Datos_caracteriz!$F$11,Datos_caracteriz!$E$11)))))</f>
        <v>4.5702066666666639</v>
      </c>
    </row>
    <row r="125" spans="1:14" ht="24.95" customHeight="1">
      <c r="A125" s="834">
        <f t="shared" si="1"/>
        <v>121</v>
      </c>
      <c r="B125" s="836"/>
      <c r="C125" s="71" t="str">
        <f>+Pobl_adoptada!A125</f>
        <v>San Cayetano</v>
      </c>
      <c r="D125" s="70">
        <f>+Pobl_adoptada!B125</f>
        <v>121</v>
      </c>
      <c r="E125" s="353" t="str">
        <f>+Pobl_adoptada!C125</f>
        <v>San Cayetano</v>
      </c>
      <c r="F125" s="817">
        <f>Pobl_adoptada!Q125</f>
        <v>9304</v>
      </c>
      <c r="G125" s="817">
        <f>Pobl_adoptada!AA125</f>
        <v>10222</v>
      </c>
      <c r="H125" s="263">
        <f>+'PROYECCIÓN GENERACIÓN'!P125</f>
        <v>8.5596800000000002</v>
      </c>
      <c r="I125" s="263">
        <f>+'PROYECCIÓN GENERACIÓN'!Z125</f>
        <v>9.4042399999999997</v>
      </c>
      <c r="J125" s="824">
        <f>IF($B125="AMBA",Datos_caracteriz!$D$7,IF($F125&lt;=15000,Datos_caracteriz!$I$7,IF($F125&lt;=50000,Datos_caracteriz!$H$7,IF($F125&lt;=300000,Datos_caracteriz!$G$7,IF($F125&lt;=500000,Datos_caracteriz!$F$7,Datos_caracteriz!$E$7)))))</f>
        <v>5</v>
      </c>
      <c r="K125" s="824">
        <f>IF($B125="AMBA",Datos_caracteriz!$D$8,IF($F125&lt;=15000,Datos_caracteriz!$I$8,IF($F125&lt;=50000,Datos_caracteriz!$H$8,IF($F125&lt;=300000,Datos_caracteriz!$G$8,IF($F125&lt;=500000,Datos_caracteriz!$F$8,Datos_caracteriz!$E$8)))))</f>
        <v>16</v>
      </c>
      <c r="L125" s="824">
        <f>IF($B125="AMBA",Datos_caracteriz!$D$9,IF($F125&lt;=15000,Datos_caracteriz!$I$9,IF($F125&lt;=50000,Datos_caracteriz!$H$9,IF($F125&lt;=300000,Datos_caracteriz!$G$9,IF($F125&lt;=500000,Datos_caracteriz!$F$9,Datos_caracteriz!$E$9)))))</f>
        <v>8</v>
      </c>
      <c r="M125" s="824">
        <f>IF($B125="AMBA",Datos_caracteriz!$D$10,IF($F125&lt;=15000,Datos_caracteriz!$I$10,IF($F125&lt;=50000,Datos_caracteriz!$H$10,IF($F125&lt;=300000,Datos_caracteriz!$G$10,IF($F125&lt;=500000,Datos_caracteriz!$F$10,Datos_caracteriz!$E$10)))))</f>
        <v>3</v>
      </c>
      <c r="N125" s="824">
        <f>IF($B125="AMBA",Datos_caracteriz!$D$11,IF($F125&lt;=15000,Datos_caracteriz!$I$11,IF($F125&lt;=50000,Datos_caracteriz!$H$11,IF($F125&lt;=300000,Datos_caracteriz!$G$11,IF($F125&lt;=500000,Datos_caracteriz!$F$11,Datos_caracteriz!$E$11)))))</f>
        <v>4</v>
      </c>
    </row>
    <row r="126" spans="1:14" ht="24.95" customHeight="1">
      <c r="A126" s="834">
        <f t="shared" si="1"/>
        <v>122</v>
      </c>
      <c r="B126" s="836"/>
      <c r="C126" s="71" t="str">
        <f>+Pobl_adoptada!A126</f>
        <v>San Nicolás</v>
      </c>
      <c r="D126" s="70">
        <f>+Pobl_adoptada!B126</f>
        <v>122</v>
      </c>
      <c r="E126" s="353" t="str">
        <f>+Pobl_adoptada!C126</f>
        <v>San Nicolás de los Arroyos</v>
      </c>
      <c r="F126" s="817">
        <f>Pobl_adoptada!Q126</f>
        <v>176096</v>
      </c>
      <c r="G126" s="817">
        <f>Pobl_adoptada!AA126</f>
        <v>198528</v>
      </c>
      <c r="H126" s="263">
        <f>+'PROYECCIÓN GENERACIÓN'!P126</f>
        <v>179.61792000000003</v>
      </c>
      <c r="I126" s="263">
        <f>+'PROYECCIÓN GENERACIÓN'!Z126</f>
        <v>202.49856</v>
      </c>
      <c r="J126" s="824">
        <f>IF($B126="AMBA",Datos_caracteriz!$D$7,IF($F126&lt;=15000,Datos_caracteriz!$I$7,IF($F126&lt;=50000,Datos_caracteriz!$H$7,IF($F126&lt;=300000,Datos_caracteriz!$G$7,IF($F126&lt;=500000,Datos_caracteriz!$F$7,Datos_caracteriz!$E$7)))))</f>
        <v>5.0944811463748252</v>
      </c>
      <c r="K126" s="824">
        <f>IF($B126="AMBA",Datos_caracteriz!$D$8,IF($F126&lt;=15000,Datos_caracteriz!$I$8,IF($F126&lt;=50000,Datos_caracteriz!$H$8,IF($F126&lt;=300000,Datos_caracteriz!$G$8,IF($F126&lt;=500000,Datos_caracteriz!$F$8,Datos_caracteriz!$E$8)))))</f>
        <v>17.647404529651318</v>
      </c>
      <c r="L126" s="824">
        <f>IF($B126="AMBA",Datos_caracteriz!$D$9,IF($F126&lt;=15000,Datos_caracteriz!$I$9,IF($F126&lt;=50000,Datos_caracteriz!$H$9,IF($F126&lt;=300000,Datos_caracteriz!$G$9,IF($F126&lt;=500000,Datos_caracteriz!$F$9,Datos_caracteriz!$E$9)))))</f>
        <v>15.698195415822433</v>
      </c>
      <c r="M126" s="824">
        <f>IF($B126="AMBA",Datos_caracteriz!$D$10,IF($F126&lt;=15000,Datos_caracteriz!$I$10,IF($F126&lt;=50000,Datos_caracteriz!$H$10,IF($F126&lt;=300000,Datos_caracteriz!$G$10,IF($F126&lt;=500000,Datos_caracteriz!$F$10,Datos_caracteriz!$E$10)))))</f>
        <v>3.8268589077338007</v>
      </c>
      <c r="N126" s="824">
        <f>IF($B126="AMBA",Datos_caracteriz!$D$11,IF($F126&lt;=15000,Datos_caracteriz!$I$11,IF($F126&lt;=50000,Datos_caracteriz!$H$11,IF($F126&lt;=300000,Datos_caracteriz!$G$11,IF($F126&lt;=500000,Datos_caracteriz!$F$11,Datos_caracteriz!$E$11)))))</f>
        <v>3.0800758591467732</v>
      </c>
    </row>
    <row r="127" spans="1:14" ht="24.95" customHeight="1">
      <c r="A127" s="834">
        <f t="shared" si="1"/>
        <v>123</v>
      </c>
      <c r="B127" s="836"/>
      <c r="C127" s="71" t="str">
        <f>+Pobl_adoptada!A127</f>
        <v>San Pedro</v>
      </c>
      <c r="D127" s="70">
        <f>+Pobl_adoptada!B127</f>
        <v>123</v>
      </c>
      <c r="E127" s="353" t="str">
        <f>+Pobl_adoptada!C127</f>
        <v>San Pedro</v>
      </c>
      <c r="F127" s="817">
        <f>Pobl_adoptada!Q127</f>
        <v>65942</v>
      </c>
      <c r="G127" s="817">
        <f>Pobl_adoptada!AA127</f>
        <v>75219</v>
      </c>
      <c r="H127" s="263">
        <f>+'PROYECCIÓN GENERACIÓN'!P127</f>
        <v>67.260840000000002</v>
      </c>
      <c r="I127" s="263">
        <f>+'PROYECCIÓN GENERACIÓN'!Z127</f>
        <v>76.723380000000006</v>
      </c>
      <c r="J127" s="824">
        <f>IF($B127="AMBA",Datos_caracteriz!$D$7,IF($F127&lt;=15000,Datos_caracteriz!$I$7,IF($F127&lt;=50000,Datos_caracteriz!$H$7,IF($F127&lt;=300000,Datos_caracteriz!$G$7,IF($F127&lt;=500000,Datos_caracteriz!$F$7,Datos_caracteriz!$E$7)))))</f>
        <v>5.0944811463748252</v>
      </c>
      <c r="K127" s="824">
        <f>IF($B127="AMBA",Datos_caracteriz!$D$8,IF($F127&lt;=15000,Datos_caracteriz!$I$8,IF($F127&lt;=50000,Datos_caracteriz!$H$8,IF($F127&lt;=300000,Datos_caracteriz!$G$8,IF($F127&lt;=500000,Datos_caracteriz!$F$8,Datos_caracteriz!$E$8)))))</f>
        <v>17.647404529651318</v>
      </c>
      <c r="L127" s="824">
        <f>IF($B127="AMBA",Datos_caracteriz!$D$9,IF($F127&lt;=15000,Datos_caracteriz!$I$9,IF($F127&lt;=50000,Datos_caracteriz!$H$9,IF($F127&lt;=300000,Datos_caracteriz!$G$9,IF($F127&lt;=500000,Datos_caracteriz!$F$9,Datos_caracteriz!$E$9)))))</f>
        <v>15.698195415822433</v>
      </c>
      <c r="M127" s="824">
        <f>IF($B127="AMBA",Datos_caracteriz!$D$10,IF($F127&lt;=15000,Datos_caracteriz!$I$10,IF($F127&lt;=50000,Datos_caracteriz!$H$10,IF($F127&lt;=300000,Datos_caracteriz!$G$10,IF($F127&lt;=500000,Datos_caracteriz!$F$10,Datos_caracteriz!$E$10)))))</f>
        <v>3.8268589077338007</v>
      </c>
      <c r="N127" s="824">
        <f>IF($B127="AMBA",Datos_caracteriz!$D$11,IF($F127&lt;=15000,Datos_caracteriz!$I$11,IF($F127&lt;=50000,Datos_caracteriz!$H$11,IF($F127&lt;=300000,Datos_caracteriz!$G$11,IF($F127&lt;=500000,Datos_caracteriz!$F$11,Datos_caracteriz!$E$11)))))</f>
        <v>3.0800758591467732</v>
      </c>
    </row>
    <row r="128" spans="1:14" ht="24.95" customHeight="1">
      <c r="A128" s="834">
        <f t="shared" si="1"/>
        <v>124</v>
      </c>
      <c r="B128" s="836"/>
      <c r="C128" s="71" t="str">
        <f>+Pobl_adoptada!A128</f>
        <v>San Vicente</v>
      </c>
      <c r="D128" s="70">
        <f>+Pobl_adoptada!B128</f>
        <v>124</v>
      </c>
      <c r="E128" s="353" t="str">
        <f>+Pobl_adoptada!C128</f>
        <v>San Vicente</v>
      </c>
      <c r="F128" s="817">
        <f>Pobl_adoptada!Q128</f>
        <v>147203</v>
      </c>
      <c r="G128" s="817">
        <f>Pobl_adoptada!AA128</f>
        <v>194206</v>
      </c>
      <c r="H128" s="263">
        <f>+'PROYECCIÓN GENERACIÓN'!P128</f>
        <v>150.14706000000001</v>
      </c>
      <c r="I128" s="263">
        <f>+'PROYECCIÓN GENERACIÓN'!Z128</f>
        <v>198.09011999999998</v>
      </c>
      <c r="J128" s="824">
        <f>IF($B128="AMBA",Datos_caracteriz!$D$7,IF($F128&lt;=15000,Datos_caracteriz!$I$7,IF($F128&lt;=50000,Datos_caracteriz!$H$7,IF($F128&lt;=300000,Datos_caracteriz!$G$7,IF($F128&lt;=500000,Datos_caracteriz!$F$7,Datos_caracteriz!$E$7)))))</f>
        <v>5.0944811463748252</v>
      </c>
      <c r="K128" s="824">
        <f>IF($B128="AMBA",Datos_caracteriz!$D$8,IF($F128&lt;=15000,Datos_caracteriz!$I$8,IF($F128&lt;=50000,Datos_caracteriz!$H$8,IF($F128&lt;=300000,Datos_caracteriz!$G$8,IF($F128&lt;=500000,Datos_caracteriz!$F$8,Datos_caracteriz!$E$8)))))</f>
        <v>17.647404529651318</v>
      </c>
      <c r="L128" s="824">
        <f>IF($B128="AMBA",Datos_caracteriz!$D$9,IF($F128&lt;=15000,Datos_caracteriz!$I$9,IF($F128&lt;=50000,Datos_caracteriz!$H$9,IF($F128&lt;=300000,Datos_caracteriz!$G$9,IF($F128&lt;=500000,Datos_caracteriz!$F$9,Datos_caracteriz!$E$9)))))</f>
        <v>15.698195415822433</v>
      </c>
      <c r="M128" s="824">
        <f>IF($B128="AMBA",Datos_caracteriz!$D$10,IF($F128&lt;=15000,Datos_caracteriz!$I$10,IF($F128&lt;=50000,Datos_caracteriz!$H$10,IF($F128&lt;=300000,Datos_caracteriz!$G$10,IF($F128&lt;=500000,Datos_caracteriz!$F$10,Datos_caracteriz!$E$10)))))</f>
        <v>3.8268589077338007</v>
      </c>
      <c r="N128" s="824">
        <f>IF($B128="AMBA",Datos_caracteriz!$D$11,IF($F128&lt;=15000,Datos_caracteriz!$I$11,IF($F128&lt;=50000,Datos_caracteriz!$H$11,IF($F128&lt;=300000,Datos_caracteriz!$G$11,IF($F128&lt;=500000,Datos_caracteriz!$F$11,Datos_caracteriz!$E$11)))))</f>
        <v>3.0800758591467732</v>
      </c>
    </row>
    <row r="129" spans="1:14" ht="24.95" customHeight="1">
      <c r="A129" s="834">
        <f t="shared" si="1"/>
        <v>125</v>
      </c>
      <c r="B129" s="836"/>
      <c r="C129" s="71" t="str">
        <f>+Pobl_adoptada!A129</f>
        <v>Suipacha</v>
      </c>
      <c r="D129" s="70">
        <f>+Pobl_adoptada!B129</f>
        <v>125</v>
      </c>
      <c r="E129" s="353" t="str">
        <f>+Pobl_adoptada!C129</f>
        <v>Suipacha</v>
      </c>
      <c r="F129" s="817">
        <f>Pobl_adoptada!Q129</f>
        <v>11656</v>
      </c>
      <c r="G129" s="817">
        <f>Pobl_adoptada!AA129</f>
        <v>12967</v>
      </c>
      <c r="H129" s="263">
        <f>+'PROYECCIÓN GENERACIÓN'!P129</f>
        <v>10.723520000000001</v>
      </c>
      <c r="I129" s="263">
        <f>+'PROYECCIÓN GENERACIÓN'!Z129</f>
        <v>11.929640000000001</v>
      </c>
      <c r="J129" s="824">
        <f>IF($B129="AMBA",Datos_caracteriz!$D$7,IF($F129&lt;=15000,Datos_caracteriz!$I$7,IF($F129&lt;=50000,Datos_caracteriz!$H$7,IF($F129&lt;=300000,Datos_caracteriz!$G$7,IF($F129&lt;=500000,Datos_caracteriz!$F$7,Datos_caracteriz!$E$7)))))</f>
        <v>5</v>
      </c>
      <c r="K129" s="824">
        <f>IF($B129="AMBA",Datos_caracteriz!$D$8,IF($F129&lt;=15000,Datos_caracteriz!$I$8,IF($F129&lt;=50000,Datos_caracteriz!$H$8,IF($F129&lt;=300000,Datos_caracteriz!$G$8,IF($F129&lt;=500000,Datos_caracteriz!$F$8,Datos_caracteriz!$E$8)))))</f>
        <v>16</v>
      </c>
      <c r="L129" s="824">
        <f>IF($B129="AMBA",Datos_caracteriz!$D$9,IF($F129&lt;=15000,Datos_caracteriz!$I$9,IF($F129&lt;=50000,Datos_caracteriz!$H$9,IF($F129&lt;=300000,Datos_caracteriz!$G$9,IF($F129&lt;=500000,Datos_caracteriz!$F$9,Datos_caracteriz!$E$9)))))</f>
        <v>8</v>
      </c>
      <c r="M129" s="824">
        <f>IF($B129="AMBA",Datos_caracteriz!$D$10,IF($F129&lt;=15000,Datos_caracteriz!$I$10,IF($F129&lt;=50000,Datos_caracteriz!$H$10,IF($F129&lt;=300000,Datos_caracteriz!$G$10,IF($F129&lt;=500000,Datos_caracteriz!$F$10,Datos_caracteriz!$E$10)))))</f>
        <v>3</v>
      </c>
      <c r="N129" s="824">
        <f>IF($B129="AMBA",Datos_caracteriz!$D$11,IF($F129&lt;=15000,Datos_caracteriz!$I$11,IF($F129&lt;=50000,Datos_caracteriz!$H$11,IF($F129&lt;=300000,Datos_caracteriz!$G$11,IF($F129&lt;=500000,Datos_caracteriz!$F$11,Datos_caracteriz!$E$11)))))</f>
        <v>4</v>
      </c>
    </row>
    <row r="130" spans="1:14" ht="24.95" customHeight="1">
      <c r="A130" s="834">
        <f t="shared" si="1"/>
        <v>126</v>
      </c>
      <c r="B130" s="836"/>
      <c r="C130" s="71" t="str">
        <f>+Pobl_adoptada!A130</f>
        <v>Tandil</v>
      </c>
      <c r="D130" s="70">
        <f>+Pobl_adoptada!B130</f>
        <v>126</v>
      </c>
      <c r="E130" s="353" t="str">
        <f>+Pobl_adoptada!C130</f>
        <v>Tandil</v>
      </c>
      <c r="F130" s="817">
        <f>Pobl_adoptada!Q130</f>
        <v>162997</v>
      </c>
      <c r="G130" s="817">
        <f>Pobl_adoptada!AA130</f>
        <v>186167</v>
      </c>
      <c r="H130" s="263">
        <f>+'PROYECCIÓN GENERACIÓN'!P130</f>
        <v>166.25694000000001</v>
      </c>
      <c r="I130" s="263">
        <f>+'PROYECCIÓN GENERACIÓN'!Z130</f>
        <v>189.89034000000001</v>
      </c>
      <c r="J130" s="824">
        <f>IF($B130="AMBA",Datos_caracteriz!$D$7,IF($F130&lt;=15000,Datos_caracteriz!$I$7,IF($F130&lt;=50000,Datos_caracteriz!$H$7,IF($F130&lt;=300000,Datos_caracteriz!$G$7,IF($F130&lt;=500000,Datos_caracteriz!$F$7,Datos_caracteriz!$E$7)))))</f>
        <v>5.0944811463748252</v>
      </c>
      <c r="K130" s="824">
        <f>IF($B130="AMBA",Datos_caracteriz!$D$8,IF($F130&lt;=15000,Datos_caracteriz!$I$8,IF($F130&lt;=50000,Datos_caracteriz!$H$8,IF($F130&lt;=300000,Datos_caracteriz!$G$8,IF($F130&lt;=500000,Datos_caracteriz!$F$8,Datos_caracteriz!$E$8)))))</f>
        <v>17.647404529651318</v>
      </c>
      <c r="L130" s="824">
        <f>IF($B130="AMBA",Datos_caracteriz!$D$9,IF($F130&lt;=15000,Datos_caracteriz!$I$9,IF($F130&lt;=50000,Datos_caracteriz!$H$9,IF($F130&lt;=300000,Datos_caracteriz!$G$9,IF($F130&lt;=500000,Datos_caracteriz!$F$9,Datos_caracteriz!$E$9)))))</f>
        <v>15.698195415822433</v>
      </c>
      <c r="M130" s="824">
        <f>IF($B130="AMBA",Datos_caracteriz!$D$10,IF($F130&lt;=15000,Datos_caracteriz!$I$10,IF($F130&lt;=50000,Datos_caracteriz!$H$10,IF($F130&lt;=300000,Datos_caracteriz!$G$10,IF($F130&lt;=500000,Datos_caracteriz!$F$10,Datos_caracteriz!$E$10)))))</f>
        <v>3.8268589077338007</v>
      </c>
      <c r="N130" s="824">
        <f>IF($B130="AMBA",Datos_caracteriz!$D$11,IF($F130&lt;=15000,Datos_caracteriz!$I$11,IF($F130&lt;=50000,Datos_caracteriz!$H$11,IF($F130&lt;=300000,Datos_caracteriz!$G$11,IF($F130&lt;=500000,Datos_caracteriz!$F$11,Datos_caracteriz!$E$11)))))</f>
        <v>3.0800758591467732</v>
      </c>
    </row>
    <row r="131" spans="1:14" ht="24.95" customHeight="1">
      <c r="A131" s="834">
        <f t="shared" si="1"/>
        <v>127</v>
      </c>
      <c r="B131" s="836"/>
      <c r="C131" s="71" t="str">
        <f>+Pobl_adoptada!A131</f>
        <v>Tapalqué</v>
      </c>
      <c r="D131" s="70">
        <f>+Pobl_adoptada!B131</f>
        <v>127</v>
      </c>
      <c r="E131" s="353" t="str">
        <f>+Pobl_adoptada!C131</f>
        <v>Tapalqué</v>
      </c>
      <c r="F131" s="817">
        <f>Pobl_adoptada!Q131</f>
        <v>10377</v>
      </c>
      <c r="G131" s="817">
        <f>Pobl_adoptada!AA131</f>
        <v>11851</v>
      </c>
      <c r="H131" s="263">
        <f>+'PROYECCIÓN GENERACIÓN'!P131</f>
        <v>9.5468399999999995</v>
      </c>
      <c r="I131" s="263">
        <f>+'PROYECCIÓN GENERACIÓN'!Z131</f>
        <v>10.90292</v>
      </c>
      <c r="J131" s="824">
        <f>IF($B131="AMBA",Datos_caracteriz!$D$7,IF($F131&lt;=15000,Datos_caracteriz!$I$7,IF($F131&lt;=50000,Datos_caracteriz!$H$7,IF($F131&lt;=300000,Datos_caracteriz!$G$7,IF($F131&lt;=500000,Datos_caracteriz!$F$7,Datos_caracteriz!$E$7)))))</f>
        <v>5</v>
      </c>
      <c r="K131" s="824">
        <f>IF($B131="AMBA",Datos_caracteriz!$D$8,IF($F131&lt;=15000,Datos_caracteriz!$I$8,IF($F131&lt;=50000,Datos_caracteriz!$H$8,IF($F131&lt;=300000,Datos_caracteriz!$G$8,IF($F131&lt;=500000,Datos_caracteriz!$F$8,Datos_caracteriz!$E$8)))))</f>
        <v>16</v>
      </c>
      <c r="L131" s="824">
        <f>IF($B131="AMBA",Datos_caracteriz!$D$9,IF($F131&lt;=15000,Datos_caracteriz!$I$9,IF($F131&lt;=50000,Datos_caracteriz!$H$9,IF($F131&lt;=300000,Datos_caracteriz!$G$9,IF($F131&lt;=500000,Datos_caracteriz!$F$9,Datos_caracteriz!$E$9)))))</f>
        <v>8</v>
      </c>
      <c r="M131" s="824">
        <f>IF($B131="AMBA",Datos_caracteriz!$D$10,IF($F131&lt;=15000,Datos_caracteriz!$I$10,IF($F131&lt;=50000,Datos_caracteriz!$H$10,IF($F131&lt;=300000,Datos_caracteriz!$G$10,IF($F131&lt;=500000,Datos_caracteriz!$F$10,Datos_caracteriz!$E$10)))))</f>
        <v>3</v>
      </c>
      <c r="N131" s="824">
        <f>IF($B131="AMBA",Datos_caracteriz!$D$11,IF($F131&lt;=15000,Datos_caracteriz!$I$11,IF($F131&lt;=50000,Datos_caracteriz!$H$11,IF($F131&lt;=300000,Datos_caracteriz!$G$11,IF($F131&lt;=500000,Datos_caracteriz!$F$11,Datos_caracteriz!$E$11)))))</f>
        <v>4</v>
      </c>
    </row>
    <row r="132" spans="1:14" ht="24.95" customHeight="1">
      <c r="A132" s="834">
        <f t="shared" si="1"/>
        <v>128</v>
      </c>
      <c r="B132" s="836"/>
      <c r="C132" s="71" t="str">
        <f>+Pobl_adoptada!A132</f>
        <v>Tordillo</v>
      </c>
      <c r="D132" s="70">
        <f>+Pobl_adoptada!B132</f>
        <v>128</v>
      </c>
      <c r="E132" s="353" t="str">
        <f>+Pobl_adoptada!C132</f>
        <v>General Conesa</v>
      </c>
      <c r="F132" s="817">
        <f>Pobl_adoptada!Q132</f>
        <v>2761</v>
      </c>
      <c r="G132" s="817">
        <f>Pobl_adoptada!AA132</f>
        <v>3475</v>
      </c>
      <c r="H132" s="263">
        <f>+'PROYECCIÓN GENERACIÓN'!P132</f>
        <v>2.5401199999999999</v>
      </c>
      <c r="I132" s="263">
        <f>+'PROYECCIÓN GENERACIÓN'!Z132</f>
        <v>3.1970000000000001</v>
      </c>
      <c r="J132" s="824">
        <f>IF($B132="AMBA",Datos_caracteriz!$D$7,IF($F132&lt;=15000,Datos_caracteriz!$I$7,IF($F132&lt;=50000,Datos_caracteriz!$H$7,IF($F132&lt;=300000,Datos_caracteriz!$G$7,IF($F132&lt;=500000,Datos_caracteriz!$F$7,Datos_caracteriz!$E$7)))))</f>
        <v>5</v>
      </c>
      <c r="K132" s="824">
        <f>IF($B132="AMBA",Datos_caracteriz!$D$8,IF($F132&lt;=15000,Datos_caracteriz!$I$8,IF($F132&lt;=50000,Datos_caracteriz!$H$8,IF($F132&lt;=300000,Datos_caracteriz!$G$8,IF($F132&lt;=500000,Datos_caracteriz!$F$8,Datos_caracteriz!$E$8)))))</f>
        <v>16</v>
      </c>
      <c r="L132" s="824">
        <f>IF($B132="AMBA",Datos_caracteriz!$D$9,IF($F132&lt;=15000,Datos_caracteriz!$I$9,IF($F132&lt;=50000,Datos_caracteriz!$H$9,IF($F132&lt;=300000,Datos_caracteriz!$G$9,IF($F132&lt;=500000,Datos_caracteriz!$F$9,Datos_caracteriz!$E$9)))))</f>
        <v>8</v>
      </c>
      <c r="M132" s="824">
        <f>IF($B132="AMBA",Datos_caracteriz!$D$10,IF($F132&lt;=15000,Datos_caracteriz!$I$10,IF($F132&lt;=50000,Datos_caracteriz!$H$10,IF($F132&lt;=300000,Datos_caracteriz!$G$10,IF($F132&lt;=500000,Datos_caracteriz!$F$10,Datos_caracteriz!$E$10)))))</f>
        <v>3</v>
      </c>
      <c r="N132" s="824">
        <f>IF($B132="AMBA",Datos_caracteriz!$D$11,IF($F132&lt;=15000,Datos_caracteriz!$I$11,IF($F132&lt;=50000,Datos_caracteriz!$H$11,IF($F132&lt;=300000,Datos_caracteriz!$G$11,IF($F132&lt;=500000,Datos_caracteriz!$F$11,Datos_caracteriz!$E$11)))))</f>
        <v>4</v>
      </c>
    </row>
    <row r="133" spans="1:14" ht="24.95" customHeight="1">
      <c r="A133" s="834">
        <f t="shared" si="1"/>
        <v>129</v>
      </c>
      <c r="B133" s="836"/>
      <c r="C133" s="71" t="str">
        <f>+Pobl_adoptada!A133</f>
        <v>Tornquist</v>
      </c>
      <c r="D133" s="70">
        <f>+Pobl_adoptada!B133</f>
        <v>129</v>
      </c>
      <c r="E133" s="353" t="str">
        <f>+Pobl_adoptada!C133</f>
        <v>Tornquist</v>
      </c>
      <c r="F133" s="817">
        <f>Pobl_adoptada!Q133</f>
        <v>8683</v>
      </c>
      <c r="G133" s="817">
        <f>Pobl_adoptada!AA133</f>
        <v>9927</v>
      </c>
      <c r="H133" s="263">
        <f>+'PROYECCIÓN GENERACIÓN'!P133</f>
        <v>7.988360000000001</v>
      </c>
      <c r="I133" s="263">
        <f>+'PROYECCIÓN GENERACIÓN'!Z133</f>
        <v>9.1328399999999998</v>
      </c>
      <c r="J133" s="824">
        <f>IF($B133="AMBA",Datos_caracteriz!$D$7,IF($F133&lt;=15000,Datos_caracteriz!$I$7,IF($F133&lt;=50000,Datos_caracteriz!$H$7,IF($F133&lt;=300000,Datos_caracteriz!$G$7,IF($F133&lt;=500000,Datos_caracteriz!$F$7,Datos_caracteriz!$E$7)))))</f>
        <v>5</v>
      </c>
      <c r="K133" s="824">
        <f>IF($B133="AMBA",Datos_caracteriz!$D$8,IF($F133&lt;=15000,Datos_caracteriz!$I$8,IF($F133&lt;=50000,Datos_caracteriz!$H$8,IF($F133&lt;=300000,Datos_caracteriz!$G$8,IF($F133&lt;=500000,Datos_caracteriz!$F$8,Datos_caracteriz!$E$8)))))</f>
        <v>16</v>
      </c>
      <c r="L133" s="824">
        <f>IF($B133="AMBA",Datos_caracteriz!$D$9,IF($F133&lt;=15000,Datos_caracteriz!$I$9,IF($F133&lt;=50000,Datos_caracteriz!$H$9,IF($F133&lt;=300000,Datos_caracteriz!$G$9,IF($F133&lt;=500000,Datos_caracteriz!$F$9,Datos_caracteriz!$E$9)))))</f>
        <v>8</v>
      </c>
      <c r="M133" s="824">
        <f>IF($B133="AMBA",Datos_caracteriz!$D$10,IF($F133&lt;=15000,Datos_caracteriz!$I$10,IF($F133&lt;=50000,Datos_caracteriz!$H$10,IF($F133&lt;=300000,Datos_caracteriz!$G$10,IF($F133&lt;=500000,Datos_caracteriz!$F$10,Datos_caracteriz!$E$10)))))</f>
        <v>3</v>
      </c>
      <c r="N133" s="824">
        <f>IF($B133="AMBA",Datos_caracteriz!$D$11,IF($F133&lt;=15000,Datos_caracteriz!$I$11,IF($F133&lt;=50000,Datos_caracteriz!$H$11,IF($F133&lt;=300000,Datos_caracteriz!$G$11,IF($F133&lt;=500000,Datos_caracteriz!$F$11,Datos_caracteriz!$E$11)))))</f>
        <v>4</v>
      </c>
    </row>
    <row r="134" spans="1:14" ht="24.95" customHeight="1">
      <c r="A134" s="834">
        <f t="shared" ref="A134:A158" si="2">+D134</f>
        <v>130</v>
      </c>
      <c r="B134" s="836"/>
      <c r="C134" s="71" t="str">
        <f>+Pobl_adoptada!A134</f>
        <v>Trenque Lauquen</v>
      </c>
      <c r="D134" s="70">
        <f>+Pobl_adoptada!B134</f>
        <v>130</v>
      </c>
      <c r="E134" s="353" t="str">
        <f>+Pobl_adoptada!C134</f>
        <v>Trenque Lauquen</v>
      </c>
      <c r="F134" s="817">
        <f>Pobl_adoptada!Q134</f>
        <v>42168</v>
      </c>
      <c r="G134" s="817">
        <f>Pobl_adoptada!AA134</f>
        <v>46266</v>
      </c>
      <c r="H134" s="263">
        <f>+'PROYECCIÓN GENERACIÓN'!P134</f>
        <v>44.698080000000004</v>
      </c>
      <c r="I134" s="263">
        <f>+'PROYECCIÓN GENERACIÓN'!Z134</f>
        <v>49.041959999999996</v>
      </c>
      <c r="J134" s="824">
        <f>IF($B134="AMBA",Datos_caracteriz!$D$7,IF($F134&lt;=15000,Datos_caracteriz!$I$7,IF($F134&lt;=50000,Datos_caracteriz!$H$7,IF($F134&lt;=300000,Datos_caracteriz!$G$7,IF($F134&lt;=500000,Datos_caracteriz!$F$7,Datos_caracteriz!$E$7)))))</f>
        <v>6.3576075694443857</v>
      </c>
      <c r="K134" s="824">
        <f>IF($B134="AMBA",Datos_caracteriz!$D$8,IF($F134&lt;=15000,Datos_caracteriz!$I$8,IF($F134&lt;=50000,Datos_caracteriz!$H$8,IF($F134&lt;=300000,Datos_caracteriz!$G$8,IF($F134&lt;=500000,Datos_caracteriz!$F$8,Datos_caracteriz!$E$8)))))</f>
        <v>19.857028624999995</v>
      </c>
      <c r="L134" s="824">
        <f>IF($B134="AMBA",Datos_caracteriz!$D$9,IF($F134&lt;=15000,Datos_caracteriz!$I$9,IF($F134&lt;=50000,Datos_caracteriz!$H$9,IF($F134&lt;=300000,Datos_caracteriz!$G$9,IF($F134&lt;=500000,Datos_caracteriz!$F$9,Datos_caracteriz!$E$9)))))</f>
        <v>8.6582911527777497</v>
      </c>
      <c r="M134" s="824">
        <f>IF($B134="AMBA",Datos_caracteriz!$D$10,IF($F134&lt;=15000,Datos_caracteriz!$I$10,IF($F134&lt;=50000,Datos_caracteriz!$H$10,IF($F134&lt;=300000,Datos_caracteriz!$G$10,IF($F134&lt;=500000,Datos_caracteriz!$F$10,Datos_caracteriz!$E$10)))))</f>
        <v>4.1876249722221894</v>
      </c>
      <c r="N134" s="824">
        <f>IF($B134="AMBA",Datos_caracteriz!$D$11,IF($F134&lt;=15000,Datos_caracteriz!$I$11,IF($F134&lt;=50000,Datos_caracteriz!$H$11,IF($F134&lt;=300000,Datos_caracteriz!$G$11,IF($F134&lt;=500000,Datos_caracteriz!$F$11,Datos_caracteriz!$E$11)))))</f>
        <v>4.5702066666666639</v>
      </c>
    </row>
    <row r="135" spans="1:14" ht="24.95" customHeight="1">
      <c r="A135" s="834">
        <f t="shared" si="2"/>
        <v>131</v>
      </c>
      <c r="B135" s="836"/>
      <c r="C135" s="71" t="str">
        <f>+Pobl_adoptada!A135</f>
        <v>Tres Arroyos</v>
      </c>
      <c r="D135" s="70">
        <f>+Pobl_adoptada!B135</f>
        <v>131</v>
      </c>
      <c r="E135" s="353" t="str">
        <f>+Pobl_adoptada!C135</f>
        <v>Tres Arroyos</v>
      </c>
      <c r="F135" s="817">
        <f>Pobl_adoptada!Q135</f>
        <v>51436</v>
      </c>
      <c r="G135" s="817">
        <f>Pobl_adoptada!AA135</f>
        <v>53848</v>
      </c>
      <c r="H135" s="263">
        <f>+'PROYECCIÓN GENERACIÓN'!P135</f>
        <v>54.522160000000007</v>
      </c>
      <c r="I135" s="263">
        <f>+'PROYECCIÓN GENERACIÓN'!Z135</f>
        <v>57.078880000000005</v>
      </c>
      <c r="J135" s="824">
        <f>IF($B135="AMBA",Datos_caracteriz!$D$7,IF($F135&lt;=15000,Datos_caracteriz!$I$7,IF($F135&lt;=50000,Datos_caracteriz!$H$7,IF($F135&lt;=300000,Datos_caracteriz!$G$7,IF($F135&lt;=500000,Datos_caracteriz!$F$7,Datos_caracteriz!$E$7)))))</f>
        <v>5.0944811463748252</v>
      </c>
      <c r="K135" s="824">
        <f>IF($B135="AMBA",Datos_caracteriz!$D$8,IF($F135&lt;=15000,Datos_caracteriz!$I$8,IF($F135&lt;=50000,Datos_caracteriz!$H$8,IF($F135&lt;=300000,Datos_caracteriz!$G$8,IF($F135&lt;=500000,Datos_caracteriz!$F$8,Datos_caracteriz!$E$8)))))</f>
        <v>17.647404529651318</v>
      </c>
      <c r="L135" s="824">
        <f>IF($B135="AMBA",Datos_caracteriz!$D$9,IF($F135&lt;=15000,Datos_caracteriz!$I$9,IF($F135&lt;=50000,Datos_caracteriz!$H$9,IF($F135&lt;=300000,Datos_caracteriz!$G$9,IF($F135&lt;=500000,Datos_caracteriz!$F$9,Datos_caracteriz!$E$9)))))</f>
        <v>15.698195415822433</v>
      </c>
      <c r="M135" s="824">
        <f>IF($B135="AMBA",Datos_caracteriz!$D$10,IF($F135&lt;=15000,Datos_caracteriz!$I$10,IF($F135&lt;=50000,Datos_caracteriz!$H$10,IF($F135&lt;=300000,Datos_caracteriz!$G$10,IF($F135&lt;=500000,Datos_caracteriz!$F$10,Datos_caracteriz!$E$10)))))</f>
        <v>3.8268589077338007</v>
      </c>
      <c r="N135" s="824">
        <f>IF($B135="AMBA",Datos_caracteriz!$D$11,IF($F135&lt;=15000,Datos_caracteriz!$I$11,IF($F135&lt;=50000,Datos_caracteriz!$H$11,IF($F135&lt;=300000,Datos_caracteriz!$G$11,IF($F135&lt;=500000,Datos_caracteriz!$F$11,Datos_caracteriz!$E$11)))))</f>
        <v>3.0800758591467732</v>
      </c>
    </row>
    <row r="136" spans="1:14" ht="24.95" customHeight="1">
      <c r="A136" s="834">
        <f t="shared" si="2"/>
        <v>132</v>
      </c>
      <c r="B136" s="836"/>
      <c r="C136" s="71" t="str">
        <f>+Pobl_adoptada!A136</f>
        <v>Tres Lomas</v>
      </c>
      <c r="D136" s="70">
        <f>+Pobl_adoptada!B136</f>
        <v>132</v>
      </c>
      <c r="E136" s="353" t="str">
        <f>+Pobl_adoptada!C136</f>
        <v>Tres Lomas</v>
      </c>
      <c r="F136" s="817">
        <f>Pobl_adoptada!Q136</f>
        <v>9989</v>
      </c>
      <c r="G136" s="817">
        <f>Pobl_adoptada!AA136</f>
        <v>10844</v>
      </c>
      <c r="H136" s="263">
        <f>+'PROYECCIÓN GENERACIÓN'!P136</f>
        <v>9.1898800000000005</v>
      </c>
      <c r="I136" s="263">
        <f>+'PROYECCIÓN GENERACIÓN'!Z136</f>
        <v>9.9764799999999987</v>
      </c>
      <c r="J136" s="824">
        <f>IF($B136="AMBA",Datos_caracteriz!$D$7,IF($F136&lt;=15000,Datos_caracteriz!$I$7,IF($F136&lt;=50000,Datos_caracteriz!$H$7,IF($F136&lt;=300000,Datos_caracteriz!$G$7,IF($F136&lt;=500000,Datos_caracteriz!$F$7,Datos_caracteriz!$E$7)))))</f>
        <v>5</v>
      </c>
      <c r="K136" s="824">
        <f>IF($B136="AMBA",Datos_caracteriz!$D$8,IF($F136&lt;=15000,Datos_caracteriz!$I$8,IF($F136&lt;=50000,Datos_caracteriz!$H$8,IF($F136&lt;=300000,Datos_caracteriz!$G$8,IF($F136&lt;=500000,Datos_caracteriz!$F$8,Datos_caracteriz!$E$8)))))</f>
        <v>16</v>
      </c>
      <c r="L136" s="824">
        <f>IF($B136="AMBA",Datos_caracteriz!$D$9,IF($F136&lt;=15000,Datos_caracteriz!$I$9,IF($F136&lt;=50000,Datos_caracteriz!$H$9,IF($F136&lt;=300000,Datos_caracteriz!$G$9,IF($F136&lt;=500000,Datos_caracteriz!$F$9,Datos_caracteriz!$E$9)))))</f>
        <v>8</v>
      </c>
      <c r="M136" s="824">
        <f>IF($B136="AMBA",Datos_caracteriz!$D$10,IF($F136&lt;=15000,Datos_caracteriz!$I$10,IF($F136&lt;=50000,Datos_caracteriz!$H$10,IF($F136&lt;=300000,Datos_caracteriz!$G$10,IF($F136&lt;=500000,Datos_caracteriz!$F$10,Datos_caracteriz!$E$10)))))</f>
        <v>3</v>
      </c>
      <c r="N136" s="824">
        <f>IF($B136="AMBA",Datos_caracteriz!$D$11,IF($F136&lt;=15000,Datos_caracteriz!$I$11,IF($F136&lt;=50000,Datos_caracteriz!$H$11,IF($F136&lt;=300000,Datos_caracteriz!$G$11,IF($F136&lt;=500000,Datos_caracteriz!$F$11,Datos_caracteriz!$E$11)))))</f>
        <v>4</v>
      </c>
    </row>
    <row r="137" spans="1:14" ht="24.95" customHeight="1">
      <c r="A137" s="834">
        <f t="shared" si="2"/>
        <v>133</v>
      </c>
      <c r="B137" s="836"/>
      <c r="C137" s="71" t="str">
        <f>+Pobl_adoptada!A137</f>
        <v>Villa Gesell</v>
      </c>
      <c r="D137" s="70">
        <f>+Pobl_adoptada!B137</f>
        <v>133</v>
      </c>
      <c r="E137" s="353" t="str">
        <f>+Pobl_adoptada!C137</f>
        <v>Villa Gesell</v>
      </c>
      <c r="F137" s="817">
        <f>Pobl_adoptada!Q137</f>
        <v>78663</v>
      </c>
      <c r="G137" s="817">
        <f>Pobl_adoptada!AA137</f>
        <v>90734</v>
      </c>
      <c r="H137" s="263">
        <f>+'PROYECCIÓN GENERACIÓN'!P137</f>
        <v>80.236260000000001</v>
      </c>
      <c r="I137" s="263">
        <f>+'PROYECCIÓN GENERACIÓN'!Z137</f>
        <v>92.548680000000004</v>
      </c>
      <c r="J137" s="824">
        <f>IF($B137="AMBA",Datos_caracteriz!$D$7,IF($F137&lt;=15000,Datos_caracteriz!$I$7,IF($F137&lt;=50000,Datos_caracteriz!$H$7,IF($F137&lt;=300000,Datos_caracteriz!$G$7,IF($F137&lt;=500000,Datos_caracteriz!$F$7,Datos_caracteriz!$E$7)))))</f>
        <v>5.0944811463748252</v>
      </c>
      <c r="K137" s="824">
        <f>IF($B137="AMBA",Datos_caracteriz!$D$8,IF($F137&lt;=15000,Datos_caracteriz!$I$8,IF($F137&lt;=50000,Datos_caracteriz!$H$8,IF($F137&lt;=300000,Datos_caracteriz!$G$8,IF($F137&lt;=500000,Datos_caracteriz!$F$8,Datos_caracteriz!$E$8)))))</f>
        <v>17.647404529651318</v>
      </c>
      <c r="L137" s="824">
        <f>IF($B137="AMBA",Datos_caracteriz!$D$9,IF($F137&lt;=15000,Datos_caracteriz!$I$9,IF($F137&lt;=50000,Datos_caracteriz!$H$9,IF($F137&lt;=300000,Datos_caracteriz!$G$9,IF($F137&lt;=500000,Datos_caracteriz!$F$9,Datos_caracteriz!$E$9)))))</f>
        <v>15.698195415822433</v>
      </c>
      <c r="M137" s="824">
        <f>IF($B137="AMBA",Datos_caracteriz!$D$10,IF($F137&lt;=15000,Datos_caracteriz!$I$10,IF($F137&lt;=50000,Datos_caracteriz!$H$10,IF($F137&lt;=300000,Datos_caracteriz!$G$10,IF($F137&lt;=500000,Datos_caracteriz!$F$10,Datos_caracteriz!$E$10)))))</f>
        <v>3.8268589077338007</v>
      </c>
      <c r="N137" s="824">
        <f>IF($B137="AMBA",Datos_caracteriz!$D$11,IF($F137&lt;=15000,Datos_caracteriz!$I$11,IF($F137&lt;=50000,Datos_caracteriz!$H$11,IF($F137&lt;=300000,Datos_caracteriz!$G$11,IF($F137&lt;=500000,Datos_caracteriz!$F$11,Datos_caracteriz!$E$11)))))</f>
        <v>3.0800758591467732</v>
      </c>
    </row>
    <row r="138" spans="1:14" ht="24.95" customHeight="1">
      <c r="A138" s="834">
        <f t="shared" si="2"/>
        <v>134</v>
      </c>
      <c r="B138" s="836"/>
      <c r="C138" s="71" t="str">
        <f>+Pobl_adoptada!A138</f>
        <v>Villarino</v>
      </c>
      <c r="D138" s="70">
        <f>+Pobl_adoptada!B138</f>
        <v>134</v>
      </c>
      <c r="E138" s="353" t="str">
        <f>+Pobl_adoptada!C138</f>
        <v>Médanos</v>
      </c>
      <c r="F138" s="817">
        <f>Pobl_adoptada!Q138</f>
        <v>6062</v>
      </c>
      <c r="G138" s="817">
        <f>Pobl_adoptada!AA138</f>
        <v>6328</v>
      </c>
      <c r="H138" s="263">
        <f>+'PROYECCIÓN GENERACIÓN'!P138</f>
        <v>5.5770400000000002</v>
      </c>
      <c r="I138" s="263">
        <f>+'PROYECCIÓN GENERACIÓN'!Z138</f>
        <v>5.8217600000000003</v>
      </c>
      <c r="J138" s="824">
        <f>IF($B138="AMBA",Datos_caracteriz!$D$7,IF($F138&lt;=15000,Datos_caracteriz!$I$7,IF($F138&lt;=50000,Datos_caracteriz!$H$7,IF($F138&lt;=300000,Datos_caracteriz!$G$7,IF($F138&lt;=500000,Datos_caracteriz!$F$7,Datos_caracteriz!$E$7)))))</f>
        <v>5</v>
      </c>
      <c r="K138" s="824">
        <f>IF($B138="AMBA",Datos_caracteriz!$D$8,IF($F138&lt;=15000,Datos_caracteriz!$I$8,IF($F138&lt;=50000,Datos_caracteriz!$H$8,IF($F138&lt;=300000,Datos_caracteriz!$G$8,IF($F138&lt;=500000,Datos_caracteriz!$F$8,Datos_caracteriz!$E$8)))))</f>
        <v>16</v>
      </c>
      <c r="L138" s="824">
        <f>IF($B138="AMBA",Datos_caracteriz!$D$9,IF($F138&lt;=15000,Datos_caracteriz!$I$9,IF($F138&lt;=50000,Datos_caracteriz!$H$9,IF($F138&lt;=300000,Datos_caracteriz!$G$9,IF($F138&lt;=500000,Datos_caracteriz!$F$9,Datos_caracteriz!$E$9)))))</f>
        <v>8</v>
      </c>
      <c r="M138" s="824">
        <f>IF($B138="AMBA",Datos_caracteriz!$D$10,IF($F138&lt;=15000,Datos_caracteriz!$I$10,IF($F138&lt;=50000,Datos_caracteriz!$H$10,IF($F138&lt;=300000,Datos_caracteriz!$G$10,IF($F138&lt;=500000,Datos_caracteriz!$F$10,Datos_caracteriz!$E$10)))))</f>
        <v>3</v>
      </c>
      <c r="N138" s="824">
        <f>IF($B138="AMBA",Datos_caracteriz!$D$11,IF($F138&lt;=15000,Datos_caracteriz!$I$11,IF($F138&lt;=50000,Datos_caracteriz!$H$11,IF($F138&lt;=300000,Datos_caracteriz!$G$11,IF($F138&lt;=500000,Datos_caracteriz!$F$11,Datos_caracteriz!$E$11)))))</f>
        <v>4</v>
      </c>
    </row>
    <row r="139" spans="1:14" ht="24.95" customHeight="1">
      <c r="A139" s="834">
        <f t="shared" si="2"/>
        <v>135</v>
      </c>
      <c r="B139" s="836"/>
      <c r="C139" s="71" t="str">
        <f>+Pobl_adoptada!A139</f>
        <v>Zárate</v>
      </c>
      <c r="D139" s="70">
        <f>+Pobl_adoptada!B139</f>
        <v>135</v>
      </c>
      <c r="E139" s="353" t="str">
        <f>+Pobl_adoptada!C139</f>
        <v>Zárate</v>
      </c>
      <c r="F139" s="817">
        <f>Pobl_adoptada!Q139</f>
        <v>132135</v>
      </c>
      <c r="G139" s="817">
        <f>Pobl_adoptada!AA139</f>
        <v>148598</v>
      </c>
      <c r="H139" s="263">
        <f>+'PROYECCIÓN GENERACIÓN'!P139</f>
        <v>134.77770000000001</v>
      </c>
      <c r="I139" s="263">
        <f>+'PROYECCIÓN GENERACIÓN'!Z139</f>
        <v>151.56995999999998</v>
      </c>
      <c r="J139" s="824">
        <f>IF($B139="AMBA",Datos_caracteriz!$D$7,IF($F139&lt;=15000,Datos_caracteriz!$I$7,IF($F139&lt;=50000,Datos_caracteriz!$H$7,IF($F139&lt;=300000,Datos_caracteriz!$G$7,IF($F139&lt;=500000,Datos_caracteriz!$F$7,Datos_caracteriz!$E$7)))))</f>
        <v>5.0944811463748252</v>
      </c>
      <c r="K139" s="824">
        <f>IF($B139="AMBA",Datos_caracteriz!$D$8,IF($F139&lt;=15000,Datos_caracteriz!$I$8,IF($F139&lt;=50000,Datos_caracteriz!$H$8,IF($F139&lt;=300000,Datos_caracteriz!$G$8,IF($F139&lt;=500000,Datos_caracteriz!$F$8,Datos_caracteriz!$E$8)))))</f>
        <v>17.647404529651318</v>
      </c>
      <c r="L139" s="824">
        <f>IF($B139="AMBA",Datos_caracteriz!$D$9,IF($F139&lt;=15000,Datos_caracteriz!$I$9,IF($F139&lt;=50000,Datos_caracteriz!$H$9,IF($F139&lt;=300000,Datos_caracteriz!$G$9,IF($F139&lt;=500000,Datos_caracteriz!$F$9,Datos_caracteriz!$E$9)))))</f>
        <v>15.698195415822433</v>
      </c>
      <c r="M139" s="824">
        <f>IF($B139="AMBA",Datos_caracteriz!$D$10,IF($F139&lt;=15000,Datos_caracteriz!$I$10,IF($F139&lt;=50000,Datos_caracteriz!$H$10,IF($F139&lt;=300000,Datos_caracteriz!$G$10,IF($F139&lt;=500000,Datos_caracteriz!$F$10,Datos_caracteriz!$E$10)))))</f>
        <v>3.8268589077338007</v>
      </c>
      <c r="N139" s="824">
        <f>IF($B139="AMBA",Datos_caracteriz!$D$11,IF($F139&lt;=15000,Datos_caracteriz!$I$11,IF($F139&lt;=50000,Datos_caracteriz!$H$11,IF($F139&lt;=300000,Datos_caracteriz!$G$11,IF($F139&lt;=500000,Datos_caracteriz!$F$11,Datos_caracteriz!$E$11)))))</f>
        <v>3.0800758591467732</v>
      </c>
    </row>
    <row r="140" spans="1:14" ht="24.95" customHeight="1">
      <c r="A140" s="834">
        <f t="shared" si="2"/>
        <v>136</v>
      </c>
      <c r="B140" s="836"/>
      <c r="C140" s="71" t="str">
        <f>+Pobl_adoptada!A140</f>
        <v>CABA</v>
      </c>
      <c r="D140" s="70">
        <f>+Pobl_adoptada!B140</f>
        <v>136</v>
      </c>
      <c r="E140" s="353" t="str">
        <f>+Pobl_adoptada!C140</f>
        <v>CABA</v>
      </c>
      <c r="F140" s="817">
        <f>Pobl_adoptada!Q140</f>
        <v>6065812</v>
      </c>
      <c r="G140" s="817">
        <f>Pobl_adoptada!AA140</f>
        <v>6609652</v>
      </c>
      <c r="H140" s="263">
        <f>+'PROYECCIÓN GENERACIÓN'!P140</f>
        <v>8552.7949200000003</v>
      </c>
      <c r="I140" s="263">
        <f>+'PROYECCIÓN GENERACIÓN'!Z140</f>
        <v>9319.6093199999996</v>
      </c>
      <c r="J140" s="824">
        <f>IF($B140="AMBA",Datos_caracteriz!$D$7,IF($F140&lt;=15000,Datos_caracteriz!$I$7,IF($F140&lt;=50000,Datos_caracteriz!$H$7,IF($F140&lt;=300000,Datos_caracteriz!$G$7,IF($F140&lt;=500000,Datos_caracteriz!$F$7,Datos_caracteriz!$E$7)))))</f>
        <v>5.451271347706439</v>
      </c>
      <c r="K140" s="824">
        <f>IF($B140="AMBA",Datos_caracteriz!$D$8,IF($F140&lt;=15000,Datos_caracteriz!$I$8,IF($F140&lt;=50000,Datos_caracteriz!$H$8,IF($F140&lt;=300000,Datos_caracteriz!$G$8,IF($F140&lt;=500000,Datos_caracteriz!$F$8,Datos_caracteriz!$E$8)))))</f>
        <v>17.862967276575926</v>
      </c>
      <c r="L140" s="824">
        <f>IF($B140="AMBA",Datos_caracteriz!$D$9,IF($F140&lt;=15000,Datos_caracteriz!$I$9,IF($F140&lt;=50000,Datos_caracteriz!$H$9,IF($F140&lt;=300000,Datos_caracteriz!$G$9,IF($F140&lt;=500000,Datos_caracteriz!$F$9,Datos_caracteriz!$E$9)))))</f>
        <v>10.946733874072363</v>
      </c>
      <c r="M140" s="824">
        <f>IF($B140="AMBA",Datos_caracteriz!$D$10,IF($F140&lt;=15000,Datos_caracteriz!$I$10,IF($F140&lt;=50000,Datos_caracteriz!$H$10,IF($F140&lt;=300000,Datos_caracteriz!$G$10,IF($F140&lt;=500000,Datos_caracteriz!$F$10,Datos_caracteriz!$E$10)))))</f>
        <v>3.591913781633354</v>
      </c>
      <c r="N140" s="824">
        <f>IF($B140="AMBA",Datos_caracteriz!$D$11,IF($F140&lt;=15000,Datos_caracteriz!$I$11,IF($F140&lt;=50000,Datos_caracteriz!$H$11,IF($F140&lt;=300000,Datos_caracteriz!$G$11,IF($F140&lt;=500000,Datos_caracteriz!$F$11,Datos_caracteriz!$E$11)))))</f>
        <v>3.837975571262076</v>
      </c>
    </row>
    <row r="141" spans="1:14" ht="24.95" customHeight="1">
      <c r="A141" s="834">
        <f t="shared" si="2"/>
        <v>137</v>
      </c>
      <c r="B141" s="836"/>
      <c r="C141" s="71" t="str">
        <f>+Pobl_adoptada!A141</f>
        <v>Adolfo Alsina</v>
      </c>
      <c r="D141" s="70">
        <f>+Pobl_adoptada!B141</f>
        <v>137</v>
      </c>
      <c r="E141" s="353" t="str">
        <f>+Pobl_adoptada!C141</f>
        <v>Rivera</v>
      </c>
      <c r="F141" s="817">
        <f>Pobl_adoptada!Q141</f>
        <v>3409</v>
      </c>
      <c r="G141" s="817">
        <f>Pobl_adoptada!AA141</f>
        <v>3503</v>
      </c>
      <c r="H141" s="263">
        <f>+'PROYECCIÓN GENERACIÓN'!P141</f>
        <v>3.1362800000000002</v>
      </c>
      <c r="I141" s="263">
        <f>+'PROYECCIÓN GENERACIÓN'!Z141</f>
        <v>3.2227600000000001</v>
      </c>
      <c r="J141" s="824">
        <f>IF($B141="AMBA",Datos_caracteriz!$D$7,IF($F141&lt;=15000,Datos_caracteriz!$I$7,IF($F141&lt;=50000,Datos_caracteriz!$H$7,IF($F141&lt;=300000,Datos_caracteriz!$G$7,IF($F141&lt;=500000,Datos_caracteriz!$F$7,Datos_caracteriz!$E$7)))))</f>
        <v>5</v>
      </c>
      <c r="K141" s="824">
        <f>IF($B141="AMBA",Datos_caracteriz!$D$8,IF($F141&lt;=15000,Datos_caracteriz!$I$8,IF($F141&lt;=50000,Datos_caracteriz!$H$8,IF($F141&lt;=300000,Datos_caracteriz!$G$8,IF($F141&lt;=500000,Datos_caracteriz!$F$8,Datos_caracteriz!$E$8)))))</f>
        <v>16</v>
      </c>
      <c r="L141" s="824">
        <f>IF($B141="AMBA",Datos_caracteriz!$D$9,IF($F141&lt;=15000,Datos_caracteriz!$I$9,IF($F141&lt;=50000,Datos_caracteriz!$H$9,IF($F141&lt;=300000,Datos_caracteriz!$G$9,IF($F141&lt;=500000,Datos_caracteriz!$F$9,Datos_caracteriz!$E$9)))))</f>
        <v>8</v>
      </c>
      <c r="M141" s="824">
        <f>IF($B141="AMBA",Datos_caracteriz!$D$10,IF($F141&lt;=15000,Datos_caracteriz!$I$10,IF($F141&lt;=50000,Datos_caracteriz!$H$10,IF($F141&lt;=300000,Datos_caracteriz!$G$10,IF($F141&lt;=500000,Datos_caracteriz!$F$10,Datos_caracteriz!$E$10)))))</f>
        <v>3</v>
      </c>
      <c r="N141" s="824">
        <f>IF($B141="AMBA",Datos_caracteriz!$D$11,IF($F141&lt;=15000,Datos_caracteriz!$I$11,IF($F141&lt;=50000,Datos_caracteriz!$H$11,IF($F141&lt;=300000,Datos_caracteriz!$G$11,IF($F141&lt;=500000,Datos_caracteriz!$F$11,Datos_caracteriz!$E$11)))))</f>
        <v>4</v>
      </c>
    </row>
    <row r="142" spans="1:14" ht="24.95" customHeight="1">
      <c r="A142" s="834">
        <f t="shared" si="2"/>
        <v>138</v>
      </c>
      <c r="B142" s="836"/>
      <c r="C142" s="71" t="str">
        <f>+Pobl_adoptada!A142</f>
        <v>Carlos Tejedor</v>
      </c>
      <c r="D142" s="70">
        <f>+Pobl_adoptada!B142</f>
        <v>138</v>
      </c>
      <c r="E142" s="353" t="str">
        <f>+Pobl_adoptada!C142</f>
        <v>Tres Algarrobos</v>
      </c>
      <c r="F142" s="817">
        <f>Pobl_adoptada!Q142</f>
        <v>3692</v>
      </c>
      <c r="G142" s="817">
        <f>Pobl_adoptada!AA142</f>
        <v>3892</v>
      </c>
      <c r="H142" s="263">
        <f>+'PROYECCIÓN GENERACIÓN'!P142</f>
        <v>3.3966400000000005</v>
      </c>
      <c r="I142" s="263">
        <f>+'PROYECCIÓN GENERACIÓN'!Z142</f>
        <v>3.5806400000000003</v>
      </c>
      <c r="J142" s="824">
        <f>IF($B142="AMBA",Datos_caracteriz!$D$7,IF($F142&lt;=15000,Datos_caracteriz!$I$7,IF($F142&lt;=50000,Datos_caracteriz!$H$7,IF($F142&lt;=300000,Datos_caracteriz!$G$7,IF($F142&lt;=500000,Datos_caracteriz!$F$7,Datos_caracteriz!$E$7)))))</f>
        <v>5</v>
      </c>
      <c r="K142" s="824">
        <f>IF($B142="AMBA",Datos_caracteriz!$D$8,IF($F142&lt;=15000,Datos_caracteriz!$I$8,IF($F142&lt;=50000,Datos_caracteriz!$H$8,IF($F142&lt;=300000,Datos_caracteriz!$G$8,IF($F142&lt;=500000,Datos_caracteriz!$F$8,Datos_caracteriz!$E$8)))))</f>
        <v>16</v>
      </c>
      <c r="L142" s="824">
        <f>IF($B142="AMBA",Datos_caracteriz!$D$9,IF($F142&lt;=15000,Datos_caracteriz!$I$9,IF($F142&lt;=50000,Datos_caracteriz!$H$9,IF($F142&lt;=300000,Datos_caracteriz!$G$9,IF($F142&lt;=500000,Datos_caracteriz!$F$9,Datos_caracteriz!$E$9)))))</f>
        <v>8</v>
      </c>
      <c r="M142" s="824">
        <f>IF($B142="AMBA",Datos_caracteriz!$D$10,IF($F142&lt;=15000,Datos_caracteriz!$I$10,IF($F142&lt;=50000,Datos_caracteriz!$H$10,IF($F142&lt;=300000,Datos_caracteriz!$G$10,IF($F142&lt;=500000,Datos_caracteriz!$F$10,Datos_caracteriz!$E$10)))))</f>
        <v>3</v>
      </c>
      <c r="N142" s="824">
        <f>IF($B142="AMBA",Datos_caracteriz!$D$11,IF($F142&lt;=15000,Datos_caracteriz!$I$11,IF($F142&lt;=50000,Datos_caracteriz!$H$11,IF($F142&lt;=300000,Datos_caracteriz!$G$11,IF($F142&lt;=500000,Datos_caracteriz!$F$11,Datos_caracteriz!$E$11)))))</f>
        <v>4</v>
      </c>
    </row>
    <row r="143" spans="1:14" ht="24.95" customHeight="1">
      <c r="A143" s="834">
        <f t="shared" si="2"/>
        <v>139</v>
      </c>
      <c r="B143" s="836"/>
      <c r="C143" s="71" t="str">
        <f>+Pobl_adoptada!A143</f>
        <v>Exaltación de la Cruz</v>
      </c>
      <c r="D143" s="70">
        <f>+Pobl_adoptada!B143</f>
        <v>139</v>
      </c>
      <c r="E143" s="353" t="str">
        <f>+Pobl_adoptada!C143</f>
        <v>Los Cardales</v>
      </c>
      <c r="F143" s="817">
        <f>Pobl_adoptada!Q143</f>
        <v>16675</v>
      </c>
      <c r="G143" s="817">
        <f>Pobl_adoptada!AA143</f>
        <v>21690</v>
      </c>
      <c r="H143" s="263">
        <f>+'PROYECCIÓN GENERACIÓN'!P143</f>
        <v>15.340999999999999</v>
      </c>
      <c r="I143" s="263">
        <f>+'PROYECCIÓN GENERACIÓN'!Z143</f>
        <v>19.954799999999999</v>
      </c>
      <c r="J143" s="824">
        <f>IF($B143="AMBA",Datos_caracteriz!$D$7,IF($F143&lt;=15000,Datos_caracteriz!$I$7,IF($F143&lt;=50000,Datos_caracteriz!$H$7,IF($F143&lt;=300000,Datos_caracteriz!$G$7,IF($F143&lt;=500000,Datos_caracteriz!$F$7,Datos_caracteriz!$E$7)))))</f>
        <v>6.3576075694443857</v>
      </c>
      <c r="K143" s="824">
        <f>IF($B143="AMBA",Datos_caracteriz!$D$8,IF($F143&lt;=15000,Datos_caracteriz!$I$8,IF($F143&lt;=50000,Datos_caracteriz!$H$8,IF($F143&lt;=300000,Datos_caracteriz!$G$8,IF($F143&lt;=500000,Datos_caracteriz!$F$8,Datos_caracteriz!$E$8)))))</f>
        <v>19.857028624999995</v>
      </c>
      <c r="L143" s="824">
        <f>IF($B143="AMBA",Datos_caracteriz!$D$9,IF($F143&lt;=15000,Datos_caracteriz!$I$9,IF($F143&lt;=50000,Datos_caracteriz!$H$9,IF($F143&lt;=300000,Datos_caracteriz!$G$9,IF($F143&lt;=500000,Datos_caracteriz!$F$9,Datos_caracteriz!$E$9)))))</f>
        <v>8.6582911527777497</v>
      </c>
      <c r="M143" s="824">
        <f>IF($B143="AMBA",Datos_caracteriz!$D$10,IF($F143&lt;=15000,Datos_caracteriz!$I$10,IF($F143&lt;=50000,Datos_caracteriz!$H$10,IF($F143&lt;=300000,Datos_caracteriz!$G$10,IF($F143&lt;=500000,Datos_caracteriz!$F$10,Datos_caracteriz!$E$10)))))</f>
        <v>4.1876249722221894</v>
      </c>
      <c r="N143" s="824">
        <f>IF($B143="AMBA",Datos_caracteriz!$D$11,IF($F143&lt;=15000,Datos_caracteriz!$I$11,IF($F143&lt;=50000,Datos_caracteriz!$H$11,IF($F143&lt;=300000,Datos_caracteriz!$G$11,IF($F143&lt;=500000,Datos_caracteriz!$F$11,Datos_caracteriz!$E$11)))))</f>
        <v>4.5702066666666639</v>
      </c>
    </row>
    <row r="144" spans="1:14" ht="24.95" customHeight="1">
      <c r="A144" s="834">
        <f t="shared" si="2"/>
        <v>140</v>
      </c>
      <c r="B144" s="836"/>
      <c r="C144" s="71" t="str">
        <f>+Pobl_adoptada!A144</f>
        <v>Exaltación de la Cruz</v>
      </c>
      <c r="D144" s="70">
        <f>+Pobl_adoptada!B144</f>
        <v>140</v>
      </c>
      <c r="E144" s="353" t="str">
        <f>+Pobl_adoptada!C144</f>
        <v>Parada Robles - Pavón</v>
      </c>
      <c r="F144" s="817">
        <f>Pobl_adoptada!Q144</f>
        <v>24847</v>
      </c>
      <c r="G144" s="817">
        <f>Pobl_adoptada!AA144</f>
        <v>33736</v>
      </c>
      <c r="H144" s="263">
        <f>+'PROYECCIÓN GENERACIÓN'!P144</f>
        <v>26.337820000000001</v>
      </c>
      <c r="I144" s="263">
        <f>+'PROYECCIÓN GENERACIÓN'!Z144</f>
        <v>35.760160000000006</v>
      </c>
      <c r="J144" s="824">
        <f>IF($B144="AMBA",Datos_caracteriz!$D$7,IF($F144&lt;=15000,Datos_caracteriz!$I$7,IF($F144&lt;=50000,Datos_caracteriz!$H$7,IF($F144&lt;=300000,Datos_caracteriz!$G$7,IF($F144&lt;=500000,Datos_caracteriz!$F$7,Datos_caracteriz!$E$7)))))</f>
        <v>6.3576075694443857</v>
      </c>
      <c r="K144" s="824">
        <f>IF($B144="AMBA",Datos_caracteriz!$D$8,IF($F144&lt;=15000,Datos_caracteriz!$I$8,IF($F144&lt;=50000,Datos_caracteriz!$H$8,IF($F144&lt;=300000,Datos_caracteriz!$G$8,IF($F144&lt;=500000,Datos_caracteriz!$F$8,Datos_caracteriz!$E$8)))))</f>
        <v>19.857028624999995</v>
      </c>
      <c r="L144" s="824">
        <f>IF($B144="AMBA",Datos_caracteriz!$D$9,IF($F144&lt;=15000,Datos_caracteriz!$I$9,IF($F144&lt;=50000,Datos_caracteriz!$H$9,IF($F144&lt;=300000,Datos_caracteriz!$G$9,IF($F144&lt;=500000,Datos_caracteriz!$F$9,Datos_caracteriz!$E$9)))))</f>
        <v>8.6582911527777497</v>
      </c>
      <c r="M144" s="824">
        <f>IF($B144="AMBA",Datos_caracteriz!$D$10,IF($F144&lt;=15000,Datos_caracteriz!$I$10,IF($F144&lt;=50000,Datos_caracteriz!$H$10,IF($F144&lt;=300000,Datos_caracteriz!$G$10,IF($F144&lt;=500000,Datos_caracteriz!$F$10,Datos_caracteriz!$E$10)))))</f>
        <v>4.1876249722221894</v>
      </c>
      <c r="N144" s="824">
        <f>IF($B144="AMBA",Datos_caracteriz!$D$11,IF($F144&lt;=15000,Datos_caracteriz!$I$11,IF($F144&lt;=50000,Datos_caracteriz!$H$11,IF($F144&lt;=300000,Datos_caracteriz!$G$11,IF($F144&lt;=500000,Datos_caracteriz!$F$11,Datos_caracteriz!$E$11)))))</f>
        <v>4.5702066666666639</v>
      </c>
    </row>
    <row r="145" spans="1:14" ht="24.95" customHeight="1">
      <c r="A145" s="834">
        <f t="shared" si="2"/>
        <v>141</v>
      </c>
      <c r="B145" s="836"/>
      <c r="C145" s="71" t="str">
        <f>+Pobl_adoptada!A145</f>
        <v>General Alvarado</v>
      </c>
      <c r="D145" s="70">
        <f>+Pobl_adoptada!B145</f>
        <v>141</v>
      </c>
      <c r="E145" s="353" t="str">
        <f>+Pobl_adoptada!C145</f>
        <v>Comandante Nicanor Otamendi</v>
      </c>
      <c r="F145" s="817">
        <f>Pobl_adoptada!Q145</f>
        <v>7881</v>
      </c>
      <c r="G145" s="817">
        <f>Pobl_adoptada!AA145</f>
        <v>8408</v>
      </c>
      <c r="H145" s="263">
        <f>+'PROYECCIÓN GENERACIÓN'!P145</f>
        <v>7.2505200000000007</v>
      </c>
      <c r="I145" s="263">
        <f>+'PROYECCIÓN GENERACIÓN'!Z145</f>
        <v>7.7353600000000009</v>
      </c>
      <c r="J145" s="824">
        <f>IF($B145="AMBA",Datos_caracteriz!$D$7,IF($F145&lt;=15000,Datos_caracteriz!$I$7,IF($F145&lt;=50000,Datos_caracteriz!$H$7,IF($F145&lt;=300000,Datos_caracteriz!$G$7,IF($F145&lt;=500000,Datos_caracteriz!$F$7,Datos_caracteriz!$E$7)))))</f>
        <v>5</v>
      </c>
      <c r="K145" s="824">
        <f>IF($B145="AMBA",Datos_caracteriz!$D$8,IF($F145&lt;=15000,Datos_caracteriz!$I$8,IF($F145&lt;=50000,Datos_caracteriz!$H$8,IF($F145&lt;=300000,Datos_caracteriz!$G$8,IF($F145&lt;=500000,Datos_caracteriz!$F$8,Datos_caracteriz!$E$8)))))</f>
        <v>16</v>
      </c>
      <c r="L145" s="824">
        <f>IF($B145="AMBA",Datos_caracteriz!$D$9,IF($F145&lt;=15000,Datos_caracteriz!$I$9,IF($F145&lt;=50000,Datos_caracteriz!$H$9,IF($F145&lt;=300000,Datos_caracteriz!$G$9,IF($F145&lt;=500000,Datos_caracteriz!$F$9,Datos_caracteriz!$E$9)))))</f>
        <v>8</v>
      </c>
      <c r="M145" s="824">
        <f>IF($B145="AMBA",Datos_caracteriz!$D$10,IF($F145&lt;=15000,Datos_caracteriz!$I$10,IF($F145&lt;=50000,Datos_caracteriz!$H$10,IF($F145&lt;=300000,Datos_caracteriz!$G$10,IF($F145&lt;=500000,Datos_caracteriz!$F$10,Datos_caracteriz!$E$10)))))</f>
        <v>3</v>
      </c>
      <c r="N145" s="824">
        <f>IF($B145="AMBA",Datos_caracteriz!$D$11,IF($F145&lt;=15000,Datos_caracteriz!$I$11,IF($F145&lt;=50000,Datos_caracteriz!$H$11,IF($F145&lt;=300000,Datos_caracteriz!$G$11,IF($F145&lt;=500000,Datos_caracteriz!$F$11,Datos_caracteriz!$E$11)))))</f>
        <v>4</v>
      </c>
    </row>
    <row r="146" spans="1:14" ht="24.95" customHeight="1">
      <c r="A146" s="834">
        <f t="shared" si="2"/>
        <v>142</v>
      </c>
      <c r="B146" s="836"/>
      <c r="C146" s="71" t="str">
        <f>+Pobl_adoptada!A146</f>
        <v>General Arenales</v>
      </c>
      <c r="D146" s="70">
        <f>+Pobl_adoptada!B146</f>
        <v>142</v>
      </c>
      <c r="E146" s="353" t="str">
        <f>+Pobl_adoptada!C146</f>
        <v>Arribeños</v>
      </c>
      <c r="F146" s="817">
        <f>Pobl_adoptada!Q146</f>
        <v>3053</v>
      </c>
      <c r="G146" s="817">
        <f>Pobl_adoptada!AA146</f>
        <v>3119</v>
      </c>
      <c r="H146" s="263">
        <f>+'PROYECCIÓN GENERACIÓN'!P146</f>
        <v>2.8087600000000004</v>
      </c>
      <c r="I146" s="263">
        <f>+'PROYECCIÓN GENERACIÓN'!Z146</f>
        <v>2.8694799999999998</v>
      </c>
      <c r="J146" s="824">
        <f>IF($B146="AMBA",Datos_caracteriz!$D$7,IF($F146&lt;=15000,Datos_caracteriz!$I$7,IF($F146&lt;=50000,Datos_caracteriz!$H$7,IF($F146&lt;=300000,Datos_caracteriz!$G$7,IF($F146&lt;=500000,Datos_caracteriz!$F$7,Datos_caracteriz!$E$7)))))</f>
        <v>5</v>
      </c>
      <c r="K146" s="824">
        <f>IF($B146="AMBA",Datos_caracteriz!$D$8,IF($F146&lt;=15000,Datos_caracteriz!$I$8,IF($F146&lt;=50000,Datos_caracteriz!$H$8,IF($F146&lt;=300000,Datos_caracteriz!$G$8,IF($F146&lt;=500000,Datos_caracteriz!$F$8,Datos_caracteriz!$E$8)))))</f>
        <v>16</v>
      </c>
      <c r="L146" s="824">
        <f>IF($B146="AMBA",Datos_caracteriz!$D$9,IF($F146&lt;=15000,Datos_caracteriz!$I$9,IF($F146&lt;=50000,Datos_caracteriz!$H$9,IF($F146&lt;=300000,Datos_caracteriz!$G$9,IF($F146&lt;=500000,Datos_caracteriz!$F$9,Datos_caracteriz!$E$9)))))</f>
        <v>8</v>
      </c>
      <c r="M146" s="824">
        <f>IF($B146="AMBA",Datos_caracteriz!$D$10,IF($F146&lt;=15000,Datos_caracteriz!$I$10,IF($F146&lt;=50000,Datos_caracteriz!$H$10,IF($F146&lt;=300000,Datos_caracteriz!$G$10,IF($F146&lt;=500000,Datos_caracteriz!$F$10,Datos_caracteriz!$E$10)))))</f>
        <v>3</v>
      </c>
      <c r="N146" s="824">
        <f>IF($B146="AMBA",Datos_caracteriz!$D$11,IF($F146&lt;=15000,Datos_caracteriz!$I$11,IF($F146&lt;=50000,Datos_caracteriz!$H$11,IF($F146&lt;=300000,Datos_caracteriz!$G$11,IF($F146&lt;=500000,Datos_caracteriz!$F$11,Datos_caracteriz!$E$11)))))</f>
        <v>4</v>
      </c>
    </row>
    <row r="147" spans="1:14" ht="24.95" customHeight="1">
      <c r="A147" s="834">
        <f t="shared" si="2"/>
        <v>143</v>
      </c>
      <c r="B147" s="836"/>
      <c r="C147" s="71" t="str">
        <f>+Pobl_adoptada!A147</f>
        <v>General Arenales</v>
      </c>
      <c r="D147" s="70">
        <f>+Pobl_adoptada!B147</f>
        <v>143</v>
      </c>
      <c r="E147" s="353" t="str">
        <f>+Pobl_adoptada!C147</f>
        <v>Ascensión</v>
      </c>
      <c r="F147" s="817">
        <f>Pobl_adoptada!Q147</f>
        <v>4515</v>
      </c>
      <c r="G147" s="817">
        <f>Pobl_adoptada!AA147</f>
        <v>4643</v>
      </c>
      <c r="H147" s="263">
        <f>+'PROYECCIÓN GENERACIÓN'!P147</f>
        <v>4.1538000000000004</v>
      </c>
      <c r="I147" s="263">
        <f>+'PROYECCIÓN GENERACIÓN'!Z147</f>
        <v>4.27156</v>
      </c>
      <c r="J147" s="824">
        <f>IF($B147="AMBA",Datos_caracteriz!$D$7,IF($F147&lt;=15000,Datos_caracteriz!$I$7,IF($F147&lt;=50000,Datos_caracteriz!$H$7,IF($F147&lt;=300000,Datos_caracteriz!$G$7,IF($F147&lt;=500000,Datos_caracteriz!$F$7,Datos_caracteriz!$E$7)))))</f>
        <v>5</v>
      </c>
      <c r="K147" s="824">
        <f>IF($B147="AMBA",Datos_caracteriz!$D$8,IF($F147&lt;=15000,Datos_caracteriz!$I$8,IF($F147&lt;=50000,Datos_caracteriz!$H$8,IF($F147&lt;=300000,Datos_caracteriz!$G$8,IF($F147&lt;=500000,Datos_caracteriz!$F$8,Datos_caracteriz!$E$8)))))</f>
        <v>16</v>
      </c>
      <c r="L147" s="824">
        <f>IF($B147="AMBA",Datos_caracteriz!$D$9,IF($F147&lt;=15000,Datos_caracteriz!$I$9,IF($F147&lt;=50000,Datos_caracteriz!$H$9,IF($F147&lt;=300000,Datos_caracteriz!$G$9,IF($F147&lt;=500000,Datos_caracteriz!$F$9,Datos_caracteriz!$E$9)))))</f>
        <v>8</v>
      </c>
      <c r="M147" s="824">
        <f>IF($B147="AMBA",Datos_caracteriz!$D$10,IF($F147&lt;=15000,Datos_caracteriz!$I$10,IF($F147&lt;=50000,Datos_caracteriz!$H$10,IF($F147&lt;=300000,Datos_caracteriz!$G$10,IF($F147&lt;=500000,Datos_caracteriz!$F$10,Datos_caracteriz!$E$10)))))</f>
        <v>3</v>
      </c>
      <c r="N147" s="824">
        <f>IF($B147="AMBA",Datos_caracteriz!$D$11,IF($F147&lt;=15000,Datos_caracteriz!$I$11,IF($F147&lt;=50000,Datos_caracteriz!$H$11,IF($F147&lt;=300000,Datos_caracteriz!$G$11,IF($F147&lt;=500000,Datos_caracteriz!$F$11,Datos_caracteriz!$E$11)))))</f>
        <v>4</v>
      </c>
    </row>
    <row r="148" spans="1:14" ht="24.95" customHeight="1">
      <c r="A148" s="834">
        <f t="shared" si="2"/>
        <v>144</v>
      </c>
      <c r="B148" s="836"/>
      <c r="C148" s="71" t="str">
        <f>+Pobl_adoptada!A148</f>
        <v>General Guido</v>
      </c>
      <c r="D148" s="70">
        <f>+Pobl_adoptada!B148</f>
        <v>144</v>
      </c>
      <c r="E148" s="353" t="str">
        <f>+Pobl_adoptada!C148</f>
        <v>Labarden</v>
      </c>
      <c r="F148" s="817">
        <f>Pobl_adoptada!Q148</f>
        <v>746</v>
      </c>
      <c r="G148" s="817">
        <f>Pobl_adoptada!AA148</f>
        <v>726</v>
      </c>
      <c r="H148" s="263">
        <f>+'PROYECCIÓN GENERACIÓN'!P148</f>
        <v>0.68632000000000004</v>
      </c>
      <c r="I148" s="263">
        <f>+'PROYECCIÓN GENERACIÓN'!Z148</f>
        <v>0.66792000000000007</v>
      </c>
      <c r="J148" s="824">
        <f>IF($B148="AMBA",Datos_caracteriz!$D$7,IF($F148&lt;=15000,Datos_caracteriz!$I$7,IF($F148&lt;=50000,Datos_caracteriz!$H$7,IF($F148&lt;=300000,Datos_caracteriz!$G$7,IF($F148&lt;=500000,Datos_caracteriz!$F$7,Datos_caracteriz!$E$7)))))</f>
        <v>5</v>
      </c>
      <c r="K148" s="824">
        <f>IF($B148="AMBA",Datos_caracteriz!$D$8,IF($F148&lt;=15000,Datos_caracteriz!$I$8,IF($F148&lt;=50000,Datos_caracteriz!$H$8,IF($F148&lt;=300000,Datos_caracteriz!$G$8,IF($F148&lt;=500000,Datos_caracteriz!$F$8,Datos_caracteriz!$E$8)))))</f>
        <v>16</v>
      </c>
      <c r="L148" s="824">
        <f>IF($B148="AMBA",Datos_caracteriz!$D$9,IF($F148&lt;=15000,Datos_caracteriz!$I$9,IF($F148&lt;=50000,Datos_caracteriz!$H$9,IF($F148&lt;=300000,Datos_caracteriz!$G$9,IF($F148&lt;=500000,Datos_caracteriz!$F$9,Datos_caracteriz!$E$9)))))</f>
        <v>8</v>
      </c>
      <c r="M148" s="824">
        <f>IF($B148="AMBA",Datos_caracteriz!$D$10,IF($F148&lt;=15000,Datos_caracteriz!$I$10,IF($F148&lt;=50000,Datos_caracteriz!$H$10,IF($F148&lt;=300000,Datos_caracteriz!$G$10,IF($F148&lt;=500000,Datos_caracteriz!$F$10,Datos_caracteriz!$E$10)))))</f>
        <v>3</v>
      </c>
      <c r="N148" s="824">
        <f>IF($B148="AMBA",Datos_caracteriz!$D$11,IF($F148&lt;=15000,Datos_caracteriz!$I$11,IF($F148&lt;=50000,Datos_caracteriz!$H$11,IF($F148&lt;=300000,Datos_caracteriz!$G$11,IF($F148&lt;=500000,Datos_caracteriz!$F$11,Datos_caracteriz!$E$11)))))</f>
        <v>4</v>
      </c>
    </row>
    <row r="149" spans="1:14" ht="24.95" customHeight="1">
      <c r="A149" s="834">
        <f t="shared" si="2"/>
        <v>145</v>
      </c>
      <c r="B149" s="836"/>
      <c r="C149" s="71" t="str">
        <f>+Pobl_adoptada!A149</f>
        <v>General Lavalle</v>
      </c>
      <c r="D149" s="70">
        <f>+Pobl_adoptada!B149</f>
        <v>145</v>
      </c>
      <c r="E149" s="353" t="str">
        <f>+Pobl_adoptada!C149</f>
        <v>Pavón</v>
      </c>
      <c r="F149" s="817">
        <f>Pobl_adoptada!Q149</f>
        <v>1698</v>
      </c>
      <c r="G149" s="817">
        <f>Pobl_adoptada!AA149</f>
        <v>2149</v>
      </c>
      <c r="H149" s="263">
        <f>+'PROYECCIÓN GENERACIÓN'!P149</f>
        <v>1.56216</v>
      </c>
      <c r="I149" s="263">
        <f>+'PROYECCIÓN GENERACIÓN'!Z149</f>
        <v>1.9770800000000002</v>
      </c>
      <c r="J149" s="824">
        <f>IF($B149="AMBA",Datos_caracteriz!$D$7,IF($F149&lt;=15000,Datos_caracteriz!$I$7,IF($F149&lt;=50000,Datos_caracteriz!$H$7,IF($F149&lt;=300000,Datos_caracteriz!$G$7,IF($F149&lt;=500000,Datos_caracteriz!$F$7,Datos_caracteriz!$E$7)))))</f>
        <v>5</v>
      </c>
      <c r="K149" s="824">
        <f>IF($B149="AMBA",Datos_caracteriz!$D$8,IF($F149&lt;=15000,Datos_caracteriz!$I$8,IF($F149&lt;=50000,Datos_caracteriz!$H$8,IF($F149&lt;=300000,Datos_caracteriz!$G$8,IF($F149&lt;=500000,Datos_caracteriz!$F$8,Datos_caracteriz!$E$8)))))</f>
        <v>16</v>
      </c>
      <c r="L149" s="824">
        <f>IF($B149="AMBA",Datos_caracteriz!$D$9,IF($F149&lt;=15000,Datos_caracteriz!$I$9,IF($F149&lt;=50000,Datos_caracteriz!$H$9,IF($F149&lt;=300000,Datos_caracteriz!$G$9,IF($F149&lt;=500000,Datos_caracteriz!$F$9,Datos_caracteriz!$E$9)))))</f>
        <v>8</v>
      </c>
      <c r="M149" s="824">
        <f>IF($B149="AMBA",Datos_caracteriz!$D$10,IF($F149&lt;=15000,Datos_caracteriz!$I$10,IF($F149&lt;=50000,Datos_caracteriz!$H$10,IF($F149&lt;=300000,Datos_caracteriz!$G$10,IF($F149&lt;=500000,Datos_caracteriz!$F$10,Datos_caracteriz!$E$10)))))</f>
        <v>3</v>
      </c>
      <c r="N149" s="824">
        <f>IF($B149="AMBA",Datos_caracteriz!$D$11,IF($F149&lt;=15000,Datos_caracteriz!$I$11,IF($F149&lt;=50000,Datos_caracteriz!$H$11,IF($F149&lt;=300000,Datos_caracteriz!$G$11,IF($F149&lt;=500000,Datos_caracteriz!$F$11,Datos_caracteriz!$E$11)))))</f>
        <v>4</v>
      </c>
    </row>
    <row r="150" spans="1:14" ht="24.95" customHeight="1">
      <c r="A150" s="834">
        <f t="shared" si="2"/>
        <v>146</v>
      </c>
      <c r="B150" s="836"/>
      <c r="C150" s="71" t="str">
        <f>+Pobl_adoptada!A150</f>
        <v>Guaminí</v>
      </c>
      <c r="D150" s="70">
        <f>+Pobl_adoptada!B150</f>
        <v>146</v>
      </c>
      <c r="E150" s="353" t="str">
        <f>+Pobl_adoptada!C150</f>
        <v>Casbas</v>
      </c>
      <c r="F150" s="817">
        <f>Pobl_adoptada!Q150</f>
        <v>5102</v>
      </c>
      <c r="G150" s="817">
        <f>Pobl_adoptada!AA150</f>
        <v>5376</v>
      </c>
      <c r="H150" s="263">
        <f>+'PROYECCIÓN GENERACIÓN'!P150</f>
        <v>4.6938399999999998</v>
      </c>
      <c r="I150" s="263">
        <f>+'PROYECCIÓN GENERACIÓN'!Z150</f>
        <v>4.9459200000000001</v>
      </c>
      <c r="J150" s="824">
        <f>IF($B150="AMBA",Datos_caracteriz!$D$7,IF($F150&lt;=15000,Datos_caracteriz!$I$7,IF($F150&lt;=50000,Datos_caracteriz!$H$7,IF($F150&lt;=300000,Datos_caracteriz!$G$7,IF($F150&lt;=500000,Datos_caracteriz!$F$7,Datos_caracteriz!$E$7)))))</f>
        <v>5</v>
      </c>
      <c r="K150" s="824">
        <f>IF($B150="AMBA",Datos_caracteriz!$D$8,IF($F150&lt;=15000,Datos_caracteriz!$I$8,IF($F150&lt;=50000,Datos_caracteriz!$H$8,IF($F150&lt;=300000,Datos_caracteriz!$G$8,IF($F150&lt;=500000,Datos_caracteriz!$F$8,Datos_caracteriz!$E$8)))))</f>
        <v>16</v>
      </c>
      <c r="L150" s="824">
        <f>IF($B150="AMBA",Datos_caracteriz!$D$9,IF($F150&lt;=15000,Datos_caracteriz!$I$9,IF($F150&lt;=50000,Datos_caracteriz!$H$9,IF($F150&lt;=300000,Datos_caracteriz!$G$9,IF($F150&lt;=500000,Datos_caracteriz!$F$9,Datos_caracteriz!$E$9)))))</f>
        <v>8</v>
      </c>
      <c r="M150" s="824">
        <f>IF($B150="AMBA",Datos_caracteriz!$D$10,IF($F150&lt;=15000,Datos_caracteriz!$I$10,IF($F150&lt;=50000,Datos_caracteriz!$H$10,IF($F150&lt;=300000,Datos_caracteriz!$G$10,IF($F150&lt;=500000,Datos_caracteriz!$F$10,Datos_caracteriz!$E$10)))))</f>
        <v>3</v>
      </c>
      <c r="N150" s="824">
        <f>IF($B150="AMBA",Datos_caracteriz!$D$11,IF($F150&lt;=15000,Datos_caracteriz!$I$11,IF($F150&lt;=50000,Datos_caracteriz!$H$11,IF($F150&lt;=300000,Datos_caracteriz!$G$11,IF($F150&lt;=500000,Datos_caracteriz!$F$11,Datos_caracteriz!$E$11)))))</f>
        <v>4</v>
      </c>
    </row>
    <row r="151" spans="1:14" ht="24.95" customHeight="1">
      <c r="A151" s="834">
        <f t="shared" si="2"/>
        <v>147</v>
      </c>
      <c r="B151" s="836"/>
      <c r="C151" s="71" t="str">
        <f>+Pobl_adoptada!A151</f>
        <v>La Costa</v>
      </c>
      <c r="D151" s="70">
        <f>+Pobl_adoptada!B151</f>
        <v>147</v>
      </c>
      <c r="E151" s="353" t="str">
        <f>+Pobl_adoptada!C151</f>
        <v>San Clemente del Tuyú</v>
      </c>
      <c r="F151" s="817">
        <f>Pobl_adoptada!Q151</f>
        <v>41333</v>
      </c>
      <c r="G151" s="817">
        <f>Pobl_adoptada!AA151</f>
        <v>50920</v>
      </c>
      <c r="H151" s="263">
        <f>+'PROYECCIÓN GENERACIÓN'!P151</f>
        <v>43.812980000000003</v>
      </c>
      <c r="I151" s="263">
        <f>+'PROYECCIÓN GENERACIÓN'!Z151</f>
        <v>53.975200000000001</v>
      </c>
      <c r="J151" s="824">
        <f>IF($B151="AMBA",Datos_caracteriz!$D$7,IF($F151&lt;=15000,Datos_caracteriz!$I$7,IF($F151&lt;=50000,Datos_caracteriz!$H$7,IF($F151&lt;=300000,Datos_caracteriz!$G$7,IF($F151&lt;=500000,Datos_caracteriz!$F$7,Datos_caracteriz!$E$7)))))</f>
        <v>6.3576075694443857</v>
      </c>
      <c r="K151" s="824">
        <f>IF($B151="AMBA",Datos_caracteriz!$D$8,IF($F151&lt;=15000,Datos_caracteriz!$I$8,IF($F151&lt;=50000,Datos_caracteriz!$H$8,IF($F151&lt;=300000,Datos_caracteriz!$G$8,IF($F151&lt;=500000,Datos_caracteriz!$F$8,Datos_caracteriz!$E$8)))))</f>
        <v>19.857028624999995</v>
      </c>
      <c r="L151" s="824">
        <f>IF($B151="AMBA",Datos_caracteriz!$D$9,IF($F151&lt;=15000,Datos_caracteriz!$I$9,IF($F151&lt;=50000,Datos_caracteriz!$H$9,IF($F151&lt;=300000,Datos_caracteriz!$G$9,IF($F151&lt;=500000,Datos_caracteriz!$F$9,Datos_caracteriz!$E$9)))))</f>
        <v>8.6582911527777497</v>
      </c>
      <c r="M151" s="824">
        <f>IF($B151="AMBA",Datos_caracteriz!$D$10,IF($F151&lt;=15000,Datos_caracteriz!$I$10,IF($F151&lt;=50000,Datos_caracteriz!$H$10,IF($F151&lt;=300000,Datos_caracteriz!$G$10,IF($F151&lt;=500000,Datos_caracteriz!$F$10,Datos_caracteriz!$E$10)))))</f>
        <v>4.1876249722221894</v>
      </c>
      <c r="N151" s="824">
        <f>IF($B151="AMBA",Datos_caracteriz!$D$11,IF($F151&lt;=15000,Datos_caracteriz!$I$11,IF($F151&lt;=50000,Datos_caracteriz!$H$11,IF($F151&lt;=300000,Datos_caracteriz!$G$11,IF($F151&lt;=500000,Datos_caracteriz!$F$11,Datos_caracteriz!$E$11)))))</f>
        <v>4.5702066666666639</v>
      </c>
    </row>
    <row r="152" spans="1:14" ht="24.95" customHeight="1">
      <c r="A152" s="834">
        <f t="shared" si="2"/>
        <v>148</v>
      </c>
      <c r="B152" s="836"/>
      <c r="C152" s="71" t="str">
        <f>+Pobl_adoptada!A152</f>
        <v>Leandro N. Alem</v>
      </c>
      <c r="D152" s="70">
        <f>+Pobl_adoptada!B152</f>
        <v>148</v>
      </c>
      <c r="E152" s="353" t="str">
        <f>+Pobl_adoptada!C152</f>
        <v>Juan Bautista Alberdi</v>
      </c>
      <c r="F152" s="817">
        <f>Pobl_adoptada!Q152</f>
        <v>3401</v>
      </c>
      <c r="G152" s="817">
        <f>Pobl_adoptada!AA152</f>
        <v>3396</v>
      </c>
      <c r="H152" s="263">
        <f>+'PROYECCIÓN GENERACIÓN'!P152</f>
        <v>3.1289199999999999</v>
      </c>
      <c r="I152" s="263">
        <f>+'PROYECCIÓN GENERACIÓN'!Z152</f>
        <v>3.12432</v>
      </c>
      <c r="J152" s="824">
        <f>IF($B152="AMBA",Datos_caracteriz!$D$7,IF($F152&lt;=15000,Datos_caracteriz!$I$7,IF($F152&lt;=50000,Datos_caracteriz!$H$7,IF($F152&lt;=300000,Datos_caracteriz!$G$7,IF($F152&lt;=500000,Datos_caracteriz!$F$7,Datos_caracteriz!$E$7)))))</f>
        <v>5</v>
      </c>
      <c r="K152" s="824">
        <f>IF($B152="AMBA",Datos_caracteriz!$D$8,IF($F152&lt;=15000,Datos_caracteriz!$I$8,IF($F152&lt;=50000,Datos_caracteriz!$H$8,IF($F152&lt;=300000,Datos_caracteriz!$G$8,IF($F152&lt;=500000,Datos_caracteriz!$F$8,Datos_caracteriz!$E$8)))))</f>
        <v>16</v>
      </c>
      <c r="L152" s="824">
        <f>IF($B152="AMBA",Datos_caracteriz!$D$9,IF($F152&lt;=15000,Datos_caracteriz!$I$9,IF($F152&lt;=50000,Datos_caracteriz!$H$9,IF($F152&lt;=300000,Datos_caracteriz!$G$9,IF($F152&lt;=500000,Datos_caracteriz!$F$9,Datos_caracteriz!$E$9)))))</f>
        <v>8</v>
      </c>
      <c r="M152" s="824">
        <f>IF($B152="AMBA",Datos_caracteriz!$D$10,IF($F152&lt;=15000,Datos_caracteriz!$I$10,IF($F152&lt;=50000,Datos_caracteriz!$H$10,IF($F152&lt;=300000,Datos_caracteriz!$G$10,IF($F152&lt;=500000,Datos_caracteriz!$F$10,Datos_caracteriz!$E$10)))))</f>
        <v>3</v>
      </c>
      <c r="N152" s="824">
        <f>IF($B152="AMBA",Datos_caracteriz!$D$11,IF($F152&lt;=15000,Datos_caracteriz!$I$11,IF($F152&lt;=50000,Datos_caracteriz!$H$11,IF($F152&lt;=300000,Datos_caracteriz!$G$11,IF($F152&lt;=500000,Datos_caracteriz!$F$11,Datos_caracteriz!$E$11)))))</f>
        <v>4</v>
      </c>
    </row>
    <row r="153" spans="1:14" ht="24.95" customHeight="1">
      <c r="A153" s="834">
        <f t="shared" si="2"/>
        <v>149</v>
      </c>
      <c r="B153" s="836"/>
      <c r="C153" s="71" t="str">
        <f>+Pobl_adoptada!A153</f>
        <v>Mar Chiquita</v>
      </c>
      <c r="D153" s="70">
        <f>+Pobl_adoptada!B153</f>
        <v>149</v>
      </c>
      <c r="E153" s="353" t="str">
        <f>+Pobl_adoptada!C153</f>
        <v>Santa Clara del Mar</v>
      </c>
      <c r="F153" s="817">
        <f>Pobl_adoptada!Q153</f>
        <v>35136</v>
      </c>
      <c r="G153" s="817">
        <f>Pobl_adoptada!AA153</f>
        <v>54405</v>
      </c>
      <c r="H153" s="263">
        <f>+'PROYECCIÓN GENERACIÓN'!P153</f>
        <v>37.244160000000001</v>
      </c>
      <c r="I153" s="263">
        <f>+'PROYECCIÓN GENERACIÓN'!Z153</f>
        <v>57.6693</v>
      </c>
      <c r="J153" s="824">
        <f>IF($B153="AMBA",Datos_caracteriz!$D$7,IF($F153&lt;=15000,Datos_caracteriz!$I$7,IF($F153&lt;=50000,Datos_caracteriz!$H$7,IF($F153&lt;=300000,Datos_caracteriz!$G$7,IF($F153&lt;=500000,Datos_caracteriz!$F$7,Datos_caracteriz!$E$7)))))</f>
        <v>6.3576075694443857</v>
      </c>
      <c r="K153" s="824">
        <f>IF($B153="AMBA",Datos_caracteriz!$D$8,IF($F153&lt;=15000,Datos_caracteriz!$I$8,IF($F153&lt;=50000,Datos_caracteriz!$H$8,IF($F153&lt;=300000,Datos_caracteriz!$G$8,IF($F153&lt;=500000,Datos_caracteriz!$F$8,Datos_caracteriz!$E$8)))))</f>
        <v>19.857028624999995</v>
      </c>
      <c r="L153" s="824">
        <f>IF($B153="AMBA",Datos_caracteriz!$D$9,IF($F153&lt;=15000,Datos_caracteriz!$I$9,IF($F153&lt;=50000,Datos_caracteriz!$H$9,IF($F153&lt;=300000,Datos_caracteriz!$G$9,IF($F153&lt;=500000,Datos_caracteriz!$F$9,Datos_caracteriz!$E$9)))))</f>
        <v>8.6582911527777497</v>
      </c>
      <c r="M153" s="824">
        <f>IF($B153="AMBA",Datos_caracteriz!$D$10,IF($F153&lt;=15000,Datos_caracteriz!$I$10,IF($F153&lt;=50000,Datos_caracteriz!$H$10,IF($F153&lt;=300000,Datos_caracteriz!$G$10,IF($F153&lt;=500000,Datos_caracteriz!$F$10,Datos_caracteriz!$E$10)))))</f>
        <v>4.1876249722221894</v>
      </c>
      <c r="N153" s="824">
        <f>IF($B153="AMBA",Datos_caracteriz!$D$11,IF($F153&lt;=15000,Datos_caracteriz!$I$11,IF($F153&lt;=50000,Datos_caracteriz!$H$11,IF($F153&lt;=300000,Datos_caracteriz!$G$11,IF($F153&lt;=500000,Datos_caracteriz!$F$11,Datos_caracteriz!$E$11)))))</f>
        <v>4.5702066666666639</v>
      </c>
    </row>
    <row r="154" spans="1:14" ht="24.95" customHeight="1">
      <c r="A154" s="834">
        <f t="shared" si="2"/>
        <v>150</v>
      </c>
      <c r="B154" s="836"/>
      <c r="C154" s="71" t="str">
        <f>+Pobl_adoptada!A154</f>
        <v>Puán</v>
      </c>
      <c r="D154" s="70">
        <f>+Pobl_adoptada!B154</f>
        <v>150</v>
      </c>
      <c r="E154" s="353" t="str">
        <f>+Pobl_adoptada!C154</f>
        <v>Darregueira</v>
      </c>
      <c r="F154" s="817">
        <f>Pobl_adoptada!Q154</f>
        <v>5776</v>
      </c>
      <c r="G154" s="817">
        <f>Pobl_adoptada!AA154</f>
        <v>5870</v>
      </c>
      <c r="H154" s="263">
        <f>+'PROYECCIÓN GENERACIÓN'!P154</f>
        <v>5.3139200000000004</v>
      </c>
      <c r="I154" s="263">
        <f>+'PROYECCIÓN GENERACIÓN'!Z154</f>
        <v>5.4004000000000003</v>
      </c>
      <c r="J154" s="824">
        <f>IF($B154="AMBA",Datos_caracteriz!$D$7,IF($F154&lt;=15000,Datos_caracteriz!$I$7,IF($F154&lt;=50000,Datos_caracteriz!$H$7,IF($F154&lt;=300000,Datos_caracteriz!$G$7,IF($F154&lt;=500000,Datos_caracteriz!$F$7,Datos_caracteriz!$E$7)))))</f>
        <v>5</v>
      </c>
      <c r="K154" s="824">
        <f>IF($B154="AMBA",Datos_caracteriz!$D$8,IF($F154&lt;=15000,Datos_caracteriz!$I$8,IF($F154&lt;=50000,Datos_caracteriz!$H$8,IF($F154&lt;=300000,Datos_caracteriz!$G$8,IF($F154&lt;=500000,Datos_caracteriz!$F$8,Datos_caracteriz!$E$8)))))</f>
        <v>16</v>
      </c>
      <c r="L154" s="824">
        <f>IF($B154="AMBA",Datos_caracteriz!$D$9,IF($F154&lt;=15000,Datos_caracteriz!$I$9,IF($F154&lt;=50000,Datos_caracteriz!$H$9,IF($F154&lt;=300000,Datos_caracteriz!$G$9,IF($F154&lt;=500000,Datos_caracteriz!$F$9,Datos_caracteriz!$E$9)))))</f>
        <v>8</v>
      </c>
      <c r="M154" s="824">
        <f>IF($B154="AMBA",Datos_caracteriz!$D$10,IF($F154&lt;=15000,Datos_caracteriz!$I$10,IF($F154&lt;=50000,Datos_caracteriz!$H$10,IF($F154&lt;=300000,Datos_caracteriz!$G$10,IF($F154&lt;=500000,Datos_caracteriz!$F$10,Datos_caracteriz!$E$10)))))</f>
        <v>3</v>
      </c>
      <c r="N154" s="824">
        <f>IF($B154="AMBA",Datos_caracteriz!$D$11,IF($F154&lt;=15000,Datos_caracteriz!$I$11,IF($F154&lt;=50000,Datos_caracteriz!$H$11,IF($F154&lt;=300000,Datos_caracteriz!$G$11,IF($F154&lt;=500000,Datos_caracteriz!$F$11,Datos_caracteriz!$E$11)))))</f>
        <v>4</v>
      </c>
    </row>
    <row r="155" spans="1:14" ht="24.95" customHeight="1">
      <c r="A155" s="834">
        <f t="shared" si="2"/>
        <v>151</v>
      </c>
      <c r="B155" s="836"/>
      <c r="C155" s="71" t="str">
        <f>+Pobl_adoptada!A155</f>
        <v>Ramallo</v>
      </c>
      <c r="D155" s="70">
        <f>+Pobl_adoptada!B155</f>
        <v>151</v>
      </c>
      <c r="E155" s="353" t="str">
        <f>+Pobl_adoptada!C155</f>
        <v>Villa Ramallo</v>
      </c>
      <c r="F155" s="817">
        <f>Pobl_adoptada!Q155</f>
        <v>13601</v>
      </c>
      <c r="G155" s="817">
        <f>Pobl_adoptada!AA155</f>
        <v>14657</v>
      </c>
      <c r="H155" s="263">
        <f>+'PROYECCIÓN GENERACIÓN'!P155</f>
        <v>12.512919999999999</v>
      </c>
      <c r="I155" s="263">
        <f>+'PROYECCIÓN GENERACIÓN'!Z155</f>
        <v>13.484440000000001</v>
      </c>
      <c r="J155" s="824">
        <f>IF($B155="AMBA",Datos_caracteriz!$D$7,IF($F155&lt;=15000,Datos_caracteriz!$I$7,IF($F155&lt;=50000,Datos_caracteriz!$H$7,IF($F155&lt;=300000,Datos_caracteriz!$G$7,IF($F155&lt;=500000,Datos_caracteriz!$F$7,Datos_caracteriz!$E$7)))))</f>
        <v>5</v>
      </c>
      <c r="K155" s="824">
        <f>IF($B155="AMBA",Datos_caracteriz!$D$8,IF($F155&lt;=15000,Datos_caracteriz!$I$8,IF($F155&lt;=50000,Datos_caracteriz!$H$8,IF($F155&lt;=300000,Datos_caracteriz!$G$8,IF($F155&lt;=500000,Datos_caracteriz!$F$8,Datos_caracteriz!$E$8)))))</f>
        <v>16</v>
      </c>
      <c r="L155" s="824">
        <f>IF($B155="AMBA",Datos_caracteriz!$D$9,IF($F155&lt;=15000,Datos_caracteriz!$I$9,IF($F155&lt;=50000,Datos_caracteriz!$H$9,IF($F155&lt;=300000,Datos_caracteriz!$G$9,IF($F155&lt;=500000,Datos_caracteriz!$F$9,Datos_caracteriz!$E$9)))))</f>
        <v>8</v>
      </c>
      <c r="M155" s="824">
        <f>IF($B155="AMBA",Datos_caracteriz!$D$10,IF($F155&lt;=15000,Datos_caracteriz!$I$10,IF($F155&lt;=50000,Datos_caracteriz!$H$10,IF($F155&lt;=300000,Datos_caracteriz!$G$10,IF($F155&lt;=500000,Datos_caracteriz!$F$10,Datos_caracteriz!$E$10)))))</f>
        <v>3</v>
      </c>
      <c r="N155" s="824">
        <f>IF($B155="AMBA",Datos_caracteriz!$D$11,IF($F155&lt;=15000,Datos_caracteriz!$I$11,IF($F155&lt;=50000,Datos_caracteriz!$H$11,IF($F155&lt;=300000,Datos_caracteriz!$G$11,IF($F155&lt;=500000,Datos_caracteriz!$F$11,Datos_caracteriz!$E$11)))))</f>
        <v>4</v>
      </c>
    </row>
    <row r="156" spans="1:14" ht="24.95" customHeight="1">
      <c r="A156" s="834">
        <f t="shared" si="2"/>
        <v>152</v>
      </c>
      <c r="B156" s="836"/>
      <c r="C156" s="71" t="str">
        <f>+Pobl_adoptada!A156</f>
        <v>Tornquist</v>
      </c>
      <c r="D156" s="70">
        <f>+Pobl_adoptada!B156</f>
        <v>152</v>
      </c>
      <c r="E156" s="353" t="str">
        <f>+Pobl_adoptada!C156</f>
        <v>Sierra de la Ventana</v>
      </c>
      <c r="F156" s="817">
        <f>Pobl_adoptada!Q156</f>
        <v>5847</v>
      </c>
      <c r="G156" s="817">
        <f>Pobl_adoptada!AA156</f>
        <v>8700</v>
      </c>
      <c r="H156" s="263">
        <f>+'PROYECCIÓN GENERACIÓN'!P156</f>
        <v>5.3792399999999994</v>
      </c>
      <c r="I156" s="263">
        <f>+'PROYECCIÓN GENERACIÓN'!Z156</f>
        <v>8.0039999999999996</v>
      </c>
      <c r="J156" s="824">
        <f>IF($B156="AMBA",Datos_caracteriz!$D$7,IF($F156&lt;=15000,Datos_caracteriz!$I$7,IF($F156&lt;=50000,Datos_caracteriz!$H$7,IF($F156&lt;=300000,Datos_caracteriz!$G$7,IF($F156&lt;=500000,Datos_caracteriz!$F$7,Datos_caracteriz!$E$7)))))</f>
        <v>5</v>
      </c>
      <c r="K156" s="824">
        <f>IF($B156="AMBA",Datos_caracteriz!$D$8,IF($F156&lt;=15000,Datos_caracteriz!$I$8,IF($F156&lt;=50000,Datos_caracteriz!$H$8,IF($F156&lt;=300000,Datos_caracteriz!$G$8,IF($F156&lt;=500000,Datos_caracteriz!$F$8,Datos_caracteriz!$E$8)))))</f>
        <v>16</v>
      </c>
      <c r="L156" s="824">
        <f>IF($B156="AMBA",Datos_caracteriz!$D$9,IF($F156&lt;=15000,Datos_caracteriz!$I$9,IF($F156&lt;=50000,Datos_caracteriz!$H$9,IF($F156&lt;=300000,Datos_caracteriz!$G$9,IF($F156&lt;=500000,Datos_caracteriz!$F$9,Datos_caracteriz!$E$9)))))</f>
        <v>8</v>
      </c>
      <c r="M156" s="824">
        <f>IF($B156="AMBA",Datos_caracteriz!$D$10,IF($F156&lt;=15000,Datos_caracteriz!$I$10,IF($F156&lt;=50000,Datos_caracteriz!$H$10,IF($F156&lt;=300000,Datos_caracteriz!$G$10,IF($F156&lt;=500000,Datos_caracteriz!$F$10,Datos_caracteriz!$E$10)))))</f>
        <v>3</v>
      </c>
      <c r="N156" s="824">
        <f>IF($B156="AMBA",Datos_caracteriz!$D$11,IF($F156&lt;=15000,Datos_caracteriz!$I$11,IF($F156&lt;=50000,Datos_caracteriz!$H$11,IF($F156&lt;=300000,Datos_caracteriz!$G$11,IF($F156&lt;=500000,Datos_caracteriz!$F$11,Datos_caracteriz!$E$11)))))</f>
        <v>4</v>
      </c>
    </row>
    <row r="157" spans="1:14" ht="24.95" customHeight="1">
      <c r="A157" s="834">
        <f t="shared" si="2"/>
        <v>153</v>
      </c>
      <c r="B157" s="836"/>
      <c r="C157" s="71" t="str">
        <f>+Pobl_adoptada!A157</f>
        <v>Villarino</v>
      </c>
      <c r="D157" s="70">
        <f>+Pobl_adoptada!B157</f>
        <v>153</v>
      </c>
      <c r="E157" s="353" t="str">
        <f>+Pobl_adoptada!C157</f>
        <v>Mayor Buratovich</v>
      </c>
      <c r="F157" s="817">
        <f>Pobl_adoptada!Q157</f>
        <v>8954</v>
      </c>
      <c r="G157" s="817">
        <f>Pobl_adoptada!AA157</f>
        <v>10985</v>
      </c>
      <c r="H157" s="263">
        <f>+'PROYECCIÓN GENERACIÓN'!P157</f>
        <v>8.237680000000001</v>
      </c>
      <c r="I157" s="263">
        <f>+'PROYECCIÓN GENERACIÓN'!Z157</f>
        <v>10.106200000000001</v>
      </c>
      <c r="J157" s="824">
        <f>IF($B157="AMBA",Datos_caracteriz!$D$7,IF($F157&lt;=15000,Datos_caracteriz!$I$7,IF($F157&lt;=50000,Datos_caracteriz!$H$7,IF($F157&lt;=300000,Datos_caracteriz!$G$7,IF($F157&lt;=500000,Datos_caracteriz!$F$7,Datos_caracteriz!$E$7)))))</f>
        <v>5</v>
      </c>
      <c r="K157" s="824">
        <f>IF($B157="AMBA",Datos_caracteriz!$D$8,IF($F157&lt;=15000,Datos_caracteriz!$I$8,IF($F157&lt;=50000,Datos_caracteriz!$H$8,IF($F157&lt;=300000,Datos_caracteriz!$G$8,IF($F157&lt;=500000,Datos_caracteriz!$F$8,Datos_caracteriz!$E$8)))))</f>
        <v>16</v>
      </c>
      <c r="L157" s="824">
        <f>IF($B157="AMBA",Datos_caracteriz!$D$9,IF($F157&lt;=15000,Datos_caracteriz!$I$9,IF($F157&lt;=50000,Datos_caracteriz!$H$9,IF($F157&lt;=300000,Datos_caracteriz!$G$9,IF($F157&lt;=500000,Datos_caracteriz!$F$9,Datos_caracteriz!$E$9)))))</f>
        <v>8</v>
      </c>
      <c r="M157" s="824">
        <f>IF($B157="AMBA",Datos_caracteriz!$D$10,IF($F157&lt;=15000,Datos_caracteriz!$I$10,IF($F157&lt;=50000,Datos_caracteriz!$H$10,IF($F157&lt;=300000,Datos_caracteriz!$G$10,IF($F157&lt;=500000,Datos_caracteriz!$F$10,Datos_caracteriz!$E$10)))))</f>
        <v>3</v>
      </c>
      <c r="N157" s="824">
        <f>IF($B157="AMBA",Datos_caracteriz!$D$11,IF($F157&lt;=15000,Datos_caracteriz!$I$11,IF($F157&lt;=50000,Datos_caracteriz!$H$11,IF($F157&lt;=300000,Datos_caracteriz!$G$11,IF($F157&lt;=500000,Datos_caracteriz!$F$11,Datos_caracteriz!$E$11)))))</f>
        <v>4</v>
      </c>
    </row>
    <row r="158" spans="1:14" ht="24.95" customHeight="1">
      <c r="A158" s="834">
        <f t="shared" si="2"/>
        <v>154</v>
      </c>
      <c r="B158" s="836"/>
      <c r="C158" s="71" t="str">
        <f>+Pobl_adoptada!A158</f>
        <v>Villarino</v>
      </c>
      <c r="D158" s="70">
        <f>+Pobl_adoptada!B158</f>
        <v>154</v>
      </c>
      <c r="E158" s="353" t="str">
        <f>+Pobl_adoptada!C158</f>
        <v>Pedro Luro</v>
      </c>
      <c r="F158" s="817">
        <f>Pobl_adoptada!Q158</f>
        <v>25783</v>
      </c>
      <c r="G158" s="817">
        <f>Pobl_adoptada!AA158</f>
        <v>38449</v>
      </c>
      <c r="H158" s="263">
        <f>+'PROYECCIÓN GENERACIÓN'!P158</f>
        <v>27.329979999999999</v>
      </c>
      <c r="I158" s="263">
        <f>+'PROYECCIÓN GENERACIÓN'!Z158</f>
        <v>40.755940000000002</v>
      </c>
      <c r="J158" s="824">
        <f>IF($B158="AMBA",Datos_caracteriz!$D$7,IF($F158&lt;=15000,Datos_caracteriz!$I$7,IF($F158&lt;=50000,Datos_caracteriz!$H$7,IF($F158&lt;=300000,Datos_caracteriz!$G$7,IF($F158&lt;=500000,Datos_caracteriz!$F$7,Datos_caracteriz!$E$7)))))</f>
        <v>6.3576075694443857</v>
      </c>
      <c r="K158" s="824">
        <f>IF($B158="AMBA",Datos_caracteriz!$D$8,IF($F158&lt;=15000,Datos_caracteriz!$I$8,IF($F158&lt;=50000,Datos_caracteriz!$H$8,IF($F158&lt;=300000,Datos_caracteriz!$G$8,IF($F158&lt;=500000,Datos_caracteriz!$F$8,Datos_caracteriz!$E$8)))))</f>
        <v>19.857028624999995</v>
      </c>
      <c r="L158" s="824">
        <f>IF($B158="AMBA",Datos_caracteriz!$D$9,IF($F158&lt;=15000,Datos_caracteriz!$I$9,IF($F158&lt;=50000,Datos_caracteriz!$H$9,IF($F158&lt;=300000,Datos_caracteriz!$G$9,IF($F158&lt;=500000,Datos_caracteriz!$F$9,Datos_caracteriz!$E$9)))))</f>
        <v>8.6582911527777497</v>
      </c>
      <c r="M158" s="824">
        <f>IF($B158="AMBA",Datos_caracteriz!$D$10,IF($F158&lt;=15000,Datos_caracteriz!$I$10,IF($F158&lt;=50000,Datos_caracteriz!$H$10,IF($F158&lt;=300000,Datos_caracteriz!$G$10,IF($F158&lt;=500000,Datos_caracteriz!$F$10,Datos_caracteriz!$E$10)))))</f>
        <v>4.1876249722221894</v>
      </c>
      <c r="N158" s="824">
        <f>IF($B158="AMBA",Datos_caracteriz!$D$11,IF($F158&lt;=15000,Datos_caracteriz!$I$11,IF($F158&lt;=50000,Datos_caracteriz!$H$11,IF($F158&lt;=300000,Datos_caracteriz!$G$11,IF($F158&lt;=500000,Datos_caracteriz!$F$11,Datos_caracteriz!$E$11)))))</f>
        <v>4.5702066666666639</v>
      </c>
    </row>
    <row r="160" spans="1:14">
      <c r="E160" s="108"/>
      <c r="F160" s="108"/>
      <c r="G160" s="108"/>
    </row>
    <row r="161" spans="3:9">
      <c r="E161" s="108"/>
      <c r="F161" s="108"/>
      <c r="G161" s="108"/>
      <c r="H161" s="269"/>
      <c r="I161" s="269"/>
    </row>
    <row r="162" spans="3:9">
      <c r="E162" s="108"/>
      <c r="F162" s="108"/>
      <c r="G162" s="108"/>
      <c r="H162" s="270"/>
      <c r="I162" s="270"/>
    </row>
    <row r="163" spans="3:9">
      <c r="C163" s="271"/>
      <c r="E163" s="272"/>
      <c r="F163" s="272"/>
      <c r="G163" s="272"/>
      <c r="H163" s="113"/>
      <c r="I163" s="113"/>
    </row>
    <row r="164" spans="3:9">
      <c r="H164" s="269"/>
      <c r="I164" s="269"/>
    </row>
    <row r="165" spans="3:9">
      <c r="H165" s="107"/>
      <c r="I165" s="107"/>
    </row>
  </sheetData>
  <mergeCells count="2">
    <mergeCell ref="D4:E4"/>
    <mergeCell ref="J3:N3"/>
  </mergeCells>
  <pageMargins left="0.70866141732283472" right="0.70866141732283472" top="0.55118110236220474" bottom="0.55118110236220474" header="0.31496062992125984" footer="0.31496062992125984"/>
  <pageSetup paperSize="9" scale="58" orientation="landscape" r:id="rId1"/>
  <rowBreaks count="1" manualBreakCount="1">
    <brk id="115" max="1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M37"/>
  <sheetViews>
    <sheetView topLeftCell="C1" workbookViewId="0">
      <pane ySplit="6" topLeftCell="A10" activePane="bottomLeft" state="frozen"/>
      <selection pane="bottomLeft" activeCell="G14" sqref="G14"/>
    </sheetView>
  </sheetViews>
  <sheetFormatPr baseColWidth="10" defaultRowHeight="15"/>
  <cols>
    <col min="1" max="1" width="14.7109375" bestFit="1" customWidth="1"/>
    <col min="3" max="3" width="17.7109375" bestFit="1" customWidth="1"/>
    <col min="4" max="4" width="20.28515625" bestFit="1" customWidth="1"/>
    <col min="5" max="5" width="14.5703125" customWidth="1"/>
    <col min="7" max="7" width="15.28515625" customWidth="1"/>
    <col min="8" max="8" width="16.7109375" bestFit="1" customWidth="1"/>
    <col min="9" max="11" width="15.5703125" bestFit="1" customWidth="1"/>
    <col min="12" max="12" width="12" bestFit="1" customWidth="1"/>
  </cols>
  <sheetData>
    <row r="1" spans="1:13">
      <c r="A1" s="1" t="s">
        <v>773</v>
      </c>
      <c r="B1" s="841"/>
      <c r="C1" s="841"/>
      <c r="D1" s="841"/>
      <c r="E1" s="841"/>
      <c r="F1" s="841"/>
      <c r="G1" s="840"/>
      <c r="H1" s="840"/>
      <c r="I1" s="840"/>
      <c r="J1" s="840"/>
      <c r="K1" s="840"/>
      <c r="L1" s="842"/>
      <c r="M1" s="842"/>
    </row>
    <row r="2" spans="1:13">
      <c r="A2" s="840"/>
      <c r="B2" s="840"/>
      <c r="C2" s="840"/>
      <c r="D2" s="840"/>
      <c r="E2" s="840"/>
      <c r="F2" s="840"/>
      <c r="G2" s="840"/>
      <c r="H2" s="840"/>
      <c r="I2" s="840"/>
      <c r="J2" s="840"/>
      <c r="K2" s="840"/>
      <c r="L2" s="842"/>
      <c r="M2" s="842"/>
    </row>
    <row r="3" spans="1:13">
      <c r="A3" s="1" t="s">
        <v>772</v>
      </c>
      <c r="B3" s="853">
        <f>COUNTA(A7:A30)</f>
        <v>6</v>
      </c>
      <c r="C3" s="840"/>
      <c r="D3" s="840"/>
      <c r="E3" s="840"/>
      <c r="F3" s="840"/>
      <c r="G3" s="840"/>
      <c r="H3" s="840"/>
      <c r="I3" s="840"/>
      <c r="J3" s="840"/>
      <c r="K3" s="840"/>
      <c r="L3" s="842"/>
      <c r="M3" s="842"/>
    </row>
    <row r="4" spans="1:13">
      <c r="A4" s="840"/>
      <c r="B4" s="840"/>
      <c r="C4" s="840"/>
      <c r="D4" s="840"/>
      <c r="E4" s="840"/>
      <c r="F4" s="840"/>
      <c r="G4" s="840"/>
      <c r="H4" s="840"/>
      <c r="I4" s="840"/>
      <c r="J4" s="840"/>
      <c r="K4" s="840"/>
      <c r="L4" s="842"/>
      <c r="M4" s="842"/>
    </row>
    <row r="5" spans="1:13" ht="29.25" customHeight="1">
      <c r="A5" s="840"/>
      <c r="B5" s="840"/>
      <c r="C5" s="840"/>
      <c r="D5" s="840"/>
      <c r="E5" s="840"/>
      <c r="F5" s="840"/>
      <c r="G5" s="840"/>
      <c r="H5" s="992" t="s">
        <v>768</v>
      </c>
      <c r="I5" s="993"/>
      <c r="J5" s="993"/>
      <c r="K5" s="993"/>
      <c r="L5" s="993"/>
      <c r="M5" s="842"/>
    </row>
    <row r="6" spans="1:13" ht="60">
      <c r="A6" s="845" t="s">
        <v>774</v>
      </c>
      <c r="B6" s="845" t="s">
        <v>778</v>
      </c>
      <c r="C6" s="845" t="s">
        <v>28</v>
      </c>
      <c r="D6" s="845" t="s">
        <v>22</v>
      </c>
      <c r="E6" s="845" t="s">
        <v>779</v>
      </c>
      <c r="F6" s="845" t="s">
        <v>776</v>
      </c>
      <c r="G6" s="845" t="s">
        <v>777</v>
      </c>
      <c r="H6" s="846" t="s">
        <v>744</v>
      </c>
      <c r="I6" s="846" t="s">
        <v>745</v>
      </c>
      <c r="J6" s="846" t="s">
        <v>746</v>
      </c>
      <c r="K6" s="846" t="s">
        <v>747</v>
      </c>
      <c r="L6" s="847" t="s">
        <v>748</v>
      </c>
      <c r="M6" s="842"/>
    </row>
    <row r="7" spans="1:13">
      <c r="A7" s="840">
        <v>1</v>
      </c>
      <c r="B7" s="840">
        <f>VLOOKUP($A7,CARACTERIZACIÓN!$A$5:$N$158,CARACTERIZACIÓN!$A$2,FALSE)</f>
        <v>1</v>
      </c>
      <c r="C7" s="840" t="str">
        <f>VLOOKUP($A7,CARACTERIZACIÓN!$A$5:$N$158,CARACTERIZACIÓN!$C$2,FALSE)</f>
        <v>Almirante Brown</v>
      </c>
      <c r="D7" s="840" t="str">
        <f>VLOOKUP($A7,CARACTERIZACIÓN!$A$5:$N$158,CARACTERIZACIÓN!$E$2,FALSE)</f>
        <v>Almirante Brown</v>
      </c>
      <c r="E7" s="844">
        <f>VLOOKUP($A7,CARACTERIZACIÓN!$A$5:$N$158,CARACTERIZACIÓN!$F$2,FALSE)</f>
        <v>675321</v>
      </c>
      <c r="F7" s="843">
        <f>VLOOKUP($A7,CARACTERIZACIÓN!$A$5:$N$158,CARACTERIZACIÓN!$H$2,FALSE)</f>
        <v>952.20260999999994</v>
      </c>
      <c r="G7" s="838">
        <f>+F7/F$31</f>
        <v>0.37850658287805239</v>
      </c>
      <c r="H7" s="843">
        <f>VLOOKUP($A7,CARACTERIZACIÓN!$A$5:$N$158,CARACTERIZACIÓN!$J$2,FALSE)</f>
        <v>4.7585661977037113</v>
      </c>
      <c r="I7" s="843">
        <f>VLOOKUP($A7,CARACTERIZACIÓN!$A$5:$N$158,CARACTERIZACIÓN!$K$2,FALSE)</f>
        <v>18.450712703756722</v>
      </c>
      <c r="J7" s="843">
        <f>VLOOKUP($A7,CARACTERIZACIÓN!$A$5:$N$158,CARACTERIZACIÓN!$L$2,FALSE)</f>
        <v>14.590555502944165</v>
      </c>
      <c r="K7" s="843">
        <f>VLOOKUP($A7,CARACTERIZACIÓN!$A$5:$N$158,CARACTERIZACIÓN!$M$2,FALSE)</f>
        <v>1.9699324061444028</v>
      </c>
      <c r="L7" s="843">
        <f>VLOOKUP($A7,CARACTERIZACIÓN!$A$5:$N$158,CARACTERIZACIÓN!$N$2,FALSE)</f>
        <v>2.8527652470952565</v>
      </c>
      <c r="M7" s="842"/>
    </row>
    <row r="8" spans="1:13">
      <c r="A8" s="840">
        <v>2</v>
      </c>
      <c r="B8" s="840">
        <f>VLOOKUP($A8,CARACTERIZACIÓN!$A$5:$N$158,CARACTERIZACIÓN!$A$2,FALSE)</f>
        <v>2</v>
      </c>
      <c r="C8" s="840" t="str">
        <f>VLOOKUP($A8,CARACTERIZACIÓN!$A$5:$N$158,CARACTERIZACIÓN!$C$2,FALSE)</f>
        <v>Avellaneda</v>
      </c>
      <c r="D8" s="840" t="str">
        <f>VLOOKUP($A8,CARACTERIZACIÓN!$A$5:$N$158,CARACTERIZACIÓN!$E$2,FALSE)</f>
        <v>Avellaneda</v>
      </c>
      <c r="E8" s="844">
        <f>VLOOKUP($A8,CARACTERIZACIÓN!$A$5:$N$158,CARACTERIZACIÓN!$F$2,FALSE)</f>
        <v>413709</v>
      </c>
      <c r="F8" s="843">
        <f>VLOOKUP($A8,CARACTERIZACIÓN!$A$5:$N$158,CARACTERIZACIÓN!$H$2,FALSE)</f>
        <v>583.32968999999991</v>
      </c>
      <c r="G8" s="838">
        <f t="shared" ref="G8:G12" si="0">+F8/F$31</f>
        <v>0.23187725525475464</v>
      </c>
      <c r="H8" s="843">
        <f>VLOOKUP($A8,CARACTERIZACIÓN!$A$5:$N$158,CARACTERIZACIÓN!$J$2,FALSE)</f>
        <v>4.7585661977037113</v>
      </c>
      <c r="I8" s="843">
        <f>VLOOKUP($A8,CARACTERIZACIÓN!$A$5:$N$158,CARACTERIZACIÓN!$K$2,FALSE)</f>
        <v>18.450712703756722</v>
      </c>
      <c r="J8" s="843">
        <f>VLOOKUP($A8,CARACTERIZACIÓN!$A$5:$N$158,CARACTERIZACIÓN!$L$2,FALSE)</f>
        <v>14.590555502944165</v>
      </c>
      <c r="K8" s="843">
        <f>VLOOKUP($A8,CARACTERIZACIÓN!$A$5:$N$158,CARACTERIZACIÓN!$M$2,FALSE)</f>
        <v>1.9699324061444028</v>
      </c>
      <c r="L8" s="843">
        <f>VLOOKUP($A8,CARACTERIZACIÓN!$A$5:$N$158,CARACTERIZACIÓN!$N$2,FALSE)</f>
        <v>2.8527652470952565</v>
      </c>
      <c r="M8" s="842"/>
    </row>
    <row r="9" spans="1:13">
      <c r="A9" s="840">
        <v>4</v>
      </c>
      <c r="B9" s="840">
        <f>VLOOKUP($A9,CARACTERIZACIÓN!$A$5:$N$158,CARACTERIZACIÓN!$A$2,FALSE)</f>
        <v>4</v>
      </c>
      <c r="C9" s="840" t="str">
        <f>VLOOKUP($A9,CARACTERIZACIÓN!$A$5:$N$158,CARACTERIZACIÓN!$C$2,FALSE)</f>
        <v>Esteban Echeverría</v>
      </c>
      <c r="D9" s="840" t="str">
        <f>VLOOKUP($A9,CARACTERIZACIÓN!$A$5:$N$158,CARACTERIZACIÓN!$E$2,FALSE)</f>
        <v>Esteban Echeverría</v>
      </c>
      <c r="E9" s="844">
        <f>VLOOKUP($A9,CARACTERIZACIÓN!$A$5:$N$158,CARACTERIZACIÓN!$F$2,FALSE)</f>
        <v>434101</v>
      </c>
      <c r="F9" s="843">
        <f>VLOOKUP($A9,CARACTERIZACIÓN!$A$5:$N$158,CARACTERIZACIÓN!$H$2,FALSE)</f>
        <v>612.08240999999987</v>
      </c>
      <c r="G9" s="838">
        <f t="shared" si="0"/>
        <v>0.24330664400180863</v>
      </c>
      <c r="H9" s="843">
        <f>VLOOKUP($A9,CARACTERIZACIÓN!$A$5:$N$158,CARACTERIZACIÓN!$J$2,FALSE)</f>
        <v>4.7585661977037113</v>
      </c>
      <c r="I9" s="843">
        <f>VLOOKUP($A9,CARACTERIZACIÓN!$A$5:$N$158,CARACTERIZACIÓN!$K$2,FALSE)</f>
        <v>18.450712703756722</v>
      </c>
      <c r="J9" s="843">
        <f>VLOOKUP($A9,CARACTERIZACIÓN!$A$5:$N$158,CARACTERIZACIÓN!$L$2,FALSE)</f>
        <v>14.590555502944165</v>
      </c>
      <c r="K9" s="843">
        <f>VLOOKUP($A9,CARACTERIZACIÓN!$A$5:$N$158,CARACTERIZACIÓN!$M$2,FALSE)</f>
        <v>1.9699324061444028</v>
      </c>
      <c r="L9" s="843">
        <f>VLOOKUP($A9,CARACTERIZACIÓN!$A$5:$N$158,CARACTERIZACIÓN!$N$2,FALSE)</f>
        <v>2.8527652470952565</v>
      </c>
      <c r="M9" s="842"/>
    </row>
    <row r="10" spans="1:13">
      <c r="A10" s="840">
        <v>20</v>
      </c>
      <c r="B10" s="840">
        <f>VLOOKUP($A10,CARACTERIZACIÓN!$A$5:$N$158,CARACTERIZACIÓN!$A$2,FALSE)</f>
        <v>20</v>
      </c>
      <c r="C10" s="840" t="str">
        <f>VLOOKUP($A10,CARACTERIZACIÓN!$A$5:$N$158,CARACTERIZACIÓN!$C$2,FALSE)</f>
        <v>San Isidro</v>
      </c>
      <c r="D10" s="840" t="str">
        <f>VLOOKUP($A10,CARACTERIZACIÓN!$A$5:$N$158,CARACTERIZACIÓN!$E$2,FALSE)</f>
        <v>San Isidro</v>
      </c>
      <c r="E10" s="844">
        <f>VLOOKUP($A10,CARACTERIZACIÓN!$A$5:$N$158,CARACTERIZACIÓN!$F$2,FALSE)</f>
        <v>299998</v>
      </c>
      <c r="F10" s="843">
        <f>VLOOKUP($A10,CARACTERIZACIÓN!$A$5:$N$158,CARACTERIZACIÓN!$H$2,FALSE)</f>
        <v>305.99796000000003</v>
      </c>
      <c r="G10" s="838">
        <f t="shared" si="0"/>
        <v>0.12163613183884781</v>
      </c>
      <c r="H10" s="843">
        <f>VLOOKUP($A10,CARACTERIZACIÓN!$A$5:$N$158,CARACTERIZACIÓN!$J$2,FALSE)</f>
        <v>4.7585661977037113</v>
      </c>
      <c r="I10" s="843">
        <f>VLOOKUP($A10,CARACTERIZACIÓN!$A$5:$N$158,CARACTERIZACIÓN!$K$2,FALSE)</f>
        <v>18.450712703756722</v>
      </c>
      <c r="J10" s="843">
        <f>VLOOKUP($A10,CARACTERIZACIÓN!$A$5:$N$158,CARACTERIZACIÓN!$L$2,FALSE)</f>
        <v>14.590555502944165</v>
      </c>
      <c r="K10" s="843">
        <f>VLOOKUP($A10,CARACTERIZACIÓN!$A$5:$N$158,CARACTERIZACIÓN!$M$2,FALSE)</f>
        <v>1.9699324061444028</v>
      </c>
      <c r="L10" s="843">
        <f>VLOOKUP($A10,CARACTERIZACIÓN!$A$5:$N$158,CARACTERIZACIÓN!$N$2,FALSE)</f>
        <v>2.8527652470952565</v>
      </c>
      <c r="M10" s="842"/>
    </row>
    <row r="11" spans="1:13">
      <c r="A11" s="840">
        <v>25</v>
      </c>
      <c r="B11" s="840">
        <f>VLOOKUP($A11,CARACTERIZACIÓN!$A$5:$N$158,CARACTERIZACIÓN!$A$2,FALSE)</f>
        <v>25</v>
      </c>
      <c r="C11" s="840" t="str">
        <f>VLOOKUP($A11,CARACTERIZACIÓN!$A$5:$N$158,CARACTERIZACIÓN!$C$2,FALSE)</f>
        <v>25 de Mayo</v>
      </c>
      <c r="D11" s="840" t="str">
        <f>VLOOKUP($A11,CARACTERIZACIÓN!$A$5:$N$158,CARACTERIZACIÓN!$E$2,FALSE)</f>
        <v>25 de Mayo</v>
      </c>
      <c r="E11" s="844">
        <f>VLOOKUP($A11,CARACTERIZACIÓN!$A$5:$N$158,CARACTERIZACIÓN!$F$2,FALSE)</f>
        <v>25868</v>
      </c>
      <c r="F11" s="843">
        <f>VLOOKUP($A11,CARACTERIZACIÓN!$A$5:$N$158,CARACTERIZACIÓN!$H$2,FALSE)</f>
        <v>27.420080000000002</v>
      </c>
      <c r="G11" s="838">
        <f t="shared" si="0"/>
        <v>1.0899655886306411E-2</v>
      </c>
      <c r="H11" s="843">
        <f>VLOOKUP($A11,CARACTERIZACIÓN!$A$5:$N$158,CARACTERIZACIÓN!$J$2,FALSE)</f>
        <v>6.3576075694443857</v>
      </c>
      <c r="I11" s="843">
        <f>VLOOKUP($A11,CARACTERIZACIÓN!$A$5:$N$158,CARACTERIZACIÓN!$K$2,FALSE)</f>
        <v>19.857028624999995</v>
      </c>
      <c r="J11" s="843">
        <f>VLOOKUP($A11,CARACTERIZACIÓN!$A$5:$N$158,CARACTERIZACIÓN!$L$2,FALSE)</f>
        <v>8.6582911527777497</v>
      </c>
      <c r="K11" s="843">
        <f>VLOOKUP($A11,CARACTERIZACIÓN!$A$5:$N$158,CARACTERIZACIÓN!$M$2,FALSE)</f>
        <v>4.1876249722221894</v>
      </c>
      <c r="L11" s="843">
        <f>VLOOKUP($A11,CARACTERIZACIÓN!$A$5:$N$158,CARACTERIZACIÓN!$N$2,FALSE)</f>
        <v>4.5702066666666639</v>
      </c>
      <c r="M11" s="842"/>
    </row>
    <row r="12" spans="1:13">
      <c r="A12" s="840">
        <v>100</v>
      </c>
      <c r="B12" s="840">
        <f>VLOOKUP($A12,CARACTERIZACIÓN!$A$5:$N$158,CARACTERIZACIÓN!$A$2,FALSE)</f>
        <v>100</v>
      </c>
      <c r="C12" s="840" t="str">
        <f>VLOOKUP($A12,CARACTERIZACIÓN!$A$5:$N$158,CARACTERIZACIÓN!$C$2,FALSE)</f>
        <v>Patagones</v>
      </c>
      <c r="D12" s="840" t="str">
        <f>VLOOKUP($A12,CARACTERIZACIÓN!$A$5:$N$158,CARACTERIZACIÓN!$E$2,FALSE)</f>
        <v>Carmen de Patagones</v>
      </c>
      <c r="E12" s="844">
        <f>VLOOKUP($A12,CARACTERIZACIÓN!$A$5:$N$158,CARACTERIZACIÓN!$F$2,FALSE)</f>
        <v>32689</v>
      </c>
      <c r="F12" s="843">
        <f>VLOOKUP($A12,CARACTERIZACIÓN!$A$5:$N$158,CARACTERIZACIÓN!$H$2,FALSE)</f>
        <v>34.650340000000007</v>
      </c>
      <c r="G12" s="838">
        <f t="shared" si="0"/>
        <v>1.3773730140230027E-2</v>
      </c>
      <c r="H12" s="843">
        <f>VLOOKUP($A12,CARACTERIZACIÓN!$A$5:$N$158,CARACTERIZACIÓN!$J$2,FALSE)</f>
        <v>6.3576075694443857</v>
      </c>
      <c r="I12" s="843">
        <f>VLOOKUP($A12,CARACTERIZACIÓN!$A$5:$N$158,CARACTERIZACIÓN!$K$2,FALSE)</f>
        <v>19.857028624999995</v>
      </c>
      <c r="J12" s="843">
        <f>VLOOKUP($A12,CARACTERIZACIÓN!$A$5:$N$158,CARACTERIZACIÓN!$L$2,FALSE)</f>
        <v>8.6582911527777497</v>
      </c>
      <c r="K12" s="843">
        <f>VLOOKUP($A12,CARACTERIZACIÓN!$A$5:$N$158,CARACTERIZACIÓN!$M$2,FALSE)</f>
        <v>4.1876249722221894</v>
      </c>
      <c r="L12" s="843">
        <f>VLOOKUP($A12,CARACTERIZACIÓN!$A$5:$N$158,CARACTERIZACIÓN!$N$2,FALSE)</f>
        <v>4.5702066666666639</v>
      </c>
      <c r="M12" s="842"/>
    </row>
    <row r="13" spans="1:13">
      <c r="A13" s="840"/>
      <c r="B13" s="840"/>
      <c r="C13" s="840"/>
      <c r="D13" s="840"/>
      <c r="E13" s="844"/>
      <c r="F13" s="840"/>
      <c r="G13" s="838"/>
      <c r="H13" s="843"/>
      <c r="I13" s="843"/>
      <c r="J13" s="843"/>
      <c r="K13" s="843"/>
      <c r="L13" s="848"/>
      <c r="M13" s="842"/>
    </row>
    <row r="14" spans="1:13">
      <c r="A14" s="840"/>
      <c r="B14" s="840"/>
      <c r="C14" s="840"/>
      <c r="D14" s="840"/>
      <c r="E14" s="844"/>
      <c r="F14" s="840"/>
      <c r="G14" s="838"/>
      <c r="H14" s="843"/>
      <c r="I14" s="843"/>
      <c r="J14" s="843"/>
      <c r="K14" s="843"/>
      <c r="L14" s="848"/>
      <c r="M14" s="842"/>
    </row>
    <row r="15" spans="1:13">
      <c r="A15" s="840"/>
      <c r="B15" s="840"/>
      <c r="C15" s="840"/>
      <c r="D15" s="840"/>
      <c r="E15" s="844"/>
      <c r="F15" s="840"/>
      <c r="G15" s="838"/>
      <c r="H15" s="843"/>
      <c r="I15" s="843"/>
      <c r="J15" s="843"/>
      <c r="K15" s="843"/>
      <c r="L15" s="848"/>
      <c r="M15" s="842"/>
    </row>
    <row r="16" spans="1:13">
      <c r="A16" s="840"/>
      <c r="B16" s="840"/>
      <c r="C16" s="840"/>
      <c r="D16" s="840"/>
      <c r="E16" s="844"/>
      <c r="F16" s="840"/>
      <c r="G16" s="838"/>
      <c r="H16" s="843"/>
      <c r="I16" s="843"/>
      <c r="J16" s="843"/>
      <c r="K16" s="843"/>
      <c r="L16" s="848"/>
      <c r="M16" s="842"/>
    </row>
    <row r="17" spans="1:13">
      <c r="A17" s="840"/>
      <c r="B17" s="840"/>
      <c r="C17" s="840"/>
      <c r="D17" s="840"/>
      <c r="E17" s="844"/>
      <c r="F17" s="840"/>
      <c r="G17" s="838"/>
      <c r="H17" s="843"/>
      <c r="I17" s="843"/>
      <c r="J17" s="843"/>
      <c r="K17" s="843"/>
      <c r="L17" s="848"/>
      <c r="M17" s="842"/>
    </row>
    <row r="18" spans="1:13">
      <c r="A18" s="840"/>
      <c r="B18" s="840"/>
      <c r="C18" s="840"/>
      <c r="D18" s="840"/>
      <c r="E18" s="844"/>
      <c r="F18" s="840"/>
      <c r="G18" s="838"/>
      <c r="H18" s="843"/>
      <c r="I18" s="843"/>
      <c r="J18" s="843"/>
      <c r="K18" s="843"/>
      <c r="L18" s="848"/>
      <c r="M18" s="842"/>
    </row>
    <row r="19" spans="1:13">
      <c r="A19" s="840"/>
      <c r="B19" s="840"/>
      <c r="C19" s="840"/>
      <c r="D19" s="840"/>
      <c r="E19" s="844"/>
      <c r="F19" s="840"/>
      <c r="G19" s="838"/>
      <c r="H19" s="843"/>
      <c r="I19" s="843"/>
      <c r="J19" s="843"/>
      <c r="K19" s="843"/>
      <c r="L19" s="848"/>
      <c r="M19" s="842"/>
    </row>
    <row r="20" spans="1:13">
      <c r="A20" s="840"/>
      <c r="B20" s="840"/>
      <c r="C20" s="840"/>
      <c r="D20" s="840"/>
      <c r="E20" s="844"/>
      <c r="F20" s="840"/>
      <c r="G20" s="838"/>
      <c r="H20" s="843"/>
      <c r="I20" s="843"/>
      <c r="J20" s="843"/>
      <c r="K20" s="843"/>
      <c r="L20" s="848"/>
      <c r="M20" s="842"/>
    </row>
    <row r="21" spans="1:13">
      <c r="A21" s="840"/>
      <c r="B21" s="840"/>
      <c r="C21" s="840"/>
      <c r="D21" s="840"/>
      <c r="E21" s="844"/>
      <c r="F21" s="840"/>
      <c r="G21" s="838"/>
      <c r="H21" s="843"/>
      <c r="I21" s="843"/>
      <c r="J21" s="843"/>
      <c r="K21" s="843"/>
      <c r="L21" s="848"/>
      <c r="M21" s="842"/>
    </row>
    <row r="22" spans="1:13">
      <c r="A22" s="840"/>
      <c r="B22" s="840"/>
      <c r="C22" s="840"/>
      <c r="D22" s="840"/>
      <c r="E22" s="844"/>
      <c r="F22" s="840"/>
      <c r="G22" s="838"/>
      <c r="H22" s="843"/>
      <c r="I22" s="843"/>
      <c r="J22" s="843"/>
      <c r="K22" s="843"/>
      <c r="L22" s="848"/>
      <c r="M22" s="842"/>
    </row>
    <row r="23" spans="1:13">
      <c r="A23" s="840"/>
      <c r="B23" s="840"/>
      <c r="C23" s="840"/>
      <c r="D23" s="840"/>
      <c r="E23" s="844"/>
      <c r="F23" s="840"/>
      <c r="G23" s="838"/>
      <c r="H23" s="843"/>
      <c r="I23" s="843"/>
      <c r="J23" s="843"/>
      <c r="K23" s="843"/>
      <c r="L23" s="848"/>
      <c r="M23" s="842"/>
    </row>
    <row r="24" spans="1:13">
      <c r="A24" s="840"/>
      <c r="B24" s="840"/>
      <c r="C24" s="840"/>
      <c r="D24" s="840"/>
      <c r="E24" s="844"/>
      <c r="F24" s="840"/>
      <c r="G24" s="838"/>
      <c r="H24" s="843"/>
      <c r="I24" s="843"/>
      <c r="J24" s="843"/>
      <c r="K24" s="843"/>
      <c r="L24" s="848"/>
      <c r="M24" s="842"/>
    </row>
    <row r="25" spans="1:13">
      <c r="A25" s="840"/>
      <c r="B25" s="840"/>
      <c r="C25" s="840"/>
      <c r="D25" s="840"/>
      <c r="E25" s="844"/>
      <c r="F25" s="840"/>
      <c r="G25" s="838"/>
      <c r="H25" s="843"/>
      <c r="I25" s="843"/>
      <c r="J25" s="843"/>
      <c r="K25" s="843"/>
      <c r="L25" s="848"/>
      <c r="M25" s="842"/>
    </row>
    <row r="26" spans="1:13">
      <c r="A26" s="840"/>
      <c r="B26" s="840"/>
      <c r="C26" s="840"/>
      <c r="D26" s="840"/>
      <c r="E26" s="844"/>
      <c r="F26" s="840"/>
      <c r="G26" s="838"/>
      <c r="H26" s="843"/>
      <c r="I26" s="843"/>
      <c r="J26" s="843"/>
      <c r="K26" s="843"/>
      <c r="L26" s="848"/>
      <c r="M26" s="842"/>
    </row>
    <row r="27" spans="1:13">
      <c r="A27" s="840"/>
      <c r="B27" s="840"/>
      <c r="C27" s="840"/>
      <c r="D27" s="840"/>
      <c r="E27" s="844"/>
      <c r="F27" s="840"/>
      <c r="G27" s="838"/>
      <c r="H27" s="843"/>
      <c r="I27" s="843"/>
      <c r="J27" s="843"/>
      <c r="K27" s="843"/>
      <c r="L27" s="848"/>
      <c r="M27" s="842"/>
    </row>
    <row r="28" spans="1:13">
      <c r="A28" s="840"/>
      <c r="B28" s="840"/>
      <c r="C28" s="840"/>
      <c r="D28" s="840"/>
      <c r="E28" s="844"/>
      <c r="F28" s="840"/>
      <c r="G28" s="838"/>
      <c r="H28" s="843"/>
      <c r="I28" s="843"/>
      <c r="J28" s="843"/>
      <c r="K28" s="843"/>
      <c r="L28" s="848"/>
      <c r="M28" s="842"/>
    </row>
    <row r="29" spans="1:13">
      <c r="A29" s="840"/>
      <c r="B29" s="840"/>
      <c r="C29" s="840"/>
      <c r="D29" s="840"/>
      <c r="E29" s="844"/>
      <c r="F29" s="840"/>
      <c r="G29" s="838"/>
      <c r="H29" s="843"/>
      <c r="I29" s="843"/>
      <c r="J29" s="843"/>
      <c r="K29" s="843"/>
      <c r="L29" s="848"/>
      <c r="M29" s="842"/>
    </row>
    <row r="30" spans="1:13">
      <c r="A30" s="840"/>
      <c r="B30" s="840"/>
      <c r="C30" s="840"/>
      <c r="D30" s="840"/>
      <c r="E30" s="844"/>
      <c r="F30" s="840"/>
      <c r="G30" s="838"/>
      <c r="H30" s="843"/>
      <c r="I30" s="843"/>
      <c r="J30" s="843"/>
      <c r="K30" s="843"/>
      <c r="L30" s="848"/>
      <c r="M30" s="842"/>
    </row>
    <row r="31" spans="1:13">
      <c r="A31" s="1" t="s">
        <v>8</v>
      </c>
      <c r="B31" s="840"/>
      <c r="C31" s="840"/>
      <c r="D31" s="840"/>
      <c r="E31" s="850"/>
      <c r="F31" s="839">
        <f>SUM(F7:F30)</f>
        <v>2515.68309</v>
      </c>
      <c r="G31" s="849">
        <f>SUM(G7:G30)</f>
        <v>0.99999999999999978</v>
      </c>
      <c r="H31" s="839">
        <f>SUMPRODUCT($G7:$G30,H7:H30)</f>
        <v>4.7980199627410709</v>
      </c>
      <c r="I31" s="839">
        <f t="shared" ref="I31:L31" si="1">SUMPRODUCT($G7:$G30,I7:I30)</f>
        <v>18.485411279356818</v>
      </c>
      <c r="J31" s="839">
        <f t="shared" si="1"/>
        <v>14.444186454621047</v>
      </c>
      <c r="K31" s="839">
        <f t="shared" si="1"/>
        <v>2.0246503909154199</v>
      </c>
      <c r="L31" s="839">
        <f t="shared" si="1"/>
        <v>2.8951403422183044</v>
      </c>
      <c r="M31" s="842"/>
    </row>
    <row r="32" spans="1:13">
      <c r="A32" s="840"/>
      <c r="B32" s="840"/>
      <c r="C32" s="840"/>
      <c r="D32" s="840"/>
      <c r="E32" s="840"/>
      <c r="F32" s="840"/>
      <c r="G32" s="840"/>
      <c r="H32" s="840"/>
      <c r="I32" s="840"/>
      <c r="J32" s="840"/>
      <c r="K32" s="840"/>
      <c r="L32" s="842"/>
      <c r="M32" s="842"/>
    </row>
    <row r="33" spans="1:13">
      <c r="A33" s="555" t="s">
        <v>780</v>
      </c>
      <c r="B33" s="555"/>
      <c r="C33" s="555"/>
      <c r="D33" s="555"/>
      <c r="E33" s="555"/>
      <c r="F33" s="679"/>
      <c r="G33" s="555"/>
      <c r="H33" s="679">
        <f>+H31/100*$F$31</f>
        <v>120.70297685750141</v>
      </c>
      <c r="I33" s="679">
        <f>+I31/100*$F$31</f>
        <v>465.03436567173213</v>
      </c>
      <c r="J33" s="679">
        <f>+J31/100*$F$31</f>
        <v>363.36995612697223</v>
      </c>
      <c r="K33" s="679">
        <f>+K31/100*$F$31</f>
        <v>50.933787515878116</v>
      </c>
      <c r="L33" s="679">
        <f>+L31/100*$F$31</f>
        <v>72.832556020954016</v>
      </c>
      <c r="M33" s="842"/>
    </row>
    <row r="35" spans="1:13">
      <c r="A35" s="555" t="s">
        <v>781</v>
      </c>
      <c r="H35" s="851">
        <f>+CARACTERIZACIÓN!P3*Ri!H33</f>
        <v>5029693.0456520841</v>
      </c>
      <c r="I35" s="851">
        <f>+CARACTERIZACIÓN!Q3*Ri!I33</f>
        <v>63244673.73135557</v>
      </c>
      <c r="J35" s="851">
        <f>+CARACTERIZACIÓN!R3*Ri!J33</f>
        <v>17986812.828285124</v>
      </c>
      <c r="K35" s="851">
        <f>+CARACTERIZACIÓN!S3*Ri!K33</f>
        <v>25466893.757939059</v>
      </c>
      <c r="L35" s="851">
        <f>+CARACTERIZACIÓN!T3*Ri!L33</f>
        <v>72832.556020954013</v>
      </c>
    </row>
    <row r="37" spans="1:13">
      <c r="A37" s="555" t="s">
        <v>782</v>
      </c>
      <c r="H37" s="852">
        <f>SUM(H35:L35)</f>
        <v>111800905.9192528</v>
      </c>
    </row>
  </sheetData>
  <mergeCells count="1">
    <mergeCell ref="H5:L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30</vt:i4>
      </vt:variant>
      <vt:variant>
        <vt:lpstr>Rangos con nombre</vt:lpstr>
      </vt:variant>
      <vt:variant>
        <vt:i4>20</vt:i4>
      </vt:variant>
    </vt:vector>
  </HeadingPairs>
  <TitlesOfParts>
    <vt:vector size="50" baseType="lpstr">
      <vt:lpstr>Resumen</vt:lpstr>
      <vt:lpstr>Resumen_Alt 3</vt:lpstr>
      <vt:lpstr>Costos de Inversión_xLocalidad</vt:lpstr>
      <vt:lpstr>Orden</vt:lpstr>
      <vt:lpstr>Estimación  PRESUPUESTO PCAS</vt:lpstr>
      <vt:lpstr>DATOS</vt:lpstr>
      <vt:lpstr>Inputs_costos</vt:lpstr>
      <vt:lpstr>Valoración_Equip_actual</vt:lpstr>
      <vt:lpstr>Valoración_Eq_REG</vt:lpstr>
      <vt:lpstr>Costo de cierre de BCA</vt:lpstr>
      <vt:lpstr>Verif_Basurales</vt:lpstr>
      <vt:lpstr>Costo Social x localidad</vt:lpstr>
      <vt:lpstr>Resumen_Generación</vt:lpstr>
      <vt:lpstr>Pobl_adoptada</vt:lpstr>
      <vt:lpstr>Verif</vt:lpstr>
      <vt:lpstr>Turísticas</vt:lpstr>
      <vt:lpstr>Proyeccion_Localidades</vt:lpstr>
      <vt:lpstr>PROYECCIÓN GENERACIÓN</vt:lpstr>
      <vt:lpstr>SEP ORIGEN</vt:lpstr>
      <vt:lpstr>GENERADO NO Sep Origen</vt:lpstr>
      <vt:lpstr>GENERADO PS locales</vt:lpstr>
      <vt:lpstr>RECH-RECUP_PS locales</vt:lpstr>
      <vt:lpstr>RECHAZADOS A CA</vt:lpstr>
      <vt:lpstr>INGRESO TOTAL A CA</vt:lpstr>
      <vt:lpstr>INGRESO A PS DE CA</vt:lpstr>
      <vt:lpstr>RECH-RECUP_PS CA</vt:lpstr>
      <vt:lpstr>RELLENO SANITARIO</vt:lpstr>
      <vt:lpstr>Datos_caracteriz</vt:lpstr>
      <vt:lpstr>CARACTERIZACIÓN</vt:lpstr>
      <vt:lpstr>Ri</vt:lpstr>
      <vt:lpstr>Verif_Basurales!Área_de_extracción</vt:lpstr>
      <vt:lpstr>CARACTERIZACIÓN!Área_de_impresión</vt:lpstr>
      <vt:lpstr>'GENERADO NO Sep Origen'!Área_de_impresión</vt:lpstr>
      <vt:lpstr>'GENERADO PS locales'!Área_de_impresión</vt:lpstr>
      <vt:lpstr>'INGRESO A PS DE CA'!Área_de_impresión</vt:lpstr>
      <vt:lpstr>'INGRESO TOTAL A CA'!Área_de_impresión</vt:lpstr>
      <vt:lpstr>Pobl_adoptada!Área_de_impresión</vt:lpstr>
      <vt:lpstr>'PROYECCIÓN GENERACIÓN'!Área_de_impresión</vt:lpstr>
      <vt:lpstr>'RECHAZADOS A CA'!Área_de_impresión</vt:lpstr>
      <vt:lpstr>'RECH-RECUP_PS CA'!Área_de_impresión</vt:lpstr>
      <vt:lpstr>'RECH-RECUP_PS locales'!Área_de_impresión</vt:lpstr>
      <vt:lpstr>'RELLENO SANITARIO'!Área_de_impresión</vt:lpstr>
      <vt:lpstr>Resumen!Área_de_impresión</vt:lpstr>
      <vt:lpstr>'Resumen_Alt 3'!Área_de_impresión</vt:lpstr>
      <vt:lpstr>Resumen_Generación!Área_de_impresión</vt:lpstr>
      <vt:lpstr>'SEP ORIGEN'!Área_de_impresión</vt:lpstr>
      <vt:lpstr>Verif!Área_de_impresión</vt:lpstr>
      <vt:lpstr>'Costo Social x localidad'!Títulos_a_imprimir</vt:lpstr>
      <vt:lpstr>Proyeccion_Localidades!Títulos_a_imprimir</vt:lpstr>
      <vt:lpstr>Verif_Basurales!Títulos_a_imprimir</vt:lpstr>
    </vt:vector>
  </TitlesOfParts>
  <Company>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cdomizi</dc:creator>
  <cp:lastModifiedBy>Federico Ariel Andrada Frau</cp:lastModifiedBy>
  <cp:lastPrinted>2023-08-23T00:01:36Z</cp:lastPrinted>
  <dcterms:created xsi:type="dcterms:W3CDTF">2014-07-03T21:05:23Z</dcterms:created>
  <dcterms:modified xsi:type="dcterms:W3CDTF">2024-01-14T02:28:06Z</dcterms:modified>
</cp:coreProperties>
</file>